
<file path=[Content_Types].xml><?xml version="1.0" encoding="utf-8"?>
<Types xmlns="http://schemas.openxmlformats.org/package/2006/content-types">
  <Default Extension="xml" ContentType="application/xml"/>
  <Default Extension="vml" ContentType="application/vnd.openxmlformats-officedocument.vmlDrawing"/>
  <Default Extension="png" ContentType="image/pn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ellimages.xml" ContentType="application/vnd.wps-officedocument.cellimage+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infos.xml" ContentType="application/vnd.wps-officedocument.woinfo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fileSharing userName="Unknown User" reservationPassword="C86F"/>
  <workbookPr codeName="ThisWorkbook"/>
  <bookViews>
    <workbookView windowWidth="23040" windowHeight="8616" tabRatio="835" activeTab="1"/>
  </bookViews>
  <sheets>
    <sheet name="77772" sheetId="23" r:id="rId1"/>
    <sheet name="77794" sheetId="26" r:id="rId2"/>
    <sheet name="取消单" sheetId="15" r:id="rId3"/>
    <sheet name="77772包装MA" sheetId="30" r:id="rId4"/>
    <sheet name="77794包装MA" sheetId="24" r:id="rId5"/>
    <sheet name="77772半成品MA" sheetId="29" r:id="rId6"/>
    <sheet name="77794半成品MA" sheetId="18" r:id="rId7"/>
    <sheet name="WpsReserved_CellImgList" sheetId="31" state="veryHidden" r:id="rId8"/>
  </sheets>
  <externalReferences>
    <externalReference r:id="rId10"/>
  </externalReferences>
  <definedNames>
    <definedName name="_xlnm._FilterDatabase" localSheetId="0" hidden="1">'77772'!$A$1:$DG$1064</definedName>
    <definedName name="_xlnm._FilterDatabase" localSheetId="1" hidden="1">'77794'!$A$1:$DD$2379</definedName>
    <definedName name="_xlnm._FilterDatabase" localSheetId="2" hidden="1">取消单!$A$1:$CV$268</definedName>
    <definedName name="_xlnm._FilterDatabase" localSheetId="3" hidden="1">'77772包装MA'!$A$2:$AM$174</definedName>
    <definedName name="_xlnm._FilterDatabase" localSheetId="4" hidden="1">'77794包装MA'!$A$2:$AE$97</definedName>
    <definedName name="_xlnm._FilterDatabase" localSheetId="5" hidden="1">'77772半成品MA'!$A$5:$AU$59</definedName>
    <definedName name="_xlnm._FilterDatabase" localSheetId="6" hidden="1">'77794半成品MA'!$A$1:$W$11</definedName>
    <definedName name="_xlnm.Print_Area" localSheetId="0">'77772'!$A$9:$K$26</definedName>
    <definedName name="_xlnm.Print_Titles" localSheetId="0">'77772'!$1:$1</definedName>
    <definedName name="_xlnm.Print_Area" localSheetId="1">'77794'!$A$1:$N$578</definedName>
    <definedName name="_xlnm.Print_Titles" localSheetId="1">'77794'!$1:$1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ellimages.xml><?xml version="1.0" encoding="utf-8"?>
<etc:cellImages xmlns:xdr="http://schemas.openxmlformats.org/drawingml/2006/spreadsheetDrawing" xmlns:r="http://schemas.openxmlformats.org/officeDocument/2006/relationships" xmlns:a="http://schemas.openxmlformats.org/drawingml/2006/main" xmlns:etc="http://www.wps.cn/officeDocument/2017/etCustomData">
  <etc:cellImage>
    <xdr:pic>
      <xdr:nvPicPr>
        <xdr:cNvPr id="2" name="ID_5C636C62678E46B8A9808CB07A823E5A" descr="post_object_image_793101249"/>
        <xdr:cNvPicPr/>
      </xdr:nvPicPr>
      <xdr:blipFill>
        <a:blip r:embed="rId1"/>
        <a:stretch>
          <a:fillRect/>
        </a:stretch>
      </xdr:blipFill>
      <xdr:spPr>
        <a:xfrm>
          <a:off x="0" y="0"/>
          <a:ext cx="9144000" cy="531495"/>
        </a:xfrm>
        <a:prstGeom prst="rect">
          <a:avLst/>
        </a:prstGeom>
      </xdr:spPr>
    </xdr:pic>
  </etc:cellImage>
</etc:cellImages>
</file>

<file path=xl/comments1.xml><?xml version="1.0" encoding="utf-8"?>
<comments xmlns="http://schemas.openxmlformats.org/spreadsheetml/2006/main">
  <authors>
    <author>Administrator</author>
    <author>DELL</author>
    <author>Unknown User</author>
    <author>RR</author>
  </authors>
  <commentList>
    <comment ref="V3" authorId="0">
      <text>
        <r>
          <rPr>
            <b/>
            <sz val="12"/>
            <rFont val="宋体"/>
            <charset val="134"/>
          </rPr>
          <t>Administrator:</t>
        </r>
        <r>
          <rPr>
            <sz val="12"/>
            <rFont val="宋体"/>
            <charset val="134"/>
          </rPr>
          <t xml:space="preserve">
1/19 上UPC贴纸 100pcs</t>
        </r>
      </text>
    </comment>
    <comment ref="T4" authorId="0">
      <text>
        <r>
          <rPr>
            <b/>
            <sz val="12"/>
            <rFont val="宋体"/>
            <charset val="134"/>
          </rPr>
          <t>Administrator:</t>
        </r>
        <r>
          <rPr>
            <sz val="12"/>
            <rFont val="宋体"/>
            <charset val="134"/>
          </rPr>
          <t xml:space="preserve">
1405310 3/10 9500pcs B栋4楼A3区
1405314 3/11 18000pcs B栋4楼A3区1405462 3/11 21250pcs B栋4楼A3区</t>
        </r>
      </text>
    </comment>
    <comment ref="V4" authorId="0">
      <text>
        <r>
          <rPr>
            <b/>
            <sz val="12"/>
            <rFont val="宋体"/>
            <charset val="134"/>
          </rPr>
          <t>Administrator:</t>
        </r>
        <r>
          <rPr>
            <sz val="12"/>
            <rFont val="宋体"/>
            <charset val="134"/>
          </rPr>
          <t xml:space="preserve">
1/26 上客供外箱条码贴纸 1970pcs
1/26 上EVENT LABEL 1950pcs</t>
        </r>
      </text>
    </comment>
    <comment ref="T6" authorId="0">
      <text>
        <r>
          <rPr>
            <b/>
            <sz val="12"/>
            <rFont val="宋体"/>
            <charset val="134"/>
          </rPr>
          <t>Administrator:</t>
        </r>
        <r>
          <rPr>
            <sz val="12"/>
            <rFont val="宋体"/>
            <charset val="134"/>
          </rPr>
          <t xml:space="preserve">
3/19 1405245 28875pcs
3/19 1405248 61500pcs
3/19 1405246 70875pcs</t>
        </r>
      </text>
    </comment>
    <comment ref="V6" authorId="0">
      <text>
        <r>
          <rPr>
            <b/>
            <sz val="12"/>
            <rFont val="宋体"/>
            <charset val="134"/>
          </rPr>
          <t>Administrator:</t>
        </r>
        <r>
          <rPr>
            <sz val="12"/>
            <rFont val="宋体"/>
            <charset val="134"/>
          </rPr>
          <t xml:space="preserve">
1/26 上客供外箱条码贴纸 6515pcs</t>
        </r>
      </text>
    </comment>
    <comment ref="T7" authorId="0">
      <text>
        <r>
          <rPr>
            <b/>
            <sz val="9"/>
            <rFont val="宋体"/>
            <charset val="134"/>
          </rPr>
          <t>Ad</t>
        </r>
        <r>
          <rPr>
            <b/>
            <sz val="12"/>
            <rFont val="宋体"/>
            <charset val="134"/>
          </rPr>
          <t>ministrator:</t>
        </r>
        <r>
          <rPr>
            <sz val="9"/>
            <rFont val="宋体"/>
            <charset val="134"/>
          </rPr>
          <t xml:space="preserve">
</t>
        </r>
        <r>
          <rPr>
            <sz val="12"/>
            <rFont val="宋体"/>
            <charset val="134"/>
          </rPr>
          <t>3/19 1405240 10000pcsB栋4楼B7区</t>
        </r>
      </text>
    </comment>
    <comment ref="T8" authorId="0">
      <text>
        <r>
          <rPr>
            <b/>
            <sz val="12"/>
            <rFont val="宋体"/>
            <charset val="134"/>
          </rPr>
          <t>Administrator:</t>
        </r>
        <r>
          <rPr>
            <sz val="12"/>
            <rFont val="宋体"/>
            <charset val="134"/>
          </rPr>
          <t xml:space="preserve">
3/17 东莞生产，3/18走空运</t>
        </r>
      </text>
    </comment>
    <comment ref="V8" authorId="0">
      <text>
        <r>
          <rPr>
            <b/>
            <sz val="12"/>
            <rFont val="宋体"/>
            <charset val="134"/>
          </rPr>
          <t>Administrator:</t>
        </r>
        <r>
          <rPr>
            <sz val="12"/>
            <rFont val="宋体"/>
            <charset val="134"/>
          </rPr>
          <t xml:space="preserve">
3/6 上UPC贴纸 100pcs</t>
        </r>
      </text>
    </comment>
    <comment ref="T9" authorId="0">
      <text>
        <r>
          <rPr>
            <b/>
            <sz val="12"/>
            <rFont val="宋体"/>
            <charset val="134"/>
          </rPr>
          <t>Administrator:</t>
        </r>
        <r>
          <rPr>
            <sz val="9"/>
            <rFont val="宋体"/>
            <charset val="134"/>
          </rPr>
          <t xml:space="preserve">
</t>
        </r>
        <r>
          <rPr>
            <sz val="12"/>
            <rFont val="宋体"/>
            <charset val="134"/>
          </rPr>
          <t>3/19  1406106 
组合1 2417pcs
组合2 4992pcs
组合3 4989pcs
组合4 2502PCS
组合5 2496pcs
组合6 2497pcs
组合7 2499pcs
组合10 2292pcs
组合11 3413pcs
组合12 943pcs
吸塑640pcs</t>
        </r>
      </text>
    </comment>
    <comment ref="T10" authorId="0">
      <text>
        <r>
          <rPr>
            <b/>
            <sz val="12"/>
            <rFont val="宋体"/>
            <charset val="134"/>
          </rPr>
          <t>Administrator:</t>
        </r>
        <r>
          <rPr>
            <sz val="9"/>
            <rFont val="宋体"/>
            <charset val="134"/>
          </rPr>
          <t xml:space="preserve">
</t>
        </r>
        <r>
          <rPr>
            <sz val="12"/>
            <rFont val="宋体"/>
            <charset val="134"/>
          </rPr>
          <t>3/19  1406106 
组合1 2417pcs
组合2 4992pcs
组合3 4989pcs
组合4 2502PCS
组合5 2496pcs
组合6 2497pcs
组合7 2499pcs
组合10 2292pcs
组合11 3413pcs
组合12 943pcs
吸塑640pcs</t>
        </r>
      </text>
    </comment>
    <comment ref="T11" authorId="0">
      <text>
        <r>
          <rPr>
            <b/>
            <sz val="9"/>
            <rFont val="宋体"/>
            <charset val="134"/>
          </rPr>
          <t>Ad</t>
        </r>
        <r>
          <rPr>
            <b/>
            <sz val="12"/>
            <rFont val="宋体"/>
            <charset val="134"/>
          </rPr>
          <t>ministrator:</t>
        </r>
        <r>
          <rPr>
            <sz val="9"/>
            <rFont val="宋体"/>
            <charset val="134"/>
          </rPr>
          <t xml:space="preserve">
</t>
        </r>
        <r>
          <rPr>
            <sz val="12"/>
            <rFont val="宋体"/>
            <charset val="134"/>
          </rPr>
          <t xml:space="preserve">3/19 1405240 1400pcsB栋4楼A8区
</t>
        </r>
      </text>
    </comment>
    <comment ref="T12" authorId="0">
      <text>
        <r>
          <rPr>
            <b/>
            <sz val="9"/>
            <rFont val="宋体"/>
            <charset val="134"/>
          </rPr>
          <t>Ad</t>
        </r>
        <r>
          <rPr>
            <b/>
            <sz val="12"/>
            <rFont val="宋体"/>
            <charset val="134"/>
          </rPr>
          <t>ministrator:</t>
        </r>
        <r>
          <rPr>
            <sz val="9"/>
            <rFont val="宋体"/>
            <charset val="134"/>
          </rPr>
          <t xml:space="preserve">
</t>
        </r>
        <r>
          <rPr>
            <sz val="12"/>
            <rFont val="宋体"/>
            <charset val="134"/>
          </rPr>
          <t xml:space="preserve">3/19 1405240 600pcsB栋4楼B9区
</t>
        </r>
      </text>
    </comment>
    <comment ref="T13" authorId="0">
      <text>
        <r>
          <rPr>
            <b/>
            <sz val="12"/>
            <rFont val="宋体"/>
            <charset val="134"/>
          </rPr>
          <t>Administrator:</t>
        </r>
        <r>
          <rPr>
            <sz val="9"/>
            <rFont val="宋体"/>
            <charset val="134"/>
          </rPr>
          <t xml:space="preserve">
</t>
        </r>
        <r>
          <rPr>
            <sz val="12"/>
            <rFont val="宋体"/>
            <charset val="134"/>
          </rPr>
          <t>3/19  1406106 
组合1 2417pcs
组合2 4992pcs
组合3 4989pcs
组合4 2502PCS
组合5 2496pcs
组合6 2497pcs
组合7 2499pcs
组合10 2292pcs
组合11 3413pcs
组合12 943pcs
吸塑640pcs</t>
        </r>
      </text>
    </comment>
    <comment ref="T14" authorId="0">
      <text>
        <r>
          <rPr>
            <b/>
            <sz val="9"/>
            <rFont val="宋体"/>
            <charset val="134"/>
          </rPr>
          <t>Ad</t>
        </r>
        <r>
          <rPr>
            <b/>
            <sz val="12"/>
            <rFont val="宋体"/>
            <charset val="134"/>
          </rPr>
          <t>ministrator:</t>
        </r>
        <r>
          <rPr>
            <sz val="9"/>
            <rFont val="宋体"/>
            <charset val="134"/>
          </rPr>
          <t xml:space="preserve">
</t>
        </r>
        <r>
          <rPr>
            <sz val="12"/>
            <rFont val="宋体"/>
            <charset val="134"/>
          </rPr>
          <t>3/19 1405240 1700pcs B栋4楼A8区</t>
        </r>
      </text>
    </comment>
    <comment ref="T15" authorId="0">
      <text>
        <r>
          <rPr>
            <b/>
            <sz val="9"/>
            <rFont val="宋体"/>
            <charset val="134"/>
          </rPr>
          <t>Ad</t>
        </r>
        <r>
          <rPr>
            <b/>
            <sz val="12"/>
            <rFont val="宋体"/>
            <charset val="134"/>
          </rPr>
          <t>ministrator:</t>
        </r>
        <r>
          <rPr>
            <sz val="9"/>
            <rFont val="宋体"/>
            <charset val="134"/>
          </rPr>
          <t xml:space="preserve">
</t>
        </r>
        <r>
          <rPr>
            <sz val="12"/>
            <rFont val="宋体"/>
            <charset val="134"/>
          </rPr>
          <t>3/19 1405240 1300pcs B栋4楼B9区</t>
        </r>
      </text>
    </comment>
    <comment ref="T16" authorId="0">
      <text>
        <r>
          <rPr>
            <b/>
            <sz val="12"/>
            <rFont val="宋体"/>
            <charset val="134"/>
          </rPr>
          <t>Administrator:</t>
        </r>
        <r>
          <rPr>
            <sz val="9"/>
            <rFont val="宋体"/>
            <charset val="134"/>
          </rPr>
          <t xml:space="preserve">
</t>
        </r>
        <r>
          <rPr>
            <sz val="12"/>
            <rFont val="宋体"/>
            <charset val="134"/>
          </rPr>
          <t>3/19  1406106 
组合1 2417pcs
组合2 4992pcs
组合3 4989pcs
组合4 2502PCS
组合5 2496pcs
组合6 2497pcs
组合7 2499pcs
组合10 2292pcs
组合11 3413pcs
组合12 943pcs
吸塑640pcs</t>
        </r>
      </text>
    </comment>
    <comment ref="T17" authorId="0">
      <text>
        <r>
          <rPr>
            <b/>
            <sz val="12"/>
            <rFont val="宋体"/>
            <charset val="134"/>
          </rPr>
          <t>Administrator:</t>
        </r>
        <r>
          <rPr>
            <sz val="9"/>
            <rFont val="宋体"/>
            <charset val="134"/>
          </rPr>
          <t xml:space="preserve">
</t>
        </r>
        <r>
          <rPr>
            <sz val="12"/>
            <rFont val="宋体"/>
            <charset val="134"/>
          </rPr>
          <t>3/19  1406106 
组合1 2417pcs
组合2 4992pcs
组合3 4989pcs
组合4 2502PCS
组合5 2496pcs
组合6 2497pcs
组合7 2499pcs
组合10 2292pcs
组合11 3413pcs
组合12 943pcs
吸塑640pcs</t>
        </r>
      </text>
    </comment>
    <comment ref="T18" authorId="0">
      <text>
        <r>
          <rPr>
            <b/>
            <sz val="12"/>
            <rFont val="宋体"/>
            <charset val="134"/>
          </rPr>
          <t>Administrator:</t>
        </r>
        <r>
          <rPr>
            <sz val="12"/>
            <rFont val="宋体"/>
            <charset val="134"/>
          </rPr>
          <t xml:space="preserve">
3/25 1405224 936pcs华兴3楼B14</t>
        </r>
      </text>
    </comment>
    <comment ref="T19" authorId="0">
      <text>
        <r>
          <rPr>
            <b/>
            <sz val="12"/>
            <rFont val="宋体"/>
            <charset val="134"/>
          </rPr>
          <t>Administrator:</t>
        </r>
        <r>
          <rPr>
            <sz val="12"/>
            <rFont val="宋体"/>
            <charset val="134"/>
          </rPr>
          <t xml:space="preserve">
3/30 1405444 750pcs华兴3楼A30</t>
        </r>
      </text>
    </comment>
    <comment ref="V19" authorId="0">
      <text>
        <r>
          <rPr>
            <b/>
            <sz val="12"/>
            <rFont val="宋体"/>
            <charset val="134"/>
          </rPr>
          <t>Administrator:</t>
        </r>
        <r>
          <rPr>
            <sz val="12"/>
            <rFont val="宋体"/>
            <charset val="134"/>
          </rPr>
          <t xml:space="preserve">
3/6 上UPC贴纸 750pcs</t>
        </r>
      </text>
    </comment>
    <comment ref="T20" authorId="0">
      <text>
        <r>
          <rPr>
            <b/>
            <sz val="12"/>
            <rFont val="宋体"/>
            <charset val="134"/>
          </rPr>
          <t>Administrator:</t>
        </r>
        <r>
          <rPr>
            <sz val="12"/>
            <rFont val="宋体"/>
            <charset val="134"/>
          </rPr>
          <t xml:space="preserve">
3/28 1405438 9950pcs华兴3楼B30
3/30 1405444 50pcs 华兴3楼B30</t>
        </r>
      </text>
    </comment>
    <comment ref="T21" authorId="0">
      <text>
        <r>
          <rPr>
            <b/>
            <sz val="12"/>
            <rFont val="宋体"/>
            <charset val="134"/>
          </rPr>
          <t>Administrator:</t>
        </r>
        <r>
          <rPr>
            <sz val="12"/>
            <rFont val="宋体"/>
            <charset val="134"/>
          </rPr>
          <t xml:space="preserve">
3/31 1405460 13650pcs
4/1 1405425 1950pcs</t>
        </r>
      </text>
    </comment>
    <comment ref="T22" authorId="0">
      <text>
        <r>
          <rPr>
            <b/>
            <sz val="12"/>
            <rFont val="宋体"/>
            <charset val="134"/>
          </rPr>
          <t>Administrator:</t>
        </r>
        <r>
          <rPr>
            <sz val="12"/>
            <rFont val="宋体"/>
            <charset val="134"/>
          </rPr>
          <t xml:space="preserve">
3/27 1405205 7450pcs 华兴3楼A29
3/27 1405212 50pcs 华兴3楼A29</t>
        </r>
      </text>
    </comment>
    <comment ref="V22" authorId="0">
      <text>
        <r>
          <rPr>
            <b/>
            <sz val="12"/>
            <rFont val="宋体"/>
            <charset val="134"/>
          </rPr>
          <t>Administrator:</t>
        </r>
        <r>
          <rPr>
            <sz val="12"/>
            <rFont val="宋体"/>
            <charset val="134"/>
          </rPr>
          <t xml:space="preserve">
3/21 上UPC贴纸 7500pcs
     上价格贴纸 7500pcs
   上shipping label 4*6in1200pcs</t>
        </r>
      </text>
    </comment>
    <comment ref="T23" authorId="0">
      <text>
        <r>
          <rPr>
            <b/>
            <sz val="12"/>
            <rFont val="宋体"/>
            <charset val="134"/>
          </rPr>
          <t>Administrator:</t>
        </r>
        <r>
          <rPr>
            <sz val="12"/>
            <rFont val="宋体"/>
            <charset val="134"/>
          </rPr>
          <t xml:space="preserve">
4/7 1405372 52575pcs直走
4/7 1405376 2425pcs直走</t>
        </r>
      </text>
    </comment>
    <comment ref="V23" authorId="0">
      <text>
        <r>
          <rPr>
            <b/>
            <sz val="12"/>
            <rFont val="宋体"/>
            <charset val="134"/>
          </rPr>
          <t>Administrator:</t>
        </r>
        <r>
          <rPr>
            <sz val="12"/>
            <rFont val="宋体"/>
            <charset val="134"/>
          </rPr>
          <t xml:space="preserve">
3/23 上客供外箱条码贴纸 2222pcs</t>
        </r>
      </text>
    </comment>
    <comment ref="T24" authorId="0">
      <text>
        <r>
          <rPr>
            <b/>
            <sz val="12"/>
            <rFont val="宋体"/>
            <charset val="134"/>
          </rPr>
          <t>Administrator:</t>
        </r>
        <r>
          <rPr>
            <sz val="12"/>
            <rFont val="宋体"/>
            <charset val="134"/>
          </rPr>
          <t xml:space="preserve">
4/11 1405946 21375pcs新仓库B1</t>
        </r>
      </text>
    </comment>
    <comment ref="T25" authorId="0">
      <text>
        <r>
          <rPr>
            <b/>
            <sz val="12"/>
            <rFont val="宋体"/>
            <charset val="134"/>
          </rPr>
          <t>Administrator:</t>
        </r>
        <r>
          <rPr>
            <sz val="12"/>
            <rFont val="宋体"/>
            <charset val="134"/>
          </rPr>
          <t xml:space="preserve">
4/3 1405383 180pcs</t>
        </r>
      </text>
    </comment>
    <comment ref="V25" authorId="0">
      <text>
        <r>
          <rPr>
            <b/>
            <sz val="12"/>
            <rFont val="宋体"/>
            <charset val="134"/>
          </rPr>
          <t>Administrator:</t>
        </r>
        <r>
          <rPr>
            <sz val="12"/>
            <rFont val="宋体"/>
            <charset val="134"/>
          </rPr>
          <t xml:space="preserve">
3/21 上警语贴纸780pcs</t>
        </r>
      </text>
    </comment>
    <comment ref="T26" authorId="0">
      <text>
        <r>
          <rPr>
            <b/>
            <sz val="12"/>
            <rFont val="宋体"/>
            <charset val="134"/>
          </rPr>
          <t>Administrator:</t>
        </r>
        <r>
          <rPr>
            <sz val="12"/>
            <rFont val="宋体"/>
            <charset val="134"/>
          </rPr>
          <t xml:space="preserve">
4/3 1405383 180pcs</t>
        </r>
      </text>
    </comment>
    <comment ref="V26" authorId="0">
      <text>
        <r>
          <rPr>
            <b/>
            <sz val="9"/>
            <rFont val="宋体"/>
            <charset val="134"/>
          </rPr>
          <t>Administrator:</t>
        </r>
        <r>
          <rPr>
            <sz val="9"/>
            <rFont val="宋体"/>
            <charset val="134"/>
          </rPr>
          <t xml:space="preserve">
3/23 上客供警语贴纸球底部贴 808pcs
   上收藏指南客供警语贴纸1030pcs</t>
        </r>
      </text>
    </comment>
    <comment ref="T27" authorId="0">
      <text>
        <r>
          <rPr>
            <b/>
            <sz val="12"/>
            <rFont val="宋体"/>
            <charset val="134"/>
          </rPr>
          <t>Administrator:</t>
        </r>
        <r>
          <rPr>
            <sz val="12"/>
            <rFont val="宋体"/>
            <charset val="134"/>
          </rPr>
          <t xml:space="preserve">
4/11 1405946 34000pcs新仓库B5
4/11 1405944 21000pcs新仓库B1</t>
        </r>
      </text>
    </comment>
    <comment ref="T28" authorId="0">
      <text>
        <r>
          <rPr>
            <b/>
            <sz val="12"/>
            <rFont val="宋体"/>
            <charset val="134"/>
          </rPr>
          <t>Administrator:</t>
        </r>
        <r>
          <rPr>
            <sz val="12"/>
            <rFont val="宋体"/>
            <charset val="134"/>
          </rPr>
          <t xml:space="preserve">
1405907 4/15 3750pcs 新仓库B6区</t>
        </r>
      </text>
    </comment>
    <comment ref="V28" authorId="0">
      <text>
        <r>
          <rPr>
            <b/>
            <sz val="12"/>
            <rFont val="宋体"/>
            <charset val="134"/>
          </rPr>
          <t>Administrator:</t>
        </r>
        <r>
          <rPr>
            <sz val="12"/>
            <rFont val="宋体"/>
            <charset val="134"/>
          </rPr>
          <t xml:space="preserve">
3/18 上PDQ条码贴纸 150pcs</t>
        </r>
      </text>
    </comment>
    <comment ref="T29" authorId="0">
      <text>
        <r>
          <rPr>
            <b/>
            <sz val="12"/>
            <rFont val="宋体"/>
            <charset val="134"/>
          </rPr>
          <t>Administrator:</t>
        </r>
        <r>
          <rPr>
            <sz val="12"/>
            <rFont val="宋体"/>
            <charset val="134"/>
          </rPr>
          <t xml:space="preserve">
4/10 1405341 9100pcs华兴三楼B16区
</t>
        </r>
      </text>
    </comment>
    <comment ref="V29" authorId="0">
      <text>
        <r>
          <rPr>
            <b/>
            <sz val="12"/>
            <rFont val="宋体"/>
            <charset val="134"/>
          </rPr>
          <t>Administrator:</t>
        </r>
        <r>
          <rPr>
            <sz val="12"/>
            <rFont val="宋体"/>
            <charset val="134"/>
          </rPr>
          <t xml:space="preserve">
3/16 上PDQ UPC条码贴纸 655pcs
194334/194341共用</t>
        </r>
      </text>
    </comment>
    <comment ref="T30" authorId="0">
      <text>
        <r>
          <rPr>
            <b/>
            <sz val="12"/>
            <rFont val="宋体"/>
            <charset val="134"/>
          </rPr>
          <t>Administrator:</t>
        </r>
        <r>
          <rPr>
            <sz val="12"/>
            <rFont val="宋体"/>
            <charset val="134"/>
          </rPr>
          <t xml:space="preserve">
4/9 1405332 7275pcs 华兴三楼B16</t>
        </r>
      </text>
    </comment>
    <comment ref="V30" authorId="0">
      <text>
        <r>
          <rPr>
            <b/>
            <sz val="12"/>
            <rFont val="宋体"/>
            <charset val="134"/>
          </rPr>
          <t>Administrator:</t>
        </r>
        <r>
          <rPr>
            <sz val="12"/>
            <rFont val="宋体"/>
            <charset val="134"/>
          </rPr>
          <t xml:space="preserve">
3/16 上PDQ UPC条码贴纸 655pcs
194334/194341共用</t>
        </r>
      </text>
    </comment>
    <comment ref="T31" authorId="0">
      <text>
        <r>
          <rPr>
            <b/>
            <sz val="12"/>
            <rFont val="宋体"/>
            <charset val="134"/>
          </rPr>
          <t>Administrator:</t>
        </r>
        <r>
          <rPr>
            <sz val="12"/>
            <rFont val="宋体"/>
            <charset val="134"/>
          </rPr>
          <t xml:space="preserve">
4/1 1405428 1008pcs  新仓库二楼A3
4/10 1405974 2958PCS 华兴3楼A12
4/11 1405957   36pcs 新仓库A3区</t>
        </r>
      </text>
    </comment>
    <comment ref="V31" authorId="0">
      <text>
        <r>
          <rPr>
            <b/>
            <sz val="12"/>
            <rFont val="宋体"/>
            <charset val="134"/>
          </rPr>
          <t>Administrator:</t>
        </r>
        <r>
          <rPr>
            <sz val="12"/>
            <rFont val="宋体"/>
            <charset val="134"/>
          </rPr>
          <t xml:space="preserve">
3/14 上外箱贴纸 667pcs
3/18 上客版价格贴纸 4002pcs</t>
        </r>
      </text>
    </comment>
    <comment ref="T32" authorId="0">
      <text>
        <r>
          <rPr>
            <b/>
            <sz val="12"/>
            <rFont val="宋体"/>
            <charset val="134"/>
          </rPr>
          <t>Administrator:</t>
        </r>
        <r>
          <rPr>
            <sz val="12"/>
            <rFont val="宋体"/>
            <charset val="134"/>
          </rPr>
          <t xml:space="preserve">
1405863 4/17 8750pcs 新仓库A3区</t>
        </r>
      </text>
    </comment>
    <comment ref="V32" authorId="0">
      <text>
        <r>
          <rPr>
            <b/>
            <sz val="12"/>
            <rFont val="宋体"/>
            <charset val="134"/>
          </rPr>
          <t>Administrator:</t>
        </r>
        <r>
          <rPr>
            <sz val="12"/>
            <rFont val="宋体"/>
            <charset val="134"/>
          </rPr>
          <t xml:space="preserve">
3/24 上AR警示语贴纸8750pcs</t>
        </r>
      </text>
    </comment>
    <comment ref="T33" authorId="0">
      <text>
        <r>
          <rPr>
            <b/>
            <sz val="12"/>
            <rFont val="宋体"/>
            <charset val="134"/>
          </rPr>
          <t>Administrator:</t>
        </r>
        <r>
          <rPr>
            <sz val="12"/>
            <rFont val="宋体"/>
            <charset val="134"/>
          </rPr>
          <t xml:space="preserve">
1406310 4/16 2000pcs 直走</t>
        </r>
      </text>
    </comment>
    <comment ref="T35" authorId="0">
      <text>
        <r>
          <rPr>
            <b/>
            <sz val="12"/>
            <rFont val="宋体"/>
            <charset val="134"/>
          </rPr>
          <t>Administrator:</t>
        </r>
        <r>
          <rPr>
            <sz val="12"/>
            <rFont val="宋体"/>
            <charset val="134"/>
          </rPr>
          <t xml:space="preserve">
1403776 4/18 468pcs 直走</t>
        </r>
      </text>
    </comment>
    <comment ref="T36" authorId="0">
      <text>
        <r>
          <rPr>
            <b/>
            <sz val="12"/>
            <rFont val="宋体"/>
            <charset val="134"/>
          </rPr>
          <t>Administrator:</t>
        </r>
        <r>
          <rPr>
            <sz val="12"/>
            <rFont val="宋体"/>
            <charset val="134"/>
          </rPr>
          <t xml:space="preserve">
4/29 1403712 192PCS
</t>
        </r>
      </text>
    </comment>
    <comment ref="V36" authorId="0">
      <text>
        <r>
          <rPr>
            <b/>
            <sz val="12"/>
            <rFont val="宋体"/>
            <charset val="134"/>
          </rPr>
          <t>Administrator:</t>
        </r>
        <r>
          <rPr>
            <sz val="12"/>
            <rFont val="宋体"/>
            <charset val="134"/>
          </rPr>
          <t xml:space="preserve">
.4/2上AR警示语/意大利回收标客供贴纸8750pcs</t>
        </r>
      </text>
    </comment>
    <comment ref="T37" authorId="1">
      <text>
        <r>
          <rPr>
            <b/>
            <sz val="12"/>
            <rFont val="宋体"/>
            <charset val="134"/>
          </rPr>
          <t>DELL:</t>
        </r>
        <r>
          <rPr>
            <sz val="12"/>
            <rFont val="宋体"/>
            <charset val="134"/>
          </rPr>
          <t xml:space="preserve">
1403873 4/25 6240pcs新仓库A10
1403879 4/25 9256pcs新仓库A10</t>
        </r>
      </text>
    </comment>
    <comment ref="T38" authorId="0">
      <text>
        <r>
          <rPr>
            <b/>
            <sz val="12"/>
            <rFont val="宋体"/>
            <charset val="134"/>
          </rPr>
          <t>Administrator:</t>
        </r>
        <r>
          <rPr>
            <sz val="12"/>
            <rFont val="宋体"/>
            <charset val="134"/>
          </rPr>
          <t xml:space="preserve">
1403787 4/18 10000pcs 华兴一F9</t>
        </r>
      </text>
    </comment>
    <comment ref="V38" authorId="0">
      <text>
        <r>
          <rPr>
            <b/>
            <sz val="12"/>
            <rFont val="宋体"/>
            <charset val="134"/>
          </rPr>
          <t>Administrator:</t>
        </r>
        <r>
          <rPr>
            <sz val="12"/>
            <rFont val="宋体"/>
            <charset val="134"/>
          </rPr>
          <t xml:space="preserve">
4/8 上进口商贴纸10000pcs
4/8 上UOC贴纸10000pcs
4/8 上外箱贴纸400pcs</t>
        </r>
      </text>
    </comment>
    <comment ref="T39" authorId="1">
      <text>
        <r>
          <rPr>
            <b/>
            <sz val="9"/>
            <rFont val="宋体"/>
            <charset val="134"/>
          </rPr>
          <t>DELL:</t>
        </r>
        <r>
          <rPr>
            <sz val="9"/>
            <rFont val="宋体"/>
            <charset val="134"/>
          </rPr>
          <t xml:space="preserve">
1403827 4/51 2964pcs 新仓库A4区</t>
        </r>
      </text>
    </comment>
    <comment ref="T40" authorId="1">
      <text>
        <r>
          <rPr>
            <b/>
            <sz val="9"/>
            <rFont val="宋体"/>
            <charset val="134"/>
          </rPr>
          <t>DELL:</t>
        </r>
        <r>
          <rPr>
            <sz val="9"/>
            <rFont val="宋体"/>
            <charset val="134"/>
          </rPr>
          <t xml:space="preserve">
1403827 4/21 1729pcs 新仓库A4区</t>
        </r>
      </text>
    </comment>
    <comment ref="T41" authorId="0">
      <text>
        <r>
          <rPr>
            <b/>
            <sz val="12"/>
            <rFont val="宋体"/>
            <charset val="134"/>
          </rPr>
          <t>Administrator:</t>
        </r>
        <r>
          <rPr>
            <sz val="12"/>
            <rFont val="宋体"/>
            <charset val="134"/>
          </rPr>
          <t xml:space="preserve">
1403815 4/20 45825pcs B栋4楼B9区
1403813 4/20 13125pcs 直走
1403840 4/22 21050pcs</t>
        </r>
      </text>
    </comment>
    <comment ref="V41" authorId="0">
      <text>
        <r>
          <rPr>
            <b/>
            <sz val="12"/>
            <rFont val="宋体"/>
            <charset val="134"/>
          </rPr>
          <t>Administrator:</t>
        </r>
        <r>
          <rPr>
            <sz val="12"/>
            <rFont val="宋体"/>
            <charset val="134"/>
          </rPr>
          <t xml:space="preserve">
4/1 上客供外箱贴纸 3232pcs</t>
        </r>
      </text>
    </comment>
    <comment ref="T42" authorId="1">
      <text>
        <r>
          <rPr>
            <b/>
            <sz val="12"/>
            <rFont val="宋体"/>
            <charset val="134"/>
          </rPr>
          <t>DELL:</t>
        </r>
        <r>
          <rPr>
            <sz val="12"/>
            <rFont val="宋体"/>
            <charset val="134"/>
          </rPr>
          <t xml:space="preserve">
1403869 4/24 2500pcs 华兴三A29</t>
        </r>
      </text>
    </comment>
    <comment ref="V42" authorId="0">
      <text>
        <r>
          <rPr>
            <b/>
            <sz val="12"/>
            <rFont val="宋体"/>
            <charset val="134"/>
          </rPr>
          <t>Administrator:</t>
        </r>
        <r>
          <rPr>
            <sz val="12"/>
            <rFont val="宋体"/>
            <charset val="134"/>
          </rPr>
          <t xml:space="preserve">
4/8上进口商贴纸2500pcs
4/8上UPC贴纸2500pcs</t>
        </r>
      </text>
    </comment>
    <comment ref="T43" authorId="0">
      <text>
        <r>
          <rPr>
            <sz val="9"/>
            <rFont val="宋体"/>
            <charset val="0"/>
          </rPr>
          <t>Administrator:
4/27 1403652 16250PCS新仓库</t>
        </r>
        <r>
          <rPr>
            <b/>
            <sz val="9"/>
            <rFont val="宋体"/>
            <charset val="0"/>
          </rPr>
          <t xml:space="preserve">
龙丽娟:</t>
        </r>
        <r>
          <rPr>
            <sz val="9"/>
            <rFont val="宋体"/>
            <charset val="0"/>
          </rPr>
          <t xml:space="preserve">
1403663 4/28 13175pcs</t>
        </r>
      </text>
    </comment>
    <comment ref="V43" authorId="0">
      <text>
        <r>
          <rPr>
            <b/>
            <sz val="12"/>
            <rFont val="宋体"/>
            <charset val="134"/>
          </rPr>
          <t>Administrator:</t>
        </r>
        <r>
          <rPr>
            <sz val="12"/>
            <rFont val="宋体"/>
            <charset val="134"/>
          </rPr>
          <t xml:space="preserve">
3/30上Event label贴纸1177pcs
4/1 上客供外箱贴纸1189pcs</t>
        </r>
      </text>
    </comment>
    <comment ref="T44" authorId="0">
      <text>
        <r>
          <rPr>
            <b/>
            <sz val="12"/>
            <rFont val="宋体"/>
            <charset val="134"/>
          </rPr>
          <t>Administrator:</t>
        </r>
        <r>
          <rPr>
            <sz val="12"/>
            <rFont val="宋体"/>
            <charset val="134"/>
          </rPr>
          <t xml:space="preserve">
4/27 1403652 780PCS新仓库B3</t>
        </r>
      </text>
    </comment>
    <comment ref="V44" authorId="1">
      <text>
        <r>
          <rPr>
            <b/>
            <sz val="12"/>
            <rFont val="宋体"/>
            <charset val="134"/>
          </rPr>
          <t>DELL:</t>
        </r>
        <r>
          <rPr>
            <sz val="12"/>
            <rFont val="宋体"/>
            <charset val="134"/>
          </rPr>
          <t xml:space="preserve">
4/3 上客供警语贴纸贴拆件说明书收藏指南 1030pcs
    上客供警语贴纸贴球底部 808pcs</t>
        </r>
      </text>
    </comment>
    <comment ref="T45" authorId="0">
      <text>
        <r>
          <rPr>
            <b/>
            <sz val="12"/>
            <rFont val="宋体"/>
            <charset val="134"/>
          </rPr>
          <t>Administrator:</t>
        </r>
        <r>
          <rPr>
            <sz val="12"/>
            <rFont val="宋体"/>
            <charset val="134"/>
          </rPr>
          <t xml:space="preserve">
4/28 1403769 5000pcs</t>
        </r>
      </text>
    </comment>
    <comment ref="V45" authorId="0">
      <text>
        <r>
          <rPr>
            <b/>
            <sz val="12"/>
            <rFont val="宋体"/>
            <charset val="134"/>
          </rPr>
          <t>Administrator:</t>
        </r>
        <r>
          <rPr>
            <sz val="12"/>
            <rFont val="宋体"/>
            <charset val="134"/>
          </rPr>
          <t xml:space="preserve">
4/8上进口商贴纸5000pcs
4/8上UPC贴纸5000pcs</t>
        </r>
      </text>
    </comment>
    <comment ref="T46" authorId="0">
      <text>
        <r>
          <rPr>
            <b/>
            <sz val="12"/>
            <rFont val="宋体"/>
            <charset val="134"/>
          </rPr>
          <t>Administrator:</t>
        </r>
        <r>
          <rPr>
            <sz val="12"/>
            <rFont val="宋体"/>
            <charset val="134"/>
          </rPr>
          <t xml:space="preserve">
4/28 1403769 5000pcs</t>
        </r>
        <r>
          <rPr>
            <sz val="9"/>
            <rFont val="宋体"/>
            <charset val="134"/>
          </rPr>
          <t xml:space="preserve">
</t>
        </r>
      </text>
    </comment>
    <comment ref="V46" authorId="0">
      <text>
        <r>
          <rPr>
            <b/>
            <sz val="12"/>
            <rFont val="宋体"/>
            <charset val="134"/>
          </rPr>
          <t>Administrator:</t>
        </r>
        <r>
          <rPr>
            <sz val="12"/>
            <rFont val="宋体"/>
            <charset val="134"/>
          </rPr>
          <t xml:space="preserve">
4/8上进口商贴纸600pcs
4/8上UPC贴纸600pcs</t>
        </r>
      </text>
    </comment>
    <comment ref="T47" authorId="1">
      <text>
        <r>
          <rPr>
            <b/>
            <sz val="12"/>
            <rFont val="宋体"/>
            <charset val="134"/>
          </rPr>
          <t>DELL:</t>
        </r>
        <r>
          <rPr>
            <sz val="12"/>
            <rFont val="宋体"/>
            <charset val="134"/>
          </rPr>
          <t xml:space="preserve">
1403879 4/25 5707pcs新仓库A10
1403883 4/25 4290pcs新仓库A10
</t>
        </r>
      </text>
    </comment>
    <comment ref="T48" authorId="1">
      <text>
        <r>
          <rPr>
            <b/>
            <sz val="12"/>
            <rFont val="宋体"/>
            <charset val="134"/>
          </rPr>
          <t>DELL:</t>
        </r>
        <r>
          <rPr>
            <sz val="12"/>
            <rFont val="宋体"/>
            <charset val="134"/>
          </rPr>
          <t xml:space="preserve">
1403840 4/22 9607pcs 华兴一楼3区</t>
        </r>
      </text>
    </comment>
    <comment ref="V48" authorId="0">
      <text>
        <r>
          <rPr>
            <b/>
            <sz val="12"/>
            <rFont val="宋体"/>
            <charset val="134"/>
          </rPr>
          <t>Administrator:</t>
        </r>
        <r>
          <rPr>
            <sz val="12"/>
            <rFont val="宋体"/>
            <charset val="134"/>
          </rPr>
          <t xml:space="preserve">
4/8 上多语警语折叠贴纸 9607pcs</t>
        </r>
      </text>
    </comment>
    <comment ref="T49" authorId="1">
      <text>
        <r>
          <rPr>
            <b/>
            <sz val="12"/>
            <rFont val="宋体"/>
            <charset val="134"/>
          </rPr>
          <t>DELL:</t>
        </r>
        <r>
          <rPr>
            <sz val="12"/>
            <rFont val="宋体"/>
            <charset val="134"/>
          </rPr>
          <t xml:space="preserve">
1403869 4/24 17500pcs 直走</t>
        </r>
      </text>
    </comment>
    <comment ref="T50" authorId="1">
      <text>
        <r>
          <rPr>
            <b/>
            <sz val="12"/>
            <rFont val="宋体"/>
            <charset val="134"/>
          </rPr>
          <t>DELL:</t>
        </r>
        <r>
          <rPr>
            <sz val="12"/>
            <rFont val="宋体"/>
            <charset val="134"/>
          </rPr>
          <t xml:space="preserve">
1403647 4/25 1000pcs直走</t>
        </r>
      </text>
    </comment>
    <comment ref="T51" authorId="0">
      <text>
        <r>
          <rPr>
            <b/>
            <sz val="12"/>
            <rFont val="宋体"/>
            <charset val="134"/>
          </rPr>
          <t>Administrator:</t>
        </r>
        <r>
          <rPr>
            <sz val="12"/>
            <rFont val="宋体"/>
            <charset val="134"/>
          </rPr>
          <t xml:space="preserve">
.5/8 1403414 17280pcs新仓库3-c2</t>
        </r>
      </text>
    </comment>
    <comment ref="V51" authorId="1">
      <text>
        <r>
          <rPr>
            <b/>
            <sz val="12"/>
            <rFont val="宋体"/>
            <charset val="134"/>
          </rPr>
          <t>DELL:</t>
        </r>
        <r>
          <rPr>
            <sz val="12"/>
            <rFont val="宋体"/>
            <charset val="134"/>
          </rPr>
          <t xml:space="preserve">
3/27 上客供RFID贴纸 17280pcs</t>
        </r>
      </text>
    </comment>
    <comment ref="T52" authorId="1">
      <text>
        <r>
          <rPr>
            <b/>
            <sz val="12"/>
            <rFont val="宋体"/>
            <charset val="134"/>
          </rPr>
          <t>DELL:</t>
        </r>
        <r>
          <rPr>
            <sz val="12"/>
            <rFont val="宋体"/>
            <charset val="134"/>
          </rPr>
          <t xml:space="preserve">
1403899 4/23 750pcs 新仓库二楼B3</t>
        </r>
      </text>
    </comment>
    <comment ref="V52" authorId="0">
      <text>
        <r>
          <rPr>
            <b/>
            <sz val="9"/>
            <rFont val="宋体"/>
            <charset val="134"/>
          </rPr>
          <t>Administrator:</t>
        </r>
        <r>
          <rPr>
            <sz val="9"/>
            <rFont val="宋体"/>
            <charset val="134"/>
          </rPr>
          <t xml:space="preserve">
3/24 上UPC贴纸 750pcs
</t>
        </r>
      </text>
    </comment>
    <comment ref="T53" authorId="1">
      <text>
        <r>
          <rPr>
            <b/>
            <sz val="12"/>
            <rFont val="宋体"/>
            <charset val="134"/>
          </rPr>
          <t>DELL:</t>
        </r>
        <r>
          <rPr>
            <sz val="12"/>
            <rFont val="宋体"/>
            <charset val="134"/>
          </rPr>
          <t xml:space="preserve">
1403699 4/30 4500pcs新仓库B3
</t>
        </r>
      </text>
    </comment>
    <comment ref="V53" authorId="0">
      <text>
        <r>
          <rPr>
            <b/>
            <sz val="12"/>
            <rFont val="宋体"/>
            <charset val="134"/>
          </rPr>
          <t>Administrator:</t>
        </r>
        <r>
          <rPr>
            <sz val="12"/>
            <rFont val="宋体"/>
            <charset val="134"/>
          </rPr>
          <t xml:space="preserve">
4/1 上客供外箱贴纸185pcs</t>
        </r>
      </text>
    </comment>
    <comment ref="T54" authorId="0">
      <text>
        <r>
          <rPr>
            <b/>
            <sz val="12"/>
            <rFont val="宋体"/>
            <charset val="134"/>
          </rPr>
          <t>Administrator:</t>
        </r>
        <r>
          <rPr>
            <sz val="12"/>
            <rFont val="宋体"/>
            <charset val="134"/>
          </rPr>
          <t xml:space="preserve">
5/4 1403387 624pcs</t>
        </r>
      </text>
    </comment>
    <comment ref="V54" authorId="0">
      <text>
        <r>
          <rPr>
            <b/>
            <sz val="12"/>
            <rFont val="宋体"/>
            <charset val="134"/>
          </rPr>
          <t>Administrator:</t>
        </r>
        <r>
          <rPr>
            <sz val="12"/>
            <rFont val="宋体"/>
            <charset val="134"/>
          </rPr>
          <t xml:space="preserve">
3/24 上进口商贴纸624pcs</t>
        </r>
      </text>
    </comment>
    <comment ref="T55" authorId="0">
      <text>
        <r>
          <rPr>
            <b/>
            <sz val="12"/>
            <rFont val="宋体"/>
            <charset val="134"/>
          </rPr>
          <t>Administrator:</t>
        </r>
        <r>
          <rPr>
            <sz val="12"/>
            <rFont val="宋体"/>
            <charset val="134"/>
          </rPr>
          <t xml:space="preserve">
5/4 1403387 750pcs
</t>
        </r>
      </text>
    </comment>
    <comment ref="V55" authorId="0">
      <text>
        <r>
          <rPr>
            <b/>
            <sz val="12"/>
            <rFont val="宋体"/>
            <charset val="134"/>
          </rPr>
          <t>Administrator:</t>
        </r>
        <r>
          <rPr>
            <sz val="12"/>
            <rFont val="宋体"/>
            <charset val="134"/>
          </rPr>
          <t xml:space="preserve">
3/24 上进口商贴纸750pcs</t>
        </r>
      </text>
    </comment>
    <comment ref="T56" authorId="1">
      <text>
        <r>
          <rPr>
            <b/>
            <sz val="12"/>
            <rFont val="宋体"/>
            <charset val="134"/>
          </rPr>
          <t>DELL:</t>
        </r>
        <r>
          <rPr>
            <sz val="12"/>
            <rFont val="宋体"/>
            <charset val="134"/>
          </rPr>
          <t xml:space="preserve">
1403647 4/25 6464pcs新仓库B1
1403689 4/29 16pcs新仓库B1
</t>
        </r>
      </text>
    </comment>
    <comment ref="T57" authorId="0">
      <text>
        <r>
          <rPr>
            <b/>
            <sz val="12"/>
            <rFont val="宋体"/>
            <charset val="134"/>
          </rPr>
          <t>Administrator:</t>
        </r>
        <r>
          <rPr>
            <sz val="12"/>
            <rFont val="宋体"/>
            <charset val="134"/>
          </rPr>
          <t xml:space="preserve">
DELL:
1403647 4/25 6464pcs新仓库B1
1403689 4/29 2546pcs新仓库B1
</t>
        </r>
      </text>
    </comment>
    <comment ref="V57" authorId="1">
      <text>
        <r>
          <rPr>
            <b/>
            <sz val="12"/>
            <rFont val="宋体"/>
            <charset val="134"/>
          </rPr>
          <t>DELL:</t>
        </r>
        <r>
          <rPr>
            <sz val="12"/>
            <rFont val="宋体"/>
            <charset val="134"/>
          </rPr>
          <t xml:space="preserve">
4/14 上客供亚马逊外箱贴纸 751pcs</t>
        </r>
      </text>
    </comment>
    <comment ref="T58" authorId="0">
      <text>
        <r>
          <rPr>
            <b/>
            <sz val="12"/>
            <rFont val="宋体"/>
            <charset val="134"/>
          </rPr>
          <t>Administrator:</t>
        </r>
        <r>
          <rPr>
            <sz val="12"/>
            <rFont val="宋体"/>
            <charset val="134"/>
          </rPr>
          <t xml:space="preserve">
DELL:
1403647 4/25 6464pcs新仓库B1
1403689 4/29 650pcs新仓库B1
</t>
        </r>
      </text>
    </comment>
    <comment ref="V58" authorId="1">
      <text>
        <r>
          <rPr>
            <b/>
            <sz val="12"/>
            <rFont val="宋体"/>
            <charset val="134"/>
          </rPr>
          <t>DELL:</t>
        </r>
        <r>
          <rPr>
            <sz val="12"/>
            <rFont val="宋体"/>
            <charset val="134"/>
          </rPr>
          <t xml:space="preserve">
4/14 上客供亚马逊外箱贴纸 593pcs</t>
        </r>
      </text>
    </comment>
    <comment ref="T59" authorId="0">
      <text>
        <r>
          <rPr>
            <b/>
            <sz val="12"/>
            <rFont val="宋体"/>
            <charset val="134"/>
          </rPr>
          <t>Administrator:</t>
        </r>
        <r>
          <rPr>
            <sz val="12"/>
            <rFont val="宋体"/>
            <charset val="134"/>
          </rPr>
          <t xml:space="preserve">
DELL:
1403689 4/29 7716pcs新仓库B1
</t>
        </r>
      </text>
    </comment>
    <comment ref="V59" authorId="1">
      <text>
        <r>
          <rPr>
            <b/>
            <sz val="12"/>
            <rFont val="宋体"/>
            <charset val="134"/>
          </rPr>
          <t>DELL:</t>
        </r>
        <r>
          <rPr>
            <sz val="12"/>
            <rFont val="宋体"/>
            <charset val="134"/>
          </rPr>
          <t xml:space="preserve">
4/14 上客供亚马逊外箱贴纸 622pcs</t>
        </r>
      </text>
    </comment>
    <comment ref="T60" authorId="0">
      <text>
        <r>
          <rPr>
            <b/>
            <sz val="12"/>
            <rFont val="宋体"/>
            <charset val="134"/>
          </rPr>
          <t>Administrator:</t>
        </r>
        <r>
          <rPr>
            <sz val="12"/>
            <rFont val="宋体"/>
            <charset val="134"/>
          </rPr>
          <t xml:space="preserve">
5/8 1402839 9156新B5
</t>
        </r>
      </text>
    </comment>
    <comment ref="V60" authorId="1">
      <text>
        <r>
          <rPr>
            <b/>
            <sz val="12"/>
            <rFont val="宋体"/>
            <charset val="134"/>
          </rPr>
          <t>DELL:</t>
        </r>
        <r>
          <rPr>
            <sz val="12"/>
            <rFont val="宋体"/>
            <charset val="134"/>
          </rPr>
          <t xml:space="preserve">
4/14 上客供亚马逊外箱贴纸 763pcs</t>
        </r>
      </text>
    </comment>
    <comment ref="T61" authorId="0">
      <text>
        <r>
          <rPr>
            <b/>
            <sz val="12"/>
            <rFont val="宋体"/>
            <charset val="134"/>
          </rPr>
          <t>Administrator:</t>
        </r>
        <r>
          <rPr>
            <sz val="12"/>
            <rFont val="宋体"/>
            <charset val="134"/>
          </rPr>
          <t xml:space="preserve">
5/8 1402839 7248新B5</t>
        </r>
      </text>
    </comment>
    <comment ref="V61" authorId="1">
      <text>
        <r>
          <rPr>
            <b/>
            <sz val="12"/>
            <rFont val="宋体"/>
            <charset val="134"/>
          </rPr>
          <t>DELL:</t>
        </r>
        <r>
          <rPr>
            <sz val="12"/>
            <rFont val="宋体"/>
            <charset val="134"/>
          </rPr>
          <t xml:space="preserve">
4/14 上客供亚马逊外箱贴纸 604pcs</t>
        </r>
      </text>
    </comment>
    <comment ref="T62" authorId="0">
      <text>
        <r>
          <rPr>
            <b/>
            <sz val="12"/>
            <rFont val="宋体"/>
            <charset val="134"/>
          </rPr>
          <t>Administrator:</t>
        </r>
        <r>
          <rPr>
            <sz val="12"/>
            <rFont val="宋体"/>
            <charset val="134"/>
          </rPr>
          <t xml:space="preserve">
5/4 1403383 13125pcs新仓库A7
5/5 1403765 2300新仓库A7</t>
        </r>
      </text>
    </comment>
    <comment ref="V62" authorId="1">
      <text>
        <r>
          <rPr>
            <b/>
            <sz val="12"/>
            <rFont val="宋体"/>
            <charset val="134"/>
          </rPr>
          <t>DELL:</t>
        </r>
        <r>
          <rPr>
            <sz val="12"/>
            <rFont val="宋体"/>
            <charset val="134"/>
          </rPr>
          <t xml:space="preserve">
4/13 上客供外箱条码贴纸 837pcs</t>
        </r>
      </text>
    </comment>
    <comment ref="T63" authorId="0">
      <text>
        <r>
          <rPr>
            <b/>
            <sz val="12"/>
            <rFont val="宋体"/>
            <charset val="134"/>
          </rPr>
          <t>Administrator:</t>
        </r>
        <r>
          <rPr>
            <sz val="12"/>
            <rFont val="宋体"/>
            <charset val="134"/>
          </rPr>
          <t xml:space="preserve">
4/29 1403689 50PCS新仓库c1
4/29 1403683 5450pcs新仓库c1
</t>
        </r>
      </text>
    </comment>
    <comment ref="T64" authorId="0">
      <text>
        <r>
          <rPr>
            <b/>
            <sz val="12"/>
            <rFont val="宋体"/>
            <charset val="134"/>
          </rPr>
          <t>Administrator:</t>
        </r>
        <r>
          <rPr>
            <sz val="12"/>
            <rFont val="宋体"/>
            <charset val="134"/>
          </rPr>
          <t xml:space="preserve">
5/6 1403751 1755pcs新仓库A5
</t>
        </r>
      </text>
    </comment>
    <comment ref="T65" authorId="0">
      <text>
        <r>
          <rPr>
            <b/>
            <sz val="12"/>
            <rFont val="宋体"/>
            <charset val="134"/>
          </rPr>
          <t>Administrator:</t>
        </r>
        <r>
          <rPr>
            <sz val="12"/>
            <rFont val="宋体"/>
            <charset val="134"/>
          </rPr>
          <t xml:space="preserve">
5/6 1403751 3250pcs新仓库A5
</t>
        </r>
      </text>
    </comment>
    <comment ref="T66" authorId="0">
      <text>
        <r>
          <rPr>
            <b/>
            <sz val="12"/>
            <rFont val="宋体"/>
            <charset val="134"/>
          </rPr>
          <t>Administrator:</t>
        </r>
        <r>
          <rPr>
            <sz val="12"/>
            <rFont val="宋体"/>
            <charset val="134"/>
          </rPr>
          <t xml:space="preserve">
.5/8 1403414 936pcs新仓库A5</t>
        </r>
      </text>
    </comment>
    <comment ref="T67" authorId="0">
      <text>
        <r>
          <rPr>
            <b/>
            <sz val="12"/>
            <rFont val="宋体"/>
            <charset val="134"/>
          </rPr>
          <t>Administrator:</t>
        </r>
        <r>
          <rPr>
            <sz val="12"/>
            <rFont val="宋体"/>
            <charset val="134"/>
          </rPr>
          <t xml:space="preserve">
5/6 1403757 1300PCS B4-B5</t>
        </r>
      </text>
    </comment>
    <comment ref="V67" authorId="1">
      <text>
        <r>
          <rPr>
            <b/>
            <sz val="12"/>
            <rFont val="宋体"/>
            <charset val="134"/>
          </rPr>
          <t>DELL:</t>
        </r>
        <r>
          <rPr>
            <sz val="12"/>
            <rFont val="宋体"/>
            <charset val="134"/>
          </rPr>
          <t xml:space="preserve">
4/11 上进口商贴纸 1300pcs</t>
        </r>
      </text>
    </comment>
    <comment ref="T68" authorId="0">
      <text>
        <r>
          <rPr>
            <b/>
            <sz val="12"/>
            <rFont val="宋体"/>
            <charset val="134"/>
          </rPr>
          <t>Administrator:</t>
        </r>
        <r>
          <rPr>
            <sz val="12"/>
            <rFont val="宋体"/>
            <charset val="134"/>
          </rPr>
          <t xml:space="preserve">
5/8 1402839 28875新B5</t>
        </r>
      </text>
    </comment>
    <comment ref="V68" authorId="1">
      <text>
        <r>
          <rPr>
            <b/>
            <sz val="12"/>
            <rFont val="宋体"/>
            <charset val="134"/>
          </rPr>
          <t>DELL:</t>
        </r>
        <r>
          <rPr>
            <sz val="12"/>
            <rFont val="宋体"/>
            <charset val="134"/>
          </rPr>
          <t xml:space="preserve">
4/13 上客供外箱条码贴纸 1167pcs</t>
        </r>
      </text>
    </comment>
    <comment ref="T69" authorId="0">
      <text>
        <r>
          <rPr>
            <b/>
            <sz val="12"/>
            <rFont val="宋体"/>
            <charset val="134"/>
          </rPr>
          <t>Administrator:</t>
        </r>
        <r>
          <rPr>
            <sz val="12"/>
            <rFont val="宋体"/>
            <charset val="134"/>
          </rPr>
          <t xml:space="preserve">
5/5 1403765 1500pcs B4-B5</t>
        </r>
      </text>
    </comment>
    <comment ref="V69" authorId="1">
      <text>
        <r>
          <rPr>
            <b/>
            <sz val="12"/>
            <rFont val="宋体"/>
            <charset val="134"/>
          </rPr>
          <t>DELL:</t>
        </r>
        <r>
          <rPr>
            <sz val="12"/>
            <rFont val="宋体"/>
            <charset val="134"/>
          </rPr>
          <t xml:space="preserve">
4/14 上UPC贴纸 1500pcs
     上进口商贴纸 1500pcs</t>
        </r>
      </text>
    </comment>
    <comment ref="T70" authorId="0">
      <text>
        <r>
          <rPr>
            <b/>
            <sz val="12"/>
            <rFont val="宋体"/>
            <charset val="134"/>
          </rPr>
          <t>Administrator:</t>
        </r>
        <r>
          <rPr>
            <sz val="12"/>
            <rFont val="宋体"/>
            <charset val="134"/>
          </rPr>
          <t xml:space="preserve">
5/6 1403757 5000PCSB4-B5
</t>
        </r>
      </text>
    </comment>
    <comment ref="V70" authorId="0">
      <text>
        <r>
          <rPr>
            <b/>
            <sz val="12"/>
            <rFont val="宋体"/>
            <charset val="134"/>
          </rPr>
          <t>Administrator:</t>
        </r>
        <r>
          <rPr>
            <sz val="12"/>
            <rFont val="宋体"/>
            <charset val="134"/>
          </rPr>
          <t xml:space="preserve">
4/20 上UPC贴纸 5000pcs</t>
        </r>
      </text>
    </comment>
    <comment ref="T71" authorId="0">
      <text>
        <r>
          <rPr>
            <b/>
            <sz val="12"/>
            <rFont val="宋体"/>
            <charset val="134"/>
          </rPr>
          <t>Administrator:</t>
        </r>
        <r>
          <rPr>
            <sz val="12"/>
            <rFont val="宋体"/>
            <charset val="134"/>
          </rPr>
          <t xml:space="preserve">
5/9 1403457  14400pcs新3-c3</t>
        </r>
      </text>
    </comment>
    <comment ref="V71" authorId="1">
      <text>
        <r>
          <rPr>
            <b/>
            <sz val="12"/>
            <rFont val="宋体"/>
            <charset val="134"/>
          </rPr>
          <t>DELL:</t>
        </r>
        <r>
          <rPr>
            <sz val="12"/>
            <rFont val="宋体"/>
            <charset val="134"/>
          </rPr>
          <t xml:space="preserve">
4/8 上客供RFID贴纸 14400pcs</t>
        </r>
      </text>
    </comment>
    <comment ref="T72" authorId="0">
      <text>
        <r>
          <rPr>
            <b/>
            <sz val="12"/>
            <rFont val="宋体"/>
            <charset val="134"/>
          </rPr>
          <t>Administrator:</t>
        </r>
        <r>
          <rPr>
            <sz val="12"/>
            <rFont val="宋体"/>
            <charset val="134"/>
          </rPr>
          <t xml:space="preserve">
5/13 1403514 1248PCS 华兴一楼A1-C7</t>
        </r>
      </text>
    </comment>
    <comment ref="T73" authorId="0">
      <text>
        <r>
          <rPr>
            <b/>
            <sz val="12"/>
            <rFont val="宋体"/>
            <charset val="134"/>
          </rPr>
          <t>Administrator:</t>
        </r>
        <r>
          <rPr>
            <sz val="12"/>
            <rFont val="宋体"/>
            <charset val="134"/>
          </rPr>
          <t xml:space="preserve">
5/6 1403757 1164PCS B4-B5
</t>
        </r>
      </text>
    </comment>
    <comment ref="T74" authorId="0">
      <text>
        <r>
          <rPr>
            <b/>
            <sz val="12"/>
            <rFont val="宋体"/>
            <charset val="134"/>
          </rPr>
          <t>Administrator:</t>
        </r>
        <r>
          <rPr>
            <sz val="12"/>
            <rFont val="宋体"/>
            <charset val="134"/>
          </rPr>
          <t xml:space="preserve">
5/8 1403414 28525pcs 新仓库B13</t>
        </r>
      </text>
    </comment>
    <comment ref="V74" authorId="1">
      <text>
        <r>
          <rPr>
            <b/>
            <sz val="12"/>
            <rFont val="宋体"/>
            <charset val="134"/>
          </rPr>
          <t>DELL:</t>
        </r>
        <r>
          <rPr>
            <sz val="12"/>
            <rFont val="宋体"/>
            <charset val="134"/>
          </rPr>
          <t xml:space="preserve">
4/25 上客供外箱条码贴纸 1153pcs</t>
        </r>
      </text>
    </comment>
    <comment ref="AK74" authorId="0">
      <text>
        <r>
          <rPr>
            <b/>
            <sz val="12"/>
            <rFont val="宋体"/>
            <charset val="134"/>
          </rPr>
          <t>Administrator:</t>
        </r>
        <r>
          <rPr>
            <sz val="12"/>
            <rFont val="宋体"/>
            <charset val="134"/>
          </rPr>
          <t xml:space="preserve">
5/8 1403414 28525pcs新仓库B13</t>
        </r>
      </text>
    </comment>
    <comment ref="T75" authorId="1">
      <text>
        <r>
          <rPr>
            <b/>
            <sz val="12"/>
            <rFont val="宋体"/>
            <charset val="134"/>
          </rPr>
          <t>DELL:</t>
        </r>
        <r>
          <rPr>
            <sz val="12"/>
            <rFont val="宋体"/>
            <charset val="134"/>
          </rPr>
          <t xml:space="preserve">
3001838 4/25 456pcs
3001907 5/4 1176
3001933 5/5 999pcs
3001944 5/61529pcs</t>
        </r>
      </text>
    </comment>
    <comment ref="T76" authorId="0">
      <text>
        <r>
          <rPr>
            <b/>
            <sz val="9"/>
            <rFont val="宋体"/>
            <charset val="134"/>
          </rPr>
          <t>Administrator:</t>
        </r>
        <r>
          <rPr>
            <sz val="9"/>
            <rFont val="宋体"/>
            <charset val="134"/>
          </rPr>
          <t xml:space="preserve">
</t>
        </r>
      </text>
    </comment>
    <comment ref="V76" authorId="0">
      <text>
        <r>
          <rPr>
            <b/>
            <sz val="12"/>
            <rFont val="宋体"/>
            <charset val="134"/>
          </rPr>
          <t>Administrator:</t>
        </r>
        <r>
          <rPr>
            <sz val="12"/>
            <rFont val="宋体"/>
            <charset val="134"/>
          </rPr>
          <t xml:space="preserve">
4/21 上警语贴纸 1365pcs</t>
        </r>
      </text>
    </comment>
    <comment ref="T77" authorId="0">
      <text>
        <r>
          <rPr>
            <b/>
            <sz val="9"/>
            <rFont val="宋体"/>
            <charset val="134"/>
          </rPr>
          <t>Administrator:</t>
        </r>
        <r>
          <rPr>
            <sz val="9"/>
            <rFont val="宋体"/>
            <charset val="134"/>
          </rPr>
          <t xml:space="preserve">
</t>
        </r>
      </text>
    </comment>
    <comment ref="T78" authorId="0">
      <text>
        <r>
          <rPr>
            <b/>
            <sz val="12"/>
            <rFont val="宋体"/>
            <charset val="134"/>
          </rPr>
          <t>Administrator:</t>
        </r>
        <r>
          <rPr>
            <sz val="12"/>
            <rFont val="宋体"/>
            <charset val="134"/>
          </rPr>
          <t xml:space="preserve">
5/12 1403457 17792pcs新仓库b3
</t>
        </r>
      </text>
    </comment>
    <comment ref="V78" authorId="1">
      <text>
        <r>
          <rPr>
            <b/>
            <sz val="12"/>
            <rFont val="宋体"/>
            <charset val="134"/>
          </rPr>
          <t>DELL:</t>
        </r>
        <r>
          <rPr>
            <sz val="12"/>
            <rFont val="宋体"/>
            <charset val="134"/>
          </rPr>
          <t xml:space="preserve">
4/22 上粉色艾利贴纸 2092pcs
3/27 上客供RFID贴纸 17792pcs</t>
        </r>
      </text>
    </comment>
    <comment ref="T79" authorId="0">
      <text>
        <r>
          <rPr>
            <b/>
            <sz val="12"/>
            <rFont val="宋体"/>
            <charset val="134"/>
          </rPr>
          <t>Administrator:</t>
        </r>
        <r>
          <rPr>
            <sz val="12"/>
            <rFont val="宋体"/>
            <charset val="134"/>
          </rPr>
          <t xml:space="preserve">
5/9 1403457 15680pcs新3-c3</t>
        </r>
      </text>
    </comment>
    <comment ref="V79" authorId="1">
      <text>
        <r>
          <rPr>
            <b/>
            <sz val="12"/>
            <rFont val="宋体"/>
            <charset val="134"/>
          </rPr>
          <t>DELL:</t>
        </r>
        <r>
          <rPr>
            <sz val="12"/>
            <rFont val="宋体"/>
            <charset val="134"/>
          </rPr>
          <t xml:space="preserve">
4/22 上粉色艾利贴纸 2092pcs
3/27 上客供RFID贴纸 15680pcs
</t>
        </r>
      </text>
    </comment>
    <comment ref="T80" authorId="0">
      <text>
        <r>
          <rPr>
            <b/>
            <sz val="12"/>
            <rFont val="宋体"/>
            <charset val="134"/>
          </rPr>
          <t>Administrator:</t>
        </r>
        <r>
          <rPr>
            <sz val="12"/>
            <rFont val="宋体"/>
            <charset val="134"/>
          </rPr>
          <t xml:space="preserve">
5/11 1403491 5239pcs新B6</t>
        </r>
      </text>
    </comment>
    <comment ref="V80" authorId="1">
      <text>
        <r>
          <rPr>
            <b/>
            <sz val="12"/>
            <rFont val="宋体"/>
            <charset val="134"/>
          </rPr>
          <t>DELL:</t>
        </r>
        <r>
          <rPr>
            <sz val="12"/>
            <rFont val="宋体"/>
            <charset val="134"/>
          </rPr>
          <t xml:space="preserve">
4/25 上外箱贴纸 403pcs
</t>
        </r>
      </text>
    </comment>
    <comment ref="T81" authorId="0">
      <text>
        <r>
          <rPr>
            <b/>
            <sz val="12"/>
            <rFont val="宋体"/>
            <charset val="134"/>
          </rPr>
          <t>Administrator:</t>
        </r>
        <r>
          <rPr>
            <sz val="12"/>
            <rFont val="宋体"/>
            <charset val="134"/>
          </rPr>
          <t xml:space="preserve">
5/12 1403497 15360pcs新3-c3</t>
        </r>
      </text>
    </comment>
    <comment ref="V81" authorId="1">
      <text>
        <r>
          <rPr>
            <b/>
            <sz val="12"/>
            <rFont val="宋体"/>
            <charset val="134"/>
          </rPr>
          <t>DELL:</t>
        </r>
        <r>
          <rPr>
            <sz val="12"/>
            <rFont val="宋体"/>
            <charset val="134"/>
          </rPr>
          <t xml:space="preserve">
4/8 上客供RFID贴纸 15360pcs</t>
        </r>
      </text>
    </comment>
    <comment ref="T82" authorId="0">
      <text>
        <r>
          <rPr>
            <b/>
            <sz val="12"/>
            <rFont val="宋体"/>
            <charset val="134"/>
          </rPr>
          <t>Administrator:</t>
        </r>
        <r>
          <rPr>
            <sz val="12"/>
            <rFont val="宋体"/>
            <charset val="134"/>
          </rPr>
          <t xml:space="preserve">
5/12 1403497 10560 pcs新3 -c3</t>
        </r>
      </text>
    </comment>
    <comment ref="V82" authorId="1">
      <text>
        <r>
          <rPr>
            <b/>
            <sz val="12"/>
            <rFont val="宋体"/>
            <charset val="134"/>
          </rPr>
          <t>DELL:</t>
        </r>
        <r>
          <rPr>
            <sz val="12"/>
            <rFont val="宋体"/>
            <charset val="134"/>
          </rPr>
          <t xml:space="preserve">
4/8 上客供RFID贴纸 10560pcs</t>
        </r>
      </text>
    </comment>
    <comment ref="V83" authorId="0">
      <text>
        <r>
          <rPr>
            <b/>
            <sz val="12"/>
            <rFont val="宋体"/>
            <charset val="134"/>
          </rPr>
          <t>Administrator:</t>
        </r>
        <r>
          <rPr>
            <sz val="12"/>
            <rFont val="宋体"/>
            <charset val="134"/>
          </rPr>
          <t xml:space="preserve">
3/16 上白色防盗贴纸 585pcs
3/23 上Kmart外箱贴纸4*4 45pcs
4/11 上PDQ贴纸52*52mm 1241pcs
4500193541/4500193539共用
4/11 上PDQ贴纸50*38mm 2482pcs
4500193541/4500193539共用
4/11 上收藏指南贴纸40*40mm16133pcs
4500193541/4500193539共用
4/11 上收藏指南贴29*29mmmm32266pcs
4500193541/4500193539共用
4/18上kmart外箱贴纸45pcs
4/18上sscc外箱贴纸116pcs</t>
        </r>
      </text>
    </comment>
    <comment ref="V84" authorId="0">
      <text>
        <r>
          <rPr>
            <b/>
            <sz val="12"/>
            <rFont val="宋体"/>
            <charset val="134"/>
          </rPr>
          <t>Administrator:</t>
        </r>
        <r>
          <rPr>
            <sz val="12"/>
            <rFont val="宋体"/>
            <charset val="134"/>
          </rPr>
          <t xml:space="preserve">
3/16 上白色防盗贴纸 7293pcs
3/23 上Kmart外箱贴纸4*4 561pcs
4/11 上PDQ贴纸52*52mm 1241pcs
4500193541/4500193539共用
4/11 上PDQ贴纸50*38mm 2482pcs
4500193541/4500193539共用
4/11 上收藏指南贴纸40*40mm16133pcs
4500193541/4500193539共用
4/11 上收藏指南贴29*29mmmm32266pcs
4500193541/4500193539共用
5/13上外箱贴纸561
</t>
        </r>
      </text>
    </comment>
    <comment ref="T85" authorId="0">
      <text>
        <r>
          <rPr>
            <b/>
            <sz val="12"/>
            <rFont val="宋体"/>
            <charset val="134"/>
          </rPr>
          <t>Administrator:</t>
        </r>
        <r>
          <rPr>
            <sz val="12"/>
            <rFont val="宋体"/>
            <charset val="134"/>
          </rPr>
          <t xml:space="preserve">
5/5 1403765 1416pcs</t>
        </r>
      </text>
    </comment>
    <comment ref="V85" authorId="0">
      <text>
        <r>
          <rPr>
            <b/>
            <sz val="12"/>
            <rFont val="宋体"/>
            <charset val="134"/>
          </rPr>
          <t>Administrator:</t>
        </r>
        <r>
          <rPr>
            <sz val="12"/>
            <rFont val="宋体"/>
            <charset val="134"/>
          </rPr>
          <t xml:space="preserve">
3/16 上白色防盗贴纸 1417pcs
4/14 上Kmart贴纸109pcs
5/13上外箱贴纸109pcs</t>
        </r>
      </text>
    </comment>
    <comment ref="T86" authorId="0">
      <text>
        <r>
          <rPr>
            <b/>
            <sz val="9"/>
            <rFont val="宋体"/>
            <charset val="134"/>
          </rPr>
          <t>Administrator:</t>
        </r>
        <r>
          <rPr>
            <sz val="9"/>
            <rFont val="宋体"/>
            <charset val="134"/>
          </rPr>
          <t xml:space="preserve">
</t>
        </r>
      </text>
    </comment>
    <comment ref="T87" authorId="0">
      <text>
        <r>
          <rPr>
            <b/>
            <sz val="12"/>
            <rFont val="宋体"/>
            <charset val="134"/>
          </rPr>
          <t>Administrator:</t>
        </r>
        <r>
          <rPr>
            <sz val="12"/>
            <rFont val="宋体"/>
            <charset val="134"/>
          </rPr>
          <t xml:space="preserve">
5/15 1403537 13440pcs新b17</t>
        </r>
      </text>
    </comment>
    <comment ref="V87" authorId="1">
      <text>
        <r>
          <rPr>
            <b/>
            <sz val="9"/>
            <rFont val="宋体"/>
            <charset val="134"/>
          </rPr>
          <t>DELL:</t>
        </r>
        <r>
          <rPr>
            <sz val="9"/>
            <rFont val="宋体"/>
            <charset val="134"/>
          </rPr>
          <t xml:space="preserve">
4/27 上粉色艾利贴纸 5738pcs
196506/196505/196504共用</t>
        </r>
      </text>
    </comment>
    <comment ref="T88" authorId="0">
      <text>
        <r>
          <rPr>
            <b/>
            <sz val="12"/>
            <rFont val="宋体"/>
            <charset val="134"/>
          </rPr>
          <t>Administrator:</t>
        </r>
        <r>
          <rPr>
            <sz val="12"/>
            <rFont val="宋体"/>
            <charset val="134"/>
          </rPr>
          <t xml:space="preserve">
5/15 1403543 21056pcs新b10</t>
        </r>
      </text>
    </comment>
    <comment ref="V88" authorId="1">
      <text>
        <r>
          <rPr>
            <b/>
            <sz val="9"/>
            <rFont val="宋体"/>
            <charset val="134"/>
          </rPr>
          <t>DELL:</t>
        </r>
        <r>
          <rPr>
            <sz val="9"/>
            <rFont val="宋体"/>
            <charset val="134"/>
          </rPr>
          <t xml:space="preserve">
4/27 上粉色艾利贴纸 5738pcs
196506/196505/196504共用</t>
        </r>
      </text>
    </comment>
    <comment ref="T89" authorId="0">
      <text>
        <r>
          <rPr>
            <b/>
            <sz val="9"/>
            <rFont val="宋体"/>
            <charset val="134"/>
          </rPr>
          <t>Administrator:</t>
        </r>
        <r>
          <rPr>
            <sz val="9"/>
            <rFont val="宋体"/>
            <charset val="134"/>
          </rPr>
          <t xml:space="preserve">
</t>
        </r>
      </text>
    </comment>
    <comment ref="T90" authorId="0">
      <text>
        <r>
          <rPr>
            <b/>
            <sz val="9"/>
            <rFont val="宋体"/>
            <charset val="134"/>
          </rPr>
          <t>Administrator:</t>
        </r>
        <r>
          <rPr>
            <sz val="9"/>
            <rFont val="宋体"/>
            <charset val="134"/>
          </rPr>
          <t xml:space="preserve">
</t>
        </r>
      </text>
    </comment>
    <comment ref="T91" authorId="0">
      <text>
        <r>
          <rPr>
            <b/>
            <sz val="9"/>
            <rFont val="宋体"/>
            <charset val="134"/>
          </rPr>
          <t>Administrator:</t>
        </r>
        <r>
          <rPr>
            <sz val="9"/>
            <rFont val="宋体"/>
            <charset val="134"/>
          </rPr>
          <t xml:space="preserve">
</t>
        </r>
      </text>
    </comment>
    <comment ref="T92" authorId="0">
      <text>
        <r>
          <rPr>
            <b/>
            <sz val="12"/>
            <rFont val="宋体"/>
            <charset val="134"/>
          </rPr>
          <t>Administrator:</t>
        </r>
        <r>
          <rPr>
            <sz val="12"/>
            <rFont val="宋体"/>
            <charset val="134"/>
          </rPr>
          <t xml:space="preserve">
5/14 1405884 3840pcs新仓库B1</t>
        </r>
      </text>
    </comment>
    <comment ref="T93" authorId="0">
      <text>
        <r>
          <rPr>
            <b/>
            <sz val="9"/>
            <rFont val="宋体"/>
            <charset val="134"/>
          </rPr>
          <t>Administrator:</t>
        </r>
        <r>
          <rPr>
            <sz val="9"/>
            <rFont val="宋体"/>
            <charset val="134"/>
          </rPr>
          <t xml:space="preserve">
</t>
        </r>
      </text>
    </comment>
    <comment ref="V93" authorId="0">
      <text>
        <r>
          <rPr>
            <b/>
            <sz val="12"/>
            <rFont val="宋体"/>
            <charset val="134"/>
          </rPr>
          <t xml:space="preserve">Administrator
5/7 上客供亚马逊外箱贴纸144pcs
</t>
        </r>
      </text>
    </comment>
    <comment ref="T94" authorId="0">
      <text>
        <r>
          <rPr>
            <b/>
            <sz val="9"/>
            <rFont val="宋体"/>
            <charset val="134"/>
          </rPr>
          <t>Administrator:</t>
        </r>
        <r>
          <rPr>
            <sz val="9"/>
            <rFont val="宋体"/>
            <charset val="134"/>
          </rPr>
          <t xml:space="preserve">
</t>
        </r>
      </text>
    </comment>
    <comment ref="V94" authorId="0">
      <text>
        <r>
          <rPr>
            <b/>
            <sz val="12"/>
            <rFont val="宋体"/>
            <charset val="134"/>
          </rPr>
          <t xml:space="preserve">Administrator
5/7 上客供亚马逊外箱贴纸262pcs
</t>
        </r>
      </text>
    </comment>
    <comment ref="T95" authorId="0">
      <text>
        <r>
          <rPr>
            <b/>
            <sz val="9"/>
            <rFont val="宋体"/>
            <charset val="134"/>
          </rPr>
          <t>Administrator:</t>
        </r>
        <r>
          <rPr>
            <sz val="9"/>
            <rFont val="宋体"/>
            <charset val="134"/>
          </rPr>
          <t xml:space="preserve">
</t>
        </r>
      </text>
    </comment>
    <comment ref="V95" authorId="0">
      <text>
        <r>
          <rPr>
            <b/>
            <sz val="12"/>
            <rFont val="宋体"/>
            <charset val="134"/>
          </rPr>
          <t xml:space="preserve">Administrator
5/7 上客供亚马逊外箱贴纸119pcs
</t>
        </r>
      </text>
    </comment>
    <comment ref="T96" authorId="0">
      <text>
        <r>
          <rPr>
            <b/>
            <sz val="9"/>
            <rFont val="宋体"/>
            <charset val="134"/>
          </rPr>
          <t>Administrator:</t>
        </r>
        <r>
          <rPr>
            <sz val="9"/>
            <rFont val="宋体"/>
            <charset val="134"/>
          </rPr>
          <t xml:space="preserve">
</t>
        </r>
      </text>
    </comment>
    <comment ref="V96" authorId="0">
      <text>
        <r>
          <rPr>
            <b/>
            <sz val="12"/>
            <rFont val="宋体"/>
            <charset val="134"/>
          </rPr>
          <t xml:space="preserve">Administrator
5/7 上客供亚马逊外箱贴纸116pcs
</t>
        </r>
      </text>
    </comment>
    <comment ref="T97" authorId="0">
      <text>
        <r>
          <rPr>
            <b/>
            <sz val="9"/>
            <rFont val="宋体"/>
            <charset val="134"/>
          </rPr>
          <t>Administrator:</t>
        </r>
        <r>
          <rPr>
            <sz val="9"/>
            <rFont val="宋体"/>
            <charset val="134"/>
          </rPr>
          <t xml:space="preserve">
</t>
        </r>
      </text>
    </comment>
    <comment ref="T98" authorId="0">
      <text>
        <r>
          <rPr>
            <b/>
            <sz val="9"/>
            <rFont val="宋体"/>
            <charset val="134"/>
          </rPr>
          <t>Administrator:</t>
        </r>
        <r>
          <rPr>
            <sz val="9"/>
            <rFont val="宋体"/>
            <charset val="134"/>
          </rPr>
          <t xml:space="preserve">
</t>
        </r>
      </text>
    </comment>
    <comment ref="S99" authorId="0">
      <text>
        <r>
          <rPr>
            <b/>
            <sz val="12"/>
            <rFont val="宋体"/>
            <charset val="134"/>
          </rPr>
          <t xml:space="preserve">Administrator:
</t>
        </r>
        <r>
          <rPr>
            <sz val="12"/>
            <rFont val="宋体"/>
            <charset val="134"/>
          </rPr>
          <t>5/21 1403269 4160pcs</t>
        </r>
      </text>
    </comment>
    <comment ref="T99" authorId="0">
      <text>
        <r>
          <rPr>
            <b/>
            <sz val="12"/>
            <rFont val="宋体"/>
            <charset val="134"/>
          </rPr>
          <t>Administrator:</t>
        </r>
        <r>
          <rPr>
            <sz val="12"/>
            <rFont val="宋体"/>
            <charset val="134"/>
          </rPr>
          <t xml:space="preserve">
5/21 1403269 4160pcs</t>
        </r>
      </text>
    </comment>
    <comment ref="T100" authorId="0">
      <text>
        <r>
          <rPr>
            <b/>
            <sz val="12"/>
            <rFont val="宋体"/>
            <charset val="134"/>
          </rPr>
          <t>Administrator:</t>
        </r>
        <r>
          <rPr>
            <sz val="12"/>
            <rFont val="宋体"/>
            <charset val="134"/>
          </rPr>
          <t xml:space="preserve">
5/22 1403313 25950pcs新B12</t>
        </r>
      </text>
    </comment>
    <comment ref="V100" authorId="0">
      <text>
        <r>
          <rPr>
            <b/>
            <sz val="12"/>
            <rFont val="宋体"/>
            <charset val="134"/>
          </rPr>
          <t>Administrator:</t>
        </r>
        <r>
          <rPr>
            <sz val="12"/>
            <rFont val="宋体"/>
            <charset val="134"/>
          </rPr>
          <t xml:space="preserve">
5/7 上客供外箱条码贴纸 1049pcs</t>
        </r>
      </text>
    </comment>
    <comment ref="T101" authorId="0">
      <text>
        <r>
          <rPr>
            <b/>
            <sz val="12"/>
            <rFont val="宋体"/>
            <charset val="134"/>
          </rPr>
          <t>Administrator:</t>
        </r>
        <r>
          <rPr>
            <sz val="12"/>
            <rFont val="宋体"/>
            <charset val="134"/>
          </rPr>
          <t xml:space="preserve">
5/22 1403313 41125pcs新B12
</t>
        </r>
      </text>
    </comment>
    <comment ref="V101" authorId="0">
      <text>
        <r>
          <rPr>
            <b/>
            <sz val="12"/>
            <rFont val="宋体"/>
            <charset val="134"/>
          </rPr>
          <t>Administrator:</t>
        </r>
        <r>
          <rPr>
            <sz val="12"/>
            <rFont val="宋体"/>
            <charset val="134"/>
          </rPr>
          <t xml:space="preserve">
5/7 上客供外箱条码贴纸 1662pcs</t>
        </r>
      </text>
    </comment>
    <comment ref="T103" authorId="0">
      <text>
        <r>
          <rPr>
            <b/>
            <sz val="12"/>
            <rFont val="宋体"/>
            <charset val="134"/>
          </rPr>
          <t>Administrator:</t>
        </r>
        <r>
          <rPr>
            <sz val="12"/>
            <rFont val="宋体"/>
            <charset val="134"/>
          </rPr>
          <t xml:space="preserve">
5/21 1403296 8000pcs</t>
        </r>
      </text>
    </comment>
    <comment ref="V103" authorId="0">
      <text>
        <r>
          <rPr>
            <b/>
            <sz val="12"/>
            <rFont val="宋体"/>
            <charset val="134"/>
          </rPr>
          <t>Administrator:</t>
        </r>
        <r>
          <rPr>
            <sz val="12"/>
            <rFont val="宋体"/>
            <charset val="134"/>
          </rPr>
          <t xml:space="preserve">
3/19 上客人通用进口商贴纸5000pcs
5/6 上PDQ唱片贴纸240pcs
5/6上PDQ上数字贴纸120pcs
5/6上收藏指南上数字贴纸3000pcs
5/6 上收藏指南唱片贴纸6000pcs
5/20 上客人通用进口商贴纸5000pcs
</t>
        </r>
      </text>
    </comment>
    <comment ref="T104" authorId="0">
      <text>
        <r>
          <rPr>
            <b/>
            <sz val="9"/>
            <rFont val="宋体"/>
            <charset val="134"/>
          </rPr>
          <t>Administrator:</t>
        </r>
        <r>
          <rPr>
            <sz val="9"/>
            <rFont val="宋体"/>
            <charset val="134"/>
          </rPr>
          <t xml:space="preserve">
5/20 1405821 8750pcs</t>
        </r>
      </text>
    </comment>
    <comment ref="V104" authorId="1">
      <text>
        <r>
          <rPr>
            <b/>
            <sz val="12"/>
            <rFont val="宋体"/>
            <charset val="134"/>
          </rPr>
          <t>DELL:</t>
        </r>
        <r>
          <rPr>
            <sz val="12"/>
            <rFont val="宋体"/>
            <charset val="134"/>
          </rPr>
          <t xml:space="preserve">
4/24 上多语警语折叠贴纸 850pcs</t>
        </r>
      </text>
    </comment>
    <comment ref="T105" authorId="0">
      <text>
        <r>
          <rPr>
            <sz val="9"/>
            <rFont val="宋体"/>
            <charset val="134"/>
          </rPr>
          <t xml:space="preserve">Administrator:
</t>
        </r>
        <r>
          <rPr>
            <b/>
            <sz val="9"/>
            <rFont val="宋体"/>
            <charset val="134"/>
          </rPr>
          <t xml:space="preserve">
龙丽娟:</t>
        </r>
        <r>
          <rPr>
            <sz val="9"/>
            <rFont val="宋体"/>
            <charset val="134"/>
          </rPr>
          <t xml:space="preserve">
5/27 280021 24672pcs新2a14</t>
        </r>
      </text>
    </comment>
    <comment ref="V105" authorId="1">
      <text>
        <r>
          <rPr>
            <b/>
            <sz val="9"/>
            <rFont val="宋体"/>
            <charset val="134"/>
          </rPr>
          <t>DELL:</t>
        </r>
        <r>
          <rPr>
            <sz val="9"/>
            <rFont val="宋体"/>
            <charset val="134"/>
          </rPr>
          <t xml:space="preserve">
4/27 上粉色艾利贴纸 5738pcs
196506/196505/196504共用</t>
        </r>
      </text>
    </comment>
    <comment ref="T106" authorId="2">
      <text>
        <r>
          <rPr>
            <b/>
            <sz val="9"/>
            <rFont val="宋体"/>
            <charset val="134"/>
          </rPr>
          <t>龙丽娟:</t>
        </r>
        <r>
          <rPr>
            <sz val="9"/>
            <rFont val="宋体"/>
            <charset val="134"/>
          </rPr>
          <t xml:space="preserve">
197340 5/27 14400pcsB栋4楼-B9</t>
        </r>
      </text>
    </comment>
    <comment ref="T107" authorId="0">
      <text>
        <r>
          <rPr>
            <b/>
            <sz val="12"/>
            <rFont val="宋体"/>
            <charset val="134"/>
          </rPr>
          <t>Administrator:</t>
        </r>
        <r>
          <rPr>
            <sz val="12"/>
            <rFont val="宋体"/>
            <charset val="134"/>
          </rPr>
          <t xml:space="preserve">
5/23 1403357 11520pcs</t>
        </r>
      </text>
    </comment>
    <comment ref="T108" authorId="2">
      <text>
        <r>
          <rPr>
            <b/>
            <sz val="9"/>
            <rFont val="宋体"/>
            <charset val="134"/>
          </rPr>
          <t>龙丽娟:</t>
        </r>
        <r>
          <rPr>
            <sz val="9"/>
            <rFont val="宋体"/>
            <charset val="134"/>
          </rPr>
          <t xml:space="preserve">
5/25 1403331 3000pcs新2B7</t>
        </r>
      </text>
    </comment>
    <comment ref="T109" authorId="0">
      <text>
        <r>
          <rPr>
            <b/>
            <sz val="12"/>
            <rFont val="宋体"/>
            <charset val="134"/>
          </rPr>
          <t>Administrator:</t>
        </r>
        <r>
          <rPr>
            <sz val="12"/>
            <rFont val="宋体"/>
            <charset val="134"/>
          </rPr>
          <t xml:space="preserve">
5/23 1403365 7664pcs</t>
        </r>
      </text>
    </comment>
    <comment ref="T110" authorId="0">
      <text>
        <r>
          <rPr>
            <sz val="9"/>
            <rFont val="宋体"/>
            <charset val="134"/>
          </rPr>
          <t xml:space="preserve">Administrator:
</t>
        </r>
        <r>
          <rPr>
            <b/>
            <sz val="9"/>
            <rFont val="宋体"/>
            <charset val="134"/>
          </rPr>
          <t xml:space="preserve">
龙丽娟:</t>
        </r>
        <r>
          <rPr>
            <sz val="9"/>
            <rFont val="宋体"/>
            <charset val="134"/>
          </rPr>
          <t xml:space="preserve">
5/27 3002532 4320PCS</t>
        </r>
      </text>
    </comment>
    <comment ref="T111" authorId="2">
      <text>
        <r>
          <rPr>
            <b/>
            <sz val="9"/>
            <rFont val="宋体"/>
            <charset val="134"/>
          </rPr>
          <t>龙丽娟:</t>
        </r>
        <r>
          <rPr>
            <sz val="9"/>
            <rFont val="宋体"/>
            <charset val="134"/>
          </rPr>
          <t xml:space="preserve">
5/29 2800077 12064pcs应兴B4</t>
        </r>
      </text>
    </comment>
    <comment ref="T112" authorId="0">
      <text>
        <r>
          <rPr>
            <b/>
            <sz val="12"/>
            <rFont val="宋体"/>
            <charset val="134"/>
          </rPr>
          <t>Administrator:</t>
        </r>
        <r>
          <rPr>
            <sz val="12"/>
            <rFont val="宋体"/>
            <charset val="134"/>
          </rPr>
          <t xml:space="preserve">
5/22 1403313 1680pcs 新B4
</t>
        </r>
      </text>
    </comment>
    <comment ref="V112" authorId="0">
      <text>
        <r>
          <rPr>
            <b/>
            <sz val="12"/>
            <rFont val="宋体"/>
            <charset val="134"/>
          </rPr>
          <t xml:space="preserve">Administrator
5/7 上客供亚马逊外箱贴纸140pcs
</t>
        </r>
      </text>
    </comment>
    <comment ref="T113" authorId="2">
      <text>
        <r>
          <rPr>
            <b/>
            <sz val="9"/>
            <rFont val="宋体"/>
            <charset val="134"/>
          </rPr>
          <t>龙丽娟:</t>
        </r>
        <r>
          <rPr>
            <sz val="9"/>
            <rFont val="宋体"/>
            <charset val="134"/>
          </rPr>
          <t xml:space="preserve">
5/27 2800015 1320pcs新2b9</t>
        </r>
      </text>
    </comment>
    <comment ref="V113" authorId="0">
      <text>
        <r>
          <rPr>
            <b/>
            <sz val="12"/>
            <rFont val="宋体"/>
            <charset val="134"/>
          </rPr>
          <t xml:space="preserve">Administrator
5/7 上客供亚马逊外箱贴纸111pcs
</t>
        </r>
      </text>
    </comment>
    <comment ref="T114" authorId="2">
      <text>
        <r>
          <rPr>
            <b/>
            <sz val="9"/>
            <rFont val="宋体"/>
            <charset val="134"/>
          </rPr>
          <t>龙丽娟:</t>
        </r>
        <r>
          <rPr>
            <sz val="9"/>
            <rFont val="宋体"/>
            <charset val="134"/>
          </rPr>
          <t xml:space="preserve">
5/27 2800015 1500pcs新2b9</t>
        </r>
      </text>
    </comment>
    <comment ref="V114" authorId="0">
      <text>
        <r>
          <rPr>
            <b/>
            <sz val="12"/>
            <rFont val="宋体"/>
            <charset val="134"/>
          </rPr>
          <t xml:space="preserve">Administrator
5/7 上客供亚马逊外箱贴纸125pcs
</t>
        </r>
      </text>
    </comment>
    <comment ref="T115" authorId="2">
      <text>
        <r>
          <rPr>
            <b/>
            <sz val="9"/>
            <rFont val="宋体"/>
            <charset val="134"/>
          </rPr>
          <t>龙丽娟:</t>
        </r>
        <r>
          <rPr>
            <sz val="9"/>
            <rFont val="宋体"/>
            <charset val="134"/>
          </rPr>
          <t xml:space="preserve">
5/27 2800015 1500pcs新2b9</t>
        </r>
      </text>
    </comment>
    <comment ref="V115" authorId="0">
      <text>
        <r>
          <rPr>
            <b/>
            <sz val="12"/>
            <rFont val="宋体"/>
            <charset val="134"/>
          </rPr>
          <t xml:space="preserve">Administrator
5/7 上客供亚马逊外箱贴纸119pcs
</t>
        </r>
      </text>
    </comment>
    <comment ref="T116" authorId="2">
      <text>
        <r>
          <rPr>
            <b/>
            <sz val="9"/>
            <rFont val="宋体"/>
            <charset val="134"/>
          </rPr>
          <t>龙丽娟:</t>
        </r>
        <r>
          <rPr>
            <sz val="9"/>
            <rFont val="宋体"/>
            <charset val="134"/>
          </rPr>
          <t xml:space="preserve">
5/27 2800015 1392pcsb9</t>
        </r>
      </text>
    </comment>
    <comment ref="V116" authorId="0">
      <text>
        <r>
          <rPr>
            <b/>
            <sz val="12"/>
            <rFont val="宋体"/>
            <charset val="134"/>
          </rPr>
          <t xml:space="preserve">Administrator
5/7 上客供亚马逊外箱贴纸116pcs
</t>
        </r>
      </text>
    </comment>
    <comment ref="T117" authorId="2">
      <text>
        <r>
          <rPr>
            <b/>
            <sz val="9"/>
            <rFont val="宋体"/>
            <charset val="134"/>
          </rPr>
          <t>龙丽娟:</t>
        </r>
        <r>
          <rPr>
            <sz val="9"/>
            <rFont val="宋体"/>
            <charset val="134"/>
          </rPr>
          <t xml:space="preserve">
5/27 2800015 1250pcs新2b9</t>
        </r>
      </text>
    </comment>
    <comment ref="V118" authorId="0">
      <text>
        <r>
          <rPr>
            <b/>
            <sz val="12"/>
            <rFont val="宋体"/>
            <charset val="134"/>
          </rPr>
          <t>Administrator:</t>
        </r>
        <r>
          <rPr>
            <sz val="12"/>
            <rFont val="宋体"/>
            <charset val="134"/>
          </rPr>
          <t xml:space="preserve">
3/16 上白色防盗贴纸 91pcs
4/14 上Kmart贴纸7pcs
5/13上外箱贴纸7pcs</t>
        </r>
      </text>
    </comment>
    <comment ref="T119" authorId="0">
      <text>
        <r>
          <rPr>
            <b/>
            <sz val="12"/>
            <rFont val="宋体"/>
            <charset val="134"/>
          </rPr>
          <t>Administrator:</t>
        </r>
        <r>
          <rPr>
            <sz val="12"/>
            <rFont val="宋体"/>
            <charset val="134"/>
          </rPr>
          <t xml:space="preserve">
5/16 1403589 1508pcs</t>
        </r>
      </text>
    </comment>
    <comment ref="V119" authorId="0">
      <text>
        <r>
          <rPr>
            <b/>
            <sz val="12"/>
            <rFont val="宋体"/>
            <charset val="134"/>
          </rPr>
          <t>Administrator:</t>
        </r>
        <r>
          <rPr>
            <sz val="12"/>
            <rFont val="宋体"/>
            <charset val="134"/>
          </rPr>
          <t xml:space="preserve">
4/29上白色防盗贴纸1508pcs
</t>
        </r>
      </text>
    </comment>
    <comment ref="T120" authorId="2">
      <text>
        <r>
          <rPr>
            <b/>
            <sz val="9"/>
            <rFont val="宋体"/>
            <charset val="134"/>
          </rPr>
          <t>龙丽娟:</t>
        </r>
        <r>
          <rPr>
            <sz val="9"/>
            <rFont val="宋体"/>
            <charset val="134"/>
          </rPr>
          <t xml:space="preserve">
5/26 2800002 1508pcs</t>
        </r>
      </text>
    </comment>
    <comment ref="V120" authorId="0">
      <text>
        <r>
          <rPr>
            <b/>
            <sz val="12"/>
            <rFont val="宋体"/>
            <charset val="134"/>
          </rPr>
          <t>Administrator:</t>
        </r>
        <r>
          <rPr>
            <sz val="9"/>
            <rFont val="宋体"/>
            <charset val="134"/>
          </rPr>
          <t xml:space="preserve">
</t>
        </r>
        <r>
          <rPr>
            <sz val="12"/>
            <rFont val="宋体"/>
            <charset val="134"/>
          </rPr>
          <t xml:space="preserve">4/18上sscc外箱贴纸116pcs
</t>
        </r>
      </text>
    </comment>
    <comment ref="T121" authorId="2">
      <text>
        <r>
          <rPr>
            <b/>
            <sz val="9"/>
            <rFont val="宋体"/>
            <charset val="134"/>
          </rPr>
          <t>龙丽娟:</t>
        </r>
        <r>
          <rPr>
            <sz val="9"/>
            <rFont val="宋体"/>
            <charset val="134"/>
          </rPr>
          <t xml:space="preserve">
5/29 2800077 1200pcs应兴B4</t>
        </r>
      </text>
    </comment>
    <comment ref="V121" authorId="0">
      <text>
        <r>
          <rPr>
            <b/>
            <sz val="12"/>
            <rFont val="宋体"/>
            <charset val="134"/>
          </rPr>
          <t>Administrator:</t>
        </r>
        <r>
          <rPr>
            <sz val="12"/>
            <rFont val="宋体"/>
            <charset val="134"/>
          </rPr>
          <t xml:space="preserve">
5/15上PDQ数字贴纸76
4500197867/198032公用</t>
        </r>
      </text>
    </comment>
    <comment ref="T122" authorId="2">
      <text>
        <r>
          <rPr>
            <b/>
            <sz val="9"/>
            <rFont val="宋体"/>
            <charset val="134"/>
          </rPr>
          <t>龙丽娟:</t>
        </r>
        <r>
          <rPr>
            <sz val="9"/>
            <rFont val="宋体"/>
            <charset val="134"/>
          </rPr>
          <t xml:space="preserve">
5/29 2800077 2600pcs应兴B4</t>
        </r>
      </text>
    </comment>
    <comment ref="V122" authorId="0">
      <text>
        <r>
          <rPr>
            <b/>
            <sz val="12"/>
            <rFont val="宋体"/>
            <charset val="134"/>
          </rPr>
          <t>Administrator:</t>
        </r>
        <r>
          <rPr>
            <sz val="12"/>
            <rFont val="宋体"/>
            <charset val="134"/>
          </rPr>
          <t xml:space="preserve">
5/15上PDQ数字贴纸76
5/15上PDQ唱片贴纸152
4500197867/198032公用</t>
        </r>
      </text>
    </comment>
    <comment ref="T123" authorId="2">
      <text>
        <r>
          <rPr>
            <b/>
            <sz val="9"/>
            <rFont val="宋体"/>
            <charset val="134"/>
          </rPr>
          <t>龙丽娟:</t>
        </r>
        <r>
          <rPr>
            <sz val="9"/>
            <rFont val="宋体"/>
            <charset val="134"/>
          </rPr>
          <t xml:space="preserve">
6/1 2800101  15904 pcs 新2c1</t>
        </r>
      </text>
    </comment>
    <comment ref="V123" authorId="1">
      <text>
        <r>
          <rPr>
            <b/>
            <sz val="9"/>
            <rFont val="宋体"/>
            <charset val="134"/>
          </rPr>
          <t>DELL:</t>
        </r>
        <r>
          <rPr>
            <sz val="9"/>
            <rFont val="宋体"/>
            <charset val="134"/>
          </rPr>
          <t xml:space="preserve">
4/27 上粉色艾利贴纸 5738pcs
196506/196505/196504共用</t>
        </r>
      </text>
    </comment>
    <comment ref="T124" authorId="2">
      <text>
        <r>
          <rPr>
            <b/>
            <sz val="9"/>
            <rFont val="宋体"/>
            <charset val="134"/>
          </rPr>
          <t>龙丽娟:</t>
        </r>
        <r>
          <rPr>
            <sz val="9"/>
            <rFont val="宋体"/>
            <charset val="134"/>
          </rPr>
          <t xml:space="preserve">
6/1 2800101 14400pcs新2c5</t>
        </r>
      </text>
    </comment>
    <comment ref="T125" authorId="2">
      <text>
        <r>
          <rPr>
            <b/>
            <sz val="9"/>
            <rFont val="宋体"/>
            <charset val="134"/>
          </rPr>
          <t>龙丽娟:</t>
        </r>
        <r>
          <rPr>
            <sz val="9"/>
            <rFont val="宋体"/>
            <charset val="134"/>
          </rPr>
          <t xml:space="preserve">
5/27 2800030 962PCSB4-B9</t>
        </r>
      </text>
    </comment>
    <comment ref="V125" authorId="0">
      <text>
        <r>
          <rPr>
            <b/>
            <sz val="12"/>
            <rFont val="宋体"/>
            <charset val="134"/>
          </rPr>
          <t>Administrator:</t>
        </r>
        <r>
          <rPr>
            <sz val="12"/>
            <rFont val="宋体"/>
            <charset val="134"/>
          </rPr>
          <t xml:space="preserve">
4/29上白色防盗贴纸962pcs
5/11 kmart外箱贴纸74pcs</t>
        </r>
      </text>
    </comment>
    <comment ref="T126" authorId="2">
      <text>
        <r>
          <rPr>
            <b/>
            <sz val="9"/>
            <rFont val="宋体"/>
            <charset val="134"/>
          </rPr>
          <t>龙丽娟:</t>
        </r>
        <r>
          <rPr>
            <sz val="9"/>
            <rFont val="宋体"/>
            <charset val="134"/>
          </rPr>
          <t xml:space="preserve">
5/27 2800030 14638pcsB栋4楼B9</t>
        </r>
      </text>
    </comment>
    <comment ref="V126" authorId="0">
      <text>
        <r>
          <rPr>
            <b/>
            <sz val="12"/>
            <rFont val="宋体"/>
            <charset val="134"/>
          </rPr>
          <t>Administrator:</t>
        </r>
        <r>
          <rPr>
            <sz val="12"/>
            <rFont val="宋体"/>
            <charset val="134"/>
          </rPr>
          <t xml:space="preserve">
4/29 上白色防盗贴纸14638pcs</t>
        </r>
      </text>
    </comment>
    <comment ref="V127" authorId="1">
      <text>
        <r>
          <rPr>
            <b/>
            <sz val="9"/>
            <rFont val="宋体"/>
            <charset val="134"/>
          </rPr>
          <t>DELL:</t>
        </r>
        <r>
          <rPr>
            <sz val="9"/>
            <rFont val="宋体"/>
            <charset val="134"/>
          </rPr>
          <t xml:space="preserve">
4/27 上粉色艾利贴纸 5738pcs
196506/196505/196504共用</t>
        </r>
      </text>
    </comment>
    <comment ref="T128" authorId="0">
      <text>
        <r>
          <rPr>
            <b/>
            <sz val="12"/>
            <rFont val="宋体"/>
            <charset val="134"/>
          </rPr>
          <t>Administrator:</t>
        </r>
        <r>
          <rPr>
            <sz val="12"/>
            <rFont val="宋体"/>
            <charset val="134"/>
          </rPr>
          <t xml:space="preserve">
5/20 1403914 1392pcs
5/21 3001749 2928pcs</t>
        </r>
      </text>
    </comment>
    <comment ref="T129" authorId="2">
      <text>
        <r>
          <rPr>
            <b/>
            <sz val="9"/>
            <rFont val="宋体"/>
            <charset val="134"/>
          </rPr>
          <t>龙丽娟:</t>
        </r>
        <r>
          <rPr>
            <sz val="9"/>
            <rFont val="宋体"/>
            <charset val="134"/>
          </rPr>
          <t xml:space="preserve">
6/1 2800112 6720pcs新2c1</t>
        </r>
      </text>
    </comment>
    <comment ref="T130" authorId="2">
      <text>
        <r>
          <rPr>
            <b/>
            <sz val="9"/>
            <rFont val="宋体"/>
            <charset val="134"/>
          </rPr>
          <t>龙丽娟:</t>
        </r>
        <r>
          <rPr>
            <sz val="9"/>
            <rFont val="宋体"/>
            <charset val="134"/>
          </rPr>
          <t xml:space="preserve">
5/27 2800015 9600pcs新2b9</t>
        </r>
      </text>
    </comment>
    <comment ref="T131" authorId="2">
      <text>
        <r>
          <rPr>
            <b/>
            <sz val="9"/>
            <rFont val="宋体"/>
            <charset val="134"/>
          </rPr>
          <t>龙丽娟:</t>
        </r>
        <r>
          <rPr>
            <sz val="9"/>
            <rFont val="宋体"/>
            <charset val="134"/>
          </rPr>
          <t xml:space="preserve">
5/25 1403330 8400pcs</t>
        </r>
      </text>
    </comment>
    <comment ref="AX131" authorId="3">
      <text>
        <r>
          <rPr>
            <b/>
            <sz val="9"/>
            <rFont val="宋体"/>
            <charset val="134"/>
          </rPr>
          <t>RR:</t>
        </r>
        <r>
          <rPr>
            <sz val="9"/>
            <rFont val="宋体"/>
            <charset val="134"/>
          </rPr>
          <t xml:space="preserve">
移除21/23号唱片客版收藏指南</t>
        </r>
      </text>
    </comment>
    <comment ref="T132" authorId="2">
      <text>
        <r>
          <rPr>
            <b/>
            <sz val="9"/>
            <rFont val="宋体"/>
            <charset val="134"/>
          </rPr>
          <t>龙丽娟:</t>
        </r>
        <r>
          <rPr>
            <sz val="9"/>
            <rFont val="宋体"/>
            <charset val="134"/>
          </rPr>
          <t xml:space="preserve">
5/30 2800093 7150PCS新2D3</t>
        </r>
      </text>
    </comment>
    <comment ref="T134" authorId="2">
      <text>
        <r>
          <rPr>
            <b/>
            <sz val="9"/>
            <rFont val="宋体"/>
            <charset val="134"/>
          </rPr>
          <t>龙丽娟:</t>
        </r>
        <r>
          <rPr>
            <sz val="9"/>
            <rFont val="宋体"/>
            <charset val="134"/>
          </rPr>
          <t xml:space="preserve">
5/29 2800077 5000pcs应兴B4</t>
        </r>
      </text>
    </comment>
    <comment ref="T135" authorId="0">
      <text>
        <r>
          <rPr>
            <b/>
            <sz val="12"/>
            <rFont val="宋体"/>
            <charset val="134"/>
          </rPr>
          <t>Administrator:</t>
        </r>
        <r>
          <rPr>
            <sz val="12"/>
            <rFont val="宋体"/>
            <charset val="134"/>
          </rPr>
          <t xml:space="preserve">
5/12 454pcs
5/14 1224pcs
5/23 296pcs 3001741</t>
        </r>
      </text>
    </comment>
    <comment ref="BB135" authorId="3">
      <text>
        <r>
          <rPr>
            <b/>
            <sz val="9"/>
            <rFont val="宋体"/>
            <charset val="134"/>
          </rPr>
          <t>RR:</t>
        </r>
        <r>
          <rPr>
            <sz val="9"/>
            <rFont val="宋体"/>
            <charset val="134"/>
          </rPr>
          <t xml:space="preserve">
客版新资料</t>
        </r>
      </text>
    </comment>
    <comment ref="BC135" authorId="3">
      <text>
        <r>
          <rPr>
            <b/>
            <sz val="9"/>
            <rFont val="宋体"/>
            <charset val="134"/>
          </rPr>
          <t>RR:</t>
        </r>
        <r>
          <rPr>
            <sz val="9"/>
            <rFont val="宋体"/>
            <charset val="134"/>
          </rPr>
          <t xml:space="preserve">
客版新资料</t>
        </r>
      </text>
    </comment>
    <comment ref="BD135" authorId="3">
      <text>
        <r>
          <rPr>
            <b/>
            <sz val="9"/>
            <rFont val="宋体"/>
            <charset val="134"/>
          </rPr>
          <t>RR:</t>
        </r>
        <r>
          <rPr>
            <sz val="9"/>
            <rFont val="宋体"/>
            <charset val="134"/>
          </rPr>
          <t xml:space="preserve">
客版新资料</t>
        </r>
      </text>
    </comment>
    <comment ref="BE135" authorId="3">
      <text>
        <r>
          <rPr>
            <b/>
            <sz val="9"/>
            <rFont val="宋体"/>
            <charset val="134"/>
          </rPr>
          <t>RR:</t>
        </r>
        <r>
          <rPr>
            <sz val="9"/>
            <rFont val="宋体"/>
            <charset val="134"/>
          </rPr>
          <t xml:space="preserve">
客版新资料</t>
        </r>
      </text>
    </comment>
    <comment ref="BF135" authorId="3">
      <text>
        <r>
          <rPr>
            <b/>
            <sz val="9"/>
            <rFont val="宋体"/>
            <charset val="134"/>
          </rPr>
          <t>RR:</t>
        </r>
        <r>
          <rPr>
            <sz val="9"/>
            <rFont val="宋体"/>
            <charset val="134"/>
          </rPr>
          <t xml:space="preserve">
客版新资料</t>
        </r>
      </text>
    </comment>
    <comment ref="T136" authorId="2">
      <text>
        <r>
          <rPr>
            <b/>
            <sz val="9"/>
            <rFont val="宋体"/>
            <charset val="134"/>
          </rPr>
          <t>龙丽娟:</t>
        </r>
        <r>
          <rPr>
            <sz val="9"/>
            <rFont val="宋体"/>
            <charset val="134"/>
          </rPr>
          <t xml:space="preserve">
2801123 6/6 7500PCS欣泰B3</t>
        </r>
      </text>
    </comment>
    <comment ref="T137" authorId="2">
      <text>
        <r>
          <rPr>
            <b/>
            <sz val="9"/>
            <rFont val="宋体"/>
            <charset val="134"/>
          </rPr>
          <t>龙丽娟:</t>
        </r>
        <r>
          <rPr>
            <sz val="9"/>
            <rFont val="宋体"/>
            <charset val="134"/>
          </rPr>
          <t xml:space="preserve">
5/30 2800089 2500pcs新B4-B2</t>
        </r>
      </text>
    </comment>
    <comment ref="V137" authorId="0">
      <text>
        <r>
          <rPr>
            <b/>
            <sz val="12"/>
            <rFont val="宋体"/>
            <charset val="134"/>
          </rPr>
          <t>Administrator:
5/13 上收藏指南贴纸100pcs
5/13 上收藏指南唱片贴纸200pcs
5/13上PDQ贴纸200pcs
5/13上PDQ上数字贴纸100pcs
5/13上客人通用进口商贴纸2500pcs</t>
        </r>
        <r>
          <rPr>
            <sz val="12"/>
            <rFont val="宋体"/>
            <charset val="134"/>
          </rPr>
          <t xml:space="preserve">
.
</t>
        </r>
      </text>
    </comment>
    <comment ref="AK137" authorId="0">
      <text>
        <r>
          <rPr>
            <b/>
            <sz val="9"/>
            <rFont val="宋体"/>
            <charset val="134"/>
          </rPr>
          <t>Administrator:</t>
        </r>
        <r>
          <rPr>
            <sz val="9"/>
            <rFont val="宋体"/>
            <charset val="134"/>
          </rPr>
          <t xml:space="preserve">
</t>
        </r>
      </text>
    </comment>
    <comment ref="AX137" authorId="3">
      <text>
        <r>
          <rPr>
            <b/>
            <sz val="9"/>
            <rFont val="宋体"/>
            <charset val="134"/>
          </rPr>
          <t>RR:</t>
        </r>
        <r>
          <rPr>
            <sz val="9"/>
            <rFont val="宋体"/>
            <charset val="134"/>
          </rPr>
          <t xml:space="preserve">
移除21/23号唱片客版收藏指南</t>
        </r>
      </text>
    </comment>
    <comment ref="T138" authorId="2">
      <text>
        <r>
          <rPr>
            <b/>
            <sz val="9"/>
            <rFont val="宋体"/>
            <charset val="134"/>
          </rPr>
          <t>龙丽娟:</t>
        </r>
        <r>
          <rPr>
            <sz val="9"/>
            <rFont val="宋体"/>
            <charset val="134"/>
          </rPr>
          <t xml:space="preserve">
5/30 2800089 2880pcs新B4-B2</t>
        </r>
      </text>
    </comment>
    <comment ref="V138" authorId="0">
      <text>
        <r>
          <rPr>
            <b/>
            <sz val="12"/>
            <rFont val="宋体"/>
            <charset val="134"/>
          </rPr>
          <t>Administrator:
5/13 上收藏指南贴纸80pcs
5/13 上收藏指南唱片贴纸160pcs
5/13上PDQ贴纸160pcs
5/13上PDQ上数字贴纸80pcs
5/13上客人通用进口商贴纸2880pcs</t>
        </r>
        <r>
          <rPr>
            <sz val="12"/>
            <rFont val="宋体"/>
            <charset val="134"/>
          </rPr>
          <t xml:space="preserve">
.
</t>
        </r>
      </text>
    </comment>
    <comment ref="AX138" authorId="3">
      <text>
        <r>
          <rPr>
            <b/>
            <sz val="9"/>
            <rFont val="宋体"/>
            <charset val="134"/>
          </rPr>
          <t>RR:</t>
        </r>
        <r>
          <rPr>
            <sz val="9"/>
            <rFont val="宋体"/>
            <charset val="134"/>
          </rPr>
          <t xml:space="preserve">
移除21/23号唱片客版收藏指南</t>
        </r>
      </text>
    </comment>
    <comment ref="T139" authorId="2">
      <text>
        <r>
          <rPr>
            <b/>
            <sz val="9"/>
            <rFont val="宋体"/>
            <charset val="134"/>
          </rPr>
          <t>龙丽娟:</t>
        </r>
        <r>
          <rPr>
            <sz val="9"/>
            <rFont val="宋体"/>
            <charset val="134"/>
          </rPr>
          <t xml:space="preserve">
6/9 2801171 700pcs顶均B5</t>
        </r>
        <r>
          <rPr>
            <b/>
            <sz val="9"/>
            <rFont val="宋体"/>
            <charset val="134"/>
          </rPr>
          <t xml:space="preserve">
龙丽娟:</t>
        </r>
        <r>
          <rPr>
            <sz val="9"/>
            <rFont val="宋体"/>
            <charset val="134"/>
          </rPr>
          <t xml:space="preserve">
6/9 2801157 7300pcspcs欣泰B3</t>
        </r>
      </text>
    </comment>
    <comment ref="V140" authorId="0">
      <text>
        <r>
          <rPr>
            <b/>
            <sz val="12"/>
            <rFont val="宋体"/>
            <charset val="134"/>
          </rPr>
          <t>Administrator:</t>
        </r>
        <r>
          <rPr>
            <sz val="12"/>
            <rFont val="宋体"/>
            <charset val="134"/>
          </rPr>
          <t xml:space="preserve">
5/16 上警告语/环保标贴纸4296pcs
5/16 上空白贴纸8592pcs</t>
        </r>
      </text>
    </comment>
    <comment ref="T141" authorId="2">
      <text>
        <r>
          <rPr>
            <b/>
            <sz val="9"/>
            <rFont val="宋体"/>
            <charset val="134"/>
          </rPr>
          <t>龙丽娟:</t>
        </r>
        <r>
          <rPr>
            <sz val="9"/>
            <rFont val="宋体"/>
            <charset val="134"/>
          </rPr>
          <t xml:space="preserve">
5/27 2800032 720pcs直走</t>
        </r>
      </text>
    </comment>
    <comment ref="V141" authorId="0">
      <text>
        <r>
          <rPr>
            <b/>
            <sz val="12"/>
            <rFont val="宋体"/>
            <charset val="134"/>
          </rPr>
          <t>Administrator:</t>
        </r>
        <r>
          <rPr>
            <sz val="12"/>
            <rFont val="宋体"/>
            <charset val="134"/>
          </rPr>
          <t xml:space="preserve">
5/13 上空白贴纸1440pcs
5/13 上CAT LABEL720PCS
5/13 上数字贴纸720PCS</t>
        </r>
      </text>
    </comment>
    <comment ref="T142" authorId="2">
      <text>
        <r>
          <rPr>
            <b/>
            <sz val="9"/>
            <rFont val="宋体"/>
            <charset val="134"/>
          </rPr>
          <t>龙丽娟:</t>
        </r>
        <r>
          <rPr>
            <sz val="9"/>
            <rFont val="宋体"/>
            <charset val="134"/>
          </rPr>
          <t xml:space="preserve">
5/28 3002532 4320PCS</t>
        </r>
      </text>
    </comment>
    <comment ref="T143" authorId="2">
      <text>
        <r>
          <rPr>
            <b/>
            <sz val="9"/>
            <rFont val="宋体"/>
            <charset val="134"/>
          </rPr>
          <t>龙丽娟:</t>
        </r>
        <r>
          <rPr>
            <sz val="9"/>
            <rFont val="宋体"/>
            <charset val="134"/>
          </rPr>
          <t xml:space="preserve">
5/27 2800017 8697pcs五车间</t>
        </r>
      </text>
    </comment>
    <comment ref="T144" authorId="2">
      <text>
        <r>
          <rPr>
            <b/>
            <sz val="9"/>
            <rFont val="宋体"/>
            <charset val="134"/>
          </rPr>
          <t>龙丽娟:</t>
        </r>
        <r>
          <rPr>
            <sz val="9"/>
            <rFont val="宋体"/>
            <charset val="134"/>
          </rPr>
          <t xml:space="preserve">
5/30 2800091 700pcs新2D3</t>
        </r>
      </text>
    </comment>
    <comment ref="V144" authorId="0">
      <text>
        <r>
          <rPr>
            <b/>
            <sz val="12"/>
            <rFont val="宋体"/>
            <charset val="134"/>
          </rPr>
          <t>Administrator:</t>
        </r>
        <r>
          <rPr>
            <sz val="12"/>
            <rFont val="宋体"/>
            <charset val="134"/>
          </rPr>
          <t xml:space="preserve">
5/20 包装贴纸1210pcs</t>
        </r>
      </text>
    </comment>
    <comment ref="T145" authorId="2">
      <text>
        <r>
          <rPr>
            <b/>
            <sz val="9"/>
            <rFont val="宋体"/>
            <charset val="134"/>
          </rPr>
          <t>龙丽娟:</t>
        </r>
        <r>
          <rPr>
            <sz val="9"/>
            <rFont val="宋体"/>
            <charset val="134"/>
          </rPr>
          <t xml:space="preserve">
5/30 2800093 5892pcs新2D3</t>
        </r>
      </text>
    </comment>
    <comment ref="V145" authorId="0">
      <text>
        <r>
          <rPr>
            <b/>
            <sz val="12"/>
            <rFont val="宋体"/>
            <charset val="134"/>
          </rPr>
          <t xml:space="preserve">Administrator
5/7 上客供亚马逊外箱贴纸491pcs
</t>
        </r>
      </text>
    </comment>
    <comment ref="T146" authorId="2">
      <text>
        <r>
          <rPr>
            <b/>
            <sz val="9"/>
            <rFont val="宋体"/>
            <charset val="134"/>
          </rPr>
          <t>龙丽娟:</t>
        </r>
        <r>
          <rPr>
            <sz val="9"/>
            <rFont val="宋体"/>
            <charset val="134"/>
          </rPr>
          <t xml:space="preserve">
5/30 2800093 5832pcs新2D3</t>
        </r>
      </text>
    </comment>
    <comment ref="V146" authorId="0">
      <text>
        <r>
          <rPr>
            <b/>
            <sz val="12"/>
            <rFont val="宋体"/>
            <charset val="134"/>
          </rPr>
          <t xml:space="preserve">Administrator
5/7 上客供亚马逊外箱贴纸486pcs
</t>
        </r>
      </text>
    </comment>
    <comment ref="T147" authorId="2">
      <text>
        <r>
          <rPr>
            <b/>
            <sz val="9"/>
            <rFont val="宋体"/>
            <charset val="134"/>
          </rPr>
          <t>龙丽娟:</t>
        </r>
        <r>
          <rPr>
            <sz val="9"/>
            <rFont val="宋体"/>
            <charset val="134"/>
          </rPr>
          <t xml:space="preserve">
5/28 2800056 6960pcs五车间</t>
        </r>
      </text>
    </comment>
    <comment ref="V147" authorId="0">
      <text>
        <r>
          <rPr>
            <b/>
            <sz val="12"/>
            <rFont val="宋体"/>
            <charset val="134"/>
          </rPr>
          <t xml:space="preserve">Administrator
5/7 上客供亚马逊外箱贴纸580pcs
</t>
        </r>
      </text>
    </comment>
    <comment ref="T148" authorId="2">
      <text>
        <r>
          <rPr>
            <b/>
            <sz val="9"/>
            <rFont val="宋体"/>
            <charset val="134"/>
          </rPr>
          <t>龙丽娟:</t>
        </r>
        <r>
          <rPr>
            <sz val="9"/>
            <rFont val="宋体"/>
            <charset val="134"/>
          </rPr>
          <t xml:space="preserve">
6/4 2801073 16775pcs欣泰D5</t>
        </r>
      </text>
    </comment>
    <comment ref="V148" authorId="0">
      <text>
        <r>
          <rPr>
            <b/>
            <sz val="12"/>
            <rFont val="宋体"/>
            <charset val="134"/>
          </rPr>
          <t>Administrator:</t>
        </r>
        <r>
          <rPr>
            <sz val="12"/>
            <rFont val="宋体"/>
            <charset val="134"/>
          </rPr>
          <t xml:space="preserve">
5/7 上客供外箱条码贴纸 678pcs</t>
        </r>
      </text>
    </comment>
    <comment ref="T149" authorId="2">
      <text>
        <r>
          <rPr>
            <b/>
            <sz val="9"/>
            <rFont val="宋体"/>
            <charset val="134"/>
          </rPr>
          <t>龙丽娟:</t>
        </r>
        <r>
          <rPr>
            <sz val="9"/>
            <rFont val="宋体"/>
            <charset val="134"/>
          </rPr>
          <t xml:space="preserve">
5/30 2800093 1001pcs新2D3</t>
        </r>
      </text>
    </comment>
    <comment ref="T150" authorId="2">
      <text>
        <r>
          <rPr>
            <b/>
            <sz val="9"/>
            <rFont val="宋体"/>
            <charset val="134"/>
          </rPr>
          <t>龙丽娟:</t>
        </r>
        <r>
          <rPr>
            <sz val="9"/>
            <rFont val="宋体"/>
            <charset val="134"/>
          </rPr>
          <t xml:space="preserve">
5/30 2800091 700pcs直走</t>
        </r>
      </text>
    </comment>
    <comment ref="T152" authorId="2">
      <text>
        <r>
          <rPr>
            <b/>
            <sz val="9"/>
            <rFont val="宋体"/>
            <charset val="134"/>
          </rPr>
          <t>龙丽娟:</t>
        </r>
        <r>
          <rPr>
            <sz val="9"/>
            <rFont val="宋体"/>
            <charset val="134"/>
          </rPr>
          <t xml:space="preserve">
5/27 4500PCS 2800030 B4-B9</t>
        </r>
      </text>
    </comment>
    <comment ref="V152" authorId="0">
      <text>
        <r>
          <rPr>
            <b/>
            <sz val="12"/>
            <rFont val="宋体"/>
            <charset val="134"/>
          </rPr>
          <t>Administrator:</t>
        </r>
        <r>
          <rPr>
            <sz val="12"/>
            <rFont val="宋体"/>
            <charset val="134"/>
          </rPr>
          <t xml:space="preserve">
3/21 上UPC贴纸 4500pcs
     上价格贴纸 4500pcs
      上shipping label 4*6in1720pcs
</t>
        </r>
      </text>
    </comment>
    <comment ref="T153" authorId="2">
      <text>
        <r>
          <rPr>
            <b/>
            <sz val="9"/>
            <rFont val="宋体"/>
            <charset val="134"/>
          </rPr>
          <t>龙丽娟:</t>
        </r>
        <r>
          <rPr>
            <sz val="9"/>
            <rFont val="宋体"/>
            <charset val="134"/>
          </rPr>
          <t xml:space="preserve">
6/3 2801059 4121pcs欣泰A3</t>
        </r>
      </text>
    </comment>
    <comment ref="V153" authorId="0">
      <text>
        <r>
          <rPr>
            <b/>
            <sz val="12"/>
            <rFont val="宋体"/>
            <charset val="134"/>
          </rPr>
          <t>Administrator:</t>
        </r>
        <r>
          <rPr>
            <sz val="12"/>
            <rFont val="宋体"/>
            <charset val="134"/>
          </rPr>
          <t xml:space="preserve">
5/16 上多语警语折叠贴纸6500pcs</t>
        </r>
      </text>
    </comment>
    <comment ref="T154" authorId="2">
      <text>
        <r>
          <rPr>
            <b/>
            <sz val="9"/>
            <rFont val="宋体"/>
            <charset val="134"/>
          </rPr>
          <t>龙丽娟:</t>
        </r>
        <r>
          <rPr>
            <sz val="9"/>
            <rFont val="宋体"/>
            <charset val="134"/>
          </rPr>
          <t xml:space="preserve">
5/27 2800015 3250pcs新2b9</t>
        </r>
      </text>
    </comment>
    <comment ref="AX154" authorId="3">
      <text>
        <r>
          <rPr>
            <b/>
            <sz val="9"/>
            <rFont val="宋体"/>
            <charset val="134"/>
          </rPr>
          <t>RR:</t>
        </r>
        <r>
          <rPr>
            <sz val="9"/>
            <rFont val="宋体"/>
            <charset val="134"/>
          </rPr>
          <t xml:space="preserve">
移除21/23号唱片客版收藏指南</t>
        </r>
      </text>
    </comment>
    <comment ref="T155" authorId="2">
      <text>
        <r>
          <rPr>
            <b/>
            <sz val="9"/>
            <rFont val="宋体"/>
            <charset val="134"/>
          </rPr>
          <t>龙丽娟:</t>
        </r>
        <r>
          <rPr>
            <sz val="9"/>
            <rFont val="宋体"/>
            <charset val="134"/>
          </rPr>
          <t xml:space="preserve">
6/6 2801162 3000pcs</t>
        </r>
      </text>
    </comment>
    <comment ref="V155" authorId="0">
      <text>
        <r>
          <rPr>
            <b/>
            <sz val="12"/>
            <rFont val="宋体"/>
            <charset val="134"/>
          </rPr>
          <t>Administrator:</t>
        </r>
        <r>
          <rPr>
            <sz val="12"/>
            <rFont val="宋体"/>
            <charset val="134"/>
          </rPr>
          <t xml:space="preserve">
5/16 上多语警语折叠贴纸3000ocs</t>
        </r>
      </text>
    </comment>
    <comment ref="AX158" authorId="3">
      <text>
        <r>
          <rPr>
            <b/>
            <sz val="9"/>
            <rFont val="宋体"/>
            <charset val="134"/>
          </rPr>
          <t>RR:</t>
        </r>
        <r>
          <rPr>
            <sz val="9"/>
            <rFont val="宋体"/>
            <charset val="134"/>
          </rPr>
          <t xml:space="preserve">
移除21/23号唱片客版收藏指南</t>
        </r>
      </text>
    </comment>
    <comment ref="BB165" authorId="3">
      <text>
        <r>
          <rPr>
            <b/>
            <sz val="9"/>
            <rFont val="宋体"/>
            <charset val="134"/>
          </rPr>
          <t>RR:</t>
        </r>
        <r>
          <rPr>
            <sz val="9"/>
            <rFont val="宋体"/>
            <charset val="134"/>
          </rPr>
          <t xml:space="preserve">
客版新资料</t>
        </r>
      </text>
    </comment>
    <comment ref="BC165" authorId="3">
      <text>
        <r>
          <rPr>
            <b/>
            <sz val="9"/>
            <rFont val="宋体"/>
            <charset val="134"/>
          </rPr>
          <t>RR:</t>
        </r>
        <r>
          <rPr>
            <sz val="9"/>
            <rFont val="宋体"/>
            <charset val="134"/>
          </rPr>
          <t xml:space="preserve">
客版新资料</t>
        </r>
      </text>
    </comment>
    <comment ref="BD165" authorId="3">
      <text>
        <r>
          <rPr>
            <b/>
            <sz val="9"/>
            <rFont val="宋体"/>
            <charset val="134"/>
          </rPr>
          <t>RR:</t>
        </r>
        <r>
          <rPr>
            <sz val="9"/>
            <rFont val="宋体"/>
            <charset val="134"/>
          </rPr>
          <t xml:space="preserve">
客版新资料</t>
        </r>
      </text>
    </comment>
    <comment ref="BE165" authorId="3">
      <text>
        <r>
          <rPr>
            <b/>
            <sz val="9"/>
            <rFont val="宋体"/>
            <charset val="134"/>
          </rPr>
          <t>RR:</t>
        </r>
        <r>
          <rPr>
            <sz val="9"/>
            <rFont val="宋体"/>
            <charset val="134"/>
          </rPr>
          <t xml:space="preserve">
客版新资料</t>
        </r>
      </text>
    </comment>
    <comment ref="BF165" authorId="3">
      <text>
        <r>
          <rPr>
            <b/>
            <sz val="9"/>
            <rFont val="宋体"/>
            <charset val="134"/>
          </rPr>
          <t>RR:</t>
        </r>
        <r>
          <rPr>
            <sz val="9"/>
            <rFont val="宋体"/>
            <charset val="134"/>
          </rPr>
          <t xml:space="preserve">
客版新资料</t>
        </r>
      </text>
    </comment>
    <comment ref="BB166" authorId="3">
      <text>
        <r>
          <rPr>
            <b/>
            <sz val="9"/>
            <rFont val="宋体"/>
            <charset val="134"/>
          </rPr>
          <t>RR:</t>
        </r>
        <r>
          <rPr>
            <sz val="9"/>
            <rFont val="宋体"/>
            <charset val="134"/>
          </rPr>
          <t xml:space="preserve">
客版新资料</t>
        </r>
      </text>
    </comment>
    <comment ref="BC166" authorId="3">
      <text>
        <r>
          <rPr>
            <b/>
            <sz val="9"/>
            <rFont val="宋体"/>
            <charset val="134"/>
          </rPr>
          <t>RR:</t>
        </r>
        <r>
          <rPr>
            <sz val="9"/>
            <rFont val="宋体"/>
            <charset val="134"/>
          </rPr>
          <t xml:space="preserve">
客版新资料</t>
        </r>
      </text>
    </comment>
    <comment ref="BD166" authorId="3">
      <text>
        <r>
          <rPr>
            <b/>
            <sz val="9"/>
            <rFont val="宋体"/>
            <charset val="134"/>
          </rPr>
          <t>RR:</t>
        </r>
        <r>
          <rPr>
            <sz val="9"/>
            <rFont val="宋体"/>
            <charset val="134"/>
          </rPr>
          <t xml:space="preserve">
客版新资料</t>
        </r>
      </text>
    </comment>
    <comment ref="BE166" authorId="3">
      <text>
        <r>
          <rPr>
            <b/>
            <sz val="9"/>
            <rFont val="宋体"/>
            <charset val="134"/>
          </rPr>
          <t>RR:</t>
        </r>
        <r>
          <rPr>
            <sz val="9"/>
            <rFont val="宋体"/>
            <charset val="134"/>
          </rPr>
          <t xml:space="preserve">
客版新资料</t>
        </r>
      </text>
    </comment>
    <comment ref="BF166" authorId="3">
      <text>
        <r>
          <rPr>
            <b/>
            <sz val="9"/>
            <rFont val="宋体"/>
            <charset val="134"/>
          </rPr>
          <t>RR:</t>
        </r>
        <r>
          <rPr>
            <sz val="9"/>
            <rFont val="宋体"/>
            <charset val="134"/>
          </rPr>
          <t xml:space="preserve">
客版新资料</t>
        </r>
      </text>
    </comment>
    <comment ref="T167" authorId="2">
      <text>
        <r>
          <rPr>
            <b/>
            <sz val="9"/>
            <rFont val="宋体"/>
            <charset val="134"/>
          </rPr>
          <t>龙丽娟:</t>
        </r>
        <r>
          <rPr>
            <sz val="9"/>
            <rFont val="宋体"/>
            <charset val="134"/>
          </rPr>
          <t xml:space="preserve">
6/4 2801073 10868pcs欣泰D5</t>
        </r>
      </text>
    </comment>
    <comment ref="V167" authorId="0">
      <text>
        <r>
          <rPr>
            <sz val="9"/>
            <rFont val="宋体"/>
            <charset val="134"/>
          </rPr>
          <t>Administrator:
5/15 上四国警告语贴纸10868pcs</t>
        </r>
        <r>
          <rPr>
            <b/>
            <sz val="9"/>
            <rFont val="宋体"/>
            <charset val="134"/>
          </rPr>
          <t xml:space="preserve">
龙丽娟:</t>
        </r>
        <r>
          <rPr>
            <sz val="9"/>
            <rFont val="宋体"/>
            <charset val="134"/>
          </rPr>
          <t xml:space="preserve">
7/3上空白贴纸4008pcs</t>
        </r>
      </text>
    </comment>
    <comment ref="T171" authorId="2">
      <text>
        <r>
          <rPr>
            <b/>
            <sz val="9"/>
            <rFont val="宋体"/>
            <charset val="134"/>
          </rPr>
          <t>龙丽娟:</t>
        </r>
        <r>
          <rPr>
            <sz val="9"/>
            <rFont val="宋体"/>
            <charset val="134"/>
          </rPr>
          <t xml:space="preserve">
6/5 2801114 1040pcs新2B5</t>
        </r>
      </text>
    </comment>
    <comment ref="V171" authorId="0">
      <text>
        <r>
          <rPr>
            <b/>
            <sz val="12"/>
            <rFont val="宋体"/>
            <charset val="134"/>
          </rPr>
          <t>Administrator:</t>
        </r>
        <r>
          <rPr>
            <sz val="12"/>
            <rFont val="宋体"/>
            <charset val="134"/>
          </rPr>
          <t xml:space="preserve">
5/15 SNI label贴纸1040pcs</t>
        </r>
      </text>
    </comment>
    <comment ref="V172" authorId="0">
      <text>
        <r>
          <rPr>
            <b/>
            <sz val="12"/>
            <rFont val="宋体"/>
            <charset val="134"/>
          </rPr>
          <t>Administrator:</t>
        </r>
        <r>
          <rPr>
            <sz val="12"/>
            <rFont val="宋体"/>
            <charset val="134"/>
          </rPr>
          <t xml:space="preserve">
4/29 上白色防盗贴纸403pcs
5/14 上Kmart外箱贴纸31pcs
</t>
        </r>
      </text>
    </comment>
    <comment ref="AX172" authorId="3">
      <text>
        <r>
          <rPr>
            <b/>
            <sz val="9"/>
            <rFont val="宋体"/>
            <charset val="134"/>
          </rPr>
          <t>RR:</t>
        </r>
        <r>
          <rPr>
            <sz val="9"/>
            <rFont val="宋体"/>
            <charset val="134"/>
          </rPr>
          <t xml:space="preserve">
移除21/23号唱片客版收藏指南</t>
        </r>
      </text>
    </comment>
    <comment ref="V173" authorId="0">
      <text>
        <r>
          <rPr>
            <b/>
            <sz val="12"/>
            <rFont val="宋体"/>
            <charset val="134"/>
          </rPr>
          <t>Administrator:</t>
        </r>
        <r>
          <rPr>
            <sz val="12"/>
            <rFont val="宋体"/>
            <charset val="134"/>
          </rPr>
          <t xml:space="preserve">
5/14 上Kmart外箱贴纸469pcs
</t>
        </r>
      </text>
    </comment>
    <comment ref="AX173" authorId="3">
      <text>
        <r>
          <rPr>
            <b/>
            <sz val="9"/>
            <rFont val="宋体"/>
            <charset val="134"/>
          </rPr>
          <t>RR:</t>
        </r>
        <r>
          <rPr>
            <sz val="9"/>
            <rFont val="宋体"/>
            <charset val="134"/>
          </rPr>
          <t xml:space="preserve">
移除21/23号唱片客版收藏指南</t>
        </r>
      </text>
    </comment>
    <comment ref="T174" authorId="2">
      <text>
        <r>
          <rPr>
            <b/>
            <sz val="9"/>
            <rFont val="宋体"/>
            <charset val="134"/>
          </rPr>
          <t>龙丽娟:</t>
        </r>
        <r>
          <rPr>
            <sz val="9"/>
            <rFont val="宋体"/>
            <charset val="134"/>
          </rPr>
          <t xml:space="preserve">
2801123 6/6 5720pcs欣泰B4</t>
        </r>
      </text>
    </comment>
    <comment ref="T175" authorId="2">
      <text>
        <r>
          <rPr>
            <b/>
            <sz val="9"/>
            <rFont val="宋体"/>
            <charset val="134"/>
          </rPr>
          <t>龙丽娟:</t>
        </r>
        <r>
          <rPr>
            <sz val="9"/>
            <rFont val="宋体"/>
            <charset val="134"/>
          </rPr>
          <t xml:space="preserve">
2801161 6/8 1300pcs顶均B7</t>
        </r>
      </text>
    </comment>
    <comment ref="V175" authorId="0">
      <text>
        <r>
          <rPr>
            <b/>
            <sz val="12"/>
            <rFont val="宋体"/>
            <charset val="134"/>
          </rPr>
          <t>Administrator:</t>
        </r>
        <r>
          <rPr>
            <sz val="12"/>
            <rFont val="宋体"/>
            <charset val="134"/>
          </rPr>
          <t xml:space="preserve">
5/16 上多语警语折叠贴纸1300ocs</t>
        </r>
      </text>
    </comment>
    <comment ref="T176" authorId="2">
      <text>
        <r>
          <rPr>
            <b/>
            <sz val="9"/>
            <rFont val="宋体"/>
            <charset val="134"/>
          </rPr>
          <t>龙丽娟:</t>
        </r>
        <r>
          <rPr>
            <sz val="9"/>
            <rFont val="宋体"/>
            <charset val="134"/>
          </rPr>
          <t xml:space="preserve">
6/5 2801114 1859pcs新2B5</t>
        </r>
      </text>
    </comment>
    <comment ref="V176" authorId="0">
      <text>
        <r>
          <rPr>
            <b/>
            <sz val="12"/>
            <rFont val="宋体"/>
            <charset val="134"/>
          </rPr>
          <t>Administrator:</t>
        </r>
        <r>
          <rPr>
            <sz val="12"/>
            <rFont val="宋体"/>
            <charset val="134"/>
          </rPr>
          <t xml:space="preserve">
5/16 上多语警语折叠贴纸1859ocs</t>
        </r>
      </text>
    </comment>
    <comment ref="T177" authorId="2">
      <text>
        <r>
          <rPr>
            <b/>
            <sz val="9"/>
            <rFont val="宋体"/>
            <charset val="134"/>
          </rPr>
          <t>龙丽娟:</t>
        </r>
        <r>
          <rPr>
            <sz val="9"/>
            <rFont val="宋体"/>
            <charset val="134"/>
          </rPr>
          <t xml:space="preserve">
6/6 2801170 390pcs</t>
        </r>
      </text>
    </comment>
    <comment ref="V177" authorId="0">
      <text>
        <r>
          <rPr>
            <b/>
            <sz val="12"/>
            <rFont val="宋体"/>
            <charset val="134"/>
          </rPr>
          <t>Administrator:</t>
        </r>
        <r>
          <rPr>
            <sz val="12"/>
            <rFont val="宋体"/>
            <charset val="134"/>
          </rPr>
          <t xml:space="preserve">
5/16 上多语警语折叠贴纸390ocs</t>
        </r>
      </text>
    </comment>
    <comment ref="V181" authorId="0">
      <text>
        <r>
          <rPr>
            <b/>
            <sz val="12"/>
            <rFont val="宋体"/>
            <charset val="134"/>
          </rPr>
          <t>Administrator:</t>
        </r>
        <r>
          <rPr>
            <sz val="12"/>
            <rFont val="宋体"/>
            <charset val="134"/>
          </rPr>
          <t xml:space="preserve">
5/20 警告语/环保标贴纸2748pcs</t>
        </r>
      </text>
    </comment>
    <comment ref="V182" authorId="0">
      <text>
        <r>
          <rPr>
            <b/>
            <sz val="12"/>
            <rFont val="宋体"/>
            <charset val="134"/>
          </rPr>
          <t>Administrator:</t>
        </r>
        <r>
          <rPr>
            <sz val="12"/>
            <rFont val="宋体"/>
            <charset val="134"/>
          </rPr>
          <t xml:space="preserve">
5/20 警告语/环保标贴纸1032pcs</t>
        </r>
      </text>
    </comment>
    <comment ref="T183" authorId="2">
      <text>
        <r>
          <rPr>
            <b/>
            <sz val="9"/>
            <rFont val="宋体"/>
            <charset val="134"/>
          </rPr>
          <t>龙丽娟:</t>
        </r>
        <r>
          <rPr>
            <sz val="9"/>
            <rFont val="宋体"/>
            <charset val="134"/>
          </rPr>
          <t xml:space="preserve">
6/26 1808pcs顶俊一楼c4</t>
        </r>
        <r>
          <rPr>
            <b/>
            <sz val="9"/>
            <rFont val="宋体"/>
            <charset val="134"/>
          </rPr>
          <t xml:space="preserve">
龙丽娟:</t>
        </r>
        <r>
          <rPr>
            <sz val="9"/>
            <rFont val="宋体"/>
            <charset val="134"/>
          </rPr>
          <t xml:space="preserve">
6480是从202342里转的</t>
        </r>
      </text>
    </comment>
    <comment ref="T184" authorId="2">
      <text>
        <r>
          <rPr>
            <b/>
            <sz val="9"/>
            <rFont val="宋体"/>
            <charset val="134"/>
          </rPr>
          <t>龙丽娟:</t>
        </r>
        <r>
          <rPr>
            <sz val="9"/>
            <rFont val="宋体"/>
            <charset val="134"/>
          </rPr>
          <t xml:space="preserve">
6/5 2801114 4797pcs新2B5</t>
        </r>
      </text>
    </comment>
    <comment ref="T185" authorId="2">
      <text>
        <r>
          <rPr>
            <b/>
            <sz val="9"/>
            <rFont val="宋体"/>
            <charset val="134"/>
          </rPr>
          <t>龙丽娟:</t>
        </r>
        <r>
          <rPr>
            <sz val="9"/>
            <rFont val="宋体"/>
            <charset val="134"/>
          </rPr>
          <t xml:space="preserve">
6/5 2801114 325pcs新2B5</t>
        </r>
      </text>
    </comment>
    <comment ref="V185" authorId="0">
      <text>
        <r>
          <rPr>
            <b/>
            <sz val="12"/>
            <rFont val="宋体"/>
            <charset val="134"/>
          </rPr>
          <t>Administrator:</t>
        </r>
        <r>
          <rPr>
            <sz val="12"/>
            <rFont val="宋体"/>
            <charset val="134"/>
          </rPr>
          <t xml:space="preserve">
5/20 进口商贴纸325pcs</t>
        </r>
      </text>
    </comment>
    <comment ref="T186" authorId="2">
      <text>
        <r>
          <rPr>
            <b/>
            <sz val="9"/>
            <rFont val="宋体"/>
            <charset val="134"/>
          </rPr>
          <t>龙丽娟:</t>
        </r>
        <r>
          <rPr>
            <sz val="9"/>
            <rFont val="宋体"/>
            <charset val="134"/>
          </rPr>
          <t xml:space="preserve">
6/6 2801170 1410pcs</t>
        </r>
      </text>
    </comment>
    <comment ref="V186" authorId="0">
      <text>
        <r>
          <rPr>
            <b/>
            <sz val="12"/>
            <rFont val="宋体"/>
            <charset val="134"/>
          </rPr>
          <t>Administrator:</t>
        </r>
        <r>
          <rPr>
            <sz val="12"/>
            <rFont val="宋体"/>
            <charset val="134"/>
          </rPr>
          <t xml:space="preserve">
5/20 进口商贴纸1410pcs</t>
        </r>
      </text>
    </comment>
    <comment ref="T190" authorId="2">
      <text>
        <r>
          <rPr>
            <b/>
            <sz val="9"/>
            <rFont val="宋体"/>
            <charset val="134"/>
          </rPr>
          <t>龙丽娟:</t>
        </r>
        <r>
          <rPr>
            <sz val="9"/>
            <rFont val="宋体"/>
            <charset val="134"/>
          </rPr>
          <t xml:space="preserve">
6/8 1000512 3198pcs</t>
        </r>
        <r>
          <rPr>
            <b/>
            <sz val="9"/>
            <rFont val="宋体"/>
            <charset val="134"/>
          </rPr>
          <t xml:space="preserve">
龙丽娟:</t>
        </r>
        <r>
          <rPr>
            <sz val="9"/>
            <rFont val="宋体"/>
            <charset val="134"/>
          </rPr>
          <t xml:space="preserve">
6/9 1000491 1122pcs</t>
        </r>
      </text>
    </comment>
    <comment ref="T191" authorId="2">
      <text>
        <r>
          <rPr>
            <b/>
            <sz val="9"/>
            <rFont val="宋体"/>
            <charset val="134"/>
          </rPr>
          <t>龙丽娟:</t>
        </r>
        <r>
          <rPr>
            <sz val="9"/>
            <rFont val="宋体"/>
            <charset val="134"/>
          </rPr>
          <t xml:space="preserve">
6/5 2801114 1950pcs新2B5</t>
        </r>
      </text>
    </comment>
    <comment ref="V191" authorId="2">
      <text>
        <r>
          <rPr>
            <b/>
            <sz val="9"/>
            <rFont val="宋体"/>
            <charset val="134"/>
          </rPr>
          <t>龙丽娟:</t>
        </r>
        <r>
          <rPr>
            <sz val="9"/>
            <rFont val="宋体"/>
            <charset val="134"/>
          </rPr>
          <t xml:space="preserve">
5/23上进口商贴纸 产品贴纸 weeee黑白说明书各2000pcs</t>
        </r>
      </text>
    </comment>
    <comment ref="AX191" authorId="3">
      <text>
        <r>
          <rPr>
            <b/>
            <sz val="9"/>
            <rFont val="宋体"/>
            <charset val="134"/>
          </rPr>
          <t>RR:</t>
        </r>
        <r>
          <rPr>
            <sz val="9"/>
            <rFont val="宋体"/>
            <charset val="134"/>
          </rPr>
          <t xml:space="preserve">
移除21/23号唱片客版收藏指南</t>
        </r>
      </text>
    </comment>
    <comment ref="V192" authorId="2">
      <text>
        <r>
          <rPr>
            <b/>
            <sz val="9"/>
            <rFont val="宋体"/>
            <charset val="134"/>
          </rPr>
          <t>龙丽娟:</t>
        </r>
        <r>
          <rPr>
            <sz val="9"/>
            <rFont val="宋体"/>
            <charset val="134"/>
          </rPr>
          <t xml:space="preserve">
7/3上空白贴纸4248pcs</t>
        </r>
        <r>
          <rPr>
            <b/>
            <sz val="9"/>
            <rFont val="宋体"/>
            <charset val="134"/>
          </rPr>
          <t xml:space="preserve">
龙丽娟:</t>
        </r>
        <r>
          <rPr>
            <sz val="9"/>
            <rFont val="宋体"/>
            <charset val="134"/>
          </rPr>
          <t xml:space="preserve">
7/3上进口商贴纸(含法国环保标）4248pcs
       上产品贴纸 4248pcs
       上WEEE说明书 4248pcs</t>
        </r>
      </text>
    </comment>
    <comment ref="T193" authorId="2">
      <text>
        <r>
          <rPr>
            <b/>
            <sz val="9"/>
            <rFont val="宋体"/>
            <charset val="134"/>
          </rPr>
          <t>龙丽娟:</t>
        </r>
        <r>
          <rPr>
            <sz val="9"/>
            <rFont val="宋体"/>
            <charset val="134"/>
          </rPr>
          <t xml:space="preserve">
2801149 6/9 954pcs顶均A16</t>
        </r>
      </text>
    </comment>
    <comment ref="T194" authorId="2">
      <text>
        <r>
          <rPr>
            <b/>
            <sz val="9"/>
            <rFont val="宋体"/>
            <charset val="134"/>
          </rPr>
          <t>龙丽娟:</t>
        </r>
        <r>
          <rPr>
            <sz val="9"/>
            <rFont val="宋体"/>
            <charset val="134"/>
          </rPr>
          <t xml:space="preserve">
2801149 6/9 960pcs顶均A16</t>
        </r>
      </text>
    </comment>
    <comment ref="T195" authorId="2">
      <text>
        <r>
          <rPr>
            <b/>
            <sz val="9"/>
            <rFont val="宋体"/>
            <charset val="134"/>
          </rPr>
          <t>龙丽娟:</t>
        </r>
        <r>
          <rPr>
            <sz val="9"/>
            <rFont val="宋体"/>
            <charset val="134"/>
          </rPr>
          <t xml:space="preserve">
2801149 6/9 3168pcs顶均A16</t>
        </r>
      </text>
    </comment>
    <comment ref="T196" authorId="2">
      <text>
        <r>
          <rPr>
            <b/>
            <sz val="9"/>
            <rFont val="宋体"/>
            <charset val="134"/>
          </rPr>
          <t>龙丽娟:</t>
        </r>
        <r>
          <rPr>
            <sz val="9"/>
            <rFont val="宋体"/>
            <charset val="134"/>
          </rPr>
          <t xml:space="preserve">
2801149 6/9 3348pcs顶均A16</t>
        </r>
      </text>
    </comment>
    <comment ref="T197" authorId="2">
      <text>
        <r>
          <rPr>
            <b/>
            <sz val="9"/>
            <rFont val="宋体"/>
            <charset val="134"/>
          </rPr>
          <t>龙丽娟:</t>
        </r>
        <r>
          <rPr>
            <sz val="9"/>
            <rFont val="宋体"/>
            <charset val="134"/>
          </rPr>
          <t xml:space="preserve">
2801149 6/9 786pcs顶均A16</t>
        </r>
      </text>
    </comment>
    <comment ref="T198" authorId="2">
      <text>
        <r>
          <rPr>
            <b/>
            <sz val="9"/>
            <rFont val="宋体"/>
            <charset val="134"/>
          </rPr>
          <t>龙丽娟:</t>
        </r>
        <r>
          <rPr>
            <sz val="9"/>
            <rFont val="宋体"/>
            <charset val="134"/>
          </rPr>
          <t xml:space="preserve">
2801149 6/9 426pcs顶均A16</t>
        </r>
      </text>
    </comment>
    <comment ref="T199" authorId="2">
      <text>
        <r>
          <rPr>
            <b/>
            <sz val="9"/>
            <rFont val="宋体"/>
            <charset val="134"/>
          </rPr>
          <t>龙丽娟:</t>
        </r>
        <r>
          <rPr>
            <sz val="9"/>
            <rFont val="宋体"/>
            <charset val="134"/>
          </rPr>
          <t xml:space="preserve">
2801149 6/9 1032pcs顶均A16</t>
        </r>
      </text>
    </comment>
    <comment ref="T200" authorId="2">
      <text>
        <r>
          <rPr>
            <b/>
            <sz val="9"/>
            <rFont val="宋体"/>
            <charset val="134"/>
          </rPr>
          <t>龙丽娟:</t>
        </r>
        <r>
          <rPr>
            <sz val="9"/>
            <rFont val="宋体"/>
            <charset val="134"/>
          </rPr>
          <t xml:space="preserve">
2801149 6/9 1026pcs顶均A16</t>
        </r>
      </text>
    </comment>
    <comment ref="T201" authorId="2">
      <text>
        <r>
          <rPr>
            <b/>
            <sz val="9"/>
            <rFont val="宋体"/>
            <charset val="134"/>
          </rPr>
          <t>龙丽娟:</t>
        </r>
        <r>
          <rPr>
            <sz val="9"/>
            <rFont val="宋体"/>
            <charset val="134"/>
          </rPr>
          <t xml:space="preserve">
2801149 6/9 1770pcs顶均A16</t>
        </r>
      </text>
    </comment>
    <comment ref="T202" authorId="2">
      <text>
        <r>
          <rPr>
            <b/>
            <sz val="9"/>
            <rFont val="宋体"/>
            <charset val="134"/>
          </rPr>
          <t>龙丽娟:</t>
        </r>
        <r>
          <rPr>
            <sz val="9"/>
            <rFont val="宋体"/>
            <charset val="134"/>
          </rPr>
          <t xml:space="preserve">
2801149 6/9 954pcs顶均A16</t>
        </r>
      </text>
    </comment>
    <comment ref="T203" authorId="2">
      <text>
        <r>
          <rPr>
            <b/>
            <sz val="9"/>
            <rFont val="宋体"/>
            <charset val="134"/>
          </rPr>
          <t>龙丽娟:</t>
        </r>
        <r>
          <rPr>
            <sz val="9"/>
            <rFont val="宋体"/>
            <charset val="134"/>
          </rPr>
          <t xml:space="preserve">
2801149 6/9 1236pcs顶均A16</t>
        </r>
      </text>
    </comment>
    <comment ref="T204" authorId="2">
      <text>
        <r>
          <rPr>
            <b/>
            <sz val="9"/>
            <rFont val="宋体"/>
            <charset val="134"/>
          </rPr>
          <t>龙丽娟:</t>
        </r>
        <r>
          <rPr>
            <sz val="9"/>
            <rFont val="宋体"/>
            <charset val="134"/>
          </rPr>
          <t xml:space="preserve">
2801149 6/9 732pcs顶均A16</t>
        </r>
      </text>
    </comment>
    <comment ref="T205" authorId="2">
      <text>
        <r>
          <rPr>
            <b/>
            <sz val="9"/>
            <rFont val="宋体"/>
            <charset val="134"/>
          </rPr>
          <t>龙丽娟:</t>
        </r>
        <r>
          <rPr>
            <sz val="9"/>
            <rFont val="宋体"/>
            <charset val="134"/>
          </rPr>
          <t xml:space="preserve">
6/9 2801157 2700pcspcs欣泰B3</t>
        </r>
        <r>
          <rPr>
            <b/>
            <sz val="9"/>
            <rFont val="宋体"/>
            <charset val="134"/>
          </rPr>
          <t xml:space="preserve">
龙丽娟:</t>
        </r>
        <r>
          <rPr>
            <sz val="9"/>
            <rFont val="宋体"/>
            <charset val="134"/>
          </rPr>
          <t xml:space="preserve">
6/10 2801192 100pcs</t>
        </r>
      </text>
    </comment>
    <comment ref="T206" authorId="2">
      <text>
        <r>
          <rPr>
            <b/>
            <sz val="9"/>
            <rFont val="宋体"/>
            <charset val="134"/>
          </rPr>
          <t>龙丽娟:</t>
        </r>
        <r>
          <rPr>
            <sz val="9"/>
            <rFont val="宋体"/>
            <charset val="134"/>
          </rPr>
          <t xml:space="preserve">
2801149 6/9 822pcs顶均A16</t>
        </r>
      </text>
    </comment>
    <comment ref="T207" authorId="2">
      <text>
        <r>
          <rPr>
            <b/>
            <sz val="9"/>
            <rFont val="宋体"/>
            <charset val="134"/>
          </rPr>
          <t>龙丽娟:</t>
        </r>
        <r>
          <rPr>
            <sz val="9"/>
            <rFont val="宋体"/>
            <charset val="134"/>
          </rPr>
          <t xml:space="preserve">
6/9 2801157 5000pcspcs欣泰B3</t>
        </r>
      </text>
    </comment>
    <comment ref="T208" authorId="2">
      <text>
        <r>
          <rPr>
            <b/>
            <sz val="9"/>
            <rFont val="宋体"/>
            <charset val="134"/>
          </rPr>
          <t>龙丽娟:</t>
        </r>
        <r>
          <rPr>
            <sz val="9"/>
            <rFont val="宋体"/>
            <charset val="134"/>
          </rPr>
          <t xml:space="preserve">
6/9 2801157 3000pcs欣泰B3</t>
        </r>
      </text>
    </comment>
    <comment ref="T209" authorId="2">
      <text>
        <r>
          <rPr>
            <b/>
            <sz val="9"/>
            <rFont val="宋体"/>
            <charset val="134"/>
          </rPr>
          <t>龙丽娟:</t>
        </r>
        <r>
          <rPr>
            <sz val="9"/>
            <rFont val="宋体"/>
            <charset val="134"/>
          </rPr>
          <t xml:space="preserve">
2801239 6/12 1200pcs欣泰A3</t>
        </r>
      </text>
    </comment>
    <comment ref="BB210" authorId="3">
      <text>
        <r>
          <rPr>
            <b/>
            <sz val="9"/>
            <rFont val="宋体"/>
            <charset val="134"/>
          </rPr>
          <t>RR:</t>
        </r>
        <r>
          <rPr>
            <sz val="9"/>
            <rFont val="宋体"/>
            <charset val="134"/>
          </rPr>
          <t xml:space="preserve">
客版新资料</t>
        </r>
      </text>
    </comment>
    <comment ref="BC210" authorId="3">
      <text>
        <r>
          <rPr>
            <b/>
            <sz val="9"/>
            <rFont val="宋体"/>
            <charset val="134"/>
          </rPr>
          <t>RR:</t>
        </r>
        <r>
          <rPr>
            <sz val="9"/>
            <rFont val="宋体"/>
            <charset val="134"/>
          </rPr>
          <t xml:space="preserve">
客版新资料</t>
        </r>
      </text>
    </comment>
    <comment ref="BD210" authorId="3">
      <text>
        <r>
          <rPr>
            <b/>
            <sz val="9"/>
            <rFont val="宋体"/>
            <charset val="134"/>
          </rPr>
          <t>RR:</t>
        </r>
        <r>
          <rPr>
            <sz val="9"/>
            <rFont val="宋体"/>
            <charset val="134"/>
          </rPr>
          <t xml:space="preserve">
客版新资料</t>
        </r>
      </text>
    </comment>
    <comment ref="BE210" authorId="3">
      <text>
        <r>
          <rPr>
            <b/>
            <sz val="9"/>
            <rFont val="宋体"/>
            <charset val="134"/>
          </rPr>
          <t>RR:</t>
        </r>
        <r>
          <rPr>
            <sz val="9"/>
            <rFont val="宋体"/>
            <charset val="134"/>
          </rPr>
          <t xml:space="preserve">
客版新资料</t>
        </r>
      </text>
    </comment>
    <comment ref="BF210" authorId="3">
      <text>
        <r>
          <rPr>
            <b/>
            <sz val="9"/>
            <rFont val="宋体"/>
            <charset val="134"/>
          </rPr>
          <t>RR:</t>
        </r>
        <r>
          <rPr>
            <sz val="9"/>
            <rFont val="宋体"/>
            <charset val="134"/>
          </rPr>
          <t xml:space="preserve">
客版新资料</t>
        </r>
      </text>
    </comment>
    <comment ref="T212" authorId="2">
      <text>
        <r>
          <rPr>
            <b/>
            <sz val="9"/>
            <rFont val="宋体"/>
            <charset val="134"/>
          </rPr>
          <t>龙丽娟:</t>
        </r>
        <r>
          <rPr>
            <sz val="9"/>
            <rFont val="宋体"/>
            <charset val="134"/>
          </rPr>
          <t xml:space="preserve">
6/9 2801177 700pcs欣泰B1</t>
        </r>
      </text>
    </comment>
    <comment ref="T214" authorId="2">
      <text>
        <r>
          <rPr>
            <b/>
            <sz val="9"/>
            <rFont val="宋体"/>
            <charset val="134"/>
          </rPr>
          <t>龙丽娟:</t>
        </r>
        <r>
          <rPr>
            <sz val="9"/>
            <rFont val="宋体"/>
            <charset val="134"/>
          </rPr>
          <t xml:space="preserve">
6/9 2801177 2700pcs欣泰B2</t>
        </r>
      </text>
    </comment>
    <comment ref="T215" authorId="2">
      <text>
        <r>
          <rPr>
            <b/>
            <sz val="9"/>
            <rFont val="宋体"/>
            <charset val="134"/>
          </rPr>
          <t>龙丽娟:</t>
        </r>
        <r>
          <rPr>
            <sz val="9"/>
            <rFont val="宋体"/>
            <charset val="134"/>
          </rPr>
          <t xml:space="preserve">
1001921  7/15 2004pcs</t>
        </r>
      </text>
    </comment>
    <comment ref="V215" authorId="0">
      <text>
        <r>
          <rPr>
            <sz val="9"/>
            <rFont val="宋体"/>
            <charset val="134"/>
          </rPr>
          <t xml:space="preserve">Administrator:
5/15 上空白贴纸4008pcs
5/15 上四国警告语贴纸2004pcs
</t>
        </r>
        <r>
          <rPr>
            <b/>
            <sz val="9"/>
            <rFont val="宋体"/>
            <charset val="134"/>
          </rPr>
          <t xml:space="preserve">
龙丽娟:</t>
        </r>
        <r>
          <rPr>
            <sz val="9"/>
            <rFont val="宋体"/>
            <charset val="134"/>
          </rPr>
          <t xml:space="preserve">
7/3上空白贴纸4008pcs</t>
        </r>
      </text>
    </comment>
    <comment ref="T216" authorId="2">
      <text>
        <r>
          <rPr>
            <b/>
            <sz val="9"/>
            <rFont val="宋体"/>
            <charset val="134"/>
          </rPr>
          <t>龙丽娟:</t>
        </r>
        <r>
          <rPr>
            <sz val="9"/>
            <rFont val="宋体"/>
            <charset val="134"/>
          </rPr>
          <t xml:space="preserve">
6/9 2801177 3536pcs欣泰B2</t>
        </r>
      </text>
    </comment>
    <comment ref="T220" authorId="2">
      <text>
        <r>
          <rPr>
            <b/>
            <sz val="9"/>
            <rFont val="宋体"/>
            <charset val="134"/>
          </rPr>
          <t>龙丽娟:</t>
        </r>
        <r>
          <rPr>
            <sz val="9"/>
            <rFont val="宋体"/>
            <charset val="134"/>
          </rPr>
          <t xml:space="preserve">
2801192 6/10 10560pcs  新泰一C5</t>
        </r>
      </text>
    </comment>
    <comment ref="V220" authorId="0">
      <text>
        <r>
          <rPr>
            <b/>
            <sz val="12"/>
            <rFont val="宋体"/>
            <charset val="134"/>
          </rPr>
          <t>Administrator:</t>
        </r>
        <r>
          <rPr>
            <sz val="12"/>
            <rFont val="宋体"/>
            <charset val="134"/>
          </rPr>
          <t xml:space="preserve">
5/7 上客供RFID贴纸8640pcs</t>
        </r>
      </text>
    </comment>
    <comment ref="V221" authorId="0">
      <text>
        <r>
          <rPr>
            <b/>
            <sz val="12"/>
            <rFont val="宋体"/>
            <charset val="134"/>
          </rPr>
          <t>Administrator:</t>
        </r>
        <r>
          <rPr>
            <sz val="12"/>
            <rFont val="宋体"/>
            <charset val="134"/>
          </rPr>
          <t xml:space="preserve">
5/6上UPC/进口商贴纸1248pcs</t>
        </r>
      </text>
    </comment>
    <comment ref="T229" authorId="2">
      <text>
        <r>
          <rPr>
            <b/>
            <sz val="9"/>
            <rFont val="宋体"/>
            <charset val="134"/>
          </rPr>
          <t>龙丽娟:</t>
        </r>
        <r>
          <rPr>
            <sz val="9"/>
            <rFont val="宋体"/>
            <charset val="134"/>
          </rPr>
          <t xml:space="preserve">
6/13 2801248 5316PCS 顶均B8</t>
        </r>
      </text>
    </comment>
    <comment ref="V229" authorId="2">
      <text>
        <r>
          <rPr>
            <b/>
            <sz val="9"/>
            <rFont val="宋体"/>
            <charset val="134"/>
          </rPr>
          <t>龙丽娟:</t>
        </r>
        <r>
          <rPr>
            <sz val="9"/>
            <rFont val="宋体"/>
            <charset val="134"/>
          </rPr>
          <t xml:space="preserve">
6/5上客供亚马逊贴纸443pcs</t>
        </r>
      </text>
    </comment>
    <comment ref="T230" authorId="2">
      <text>
        <r>
          <rPr>
            <b/>
            <sz val="9"/>
            <rFont val="宋体"/>
            <charset val="134"/>
          </rPr>
          <t>龙丽娟:</t>
        </r>
        <r>
          <rPr>
            <sz val="9"/>
            <rFont val="宋体"/>
            <charset val="134"/>
          </rPr>
          <t xml:space="preserve">
6/13 2801248 24PCS 顶均B8</t>
        </r>
      </text>
    </comment>
    <comment ref="V230" authorId="2">
      <text>
        <r>
          <rPr>
            <b/>
            <sz val="9"/>
            <rFont val="宋体"/>
            <charset val="134"/>
          </rPr>
          <t>龙丽娟:</t>
        </r>
        <r>
          <rPr>
            <sz val="9"/>
            <rFont val="宋体"/>
            <charset val="134"/>
          </rPr>
          <t xml:space="preserve">
6/5上客供亚马逊贴纸2pcs</t>
        </r>
      </text>
    </comment>
    <comment ref="T231" authorId="2">
      <text>
        <r>
          <rPr>
            <b/>
            <sz val="9"/>
            <rFont val="宋体"/>
            <charset val="134"/>
          </rPr>
          <t>龙丽娟:</t>
        </r>
        <r>
          <rPr>
            <sz val="9"/>
            <rFont val="宋体"/>
            <charset val="134"/>
          </rPr>
          <t xml:space="preserve">
6/13 2801241 3008PCS顶均B2</t>
        </r>
      </text>
    </comment>
    <comment ref="V232" authorId="2">
      <text>
        <r>
          <rPr>
            <b/>
            <sz val="9"/>
            <rFont val="宋体"/>
            <charset val="134"/>
          </rPr>
          <t>龙丽娟:</t>
        </r>
        <r>
          <rPr>
            <sz val="9"/>
            <rFont val="宋体"/>
            <charset val="134"/>
          </rPr>
          <t xml:space="preserve">
6/27上产品贴纸7584pcs</t>
        </r>
        <r>
          <rPr>
            <b/>
            <sz val="9"/>
            <rFont val="宋体"/>
            <charset val="134"/>
          </rPr>
          <t xml:space="preserve">
龙丽娟:</t>
        </r>
        <r>
          <rPr>
            <sz val="9"/>
            <rFont val="宋体"/>
            <charset val="134"/>
          </rPr>
          <t xml:space="preserve">
6/27上空白贴纸7584pcs</t>
        </r>
        <r>
          <rPr>
            <b/>
            <sz val="9"/>
            <rFont val="宋体"/>
            <charset val="134"/>
          </rPr>
          <t xml:space="preserve">
龙丽娟:</t>
        </r>
        <r>
          <rPr>
            <sz val="9"/>
            <rFont val="宋体"/>
            <charset val="134"/>
          </rPr>
          <t xml:space="preserve">
7/3上进口商贴纸（含法国环保标）7584pcs</t>
        </r>
      </text>
    </comment>
    <comment ref="BB236" authorId="3">
      <text>
        <r>
          <rPr>
            <b/>
            <sz val="9"/>
            <rFont val="宋体"/>
            <charset val="134"/>
          </rPr>
          <t>RR:</t>
        </r>
        <r>
          <rPr>
            <sz val="9"/>
            <rFont val="宋体"/>
            <charset val="134"/>
          </rPr>
          <t xml:space="preserve">
客版新资料</t>
        </r>
      </text>
    </comment>
    <comment ref="BC236" authorId="3">
      <text>
        <r>
          <rPr>
            <b/>
            <sz val="9"/>
            <rFont val="宋体"/>
            <charset val="134"/>
          </rPr>
          <t>RR:</t>
        </r>
        <r>
          <rPr>
            <sz val="9"/>
            <rFont val="宋体"/>
            <charset val="134"/>
          </rPr>
          <t xml:space="preserve">
客版新资料</t>
        </r>
      </text>
    </comment>
    <comment ref="BD236" authorId="3">
      <text>
        <r>
          <rPr>
            <b/>
            <sz val="9"/>
            <rFont val="宋体"/>
            <charset val="134"/>
          </rPr>
          <t>RR:</t>
        </r>
        <r>
          <rPr>
            <sz val="9"/>
            <rFont val="宋体"/>
            <charset val="134"/>
          </rPr>
          <t xml:space="preserve">
客版新资料</t>
        </r>
      </text>
    </comment>
    <comment ref="BE236" authorId="3">
      <text>
        <r>
          <rPr>
            <b/>
            <sz val="9"/>
            <rFont val="宋体"/>
            <charset val="134"/>
          </rPr>
          <t>RR:</t>
        </r>
        <r>
          <rPr>
            <sz val="9"/>
            <rFont val="宋体"/>
            <charset val="134"/>
          </rPr>
          <t xml:space="preserve">
客版新资料</t>
        </r>
      </text>
    </comment>
    <comment ref="BF236" authorId="3">
      <text>
        <r>
          <rPr>
            <b/>
            <sz val="9"/>
            <rFont val="宋体"/>
            <charset val="134"/>
          </rPr>
          <t>RR:</t>
        </r>
        <r>
          <rPr>
            <sz val="9"/>
            <rFont val="宋体"/>
            <charset val="134"/>
          </rPr>
          <t xml:space="preserve">
客版新资料</t>
        </r>
      </text>
    </comment>
    <comment ref="T237" authorId="2">
      <text>
        <r>
          <rPr>
            <b/>
            <sz val="9"/>
            <rFont val="宋体"/>
            <charset val="134"/>
          </rPr>
          <t>龙丽娟:</t>
        </r>
        <r>
          <rPr>
            <sz val="9"/>
            <rFont val="宋体"/>
            <charset val="134"/>
          </rPr>
          <t xml:space="preserve">
6/13 2801248 5316PCS 顶均B8</t>
        </r>
      </text>
    </comment>
    <comment ref="T239" authorId="2">
      <text>
        <r>
          <rPr>
            <b/>
            <sz val="9"/>
            <rFont val="宋体"/>
            <charset val="134"/>
          </rPr>
          <t>龙丽娟:</t>
        </r>
        <r>
          <rPr>
            <sz val="9"/>
            <rFont val="宋体"/>
            <charset val="134"/>
          </rPr>
          <t xml:space="preserve">
6/18 2201065 6097pcs顶均B8</t>
        </r>
      </text>
    </comment>
    <comment ref="V239" authorId="2">
      <text>
        <r>
          <rPr>
            <b/>
            <sz val="9"/>
            <rFont val="宋体"/>
            <charset val="134"/>
          </rPr>
          <t>龙丽娟:</t>
        </r>
        <r>
          <rPr>
            <sz val="9"/>
            <rFont val="宋体"/>
            <charset val="134"/>
          </rPr>
          <t xml:space="preserve">
上kmart外箱贴纸469pcs</t>
        </r>
      </text>
    </comment>
    <comment ref="AX239" authorId="3">
      <text>
        <r>
          <rPr>
            <b/>
            <sz val="9"/>
            <rFont val="宋体"/>
            <charset val="134"/>
          </rPr>
          <t>RR:</t>
        </r>
        <r>
          <rPr>
            <sz val="9"/>
            <rFont val="宋体"/>
            <charset val="134"/>
          </rPr>
          <t xml:space="preserve">
移除21/23号唱片客版收藏指南</t>
        </r>
      </text>
    </comment>
    <comment ref="T240" authorId="2">
      <text>
        <r>
          <rPr>
            <b/>
            <sz val="9"/>
            <rFont val="宋体"/>
            <charset val="134"/>
          </rPr>
          <t>龙丽娟:</t>
        </r>
        <r>
          <rPr>
            <sz val="9"/>
            <rFont val="宋体"/>
            <charset val="134"/>
          </rPr>
          <t xml:space="preserve">
2201117 6/22 403PCS顶均c2</t>
        </r>
      </text>
    </comment>
    <comment ref="V240" authorId="2">
      <text>
        <r>
          <rPr>
            <b/>
            <sz val="9"/>
            <rFont val="宋体"/>
            <charset val="134"/>
          </rPr>
          <t>龙丽娟:</t>
        </r>
        <r>
          <rPr>
            <sz val="9"/>
            <rFont val="宋体"/>
            <charset val="134"/>
          </rPr>
          <t xml:space="preserve">
上kmart外箱贴纸31pcs</t>
        </r>
      </text>
    </comment>
    <comment ref="AX240" authorId="3">
      <text>
        <r>
          <rPr>
            <b/>
            <sz val="9"/>
            <rFont val="宋体"/>
            <charset val="134"/>
          </rPr>
          <t>RR:</t>
        </r>
        <r>
          <rPr>
            <sz val="9"/>
            <rFont val="宋体"/>
            <charset val="134"/>
          </rPr>
          <t xml:space="preserve">
移除21/23号唱片客版收藏指南</t>
        </r>
      </text>
    </comment>
    <comment ref="T241" authorId="2">
      <text>
        <r>
          <rPr>
            <b/>
            <sz val="9"/>
            <rFont val="宋体"/>
            <charset val="134"/>
          </rPr>
          <t>龙丽娟:</t>
        </r>
        <r>
          <rPr>
            <sz val="9"/>
            <rFont val="宋体"/>
            <charset val="134"/>
          </rPr>
          <t xml:space="preserve">
6/13 2801241 2600PCS顶均B2</t>
        </r>
      </text>
    </comment>
    <comment ref="T242" authorId="2">
      <text>
        <r>
          <rPr>
            <b/>
            <sz val="9"/>
            <rFont val="宋体"/>
            <charset val="134"/>
          </rPr>
          <t>龙丽娟:</t>
        </r>
        <r>
          <rPr>
            <sz val="9"/>
            <rFont val="宋体"/>
            <charset val="134"/>
          </rPr>
          <t xml:space="preserve">
6/24 20020pcs b4-a7</t>
        </r>
      </text>
    </comment>
    <comment ref="T243" authorId="2">
      <text>
        <r>
          <rPr>
            <b/>
            <sz val="9"/>
            <rFont val="宋体"/>
            <charset val="134"/>
          </rPr>
          <t>龙丽娟:</t>
        </r>
        <r>
          <rPr>
            <sz val="9"/>
            <rFont val="宋体"/>
            <charset val="134"/>
          </rPr>
          <t xml:space="preserve">
2801274 6/16 728pcs</t>
        </r>
        <r>
          <rPr>
            <b/>
            <sz val="9"/>
            <rFont val="宋体"/>
            <charset val="134"/>
          </rPr>
          <t xml:space="preserve">
龙丽娟:</t>
        </r>
        <r>
          <rPr>
            <sz val="9"/>
            <rFont val="宋体"/>
            <charset val="134"/>
          </rPr>
          <t xml:space="preserve">
2201047 6/16 52pcs</t>
        </r>
      </text>
    </comment>
    <comment ref="V243" authorId="0">
      <text>
        <r>
          <rPr>
            <b/>
            <sz val="12"/>
            <rFont val="宋体"/>
            <charset val="134"/>
          </rPr>
          <t>Administrator:</t>
        </r>
        <r>
          <rPr>
            <sz val="12"/>
            <rFont val="宋体"/>
            <charset val="134"/>
          </rPr>
          <t xml:space="preserve">
4/29 上客供警语贴纸球底部贴808pcs
4/29 上客供警语贴纸收藏指南和拆件说明书1071pcs</t>
        </r>
      </text>
    </comment>
    <comment ref="V244" authorId="2">
      <text>
        <r>
          <rPr>
            <b/>
            <sz val="9"/>
            <rFont val="宋体"/>
            <charset val="134"/>
          </rPr>
          <t>龙丽娟:</t>
        </r>
        <r>
          <rPr>
            <sz val="9"/>
            <rFont val="宋体"/>
            <charset val="134"/>
          </rPr>
          <t xml:space="preserve">
7/3上空白贴纸2310pcs</t>
        </r>
      </text>
    </comment>
    <comment ref="T245" authorId="2">
      <text>
        <r>
          <rPr>
            <b/>
            <sz val="9"/>
            <rFont val="宋体"/>
            <charset val="134"/>
          </rPr>
          <t>龙丽娟:</t>
        </r>
        <r>
          <rPr>
            <sz val="9"/>
            <rFont val="宋体"/>
            <charset val="134"/>
          </rPr>
          <t xml:space="preserve">
2801286 7/12 520pcs欣泰a5</t>
        </r>
      </text>
    </comment>
    <comment ref="T246" authorId="2">
      <text>
        <r>
          <rPr>
            <b/>
            <sz val="9"/>
            <rFont val="宋体"/>
            <charset val="134"/>
          </rPr>
          <t>龙丽娟:</t>
        </r>
        <r>
          <rPr>
            <sz val="9"/>
            <rFont val="宋体"/>
            <charset val="134"/>
          </rPr>
          <t xml:space="preserve">
7/12 2801298 660pcs五车间</t>
        </r>
      </text>
    </comment>
    <comment ref="V246" authorId="2">
      <text>
        <r>
          <rPr>
            <b/>
            <sz val="9"/>
            <rFont val="宋体"/>
            <charset val="134"/>
          </rPr>
          <t>龙丽娟:</t>
        </r>
        <r>
          <rPr>
            <sz val="9"/>
            <rFont val="宋体"/>
            <charset val="134"/>
          </rPr>
          <t xml:space="preserve">
6/17上空白贴纸1320pcs上丹麦贴纸1320pcs</t>
        </r>
        <r>
          <rPr>
            <b/>
            <sz val="9"/>
            <rFont val="宋体"/>
            <charset val="134"/>
          </rPr>
          <t xml:space="preserve">
龙丽娟:</t>
        </r>
        <r>
          <rPr>
            <sz val="9"/>
            <rFont val="宋体"/>
            <charset val="134"/>
          </rPr>
          <t xml:space="preserve">
7/3上丹麦沙尼亚芬兰警语贴纸2970pcs</t>
        </r>
        <r>
          <rPr>
            <b/>
            <sz val="9"/>
            <rFont val="宋体"/>
            <charset val="134"/>
          </rPr>
          <t xml:space="preserve">
龙丽娟:</t>
        </r>
        <r>
          <rPr>
            <sz val="9"/>
            <rFont val="宋体"/>
            <charset val="134"/>
          </rPr>
          <t xml:space="preserve">
7/3上空白贴纸2970pcs</t>
        </r>
      </text>
    </comment>
    <comment ref="T251" authorId="2">
      <text>
        <r>
          <rPr>
            <b/>
            <sz val="9"/>
            <rFont val="宋体"/>
            <charset val="134"/>
          </rPr>
          <t>龙丽娟:</t>
        </r>
        <r>
          <rPr>
            <sz val="9"/>
            <rFont val="宋体"/>
            <charset val="134"/>
          </rPr>
          <t xml:space="preserve">
2200965 6/27 9000pcs顶均B7</t>
        </r>
      </text>
    </comment>
    <comment ref="T252" authorId="2">
      <text>
        <r>
          <rPr>
            <b/>
            <sz val="9"/>
            <rFont val="宋体"/>
            <charset val="134"/>
          </rPr>
          <t>龙丽娟:</t>
        </r>
        <r>
          <rPr>
            <sz val="9"/>
            <rFont val="宋体"/>
            <charset val="134"/>
          </rPr>
          <t xml:space="preserve">
2200965 6/27 9000pcs顶均B7</t>
        </r>
      </text>
    </comment>
    <comment ref="T253" authorId="2">
      <text>
        <r>
          <rPr>
            <b/>
            <sz val="9"/>
            <rFont val="宋体"/>
            <charset val="134"/>
          </rPr>
          <t>龙丽娟:</t>
        </r>
        <r>
          <rPr>
            <sz val="9"/>
            <rFont val="宋体"/>
            <charset val="134"/>
          </rPr>
          <t xml:space="preserve">
6/26 2200946 1196pcs欣泰b2</t>
        </r>
      </text>
    </comment>
    <comment ref="T254" authorId="2">
      <text>
        <r>
          <rPr>
            <b/>
            <sz val="9"/>
            <rFont val="宋体"/>
            <charset val="134"/>
          </rPr>
          <t>龙丽娟:</t>
        </r>
        <r>
          <rPr>
            <sz val="9"/>
            <rFont val="宋体"/>
            <charset val="134"/>
          </rPr>
          <t xml:space="preserve">
2801239 6/12 3000pcs</t>
        </r>
      </text>
    </comment>
    <comment ref="T255" authorId="2">
      <text>
        <r>
          <rPr>
            <b/>
            <sz val="9"/>
            <rFont val="宋体"/>
            <charset val="134"/>
          </rPr>
          <t>龙丽娟:</t>
        </r>
        <r>
          <rPr>
            <sz val="9"/>
            <rFont val="宋体"/>
            <charset val="134"/>
          </rPr>
          <t xml:space="preserve">
7/11 2801277 1560pcs欣泰B 3</t>
        </r>
      </text>
    </comment>
    <comment ref="V255" authorId="2">
      <text>
        <r>
          <rPr>
            <b/>
            <sz val="9"/>
            <rFont val="宋体"/>
            <charset val="134"/>
          </rPr>
          <t>龙丽娟:</t>
        </r>
        <r>
          <rPr>
            <sz val="9"/>
            <rFont val="宋体"/>
            <charset val="134"/>
          </rPr>
          <t xml:space="preserve">
6/27上进口商贴纸1560pcs</t>
        </r>
      </text>
    </comment>
    <comment ref="V256" authorId="2">
      <text>
        <r>
          <rPr>
            <b/>
            <sz val="9"/>
            <rFont val="宋体"/>
            <charset val="134"/>
          </rPr>
          <t>龙丽娟:</t>
        </r>
        <r>
          <rPr>
            <sz val="9"/>
            <rFont val="宋体"/>
            <charset val="134"/>
          </rPr>
          <t xml:space="preserve">
6/22上客供价格贴纸8220pcs</t>
        </r>
        <r>
          <rPr>
            <b/>
            <sz val="9"/>
            <rFont val="宋体"/>
            <charset val="134"/>
          </rPr>
          <t xml:space="preserve">
龙丽娟:</t>
        </r>
        <r>
          <rPr>
            <sz val="9"/>
            <rFont val="宋体"/>
            <charset val="134"/>
          </rPr>
          <t xml:space="preserve">
7/7上进口商贴纸8000pcs</t>
        </r>
      </text>
    </comment>
    <comment ref="T257" authorId="2">
      <text>
        <r>
          <rPr>
            <b/>
            <sz val="9"/>
            <rFont val="宋体"/>
            <charset val="134"/>
          </rPr>
          <t>龙丽娟:</t>
        </r>
        <r>
          <rPr>
            <sz val="9"/>
            <rFont val="宋体"/>
            <charset val="134"/>
          </rPr>
          <t xml:space="preserve">
7/15 1001921 600pcs欣泰B4</t>
        </r>
      </text>
    </comment>
    <comment ref="V257" authorId="0">
      <text>
        <r>
          <rPr>
            <b/>
            <sz val="12"/>
            <rFont val="宋体"/>
            <charset val="134"/>
          </rPr>
          <t>Administrator:</t>
        </r>
        <r>
          <rPr>
            <sz val="12"/>
            <rFont val="宋体"/>
            <charset val="134"/>
          </rPr>
          <t xml:space="preserve">
5/21 进口商贴纸600pcs</t>
        </r>
      </text>
    </comment>
    <comment ref="T262" authorId="2">
      <text>
        <r>
          <rPr>
            <b/>
            <sz val="9"/>
            <rFont val="宋体"/>
            <charset val="134"/>
          </rPr>
          <t>龙丽娟:</t>
        </r>
        <r>
          <rPr>
            <sz val="9"/>
            <rFont val="宋体"/>
            <charset val="134"/>
          </rPr>
          <t xml:space="preserve">
7/9 2201265 37856pcs欣泰2楼B2</t>
        </r>
        <r>
          <rPr>
            <b/>
            <sz val="9"/>
            <rFont val="宋体"/>
            <charset val="134"/>
          </rPr>
          <t xml:space="preserve">
龙丽娟:</t>
        </r>
        <r>
          <rPr>
            <sz val="9"/>
            <rFont val="宋体"/>
            <charset val="134"/>
          </rPr>
          <t xml:space="preserve">
7/9 2201281 156pcs欣泰B2</t>
        </r>
      </text>
    </comment>
    <comment ref="V262" authorId="2">
      <text>
        <r>
          <rPr>
            <b/>
            <sz val="9"/>
            <rFont val="宋体"/>
            <charset val="134"/>
          </rPr>
          <t>龙丽娟:</t>
        </r>
        <r>
          <rPr>
            <sz val="9"/>
            <rFont val="宋体"/>
            <charset val="134"/>
          </rPr>
          <t xml:space="preserve">
6/27上价格贴纸16000pcs</t>
        </r>
        <r>
          <rPr>
            <b/>
            <sz val="9"/>
            <rFont val="宋体"/>
            <charset val="134"/>
          </rPr>
          <t xml:space="preserve">
龙丽娟:</t>
        </r>
        <r>
          <rPr>
            <sz val="9"/>
            <rFont val="宋体"/>
            <charset val="134"/>
          </rPr>
          <t xml:space="preserve">
6/27上价格贴纸38012pcs</t>
        </r>
      </text>
    </comment>
    <comment ref="T263" authorId="2">
      <text>
        <r>
          <rPr>
            <b/>
            <sz val="9"/>
            <rFont val="宋体"/>
            <charset val="134"/>
          </rPr>
          <t>龙丽娟:</t>
        </r>
        <r>
          <rPr>
            <sz val="9"/>
            <rFont val="宋体"/>
            <charset val="134"/>
          </rPr>
          <t xml:space="preserve">
6/25 2201165 6000pcs欣泰c4</t>
        </r>
      </text>
    </comment>
    <comment ref="T265" authorId="2">
      <text>
        <r>
          <rPr>
            <b/>
            <sz val="9"/>
            <rFont val="宋体"/>
            <charset val="134"/>
          </rPr>
          <t>龙丽娟:</t>
        </r>
        <r>
          <rPr>
            <sz val="9"/>
            <rFont val="宋体"/>
            <charset val="134"/>
          </rPr>
          <t xml:space="preserve">
7/14 1001943 500pcs欣泰c5</t>
        </r>
      </text>
    </comment>
    <comment ref="V265" authorId="2">
      <text>
        <r>
          <rPr>
            <b/>
            <sz val="9"/>
            <rFont val="宋体"/>
            <charset val="134"/>
          </rPr>
          <t>龙丽娟:</t>
        </r>
        <r>
          <rPr>
            <sz val="9"/>
            <rFont val="宋体"/>
            <charset val="134"/>
          </rPr>
          <t xml:space="preserve">
6/10上家乐福外箱贴纸60pcs</t>
        </r>
        <r>
          <rPr>
            <b/>
            <sz val="9"/>
            <rFont val="宋体"/>
            <charset val="134"/>
          </rPr>
          <t xml:space="preserve">
龙丽娟:</t>
        </r>
        <r>
          <rPr>
            <sz val="9"/>
            <rFont val="宋体"/>
            <charset val="134"/>
          </rPr>
          <t xml:space="preserve">
7/3上客户贴纸10300pcs
201727/201776共用</t>
        </r>
      </text>
    </comment>
    <comment ref="T266" authorId="2">
      <text>
        <r>
          <rPr>
            <b/>
            <sz val="9"/>
            <rFont val="宋体"/>
            <charset val="134"/>
          </rPr>
          <t>龙丽娟:</t>
        </r>
        <r>
          <rPr>
            <sz val="9"/>
            <rFont val="宋体"/>
            <charset val="134"/>
          </rPr>
          <t xml:space="preserve">
7/9 2201281 3120 pcs欣泰A5</t>
        </r>
      </text>
    </comment>
    <comment ref="V266" authorId="2">
      <text>
        <r>
          <rPr>
            <b/>
            <sz val="9"/>
            <rFont val="宋体"/>
            <charset val="134"/>
          </rPr>
          <t>龙丽娟:</t>
        </r>
        <r>
          <rPr>
            <sz val="9"/>
            <rFont val="宋体"/>
            <charset val="134"/>
          </rPr>
          <t xml:space="preserve">
6/9收到240pcs PDQ贴纸留车间返工</t>
        </r>
      </text>
    </comment>
    <comment ref="T267" authorId="2">
      <text>
        <r>
          <rPr>
            <b/>
            <sz val="9"/>
            <rFont val="宋体"/>
            <charset val="134"/>
          </rPr>
          <t>龙丽娟:</t>
        </r>
        <r>
          <rPr>
            <sz val="9"/>
            <rFont val="宋体"/>
            <charset val="134"/>
          </rPr>
          <t xml:space="preserve">
1001943 7/14 520pcs</t>
        </r>
      </text>
    </comment>
    <comment ref="V267" authorId="2">
      <text>
        <r>
          <rPr>
            <b/>
            <sz val="9"/>
            <rFont val="宋体"/>
            <charset val="134"/>
          </rPr>
          <t>龙丽娟:</t>
        </r>
        <r>
          <rPr>
            <sz val="9"/>
            <rFont val="宋体"/>
            <charset val="134"/>
          </rPr>
          <t xml:space="preserve">
6/1上警告语环保贴纸520pcs</t>
        </r>
      </text>
    </comment>
    <comment ref="T268" authorId="2">
      <text>
        <r>
          <rPr>
            <b/>
            <sz val="9"/>
            <rFont val="宋体"/>
            <charset val="134"/>
          </rPr>
          <t>龙丽娟:</t>
        </r>
        <r>
          <rPr>
            <sz val="9"/>
            <rFont val="宋体"/>
            <charset val="134"/>
          </rPr>
          <t xml:space="preserve">
2801286 7/12 3000pcs欣泰c4</t>
        </r>
      </text>
    </comment>
    <comment ref="V269" authorId="2">
      <text>
        <r>
          <rPr>
            <b/>
            <sz val="9"/>
            <rFont val="宋体"/>
            <charset val="134"/>
          </rPr>
          <t>龙丽娟:</t>
        </r>
        <r>
          <rPr>
            <sz val="9"/>
            <rFont val="宋体"/>
            <charset val="134"/>
          </rPr>
          <t xml:space="preserve">
6/10上家乐福外箱贴纸40pcs</t>
        </r>
        <r>
          <rPr>
            <b/>
            <sz val="9"/>
            <rFont val="宋体"/>
            <charset val="134"/>
          </rPr>
          <t xml:space="preserve">
龙丽娟:</t>
        </r>
        <r>
          <rPr>
            <sz val="9"/>
            <rFont val="宋体"/>
            <charset val="134"/>
          </rPr>
          <t xml:space="preserve">
7/3上客户贴纸10300pcs
201727/201776共用</t>
        </r>
      </text>
    </comment>
    <comment ref="T270" authorId="2">
      <text>
        <r>
          <rPr>
            <b/>
            <sz val="9"/>
            <rFont val="宋体"/>
            <charset val="134"/>
          </rPr>
          <t>龙丽娟:</t>
        </r>
        <r>
          <rPr>
            <sz val="9"/>
            <rFont val="宋体"/>
            <charset val="134"/>
          </rPr>
          <t xml:space="preserve">
6/26 2200946 2000pcs欣泰b2</t>
        </r>
      </text>
    </comment>
    <comment ref="V270" authorId="2">
      <text>
        <r>
          <rPr>
            <b/>
            <sz val="9"/>
            <rFont val="宋体"/>
            <charset val="134"/>
          </rPr>
          <t>龙丽娟:</t>
        </r>
        <r>
          <rPr>
            <sz val="9"/>
            <rFont val="宋体"/>
            <charset val="134"/>
          </rPr>
          <t xml:space="preserve">
6/27上进口商贴纸2000pcs</t>
        </r>
      </text>
    </comment>
    <comment ref="V271" authorId="2">
      <text>
        <r>
          <rPr>
            <b/>
            <sz val="9"/>
            <rFont val="宋体"/>
            <charset val="134"/>
          </rPr>
          <t>龙丽娟:</t>
        </r>
        <r>
          <rPr>
            <sz val="9"/>
            <rFont val="宋体"/>
            <charset val="134"/>
          </rPr>
          <t xml:space="preserve">
6/25 上客供asn贴纸/客供hu条码/客供hu，s条形码贴纸各40pcs</t>
        </r>
      </text>
    </comment>
    <comment ref="T272" authorId="2">
      <text>
        <r>
          <rPr>
            <b/>
            <sz val="9"/>
            <rFont val="宋体"/>
            <charset val="134"/>
          </rPr>
          <t>龙丽娟:</t>
        </r>
        <r>
          <rPr>
            <sz val="9"/>
            <rFont val="宋体"/>
            <charset val="134"/>
          </rPr>
          <t xml:space="preserve">
 6/24 1000pcs顶均b2</t>
        </r>
      </text>
    </comment>
    <comment ref="V272" authorId="2">
      <text>
        <r>
          <rPr>
            <b/>
            <sz val="9"/>
            <rFont val="宋体"/>
            <charset val="134"/>
          </rPr>
          <t>龙丽娟:</t>
        </r>
        <r>
          <rPr>
            <sz val="9"/>
            <rFont val="宋体"/>
            <charset val="134"/>
          </rPr>
          <t xml:space="preserve">
6/9上upc贴纸1000pcs</t>
        </r>
      </text>
    </comment>
    <comment ref="BB273" authorId="3">
      <text>
        <r>
          <rPr>
            <b/>
            <sz val="9"/>
            <rFont val="宋体"/>
            <charset val="134"/>
          </rPr>
          <t>RR:</t>
        </r>
        <r>
          <rPr>
            <sz val="9"/>
            <rFont val="宋体"/>
            <charset val="134"/>
          </rPr>
          <t xml:space="preserve">
客版新资料</t>
        </r>
      </text>
    </comment>
    <comment ref="BC273" authorId="3">
      <text>
        <r>
          <rPr>
            <b/>
            <sz val="9"/>
            <rFont val="宋体"/>
            <charset val="134"/>
          </rPr>
          <t>RR:</t>
        </r>
        <r>
          <rPr>
            <sz val="9"/>
            <rFont val="宋体"/>
            <charset val="134"/>
          </rPr>
          <t xml:space="preserve">
客版新资料</t>
        </r>
      </text>
    </comment>
    <comment ref="BD273" authorId="3">
      <text>
        <r>
          <rPr>
            <b/>
            <sz val="9"/>
            <rFont val="宋体"/>
            <charset val="134"/>
          </rPr>
          <t>RR:</t>
        </r>
        <r>
          <rPr>
            <sz val="9"/>
            <rFont val="宋体"/>
            <charset val="134"/>
          </rPr>
          <t xml:space="preserve">
客版新资料</t>
        </r>
      </text>
    </comment>
    <comment ref="BE273" authorId="3">
      <text>
        <r>
          <rPr>
            <b/>
            <sz val="9"/>
            <rFont val="宋体"/>
            <charset val="134"/>
          </rPr>
          <t>RR:</t>
        </r>
        <r>
          <rPr>
            <sz val="9"/>
            <rFont val="宋体"/>
            <charset val="134"/>
          </rPr>
          <t xml:space="preserve">
客版新资料</t>
        </r>
      </text>
    </comment>
    <comment ref="BF273" authorId="3">
      <text>
        <r>
          <rPr>
            <b/>
            <sz val="9"/>
            <rFont val="宋体"/>
            <charset val="134"/>
          </rPr>
          <t>RR:</t>
        </r>
        <r>
          <rPr>
            <sz val="9"/>
            <rFont val="宋体"/>
            <charset val="134"/>
          </rPr>
          <t xml:space="preserve">
客版新资料</t>
        </r>
      </text>
    </comment>
    <comment ref="T274" authorId="2">
      <text>
        <r>
          <rPr>
            <b/>
            <sz val="9"/>
            <rFont val="宋体"/>
            <charset val="134"/>
          </rPr>
          <t>龙丽娟:</t>
        </r>
        <r>
          <rPr>
            <sz val="9"/>
            <rFont val="宋体"/>
            <charset val="134"/>
          </rPr>
          <t xml:space="preserve">
6/26 25000pcs欣泰B3</t>
        </r>
      </text>
    </comment>
    <comment ref="V274" authorId="2">
      <text>
        <r>
          <rPr>
            <b/>
            <sz val="9"/>
            <rFont val="宋体"/>
            <charset val="134"/>
          </rPr>
          <t>龙丽娟:</t>
        </r>
        <r>
          <rPr>
            <sz val="9"/>
            <rFont val="宋体"/>
            <charset val="134"/>
          </rPr>
          <t xml:space="preserve">
6/9上保证书25000pcs</t>
        </r>
      </text>
    </comment>
    <comment ref="T276" authorId="2">
      <text>
        <r>
          <rPr>
            <b/>
            <sz val="9"/>
            <rFont val="宋体"/>
            <charset val="134"/>
          </rPr>
          <t>龙丽娟:</t>
        </r>
        <r>
          <rPr>
            <sz val="9"/>
            <rFont val="宋体"/>
            <charset val="134"/>
          </rPr>
          <t xml:space="preserve">
7/1 2201037 5648pcs欣泰a7</t>
        </r>
      </text>
    </comment>
    <comment ref="T277" authorId="2">
      <text>
        <r>
          <rPr>
            <b/>
            <sz val="9"/>
            <rFont val="宋体"/>
            <charset val="134"/>
          </rPr>
          <t>龙丽娟:</t>
        </r>
        <r>
          <rPr>
            <sz val="9"/>
            <rFont val="宋体"/>
            <charset val="134"/>
          </rPr>
          <t xml:space="preserve">
7/1 2201037 6352pcs欣泰a7</t>
        </r>
      </text>
    </comment>
    <comment ref="T278" authorId="2">
      <text>
        <r>
          <rPr>
            <b/>
            <sz val="9"/>
            <rFont val="宋体"/>
            <charset val="134"/>
          </rPr>
          <t>龙丽娟:</t>
        </r>
        <r>
          <rPr>
            <sz val="9"/>
            <rFont val="宋体"/>
            <charset val="134"/>
          </rPr>
          <t xml:space="preserve">
6/27 2200981 17212pcs欣泰c3</t>
        </r>
      </text>
    </comment>
    <comment ref="T279" authorId="2">
      <text>
        <r>
          <rPr>
            <b/>
            <sz val="9"/>
            <rFont val="宋体"/>
            <charset val="134"/>
          </rPr>
          <t>龙丽娟:</t>
        </r>
        <r>
          <rPr>
            <sz val="9"/>
            <rFont val="宋体"/>
            <charset val="134"/>
          </rPr>
          <t xml:space="preserve">
6/27 2200981 2080pcs欣泰c3</t>
        </r>
      </text>
    </comment>
    <comment ref="T280" authorId="2">
      <text>
        <r>
          <rPr>
            <b/>
            <sz val="9"/>
            <rFont val="宋体"/>
            <charset val="134"/>
          </rPr>
          <t>龙丽娟:</t>
        </r>
        <r>
          <rPr>
            <sz val="9"/>
            <rFont val="宋体"/>
            <charset val="134"/>
          </rPr>
          <t xml:space="preserve">
6/26 3036pcs欣泰c7</t>
        </r>
      </text>
    </comment>
    <comment ref="T281" authorId="2">
      <text>
        <r>
          <rPr>
            <b/>
            <sz val="9"/>
            <rFont val="宋体"/>
            <charset val="134"/>
          </rPr>
          <t>龙丽娟:</t>
        </r>
        <r>
          <rPr>
            <sz val="9"/>
            <rFont val="宋体"/>
            <charset val="134"/>
          </rPr>
          <t xml:space="preserve">
2200947 6/26 3108pcs  新泰一C7</t>
        </r>
        <r>
          <rPr>
            <b/>
            <sz val="9"/>
            <rFont val="宋体"/>
            <charset val="134"/>
          </rPr>
          <t xml:space="preserve">
龙丽娟:</t>
        </r>
        <r>
          <rPr>
            <sz val="9"/>
            <rFont val="宋体"/>
            <charset val="134"/>
          </rPr>
          <t xml:space="preserve">
7/17 1001874 162pcs直走</t>
        </r>
      </text>
    </comment>
    <comment ref="T283" authorId="2">
      <text>
        <r>
          <rPr>
            <b/>
            <sz val="9"/>
            <rFont val="宋体"/>
            <charset val="134"/>
          </rPr>
          <t>龙丽娟:</t>
        </r>
        <r>
          <rPr>
            <sz val="9"/>
            <rFont val="宋体"/>
            <charset val="134"/>
          </rPr>
          <t xml:space="preserve">
2500300 6/15 100000pcs</t>
        </r>
      </text>
    </comment>
    <comment ref="V283" authorId="2">
      <text>
        <r>
          <rPr>
            <b/>
            <sz val="9"/>
            <rFont val="宋体"/>
            <charset val="134"/>
          </rPr>
          <t>龙丽娟:</t>
        </r>
        <r>
          <rPr>
            <sz val="9"/>
            <rFont val="宋体"/>
            <charset val="134"/>
          </rPr>
          <t xml:space="preserve">
6/25上客供外箱条码贴纸4100pcs</t>
        </r>
      </text>
    </comment>
    <comment ref="V287" authorId="2">
      <text>
        <r>
          <rPr>
            <b/>
            <sz val="9"/>
            <rFont val="宋体"/>
            <charset val="134"/>
          </rPr>
          <t>龙丽娟:</t>
        </r>
        <r>
          <rPr>
            <sz val="9"/>
            <rFont val="宋体"/>
            <charset val="134"/>
          </rPr>
          <t xml:space="preserve">
6/27上UPC贴纸10764pcs</t>
        </r>
      </text>
    </comment>
    <comment ref="T288" authorId="2">
      <text>
        <r>
          <rPr>
            <b/>
            <sz val="9"/>
            <rFont val="宋体"/>
            <charset val="134"/>
          </rPr>
          <t>龙丽娟:</t>
        </r>
        <r>
          <rPr>
            <sz val="9"/>
            <rFont val="宋体"/>
            <charset val="134"/>
          </rPr>
          <t xml:space="preserve">
7/12 2801298 7500PCS欣泰d3</t>
        </r>
      </text>
    </comment>
    <comment ref="V288" authorId="2">
      <text>
        <r>
          <rPr>
            <b/>
            <sz val="9"/>
            <rFont val="宋体"/>
            <charset val="134"/>
          </rPr>
          <t>龙丽娟:</t>
        </r>
        <r>
          <rPr>
            <sz val="9"/>
            <rFont val="宋体"/>
            <charset val="134"/>
          </rPr>
          <t xml:space="preserve">
7/27上客人通用进口商贴纸7500pcs</t>
        </r>
      </text>
    </comment>
    <comment ref="V295" authorId="2">
      <text>
        <r>
          <rPr>
            <b/>
            <sz val="9"/>
            <rFont val="宋体"/>
            <charset val="134"/>
          </rPr>
          <t>龙丽娟:</t>
        </r>
        <r>
          <rPr>
            <sz val="9"/>
            <rFont val="宋体"/>
            <charset val="134"/>
          </rPr>
          <t xml:space="preserve">
6/10上家乐福外箱贴纸200pcs</t>
        </r>
        <r>
          <rPr>
            <b/>
            <sz val="9"/>
            <rFont val="宋体"/>
            <charset val="134"/>
          </rPr>
          <t xml:space="preserve">
龙丽娟:</t>
        </r>
        <r>
          <rPr>
            <sz val="9"/>
            <rFont val="宋体"/>
            <charset val="134"/>
          </rPr>
          <t xml:space="preserve">
7/3上客户贴纸10300pcs
201727/201776共用</t>
        </r>
      </text>
    </comment>
    <comment ref="V296" authorId="2">
      <text>
        <r>
          <rPr>
            <b/>
            <sz val="9"/>
            <rFont val="宋体"/>
            <charset val="134"/>
          </rPr>
          <t>龙丽娟:</t>
        </r>
        <r>
          <rPr>
            <sz val="9"/>
            <rFont val="宋体"/>
            <charset val="134"/>
          </rPr>
          <t xml:space="preserve">
6/10上家乐福外箱贴纸456pcs</t>
        </r>
        <r>
          <rPr>
            <b/>
            <sz val="9"/>
            <rFont val="宋体"/>
            <charset val="134"/>
          </rPr>
          <t xml:space="preserve">
龙丽娟:</t>
        </r>
        <r>
          <rPr>
            <sz val="9"/>
            <rFont val="宋体"/>
            <charset val="134"/>
          </rPr>
          <t xml:space="preserve">
7/3上客户贴纸10300pcs
201727/201776共用</t>
        </r>
      </text>
    </comment>
    <comment ref="V297" authorId="2">
      <text>
        <r>
          <rPr>
            <b/>
            <sz val="9"/>
            <rFont val="宋体"/>
            <charset val="134"/>
          </rPr>
          <t>龙丽娟:</t>
        </r>
        <r>
          <rPr>
            <sz val="9"/>
            <rFont val="宋体"/>
            <charset val="134"/>
          </rPr>
          <t xml:space="preserve">
6/10上家乐福外箱贴纸128pcs</t>
        </r>
        <r>
          <rPr>
            <b/>
            <sz val="9"/>
            <rFont val="宋体"/>
            <charset val="134"/>
          </rPr>
          <t xml:space="preserve">
龙丽娟:</t>
        </r>
        <r>
          <rPr>
            <sz val="9"/>
            <rFont val="宋体"/>
            <charset val="134"/>
          </rPr>
          <t xml:space="preserve">
7/3上客户贴纸10300pcs
201727/201776共用</t>
        </r>
      </text>
    </comment>
    <comment ref="BB298" authorId="3">
      <text>
        <r>
          <rPr>
            <b/>
            <sz val="9"/>
            <rFont val="宋体"/>
            <charset val="134"/>
          </rPr>
          <t>RR:</t>
        </r>
        <r>
          <rPr>
            <sz val="9"/>
            <rFont val="宋体"/>
            <charset val="134"/>
          </rPr>
          <t xml:space="preserve">
客版新资料</t>
        </r>
      </text>
    </comment>
    <comment ref="BC298" authorId="3">
      <text>
        <r>
          <rPr>
            <b/>
            <sz val="9"/>
            <rFont val="宋体"/>
            <charset val="134"/>
          </rPr>
          <t>RR:</t>
        </r>
        <r>
          <rPr>
            <sz val="9"/>
            <rFont val="宋体"/>
            <charset val="134"/>
          </rPr>
          <t xml:space="preserve">
客版新资料</t>
        </r>
      </text>
    </comment>
    <comment ref="BD298" authorId="3">
      <text>
        <r>
          <rPr>
            <b/>
            <sz val="9"/>
            <rFont val="宋体"/>
            <charset val="134"/>
          </rPr>
          <t>RR:</t>
        </r>
        <r>
          <rPr>
            <sz val="9"/>
            <rFont val="宋体"/>
            <charset val="134"/>
          </rPr>
          <t xml:space="preserve">
客版新资料</t>
        </r>
      </text>
    </comment>
    <comment ref="BE298" authorId="3">
      <text>
        <r>
          <rPr>
            <b/>
            <sz val="9"/>
            <rFont val="宋体"/>
            <charset val="134"/>
          </rPr>
          <t>RR:</t>
        </r>
        <r>
          <rPr>
            <sz val="9"/>
            <rFont val="宋体"/>
            <charset val="134"/>
          </rPr>
          <t xml:space="preserve">
客版新资料</t>
        </r>
      </text>
    </comment>
    <comment ref="BF298" authorId="3">
      <text>
        <r>
          <rPr>
            <b/>
            <sz val="9"/>
            <rFont val="宋体"/>
            <charset val="134"/>
          </rPr>
          <t>RR:</t>
        </r>
        <r>
          <rPr>
            <sz val="9"/>
            <rFont val="宋体"/>
            <charset val="134"/>
          </rPr>
          <t xml:space="preserve">
客版新资料</t>
        </r>
      </text>
    </comment>
    <comment ref="T299" authorId="2">
      <text>
        <r>
          <rPr>
            <b/>
            <sz val="9"/>
            <rFont val="宋体"/>
            <charset val="134"/>
          </rPr>
          <t>龙丽娟:</t>
        </r>
        <r>
          <rPr>
            <sz val="9"/>
            <rFont val="宋体"/>
            <charset val="134"/>
          </rPr>
          <t xml:space="preserve">
7/15 2801305 5600pcs顶均e3</t>
        </r>
      </text>
    </comment>
    <comment ref="V299" authorId="2">
      <text>
        <r>
          <rPr>
            <b/>
            <sz val="9"/>
            <rFont val="宋体"/>
            <charset val="134"/>
          </rPr>
          <t>龙丽娟:</t>
        </r>
        <r>
          <rPr>
            <sz val="9"/>
            <rFont val="宋体"/>
            <charset val="134"/>
          </rPr>
          <t xml:space="preserve">
6/2上upc贴纸5600pcs</t>
        </r>
      </text>
    </comment>
    <comment ref="T302" authorId="2">
      <text>
        <r>
          <rPr>
            <b/>
            <sz val="9"/>
            <rFont val="宋体"/>
            <charset val="134"/>
          </rPr>
          <t>龙丽娟:</t>
        </r>
        <r>
          <rPr>
            <sz val="9"/>
            <rFont val="宋体"/>
            <charset val="134"/>
          </rPr>
          <t xml:space="preserve">
3003918 8/7 192pcs</t>
        </r>
      </text>
    </comment>
    <comment ref="T304" authorId="2">
      <text>
        <r>
          <rPr>
            <b/>
            <sz val="9"/>
            <rFont val="宋体"/>
            <charset val="134"/>
          </rPr>
          <t>龙丽娟:</t>
        </r>
        <r>
          <rPr>
            <sz val="9"/>
            <rFont val="宋体"/>
            <charset val="134"/>
          </rPr>
          <t xml:space="preserve">
6/27 2200971  38700pcs欣泰A4</t>
        </r>
        <r>
          <rPr>
            <b/>
            <sz val="9"/>
            <rFont val="宋体"/>
            <charset val="134"/>
          </rPr>
          <t xml:space="preserve">
龙丽娟:</t>
        </r>
        <r>
          <rPr>
            <sz val="9"/>
            <rFont val="宋体"/>
            <charset val="134"/>
          </rPr>
          <t xml:space="preserve">
6/29 2200980 13050pcs欣泰A4</t>
        </r>
        <r>
          <rPr>
            <b/>
            <sz val="9"/>
            <rFont val="宋体"/>
            <charset val="134"/>
          </rPr>
          <t xml:space="preserve">
龙丽娟:</t>
        </r>
        <r>
          <rPr>
            <sz val="9"/>
            <rFont val="宋体"/>
            <charset val="134"/>
          </rPr>
          <t xml:space="preserve">
6/27 2200981 34750pcs欣泰A4</t>
        </r>
      </text>
    </comment>
    <comment ref="T305" authorId="2">
      <text>
        <r>
          <rPr>
            <b/>
            <sz val="9"/>
            <rFont val="宋体"/>
            <charset val="134"/>
          </rPr>
          <t>龙丽娟:</t>
        </r>
        <r>
          <rPr>
            <sz val="9"/>
            <rFont val="宋体"/>
            <charset val="134"/>
          </rPr>
          <t xml:space="preserve">
6/16 已送货</t>
        </r>
      </text>
    </comment>
    <comment ref="T306" authorId="2">
      <text>
        <r>
          <rPr>
            <b/>
            <sz val="9"/>
            <rFont val="宋体"/>
            <charset val="134"/>
          </rPr>
          <t>龙丽娟:</t>
        </r>
        <r>
          <rPr>
            <sz val="9"/>
            <rFont val="宋体"/>
            <charset val="134"/>
          </rPr>
          <t xml:space="preserve">
6/26 403pcs欣泰B2</t>
        </r>
      </text>
    </comment>
    <comment ref="AX306" authorId="3">
      <text>
        <r>
          <rPr>
            <b/>
            <sz val="9"/>
            <rFont val="宋体"/>
            <charset val="134"/>
          </rPr>
          <t>RR:</t>
        </r>
        <r>
          <rPr>
            <sz val="9"/>
            <rFont val="宋体"/>
            <charset val="134"/>
          </rPr>
          <t xml:space="preserve">
移除21/23号唱片客版收藏指南</t>
        </r>
      </text>
    </comment>
    <comment ref="T307" authorId="2">
      <text>
        <r>
          <rPr>
            <b/>
            <sz val="9"/>
            <rFont val="宋体"/>
            <charset val="134"/>
          </rPr>
          <t>龙丽娟:</t>
        </r>
        <r>
          <rPr>
            <sz val="9"/>
            <rFont val="宋体"/>
            <charset val="134"/>
          </rPr>
          <t xml:space="preserve">
6/26 2200946 6097pcs欣泰d5</t>
        </r>
      </text>
    </comment>
    <comment ref="AX307" authorId="3">
      <text>
        <r>
          <rPr>
            <b/>
            <sz val="9"/>
            <rFont val="宋体"/>
            <charset val="134"/>
          </rPr>
          <t>RR:</t>
        </r>
        <r>
          <rPr>
            <sz val="9"/>
            <rFont val="宋体"/>
            <charset val="134"/>
          </rPr>
          <t xml:space="preserve">
移除21/23号唱片客版收藏指南</t>
        </r>
      </text>
    </comment>
    <comment ref="T308" authorId="2">
      <text>
        <r>
          <rPr>
            <b/>
            <sz val="9"/>
            <rFont val="宋体"/>
            <charset val="134"/>
          </rPr>
          <t>龙丽娟:</t>
        </r>
        <r>
          <rPr>
            <sz val="9"/>
            <rFont val="宋体"/>
            <charset val="134"/>
          </rPr>
          <t xml:space="preserve">
7/15 1001913 540PCS顶均c5</t>
        </r>
      </text>
    </comment>
    <comment ref="V308" authorId="2">
      <text>
        <r>
          <rPr>
            <b/>
            <sz val="9"/>
            <rFont val="宋体"/>
            <charset val="134"/>
          </rPr>
          <t>龙丽娟:</t>
        </r>
        <r>
          <rPr>
            <sz val="9"/>
            <rFont val="宋体"/>
            <charset val="134"/>
          </rPr>
          <t xml:space="preserve">
6/4上客人白色catlabel540pcs</t>
        </r>
      </text>
    </comment>
    <comment ref="T309" authorId="2">
      <text>
        <r>
          <rPr>
            <b/>
            <sz val="9"/>
            <rFont val="宋体"/>
            <charset val="134"/>
          </rPr>
          <t>龙丽娟:</t>
        </r>
        <r>
          <rPr>
            <sz val="9"/>
            <rFont val="宋体"/>
            <charset val="134"/>
          </rPr>
          <t xml:space="preserve">
7/9 2201263 15000pcs直走</t>
        </r>
      </text>
    </comment>
    <comment ref="T310" authorId="2">
      <text>
        <r>
          <rPr>
            <b/>
            <sz val="9"/>
            <rFont val="宋体"/>
            <charset val="134"/>
          </rPr>
          <t>龙丽娟:</t>
        </r>
        <r>
          <rPr>
            <sz val="9"/>
            <rFont val="宋体"/>
            <charset val="134"/>
          </rPr>
          <t xml:space="preserve">
7/9 2201275 300pcsB栋-B7</t>
        </r>
      </text>
    </comment>
    <comment ref="V310" authorId="2">
      <text>
        <r>
          <rPr>
            <b/>
            <sz val="9"/>
            <rFont val="宋体"/>
            <charset val="134"/>
          </rPr>
          <t>龙丽娟:</t>
        </r>
        <r>
          <rPr>
            <sz val="9"/>
            <rFont val="宋体"/>
            <charset val="134"/>
          </rPr>
          <t xml:space="preserve">
7/9 收到UPC贴纸 300pcs-留东莞返工</t>
        </r>
        <r>
          <rPr>
            <b/>
            <sz val="9"/>
            <rFont val="宋体"/>
            <charset val="134"/>
          </rPr>
          <t xml:space="preserve">
龙丽娟:</t>
        </r>
        <r>
          <rPr>
            <sz val="9"/>
            <rFont val="宋体"/>
            <charset val="134"/>
          </rPr>
          <t xml:space="preserve">
7/15收到UPC贴纸300pcs</t>
        </r>
        <r>
          <rPr>
            <b/>
            <sz val="9"/>
            <rFont val="宋体"/>
            <charset val="134"/>
          </rPr>
          <t xml:space="preserve">
龙丽娟:</t>
        </r>
        <r>
          <rPr>
            <sz val="9"/>
            <rFont val="宋体"/>
            <charset val="134"/>
          </rPr>
          <t xml:space="preserve">
7/18上upc贴纸300pcs</t>
        </r>
      </text>
    </comment>
    <comment ref="AX310" authorId="3">
      <text>
        <r>
          <rPr>
            <b/>
            <sz val="9"/>
            <rFont val="宋体"/>
            <charset val="134"/>
          </rPr>
          <t>RR:</t>
        </r>
        <r>
          <rPr>
            <sz val="9"/>
            <rFont val="宋体"/>
            <charset val="134"/>
          </rPr>
          <t xml:space="preserve">
移除21/23号唱片客版收藏指南</t>
        </r>
      </text>
    </comment>
    <comment ref="T311" authorId="2">
      <text>
        <r>
          <rPr>
            <b/>
            <sz val="9"/>
            <rFont val="宋体"/>
            <charset val="134"/>
          </rPr>
          <t>龙丽娟:</t>
        </r>
        <r>
          <rPr>
            <sz val="9"/>
            <rFont val="宋体"/>
            <charset val="134"/>
          </rPr>
          <t xml:space="preserve">
7/9 2201265 4600pcs欣泰c4</t>
        </r>
      </text>
    </comment>
    <comment ref="T312" authorId="2">
      <text>
        <r>
          <rPr>
            <b/>
            <sz val="9"/>
            <rFont val="宋体"/>
            <charset val="134"/>
          </rPr>
          <t>龙丽娟:</t>
        </r>
        <r>
          <rPr>
            <sz val="9"/>
            <rFont val="宋体"/>
            <charset val="134"/>
          </rPr>
          <t xml:space="preserve">
7/9 2201265 2300pcs欣泰c2</t>
        </r>
      </text>
    </comment>
    <comment ref="T313" authorId="2">
      <text>
        <r>
          <rPr>
            <b/>
            <sz val="9"/>
            <rFont val="宋体"/>
            <charset val="134"/>
          </rPr>
          <t>龙丽娟:</t>
        </r>
        <r>
          <rPr>
            <sz val="9"/>
            <rFont val="宋体"/>
            <charset val="134"/>
          </rPr>
          <t xml:space="preserve">
2801286 7/12 5700pcs欣泰c4</t>
        </r>
      </text>
    </comment>
    <comment ref="T316" authorId="2">
      <text>
        <r>
          <rPr>
            <b/>
            <sz val="9"/>
            <rFont val="宋体"/>
            <charset val="134"/>
          </rPr>
          <t>龙丽娟:</t>
        </r>
        <r>
          <rPr>
            <sz val="9"/>
            <rFont val="宋体"/>
            <charset val="134"/>
          </rPr>
          <t xml:space="preserve">
7/20 2801322 8840pcsB栋4楼B7</t>
        </r>
      </text>
    </comment>
    <comment ref="T321" authorId="2">
      <text>
        <r>
          <rPr>
            <b/>
            <sz val="9"/>
            <rFont val="宋体"/>
            <charset val="134"/>
          </rPr>
          <t>龙丽娟:</t>
        </r>
        <r>
          <rPr>
            <sz val="9"/>
            <rFont val="宋体"/>
            <charset val="134"/>
          </rPr>
          <t xml:space="preserve">
2801171 6/8 23800pcs</t>
        </r>
      </text>
    </comment>
    <comment ref="V321" authorId="2">
      <text>
        <r>
          <rPr>
            <b/>
            <sz val="9"/>
            <rFont val="宋体"/>
            <charset val="134"/>
          </rPr>
          <t>龙丽娟:</t>
        </r>
        <r>
          <rPr>
            <sz val="9"/>
            <rFont val="宋体"/>
            <charset val="134"/>
          </rPr>
          <t xml:space="preserve">
7/3上客供外箱条码贴纸952pcs</t>
        </r>
      </text>
    </comment>
    <comment ref="S323" authorId="2">
      <text>
        <r>
          <rPr>
            <b/>
            <sz val="9"/>
            <rFont val="宋体"/>
            <charset val="134"/>
          </rPr>
          <t>龙丽娟:</t>
        </r>
        <r>
          <rPr>
            <sz val="9"/>
            <rFont val="宋体"/>
            <charset val="134"/>
          </rPr>
          <t xml:space="preserve">
40575pcs湖南生产</t>
        </r>
      </text>
    </comment>
    <comment ref="T323" authorId="2">
      <text>
        <r>
          <rPr>
            <b/>
            <sz val="9"/>
            <rFont val="宋体"/>
            <charset val="134"/>
          </rPr>
          <t>龙丽娟:</t>
        </r>
        <r>
          <rPr>
            <sz val="9"/>
            <rFont val="宋体"/>
            <charset val="134"/>
          </rPr>
          <t xml:space="preserve">
6/16 已送</t>
        </r>
      </text>
    </comment>
    <comment ref="V323" authorId="2">
      <text>
        <r>
          <rPr>
            <b/>
            <sz val="9"/>
            <rFont val="宋体"/>
            <charset val="134"/>
          </rPr>
          <t>龙丽娟:</t>
        </r>
        <r>
          <rPr>
            <sz val="9"/>
            <rFont val="宋体"/>
            <charset val="134"/>
          </rPr>
          <t xml:space="preserve">
7/3上客供外箱条码贴纸3260pcs</t>
        </r>
      </text>
    </comment>
    <comment ref="V325" authorId="2">
      <text>
        <r>
          <rPr>
            <b/>
            <sz val="9"/>
            <rFont val="宋体"/>
            <charset val="134"/>
          </rPr>
          <t>龙丽娟:</t>
        </r>
        <r>
          <rPr>
            <sz val="9"/>
            <rFont val="宋体"/>
            <charset val="134"/>
          </rPr>
          <t xml:space="preserve">
6/10上警告语/环保标贴纸5520pcs</t>
        </r>
      </text>
    </comment>
    <comment ref="V326" authorId="2">
      <text>
        <r>
          <rPr>
            <b/>
            <sz val="9"/>
            <rFont val="宋体"/>
            <charset val="134"/>
          </rPr>
          <t>龙丽娟:</t>
        </r>
        <r>
          <rPr>
            <sz val="9"/>
            <rFont val="宋体"/>
            <charset val="134"/>
          </rPr>
          <t xml:space="preserve">
6/10上警告语/环保标贴纸2064pcs</t>
        </r>
      </text>
    </comment>
    <comment ref="V327" authorId="2">
      <text>
        <r>
          <rPr>
            <b/>
            <sz val="9"/>
            <rFont val="宋体"/>
            <charset val="134"/>
          </rPr>
          <t>龙丽娟:</t>
        </r>
        <r>
          <rPr>
            <sz val="9"/>
            <rFont val="宋体"/>
            <charset val="134"/>
          </rPr>
          <t xml:space="preserve">
6/22上法国/西班牙回收标贴纸3936pcs
203798/203810/203860/203898/203934共用</t>
        </r>
      </text>
    </comment>
    <comment ref="V328" authorId="2">
      <text>
        <r>
          <rPr>
            <b/>
            <sz val="9"/>
            <rFont val="宋体"/>
            <charset val="134"/>
          </rPr>
          <t>龙丽娟:</t>
        </r>
        <r>
          <rPr>
            <sz val="9"/>
            <rFont val="宋体"/>
            <charset val="134"/>
          </rPr>
          <t xml:space="preserve">
6/22上法国/西班牙回收标贴纸3936pcs
203798/203810/203860/203898/203934共用</t>
        </r>
      </text>
    </comment>
    <comment ref="V331" authorId="2">
      <text>
        <r>
          <rPr>
            <b/>
            <sz val="9"/>
            <rFont val="宋体"/>
            <charset val="134"/>
          </rPr>
          <t>龙丽娟:</t>
        </r>
        <r>
          <rPr>
            <sz val="9"/>
            <rFont val="宋体"/>
            <charset val="134"/>
          </rPr>
          <t xml:space="preserve">
6/22上法国/西班牙回收标贴纸3936pcs
203798/203810/203860/203898/203934共用</t>
        </r>
      </text>
    </comment>
    <comment ref="V332" authorId="2">
      <text>
        <r>
          <rPr>
            <b/>
            <sz val="9"/>
            <rFont val="宋体"/>
            <charset val="134"/>
          </rPr>
          <t>龙丽娟:</t>
        </r>
        <r>
          <rPr>
            <sz val="9"/>
            <rFont val="宋体"/>
            <charset val="134"/>
          </rPr>
          <t xml:space="preserve">
6/22上法国/西班牙回收标贴纸3936pcs
203798/203810/203860/203898/203934共用</t>
        </r>
      </text>
    </comment>
    <comment ref="V333" authorId="2">
      <text>
        <r>
          <rPr>
            <b/>
            <sz val="9"/>
            <rFont val="宋体"/>
            <charset val="134"/>
          </rPr>
          <t>龙丽娟:</t>
        </r>
        <r>
          <rPr>
            <sz val="9"/>
            <rFont val="宋体"/>
            <charset val="134"/>
          </rPr>
          <t xml:space="preserve">
6/22上进口商贴纸2028pcs</t>
        </r>
      </text>
    </comment>
    <comment ref="T334" authorId="2">
      <text>
        <r>
          <rPr>
            <b/>
            <sz val="9"/>
            <rFont val="宋体"/>
            <charset val="134"/>
          </rPr>
          <t>龙丽娟:</t>
        </r>
        <r>
          <rPr>
            <sz val="9"/>
            <rFont val="宋体"/>
            <charset val="134"/>
          </rPr>
          <t xml:space="preserve">
7/9 2800161 30000pcs钜顺</t>
        </r>
      </text>
    </comment>
    <comment ref="V334" authorId="2">
      <text>
        <r>
          <rPr>
            <b/>
            <sz val="9"/>
            <rFont val="宋体"/>
            <charset val="134"/>
          </rPr>
          <t>龙丽娟:</t>
        </r>
        <r>
          <rPr>
            <sz val="9"/>
            <rFont val="宋体"/>
            <charset val="134"/>
          </rPr>
          <t xml:space="preserve">
7/3上客供外箱条码贴纸1200pcs</t>
        </r>
      </text>
    </comment>
    <comment ref="T335" authorId="2">
      <text>
        <r>
          <rPr>
            <b/>
            <sz val="9"/>
            <rFont val="宋体"/>
            <charset val="134"/>
          </rPr>
          <t>龙丽娟:</t>
        </r>
        <r>
          <rPr>
            <sz val="9"/>
            <rFont val="宋体"/>
            <charset val="134"/>
          </rPr>
          <t xml:space="preserve">
7/15 1001921  15000pcs欣泰2A2</t>
        </r>
      </text>
    </comment>
    <comment ref="V335" authorId="2">
      <text>
        <r>
          <rPr>
            <b/>
            <sz val="9"/>
            <rFont val="宋体"/>
            <charset val="134"/>
          </rPr>
          <t>龙丽娟:</t>
        </r>
        <r>
          <rPr>
            <sz val="9"/>
            <rFont val="宋体"/>
            <charset val="134"/>
          </rPr>
          <t xml:space="preserve">
6/9上西班牙环保标贴纸12000pcs</t>
        </r>
        <r>
          <rPr>
            <b/>
            <sz val="9"/>
            <rFont val="宋体"/>
            <charset val="134"/>
          </rPr>
          <t xml:space="preserve">
龙丽娟:</t>
        </r>
        <r>
          <rPr>
            <sz val="9"/>
            <rFont val="宋体"/>
            <charset val="134"/>
          </rPr>
          <t xml:space="preserve">
7/4上西班牙环保标贴纸3000pcs</t>
        </r>
      </text>
    </comment>
    <comment ref="T336" authorId="2">
      <text>
        <r>
          <rPr>
            <b/>
            <sz val="9"/>
            <rFont val="宋体"/>
            <charset val="134"/>
          </rPr>
          <t>龙丽娟:</t>
        </r>
        <r>
          <rPr>
            <sz val="9"/>
            <rFont val="宋体"/>
            <charset val="134"/>
          </rPr>
          <t xml:space="preserve">
1600563 7/3 275pcs直走</t>
        </r>
      </text>
    </comment>
    <comment ref="V336" authorId="2">
      <text>
        <r>
          <rPr>
            <b/>
            <sz val="9"/>
            <rFont val="宋体"/>
            <charset val="134"/>
          </rPr>
          <t>龙丽娟:</t>
        </r>
        <r>
          <rPr>
            <sz val="9"/>
            <rFont val="宋体"/>
            <charset val="134"/>
          </rPr>
          <t xml:space="preserve">
6/22上多语警语折叠贴纸275pcs</t>
        </r>
      </text>
    </comment>
    <comment ref="T337" authorId="2">
      <text>
        <r>
          <rPr>
            <b/>
            <sz val="9"/>
            <rFont val="宋体"/>
            <charset val="134"/>
          </rPr>
          <t>龙丽娟:</t>
        </r>
        <r>
          <rPr>
            <sz val="9"/>
            <rFont val="宋体"/>
            <charset val="134"/>
          </rPr>
          <t xml:space="preserve">
7/20 2801325 2704pcs欣泰A2</t>
        </r>
      </text>
    </comment>
    <comment ref="T339" authorId="2">
      <text>
        <r>
          <rPr>
            <b/>
            <sz val="9"/>
            <rFont val="宋体"/>
            <charset val="134"/>
          </rPr>
          <t>龙丽娟:</t>
        </r>
        <r>
          <rPr>
            <sz val="9"/>
            <rFont val="宋体"/>
            <charset val="134"/>
          </rPr>
          <t xml:space="preserve">
7/20 2801325 3003pcs欣泰c1</t>
        </r>
      </text>
    </comment>
    <comment ref="V339" authorId="1">
      <text>
        <r>
          <rPr>
            <b/>
            <sz val="12"/>
            <rFont val="宋体"/>
            <charset val="134"/>
          </rPr>
          <t>DELL:</t>
        </r>
        <r>
          <rPr>
            <sz val="12"/>
            <rFont val="宋体"/>
            <charset val="134"/>
          </rPr>
          <t xml:space="preserve">
4/24 上多语警语折叠贴纸 3003pcs</t>
        </r>
      </text>
    </comment>
    <comment ref="V340" authorId="2">
      <text>
        <r>
          <rPr>
            <b/>
            <sz val="9"/>
            <rFont val="宋体"/>
            <charset val="134"/>
          </rPr>
          <t>龙丽娟:</t>
        </r>
        <r>
          <rPr>
            <sz val="9"/>
            <rFont val="宋体"/>
            <charset val="134"/>
          </rPr>
          <t xml:space="preserve">
6/17 上空白贴纸2400pcs</t>
        </r>
        <r>
          <rPr>
            <b/>
            <sz val="9"/>
            <rFont val="宋体"/>
            <charset val="134"/>
          </rPr>
          <t xml:space="preserve">
龙丽娟:</t>
        </r>
        <r>
          <rPr>
            <sz val="9"/>
            <rFont val="宋体"/>
            <charset val="134"/>
          </rPr>
          <t xml:space="preserve">
7/3上进口商贴纸2004pcs</t>
        </r>
        <r>
          <rPr>
            <b/>
            <sz val="9"/>
            <rFont val="宋体"/>
            <charset val="134"/>
          </rPr>
          <t xml:space="preserve">
龙丽娟:</t>
        </r>
        <r>
          <rPr>
            <sz val="9"/>
            <rFont val="宋体"/>
            <charset val="134"/>
          </rPr>
          <t xml:space="preserve">
7/3上产品贴纸4008pcs</t>
        </r>
      </text>
    </comment>
    <comment ref="V341" authorId="2">
      <text>
        <r>
          <rPr>
            <b/>
            <sz val="9"/>
            <rFont val="宋体"/>
            <charset val="134"/>
          </rPr>
          <t>龙丽娟:</t>
        </r>
        <r>
          <rPr>
            <sz val="9"/>
            <rFont val="宋体"/>
            <charset val="134"/>
          </rPr>
          <t xml:space="preserve">
6/17上空白贴纸3000pcs</t>
        </r>
        <r>
          <rPr>
            <b/>
            <sz val="9"/>
            <rFont val="宋体"/>
            <charset val="134"/>
          </rPr>
          <t xml:space="preserve">
龙丽娟:</t>
        </r>
        <r>
          <rPr>
            <sz val="9"/>
            <rFont val="宋体"/>
            <charset val="134"/>
          </rPr>
          <t xml:space="preserve">
7/3上进口商贴纸3000pcs</t>
        </r>
        <r>
          <rPr>
            <b/>
            <sz val="9"/>
            <rFont val="宋体"/>
            <charset val="134"/>
          </rPr>
          <t xml:space="preserve">
龙丽娟:</t>
        </r>
        <r>
          <rPr>
            <sz val="9"/>
            <rFont val="宋体"/>
            <charset val="134"/>
          </rPr>
          <t xml:space="preserve">
7/3上产品贴纸6000pcs</t>
        </r>
      </text>
    </comment>
    <comment ref="V342" authorId="2">
      <text>
        <r>
          <rPr>
            <b/>
            <sz val="9"/>
            <rFont val="宋体"/>
            <charset val="134"/>
          </rPr>
          <t>龙丽娟:</t>
        </r>
        <r>
          <rPr>
            <sz val="9"/>
            <rFont val="宋体"/>
            <charset val="134"/>
          </rPr>
          <t xml:space="preserve">
6/22pdq底部贴纸150pcs</t>
        </r>
      </text>
    </comment>
    <comment ref="BB348" authorId="3">
      <text>
        <r>
          <rPr>
            <b/>
            <sz val="9"/>
            <rFont val="宋体"/>
            <charset val="134"/>
          </rPr>
          <t>RR:</t>
        </r>
        <r>
          <rPr>
            <sz val="9"/>
            <rFont val="宋体"/>
            <charset val="134"/>
          </rPr>
          <t xml:space="preserve">
客版新资料</t>
        </r>
      </text>
    </comment>
    <comment ref="BC348" authorId="3">
      <text>
        <r>
          <rPr>
            <b/>
            <sz val="9"/>
            <rFont val="宋体"/>
            <charset val="134"/>
          </rPr>
          <t>RR:</t>
        </r>
        <r>
          <rPr>
            <sz val="9"/>
            <rFont val="宋体"/>
            <charset val="134"/>
          </rPr>
          <t xml:space="preserve">
客版新资料</t>
        </r>
      </text>
    </comment>
    <comment ref="BD348" authorId="3">
      <text>
        <r>
          <rPr>
            <b/>
            <sz val="9"/>
            <rFont val="宋体"/>
            <charset val="134"/>
          </rPr>
          <t>RR:</t>
        </r>
        <r>
          <rPr>
            <sz val="9"/>
            <rFont val="宋体"/>
            <charset val="134"/>
          </rPr>
          <t xml:space="preserve">
客版新资料</t>
        </r>
      </text>
    </comment>
    <comment ref="BE348" authorId="3">
      <text>
        <r>
          <rPr>
            <b/>
            <sz val="9"/>
            <rFont val="宋体"/>
            <charset val="134"/>
          </rPr>
          <t>RR:</t>
        </r>
        <r>
          <rPr>
            <sz val="9"/>
            <rFont val="宋体"/>
            <charset val="134"/>
          </rPr>
          <t xml:space="preserve">
客版新资料</t>
        </r>
      </text>
    </comment>
    <comment ref="BF348" authorId="3">
      <text>
        <r>
          <rPr>
            <b/>
            <sz val="9"/>
            <rFont val="宋体"/>
            <charset val="134"/>
          </rPr>
          <t>RR:</t>
        </r>
        <r>
          <rPr>
            <sz val="9"/>
            <rFont val="宋体"/>
            <charset val="134"/>
          </rPr>
          <t xml:space="preserve">
客版新资料</t>
        </r>
      </text>
    </comment>
    <comment ref="T350" authorId="2">
      <text>
        <r>
          <rPr>
            <b/>
            <sz val="9"/>
            <rFont val="宋体"/>
            <charset val="134"/>
          </rPr>
          <t>龙丽娟:</t>
        </r>
        <r>
          <rPr>
            <sz val="9"/>
            <rFont val="宋体"/>
            <charset val="134"/>
          </rPr>
          <t xml:space="preserve">
7/6 东莞返工</t>
        </r>
      </text>
    </comment>
    <comment ref="T351" authorId="2">
      <text>
        <r>
          <rPr>
            <b/>
            <sz val="9"/>
            <rFont val="宋体"/>
            <charset val="134"/>
          </rPr>
          <t>龙丽娟:</t>
        </r>
        <r>
          <rPr>
            <sz val="9"/>
            <rFont val="宋体"/>
            <charset val="134"/>
          </rPr>
          <t xml:space="preserve">
7/11 1600543 33024pcs欣泰e3</t>
        </r>
      </text>
    </comment>
    <comment ref="V351" authorId="2">
      <text>
        <r>
          <rPr>
            <b/>
            <sz val="9"/>
            <rFont val="宋体"/>
            <charset val="134"/>
          </rPr>
          <t>龙丽娟:</t>
        </r>
        <r>
          <rPr>
            <sz val="9"/>
            <rFont val="宋体"/>
            <charset val="134"/>
          </rPr>
          <t xml:space="preserve">
7/7上粉色艾力贴纸11686pcs同po共用</t>
        </r>
      </text>
    </comment>
    <comment ref="V352" authorId="2">
      <text>
        <r>
          <rPr>
            <b/>
            <sz val="9"/>
            <rFont val="宋体"/>
            <charset val="134"/>
          </rPr>
          <t>龙丽娟:</t>
        </r>
        <r>
          <rPr>
            <sz val="9"/>
            <rFont val="宋体"/>
            <charset val="134"/>
          </rPr>
          <t xml:space="preserve">
7/7上粉色艾力贴纸11686pcs同po共用</t>
        </r>
      </text>
    </comment>
    <comment ref="T353" authorId="2">
      <text>
        <r>
          <rPr>
            <b/>
            <sz val="9"/>
            <rFont val="宋体"/>
            <charset val="134"/>
          </rPr>
          <t>龙丽娟:</t>
        </r>
        <r>
          <rPr>
            <sz val="9"/>
            <rFont val="宋体"/>
            <charset val="134"/>
          </rPr>
          <t xml:space="preserve">
7/9 1600557 20032pcs欣泰f6</t>
        </r>
      </text>
    </comment>
    <comment ref="V353" authorId="2">
      <text>
        <r>
          <rPr>
            <b/>
            <sz val="9"/>
            <rFont val="宋体"/>
            <charset val="134"/>
          </rPr>
          <t>龙丽娟:</t>
        </r>
        <r>
          <rPr>
            <sz val="9"/>
            <rFont val="宋体"/>
            <charset val="134"/>
          </rPr>
          <t xml:space="preserve">
7/7上粉色艾力贴纸11686pcs同po共用</t>
        </r>
      </text>
    </comment>
    <comment ref="T354" authorId="2">
      <text>
        <r>
          <rPr>
            <b/>
            <sz val="9"/>
            <rFont val="宋体"/>
            <charset val="134"/>
          </rPr>
          <t>龙丽娟:</t>
        </r>
        <r>
          <rPr>
            <sz val="9"/>
            <rFont val="宋体"/>
            <charset val="134"/>
          </rPr>
          <t xml:space="preserve">
7/9 1600557 23408pcs欣泰f6</t>
        </r>
      </text>
    </comment>
    <comment ref="V354" authorId="2">
      <text>
        <r>
          <rPr>
            <b/>
            <sz val="9"/>
            <rFont val="宋体"/>
            <charset val="134"/>
          </rPr>
          <t>龙丽娟:</t>
        </r>
        <r>
          <rPr>
            <sz val="9"/>
            <rFont val="宋体"/>
            <charset val="134"/>
          </rPr>
          <t xml:space="preserve">
7/7上粉色艾力贴纸11686pcs同po共用</t>
        </r>
      </text>
    </comment>
    <comment ref="T355" authorId="2">
      <text>
        <r>
          <rPr>
            <b/>
            <sz val="9"/>
            <rFont val="宋体"/>
            <charset val="134"/>
          </rPr>
          <t>龙丽娟:</t>
        </r>
        <r>
          <rPr>
            <sz val="9"/>
            <rFont val="宋体"/>
            <charset val="134"/>
          </rPr>
          <t xml:space="preserve">
7/10 1600535 26512pcs 欣泰d4</t>
        </r>
      </text>
    </comment>
    <comment ref="V355" authorId="2">
      <text>
        <r>
          <rPr>
            <b/>
            <sz val="9"/>
            <rFont val="宋体"/>
            <charset val="134"/>
          </rPr>
          <t>龙丽娟:</t>
        </r>
        <r>
          <rPr>
            <sz val="9"/>
            <rFont val="宋体"/>
            <charset val="134"/>
          </rPr>
          <t xml:space="preserve">
7/7上粉色艾力贴纸11686pcs同po共用</t>
        </r>
      </text>
    </comment>
    <comment ref="V357" authorId="0">
      <text>
        <r>
          <rPr>
            <b/>
            <sz val="12"/>
            <rFont val="宋体"/>
            <charset val="134"/>
          </rPr>
          <t>Administrator:</t>
        </r>
        <r>
          <rPr>
            <sz val="12"/>
            <rFont val="宋体"/>
            <charset val="134"/>
          </rPr>
          <t xml:space="preserve">
5/14上客供RFID贴纸17280pcs</t>
        </r>
      </text>
    </comment>
    <comment ref="V358" authorId="0">
      <text>
        <r>
          <rPr>
            <b/>
            <sz val="12"/>
            <rFont val="宋体"/>
            <charset val="134"/>
          </rPr>
          <t>Administrator:</t>
        </r>
        <r>
          <rPr>
            <sz val="12"/>
            <rFont val="宋体"/>
            <charset val="134"/>
          </rPr>
          <t xml:space="preserve">
5/14上客供RFID贴纸18240pcs</t>
        </r>
      </text>
    </comment>
    <comment ref="V360" authorId="2">
      <text>
        <r>
          <rPr>
            <b/>
            <sz val="9"/>
            <rFont val="宋体"/>
            <charset val="134"/>
          </rPr>
          <t>龙丽娟:</t>
        </r>
        <r>
          <rPr>
            <sz val="9"/>
            <rFont val="宋体"/>
            <charset val="134"/>
          </rPr>
          <t xml:space="preserve">
上乌克兰语警告语/进口商贴纸各1196pcs</t>
        </r>
      </text>
    </comment>
    <comment ref="AV360" authorId="3">
      <text>
        <r>
          <rPr>
            <b/>
            <sz val="9"/>
            <rFont val="宋体"/>
            <charset val="134"/>
          </rPr>
          <t>RR:</t>
        </r>
        <r>
          <rPr>
            <sz val="9"/>
            <rFont val="宋体"/>
            <charset val="134"/>
          </rPr>
          <t xml:space="preserve">
客版</t>
        </r>
      </text>
    </comment>
    <comment ref="V361" authorId="2">
      <text>
        <r>
          <rPr>
            <b/>
            <sz val="9"/>
            <rFont val="宋体"/>
            <charset val="134"/>
          </rPr>
          <t>龙丽娟:</t>
        </r>
        <r>
          <rPr>
            <sz val="9"/>
            <rFont val="宋体"/>
            <charset val="134"/>
          </rPr>
          <t xml:space="preserve">
上乌克兰语警告语/进口商贴纸各600pcs</t>
        </r>
      </text>
    </comment>
    <comment ref="AV361" authorId="3">
      <text>
        <r>
          <rPr>
            <b/>
            <sz val="9"/>
            <rFont val="宋体"/>
            <charset val="134"/>
          </rPr>
          <t>RR:</t>
        </r>
        <r>
          <rPr>
            <sz val="9"/>
            <rFont val="宋体"/>
            <charset val="134"/>
          </rPr>
          <t xml:space="preserve">
客版</t>
        </r>
      </text>
    </comment>
    <comment ref="V362" authorId="2">
      <text>
        <r>
          <rPr>
            <b/>
            <sz val="9"/>
            <rFont val="宋体"/>
            <charset val="134"/>
          </rPr>
          <t>龙丽娟:</t>
        </r>
        <r>
          <rPr>
            <sz val="9"/>
            <rFont val="宋体"/>
            <charset val="134"/>
          </rPr>
          <t xml:space="preserve">
上乌克兰语警告语/进口商贴纸各1512pcs</t>
        </r>
      </text>
    </comment>
    <comment ref="AV362" authorId="3">
      <text>
        <r>
          <rPr>
            <b/>
            <sz val="9"/>
            <rFont val="宋体"/>
            <charset val="134"/>
          </rPr>
          <t>RR:</t>
        </r>
        <r>
          <rPr>
            <sz val="9"/>
            <rFont val="宋体"/>
            <charset val="134"/>
          </rPr>
          <t xml:space="preserve">
客版</t>
        </r>
      </text>
    </comment>
    <comment ref="T363" authorId="2">
      <text>
        <r>
          <rPr>
            <b/>
            <sz val="9"/>
            <rFont val="宋体"/>
            <charset val="134"/>
          </rPr>
          <t>龙丽娟:</t>
        </r>
        <r>
          <rPr>
            <sz val="9"/>
            <rFont val="宋体"/>
            <charset val="134"/>
          </rPr>
          <t xml:space="preserve">
7/5 东莞返工</t>
        </r>
      </text>
    </comment>
    <comment ref="T364" authorId="2">
      <text>
        <r>
          <rPr>
            <b/>
            <sz val="9"/>
            <rFont val="宋体"/>
            <charset val="134"/>
          </rPr>
          <t>龙丽娟:</t>
        </r>
        <r>
          <rPr>
            <sz val="9"/>
            <rFont val="宋体"/>
            <charset val="134"/>
          </rPr>
          <t xml:space="preserve">
6/25 2200924 17088pcs欣泰c4</t>
        </r>
      </text>
    </comment>
    <comment ref="V364" authorId="0">
      <text>
        <r>
          <rPr>
            <b/>
            <sz val="12"/>
            <rFont val="宋体"/>
            <charset val="134"/>
          </rPr>
          <t>Administrator:</t>
        </r>
        <r>
          <rPr>
            <sz val="12"/>
            <rFont val="宋体"/>
            <charset val="134"/>
          </rPr>
          <t xml:space="preserve">
5/14上客供RFID贴纸17088pcs</t>
        </r>
      </text>
    </comment>
    <comment ref="T365" authorId="2">
      <text>
        <r>
          <rPr>
            <b/>
            <sz val="9"/>
            <rFont val="宋体"/>
            <charset val="134"/>
          </rPr>
          <t>龙丽娟:</t>
        </r>
        <r>
          <rPr>
            <sz val="9"/>
            <rFont val="宋体"/>
            <charset val="134"/>
          </rPr>
          <t xml:space="preserve">
7/10 2201276 24992pcs 应兴B1</t>
        </r>
      </text>
    </comment>
    <comment ref="V365" authorId="2">
      <text>
        <r>
          <rPr>
            <b/>
            <sz val="9"/>
            <rFont val="宋体"/>
            <charset val="134"/>
          </rPr>
          <t>龙丽娟:</t>
        </r>
        <r>
          <rPr>
            <sz val="9"/>
            <rFont val="宋体"/>
            <charset val="134"/>
          </rPr>
          <t xml:space="preserve">
7/7上粉色艾力贴纸11686pcs同po共用</t>
        </r>
      </text>
    </comment>
    <comment ref="T366" authorId="2">
      <text>
        <r>
          <rPr>
            <b/>
            <sz val="9"/>
            <rFont val="宋体"/>
            <charset val="134"/>
          </rPr>
          <t>龙丽娟:</t>
        </r>
        <r>
          <rPr>
            <sz val="9"/>
            <rFont val="宋体"/>
            <charset val="134"/>
          </rPr>
          <t xml:space="preserve">
7/10 1600535 36864pcs 欣泰f6</t>
        </r>
      </text>
    </comment>
    <comment ref="V366" authorId="2">
      <text>
        <r>
          <rPr>
            <b/>
            <sz val="9"/>
            <rFont val="宋体"/>
            <charset val="134"/>
          </rPr>
          <t>龙丽娟:</t>
        </r>
        <r>
          <rPr>
            <sz val="9"/>
            <rFont val="宋体"/>
            <charset val="134"/>
          </rPr>
          <t xml:space="preserve">
7/7上粉色艾力贴纸11686pcs同po共用</t>
        </r>
      </text>
    </comment>
    <comment ref="T367" authorId="2">
      <text>
        <r>
          <rPr>
            <b/>
            <sz val="9"/>
            <rFont val="宋体"/>
            <charset val="134"/>
          </rPr>
          <t>龙丽娟:</t>
        </r>
        <r>
          <rPr>
            <sz val="9"/>
            <rFont val="宋体"/>
            <charset val="134"/>
          </rPr>
          <t xml:space="preserve">
7/8 1600551 3000pcs欣泰二楼B1.</t>
        </r>
      </text>
    </comment>
    <comment ref="T368" authorId="2">
      <text>
        <r>
          <rPr>
            <b/>
            <sz val="9"/>
            <rFont val="宋体"/>
            <charset val="134"/>
          </rPr>
          <t>龙丽娟:</t>
        </r>
        <r>
          <rPr>
            <sz val="9"/>
            <rFont val="宋体"/>
            <charset val="134"/>
          </rPr>
          <t xml:space="preserve">
6/25 2200924 3920pcs欣泰c4</t>
        </r>
      </text>
    </comment>
    <comment ref="V368" authorId="0">
      <text>
        <r>
          <rPr>
            <b/>
            <sz val="12"/>
            <rFont val="宋体"/>
            <charset val="134"/>
          </rPr>
          <t>Administrator:</t>
        </r>
        <r>
          <rPr>
            <sz val="12"/>
            <rFont val="宋体"/>
            <charset val="134"/>
          </rPr>
          <t xml:space="preserve">
5/14上客供RFID贴纸11328pcs</t>
        </r>
      </text>
    </comment>
    <comment ref="T371" authorId="2">
      <text>
        <r>
          <rPr>
            <b/>
            <sz val="9"/>
            <rFont val="宋体"/>
            <charset val="134"/>
          </rPr>
          <t>龙丽娟:</t>
        </r>
        <r>
          <rPr>
            <sz val="9"/>
            <rFont val="宋体"/>
            <charset val="134"/>
          </rPr>
          <t xml:space="preserve">
7/20 2801322 2500pcs直走</t>
        </r>
      </text>
    </comment>
    <comment ref="V375" authorId="2">
      <text>
        <r>
          <rPr>
            <b/>
            <sz val="9"/>
            <rFont val="宋体"/>
            <charset val="134"/>
          </rPr>
          <t>龙丽娟:</t>
        </r>
        <r>
          <rPr>
            <sz val="9"/>
            <rFont val="宋体"/>
            <charset val="134"/>
          </rPr>
          <t xml:space="preserve">
6/9上UPC/进口商贴纸各50000pcs</t>
        </r>
      </text>
    </comment>
    <comment ref="V379" authorId="2">
      <text>
        <r>
          <rPr>
            <b/>
            <sz val="9"/>
            <rFont val="宋体"/>
            <charset val="134"/>
          </rPr>
          <t>龙丽娟:</t>
        </r>
        <r>
          <rPr>
            <sz val="9"/>
            <rFont val="宋体"/>
            <charset val="134"/>
          </rPr>
          <t xml:space="preserve">
6/29上包装贴纸1300pcs</t>
        </r>
      </text>
    </comment>
    <comment ref="V381" authorId="2">
      <text>
        <r>
          <rPr>
            <b/>
            <sz val="9"/>
            <rFont val="宋体"/>
            <charset val="134"/>
          </rPr>
          <t>龙丽娟:</t>
        </r>
        <r>
          <rPr>
            <sz val="9"/>
            <rFont val="宋体"/>
            <charset val="134"/>
          </rPr>
          <t xml:space="preserve">
7/6上空白贴纸1800pcs</t>
        </r>
        <r>
          <rPr>
            <b/>
            <sz val="9"/>
            <rFont val="宋体"/>
            <charset val="134"/>
          </rPr>
          <t xml:space="preserve">
龙丽娟:</t>
        </r>
        <r>
          <rPr>
            <sz val="9"/>
            <rFont val="宋体"/>
            <charset val="134"/>
          </rPr>
          <t xml:space="preserve">
7/8上进口商贴纸1800pcs</t>
        </r>
      </text>
    </comment>
    <comment ref="V385" authorId="2">
      <text>
        <r>
          <rPr>
            <b/>
            <sz val="9"/>
            <rFont val="宋体"/>
            <charset val="134"/>
          </rPr>
          <t>龙丽娟:</t>
        </r>
        <r>
          <rPr>
            <sz val="9"/>
            <rFont val="宋体"/>
            <charset val="134"/>
          </rPr>
          <t xml:space="preserve">
6/22上法国/西班牙回收标贴纸3936pcs
203798/203810/203860/203898/203934共用</t>
        </r>
      </text>
    </comment>
    <comment ref="V392" authorId="2">
      <text>
        <r>
          <rPr>
            <b/>
            <sz val="9"/>
            <rFont val="宋体"/>
            <charset val="134"/>
          </rPr>
          <t>龙丽娟:</t>
        </r>
        <r>
          <rPr>
            <sz val="9"/>
            <rFont val="宋体"/>
            <charset val="134"/>
          </rPr>
          <t xml:space="preserve">
6/26上法国回收标贴纸336pcs</t>
        </r>
      </text>
    </comment>
    <comment ref="T395" authorId="2">
      <text>
        <r>
          <rPr>
            <b/>
            <sz val="9"/>
            <rFont val="宋体"/>
            <charset val="134"/>
          </rPr>
          <t>龙丽娟:</t>
        </r>
        <r>
          <rPr>
            <sz val="9"/>
            <rFont val="宋体"/>
            <charset val="134"/>
          </rPr>
          <t xml:space="preserve">
6/9 2801171 598PCS顶均B6</t>
        </r>
      </text>
    </comment>
    <comment ref="V395" authorId="0">
      <text>
        <r>
          <rPr>
            <b/>
            <sz val="12"/>
            <rFont val="宋体"/>
            <charset val="134"/>
          </rPr>
          <t>Administrator:</t>
        </r>
        <r>
          <rPr>
            <sz val="12"/>
            <rFont val="宋体"/>
            <charset val="134"/>
          </rPr>
          <t xml:space="preserve">
5/16上警语贴纸936pcs
5/16 上产品图片贴纸184pcs</t>
        </r>
      </text>
    </comment>
    <comment ref="T396" authorId="2">
      <text>
        <r>
          <rPr>
            <b/>
            <sz val="9"/>
            <rFont val="宋体"/>
            <charset val="134"/>
          </rPr>
          <t>龙丽娟:</t>
        </r>
        <r>
          <rPr>
            <sz val="9"/>
            <rFont val="宋体"/>
            <charset val="134"/>
          </rPr>
          <t xml:space="preserve">
7/5 东莞返工</t>
        </r>
      </text>
    </comment>
    <comment ref="T397" authorId="2">
      <text>
        <r>
          <rPr>
            <b/>
            <sz val="9"/>
            <rFont val="宋体"/>
            <charset val="134"/>
          </rPr>
          <t>龙丽娟:</t>
        </r>
        <r>
          <rPr>
            <sz val="9"/>
            <rFont val="宋体"/>
            <charset val="134"/>
          </rPr>
          <t xml:space="preserve">
2901298 7/11 5984pcs</t>
        </r>
        <r>
          <rPr>
            <b/>
            <sz val="9"/>
            <rFont val="宋体"/>
            <charset val="134"/>
          </rPr>
          <t xml:space="preserve">
龙丽娟:</t>
        </r>
        <r>
          <rPr>
            <sz val="9"/>
            <rFont val="宋体"/>
            <charset val="134"/>
          </rPr>
          <t xml:space="preserve">
2801286 7/11 24384pcs</t>
        </r>
      </text>
    </comment>
    <comment ref="T398" authorId="2">
      <text>
        <r>
          <rPr>
            <b/>
            <sz val="9"/>
            <rFont val="宋体"/>
            <charset val="134"/>
          </rPr>
          <t>龙丽娟:</t>
        </r>
        <r>
          <rPr>
            <sz val="9"/>
            <rFont val="宋体"/>
            <charset val="134"/>
          </rPr>
          <t xml:space="preserve">
6/24 12675pcs b4-c7</t>
        </r>
        <r>
          <rPr>
            <b/>
            <sz val="9"/>
            <rFont val="宋体"/>
            <charset val="134"/>
          </rPr>
          <t xml:space="preserve">
龙丽娟:</t>
        </r>
        <r>
          <rPr>
            <sz val="9"/>
            <rFont val="宋体"/>
            <charset val="134"/>
          </rPr>
          <t xml:space="preserve">
6/26 2200946 2327pcs欣泰d5</t>
        </r>
      </text>
    </comment>
    <comment ref="V398" authorId="2">
      <text>
        <r>
          <rPr>
            <b/>
            <sz val="9"/>
            <rFont val="宋体"/>
            <charset val="134"/>
          </rPr>
          <t>龙丽娟:</t>
        </r>
        <r>
          <rPr>
            <sz val="9"/>
            <rFont val="宋体"/>
            <charset val="134"/>
          </rPr>
          <t xml:space="preserve">
7/14上多语警语贴纸15002pcs</t>
        </r>
      </text>
    </comment>
    <comment ref="T399" authorId="2">
      <text>
        <r>
          <rPr>
            <b/>
            <sz val="9"/>
            <rFont val="宋体"/>
            <charset val="134"/>
          </rPr>
          <t>龙丽娟:</t>
        </r>
        <r>
          <rPr>
            <sz val="9"/>
            <rFont val="宋体"/>
            <charset val="134"/>
          </rPr>
          <t xml:space="preserve">
7/17 1001897 15492pcs顶均d1</t>
        </r>
      </text>
    </comment>
    <comment ref="V399" authorId="2">
      <text>
        <r>
          <rPr>
            <b/>
            <sz val="9"/>
            <rFont val="宋体"/>
            <charset val="134"/>
          </rPr>
          <t>龙丽娟:</t>
        </r>
        <r>
          <rPr>
            <sz val="9"/>
            <rFont val="宋体"/>
            <charset val="134"/>
          </rPr>
          <t xml:space="preserve">
7/9 收到亚马逊外箱贴纸 1860pcs
7/13 上UPC贴纸 29172pcs
214526、214522、214773共用</t>
        </r>
      </text>
    </comment>
    <comment ref="T401" authorId="2">
      <text>
        <r>
          <rPr>
            <b/>
            <sz val="9"/>
            <rFont val="宋体"/>
            <charset val="134"/>
          </rPr>
          <t>龙丽娟:</t>
        </r>
        <r>
          <rPr>
            <sz val="9"/>
            <rFont val="宋体"/>
            <charset val="134"/>
          </rPr>
          <t xml:space="preserve">
7/20 1001724 19008pcs欣泰D7</t>
        </r>
      </text>
    </comment>
    <comment ref="T402" authorId="2">
      <text>
        <r>
          <rPr>
            <b/>
            <sz val="9"/>
            <rFont val="宋体"/>
            <charset val="134"/>
          </rPr>
          <t>龙丽娟:</t>
        </r>
        <r>
          <rPr>
            <sz val="9"/>
            <rFont val="宋体"/>
            <charset val="134"/>
          </rPr>
          <t xml:space="preserve">
7/17 1001895 35632pcs欣泰F7</t>
        </r>
      </text>
    </comment>
    <comment ref="T403" authorId="2">
      <text>
        <r>
          <rPr>
            <b/>
            <sz val="9"/>
            <rFont val="宋体"/>
            <charset val="134"/>
          </rPr>
          <t>龙丽娟:</t>
        </r>
        <r>
          <rPr>
            <sz val="9"/>
            <rFont val="宋体"/>
            <charset val="134"/>
          </rPr>
          <t xml:space="preserve">
7/15 2801308pcs11520pcs欣泰2B2</t>
        </r>
      </text>
    </comment>
    <comment ref="V406" authorId="2">
      <text>
        <r>
          <rPr>
            <b/>
            <sz val="9"/>
            <rFont val="宋体"/>
            <charset val="134"/>
          </rPr>
          <t>龙丽娟:</t>
        </r>
        <r>
          <rPr>
            <sz val="9"/>
            <rFont val="宋体"/>
            <charset val="134"/>
          </rPr>
          <t xml:space="preserve">
7/6 上价格贴纸1932pcs</t>
        </r>
      </text>
    </comment>
    <comment ref="V407" authorId="2">
      <text>
        <r>
          <rPr>
            <b/>
            <sz val="9"/>
            <rFont val="宋体"/>
            <charset val="134"/>
          </rPr>
          <t>龙丽娟:</t>
        </r>
        <r>
          <rPr>
            <sz val="9"/>
            <rFont val="宋体"/>
            <charset val="134"/>
          </rPr>
          <t xml:space="preserve">
7/6 上价格贴纸828pcs</t>
        </r>
      </text>
    </comment>
    <comment ref="T411" authorId="2">
      <text>
        <r>
          <rPr>
            <b/>
            <sz val="9"/>
            <rFont val="宋体"/>
            <charset val="134"/>
          </rPr>
          <t>龙丽娟:</t>
        </r>
        <r>
          <rPr>
            <sz val="9"/>
            <rFont val="宋体"/>
            <charset val="134"/>
          </rPr>
          <t xml:space="preserve">
7/14 2801504 23568PCS欣泰e3</t>
        </r>
        <r>
          <rPr>
            <b/>
            <sz val="9"/>
            <rFont val="宋体"/>
            <charset val="134"/>
          </rPr>
          <t xml:space="preserve">
龙丽娟:</t>
        </r>
        <r>
          <rPr>
            <sz val="9"/>
            <rFont val="宋体"/>
            <charset val="134"/>
          </rPr>
          <t xml:space="preserve">
7/14 2801505 64pcs欣泰e3</t>
        </r>
      </text>
    </comment>
    <comment ref="T412" authorId="2">
      <text>
        <r>
          <rPr>
            <b/>
            <sz val="9"/>
            <rFont val="宋体"/>
            <charset val="134"/>
          </rPr>
          <t>龙丽娟:</t>
        </r>
        <r>
          <rPr>
            <sz val="9"/>
            <rFont val="宋体"/>
            <charset val="134"/>
          </rPr>
          <t xml:space="preserve">
7/20 2801325 9232pcs欣泰A2</t>
        </r>
      </text>
    </comment>
    <comment ref="T415" authorId="2">
      <text>
        <r>
          <rPr>
            <b/>
            <sz val="9"/>
            <rFont val="宋体"/>
            <charset val="134"/>
          </rPr>
          <t>龙丽娟:</t>
        </r>
        <r>
          <rPr>
            <sz val="9"/>
            <rFont val="宋体"/>
            <charset val="134"/>
          </rPr>
          <t xml:space="preserve">
7/15 20208pcs欣泰2B2</t>
        </r>
      </text>
    </comment>
    <comment ref="T416" authorId="2">
      <text>
        <r>
          <rPr>
            <b/>
            <sz val="9"/>
            <rFont val="宋体"/>
            <charset val="134"/>
          </rPr>
          <t>龙丽娟:</t>
        </r>
        <r>
          <rPr>
            <sz val="9"/>
            <rFont val="宋体"/>
            <charset val="134"/>
          </rPr>
          <t xml:space="preserve">
7/14 2801504 23232pcs欣泰F6</t>
        </r>
      </text>
    </comment>
    <comment ref="V418" authorId="2">
      <text>
        <r>
          <rPr>
            <b/>
            <sz val="9"/>
            <rFont val="宋体"/>
            <charset val="134"/>
          </rPr>
          <t>龙丽娟:</t>
        </r>
        <r>
          <rPr>
            <sz val="9"/>
            <rFont val="宋体"/>
            <charset val="134"/>
          </rPr>
          <t xml:space="preserve">
7/3上进口商/UPC贴纸各23500</t>
        </r>
        <r>
          <rPr>
            <b/>
            <sz val="9"/>
            <rFont val="宋体"/>
            <charset val="134"/>
          </rPr>
          <t xml:space="preserve">
龙丽娟:</t>
        </r>
        <r>
          <rPr>
            <sz val="9"/>
            <rFont val="宋体"/>
            <charset val="134"/>
          </rPr>
          <t xml:space="preserve">
7/4上外箱贴纸950pcs</t>
        </r>
      </text>
    </comment>
    <comment ref="T422" authorId="2">
      <text>
        <r>
          <rPr>
            <b/>
            <sz val="9"/>
            <rFont val="宋体"/>
            <charset val="0"/>
          </rPr>
          <t>龙丽娟:</t>
        </r>
        <r>
          <rPr>
            <sz val="9"/>
            <rFont val="宋体"/>
            <charset val="0"/>
          </rPr>
          <t xml:space="preserve">
8/8 1000415 18pcs馥通c3</t>
        </r>
      </text>
    </comment>
    <comment ref="V422" authorId="2">
      <text>
        <r>
          <rPr>
            <b/>
            <sz val="9"/>
            <rFont val="宋体"/>
            <charset val="134"/>
          </rPr>
          <t>龙丽娟:</t>
        </r>
        <r>
          <rPr>
            <sz val="9"/>
            <rFont val="宋体"/>
            <charset val="134"/>
          </rPr>
          <t xml:space="preserve">
7/8上进口商贴纸产品贴纸各1704pcs</t>
        </r>
      </text>
    </comment>
    <comment ref="T423" authorId="2">
      <text>
        <r>
          <rPr>
            <b/>
            <sz val="9"/>
            <rFont val="宋体"/>
            <charset val="0"/>
          </rPr>
          <t>龙丽娟:</t>
        </r>
        <r>
          <rPr>
            <sz val="9"/>
            <rFont val="宋体"/>
            <charset val="0"/>
          </rPr>
          <t xml:space="preserve">
8/6 1001536 50pcs欣泰A5</t>
        </r>
      </text>
    </comment>
    <comment ref="V423" authorId="2">
      <text>
        <r>
          <rPr>
            <b/>
            <sz val="9"/>
            <rFont val="宋体"/>
            <charset val="134"/>
          </rPr>
          <t>龙丽娟:</t>
        </r>
        <r>
          <rPr>
            <sz val="9"/>
            <rFont val="宋体"/>
            <charset val="134"/>
          </rPr>
          <t xml:space="preserve">
7/7上进口商/空白贴纸各37000pcs
206033/202915共用</t>
        </r>
      </text>
    </comment>
    <comment ref="T424" authorId="2">
      <text>
        <r>
          <rPr>
            <b/>
            <sz val="9"/>
            <rFont val="宋体"/>
            <charset val="134"/>
          </rPr>
          <t>龙丽娟:</t>
        </r>
        <r>
          <rPr>
            <sz val="9"/>
            <rFont val="宋体"/>
            <charset val="134"/>
          </rPr>
          <t xml:space="preserve">
7/15 2801305 3900pcs顶均d3</t>
        </r>
      </text>
    </comment>
    <comment ref="V426" authorId="2">
      <text>
        <r>
          <rPr>
            <b/>
            <sz val="9"/>
            <rFont val="宋体"/>
            <charset val="134"/>
          </rPr>
          <t>龙丽娟:</t>
        </r>
        <r>
          <rPr>
            <sz val="9"/>
            <rFont val="宋体"/>
            <charset val="134"/>
          </rPr>
          <t xml:space="preserve">
6/26上法国西班牙回收标贴纸1176pcs</t>
        </r>
      </text>
    </comment>
    <comment ref="V427" authorId="2">
      <text>
        <r>
          <rPr>
            <b/>
            <sz val="9"/>
            <rFont val="宋体"/>
            <charset val="134"/>
          </rPr>
          <t>龙丽娟:</t>
        </r>
        <r>
          <rPr>
            <sz val="9"/>
            <rFont val="宋体"/>
            <charset val="134"/>
          </rPr>
          <t xml:space="preserve">
6/26上法国/西班牙回收标贴纸924pcs</t>
        </r>
      </text>
    </comment>
    <comment ref="T428" authorId="2">
      <text>
        <r>
          <rPr>
            <b/>
            <sz val="9"/>
            <rFont val="宋体"/>
            <charset val="134"/>
          </rPr>
          <t>龙丽娟:</t>
        </r>
        <r>
          <rPr>
            <sz val="9"/>
            <rFont val="宋体"/>
            <charset val="134"/>
          </rPr>
          <t xml:space="preserve">
2801334 7/20 8000pcs</t>
        </r>
      </text>
    </comment>
    <comment ref="V428" authorId="2">
      <text>
        <r>
          <rPr>
            <b/>
            <sz val="9"/>
            <rFont val="宋体"/>
            <charset val="134"/>
          </rPr>
          <t>龙丽娟:</t>
        </r>
        <r>
          <rPr>
            <sz val="9"/>
            <rFont val="宋体"/>
            <charset val="134"/>
          </rPr>
          <t xml:space="preserve">
7/9上客人通用贴纸8000pcs</t>
        </r>
      </text>
    </comment>
    <comment ref="AX428" authorId="3">
      <text>
        <r>
          <rPr>
            <b/>
            <sz val="9"/>
            <rFont val="宋体"/>
            <charset val="134"/>
          </rPr>
          <t>RR:</t>
        </r>
        <r>
          <rPr>
            <sz val="9"/>
            <rFont val="宋体"/>
            <charset val="134"/>
          </rPr>
          <t xml:space="preserve">
移除21/23号唱片客版收藏指南</t>
        </r>
      </text>
    </comment>
    <comment ref="T429" authorId="2">
      <text>
        <r>
          <rPr>
            <b/>
            <sz val="9"/>
            <rFont val="宋体"/>
            <charset val="134"/>
          </rPr>
          <t>龙丽娟:</t>
        </r>
        <r>
          <rPr>
            <sz val="9"/>
            <rFont val="宋体"/>
            <charset val="134"/>
          </rPr>
          <t xml:space="preserve">
7/11 2801293 17216pcsB4-C5</t>
        </r>
      </text>
    </comment>
    <comment ref="V429" authorId="0">
      <text>
        <r>
          <rPr>
            <b/>
            <sz val="12"/>
            <rFont val="宋体"/>
            <charset val="134"/>
          </rPr>
          <t>Administrator:</t>
        </r>
        <r>
          <rPr>
            <sz val="12"/>
            <rFont val="宋体"/>
            <charset val="134"/>
          </rPr>
          <t xml:space="preserve">
5/14上客供RFID贴纸17216pcs</t>
        </r>
      </text>
    </comment>
    <comment ref="T430" authorId="2">
      <text>
        <r>
          <rPr>
            <b/>
            <sz val="9"/>
            <rFont val="宋体"/>
            <charset val="134"/>
          </rPr>
          <t>龙丽娟:</t>
        </r>
        <r>
          <rPr>
            <sz val="9"/>
            <rFont val="宋体"/>
            <charset val="134"/>
          </rPr>
          <t xml:space="preserve">
7/11 2801275 8624pcsB栋4楼</t>
        </r>
        <r>
          <rPr>
            <b/>
            <sz val="9"/>
            <rFont val="宋体"/>
            <charset val="134"/>
          </rPr>
          <t xml:space="preserve">
龙丽娟:</t>
        </r>
        <r>
          <rPr>
            <sz val="9"/>
            <rFont val="宋体"/>
            <charset val="134"/>
          </rPr>
          <t xml:space="preserve">
7/11 2801275 8624PCS</t>
        </r>
        <r>
          <rPr>
            <b/>
            <sz val="9"/>
            <rFont val="宋体"/>
            <charset val="134"/>
          </rPr>
          <t xml:space="preserve">
龙丽娟:</t>
        </r>
        <r>
          <rPr>
            <sz val="9"/>
            <rFont val="宋体"/>
            <charset val="134"/>
          </rPr>
          <t xml:space="preserve">
7/11 204120 8640pcsB4-B4</t>
        </r>
      </text>
    </comment>
    <comment ref="V430" authorId="0">
      <text>
        <r>
          <rPr>
            <b/>
            <sz val="12"/>
            <rFont val="宋体"/>
            <charset val="134"/>
          </rPr>
          <t>Administrator:</t>
        </r>
        <r>
          <rPr>
            <sz val="12"/>
            <rFont val="宋体"/>
            <charset val="134"/>
          </rPr>
          <t xml:space="preserve">
5/14上客供RFID贴纸26112pcs</t>
        </r>
      </text>
    </comment>
    <comment ref="T431" authorId="2">
      <text>
        <r>
          <rPr>
            <b/>
            <sz val="9"/>
            <rFont val="宋体"/>
            <charset val="134"/>
          </rPr>
          <t>龙丽娟:</t>
        </r>
        <r>
          <rPr>
            <sz val="9"/>
            <rFont val="宋体"/>
            <charset val="134"/>
          </rPr>
          <t xml:space="preserve">
6/26 2200946 1508pcs欣泰b4</t>
        </r>
      </text>
    </comment>
    <comment ref="V431" authorId="2">
      <text>
        <r>
          <rPr>
            <b/>
            <sz val="9"/>
            <rFont val="宋体"/>
            <charset val="134"/>
          </rPr>
          <t>龙丽娟:</t>
        </r>
        <r>
          <rPr>
            <sz val="9"/>
            <rFont val="宋体"/>
            <charset val="134"/>
          </rPr>
          <t xml:space="preserve">
6/24 上警语贴纸/数写条码贴纸各50pcs</t>
        </r>
      </text>
    </comment>
    <comment ref="T433" authorId="2">
      <text>
        <r>
          <rPr>
            <b/>
            <sz val="9"/>
            <rFont val="宋体"/>
            <charset val="134"/>
          </rPr>
          <t>龙丽娟:</t>
        </r>
        <r>
          <rPr>
            <sz val="9"/>
            <rFont val="宋体"/>
            <charset val="134"/>
          </rPr>
          <t xml:space="preserve">
7/11 2801293 20720PCSb4-c5</t>
        </r>
      </text>
    </comment>
    <comment ref="V433" authorId="0">
      <text>
        <r>
          <rPr>
            <b/>
            <sz val="12"/>
            <rFont val="宋体"/>
            <charset val="134"/>
          </rPr>
          <t>Administrator:</t>
        </r>
        <r>
          <rPr>
            <sz val="12"/>
            <rFont val="宋体"/>
            <charset val="134"/>
          </rPr>
          <t xml:space="preserve">
5/14上客供RFID贴纸20736pcs</t>
        </r>
      </text>
    </comment>
    <comment ref="V434" authorId="2">
      <text>
        <r>
          <rPr>
            <b/>
            <sz val="9"/>
            <rFont val="宋体"/>
            <charset val="134"/>
          </rPr>
          <t>龙丽娟:</t>
        </r>
        <r>
          <rPr>
            <sz val="9"/>
            <rFont val="宋体"/>
            <charset val="134"/>
          </rPr>
          <t xml:space="preserve">
7/10 收到亚马逊外箱贴纸 1pcs
7/13 上UPC贴纸 29172pcs
214526、214522、214773共用</t>
        </r>
      </text>
    </comment>
    <comment ref="V435" authorId="2">
      <text>
        <r>
          <rPr>
            <b/>
            <sz val="9"/>
            <rFont val="宋体"/>
            <charset val="134"/>
          </rPr>
          <t>龙丽娟:</t>
        </r>
        <r>
          <rPr>
            <sz val="9"/>
            <rFont val="宋体"/>
            <charset val="134"/>
          </rPr>
          <t xml:space="preserve">
7/10 收到亚马逊外箱贴纸 69pcs
7/13 上UPC贴纸 29172pcs
214526、214522、214773共用</t>
        </r>
      </text>
    </comment>
    <comment ref="V436" authorId="2">
      <text>
        <r>
          <rPr>
            <b/>
            <sz val="9"/>
            <rFont val="宋体"/>
            <charset val="134"/>
          </rPr>
          <t>龙丽娟:</t>
        </r>
        <r>
          <rPr>
            <sz val="9"/>
            <rFont val="宋体"/>
            <charset val="134"/>
          </rPr>
          <t xml:space="preserve">
7/10 收到亚马逊外箱贴纸 31pcs
7/13 上UPC贴纸 29172pcs
214526、214522、214773共用</t>
        </r>
      </text>
    </comment>
    <comment ref="V437" authorId="2">
      <text>
        <r>
          <rPr>
            <b/>
            <sz val="9"/>
            <rFont val="宋体"/>
            <charset val="134"/>
          </rPr>
          <t>龙丽娟:</t>
        </r>
        <r>
          <rPr>
            <sz val="9"/>
            <rFont val="宋体"/>
            <charset val="134"/>
          </rPr>
          <t xml:space="preserve">
7/10 收到亚马逊外箱贴纸 47pcs
7/13 上UPC贴纸 29172pcs
214526、214522、214773共用</t>
        </r>
      </text>
    </comment>
    <comment ref="V438" authorId="2">
      <text>
        <r>
          <rPr>
            <b/>
            <sz val="9"/>
            <rFont val="宋体"/>
            <charset val="134"/>
          </rPr>
          <t>龙丽娟:</t>
        </r>
        <r>
          <rPr>
            <sz val="9"/>
            <rFont val="宋体"/>
            <charset val="134"/>
          </rPr>
          <t xml:space="preserve">
7/10 收到亚马逊外箱贴纸 192pcs
7/13 上UPC贴纸 29172pcs
214526、214522、214773共用</t>
        </r>
      </text>
    </comment>
    <comment ref="T440" authorId="2">
      <text>
        <r>
          <rPr>
            <b/>
            <sz val="9"/>
            <rFont val="宋体"/>
            <charset val="134"/>
          </rPr>
          <t>龙丽娟:</t>
        </r>
        <r>
          <rPr>
            <sz val="9"/>
            <rFont val="宋体"/>
            <charset val="134"/>
          </rPr>
          <t xml:space="preserve">
1001586 8/4 39PCS馥通</t>
        </r>
      </text>
    </comment>
    <comment ref="V441" authorId="2">
      <text>
        <r>
          <rPr>
            <b/>
            <sz val="9"/>
            <rFont val="宋体"/>
            <charset val="134"/>
          </rPr>
          <t>龙丽娟:</t>
        </r>
        <r>
          <rPr>
            <sz val="9"/>
            <rFont val="宋体"/>
            <charset val="134"/>
          </rPr>
          <t xml:space="preserve">
7/7上进口商/upc贴纸各5160pcs
207499/208984共用</t>
        </r>
      </text>
    </comment>
    <comment ref="T445" authorId="2">
      <text>
        <r>
          <rPr>
            <b/>
            <sz val="9"/>
            <rFont val="宋体"/>
            <charset val="134"/>
          </rPr>
          <t>龙丽娟:</t>
        </r>
        <r>
          <rPr>
            <sz val="9"/>
            <rFont val="宋体"/>
            <charset val="134"/>
          </rPr>
          <t xml:space="preserve">
7/17 1001878 11596pcs顶均d2</t>
        </r>
      </text>
    </comment>
    <comment ref="V445" authorId="2">
      <text>
        <r>
          <rPr>
            <b/>
            <sz val="9"/>
            <rFont val="宋体"/>
            <charset val="134"/>
          </rPr>
          <t>龙丽娟:</t>
        </r>
        <r>
          <rPr>
            <sz val="9"/>
            <rFont val="宋体"/>
            <charset val="134"/>
          </rPr>
          <t xml:space="preserve">
6/9上德语警语贴纸11596pcs</t>
        </r>
      </text>
    </comment>
    <comment ref="V446" authorId="2">
      <text>
        <r>
          <rPr>
            <b/>
            <sz val="9"/>
            <rFont val="宋体"/>
            <charset val="134"/>
          </rPr>
          <t>龙丽娟:</t>
        </r>
        <r>
          <rPr>
            <sz val="9"/>
            <rFont val="宋体"/>
            <charset val="134"/>
          </rPr>
          <t xml:space="preserve">
6/29上西班牙环保标贴纸6032pcs</t>
        </r>
      </text>
    </comment>
    <comment ref="V447" authorId="2">
      <text>
        <r>
          <rPr>
            <b/>
            <sz val="9"/>
            <rFont val="宋体"/>
            <charset val="134"/>
          </rPr>
          <t>龙丽娟:</t>
        </r>
        <r>
          <rPr>
            <sz val="9"/>
            <rFont val="宋体"/>
            <charset val="134"/>
          </rPr>
          <t xml:space="preserve">
6/17上PDQ贴纸372pcs</t>
        </r>
      </text>
    </comment>
    <comment ref="V448" authorId="2">
      <text>
        <r>
          <rPr>
            <b/>
            <sz val="9"/>
            <rFont val="宋体"/>
            <charset val="134"/>
          </rPr>
          <t>龙丽娟:</t>
        </r>
        <r>
          <rPr>
            <sz val="9"/>
            <rFont val="宋体"/>
            <charset val="134"/>
          </rPr>
          <t xml:space="preserve">
6/17上展示架贴纸120pcs</t>
        </r>
      </text>
    </comment>
    <comment ref="BB450" authorId="3">
      <text>
        <r>
          <rPr>
            <b/>
            <sz val="9"/>
            <rFont val="宋体"/>
            <charset val="134"/>
          </rPr>
          <t>RR:</t>
        </r>
        <r>
          <rPr>
            <sz val="9"/>
            <rFont val="宋体"/>
            <charset val="134"/>
          </rPr>
          <t xml:space="preserve">
客版新资料</t>
        </r>
      </text>
    </comment>
    <comment ref="BC450" authorId="3">
      <text>
        <r>
          <rPr>
            <b/>
            <sz val="9"/>
            <rFont val="宋体"/>
            <charset val="134"/>
          </rPr>
          <t>RR:</t>
        </r>
        <r>
          <rPr>
            <sz val="9"/>
            <rFont val="宋体"/>
            <charset val="134"/>
          </rPr>
          <t xml:space="preserve">
客版新资料</t>
        </r>
      </text>
    </comment>
    <comment ref="BD450" authorId="3">
      <text>
        <r>
          <rPr>
            <b/>
            <sz val="9"/>
            <rFont val="宋体"/>
            <charset val="134"/>
          </rPr>
          <t>RR:</t>
        </r>
        <r>
          <rPr>
            <sz val="9"/>
            <rFont val="宋体"/>
            <charset val="134"/>
          </rPr>
          <t xml:space="preserve">
客版新资料</t>
        </r>
      </text>
    </comment>
    <comment ref="BE450" authorId="3">
      <text>
        <r>
          <rPr>
            <b/>
            <sz val="9"/>
            <rFont val="宋体"/>
            <charset val="134"/>
          </rPr>
          <t>RR:</t>
        </r>
        <r>
          <rPr>
            <sz val="9"/>
            <rFont val="宋体"/>
            <charset val="134"/>
          </rPr>
          <t xml:space="preserve">
客版新资料</t>
        </r>
      </text>
    </comment>
    <comment ref="BF450" authorId="3">
      <text>
        <r>
          <rPr>
            <b/>
            <sz val="9"/>
            <rFont val="宋体"/>
            <charset val="134"/>
          </rPr>
          <t>RR:</t>
        </r>
        <r>
          <rPr>
            <sz val="9"/>
            <rFont val="宋体"/>
            <charset val="134"/>
          </rPr>
          <t xml:space="preserve">
客版新资料</t>
        </r>
      </text>
    </comment>
    <comment ref="V451" authorId="2">
      <text>
        <r>
          <rPr>
            <b/>
            <sz val="9"/>
            <rFont val="宋体"/>
            <charset val="134"/>
          </rPr>
          <t>龙丽娟:</t>
        </r>
        <r>
          <rPr>
            <sz val="9"/>
            <rFont val="宋体"/>
            <charset val="134"/>
          </rPr>
          <t xml:space="preserve">
7/6上法国回收logo贴纸175pcs</t>
        </r>
      </text>
    </comment>
    <comment ref="T453" authorId="2">
      <text>
        <r>
          <rPr>
            <b/>
            <sz val="9"/>
            <rFont val="宋体"/>
            <charset val="134"/>
          </rPr>
          <t>龙丽娟:</t>
        </r>
        <r>
          <rPr>
            <sz val="9"/>
            <rFont val="宋体"/>
            <charset val="134"/>
          </rPr>
          <t xml:space="preserve">
8/4 1001555 7450pcs馥通D8</t>
        </r>
      </text>
    </comment>
    <comment ref="V453" authorId="2">
      <text>
        <r>
          <rPr>
            <b/>
            <sz val="9"/>
            <rFont val="宋体"/>
            <charset val="134"/>
          </rPr>
          <t>龙丽娟:</t>
        </r>
        <r>
          <rPr>
            <sz val="9"/>
            <rFont val="宋体"/>
            <charset val="134"/>
          </rPr>
          <t xml:space="preserve">
7/15上西班牙贴纸7450pcs</t>
        </r>
      </text>
    </comment>
    <comment ref="V454" authorId="2">
      <text>
        <r>
          <rPr>
            <b/>
            <sz val="9"/>
            <rFont val="宋体"/>
            <charset val="134"/>
          </rPr>
          <t>龙丽娟:</t>
        </r>
        <r>
          <rPr>
            <sz val="9"/>
            <rFont val="宋体"/>
            <charset val="134"/>
          </rPr>
          <t xml:space="preserve">
7/6上进口商贴纸4472pcs</t>
        </r>
      </text>
    </comment>
    <comment ref="V455" authorId="2">
      <text>
        <r>
          <rPr>
            <b/>
            <sz val="9"/>
            <rFont val="宋体"/>
            <charset val="134"/>
          </rPr>
          <t>龙丽娟:</t>
        </r>
        <r>
          <rPr>
            <sz val="9"/>
            <rFont val="宋体"/>
            <charset val="134"/>
          </rPr>
          <t xml:space="preserve">
7/6上客版价格贴纸4002pcs/sscc外箱贴纸667pcs</t>
        </r>
      </text>
    </comment>
    <comment ref="T456" authorId="2">
      <text>
        <r>
          <rPr>
            <b/>
            <sz val="9"/>
            <rFont val="宋体"/>
            <charset val="0"/>
          </rPr>
          <t>龙丽娟:</t>
        </r>
        <r>
          <rPr>
            <sz val="9"/>
            <rFont val="宋体"/>
            <charset val="0"/>
          </rPr>
          <t xml:space="preserve">
8/6 1001536 50pcs欣泰A5</t>
        </r>
      </text>
    </comment>
    <comment ref="V456" authorId="2">
      <text>
        <r>
          <rPr>
            <b/>
            <sz val="9"/>
            <rFont val="宋体"/>
            <charset val="134"/>
          </rPr>
          <t>龙丽娟:</t>
        </r>
        <r>
          <rPr>
            <sz val="9"/>
            <rFont val="宋体"/>
            <charset val="134"/>
          </rPr>
          <t xml:space="preserve">
7/7上进口商/空白贴纸各37000pcs
206033/202915共用</t>
        </r>
      </text>
    </comment>
    <comment ref="V457" authorId="2">
      <text>
        <r>
          <rPr>
            <b/>
            <sz val="9"/>
            <rFont val="宋体"/>
            <charset val="134"/>
          </rPr>
          <t>龙丽娟:</t>
        </r>
        <r>
          <rPr>
            <sz val="9"/>
            <rFont val="宋体"/>
            <charset val="134"/>
          </rPr>
          <t xml:space="preserve">
7/7上进口商/空白贴纸各37000pcs
206033/202915共用</t>
        </r>
      </text>
    </comment>
    <comment ref="V458" authorId="2">
      <text>
        <r>
          <rPr>
            <b/>
            <sz val="9"/>
            <rFont val="宋体"/>
            <charset val="134"/>
          </rPr>
          <t>龙丽娟:</t>
        </r>
        <r>
          <rPr>
            <sz val="9"/>
            <rFont val="宋体"/>
            <charset val="134"/>
          </rPr>
          <t xml:space="preserve">
7/6上进口商内容贴纸600pcs</t>
        </r>
      </text>
    </comment>
    <comment ref="T459" authorId="2">
      <text>
        <r>
          <rPr>
            <b/>
            <sz val="9"/>
            <rFont val="宋体"/>
            <charset val="134"/>
          </rPr>
          <t>龙丽娟:</t>
        </r>
        <r>
          <rPr>
            <sz val="9"/>
            <rFont val="宋体"/>
            <charset val="134"/>
          </rPr>
          <t xml:space="preserve">
8/4 1001555 6032pcs馥通D8</t>
        </r>
      </text>
    </comment>
    <comment ref="V459" authorId="2">
      <text>
        <r>
          <rPr>
            <b/>
            <sz val="9"/>
            <rFont val="宋体"/>
            <charset val="134"/>
          </rPr>
          <t>龙丽娟:</t>
        </r>
        <r>
          <rPr>
            <sz val="9"/>
            <rFont val="宋体"/>
            <charset val="134"/>
          </rPr>
          <t xml:space="preserve">
7/6上警语贴纸6032pcs</t>
        </r>
      </text>
    </comment>
    <comment ref="V460" authorId="2">
      <text>
        <r>
          <rPr>
            <b/>
            <sz val="9"/>
            <rFont val="宋体"/>
            <charset val="134"/>
          </rPr>
          <t>龙丽娟:</t>
        </r>
        <r>
          <rPr>
            <sz val="9"/>
            <rFont val="宋体"/>
            <charset val="134"/>
          </rPr>
          <t xml:space="preserve">
7/6上进口商/UPC贴纸各2100pcs</t>
        </r>
      </text>
    </comment>
    <comment ref="V461" authorId="2">
      <text>
        <r>
          <rPr>
            <b/>
            <sz val="9"/>
            <rFont val="宋体"/>
            <charset val="134"/>
          </rPr>
          <t>龙丽娟:</t>
        </r>
        <r>
          <rPr>
            <sz val="9"/>
            <rFont val="宋体"/>
            <charset val="134"/>
          </rPr>
          <t xml:space="preserve">
7/6上进口商贴纸2500pcs</t>
        </r>
      </text>
    </comment>
    <comment ref="V462" authorId="2">
      <text>
        <r>
          <rPr>
            <b/>
            <sz val="9"/>
            <rFont val="宋体"/>
            <charset val="134"/>
          </rPr>
          <t>龙丽娟:</t>
        </r>
        <r>
          <rPr>
            <sz val="9"/>
            <rFont val="宋体"/>
            <charset val="134"/>
          </rPr>
          <t xml:space="preserve">
7/10上客供RFID 贴纸37200pcs</t>
        </r>
      </text>
    </comment>
    <comment ref="V463" authorId="2">
      <text>
        <r>
          <rPr>
            <b/>
            <sz val="9"/>
            <rFont val="宋体"/>
            <charset val="134"/>
          </rPr>
          <t>龙丽娟:</t>
        </r>
        <r>
          <rPr>
            <sz val="9"/>
            <rFont val="宋体"/>
            <charset val="134"/>
          </rPr>
          <t xml:space="preserve">
7/10上客供RFID 贴纸31712pcs</t>
        </r>
        <r>
          <rPr>
            <b/>
            <sz val="9"/>
            <rFont val="宋体"/>
            <charset val="134"/>
          </rPr>
          <t xml:space="preserve">
龙丽娟:</t>
        </r>
        <r>
          <rPr>
            <sz val="9"/>
            <rFont val="宋体"/>
            <charset val="134"/>
          </rPr>
          <t xml:space="preserve">
7/18上upc贴纸74624pcs</t>
        </r>
      </text>
    </comment>
    <comment ref="V466" authorId="2">
      <text>
        <r>
          <rPr>
            <b/>
            <sz val="9"/>
            <rFont val="宋体"/>
            <charset val="134"/>
          </rPr>
          <t>龙丽娟:</t>
        </r>
        <r>
          <rPr>
            <sz val="9"/>
            <rFont val="宋体"/>
            <charset val="134"/>
          </rPr>
          <t xml:space="preserve">
7/3上包装贴纸3300pcs</t>
        </r>
      </text>
    </comment>
    <comment ref="V467" authorId="2">
      <text>
        <r>
          <rPr>
            <b/>
            <sz val="9"/>
            <rFont val="宋体"/>
            <charset val="134"/>
          </rPr>
          <t>龙丽娟:</t>
        </r>
        <r>
          <rPr>
            <sz val="9"/>
            <rFont val="宋体"/>
            <charset val="134"/>
          </rPr>
          <t xml:space="preserve">
7/3上客供外箱条码贴纸617pcs</t>
        </r>
      </text>
    </comment>
    <comment ref="V468" authorId="2">
      <text>
        <r>
          <rPr>
            <b/>
            <sz val="9"/>
            <rFont val="宋体"/>
            <charset val="134"/>
          </rPr>
          <t>龙丽娟:</t>
        </r>
        <r>
          <rPr>
            <sz val="9"/>
            <rFont val="宋体"/>
            <charset val="134"/>
          </rPr>
          <t xml:space="preserve">
6/17上价格贴纸1300pcs</t>
        </r>
        <r>
          <rPr>
            <b/>
            <sz val="9"/>
            <rFont val="宋体"/>
            <charset val="134"/>
          </rPr>
          <t xml:space="preserve">
龙丽娟:</t>
        </r>
        <r>
          <rPr>
            <sz val="9"/>
            <rFont val="宋体"/>
            <charset val="134"/>
          </rPr>
          <t xml:space="preserve">
6/24上客供外箱条码啊贴纸，26pcs</t>
        </r>
      </text>
    </comment>
    <comment ref="T471" authorId="2">
      <text>
        <r>
          <rPr>
            <b/>
            <sz val="9"/>
            <rFont val="宋体"/>
            <charset val="134"/>
          </rPr>
          <t>龙丽娟:</t>
        </r>
        <r>
          <rPr>
            <sz val="9"/>
            <rFont val="宋体"/>
            <charset val="134"/>
          </rPr>
          <t xml:space="preserve">
25000403 7/15 组合1-10各42pcs
                           组合11    60pcs
                           组合12    14pcs</t>
        </r>
      </text>
    </comment>
    <comment ref="V471" authorId="2">
      <text>
        <r>
          <rPr>
            <b/>
            <sz val="9"/>
            <rFont val="宋体"/>
            <charset val="134"/>
          </rPr>
          <t>龙丽娟:</t>
        </r>
        <r>
          <rPr>
            <sz val="9"/>
            <rFont val="宋体"/>
            <charset val="134"/>
          </rPr>
          <t xml:space="preserve">
7/3上包装贴纸510pcs</t>
        </r>
      </text>
    </comment>
    <comment ref="V472" authorId="2">
      <text>
        <r>
          <rPr>
            <b/>
            <sz val="9"/>
            <rFont val="宋体"/>
            <charset val="134"/>
          </rPr>
          <t>龙丽娟:</t>
        </r>
        <r>
          <rPr>
            <sz val="9"/>
            <rFont val="宋体"/>
            <charset val="134"/>
          </rPr>
          <t xml:space="preserve">
6/22上包装贴纸3000pcs</t>
        </r>
      </text>
    </comment>
    <comment ref="V473" authorId="2">
      <text>
        <r>
          <rPr>
            <b/>
            <sz val="9"/>
            <rFont val="宋体"/>
            <charset val="134"/>
          </rPr>
          <t>龙丽娟:</t>
        </r>
        <r>
          <rPr>
            <sz val="9"/>
            <rFont val="宋体"/>
            <charset val="134"/>
          </rPr>
          <t xml:space="preserve">
6/26上德语警语贴纸1008pcs</t>
        </r>
        <r>
          <rPr>
            <b/>
            <sz val="9"/>
            <rFont val="宋体"/>
            <charset val="134"/>
          </rPr>
          <t xml:space="preserve">
龙丽娟:</t>
        </r>
        <r>
          <rPr>
            <sz val="9"/>
            <rFont val="宋体"/>
            <charset val="134"/>
          </rPr>
          <t xml:space="preserve">
6/26上德语警语/EAN条码贴纸各504pcs</t>
        </r>
      </text>
    </comment>
    <comment ref="V478" authorId="2">
      <text>
        <r>
          <rPr>
            <b/>
            <sz val="9"/>
            <rFont val="宋体"/>
            <charset val="134"/>
          </rPr>
          <t>龙丽娟:</t>
        </r>
        <r>
          <rPr>
            <sz val="9"/>
            <rFont val="宋体"/>
            <charset val="134"/>
          </rPr>
          <t xml:space="preserve">
7/7上进口商/条码贴纸各400pcs</t>
        </r>
      </text>
    </comment>
    <comment ref="V479" authorId="2">
      <text>
        <r>
          <rPr>
            <b/>
            <sz val="9"/>
            <rFont val="宋体"/>
            <charset val="134"/>
          </rPr>
          <t>龙丽娟:</t>
        </r>
        <r>
          <rPr>
            <sz val="9"/>
            <rFont val="宋体"/>
            <charset val="134"/>
          </rPr>
          <t xml:space="preserve">
7/10上客供RFID 贴纸26768pcs</t>
        </r>
      </text>
    </comment>
    <comment ref="V480" authorId="2">
      <text>
        <r>
          <rPr>
            <b/>
            <sz val="9"/>
            <rFont val="宋体"/>
            <charset val="134"/>
          </rPr>
          <t>龙丽娟:</t>
        </r>
        <r>
          <rPr>
            <sz val="9"/>
            <rFont val="宋体"/>
            <charset val="134"/>
          </rPr>
          <t xml:space="preserve">
6/29上sscc外箱贴纸469pcs</t>
        </r>
        <r>
          <rPr>
            <b/>
            <sz val="9"/>
            <rFont val="宋体"/>
            <charset val="134"/>
          </rPr>
          <t xml:space="preserve">
龙丽娟:</t>
        </r>
        <r>
          <rPr>
            <sz val="9"/>
            <rFont val="宋体"/>
            <charset val="134"/>
          </rPr>
          <t xml:space="preserve">
7/16 上KM外箱贴纸 469pcs</t>
        </r>
      </text>
    </comment>
    <comment ref="AX480" authorId="3">
      <text>
        <r>
          <rPr>
            <b/>
            <sz val="9"/>
            <rFont val="宋体"/>
            <charset val="134"/>
          </rPr>
          <t>RR:</t>
        </r>
        <r>
          <rPr>
            <sz val="9"/>
            <rFont val="宋体"/>
            <charset val="134"/>
          </rPr>
          <t xml:space="preserve">
移除21/23号唱片客版收藏指南</t>
        </r>
      </text>
    </comment>
    <comment ref="V481" authorId="2">
      <text>
        <r>
          <rPr>
            <b/>
            <sz val="9"/>
            <rFont val="宋体"/>
            <charset val="134"/>
          </rPr>
          <t>龙丽娟:</t>
        </r>
        <r>
          <rPr>
            <sz val="9"/>
            <rFont val="宋体"/>
            <charset val="134"/>
          </rPr>
          <t xml:space="preserve">
6/29上sscc外箱贴纸11pcs</t>
        </r>
        <r>
          <rPr>
            <b/>
            <sz val="9"/>
            <rFont val="宋体"/>
            <charset val="134"/>
          </rPr>
          <t xml:space="preserve">
龙丽娟:</t>
        </r>
        <r>
          <rPr>
            <sz val="9"/>
            <rFont val="宋体"/>
            <charset val="134"/>
          </rPr>
          <t xml:space="preserve">
7/16上kmart外箱贴纸31pcs</t>
        </r>
      </text>
    </comment>
    <comment ref="AX481" authorId="3">
      <text>
        <r>
          <rPr>
            <b/>
            <sz val="9"/>
            <rFont val="宋体"/>
            <charset val="134"/>
          </rPr>
          <t>RR:</t>
        </r>
        <r>
          <rPr>
            <sz val="9"/>
            <rFont val="宋体"/>
            <charset val="134"/>
          </rPr>
          <t xml:space="preserve">
移除21/23号唱片客版收藏指南</t>
        </r>
      </text>
    </comment>
    <comment ref="V483" authorId="2">
      <text>
        <r>
          <rPr>
            <b/>
            <sz val="9"/>
            <rFont val="宋体"/>
            <charset val="134"/>
          </rPr>
          <t>龙丽娟:</t>
        </r>
        <r>
          <rPr>
            <sz val="9"/>
            <rFont val="宋体"/>
            <charset val="134"/>
          </rPr>
          <t xml:space="preserve">
7/7上包装贴纸1000pcs</t>
        </r>
      </text>
    </comment>
    <comment ref="V485" authorId="2">
      <text>
        <r>
          <rPr>
            <b/>
            <sz val="9"/>
            <rFont val="宋体"/>
            <charset val="134"/>
          </rPr>
          <t>龙丽娟:</t>
        </r>
        <r>
          <rPr>
            <sz val="9"/>
            <rFont val="宋体"/>
            <charset val="134"/>
          </rPr>
          <t xml:space="preserve">
7/16商客户进口商贴纸1680pcs</t>
        </r>
      </text>
    </comment>
    <comment ref="V486" authorId="2">
      <text>
        <r>
          <rPr>
            <b/>
            <sz val="9"/>
            <rFont val="宋体"/>
            <charset val="134"/>
          </rPr>
          <t>龙丽娟:</t>
        </r>
        <r>
          <rPr>
            <sz val="9"/>
            <rFont val="宋体"/>
            <charset val="134"/>
          </rPr>
          <t xml:space="preserve">
7/16 上客户进口商贴纸/EAN条码贴纸各2100pcs</t>
        </r>
      </text>
    </comment>
    <comment ref="V489" authorId="2">
      <text>
        <r>
          <rPr>
            <b/>
            <sz val="9"/>
            <rFont val="宋体"/>
            <charset val="134"/>
          </rPr>
          <t>龙丽娟:</t>
        </r>
        <r>
          <rPr>
            <sz val="9"/>
            <rFont val="宋体"/>
            <charset val="134"/>
          </rPr>
          <t xml:space="preserve">
7/14上客供价格贴纸2610pcs</t>
        </r>
      </text>
    </comment>
    <comment ref="V490" authorId="2">
      <text>
        <r>
          <rPr>
            <b/>
            <sz val="9"/>
            <rFont val="宋体"/>
            <charset val="134"/>
          </rPr>
          <t>龙丽娟:</t>
        </r>
        <r>
          <rPr>
            <sz val="9"/>
            <rFont val="宋体"/>
            <charset val="134"/>
          </rPr>
          <t xml:space="preserve">
7/9上警告语贴纸650pcs</t>
        </r>
      </text>
    </comment>
    <comment ref="V494" authorId="2">
      <text>
        <r>
          <rPr>
            <b/>
            <sz val="9"/>
            <rFont val="宋体"/>
            <charset val="134"/>
          </rPr>
          <t>龙丽娟:</t>
        </r>
        <r>
          <rPr>
            <sz val="9"/>
            <rFont val="宋体"/>
            <charset val="134"/>
          </rPr>
          <t xml:space="preserve">
7/8上upc贴纸1700pcs
203228/203233共用</t>
        </r>
      </text>
    </comment>
    <comment ref="V498" authorId="2">
      <text>
        <r>
          <rPr>
            <b/>
            <sz val="9"/>
            <rFont val="宋体"/>
            <charset val="134"/>
          </rPr>
          <t>龙丽娟:</t>
        </r>
        <r>
          <rPr>
            <sz val="9"/>
            <rFont val="宋体"/>
            <charset val="134"/>
          </rPr>
          <t xml:space="preserve">
6/26上UPC贴纸11710pcs</t>
        </r>
      </text>
    </comment>
    <comment ref="V499" authorId="2">
      <text>
        <r>
          <rPr>
            <b/>
            <sz val="9"/>
            <rFont val="宋体"/>
            <charset val="134"/>
          </rPr>
          <t>龙丽娟:</t>
        </r>
        <r>
          <rPr>
            <sz val="9"/>
            <rFont val="宋体"/>
            <charset val="134"/>
          </rPr>
          <t xml:space="preserve">
7/8上upc贴纸1700pcs
203228/203233共用</t>
        </r>
      </text>
    </comment>
    <comment ref="V505" authorId="2">
      <text>
        <r>
          <rPr>
            <b/>
            <sz val="9"/>
            <rFont val="宋体"/>
            <charset val="134"/>
          </rPr>
          <t>龙丽娟:</t>
        </r>
        <r>
          <rPr>
            <sz val="9"/>
            <rFont val="宋体"/>
            <charset val="134"/>
          </rPr>
          <t xml:space="preserve">
7/10上客供RFID 贴纸24000pcs</t>
        </r>
      </text>
    </comment>
    <comment ref="V506" authorId="2">
      <text>
        <r>
          <rPr>
            <b/>
            <sz val="9"/>
            <rFont val="宋体"/>
            <charset val="134"/>
          </rPr>
          <t>龙丽娟:</t>
        </r>
        <r>
          <rPr>
            <sz val="9"/>
            <rFont val="宋体"/>
            <charset val="134"/>
          </rPr>
          <t xml:space="preserve">
7/10上客供RFID 贴纸22960pcs</t>
        </r>
      </text>
    </comment>
    <comment ref="V507" authorId="2">
      <text>
        <r>
          <rPr>
            <b/>
            <sz val="9"/>
            <rFont val="宋体"/>
            <charset val="134"/>
          </rPr>
          <t>龙丽娟:</t>
        </r>
        <r>
          <rPr>
            <sz val="9"/>
            <rFont val="宋体"/>
            <charset val="134"/>
          </rPr>
          <t xml:space="preserve">
6/2 上HK客供警语贴纸贴收藏指南和拆件说明书 2505pcs
      上HK客供警语贴纸贴球底部 1880pcs</t>
        </r>
      </text>
    </comment>
    <comment ref="T508" authorId="2">
      <text>
        <r>
          <rPr>
            <b/>
            <sz val="9"/>
            <rFont val="宋体"/>
            <charset val="134"/>
          </rPr>
          <t>龙丽娟:</t>
        </r>
        <r>
          <rPr>
            <sz val="9"/>
            <rFont val="宋体"/>
            <charset val="134"/>
          </rPr>
          <t xml:space="preserve">
8/4 1001555 468pcs馥通D8</t>
        </r>
      </text>
    </comment>
    <comment ref="V509" authorId="2">
      <text>
        <r>
          <rPr>
            <b/>
            <sz val="9"/>
            <rFont val="宋体"/>
            <charset val="134"/>
          </rPr>
          <t>龙丽娟:</t>
        </r>
        <r>
          <rPr>
            <sz val="9"/>
            <rFont val="宋体"/>
            <charset val="134"/>
          </rPr>
          <t xml:space="preserve">
7/3上客供外箱条码贴纸1623pcs</t>
        </r>
      </text>
    </comment>
    <comment ref="V511" authorId="2">
      <text>
        <r>
          <rPr>
            <b/>
            <sz val="9"/>
            <rFont val="宋体"/>
            <charset val="134"/>
          </rPr>
          <t>龙丽娟:</t>
        </r>
        <r>
          <rPr>
            <sz val="9"/>
            <rFont val="宋体"/>
            <charset val="134"/>
          </rPr>
          <t xml:space="preserve">
7/7上进口商/upc贴纸各5160pcs
207499/208984共用</t>
        </r>
      </text>
    </comment>
    <comment ref="T512" authorId="2">
      <text>
        <r>
          <rPr>
            <b/>
            <sz val="9"/>
            <rFont val="宋体"/>
            <charset val="134"/>
          </rPr>
          <t>龙丽娟:</t>
        </r>
        <r>
          <rPr>
            <sz val="9"/>
            <rFont val="宋体"/>
            <charset val="134"/>
          </rPr>
          <t xml:space="preserve">
8/4 100155 3904pcs馥通C8</t>
        </r>
        <r>
          <rPr>
            <b/>
            <sz val="9"/>
            <rFont val="宋体"/>
            <charset val="134"/>
          </rPr>
          <t xml:space="preserve">
龙丽娟:</t>
        </r>
        <r>
          <rPr>
            <sz val="9"/>
            <rFont val="宋体"/>
            <charset val="134"/>
          </rPr>
          <t xml:space="preserve">
8/4 1001552 2128PCS馥通B2</t>
        </r>
      </text>
    </comment>
    <comment ref="V512" authorId="2">
      <text>
        <r>
          <rPr>
            <b/>
            <sz val="9"/>
            <rFont val="宋体"/>
            <charset val="134"/>
          </rPr>
          <t>龙丽娟:</t>
        </r>
        <r>
          <rPr>
            <sz val="9"/>
            <rFont val="宋体"/>
            <charset val="134"/>
          </rPr>
          <t xml:space="preserve">
7/9上upc贴纸6032pcs</t>
        </r>
      </text>
    </comment>
    <comment ref="T513" authorId="2">
      <text>
        <r>
          <rPr>
            <b/>
            <sz val="9"/>
            <rFont val="宋体"/>
            <charset val="134"/>
          </rPr>
          <t>龙丽娟:</t>
        </r>
        <r>
          <rPr>
            <sz val="9"/>
            <rFont val="宋体"/>
            <charset val="134"/>
          </rPr>
          <t xml:space="preserve">
8/4 2801407 2950pcs馥通d1</t>
        </r>
      </text>
    </comment>
    <comment ref="V513" authorId="2">
      <text>
        <r>
          <rPr>
            <b/>
            <sz val="9"/>
            <rFont val="宋体"/>
            <charset val="134"/>
          </rPr>
          <t>龙丽娟:</t>
        </r>
        <r>
          <rPr>
            <sz val="9"/>
            <rFont val="宋体"/>
            <charset val="134"/>
          </rPr>
          <t xml:space="preserve">
7/15 上UPC贴纸3000pcs</t>
        </r>
        <r>
          <rPr>
            <b/>
            <sz val="9"/>
            <rFont val="宋体"/>
            <charset val="134"/>
          </rPr>
          <t xml:space="preserve">
龙丽娟:</t>
        </r>
        <r>
          <rPr>
            <sz val="9"/>
            <rFont val="宋体"/>
            <charset val="134"/>
          </rPr>
          <t xml:space="preserve">
7/16上进口商贴纸3000pcs</t>
        </r>
      </text>
    </comment>
    <comment ref="V514" authorId="2">
      <text>
        <r>
          <rPr>
            <b/>
            <sz val="9"/>
            <rFont val="宋体"/>
            <charset val="134"/>
          </rPr>
          <t>龙丽娟:</t>
        </r>
        <r>
          <rPr>
            <sz val="9"/>
            <rFont val="宋体"/>
            <charset val="134"/>
          </rPr>
          <t xml:space="preserve">
7/13上进口商贴纸/PDQ贴纸各2000pcs</t>
        </r>
      </text>
    </comment>
    <comment ref="T515" authorId="2">
      <text>
        <r>
          <rPr>
            <b/>
            <sz val="9"/>
            <rFont val="宋体"/>
            <charset val="0"/>
          </rPr>
          <t>龙丽娟:</t>
        </r>
        <r>
          <rPr>
            <sz val="9"/>
            <rFont val="宋体"/>
            <charset val="0"/>
          </rPr>
          <t xml:space="preserve">
8/6 1001547 5000pcs钜顺A4</t>
        </r>
      </text>
    </comment>
    <comment ref="V515" authorId="2">
      <text>
        <r>
          <rPr>
            <b/>
            <sz val="9"/>
            <rFont val="宋体"/>
            <charset val="134"/>
          </rPr>
          <t>龙丽娟:</t>
        </r>
        <r>
          <rPr>
            <sz val="9"/>
            <rFont val="宋体"/>
            <charset val="134"/>
          </rPr>
          <t xml:space="preserve">
6/4上进口商贴纸（含条码)5000PCS</t>
        </r>
      </text>
    </comment>
    <comment ref="V516" authorId="2">
      <text>
        <r>
          <rPr>
            <b/>
            <sz val="9"/>
            <rFont val="宋体"/>
            <charset val="134"/>
          </rPr>
          <t>龙丽娟:</t>
        </r>
        <r>
          <rPr>
            <sz val="9"/>
            <rFont val="宋体"/>
            <charset val="134"/>
          </rPr>
          <t xml:space="preserve">
7/3上客供外箱条码贴纸1516pcs</t>
        </r>
        <r>
          <rPr>
            <b/>
            <sz val="9"/>
            <rFont val="宋体"/>
            <charset val="134"/>
          </rPr>
          <t xml:space="preserve">
龙丽娟:</t>
        </r>
        <r>
          <rPr>
            <sz val="9"/>
            <rFont val="宋体"/>
            <charset val="134"/>
          </rPr>
          <t xml:space="preserve">
7/15上警告语/环保标贴纸11208pcs
210819/21182共用</t>
        </r>
      </text>
    </comment>
    <comment ref="V518" authorId="2">
      <text>
        <r>
          <rPr>
            <b/>
            <sz val="9"/>
            <rFont val="宋体"/>
            <charset val="134"/>
          </rPr>
          <t>龙丽娟:</t>
        </r>
        <r>
          <rPr>
            <sz val="9"/>
            <rFont val="宋体"/>
            <charset val="134"/>
          </rPr>
          <t xml:space="preserve">
7/7上upc贴纸780pcs</t>
        </r>
      </text>
    </comment>
    <comment ref="V525" authorId="2">
      <text>
        <r>
          <rPr>
            <b/>
            <sz val="9"/>
            <rFont val="宋体"/>
            <charset val="134"/>
          </rPr>
          <t>龙丽娟:</t>
        </r>
        <r>
          <rPr>
            <sz val="9"/>
            <rFont val="宋体"/>
            <charset val="134"/>
          </rPr>
          <t xml:space="preserve">
7/3上客供外箱条码贴纸952pcs</t>
        </r>
      </text>
    </comment>
    <comment ref="V526" authorId="0">
      <text>
        <r>
          <rPr>
            <b/>
            <sz val="12"/>
            <rFont val="宋体"/>
            <charset val="134"/>
          </rPr>
          <t>Administrator:</t>
        </r>
        <r>
          <rPr>
            <sz val="12"/>
            <rFont val="宋体"/>
            <charset val="134"/>
          </rPr>
          <t xml:space="preserve">
5/14上客供价格贴纸12598pcs</t>
        </r>
      </text>
    </comment>
    <comment ref="V528" authorId="2">
      <text>
        <r>
          <rPr>
            <b/>
            <sz val="9"/>
            <rFont val="宋体"/>
            <charset val="134"/>
          </rPr>
          <t>龙丽娟:</t>
        </r>
        <r>
          <rPr>
            <sz val="9"/>
            <rFont val="宋体"/>
            <charset val="134"/>
          </rPr>
          <t xml:space="preserve">
7/10上客供RFID 贴纸25216pcs</t>
        </r>
      </text>
    </comment>
    <comment ref="T529" authorId="2">
      <text>
        <r>
          <rPr>
            <b/>
            <sz val="9"/>
            <rFont val="宋体"/>
            <charset val="134"/>
          </rPr>
          <t>龙丽娟:</t>
        </r>
        <r>
          <rPr>
            <sz val="9"/>
            <rFont val="宋体"/>
            <charset val="134"/>
          </rPr>
          <t xml:space="preserve">
8/3 1000400 1989pcs直出</t>
        </r>
      </text>
    </comment>
    <comment ref="V529" authorId="2">
      <text>
        <r>
          <rPr>
            <b/>
            <sz val="9"/>
            <rFont val="宋体"/>
            <charset val="134"/>
          </rPr>
          <t>龙丽娟:</t>
        </r>
        <r>
          <rPr>
            <sz val="9"/>
            <rFont val="宋体"/>
            <charset val="134"/>
          </rPr>
          <t xml:space="preserve">
7/15上UPC/进口商贴纸各1989pcs</t>
        </r>
      </text>
    </comment>
    <comment ref="T530" authorId="2">
      <text>
        <r>
          <rPr>
            <b/>
            <sz val="9"/>
            <rFont val="宋体"/>
            <charset val="134"/>
          </rPr>
          <t>龙丽娟:</t>
        </r>
        <r>
          <rPr>
            <sz val="9"/>
            <rFont val="宋体"/>
            <charset val="134"/>
          </rPr>
          <t xml:space="preserve">
8/4 2801405 22400pcs欣泰f6e6</t>
        </r>
        <r>
          <rPr>
            <b/>
            <sz val="9"/>
            <rFont val="宋体"/>
            <charset val="134"/>
          </rPr>
          <t xml:space="preserve">
龙丽娟:</t>
        </r>
        <r>
          <rPr>
            <sz val="9"/>
            <rFont val="宋体"/>
            <charset val="134"/>
          </rPr>
          <t xml:space="preserve">
8/4 2801407 1568pcs馥通d2</t>
        </r>
      </text>
    </comment>
    <comment ref="V530" authorId="2">
      <text>
        <r>
          <rPr>
            <b/>
            <sz val="9"/>
            <rFont val="宋体"/>
            <charset val="134"/>
          </rPr>
          <t>龙丽娟:</t>
        </r>
        <r>
          <rPr>
            <sz val="9"/>
            <rFont val="宋体"/>
            <charset val="134"/>
          </rPr>
          <t xml:space="preserve">
7/10上客供RFID 贴纸23968pcs</t>
        </r>
      </text>
    </comment>
    <comment ref="T531" authorId="2">
      <text>
        <r>
          <rPr>
            <b/>
            <sz val="9"/>
            <rFont val="宋体"/>
            <charset val="134"/>
          </rPr>
          <t>龙丽娟:</t>
        </r>
        <r>
          <rPr>
            <sz val="9"/>
            <rFont val="宋体"/>
            <charset val="134"/>
          </rPr>
          <t xml:space="preserve">
8/4 1001555 2496pcs馥通D8</t>
        </r>
      </text>
    </comment>
    <comment ref="V531" authorId="2">
      <text>
        <r>
          <rPr>
            <b/>
            <sz val="9"/>
            <rFont val="宋体"/>
            <charset val="134"/>
          </rPr>
          <t>龙丽娟:</t>
        </r>
        <r>
          <rPr>
            <sz val="9"/>
            <rFont val="宋体"/>
            <charset val="134"/>
          </rPr>
          <t xml:space="preserve">
6/18上HK客供警语贴纸2576pcs/HK客供警语贴纸贴收藏指南和拆件说明书3366pcs</t>
        </r>
      </text>
    </comment>
    <comment ref="T532" authorId="2">
      <text>
        <r>
          <rPr>
            <b/>
            <sz val="9"/>
            <rFont val="宋体"/>
            <charset val="134"/>
          </rPr>
          <t>龙丽娟:</t>
        </r>
        <r>
          <rPr>
            <sz val="9"/>
            <rFont val="宋体"/>
            <charset val="134"/>
          </rPr>
          <t xml:space="preserve">
8/3 1000400 312pcs直出</t>
        </r>
      </text>
    </comment>
    <comment ref="T533" authorId="2">
      <text>
        <r>
          <rPr>
            <b/>
            <sz val="9"/>
            <rFont val="宋体"/>
            <charset val="134"/>
          </rPr>
          <t>龙丽娟:</t>
        </r>
        <r>
          <rPr>
            <sz val="9"/>
            <rFont val="宋体"/>
            <charset val="134"/>
          </rPr>
          <t xml:space="preserve">
8/4 208214 27624pcs馥通D4</t>
        </r>
      </text>
    </comment>
    <comment ref="T534" authorId="2">
      <text>
        <r>
          <rPr>
            <b/>
            <sz val="9"/>
            <rFont val="宋体"/>
            <charset val="134"/>
          </rPr>
          <t>龙丽娟:</t>
        </r>
        <r>
          <rPr>
            <sz val="9"/>
            <rFont val="宋体"/>
            <charset val="134"/>
          </rPr>
          <t xml:space="preserve">
8/1 2800365 24175pcs欣泰E3</t>
        </r>
        <r>
          <rPr>
            <b/>
            <sz val="9"/>
            <rFont val="宋体"/>
            <charset val="134"/>
          </rPr>
          <t xml:space="preserve">
龙丽娟:</t>
        </r>
        <r>
          <rPr>
            <sz val="9"/>
            <rFont val="宋体"/>
            <charset val="134"/>
          </rPr>
          <t xml:space="preserve">
8/1 2800366 3325pcs欣泰c3</t>
        </r>
      </text>
    </comment>
    <comment ref="V534" authorId="2">
      <text>
        <r>
          <rPr>
            <b/>
            <sz val="9"/>
            <rFont val="宋体"/>
            <charset val="134"/>
          </rPr>
          <t>龙丽娟:</t>
        </r>
        <r>
          <rPr>
            <sz val="9"/>
            <rFont val="宋体"/>
            <charset val="134"/>
          </rPr>
          <t xml:space="preserve">
7/15上客人通用进口商贴纸27500pcs</t>
        </r>
      </text>
    </comment>
    <comment ref="AX534" authorId="3">
      <text>
        <r>
          <rPr>
            <b/>
            <sz val="9"/>
            <rFont val="宋体"/>
            <charset val="134"/>
          </rPr>
          <t>RR:</t>
        </r>
        <r>
          <rPr>
            <sz val="9"/>
            <rFont val="宋体"/>
            <charset val="134"/>
          </rPr>
          <t xml:space="preserve">
移除21/23号唱片客版收藏指南</t>
        </r>
      </text>
    </comment>
    <comment ref="T535" authorId="2">
      <text>
        <r>
          <rPr>
            <b/>
            <sz val="9"/>
            <rFont val="宋体"/>
            <charset val="134"/>
          </rPr>
          <t>龙丽娟:</t>
        </r>
        <r>
          <rPr>
            <sz val="9"/>
            <rFont val="宋体"/>
            <charset val="134"/>
          </rPr>
          <t xml:space="preserve">
8/4 1001555 7450pcs馥通D5</t>
        </r>
      </text>
    </comment>
    <comment ref="T536" authorId="2">
      <text>
        <r>
          <rPr>
            <b/>
            <sz val="9"/>
            <rFont val="宋体"/>
            <charset val="134"/>
          </rPr>
          <t>龙丽娟:</t>
        </r>
        <r>
          <rPr>
            <sz val="9"/>
            <rFont val="宋体"/>
            <charset val="134"/>
          </rPr>
          <t xml:space="preserve">
8/4 1001555 4030pcs馥通D8</t>
        </r>
      </text>
    </comment>
    <comment ref="V539" authorId="2">
      <text>
        <r>
          <rPr>
            <b/>
            <sz val="9"/>
            <rFont val="宋体"/>
            <charset val="134"/>
          </rPr>
          <t>龙丽娟:</t>
        </r>
        <r>
          <rPr>
            <sz val="9"/>
            <rFont val="宋体"/>
            <charset val="134"/>
          </rPr>
          <t xml:space="preserve">
7/10上Kmart外箱贴纸31pcs</t>
        </r>
        <r>
          <rPr>
            <b/>
            <sz val="9"/>
            <rFont val="宋体"/>
            <charset val="134"/>
          </rPr>
          <t xml:space="preserve">
龙丽娟:</t>
        </r>
        <r>
          <rPr>
            <sz val="9"/>
            <rFont val="宋体"/>
            <charset val="134"/>
          </rPr>
          <t xml:space="preserve">
7/15上白色防盗贴纸403pcs</t>
        </r>
      </text>
    </comment>
    <comment ref="AX539" authorId="3">
      <text>
        <r>
          <rPr>
            <sz val="9"/>
            <rFont val="宋体"/>
            <charset val="134"/>
          </rPr>
          <t>RR:
移除21/23号唱片客版收藏指南</t>
        </r>
        <r>
          <rPr>
            <b/>
            <sz val="9"/>
            <rFont val="宋体"/>
            <charset val="134"/>
          </rPr>
          <t xml:space="preserve">
陈龙:</t>
        </r>
        <r>
          <rPr>
            <sz val="9"/>
            <rFont val="宋体"/>
            <charset val="134"/>
          </rPr>
          <t xml:space="preserve">
翻单4500197999</t>
        </r>
      </text>
    </comment>
    <comment ref="T540" authorId="2">
      <text>
        <r>
          <rPr>
            <b/>
            <sz val="9"/>
            <rFont val="宋体"/>
            <charset val="134"/>
          </rPr>
          <t>龙丽娟:</t>
        </r>
        <r>
          <rPr>
            <sz val="9"/>
            <rFont val="宋体"/>
            <charset val="134"/>
          </rPr>
          <t xml:space="preserve">
8/1 1001605 26pcs欣泰A5</t>
        </r>
      </text>
    </comment>
    <comment ref="V540" authorId="2">
      <text>
        <r>
          <rPr>
            <b/>
            <sz val="9"/>
            <rFont val="宋体"/>
            <charset val="134"/>
          </rPr>
          <t>龙丽娟:</t>
        </r>
        <r>
          <rPr>
            <sz val="9"/>
            <rFont val="宋体"/>
            <charset val="134"/>
          </rPr>
          <t xml:space="preserve">
7/10上Kmart外箱贴纸469pcs</t>
        </r>
      </text>
    </comment>
    <comment ref="AX540" authorId="3">
      <text>
        <r>
          <rPr>
            <sz val="9"/>
            <rFont val="宋体"/>
            <charset val="134"/>
          </rPr>
          <t>RR:
移除21/23号唱片客版收藏指南</t>
        </r>
        <r>
          <rPr>
            <b/>
            <sz val="9"/>
            <rFont val="宋体"/>
            <charset val="134"/>
          </rPr>
          <t xml:space="preserve">
陈龙:</t>
        </r>
        <r>
          <rPr>
            <sz val="9"/>
            <rFont val="宋体"/>
            <charset val="134"/>
          </rPr>
          <t xml:space="preserve">
翻单4500197999</t>
        </r>
      </text>
    </comment>
    <comment ref="V541" authorId="2">
      <text>
        <r>
          <rPr>
            <b/>
            <sz val="9"/>
            <rFont val="宋体"/>
            <charset val="134"/>
          </rPr>
          <t>龙丽娟:</t>
        </r>
        <r>
          <rPr>
            <sz val="9"/>
            <rFont val="宋体"/>
            <charset val="134"/>
          </rPr>
          <t xml:space="preserve">
7/21 上kmart外箱贴纸17pcs</t>
        </r>
      </text>
    </comment>
    <comment ref="T542" authorId="2">
      <text>
        <r>
          <rPr>
            <b/>
            <sz val="9"/>
            <rFont val="宋体"/>
            <charset val="134"/>
          </rPr>
          <t>龙丽娟:</t>
        </r>
        <r>
          <rPr>
            <sz val="9"/>
            <rFont val="宋体"/>
            <charset val="134"/>
          </rPr>
          <t xml:space="preserve">
8/1 1001605 13pcs欣泰A5</t>
        </r>
      </text>
    </comment>
    <comment ref="V542" authorId="2">
      <text>
        <r>
          <rPr>
            <b/>
            <sz val="9"/>
            <rFont val="宋体"/>
            <charset val="134"/>
          </rPr>
          <t>龙丽娟:</t>
        </r>
        <r>
          <rPr>
            <sz val="9"/>
            <rFont val="宋体"/>
            <charset val="134"/>
          </rPr>
          <t xml:space="preserve">
7/21 上kmart外箱贴纸214pcs</t>
        </r>
      </text>
    </comment>
    <comment ref="BB543" authorId="3">
      <text>
        <r>
          <rPr>
            <b/>
            <sz val="9"/>
            <rFont val="宋体"/>
            <charset val="134"/>
          </rPr>
          <t>RR:</t>
        </r>
        <r>
          <rPr>
            <sz val="9"/>
            <rFont val="宋体"/>
            <charset val="134"/>
          </rPr>
          <t xml:space="preserve">
客版资料翻单墨西哥单</t>
        </r>
      </text>
    </comment>
    <comment ref="BC543" authorId="3">
      <text>
        <r>
          <rPr>
            <b/>
            <sz val="9"/>
            <rFont val="宋体"/>
            <charset val="134"/>
          </rPr>
          <t>RR:</t>
        </r>
        <r>
          <rPr>
            <sz val="9"/>
            <rFont val="宋体"/>
            <charset val="134"/>
          </rPr>
          <t xml:space="preserve">
客版新资料</t>
        </r>
      </text>
    </comment>
    <comment ref="BD543" authorId="3">
      <text>
        <r>
          <rPr>
            <b/>
            <sz val="9"/>
            <rFont val="宋体"/>
            <charset val="134"/>
          </rPr>
          <t>RR:</t>
        </r>
        <r>
          <rPr>
            <sz val="9"/>
            <rFont val="宋体"/>
            <charset val="134"/>
          </rPr>
          <t xml:space="preserve">
客版资料翻单墨西哥单</t>
        </r>
      </text>
    </comment>
    <comment ref="BE543" authorId="3">
      <text>
        <r>
          <rPr>
            <b/>
            <sz val="9"/>
            <rFont val="宋体"/>
            <charset val="134"/>
          </rPr>
          <t>RR:</t>
        </r>
        <r>
          <rPr>
            <sz val="9"/>
            <rFont val="宋体"/>
            <charset val="134"/>
          </rPr>
          <t xml:space="preserve">
客版新资料</t>
        </r>
      </text>
    </comment>
    <comment ref="BF543" authorId="3">
      <text>
        <r>
          <rPr>
            <b/>
            <sz val="9"/>
            <rFont val="宋体"/>
            <charset val="134"/>
          </rPr>
          <t>RR:</t>
        </r>
        <r>
          <rPr>
            <sz val="9"/>
            <rFont val="宋体"/>
            <charset val="134"/>
          </rPr>
          <t xml:space="preserve">
客版资料翻单墨西哥单</t>
        </r>
      </text>
    </comment>
    <comment ref="T544" authorId="2">
      <text>
        <r>
          <rPr>
            <b/>
            <sz val="9"/>
            <rFont val="宋体"/>
            <charset val="134"/>
          </rPr>
          <t>龙丽娟:</t>
        </r>
        <r>
          <rPr>
            <sz val="9"/>
            <rFont val="宋体"/>
            <charset val="134"/>
          </rPr>
          <t xml:space="preserve">
8/4 100155 500pcs馥通C8</t>
        </r>
      </text>
    </comment>
    <comment ref="V544" authorId="2">
      <text>
        <r>
          <rPr>
            <b/>
            <sz val="9"/>
            <rFont val="宋体"/>
            <charset val="134"/>
          </rPr>
          <t>龙丽娟:</t>
        </r>
        <r>
          <rPr>
            <sz val="9"/>
            <rFont val="宋体"/>
            <charset val="134"/>
          </rPr>
          <t xml:space="preserve">
7/20上进口商贴纸500pcs</t>
        </r>
      </text>
    </comment>
    <comment ref="T545" authorId="2">
      <text>
        <r>
          <rPr>
            <b/>
            <sz val="9"/>
            <rFont val="宋体"/>
            <charset val="134"/>
          </rPr>
          <t>龙丽娟:</t>
        </r>
        <r>
          <rPr>
            <sz val="9"/>
            <rFont val="宋体"/>
            <charset val="134"/>
          </rPr>
          <t xml:space="preserve">
8/4 2801405  13440pcs馥通c3</t>
        </r>
      </text>
    </comment>
    <comment ref="V545" authorId="2">
      <text>
        <r>
          <rPr>
            <b/>
            <sz val="9"/>
            <rFont val="宋体"/>
            <charset val="134"/>
          </rPr>
          <t>龙丽娟:</t>
        </r>
        <r>
          <rPr>
            <sz val="9"/>
            <rFont val="宋体"/>
            <charset val="134"/>
          </rPr>
          <t xml:space="preserve">
7/10上客供RFID 贴纸13440pcs</t>
        </r>
      </text>
    </comment>
    <comment ref="T546" authorId="2">
      <text>
        <r>
          <rPr>
            <b/>
            <sz val="9"/>
            <rFont val="宋体"/>
            <charset val="134"/>
          </rPr>
          <t>龙丽娟:</t>
        </r>
        <r>
          <rPr>
            <sz val="9"/>
            <rFont val="宋体"/>
            <charset val="134"/>
          </rPr>
          <t xml:space="preserve">
8/4 2801407 11520pcs馥通c2</t>
        </r>
      </text>
    </comment>
    <comment ref="V546" authorId="2">
      <text>
        <r>
          <rPr>
            <b/>
            <sz val="9"/>
            <rFont val="宋体"/>
            <charset val="134"/>
          </rPr>
          <t>龙丽娟:</t>
        </r>
        <r>
          <rPr>
            <sz val="9"/>
            <rFont val="宋体"/>
            <charset val="134"/>
          </rPr>
          <t xml:space="preserve">
7/10上客供RFID 贴纸11520pcs</t>
        </r>
      </text>
    </comment>
    <comment ref="T547" authorId="2">
      <text>
        <r>
          <rPr>
            <b/>
            <sz val="9"/>
            <rFont val="宋体"/>
            <charset val="134"/>
          </rPr>
          <t>龙丽娟:</t>
        </r>
        <r>
          <rPr>
            <sz val="9"/>
            <rFont val="宋体"/>
            <charset val="134"/>
          </rPr>
          <t xml:space="preserve">
8/4 2801405 11200pcs欣泰D7</t>
        </r>
        <r>
          <rPr>
            <b/>
            <sz val="9"/>
            <rFont val="宋体"/>
            <charset val="134"/>
          </rPr>
          <t xml:space="preserve">
龙丽娟:</t>
        </r>
        <r>
          <rPr>
            <sz val="9"/>
            <rFont val="宋体"/>
            <charset val="134"/>
          </rPr>
          <t xml:space="preserve">
8/4 2801407 1280pcs馥通D2</t>
        </r>
      </text>
    </comment>
    <comment ref="V547" authorId="2">
      <text>
        <r>
          <rPr>
            <b/>
            <sz val="9"/>
            <rFont val="宋体"/>
            <charset val="134"/>
          </rPr>
          <t>龙丽娟:</t>
        </r>
        <r>
          <rPr>
            <sz val="9"/>
            <rFont val="宋体"/>
            <charset val="134"/>
          </rPr>
          <t xml:space="preserve">
7/10上客供RFID 贴纸12480pcs</t>
        </r>
      </text>
    </comment>
    <comment ref="T548" authorId="2">
      <text>
        <r>
          <rPr>
            <b/>
            <sz val="9"/>
            <rFont val="宋体"/>
            <charset val="0"/>
          </rPr>
          <t>龙丽娟:</t>
        </r>
        <r>
          <rPr>
            <sz val="9"/>
            <rFont val="宋体"/>
            <charset val="0"/>
          </rPr>
          <t xml:space="preserve">
8/4 2801397 8640pcs欣泰F6</t>
        </r>
      </text>
    </comment>
    <comment ref="V548" authorId="2">
      <text>
        <r>
          <rPr>
            <b/>
            <sz val="9"/>
            <rFont val="宋体"/>
            <charset val="134"/>
          </rPr>
          <t>龙丽娟:</t>
        </r>
        <r>
          <rPr>
            <sz val="9"/>
            <rFont val="宋体"/>
            <charset val="134"/>
          </rPr>
          <t xml:space="preserve">
7/10上客供RFID 贴纸8640pcs</t>
        </r>
      </text>
    </comment>
    <comment ref="BB549" authorId="3">
      <text>
        <r>
          <rPr>
            <b/>
            <sz val="9"/>
            <rFont val="宋体"/>
            <charset val="134"/>
          </rPr>
          <t>RR:</t>
        </r>
        <r>
          <rPr>
            <sz val="9"/>
            <rFont val="宋体"/>
            <charset val="134"/>
          </rPr>
          <t xml:space="preserve">
客版资料翻单墨西哥单</t>
        </r>
      </text>
    </comment>
    <comment ref="BC549" authorId="3">
      <text>
        <r>
          <rPr>
            <b/>
            <sz val="9"/>
            <rFont val="宋体"/>
            <charset val="134"/>
          </rPr>
          <t>RR:</t>
        </r>
        <r>
          <rPr>
            <sz val="9"/>
            <rFont val="宋体"/>
            <charset val="134"/>
          </rPr>
          <t xml:space="preserve">
客版新资料</t>
        </r>
      </text>
    </comment>
    <comment ref="BD549" authorId="3">
      <text>
        <r>
          <rPr>
            <b/>
            <sz val="9"/>
            <rFont val="宋体"/>
            <charset val="134"/>
          </rPr>
          <t>RR:</t>
        </r>
        <r>
          <rPr>
            <sz val="9"/>
            <rFont val="宋体"/>
            <charset val="134"/>
          </rPr>
          <t xml:space="preserve">
客版资料翻单墨西哥单</t>
        </r>
      </text>
    </comment>
    <comment ref="BE549" authorId="3">
      <text>
        <r>
          <rPr>
            <b/>
            <sz val="9"/>
            <rFont val="宋体"/>
            <charset val="134"/>
          </rPr>
          <t>RR:</t>
        </r>
        <r>
          <rPr>
            <sz val="9"/>
            <rFont val="宋体"/>
            <charset val="134"/>
          </rPr>
          <t xml:space="preserve">
客版新资料</t>
        </r>
      </text>
    </comment>
    <comment ref="BF549" authorId="3">
      <text>
        <r>
          <rPr>
            <b/>
            <sz val="9"/>
            <rFont val="宋体"/>
            <charset val="134"/>
          </rPr>
          <t>RR:</t>
        </r>
        <r>
          <rPr>
            <sz val="9"/>
            <rFont val="宋体"/>
            <charset val="134"/>
          </rPr>
          <t xml:space="preserve">
客版资料翻单墨西哥单</t>
        </r>
      </text>
    </comment>
    <comment ref="V550" authorId="2">
      <text>
        <r>
          <rPr>
            <b/>
            <sz val="9"/>
            <rFont val="宋体"/>
            <charset val="134"/>
          </rPr>
          <t>龙丽娟:</t>
        </r>
        <r>
          <rPr>
            <sz val="9"/>
            <rFont val="宋体"/>
            <charset val="134"/>
          </rPr>
          <t xml:space="preserve">
7/17 上UPC贴纸3600pcs</t>
        </r>
      </text>
    </comment>
    <comment ref="T551" authorId="2">
      <text>
        <r>
          <rPr>
            <b/>
            <sz val="9"/>
            <rFont val="宋体"/>
            <charset val="134"/>
          </rPr>
          <t>龙丽娟:</t>
        </r>
        <r>
          <rPr>
            <sz val="9"/>
            <rFont val="宋体"/>
            <charset val="134"/>
          </rPr>
          <t xml:space="preserve">
8/4 2801405 133440pcs欣泰D7</t>
        </r>
      </text>
    </comment>
    <comment ref="V551" authorId="2">
      <text>
        <r>
          <rPr>
            <b/>
            <sz val="9"/>
            <rFont val="宋体"/>
            <charset val="134"/>
          </rPr>
          <t>龙丽娟:</t>
        </r>
        <r>
          <rPr>
            <sz val="9"/>
            <rFont val="宋体"/>
            <charset val="134"/>
          </rPr>
          <t xml:space="preserve">
7/10 上客供RFID贴纸 13440pcs</t>
        </r>
      </text>
    </comment>
    <comment ref="T552" authorId="2">
      <text>
        <r>
          <rPr>
            <b/>
            <sz val="9"/>
            <rFont val="宋体"/>
            <charset val="134"/>
          </rPr>
          <t>龙丽娟:</t>
        </r>
        <r>
          <rPr>
            <sz val="9"/>
            <rFont val="宋体"/>
            <charset val="134"/>
          </rPr>
          <t xml:space="preserve">
8/4 2801405 11200pcs欣泰D6</t>
        </r>
        <r>
          <rPr>
            <b/>
            <sz val="9"/>
            <rFont val="宋体"/>
            <charset val="134"/>
          </rPr>
          <t xml:space="preserve">
龙丽娟:</t>
        </r>
        <r>
          <rPr>
            <sz val="9"/>
            <rFont val="宋体"/>
            <charset val="134"/>
          </rPr>
          <t xml:space="preserve">
8/4 2801407 2240pcs馥通D4</t>
        </r>
      </text>
    </comment>
    <comment ref="V552" authorId="2">
      <text>
        <r>
          <rPr>
            <b/>
            <sz val="9"/>
            <rFont val="宋体"/>
            <charset val="134"/>
          </rPr>
          <t>龙丽娟:</t>
        </r>
        <r>
          <rPr>
            <sz val="9"/>
            <rFont val="宋体"/>
            <charset val="134"/>
          </rPr>
          <t xml:space="preserve">
7/10 上客供RFID贴纸 13440pcs</t>
        </r>
      </text>
    </comment>
    <comment ref="T554" authorId="2">
      <text>
        <r>
          <rPr>
            <b/>
            <sz val="9"/>
            <rFont val="宋体"/>
            <charset val="134"/>
          </rPr>
          <t>龙丽娟:</t>
        </r>
        <r>
          <rPr>
            <sz val="9"/>
            <rFont val="宋体"/>
            <charset val="134"/>
          </rPr>
          <t xml:space="preserve">
8/4 1001555 650pcs馥通D8</t>
        </r>
      </text>
    </comment>
    <comment ref="V556" authorId="2">
      <text>
        <r>
          <rPr>
            <b/>
            <sz val="9"/>
            <rFont val="宋体"/>
            <charset val="134"/>
          </rPr>
          <t>龙丽娟:</t>
        </r>
        <r>
          <rPr>
            <sz val="9"/>
            <rFont val="宋体"/>
            <charset val="134"/>
          </rPr>
          <t xml:space="preserve">
7/7上upc条码贴纸1092pcs</t>
        </r>
      </text>
    </comment>
    <comment ref="V558" authorId="2">
      <text>
        <r>
          <rPr>
            <b/>
            <sz val="9"/>
            <rFont val="宋体"/>
            <charset val="134"/>
          </rPr>
          <t>龙丽娟:</t>
        </r>
        <r>
          <rPr>
            <sz val="9"/>
            <rFont val="宋体"/>
            <charset val="134"/>
          </rPr>
          <t xml:space="preserve">
7/8上进口商/upc贴纸各3600pcs</t>
        </r>
      </text>
    </comment>
    <comment ref="T562" authorId="2">
      <text>
        <r>
          <rPr>
            <b/>
            <sz val="9"/>
            <rFont val="宋体"/>
            <charset val="134"/>
          </rPr>
          <t>龙丽娟:</t>
        </r>
        <r>
          <rPr>
            <sz val="9"/>
            <rFont val="宋体"/>
            <charset val="134"/>
          </rPr>
          <t xml:space="preserve">
8/1 1001605 1250pcs欣泰A5</t>
        </r>
      </text>
    </comment>
    <comment ref="V562" authorId="2">
      <text>
        <r>
          <rPr>
            <b/>
            <sz val="9"/>
            <rFont val="宋体"/>
            <charset val="134"/>
          </rPr>
          <t>龙丽娟:</t>
        </r>
        <r>
          <rPr>
            <sz val="9"/>
            <rFont val="宋体"/>
            <charset val="134"/>
          </rPr>
          <t xml:space="preserve">
7/11上进口商/UPC贴纸各1250pcs</t>
        </r>
      </text>
    </comment>
    <comment ref="V563" authorId="2">
      <text>
        <r>
          <rPr>
            <b/>
            <sz val="9"/>
            <rFont val="宋体"/>
            <charset val="134"/>
          </rPr>
          <t>龙丽娟:</t>
        </r>
        <r>
          <rPr>
            <sz val="9"/>
            <rFont val="宋体"/>
            <charset val="134"/>
          </rPr>
          <t xml:space="preserve">
7/14上客供防窜码贴纸6571pcs</t>
        </r>
      </text>
    </comment>
    <comment ref="V565" authorId="2">
      <text>
        <r>
          <rPr>
            <b/>
            <sz val="9"/>
            <rFont val="宋体"/>
            <charset val="134"/>
          </rPr>
          <t>龙丽娟:</t>
        </r>
        <r>
          <rPr>
            <sz val="9"/>
            <rFont val="宋体"/>
            <charset val="134"/>
          </rPr>
          <t xml:space="preserve">
7/15 上UPC贴纸4000pcs</t>
        </r>
        <r>
          <rPr>
            <b/>
            <sz val="9"/>
            <rFont val="宋体"/>
            <charset val="134"/>
          </rPr>
          <t xml:space="preserve">
龙丽娟:</t>
        </r>
        <r>
          <rPr>
            <sz val="9"/>
            <rFont val="宋体"/>
            <charset val="134"/>
          </rPr>
          <t xml:space="preserve">
7/16上进口商贴纸4000pcs</t>
        </r>
      </text>
    </comment>
    <comment ref="V566" authorId="2">
      <text>
        <r>
          <rPr>
            <b/>
            <sz val="9"/>
            <rFont val="宋体"/>
            <charset val="134"/>
          </rPr>
          <t>龙丽娟:</t>
        </r>
        <r>
          <rPr>
            <sz val="9"/>
            <rFont val="宋体"/>
            <charset val="134"/>
          </rPr>
          <t xml:space="preserve">
7/8上进口商贴纸6000pcs</t>
        </r>
      </text>
    </comment>
    <comment ref="AW568" authorId="3">
      <text>
        <r>
          <rPr>
            <b/>
            <sz val="9"/>
            <rFont val="宋体"/>
            <charset val="134"/>
          </rPr>
          <t>RR:</t>
        </r>
        <r>
          <rPr>
            <sz val="9"/>
            <rFont val="宋体"/>
            <charset val="134"/>
          </rPr>
          <t xml:space="preserve">
新资料</t>
        </r>
      </text>
    </comment>
    <comment ref="V573" authorId="2">
      <text>
        <r>
          <rPr>
            <b/>
            <sz val="9"/>
            <rFont val="宋体"/>
            <charset val="134"/>
          </rPr>
          <t>龙丽娟:</t>
        </r>
        <r>
          <rPr>
            <sz val="9"/>
            <rFont val="宋体"/>
            <charset val="134"/>
          </rPr>
          <t xml:space="preserve">
7/6上警告语/环保标贴纸3036pcs</t>
        </r>
      </text>
    </comment>
    <comment ref="AW573" authorId="3">
      <text>
        <r>
          <rPr>
            <sz val="9"/>
            <rFont val="宋体"/>
            <charset val="134"/>
          </rPr>
          <t>RR:
新资料</t>
        </r>
        <r>
          <rPr>
            <b/>
            <sz val="9"/>
            <rFont val="宋体"/>
            <charset val="134"/>
          </rPr>
          <t xml:space="preserve">
陈龙:</t>
        </r>
        <r>
          <rPr>
            <sz val="9"/>
            <rFont val="宋体"/>
            <charset val="134"/>
          </rPr>
          <t xml:space="preserve">
翻单4500208529</t>
        </r>
      </text>
    </comment>
    <comment ref="V574" authorId="2">
      <text>
        <r>
          <rPr>
            <b/>
            <sz val="9"/>
            <rFont val="宋体"/>
            <charset val="134"/>
          </rPr>
          <t>龙丽娟:</t>
        </r>
        <r>
          <rPr>
            <sz val="9"/>
            <rFont val="宋体"/>
            <charset val="134"/>
          </rPr>
          <t xml:space="preserve">
7/6上警告语/环保标贴纸1692pcs</t>
        </r>
      </text>
    </comment>
    <comment ref="AW574" authorId="3">
      <text>
        <r>
          <rPr>
            <sz val="9"/>
            <rFont val="宋体"/>
            <charset val="134"/>
          </rPr>
          <t>RR:
新资料</t>
        </r>
        <r>
          <rPr>
            <b/>
            <sz val="9"/>
            <rFont val="宋体"/>
            <charset val="134"/>
          </rPr>
          <t xml:space="preserve">
陈龙:</t>
        </r>
        <r>
          <rPr>
            <sz val="9"/>
            <rFont val="宋体"/>
            <charset val="134"/>
          </rPr>
          <t xml:space="preserve">
翻单4500208529</t>
        </r>
      </text>
    </comment>
    <comment ref="V577" authorId="0">
      <text>
        <r>
          <rPr>
            <b/>
            <sz val="12"/>
            <rFont val="宋体"/>
            <charset val="134"/>
          </rPr>
          <t>Administrator:</t>
        </r>
        <r>
          <rPr>
            <sz val="12"/>
            <rFont val="宋体"/>
            <charset val="134"/>
          </rPr>
          <t xml:space="preserve">
3/21 上UPC贴纸 3000pcs
     上价格贴纸 3000pcs
    上shipping label 4*6in804pcs
</t>
        </r>
      </text>
    </comment>
    <comment ref="V578" authorId="2">
      <text>
        <r>
          <rPr>
            <b/>
            <sz val="9"/>
            <rFont val="宋体"/>
            <charset val="134"/>
          </rPr>
          <t>龙丽娟:</t>
        </r>
        <r>
          <rPr>
            <sz val="9"/>
            <rFont val="宋体"/>
            <charset val="134"/>
          </rPr>
          <t xml:space="preserve">
7/13上款号条码贴纸/警告语贴纸各5000pcs</t>
        </r>
      </text>
    </comment>
    <comment ref="V579" authorId="2">
      <text>
        <r>
          <rPr>
            <b/>
            <sz val="9"/>
            <rFont val="宋体"/>
            <charset val="134"/>
          </rPr>
          <t>龙丽娟:</t>
        </r>
        <r>
          <rPr>
            <sz val="9"/>
            <rFont val="宋体"/>
            <charset val="134"/>
          </rPr>
          <t xml:space="preserve">
7/13上PDQ底部贴纸60pcs</t>
        </r>
      </text>
    </comment>
    <comment ref="V580" authorId="2">
      <text>
        <r>
          <rPr>
            <b/>
            <sz val="9"/>
            <rFont val="宋体"/>
            <charset val="134"/>
          </rPr>
          <t>龙丽娟:</t>
        </r>
        <r>
          <rPr>
            <sz val="9"/>
            <rFont val="宋体"/>
            <charset val="134"/>
          </rPr>
          <t xml:space="preserve">
7/21上客供亚马逊外箱贴纸1640pcs</t>
        </r>
      </text>
    </comment>
    <comment ref="V581" authorId="2">
      <text>
        <r>
          <rPr>
            <b/>
            <sz val="9"/>
            <rFont val="宋体"/>
            <charset val="134"/>
          </rPr>
          <t>龙丽娟:</t>
        </r>
        <r>
          <rPr>
            <sz val="9"/>
            <rFont val="宋体"/>
            <charset val="134"/>
          </rPr>
          <t xml:space="preserve">
7/10 收到亚马逊外箱贴纸 34pcs
7/13 上UPC贴纸 29172pcs
214526、214522、214773共用</t>
        </r>
      </text>
    </comment>
    <comment ref="V582" authorId="2">
      <text>
        <r>
          <rPr>
            <b/>
            <sz val="9"/>
            <rFont val="宋体"/>
            <charset val="134"/>
          </rPr>
          <t>龙丽娟:</t>
        </r>
        <r>
          <rPr>
            <sz val="9"/>
            <rFont val="宋体"/>
            <charset val="134"/>
          </rPr>
          <t xml:space="preserve">
7/10 收到亚马逊外箱贴纸 48pcs
7/13 上UPC贴纸 29172pcs
214526、214522、214773共用</t>
        </r>
      </text>
    </comment>
    <comment ref="V583" authorId="2">
      <text>
        <r>
          <rPr>
            <b/>
            <sz val="9"/>
            <rFont val="宋体"/>
            <charset val="134"/>
          </rPr>
          <t>龙丽娟:</t>
        </r>
        <r>
          <rPr>
            <sz val="9"/>
            <rFont val="宋体"/>
            <charset val="134"/>
          </rPr>
          <t xml:space="preserve">
7/10 收到亚马逊外箱贴纸 91pcs
7/13 上UPC贴纸 29172pcs
214526、214522、214773共用</t>
        </r>
      </text>
    </comment>
    <comment ref="V584" authorId="2">
      <text>
        <r>
          <rPr>
            <b/>
            <sz val="9"/>
            <rFont val="宋体"/>
            <charset val="134"/>
          </rPr>
          <t>龙丽娟:</t>
        </r>
        <r>
          <rPr>
            <sz val="9"/>
            <rFont val="宋体"/>
            <charset val="134"/>
          </rPr>
          <t xml:space="preserve">
7/10 收到亚马逊外箱贴纸 39pcs
7/13 上UPC贴纸 29172pcs
214526、214522、214773共用</t>
        </r>
      </text>
    </comment>
    <comment ref="T585" authorId="2">
      <text>
        <r>
          <rPr>
            <b/>
            <sz val="9"/>
            <rFont val="宋体"/>
            <charset val="134"/>
          </rPr>
          <t>龙丽娟:</t>
        </r>
        <r>
          <rPr>
            <sz val="9"/>
            <rFont val="宋体"/>
            <charset val="134"/>
          </rPr>
          <t xml:space="preserve">
8/4 100155 228pcs馥通C8</t>
        </r>
      </text>
    </comment>
    <comment ref="V585" authorId="2">
      <text>
        <r>
          <rPr>
            <b/>
            <sz val="9"/>
            <rFont val="宋体"/>
            <charset val="134"/>
          </rPr>
          <t>龙丽娟:</t>
        </r>
        <r>
          <rPr>
            <sz val="9"/>
            <rFont val="宋体"/>
            <charset val="134"/>
          </rPr>
          <t xml:space="preserve">
7/10 收到亚马逊外箱贴纸 19pcs
7/13 上UPC贴纸 29172pcs
214526、214522、214773共用</t>
        </r>
      </text>
    </comment>
    <comment ref="T588" authorId="2">
      <text>
        <r>
          <rPr>
            <b/>
            <sz val="9"/>
            <rFont val="宋体"/>
            <charset val="0"/>
          </rPr>
          <t>龙丽娟:</t>
        </r>
        <r>
          <rPr>
            <sz val="9"/>
            <rFont val="宋体"/>
            <charset val="0"/>
          </rPr>
          <t xml:space="preserve">
8/6 1001536 2508pcs欣泰c7</t>
        </r>
      </text>
    </comment>
    <comment ref="AW588" authorId="3">
      <text>
        <r>
          <rPr>
            <sz val="9"/>
            <rFont val="宋体"/>
            <charset val="134"/>
          </rPr>
          <t>RR:
新资料</t>
        </r>
        <r>
          <rPr>
            <b/>
            <sz val="9"/>
            <rFont val="宋体"/>
            <charset val="134"/>
          </rPr>
          <t xml:space="preserve">
陈龙:</t>
        </r>
        <r>
          <rPr>
            <sz val="9"/>
            <rFont val="宋体"/>
            <charset val="134"/>
          </rPr>
          <t xml:space="preserve">
翻单4500208529</t>
        </r>
      </text>
    </comment>
    <comment ref="T589" authorId="2">
      <text>
        <r>
          <rPr>
            <b/>
            <sz val="9"/>
            <rFont val="宋体"/>
            <charset val="0"/>
          </rPr>
          <t>龙丽娟:</t>
        </r>
        <r>
          <rPr>
            <sz val="9"/>
            <rFont val="宋体"/>
            <charset val="0"/>
          </rPr>
          <t xml:space="preserve">
8/8 1001523 5124PCS欣泰F1</t>
        </r>
      </text>
    </comment>
    <comment ref="AW589" authorId="3">
      <text>
        <r>
          <rPr>
            <sz val="9"/>
            <rFont val="宋体"/>
            <charset val="134"/>
          </rPr>
          <t>RR:
新资料</t>
        </r>
        <r>
          <rPr>
            <b/>
            <sz val="9"/>
            <rFont val="宋体"/>
            <charset val="134"/>
          </rPr>
          <t xml:space="preserve">
陈龙:</t>
        </r>
        <r>
          <rPr>
            <sz val="9"/>
            <rFont val="宋体"/>
            <charset val="134"/>
          </rPr>
          <t xml:space="preserve">
翻单4500208529</t>
        </r>
      </text>
    </comment>
    <comment ref="T591" authorId="2">
      <text>
        <r>
          <rPr>
            <b/>
            <sz val="9"/>
            <rFont val="宋体"/>
            <charset val="0"/>
          </rPr>
          <t>龙丽娟:</t>
        </r>
        <r>
          <rPr>
            <sz val="9"/>
            <rFont val="宋体"/>
            <charset val="0"/>
          </rPr>
          <t xml:space="preserve">
2801403 8/6 1300pcs钜顺B2</t>
        </r>
      </text>
    </comment>
    <comment ref="V595" authorId="2">
      <text>
        <r>
          <rPr>
            <b/>
            <sz val="9"/>
            <rFont val="宋体"/>
            <charset val="134"/>
          </rPr>
          <t>龙丽娟:</t>
        </r>
        <r>
          <rPr>
            <sz val="9"/>
            <rFont val="宋体"/>
            <charset val="134"/>
          </rPr>
          <t xml:space="preserve">
7/20上upc贴纸7248pcs</t>
        </r>
      </text>
    </comment>
    <comment ref="T598" authorId="2">
      <text>
        <r>
          <rPr>
            <b/>
            <sz val="9"/>
            <rFont val="宋体"/>
            <charset val="134"/>
          </rPr>
          <t>龙丽娟:</t>
        </r>
        <r>
          <rPr>
            <sz val="9"/>
            <rFont val="宋体"/>
            <charset val="134"/>
          </rPr>
          <t xml:space="preserve">
1001311 8/7 2500pcs</t>
        </r>
      </text>
    </comment>
    <comment ref="V598" authorId="2">
      <text>
        <r>
          <rPr>
            <b/>
            <sz val="9"/>
            <rFont val="宋体"/>
            <charset val="134"/>
          </rPr>
          <t>龙丽娟:</t>
        </r>
        <r>
          <rPr>
            <sz val="9"/>
            <rFont val="宋体"/>
            <charset val="134"/>
          </rPr>
          <t xml:space="preserve">
6/22上客人款号条码贴纸/警语贴纸各2500pcs</t>
        </r>
      </text>
    </comment>
    <comment ref="T599" authorId="2">
      <text>
        <r>
          <rPr>
            <b/>
            <sz val="9"/>
            <rFont val="宋体"/>
            <charset val="134"/>
          </rPr>
          <t>龙丽娟:</t>
        </r>
        <r>
          <rPr>
            <sz val="9"/>
            <rFont val="宋体"/>
            <charset val="134"/>
          </rPr>
          <t xml:space="preserve">
8/4 100155 1200pcs馥通D5</t>
        </r>
      </text>
    </comment>
    <comment ref="T600" authorId="2">
      <text>
        <r>
          <rPr>
            <b/>
            <sz val="9"/>
            <rFont val="宋体"/>
            <charset val="0"/>
          </rPr>
          <t>龙丽娟:</t>
        </r>
        <r>
          <rPr>
            <sz val="9"/>
            <rFont val="宋体"/>
            <charset val="0"/>
          </rPr>
          <t xml:space="preserve">
1001311 8/7 10439pcs</t>
        </r>
        <r>
          <rPr>
            <b/>
            <sz val="9"/>
            <rFont val="宋体"/>
            <charset val="0"/>
          </rPr>
          <t xml:space="preserve">
龙丽娟:</t>
        </r>
        <r>
          <rPr>
            <sz val="9"/>
            <rFont val="宋体"/>
            <charset val="0"/>
          </rPr>
          <t xml:space="preserve">
1001522 8/7 13pcs欣泰A5</t>
        </r>
      </text>
    </comment>
    <comment ref="T601" authorId="2">
      <text>
        <r>
          <rPr>
            <b/>
            <sz val="9"/>
            <rFont val="宋体"/>
            <charset val="0"/>
          </rPr>
          <t>龙丽娟:</t>
        </r>
        <r>
          <rPr>
            <sz val="9"/>
            <rFont val="宋体"/>
            <charset val="0"/>
          </rPr>
          <t xml:space="preserve">
1001522 8/7 9360pcs欣泰D2</t>
        </r>
        <r>
          <rPr>
            <b/>
            <sz val="9"/>
            <rFont val="宋体"/>
            <charset val="0"/>
          </rPr>
          <t xml:space="preserve">
龙丽娟:</t>
        </r>
        <r>
          <rPr>
            <sz val="9"/>
            <rFont val="宋体"/>
            <charset val="0"/>
          </rPr>
          <t xml:space="preserve">
1001530 8/8 5616PCS欣泰2A2</t>
        </r>
      </text>
    </comment>
    <comment ref="T602" authorId="2">
      <text>
        <r>
          <rPr>
            <b/>
            <sz val="9"/>
            <rFont val="宋体"/>
            <charset val="0"/>
          </rPr>
          <t>龙丽娟:</t>
        </r>
        <r>
          <rPr>
            <sz val="9"/>
            <rFont val="宋体"/>
            <charset val="0"/>
          </rPr>
          <t xml:space="preserve">
1001302 8/7 24pcs欣泰A5</t>
        </r>
        <r>
          <rPr>
            <b/>
            <sz val="9"/>
            <rFont val="宋体"/>
            <charset val="0"/>
          </rPr>
          <t xml:space="preserve">
龙丽娟:</t>
        </r>
        <r>
          <rPr>
            <sz val="9"/>
            <rFont val="宋体"/>
            <charset val="0"/>
          </rPr>
          <t xml:space="preserve">
1001546 8/6 3492pcs 钜顺A5</t>
        </r>
      </text>
    </comment>
    <comment ref="V602" authorId="2">
      <text>
        <r>
          <rPr>
            <b/>
            <sz val="9"/>
            <rFont val="宋体"/>
            <charset val="134"/>
          </rPr>
          <t>龙丽娟:</t>
        </r>
        <r>
          <rPr>
            <sz val="9"/>
            <rFont val="宋体"/>
            <charset val="134"/>
          </rPr>
          <t xml:space="preserve">
7/18 警告语贴纸/环保贴纸13788pcs</t>
        </r>
      </text>
    </comment>
    <comment ref="AW602" authorId="3">
      <text>
        <r>
          <rPr>
            <sz val="9"/>
            <rFont val="宋体"/>
            <charset val="134"/>
          </rPr>
          <t>RR:
新资料</t>
        </r>
        <r>
          <rPr>
            <b/>
            <sz val="9"/>
            <rFont val="宋体"/>
            <charset val="134"/>
          </rPr>
          <t xml:space="preserve">
陈龙:</t>
        </r>
        <r>
          <rPr>
            <sz val="9"/>
            <rFont val="宋体"/>
            <charset val="134"/>
          </rPr>
          <t xml:space="preserve">
翻单4500208529</t>
        </r>
      </text>
    </comment>
    <comment ref="T603" authorId="2">
      <text>
        <r>
          <rPr>
            <b/>
            <sz val="9"/>
            <rFont val="宋体"/>
            <charset val="0"/>
          </rPr>
          <t>龙丽娟:</t>
        </r>
        <r>
          <rPr>
            <sz val="9"/>
            <rFont val="宋体"/>
            <charset val="0"/>
          </rPr>
          <t xml:space="preserve">
1001546 8/6 3504pcs 钜顺A5</t>
        </r>
      </text>
    </comment>
    <comment ref="AW603" authorId="3">
      <text>
        <r>
          <rPr>
            <sz val="9"/>
            <rFont val="宋体"/>
            <charset val="134"/>
          </rPr>
          <t>RR:
新资料</t>
        </r>
        <r>
          <rPr>
            <b/>
            <sz val="9"/>
            <rFont val="宋体"/>
            <charset val="134"/>
          </rPr>
          <t xml:space="preserve">
陈龙:</t>
        </r>
        <r>
          <rPr>
            <sz val="9"/>
            <rFont val="宋体"/>
            <charset val="134"/>
          </rPr>
          <t xml:space="preserve">
翻单4500208529</t>
        </r>
      </text>
    </comment>
    <comment ref="T604" authorId="2">
      <text>
        <r>
          <rPr>
            <b/>
            <sz val="9"/>
            <rFont val="宋体"/>
            <charset val="0"/>
          </rPr>
          <t>龙丽娟:</t>
        </r>
        <r>
          <rPr>
            <sz val="9"/>
            <rFont val="宋体"/>
            <charset val="0"/>
          </rPr>
          <t xml:space="preserve">
1001546 8/6 3108pcs 钜顺A5</t>
        </r>
      </text>
    </comment>
    <comment ref="AW604" authorId="3">
      <text>
        <r>
          <rPr>
            <sz val="9"/>
            <rFont val="宋体"/>
            <charset val="134"/>
          </rPr>
          <t>RR:
新资料</t>
        </r>
        <r>
          <rPr>
            <b/>
            <sz val="9"/>
            <rFont val="宋体"/>
            <charset val="134"/>
          </rPr>
          <t xml:space="preserve">
陈龙:</t>
        </r>
        <r>
          <rPr>
            <sz val="9"/>
            <rFont val="宋体"/>
            <charset val="134"/>
          </rPr>
          <t xml:space="preserve">
翻单4500208529</t>
        </r>
      </text>
    </comment>
    <comment ref="T605" authorId="2">
      <text>
        <r>
          <rPr>
            <b/>
            <sz val="9"/>
            <rFont val="宋体"/>
            <charset val="0"/>
          </rPr>
          <t>龙丽娟:</t>
        </r>
        <r>
          <rPr>
            <sz val="9"/>
            <rFont val="宋体"/>
            <charset val="0"/>
          </rPr>
          <t xml:space="preserve">
1001546 8/6 1968pcs 钜顺A5</t>
        </r>
      </text>
    </comment>
    <comment ref="AW605" authorId="3">
      <text>
        <r>
          <rPr>
            <sz val="9"/>
            <rFont val="宋体"/>
            <charset val="134"/>
          </rPr>
          <t>RR:
新资料</t>
        </r>
        <r>
          <rPr>
            <b/>
            <sz val="9"/>
            <rFont val="宋体"/>
            <charset val="134"/>
          </rPr>
          <t xml:space="preserve">
陈龙:</t>
        </r>
        <r>
          <rPr>
            <sz val="9"/>
            <rFont val="宋体"/>
            <charset val="134"/>
          </rPr>
          <t xml:space="preserve">
翻单4500208529</t>
        </r>
      </text>
    </comment>
    <comment ref="T606" authorId="2">
      <text>
        <r>
          <rPr>
            <b/>
            <sz val="9"/>
            <rFont val="宋体"/>
            <charset val="0"/>
          </rPr>
          <t>龙丽娟:</t>
        </r>
        <r>
          <rPr>
            <sz val="9"/>
            <rFont val="宋体"/>
            <charset val="0"/>
          </rPr>
          <t xml:space="preserve">
1001546 8/6 852pcs 钜顺A5</t>
        </r>
      </text>
    </comment>
    <comment ref="AW606" authorId="3">
      <text>
        <r>
          <rPr>
            <sz val="9"/>
            <rFont val="宋体"/>
            <charset val="134"/>
          </rPr>
          <t>RR:
新资料</t>
        </r>
        <r>
          <rPr>
            <b/>
            <sz val="9"/>
            <rFont val="宋体"/>
            <charset val="134"/>
          </rPr>
          <t xml:space="preserve">
陈龙:</t>
        </r>
        <r>
          <rPr>
            <sz val="9"/>
            <rFont val="宋体"/>
            <charset val="134"/>
          </rPr>
          <t xml:space="preserve">
翻单4500208529</t>
        </r>
      </text>
    </comment>
    <comment ref="T607" authorId="2">
      <text>
        <r>
          <rPr>
            <b/>
            <sz val="9"/>
            <rFont val="宋体"/>
            <charset val="0"/>
          </rPr>
          <t>龙丽娟:</t>
        </r>
        <r>
          <rPr>
            <sz val="9"/>
            <rFont val="宋体"/>
            <charset val="0"/>
          </rPr>
          <t xml:space="preserve">
1001546 8/6 852pcs 钜顺A5</t>
        </r>
      </text>
    </comment>
    <comment ref="AW607" authorId="3">
      <text>
        <r>
          <rPr>
            <sz val="9"/>
            <rFont val="宋体"/>
            <charset val="134"/>
          </rPr>
          <t>RR:
新资料</t>
        </r>
        <r>
          <rPr>
            <b/>
            <sz val="9"/>
            <rFont val="宋体"/>
            <charset val="134"/>
          </rPr>
          <t xml:space="preserve">
陈龙:</t>
        </r>
        <r>
          <rPr>
            <sz val="9"/>
            <rFont val="宋体"/>
            <charset val="134"/>
          </rPr>
          <t xml:space="preserve">
翻单4500208529</t>
        </r>
      </text>
    </comment>
    <comment ref="T609" authorId="2">
      <text>
        <r>
          <rPr>
            <b/>
            <sz val="9"/>
            <rFont val="宋体"/>
            <charset val="0"/>
          </rPr>
          <t>龙丽娟:</t>
        </r>
        <r>
          <rPr>
            <sz val="9"/>
            <rFont val="宋体"/>
            <charset val="0"/>
          </rPr>
          <t xml:space="preserve">
8/8 1001509 4800pcs欣泰A3</t>
        </r>
      </text>
    </comment>
    <comment ref="T610" authorId="2">
      <text>
        <r>
          <rPr>
            <b/>
            <sz val="9"/>
            <rFont val="宋体"/>
            <charset val="0"/>
          </rPr>
          <t>龙丽娟:</t>
        </r>
        <r>
          <rPr>
            <sz val="9"/>
            <rFont val="宋体"/>
            <charset val="0"/>
          </rPr>
          <t xml:space="preserve">
2801403 8/6 3000pcs钜顺A7</t>
        </r>
      </text>
    </comment>
    <comment ref="T613" authorId="2">
      <text>
        <r>
          <rPr>
            <b/>
            <sz val="9"/>
            <rFont val="宋体"/>
            <charset val="134"/>
          </rPr>
          <t>龙丽娟:</t>
        </r>
        <r>
          <rPr>
            <sz val="9"/>
            <rFont val="宋体"/>
            <charset val="134"/>
          </rPr>
          <t xml:space="preserve">
8/4 100155 3384pcs馥通C8</t>
        </r>
      </text>
    </comment>
    <comment ref="V613" authorId="2">
      <text>
        <r>
          <rPr>
            <b/>
            <sz val="9"/>
            <rFont val="宋体"/>
            <charset val="134"/>
          </rPr>
          <t>龙丽娟:</t>
        </r>
        <r>
          <rPr>
            <sz val="9"/>
            <rFont val="宋体"/>
            <charset val="134"/>
          </rPr>
          <t xml:space="preserve">
7/15上警告语环保标贴纸3396pcs</t>
        </r>
      </text>
    </comment>
    <comment ref="AW613" authorId="3">
      <text>
        <r>
          <rPr>
            <sz val="9"/>
            <rFont val="宋体"/>
            <charset val="134"/>
          </rPr>
          <t>RR:
新资料</t>
        </r>
        <r>
          <rPr>
            <b/>
            <sz val="9"/>
            <rFont val="宋体"/>
            <charset val="134"/>
          </rPr>
          <t xml:space="preserve">
陈龙:</t>
        </r>
        <r>
          <rPr>
            <sz val="9"/>
            <rFont val="宋体"/>
            <charset val="134"/>
          </rPr>
          <t xml:space="preserve">
翻单4500208529</t>
        </r>
      </text>
    </comment>
    <comment ref="T614" authorId="2">
      <text>
        <r>
          <rPr>
            <b/>
            <sz val="9"/>
            <rFont val="宋体"/>
            <charset val="0"/>
          </rPr>
          <t>龙丽娟:</t>
        </r>
        <r>
          <rPr>
            <sz val="9"/>
            <rFont val="宋体"/>
            <charset val="0"/>
          </rPr>
          <t xml:space="preserve">
8/13 2800449 31668pcs</t>
        </r>
      </text>
    </comment>
    <comment ref="V614" authorId="2">
      <text>
        <r>
          <rPr>
            <b/>
            <sz val="9"/>
            <rFont val="宋体"/>
            <charset val="134"/>
          </rPr>
          <t>龙丽娟:</t>
        </r>
        <r>
          <rPr>
            <sz val="9"/>
            <rFont val="宋体"/>
            <charset val="134"/>
          </rPr>
          <t xml:space="preserve">
7/18上价格贴纸46020pcs</t>
        </r>
        <r>
          <rPr>
            <b/>
            <sz val="9"/>
            <rFont val="宋体"/>
            <charset val="134"/>
          </rPr>
          <t xml:space="preserve">
龙丽娟:</t>
        </r>
        <r>
          <rPr>
            <sz val="9"/>
            <rFont val="宋体"/>
            <charset val="134"/>
          </rPr>
          <t xml:space="preserve">
7/18上外箱条码贴纸1770pcs</t>
        </r>
      </text>
    </comment>
    <comment ref="T615" authorId="2">
      <text>
        <r>
          <rPr>
            <b/>
            <sz val="9"/>
            <rFont val="宋体"/>
            <charset val="0"/>
          </rPr>
          <t>龙丽娟:</t>
        </r>
        <r>
          <rPr>
            <sz val="9"/>
            <rFont val="宋体"/>
            <charset val="0"/>
          </rPr>
          <t xml:space="preserve">
8/8 1001509 8225pcs欣泰D4</t>
        </r>
        <r>
          <rPr>
            <b/>
            <sz val="9"/>
            <rFont val="宋体"/>
            <charset val="0"/>
          </rPr>
          <t xml:space="preserve">
龙丽娟:</t>
        </r>
        <r>
          <rPr>
            <sz val="9"/>
            <rFont val="宋体"/>
            <charset val="0"/>
          </rPr>
          <t xml:space="preserve">
8/8 1001530 8550pcs欣泰D4</t>
        </r>
      </text>
    </comment>
    <comment ref="V615" authorId="2">
      <text>
        <r>
          <rPr>
            <b/>
            <sz val="9"/>
            <rFont val="宋体"/>
            <charset val="134"/>
          </rPr>
          <t>龙丽娟:</t>
        </r>
        <r>
          <rPr>
            <sz val="9"/>
            <rFont val="宋体"/>
            <charset val="134"/>
          </rPr>
          <t xml:space="preserve">
7/16 上客供外箱贴纸 678psc</t>
        </r>
      </text>
    </comment>
    <comment ref="T616" authorId="2">
      <text>
        <r>
          <rPr>
            <b/>
            <sz val="9"/>
            <rFont val="宋体"/>
            <charset val="0"/>
          </rPr>
          <t>龙丽娟:</t>
        </r>
        <r>
          <rPr>
            <sz val="9"/>
            <rFont val="宋体"/>
            <charset val="0"/>
          </rPr>
          <t xml:space="preserve">
8/8 1001516 104pcs馥通C1</t>
        </r>
        <r>
          <rPr>
            <b/>
            <sz val="9"/>
            <rFont val="宋体"/>
            <charset val="0"/>
          </rPr>
          <t xml:space="preserve">
龙丽娟:</t>
        </r>
        <r>
          <rPr>
            <sz val="9"/>
            <rFont val="宋体"/>
            <charset val="0"/>
          </rPr>
          <t xml:space="preserve">
1001530 8/8 2600PCS欣A6</t>
        </r>
      </text>
    </comment>
    <comment ref="T618" authorId="2">
      <text>
        <r>
          <rPr>
            <b/>
            <sz val="9"/>
            <rFont val="宋体"/>
            <charset val="0"/>
          </rPr>
          <t>龙丽娟:</t>
        </r>
        <r>
          <rPr>
            <sz val="9"/>
            <rFont val="宋体"/>
            <charset val="0"/>
          </rPr>
          <t xml:space="preserve">
1001522 8/7 800pcs欣泰A5</t>
        </r>
      </text>
    </comment>
    <comment ref="T619" authorId="2">
      <text>
        <r>
          <rPr>
            <b/>
            <sz val="9"/>
            <rFont val="宋体"/>
            <charset val="0"/>
          </rPr>
          <t>龙丽娟:</t>
        </r>
        <r>
          <rPr>
            <sz val="9"/>
            <rFont val="宋体"/>
            <charset val="0"/>
          </rPr>
          <t xml:space="preserve">
8/8 1001516 1968pcsB栋A1-C8</t>
        </r>
      </text>
    </comment>
    <comment ref="AW619" authorId="3">
      <text>
        <r>
          <rPr>
            <sz val="9"/>
            <rFont val="宋体"/>
            <charset val="134"/>
          </rPr>
          <t>RR:
新资料</t>
        </r>
        <r>
          <rPr>
            <b/>
            <sz val="9"/>
            <rFont val="宋体"/>
            <charset val="134"/>
          </rPr>
          <t xml:space="preserve">
陈龙:</t>
        </r>
        <r>
          <rPr>
            <sz val="9"/>
            <rFont val="宋体"/>
            <charset val="134"/>
          </rPr>
          <t xml:space="preserve">
翻单4500208529</t>
        </r>
      </text>
    </comment>
    <comment ref="T620" authorId="2">
      <text>
        <r>
          <rPr>
            <b/>
            <sz val="9"/>
            <rFont val="宋体"/>
            <charset val="0"/>
          </rPr>
          <t>龙丽娟:</t>
        </r>
        <r>
          <rPr>
            <sz val="9"/>
            <rFont val="宋体"/>
            <charset val="0"/>
          </rPr>
          <t xml:space="preserve">
8/8 1001516 1656pcsB栋A1-C8</t>
        </r>
      </text>
    </comment>
    <comment ref="AW620" authorId="3">
      <text>
        <r>
          <rPr>
            <sz val="9"/>
            <rFont val="宋体"/>
            <charset val="134"/>
          </rPr>
          <t>RR:
新资料</t>
        </r>
        <r>
          <rPr>
            <b/>
            <sz val="9"/>
            <rFont val="宋体"/>
            <charset val="134"/>
          </rPr>
          <t xml:space="preserve">
陈龙:</t>
        </r>
        <r>
          <rPr>
            <sz val="9"/>
            <rFont val="宋体"/>
            <charset val="134"/>
          </rPr>
          <t xml:space="preserve">
翻单4500208529</t>
        </r>
      </text>
    </comment>
    <comment ref="T621" authorId="2">
      <text>
        <r>
          <rPr>
            <b/>
            <sz val="9"/>
            <rFont val="宋体"/>
            <charset val="134"/>
          </rPr>
          <t>龙丽娟:</t>
        </r>
        <r>
          <rPr>
            <sz val="9"/>
            <rFont val="宋体"/>
            <charset val="134"/>
          </rPr>
          <t xml:space="preserve">
6/26 2200946 2500pcs欣泰b2</t>
        </r>
      </text>
    </comment>
    <comment ref="V621" authorId="0">
      <text>
        <r>
          <rPr>
            <b/>
            <sz val="12"/>
            <rFont val="宋体"/>
            <charset val="134"/>
          </rPr>
          <t>Administrator:</t>
        </r>
        <r>
          <rPr>
            <sz val="12"/>
            <rFont val="宋体"/>
            <charset val="134"/>
          </rPr>
          <t xml:space="preserve">
5/11 上UPC贴纸2500pcs</t>
        </r>
      </text>
    </comment>
    <comment ref="BB622" authorId="3">
      <text>
        <r>
          <rPr>
            <b/>
            <sz val="9"/>
            <rFont val="宋体"/>
            <charset val="134"/>
          </rPr>
          <t>RR:</t>
        </r>
        <r>
          <rPr>
            <sz val="9"/>
            <rFont val="宋体"/>
            <charset val="134"/>
          </rPr>
          <t xml:space="preserve">
日本新资料</t>
        </r>
      </text>
    </comment>
    <comment ref="BC622" authorId="3">
      <text>
        <r>
          <rPr>
            <b/>
            <sz val="9"/>
            <rFont val="宋体"/>
            <charset val="134"/>
          </rPr>
          <t>RR:</t>
        </r>
        <r>
          <rPr>
            <sz val="9"/>
            <rFont val="宋体"/>
            <charset val="134"/>
          </rPr>
          <t xml:space="preserve">
日本新资料</t>
        </r>
      </text>
    </comment>
    <comment ref="BD622" authorId="3">
      <text>
        <r>
          <rPr>
            <b/>
            <sz val="9"/>
            <rFont val="宋体"/>
            <charset val="134"/>
          </rPr>
          <t>RR:</t>
        </r>
        <r>
          <rPr>
            <sz val="9"/>
            <rFont val="宋体"/>
            <charset val="134"/>
          </rPr>
          <t xml:space="preserve">
日本新资料</t>
        </r>
      </text>
    </comment>
    <comment ref="BE622" authorId="3">
      <text>
        <r>
          <rPr>
            <b/>
            <sz val="9"/>
            <rFont val="宋体"/>
            <charset val="134"/>
          </rPr>
          <t>RR:</t>
        </r>
        <r>
          <rPr>
            <sz val="9"/>
            <rFont val="宋体"/>
            <charset val="134"/>
          </rPr>
          <t xml:space="preserve">
日本新资料
</t>
        </r>
      </text>
    </comment>
    <comment ref="BF622" authorId="3">
      <text>
        <r>
          <rPr>
            <b/>
            <sz val="9"/>
            <rFont val="宋体"/>
            <charset val="134"/>
          </rPr>
          <t>RR:</t>
        </r>
        <r>
          <rPr>
            <sz val="9"/>
            <rFont val="宋体"/>
            <charset val="134"/>
          </rPr>
          <t xml:space="preserve">
日本新资料
</t>
        </r>
      </text>
    </comment>
    <comment ref="T627" authorId="2">
      <text>
        <r>
          <rPr>
            <b/>
            <sz val="9"/>
            <rFont val="宋体"/>
            <charset val="0"/>
          </rPr>
          <t>龙丽娟:</t>
        </r>
        <r>
          <rPr>
            <sz val="9"/>
            <rFont val="宋体"/>
            <charset val="0"/>
          </rPr>
          <t xml:space="preserve">
1001522 8/7 2075pcs欣泰D2</t>
        </r>
        <r>
          <rPr>
            <b/>
            <sz val="9"/>
            <rFont val="宋体"/>
            <charset val="0"/>
          </rPr>
          <t xml:space="preserve">
龙丽娟:</t>
        </r>
        <r>
          <rPr>
            <sz val="9"/>
            <rFont val="宋体"/>
            <charset val="0"/>
          </rPr>
          <t xml:space="preserve">
8/8 1001530  25PCS欣泰D2</t>
        </r>
      </text>
    </comment>
    <comment ref="V627" authorId="2">
      <text>
        <r>
          <rPr>
            <b/>
            <sz val="9"/>
            <rFont val="宋体"/>
            <charset val="134"/>
          </rPr>
          <t>龙丽娟:</t>
        </r>
        <r>
          <rPr>
            <sz val="9"/>
            <rFont val="宋体"/>
            <charset val="134"/>
          </rPr>
          <t xml:space="preserve">
7/16 上UPC贴纸 2100pcs
        上进口商贴纸 2100pcs</t>
        </r>
      </text>
    </comment>
    <comment ref="T628" authorId="2">
      <text>
        <r>
          <rPr>
            <b/>
            <sz val="9"/>
            <rFont val="宋体"/>
            <charset val="0"/>
          </rPr>
          <t>龙丽娟:</t>
        </r>
        <r>
          <rPr>
            <sz val="9"/>
            <rFont val="宋体"/>
            <charset val="0"/>
          </rPr>
          <t xml:space="preserve">
8/8 1001516 50pcs馥通C1</t>
        </r>
        <r>
          <rPr>
            <b/>
            <sz val="9"/>
            <rFont val="宋体"/>
            <charset val="0"/>
          </rPr>
          <t xml:space="preserve">
龙丽娟:</t>
        </r>
        <r>
          <rPr>
            <sz val="9"/>
            <rFont val="宋体"/>
            <charset val="0"/>
          </rPr>
          <t xml:space="preserve">
8/8 1001509 450pcs欣泰C5</t>
        </r>
      </text>
    </comment>
    <comment ref="V629" authorId="2">
      <text>
        <r>
          <rPr>
            <b/>
            <sz val="9"/>
            <rFont val="宋体"/>
            <charset val="134"/>
          </rPr>
          <t>龙丽娟:</t>
        </r>
        <r>
          <rPr>
            <sz val="9"/>
            <rFont val="宋体"/>
            <charset val="134"/>
          </rPr>
          <t xml:space="preserve">
7/16 上进口商贴纸 5000pcs
         上UPC贴纸 5000pcs</t>
        </r>
      </text>
    </comment>
    <comment ref="V630" authorId="2">
      <text>
        <r>
          <rPr>
            <b/>
            <sz val="9"/>
            <rFont val="宋体"/>
            <charset val="134"/>
          </rPr>
          <t>龙丽娟:</t>
        </r>
        <r>
          <rPr>
            <sz val="9"/>
            <rFont val="宋体"/>
            <charset val="134"/>
          </rPr>
          <t xml:space="preserve">
7/16 上进口商贴纸 1000pcs</t>
        </r>
      </text>
    </comment>
    <comment ref="V631" authorId="2">
      <text>
        <r>
          <rPr>
            <b/>
            <sz val="9"/>
            <rFont val="宋体"/>
            <charset val="134"/>
          </rPr>
          <t>龙丽娟:</t>
        </r>
        <r>
          <rPr>
            <sz val="9"/>
            <rFont val="宋体"/>
            <charset val="134"/>
          </rPr>
          <t xml:space="preserve">
7/17上UPC贴纸1400pcs</t>
        </r>
      </text>
    </comment>
    <comment ref="V632" authorId="2">
      <text>
        <r>
          <rPr>
            <b/>
            <sz val="9"/>
            <rFont val="宋体"/>
            <charset val="134"/>
          </rPr>
          <t>龙丽娟:</t>
        </r>
        <r>
          <rPr>
            <sz val="9"/>
            <rFont val="宋体"/>
            <charset val="134"/>
          </rPr>
          <t xml:space="preserve">
7/10上Kmart外箱贴纸63pcs</t>
        </r>
      </text>
    </comment>
    <comment ref="AR632" authorId="2">
      <text>
        <r>
          <rPr>
            <b/>
            <sz val="9"/>
            <rFont val="宋体"/>
            <charset val="134"/>
          </rPr>
          <t>陈龙:</t>
        </r>
        <r>
          <rPr>
            <sz val="9"/>
            <rFont val="宋体"/>
            <charset val="134"/>
          </rPr>
          <t xml:space="preserve">
客版无条码新资料</t>
        </r>
      </text>
    </comment>
    <comment ref="AX632" authorId="3">
      <text>
        <r>
          <rPr>
            <sz val="9"/>
            <rFont val="宋体"/>
            <charset val="134"/>
          </rPr>
          <t>RR:
移除21/23号唱片客版收藏指南</t>
        </r>
        <r>
          <rPr>
            <b/>
            <sz val="9"/>
            <rFont val="宋体"/>
            <charset val="134"/>
          </rPr>
          <t xml:space="preserve">
陈龙:</t>
        </r>
        <r>
          <rPr>
            <sz val="9"/>
            <rFont val="宋体"/>
            <charset val="134"/>
          </rPr>
          <t xml:space="preserve">
新资料</t>
        </r>
      </text>
    </comment>
    <comment ref="AR633" authorId="2">
      <text>
        <r>
          <rPr>
            <b/>
            <sz val="9"/>
            <rFont val="宋体"/>
            <charset val="134"/>
          </rPr>
          <t>陈龙:</t>
        </r>
        <r>
          <rPr>
            <sz val="9"/>
            <rFont val="宋体"/>
            <charset val="134"/>
          </rPr>
          <t xml:space="preserve">
客版无条码新资料</t>
        </r>
      </text>
    </comment>
    <comment ref="AX633" authorId="3">
      <text>
        <r>
          <rPr>
            <sz val="9"/>
            <rFont val="宋体"/>
            <charset val="134"/>
          </rPr>
          <t>RR:
移除21/23号唱片客版收藏指南</t>
        </r>
        <r>
          <rPr>
            <b/>
            <sz val="9"/>
            <rFont val="宋体"/>
            <charset val="134"/>
          </rPr>
          <t xml:space="preserve">
陈龙:</t>
        </r>
        <r>
          <rPr>
            <sz val="9"/>
            <rFont val="宋体"/>
            <charset val="134"/>
          </rPr>
          <t xml:space="preserve">
新资料</t>
        </r>
      </text>
    </comment>
    <comment ref="T634" authorId="2">
      <text>
        <r>
          <rPr>
            <b/>
            <sz val="9"/>
            <rFont val="宋体"/>
            <charset val="0"/>
          </rPr>
          <t>龙丽娟:</t>
        </r>
        <r>
          <rPr>
            <sz val="9"/>
            <rFont val="宋体"/>
            <charset val="0"/>
          </rPr>
          <t xml:space="preserve">
8/8 1000414 5508pcs欣泰F3</t>
        </r>
      </text>
    </comment>
    <comment ref="V634" authorId="2">
      <text>
        <r>
          <rPr>
            <b/>
            <sz val="9"/>
            <rFont val="宋体"/>
            <charset val="134"/>
          </rPr>
          <t>龙丽娟:</t>
        </r>
        <r>
          <rPr>
            <sz val="9"/>
            <rFont val="宋体"/>
            <charset val="134"/>
          </rPr>
          <t xml:space="preserve">
7/17上de/it警告语环保标7572pcs</t>
        </r>
        <r>
          <rPr>
            <b/>
            <sz val="9"/>
            <rFont val="宋体"/>
            <charset val="134"/>
          </rPr>
          <t xml:space="preserve">
龙丽娟:</t>
        </r>
        <r>
          <rPr>
            <sz val="9"/>
            <rFont val="宋体"/>
            <charset val="134"/>
          </rPr>
          <t xml:space="preserve">
7/21上客供亚马逊外箱贴纸459pcs</t>
        </r>
      </text>
    </comment>
    <comment ref="T635" authorId="2">
      <text>
        <r>
          <rPr>
            <b/>
            <sz val="9"/>
            <rFont val="宋体"/>
            <charset val="0"/>
          </rPr>
          <t>龙丽娟:</t>
        </r>
        <r>
          <rPr>
            <sz val="9"/>
            <rFont val="宋体"/>
            <charset val="0"/>
          </rPr>
          <t xml:space="preserve">
8/8 1000414 2064pcs欣泰e6</t>
        </r>
      </text>
    </comment>
    <comment ref="V635" authorId="2">
      <text>
        <r>
          <rPr>
            <b/>
            <sz val="9"/>
            <rFont val="宋体"/>
            <charset val="134"/>
          </rPr>
          <t>龙丽娟:</t>
        </r>
        <r>
          <rPr>
            <sz val="9"/>
            <rFont val="宋体"/>
            <charset val="134"/>
          </rPr>
          <t xml:space="preserve">
7/17上de/it警告语环保标7572pcs</t>
        </r>
        <r>
          <rPr>
            <b/>
            <sz val="9"/>
            <rFont val="宋体"/>
            <charset val="134"/>
          </rPr>
          <t xml:space="preserve">
龙丽娟:</t>
        </r>
        <r>
          <rPr>
            <sz val="9"/>
            <rFont val="宋体"/>
            <charset val="134"/>
          </rPr>
          <t xml:space="preserve">
7/21上客供亚马逊外箱贴纸172pcs</t>
        </r>
      </text>
    </comment>
    <comment ref="T636" authorId="2">
      <text>
        <r>
          <rPr>
            <b/>
            <sz val="9"/>
            <rFont val="宋体"/>
            <charset val="0"/>
          </rPr>
          <t>龙丽娟:</t>
        </r>
        <r>
          <rPr>
            <sz val="9"/>
            <rFont val="宋体"/>
            <charset val="0"/>
          </rPr>
          <t xml:space="preserve">
8/8 1000414 1512pcs欣泰e4</t>
        </r>
      </text>
    </comment>
    <comment ref="V636" authorId="2">
      <text>
        <r>
          <rPr>
            <b/>
            <sz val="9"/>
            <rFont val="宋体"/>
            <charset val="134"/>
          </rPr>
          <t>龙丽娟:</t>
        </r>
        <r>
          <rPr>
            <sz val="9"/>
            <rFont val="宋体"/>
            <charset val="134"/>
          </rPr>
          <t xml:space="preserve">
7/20上de/it警告语/it环保标6132pcs</t>
        </r>
      </text>
    </comment>
    <comment ref="T637" authorId="2">
      <text>
        <r>
          <rPr>
            <b/>
            <sz val="9"/>
            <rFont val="宋体"/>
            <charset val="0"/>
          </rPr>
          <t>龙丽娟:</t>
        </r>
        <r>
          <rPr>
            <sz val="9"/>
            <rFont val="宋体"/>
            <charset val="0"/>
          </rPr>
          <t xml:space="preserve">
8/8 1000414 1512pcs欣泰e4</t>
        </r>
      </text>
    </comment>
    <comment ref="V637" authorId="2">
      <text>
        <r>
          <rPr>
            <b/>
            <sz val="9"/>
            <rFont val="宋体"/>
            <charset val="134"/>
          </rPr>
          <t>龙丽娟:</t>
        </r>
        <r>
          <rPr>
            <sz val="9"/>
            <rFont val="宋体"/>
            <charset val="134"/>
          </rPr>
          <t xml:space="preserve">
7/20上de/it警告语/it环保标6132pcs</t>
        </r>
      </text>
    </comment>
    <comment ref="T644" authorId="2">
      <text>
        <r>
          <rPr>
            <b/>
            <sz val="9"/>
            <rFont val="宋体"/>
            <charset val="0"/>
          </rPr>
          <t>龙丽娟:</t>
        </r>
        <r>
          <rPr>
            <sz val="9"/>
            <rFont val="宋体"/>
            <charset val="0"/>
          </rPr>
          <t xml:space="preserve">
8/6 1001536 13000pcs欣泰A3</t>
        </r>
      </text>
    </comment>
    <comment ref="V644" authorId="2">
      <text>
        <r>
          <rPr>
            <b/>
            <sz val="9"/>
            <rFont val="宋体"/>
            <charset val="134"/>
          </rPr>
          <t>龙丽娟:</t>
        </r>
        <r>
          <rPr>
            <sz val="9"/>
            <rFont val="宋体"/>
            <charset val="134"/>
          </rPr>
          <t xml:space="preserve">
7/20上多语警语贴纸25012pcs</t>
        </r>
      </text>
    </comment>
    <comment ref="T645" authorId="2">
      <text>
        <r>
          <rPr>
            <b/>
            <sz val="9"/>
            <rFont val="宋体"/>
            <charset val="134"/>
          </rPr>
          <t>龙丽娟:</t>
        </r>
        <r>
          <rPr>
            <sz val="9"/>
            <rFont val="宋体"/>
            <charset val="134"/>
          </rPr>
          <t xml:space="preserve">
1000409 8/7 23800pcs</t>
        </r>
      </text>
    </comment>
    <comment ref="V645" authorId="2">
      <text>
        <r>
          <rPr>
            <b/>
            <sz val="9"/>
            <rFont val="宋体"/>
            <charset val="134"/>
          </rPr>
          <t>龙丽娟:</t>
        </r>
        <r>
          <rPr>
            <sz val="9"/>
            <rFont val="宋体"/>
            <charset val="134"/>
          </rPr>
          <t xml:space="preserve">
7/16 上客供外箱贴纸 962pcs</t>
        </r>
      </text>
    </comment>
    <comment ref="T646" authorId="2">
      <text>
        <r>
          <rPr>
            <b/>
            <sz val="9"/>
            <rFont val="宋体"/>
            <charset val="0"/>
          </rPr>
          <t>龙丽娟:</t>
        </r>
        <r>
          <rPr>
            <sz val="9"/>
            <rFont val="宋体"/>
            <charset val="0"/>
          </rPr>
          <t xml:space="preserve">
8/8 1001509 3250pcs欣泰E6</t>
        </r>
      </text>
    </comment>
    <comment ref="T647" authorId="2">
      <text>
        <r>
          <rPr>
            <b/>
            <sz val="9"/>
            <rFont val="宋体"/>
            <charset val="0"/>
          </rPr>
          <t>龙丽娟:</t>
        </r>
        <r>
          <rPr>
            <sz val="9"/>
            <rFont val="宋体"/>
            <charset val="0"/>
          </rPr>
          <t xml:space="preserve">
8/8 1001509 1850pcs欣泰E6</t>
        </r>
      </text>
    </comment>
    <comment ref="T648" authorId="2">
      <text>
        <r>
          <rPr>
            <b/>
            <sz val="9"/>
            <rFont val="宋体"/>
            <charset val="0"/>
          </rPr>
          <t>龙丽娟:</t>
        </r>
        <r>
          <rPr>
            <sz val="9"/>
            <rFont val="宋体"/>
            <charset val="0"/>
          </rPr>
          <t xml:space="preserve">
2801403 8/6 12500pcs钜顺A7</t>
        </r>
      </text>
    </comment>
    <comment ref="V649" authorId="2">
      <text>
        <r>
          <rPr>
            <b/>
            <sz val="9"/>
            <rFont val="宋体"/>
            <charset val="134"/>
          </rPr>
          <t>龙丽娟:</t>
        </r>
        <r>
          <rPr>
            <sz val="9"/>
            <rFont val="宋体"/>
            <charset val="134"/>
          </rPr>
          <t xml:space="preserve">
7/17上意大利警语贴纸1000pcs</t>
        </r>
      </text>
    </comment>
    <comment ref="T650" authorId="2">
      <text>
        <r>
          <rPr>
            <b/>
            <sz val="9"/>
            <rFont val="宋体"/>
            <charset val="0"/>
          </rPr>
          <t>龙丽娟:</t>
        </r>
        <r>
          <rPr>
            <sz val="9"/>
            <rFont val="宋体"/>
            <charset val="0"/>
          </rPr>
          <t xml:space="preserve">
8/8 1001512 7950pcs欣泰E5</t>
        </r>
      </text>
    </comment>
    <comment ref="V650" authorId="2">
      <text>
        <r>
          <rPr>
            <b/>
            <sz val="9"/>
            <rFont val="宋体"/>
            <charset val="134"/>
          </rPr>
          <t>龙丽娟:</t>
        </r>
        <r>
          <rPr>
            <sz val="9"/>
            <rFont val="宋体"/>
            <charset val="134"/>
          </rPr>
          <t xml:space="preserve">
7/18上upc贴纸7950pcs</t>
        </r>
      </text>
    </comment>
    <comment ref="T651" authorId="2">
      <text>
        <r>
          <rPr>
            <b/>
            <sz val="9"/>
            <rFont val="宋体"/>
            <charset val="0"/>
          </rPr>
          <t>龙丽娟:</t>
        </r>
        <r>
          <rPr>
            <sz val="9"/>
            <rFont val="宋体"/>
            <charset val="0"/>
          </rPr>
          <t xml:space="preserve">
8/8 1001512 9375pcs欣泰D6</t>
        </r>
      </text>
    </comment>
    <comment ref="V651" authorId="2">
      <text>
        <r>
          <rPr>
            <b/>
            <sz val="9"/>
            <rFont val="宋体"/>
            <charset val="134"/>
          </rPr>
          <t>龙丽娟:</t>
        </r>
        <r>
          <rPr>
            <sz val="9"/>
            <rFont val="宋体"/>
            <charset val="134"/>
          </rPr>
          <t xml:space="preserve">
6/23上upc贴纸9375pcs</t>
        </r>
      </text>
    </comment>
    <comment ref="T652" authorId="2">
      <text>
        <r>
          <rPr>
            <b/>
            <sz val="9"/>
            <rFont val="宋体"/>
            <charset val="0"/>
          </rPr>
          <t>龙丽娟:</t>
        </r>
        <r>
          <rPr>
            <sz val="9"/>
            <rFont val="宋体"/>
            <charset val="0"/>
          </rPr>
          <t xml:space="preserve">
2801403 8/6 3000pcs钜顺b1</t>
        </r>
      </text>
    </comment>
    <comment ref="T653" authorId="2">
      <text>
        <r>
          <rPr>
            <b/>
            <sz val="9"/>
            <rFont val="宋体"/>
            <charset val="0"/>
          </rPr>
          <t>龙丽娟:</t>
        </r>
        <r>
          <rPr>
            <sz val="9"/>
            <rFont val="宋体"/>
            <charset val="0"/>
          </rPr>
          <t xml:space="preserve">
1001530 8/8 5356PCS欣泰2A2</t>
        </r>
      </text>
    </comment>
    <comment ref="V653" authorId="2">
      <text>
        <r>
          <rPr>
            <b/>
            <sz val="9"/>
            <rFont val="宋体"/>
            <charset val="134"/>
          </rPr>
          <t>龙丽娟:</t>
        </r>
        <r>
          <rPr>
            <sz val="9"/>
            <rFont val="宋体"/>
            <charset val="134"/>
          </rPr>
          <t xml:space="preserve">
7/17上进口商贴纸5356pcs</t>
        </r>
      </text>
    </comment>
    <comment ref="T654" authorId="2">
      <text>
        <r>
          <rPr>
            <b/>
            <sz val="9"/>
            <rFont val="宋体"/>
            <charset val="0"/>
          </rPr>
          <t>龙丽娟:</t>
        </r>
        <r>
          <rPr>
            <sz val="9"/>
            <rFont val="宋体"/>
            <charset val="0"/>
          </rPr>
          <t xml:space="preserve">
1001302 8/7 7319pcs
备品1箱 欣泰f2</t>
        </r>
        <r>
          <rPr>
            <b/>
            <sz val="9"/>
            <rFont val="宋体"/>
            <charset val="0"/>
          </rPr>
          <t xml:space="preserve">
龙丽娟:</t>
        </r>
        <r>
          <rPr>
            <sz val="9"/>
            <rFont val="宋体"/>
            <charset val="0"/>
          </rPr>
          <t xml:space="preserve">
8/6 1001547 4680pcs钜顺A4</t>
        </r>
      </text>
    </comment>
    <comment ref="V654" authorId="2">
      <text>
        <r>
          <rPr>
            <b/>
            <sz val="9"/>
            <rFont val="宋体"/>
            <charset val="134"/>
          </rPr>
          <t>龙丽娟:</t>
        </r>
        <r>
          <rPr>
            <sz val="9"/>
            <rFont val="宋体"/>
            <charset val="134"/>
          </rPr>
          <t xml:space="preserve">
6/26上客供价格贴纸12682pcs</t>
        </r>
      </text>
    </comment>
    <comment ref="T655" authorId="2">
      <text>
        <r>
          <rPr>
            <b/>
            <sz val="9"/>
            <rFont val="宋体"/>
            <charset val="0"/>
          </rPr>
          <t>龙丽娟:</t>
        </r>
        <r>
          <rPr>
            <sz val="9"/>
            <rFont val="宋体"/>
            <charset val="0"/>
          </rPr>
          <t xml:space="preserve">
8/6 1001536 12012PCS欣泰A3</t>
        </r>
      </text>
    </comment>
    <comment ref="V656" authorId="2">
      <text>
        <r>
          <rPr>
            <b/>
            <sz val="9"/>
            <rFont val="宋体"/>
            <charset val="134"/>
          </rPr>
          <t>龙丽娟:</t>
        </r>
        <r>
          <rPr>
            <sz val="9"/>
            <rFont val="宋体"/>
            <charset val="134"/>
          </rPr>
          <t xml:space="preserve">
7/17 上UPC贴纸1800pcs</t>
        </r>
      </text>
    </comment>
    <comment ref="T657" authorId="2">
      <text>
        <r>
          <rPr>
            <b/>
            <sz val="9"/>
            <rFont val="宋体"/>
            <charset val="0"/>
          </rPr>
          <t>龙丽娟:</t>
        </r>
        <r>
          <rPr>
            <sz val="9"/>
            <rFont val="宋体"/>
            <charset val="0"/>
          </rPr>
          <t xml:space="preserve">
1000404 8/7 14400pcs欣泰E5</t>
        </r>
      </text>
    </comment>
    <comment ref="V657" authorId="2">
      <text>
        <r>
          <rPr>
            <b/>
            <sz val="9"/>
            <rFont val="宋体"/>
            <charset val="134"/>
          </rPr>
          <t>龙丽娟:</t>
        </r>
        <r>
          <rPr>
            <sz val="9"/>
            <rFont val="宋体"/>
            <charset val="134"/>
          </rPr>
          <t xml:space="preserve">
7/10 上客供RFID贴纸 14400pcs</t>
        </r>
      </text>
    </comment>
    <comment ref="T658" authorId="2">
      <text>
        <r>
          <rPr>
            <b/>
            <sz val="9"/>
            <rFont val="宋体"/>
            <charset val="0"/>
          </rPr>
          <t>龙丽娟:</t>
        </r>
        <r>
          <rPr>
            <sz val="9"/>
            <rFont val="宋体"/>
            <charset val="0"/>
          </rPr>
          <t xml:space="preserve">
1000404 8/7 16320pcs欣泰f6</t>
        </r>
      </text>
    </comment>
    <comment ref="V658" authorId="2">
      <text>
        <r>
          <rPr>
            <b/>
            <sz val="9"/>
            <rFont val="宋体"/>
            <charset val="134"/>
          </rPr>
          <t>龙丽娟:</t>
        </r>
        <r>
          <rPr>
            <sz val="9"/>
            <rFont val="宋体"/>
            <charset val="134"/>
          </rPr>
          <t xml:space="preserve">
7/10 上客供RFID贴纸 16320pcs</t>
        </r>
      </text>
    </comment>
    <comment ref="V659" authorId="2">
      <text>
        <r>
          <rPr>
            <b/>
            <sz val="9"/>
            <rFont val="宋体"/>
            <charset val="134"/>
          </rPr>
          <t>龙丽娟:</t>
        </r>
        <r>
          <rPr>
            <sz val="9"/>
            <rFont val="宋体"/>
            <charset val="134"/>
          </rPr>
          <t xml:space="preserve">
7/10 上客供RFID贴纸 16320pcs</t>
        </r>
      </text>
    </comment>
    <comment ref="V660" authorId="2">
      <text>
        <r>
          <rPr>
            <b/>
            <sz val="9"/>
            <rFont val="宋体"/>
            <charset val="134"/>
          </rPr>
          <t>龙丽娟:</t>
        </r>
        <r>
          <rPr>
            <sz val="9"/>
            <rFont val="宋体"/>
            <charset val="134"/>
          </rPr>
          <t xml:space="preserve">
7/16 上客供RFID贴纸 12480pcs</t>
        </r>
      </text>
    </comment>
    <comment ref="V661" authorId="2">
      <text>
        <r>
          <rPr>
            <b/>
            <sz val="9"/>
            <rFont val="宋体"/>
            <charset val="134"/>
          </rPr>
          <t>龙丽娟:</t>
        </r>
        <r>
          <rPr>
            <sz val="9"/>
            <rFont val="宋体"/>
            <charset val="134"/>
          </rPr>
          <t xml:space="preserve">
7/16 上客供RFID贴纸 16320pcs</t>
        </r>
      </text>
    </comment>
    <comment ref="V662" authorId="2">
      <text>
        <r>
          <rPr>
            <b/>
            <sz val="9"/>
            <rFont val="宋体"/>
            <charset val="134"/>
          </rPr>
          <t>龙丽娟:</t>
        </r>
        <r>
          <rPr>
            <sz val="9"/>
            <rFont val="宋体"/>
            <charset val="134"/>
          </rPr>
          <t xml:space="preserve">
7/16 上客供RFID贴纸 17280pcs</t>
        </r>
      </text>
    </comment>
    <comment ref="V663" authorId="2">
      <text>
        <r>
          <rPr>
            <b/>
            <sz val="9"/>
            <rFont val="宋体"/>
            <charset val="134"/>
          </rPr>
          <t>龙丽娟:</t>
        </r>
        <r>
          <rPr>
            <sz val="9"/>
            <rFont val="宋体"/>
            <charset val="134"/>
          </rPr>
          <t xml:space="preserve">
7/16 上客供RFID贴纸 8640pcs</t>
        </r>
      </text>
    </comment>
    <comment ref="V664" authorId="2">
      <text>
        <r>
          <rPr>
            <b/>
            <sz val="9"/>
            <rFont val="宋体"/>
            <charset val="134"/>
          </rPr>
          <t>龙丽娟:</t>
        </r>
        <r>
          <rPr>
            <sz val="9"/>
            <rFont val="宋体"/>
            <charset val="134"/>
          </rPr>
          <t xml:space="preserve">
7/18上进口商/环保标/产品贴纸2000pcs</t>
        </r>
      </text>
    </comment>
    <comment ref="T665" authorId="2">
      <text>
        <r>
          <rPr>
            <b/>
            <sz val="9"/>
            <rFont val="宋体"/>
            <charset val="0"/>
          </rPr>
          <t>龙丽娟:</t>
        </r>
        <r>
          <rPr>
            <sz val="9"/>
            <rFont val="宋体"/>
            <charset val="0"/>
          </rPr>
          <t xml:space="preserve">
8/8 1000414 3108pcs欣泰e4</t>
        </r>
      </text>
    </comment>
    <comment ref="V665" authorId="2">
      <text>
        <r>
          <rPr>
            <b/>
            <sz val="9"/>
            <rFont val="宋体"/>
            <charset val="134"/>
          </rPr>
          <t>龙丽娟:</t>
        </r>
        <r>
          <rPr>
            <sz val="9"/>
            <rFont val="宋体"/>
            <charset val="134"/>
          </rPr>
          <t xml:space="preserve">
7/21收到客供亚马逊外箱贴纸259pcs</t>
        </r>
      </text>
    </comment>
    <comment ref="AW665" authorId="3">
      <text>
        <r>
          <rPr>
            <sz val="9"/>
            <rFont val="宋体"/>
            <charset val="134"/>
          </rPr>
          <t>RR:
新资料</t>
        </r>
        <r>
          <rPr>
            <b/>
            <sz val="9"/>
            <rFont val="宋体"/>
            <charset val="134"/>
          </rPr>
          <t xml:space="preserve">
陈龙:</t>
        </r>
        <r>
          <rPr>
            <sz val="9"/>
            <rFont val="宋体"/>
            <charset val="134"/>
          </rPr>
          <t xml:space="preserve">
翻单4500208529</t>
        </r>
      </text>
    </comment>
    <comment ref="V666" authorId="2">
      <text>
        <r>
          <rPr>
            <b/>
            <sz val="9"/>
            <rFont val="宋体"/>
            <charset val="134"/>
          </rPr>
          <t>龙丽娟:</t>
        </r>
        <r>
          <rPr>
            <sz val="9"/>
            <rFont val="宋体"/>
            <charset val="134"/>
          </rPr>
          <t xml:space="preserve">
7/16 上客供RFID贴纸 17280pcs</t>
        </r>
      </text>
    </comment>
    <comment ref="V667" authorId="2">
      <text>
        <r>
          <rPr>
            <b/>
            <sz val="9"/>
            <rFont val="宋体"/>
            <charset val="134"/>
          </rPr>
          <t>龙丽娟:</t>
        </r>
        <r>
          <rPr>
            <sz val="9"/>
            <rFont val="宋体"/>
            <charset val="134"/>
          </rPr>
          <t xml:space="preserve">
7/16 上客供RFID贴纸 11520pcs</t>
        </r>
      </text>
    </comment>
    <comment ref="V668" authorId="2">
      <text>
        <r>
          <rPr>
            <b/>
            <sz val="9"/>
            <rFont val="宋体"/>
            <charset val="134"/>
          </rPr>
          <t>龙丽娟:</t>
        </r>
        <r>
          <rPr>
            <sz val="9"/>
            <rFont val="宋体"/>
            <charset val="134"/>
          </rPr>
          <t xml:space="preserve">
7/16 上客供RFID贴纸 8640pcs</t>
        </r>
      </text>
    </comment>
    <comment ref="T669" authorId="2">
      <text>
        <r>
          <rPr>
            <b/>
            <sz val="9"/>
            <rFont val="宋体"/>
            <charset val="134"/>
          </rPr>
          <t>龙丽娟:</t>
        </r>
        <r>
          <rPr>
            <sz val="9"/>
            <rFont val="宋体"/>
            <charset val="134"/>
          </rPr>
          <t xml:space="preserve">
1000404 8/7 11520pcs</t>
        </r>
      </text>
    </comment>
    <comment ref="V669" authorId="2">
      <text>
        <r>
          <rPr>
            <b/>
            <sz val="9"/>
            <rFont val="宋体"/>
            <charset val="134"/>
          </rPr>
          <t>龙丽娟:</t>
        </r>
        <r>
          <rPr>
            <sz val="9"/>
            <rFont val="宋体"/>
            <charset val="134"/>
          </rPr>
          <t xml:space="preserve">
7/10 上客供RFID贴纸 11520pcs</t>
        </r>
      </text>
    </comment>
    <comment ref="AX670" authorId="3">
      <text>
        <r>
          <rPr>
            <b/>
            <sz val="9"/>
            <rFont val="宋体"/>
            <charset val="134"/>
          </rPr>
          <t>RR:</t>
        </r>
        <r>
          <rPr>
            <sz val="9"/>
            <rFont val="宋体"/>
            <charset val="134"/>
          </rPr>
          <t xml:space="preserve">
移除21/23号唱片客版收藏指南</t>
        </r>
      </text>
    </comment>
    <comment ref="AX671" authorId="3">
      <text>
        <r>
          <rPr>
            <b/>
            <sz val="9"/>
            <rFont val="宋体"/>
            <charset val="134"/>
          </rPr>
          <t>RR:</t>
        </r>
        <r>
          <rPr>
            <sz val="9"/>
            <rFont val="宋体"/>
            <charset val="134"/>
          </rPr>
          <t xml:space="preserve">
移除21/23号唱片客版收藏指南</t>
        </r>
      </text>
    </comment>
    <comment ref="T677" authorId="2">
      <text>
        <r>
          <rPr>
            <b/>
            <sz val="9"/>
            <rFont val="宋体"/>
            <charset val="134"/>
          </rPr>
          <t>龙丽娟:</t>
        </r>
        <r>
          <rPr>
            <sz val="9"/>
            <rFont val="宋体"/>
            <charset val="134"/>
          </rPr>
          <t xml:space="preserve">
1000409 8/7 2769pcs</t>
        </r>
      </text>
    </comment>
    <comment ref="T678" authorId="2">
      <text>
        <r>
          <rPr>
            <b/>
            <sz val="9"/>
            <rFont val="宋体"/>
            <charset val="0"/>
          </rPr>
          <t>龙丽娟:</t>
        </r>
        <r>
          <rPr>
            <sz val="9"/>
            <rFont val="宋体"/>
            <charset val="0"/>
          </rPr>
          <t xml:space="preserve">
8/8 1000416 1992pcs直走</t>
        </r>
      </text>
    </comment>
    <comment ref="T679" authorId="2">
      <text>
        <r>
          <rPr>
            <b/>
            <sz val="9"/>
            <rFont val="宋体"/>
            <charset val="0"/>
          </rPr>
          <t>龙丽娟:</t>
        </r>
        <r>
          <rPr>
            <sz val="9"/>
            <rFont val="宋体"/>
            <charset val="0"/>
          </rPr>
          <t xml:space="preserve">
8/8 1000414 2928pcs欣泰e4</t>
        </r>
      </text>
    </comment>
    <comment ref="V679" authorId="2">
      <text>
        <r>
          <rPr>
            <b/>
            <sz val="9"/>
            <rFont val="宋体"/>
            <charset val="134"/>
          </rPr>
          <t>龙丽娟:</t>
        </r>
        <r>
          <rPr>
            <sz val="9"/>
            <rFont val="宋体"/>
            <charset val="134"/>
          </rPr>
          <t xml:space="preserve">
7/15上DE/IT警告语/+IT环保标贴纸2928pcs</t>
        </r>
        <r>
          <rPr>
            <b/>
            <sz val="9"/>
            <rFont val="宋体"/>
            <charset val="134"/>
          </rPr>
          <t xml:space="preserve">
龙丽娟:</t>
        </r>
        <r>
          <rPr>
            <sz val="9"/>
            <rFont val="宋体"/>
            <charset val="134"/>
          </rPr>
          <t xml:space="preserve">
7/21收到客供亚马逊外箱贴纸244pcs</t>
        </r>
      </text>
    </comment>
    <comment ref="T680" authorId="2">
      <text>
        <r>
          <rPr>
            <b/>
            <sz val="9"/>
            <rFont val="宋体"/>
            <charset val="134"/>
          </rPr>
          <t>龙丽娟:</t>
        </r>
        <r>
          <rPr>
            <sz val="9"/>
            <rFont val="宋体"/>
            <charset val="134"/>
          </rPr>
          <t xml:space="preserve">
1000409 8/7 208pcs</t>
        </r>
      </text>
    </comment>
    <comment ref="T681" authorId="2">
      <text>
        <r>
          <rPr>
            <b/>
            <sz val="9"/>
            <rFont val="宋体"/>
            <charset val="134"/>
          </rPr>
          <t>龙丽娟:</t>
        </r>
        <r>
          <rPr>
            <sz val="9"/>
            <rFont val="宋体"/>
            <charset val="134"/>
          </rPr>
          <t xml:space="preserve">
1000409 8/7 2782pcs</t>
        </r>
      </text>
    </comment>
    <comment ref="V682" authorId="2">
      <text>
        <r>
          <rPr>
            <b/>
            <sz val="9"/>
            <rFont val="宋体"/>
            <charset val="134"/>
          </rPr>
          <t>龙丽娟:</t>
        </r>
        <r>
          <rPr>
            <sz val="9"/>
            <rFont val="宋体"/>
            <charset val="134"/>
          </rPr>
          <t xml:space="preserve">
7/16上进口商贴纸2430pcs</t>
        </r>
      </text>
    </comment>
    <comment ref="T683" authorId="2">
      <text>
        <r>
          <rPr>
            <b/>
            <sz val="9"/>
            <rFont val="宋体"/>
            <charset val="0"/>
          </rPr>
          <t>龙丽娟:</t>
        </r>
        <r>
          <rPr>
            <sz val="9"/>
            <rFont val="宋体"/>
            <charset val="0"/>
          </rPr>
          <t xml:space="preserve">
8/6 1001547 1000pcs钜顺B3</t>
        </r>
      </text>
    </comment>
    <comment ref="T684" authorId="2">
      <text>
        <r>
          <rPr>
            <b/>
            <sz val="9"/>
            <rFont val="宋体"/>
            <charset val="0"/>
          </rPr>
          <t>龙丽娟:</t>
        </r>
        <r>
          <rPr>
            <sz val="9"/>
            <rFont val="宋体"/>
            <charset val="0"/>
          </rPr>
          <t xml:space="preserve">
8/8 1001512 4000pcs欣泰B4</t>
        </r>
      </text>
    </comment>
    <comment ref="BB687" authorId="3">
      <text>
        <r>
          <rPr>
            <b/>
            <sz val="9"/>
            <rFont val="宋体"/>
            <charset val="134"/>
          </rPr>
          <t>RR:</t>
        </r>
        <r>
          <rPr>
            <sz val="9"/>
            <rFont val="宋体"/>
            <charset val="134"/>
          </rPr>
          <t xml:space="preserve">
客版资料翻单墨西哥单</t>
        </r>
      </text>
    </comment>
    <comment ref="BC687" authorId="3">
      <text>
        <r>
          <rPr>
            <b/>
            <sz val="9"/>
            <rFont val="宋体"/>
            <charset val="134"/>
          </rPr>
          <t>RR:</t>
        </r>
        <r>
          <rPr>
            <sz val="9"/>
            <rFont val="宋体"/>
            <charset val="134"/>
          </rPr>
          <t xml:space="preserve">
客版新资料</t>
        </r>
      </text>
    </comment>
    <comment ref="BD687" authorId="3">
      <text>
        <r>
          <rPr>
            <b/>
            <sz val="9"/>
            <rFont val="宋体"/>
            <charset val="134"/>
          </rPr>
          <t>RR:</t>
        </r>
        <r>
          <rPr>
            <sz val="9"/>
            <rFont val="宋体"/>
            <charset val="134"/>
          </rPr>
          <t xml:space="preserve">
客版资料翻单墨西哥单</t>
        </r>
      </text>
    </comment>
    <comment ref="BE687" authorId="3">
      <text>
        <r>
          <rPr>
            <b/>
            <sz val="9"/>
            <rFont val="宋体"/>
            <charset val="134"/>
          </rPr>
          <t>RR:</t>
        </r>
        <r>
          <rPr>
            <sz val="9"/>
            <rFont val="宋体"/>
            <charset val="134"/>
          </rPr>
          <t xml:space="preserve">
客版新资料</t>
        </r>
      </text>
    </comment>
    <comment ref="BF687" authorId="3">
      <text>
        <r>
          <rPr>
            <b/>
            <sz val="9"/>
            <rFont val="宋体"/>
            <charset val="134"/>
          </rPr>
          <t>RR:</t>
        </r>
        <r>
          <rPr>
            <sz val="9"/>
            <rFont val="宋体"/>
            <charset val="134"/>
          </rPr>
          <t xml:space="preserve">
客版资料翻单墨西哥单</t>
        </r>
      </text>
    </comment>
    <comment ref="T688" authorId="2">
      <text>
        <r>
          <rPr>
            <b/>
            <sz val="9"/>
            <rFont val="宋体"/>
            <charset val="0"/>
          </rPr>
          <t>龙丽娟:</t>
        </r>
        <r>
          <rPr>
            <sz val="9"/>
            <rFont val="宋体"/>
            <charset val="0"/>
          </rPr>
          <t xml:space="preserve">
8/13 1000473 1134PCS</t>
        </r>
      </text>
    </comment>
    <comment ref="BB688" authorId="3">
      <text>
        <r>
          <rPr>
            <b/>
            <sz val="9"/>
            <rFont val="宋体"/>
            <charset val="134"/>
          </rPr>
          <t>RR:</t>
        </r>
        <r>
          <rPr>
            <sz val="9"/>
            <rFont val="宋体"/>
            <charset val="134"/>
          </rPr>
          <t xml:space="preserve">
客版资料翻单墨西哥单</t>
        </r>
      </text>
    </comment>
    <comment ref="BC688" authorId="3">
      <text>
        <r>
          <rPr>
            <b/>
            <sz val="9"/>
            <rFont val="宋体"/>
            <charset val="134"/>
          </rPr>
          <t>RR:</t>
        </r>
        <r>
          <rPr>
            <sz val="9"/>
            <rFont val="宋体"/>
            <charset val="134"/>
          </rPr>
          <t xml:space="preserve">
客版新资料</t>
        </r>
      </text>
    </comment>
    <comment ref="BD688" authorId="3">
      <text>
        <r>
          <rPr>
            <b/>
            <sz val="9"/>
            <rFont val="宋体"/>
            <charset val="134"/>
          </rPr>
          <t>RR:</t>
        </r>
        <r>
          <rPr>
            <sz val="9"/>
            <rFont val="宋体"/>
            <charset val="134"/>
          </rPr>
          <t xml:space="preserve">
客版资料翻单墨西哥单</t>
        </r>
      </text>
    </comment>
    <comment ref="BE688" authorId="3">
      <text>
        <r>
          <rPr>
            <b/>
            <sz val="9"/>
            <rFont val="宋体"/>
            <charset val="134"/>
          </rPr>
          <t>RR:</t>
        </r>
        <r>
          <rPr>
            <sz val="9"/>
            <rFont val="宋体"/>
            <charset val="134"/>
          </rPr>
          <t xml:space="preserve">
客版新资料</t>
        </r>
      </text>
    </comment>
    <comment ref="BF688" authorId="3">
      <text>
        <r>
          <rPr>
            <b/>
            <sz val="9"/>
            <rFont val="宋体"/>
            <charset val="134"/>
          </rPr>
          <t>RR:</t>
        </r>
        <r>
          <rPr>
            <sz val="9"/>
            <rFont val="宋体"/>
            <charset val="134"/>
          </rPr>
          <t xml:space="preserve">
客版资料翻单墨西哥单</t>
        </r>
      </text>
    </comment>
    <comment ref="V689" authorId="2">
      <text>
        <r>
          <rPr>
            <b/>
            <sz val="9"/>
            <rFont val="宋体"/>
            <charset val="134"/>
          </rPr>
          <t>龙丽娟:</t>
        </r>
        <r>
          <rPr>
            <sz val="9"/>
            <rFont val="宋体"/>
            <charset val="134"/>
          </rPr>
          <t xml:space="preserve">
7/15上DE/IT警告语/+IT环保标贴纸1008pcs</t>
        </r>
      </text>
    </comment>
    <comment ref="T690" authorId="2">
      <text>
        <r>
          <rPr>
            <b/>
            <sz val="9"/>
            <rFont val="宋体"/>
            <charset val="0"/>
          </rPr>
          <t>龙丽娟:</t>
        </r>
        <r>
          <rPr>
            <sz val="9"/>
            <rFont val="宋体"/>
            <charset val="0"/>
          </rPr>
          <t xml:space="preserve">
8/12 1001449  13988pcs欣泰D4</t>
        </r>
      </text>
    </comment>
    <comment ref="V690" authorId="2">
      <text>
        <r>
          <rPr>
            <b/>
            <sz val="9"/>
            <rFont val="宋体"/>
            <charset val="134"/>
          </rPr>
          <t>龙丽娟:</t>
        </r>
        <r>
          <rPr>
            <sz val="9"/>
            <rFont val="宋体"/>
            <charset val="134"/>
          </rPr>
          <t xml:space="preserve">
7/6上进口商/UPC贴纸各15028pcs</t>
        </r>
      </text>
    </comment>
    <comment ref="V698" authorId="2">
      <text>
        <r>
          <rPr>
            <b/>
            <sz val="9"/>
            <rFont val="宋体"/>
            <charset val="134"/>
          </rPr>
          <t>龙丽娟:</t>
        </r>
        <r>
          <rPr>
            <sz val="9"/>
            <rFont val="宋体"/>
            <charset val="134"/>
          </rPr>
          <t xml:space="preserve">
7/21上kmart外箱贴纸31pcs</t>
        </r>
      </text>
    </comment>
    <comment ref="AX698" authorId="3">
      <text>
        <r>
          <rPr>
            <b/>
            <sz val="9"/>
            <rFont val="宋体"/>
            <charset val="134"/>
          </rPr>
          <t>RR:</t>
        </r>
        <r>
          <rPr>
            <sz val="9"/>
            <rFont val="宋体"/>
            <charset val="134"/>
          </rPr>
          <t xml:space="preserve">
移除21/23号唱片客版收藏指南</t>
        </r>
      </text>
    </comment>
    <comment ref="AX699" authorId="3">
      <text>
        <r>
          <rPr>
            <b/>
            <sz val="9"/>
            <rFont val="宋体"/>
            <charset val="134"/>
          </rPr>
          <t>RR:</t>
        </r>
        <r>
          <rPr>
            <sz val="9"/>
            <rFont val="宋体"/>
            <charset val="134"/>
          </rPr>
          <t xml:space="preserve">
移除21/23号唱片客版收藏指南</t>
        </r>
      </text>
    </comment>
    <comment ref="V700" authorId="2">
      <text>
        <r>
          <rPr>
            <b/>
            <sz val="9"/>
            <rFont val="宋体"/>
            <charset val="134"/>
          </rPr>
          <t>龙丽娟:</t>
        </r>
        <r>
          <rPr>
            <sz val="9"/>
            <rFont val="宋体"/>
            <charset val="134"/>
          </rPr>
          <t xml:space="preserve">
7/16上环保标/IT警告语贴纸4992pcs</t>
        </r>
        <r>
          <rPr>
            <b/>
            <sz val="9"/>
            <rFont val="宋体"/>
            <charset val="134"/>
          </rPr>
          <t xml:space="preserve">
龙丽娟:</t>
        </r>
        <r>
          <rPr>
            <sz val="9"/>
            <rFont val="宋体"/>
            <charset val="134"/>
          </rPr>
          <t xml:space="preserve">
7/21收到客供亚马逊外箱贴纸416pcs</t>
        </r>
      </text>
    </comment>
    <comment ref="AW700" authorId="3">
      <text>
        <r>
          <rPr>
            <sz val="9"/>
            <rFont val="宋体"/>
            <charset val="134"/>
          </rPr>
          <t>RR:
新资料</t>
        </r>
        <r>
          <rPr>
            <b/>
            <sz val="9"/>
            <rFont val="宋体"/>
            <charset val="134"/>
          </rPr>
          <t xml:space="preserve">
陈龙:</t>
        </r>
        <r>
          <rPr>
            <sz val="9"/>
            <rFont val="宋体"/>
            <charset val="134"/>
          </rPr>
          <t xml:space="preserve">
翻单4500208529</t>
        </r>
      </text>
    </comment>
    <comment ref="V701" authorId="2">
      <text>
        <r>
          <rPr>
            <b/>
            <sz val="9"/>
            <rFont val="宋体"/>
            <charset val="134"/>
          </rPr>
          <t>龙丽娟:</t>
        </r>
        <r>
          <rPr>
            <sz val="9"/>
            <rFont val="宋体"/>
            <charset val="134"/>
          </rPr>
          <t xml:space="preserve">
7/16上环保标/IT警告语贴纸2016pcs</t>
        </r>
        <r>
          <rPr>
            <b/>
            <sz val="9"/>
            <rFont val="宋体"/>
            <charset val="134"/>
          </rPr>
          <t xml:space="preserve">
龙丽娟:</t>
        </r>
        <r>
          <rPr>
            <sz val="9"/>
            <rFont val="宋体"/>
            <charset val="134"/>
          </rPr>
          <t xml:space="preserve">
7/21收到客供亚马逊外箱贴纸168pcs</t>
        </r>
      </text>
    </comment>
    <comment ref="AW701" authorId="3">
      <text>
        <r>
          <rPr>
            <sz val="9"/>
            <rFont val="宋体"/>
            <charset val="134"/>
          </rPr>
          <t>RR:
新资料</t>
        </r>
        <r>
          <rPr>
            <b/>
            <sz val="9"/>
            <rFont val="宋体"/>
            <charset val="134"/>
          </rPr>
          <t xml:space="preserve">
陈龙:</t>
        </r>
        <r>
          <rPr>
            <sz val="9"/>
            <rFont val="宋体"/>
            <charset val="134"/>
          </rPr>
          <t xml:space="preserve">
翻单4500208529</t>
        </r>
      </text>
    </comment>
    <comment ref="V702" authorId="2">
      <text>
        <r>
          <rPr>
            <b/>
            <sz val="9"/>
            <rFont val="宋体"/>
            <charset val="134"/>
          </rPr>
          <t>龙丽娟:</t>
        </r>
        <r>
          <rPr>
            <sz val="9"/>
            <rFont val="宋体"/>
            <charset val="134"/>
          </rPr>
          <t xml:space="preserve">
7/16上环保标/IT警告语贴纸10392pcs</t>
        </r>
        <r>
          <rPr>
            <b/>
            <sz val="9"/>
            <rFont val="宋体"/>
            <charset val="134"/>
          </rPr>
          <t xml:space="preserve">
龙丽娟:</t>
        </r>
        <r>
          <rPr>
            <sz val="9"/>
            <rFont val="宋体"/>
            <charset val="134"/>
          </rPr>
          <t xml:space="preserve">
7/21收到客供亚马逊外箱贴纸866pcs</t>
        </r>
      </text>
    </comment>
    <comment ref="AW702" authorId="3">
      <text>
        <r>
          <rPr>
            <sz val="9"/>
            <rFont val="宋体"/>
            <charset val="134"/>
          </rPr>
          <t>RR:
新资料</t>
        </r>
        <r>
          <rPr>
            <b/>
            <sz val="9"/>
            <rFont val="宋体"/>
            <charset val="134"/>
          </rPr>
          <t xml:space="preserve">
陈龙:</t>
        </r>
        <r>
          <rPr>
            <sz val="9"/>
            <rFont val="宋体"/>
            <charset val="134"/>
          </rPr>
          <t xml:space="preserve">
翻单4500208529</t>
        </r>
      </text>
    </comment>
    <comment ref="V703" authorId="2">
      <text>
        <r>
          <rPr>
            <b/>
            <sz val="9"/>
            <rFont val="宋体"/>
            <charset val="134"/>
          </rPr>
          <t>龙丽娟:</t>
        </r>
        <r>
          <rPr>
            <sz val="9"/>
            <rFont val="宋体"/>
            <charset val="134"/>
          </rPr>
          <t xml:space="preserve">
7/16上环保标/IT警告语贴纸3972pcs</t>
        </r>
        <r>
          <rPr>
            <b/>
            <sz val="9"/>
            <rFont val="宋体"/>
            <charset val="134"/>
          </rPr>
          <t xml:space="preserve">
龙丽娟:</t>
        </r>
        <r>
          <rPr>
            <sz val="9"/>
            <rFont val="宋体"/>
            <charset val="134"/>
          </rPr>
          <t xml:space="preserve">
7/21收到客供亚马逊外箱贴纸331pcs</t>
        </r>
      </text>
    </comment>
    <comment ref="AW703" authorId="3">
      <text>
        <r>
          <rPr>
            <sz val="9"/>
            <rFont val="宋体"/>
            <charset val="134"/>
          </rPr>
          <t>RR:
新资料</t>
        </r>
        <r>
          <rPr>
            <b/>
            <sz val="9"/>
            <rFont val="宋体"/>
            <charset val="134"/>
          </rPr>
          <t xml:space="preserve">
陈龙:</t>
        </r>
        <r>
          <rPr>
            <sz val="9"/>
            <rFont val="宋体"/>
            <charset val="134"/>
          </rPr>
          <t xml:space="preserve">
翻单4500208529</t>
        </r>
      </text>
    </comment>
    <comment ref="V704" authorId="2">
      <text>
        <r>
          <rPr>
            <b/>
            <sz val="9"/>
            <rFont val="宋体"/>
            <charset val="134"/>
          </rPr>
          <t>龙丽娟:</t>
        </r>
        <r>
          <rPr>
            <sz val="9"/>
            <rFont val="宋体"/>
            <charset val="134"/>
          </rPr>
          <t xml:space="preserve">
7/16上环保标/IT警告语贴纸3480pcs</t>
        </r>
        <r>
          <rPr>
            <b/>
            <sz val="9"/>
            <rFont val="宋体"/>
            <charset val="134"/>
          </rPr>
          <t xml:space="preserve">
龙丽娟:</t>
        </r>
        <r>
          <rPr>
            <sz val="9"/>
            <rFont val="宋体"/>
            <charset val="134"/>
          </rPr>
          <t xml:space="preserve">
7/21收到客供亚马逊外箱贴纸290pcs</t>
        </r>
      </text>
    </comment>
    <comment ref="AW704" authorId="3">
      <text>
        <r>
          <rPr>
            <sz val="9"/>
            <rFont val="宋体"/>
            <charset val="134"/>
          </rPr>
          <t>RR:
新资料</t>
        </r>
        <r>
          <rPr>
            <b/>
            <sz val="9"/>
            <rFont val="宋体"/>
            <charset val="134"/>
          </rPr>
          <t xml:space="preserve">
陈龙:</t>
        </r>
        <r>
          <rPr>
            <sz val="9"/>
            <rFont val="宋体"/>
            <charset val="134"/>
          </rPr>
          <t xml:space="preserve">
翻单4500208529</t>
        </r>
      </text>
    </comment>
    <comment ref="V705" authorId="2">
      <text>
        <r>
          <rPr>
            <b/>
            <sz val="9"/>
            <rFont val="宋体"/>
            <charset val="134"/>
          </rPr>
          <t>龙丽娟:</t>
        </r>
        <r>
          <rPr>
            <sz val="9"/>
            <rFont val="宋体"/>
            <charset val="134"/>
          </rPr>
          <t xml:space="preserve">
7/16上进口商贴纸2500pcs</t>
        </r>
      </text>
    </comment>
    <comment ref="T706" authorId="2">
      <text>
        <r>
          <rPr>
            <b/>
            <sz val="9"/>
            <rFont val="宋体"/>
            <charset val="0"/>
          </rPr>
          <t>龙丽娟:</t>
        </r>
        <r>
          <rPr>
            <sz val="9"/>
            <rFont val="宋体"/>
            <charset val="0"/>
          </rPr>
          <t xml:space="preserve">
8/13 1001456 61125pcs</t>
        </r>
        <r>
          <rPr>
            <b/>
            <sz val="9"/>
            <rFont val="宋体"/>
            <charset val="0"/>
          </rPr>
          <t xml:space="preserve">
龙丽娟:</t>
        </r>
        <r>
          <rPr>
            <sz val="9"/>
            <rFont val="宋体"/>
            <charset val="0"/>
          </rPr>
          <t xml:space="preserve">
8/13 1001437 14650pcs</t>
        </r>
      </text>
    </comment>
    <comment ref="BB714" authorId="3">
      <text>
        <r>
          <rPr>
            <b/>
            <sz val="9"/>
            <rFont val="宋体"/>
            <charset val="134"/>
          </rPr>
          <t>RR:</t>
        </r>
        <r>
          <rPr>
            <sz val="9"/>
            <rFont val="宋体"/>
            <charset val="134"/>
          </rPr>
          <t xml:space="preserve">
客版资料翻单墨西哥单</t>
        </r>
      </text>
    </comment>
    <comment ref="BC714" authorId="3">
      <text>
        <r>
          <rPr>
            <b/>
            <sz val="9"/>
            <rFont val="宋体"/>
            <charset val="134"/>
          </rPr>
          <t>RR:</t>
        </r>
        <r>
          <rPr>
            <sz val="9"/>
            <rFont val="宋体"/>
            <charset val="134"/>
          </rPr>
          <t xml:space="preserve">
客版新资料</t>
        </r>
      </text>
    </comment>
    <comment ref="BD714" authorId="3">
      <text>
        <r>
          <rPr>
            <b/>
            <sz val="9"/>
            <rFont val="宋体"/>
            <charset val="134"/>
          </rPr>
          <t>RR:</t>
        </r>
        <r>
          <rPr>
            <sz val="9"/>
            <rFont val="宋体"/>
            <charset val="134"/>
          </rPr>
          <t xml:space="preserve">
客版资料翻单墨西哥单</t>
        </r>
      </text>
    </comment>
    <comment ref="BE714" authorId="3">
      <text>
        <r>
          <rPr>
            <b/>
            <sz val="9"/>
            <rFont val="宋体"/>
            <charset val="134"/>
          </rPr>
          <t>RR:</t>
        </r>
        <r>
          <rPr>
            <sz val="9"/>
            <rFont val="宋体"/>
            <charset val="134"/>
          </rPr>
          <t xml:space="preserve">
客版新资料</t>
        </r>
      </text>
    </comment>
    <comment ref="BF714" authorId="3">
      <text>
        <r>
          <rPr>
            <b/>
            <sz val="9"/>
            <rFont val="宋体"/>
            <charset val="134"/>
          </rPr>
          <t>RR:</t>
        </r>
        <r>
          <rPr>
            <sz val="9"/>
            <rFont val="宋体"/>
            <charset val="134"/>
          </rPr>
          <t xml:space="preserve">
客版资料翻单墨西哥单</t>
        </r>
      </text>
    </comment>
    <comment ref="BB715" authorId="3">
      <text>
        <r>
          <rPr>
            <b/>
            <sz val="9"/>
            <rFont val="宋体"/>
            <charset val="134"/>
          </rPr>
          <t>RR:</t>
        </r>
        <r>
          <rPr>
            <sz val="9"/>
            <rFont val="宋体"/>
            <charset val="134"/>
          </rPr>
          <t xml:space="preserve">
客版资料翻单墨西哥单</t>
        </r>
      </text>
    </comment>
    <comment ref="BC715" authorId="3">
      <text>
        <r>
          <rPr>
            <b/>
            <sz val="9"/>
            <rFont val="宋体"/>
            <charset val="134"/>
          </rPr>
          <t>RR:</t>
        </r>
        <r>
          <rPr>
            <sz val="9"/>
            <rFont val="宋体"/>
            <charset val="134"/>
          </rPr>
          <t xml:space="preserve">
客版新资料</t>
        </r>
      </text>
    </comment>
    <comment ref="BD715" authorId="3">
      <text>
        <r>
          <rPr>
            <b/>
            <sz val="9"/>
            <rFont val="宋体"/>
            <charset val="134"/>
          </rPr>
          <t>RR:</t>
        </r>
        <r>
          <rPr>
            <sz val="9"/>
            <rFont val="宋体"/>
            <charset val="134"/>
          </rPr>
          <t xml:space="preserve">
客版资料翻单墨西哥单</t>
        </r>
      </text>
    </comment>
    <comment ref="BE715" authorId="3">
      <text>
        <r>
          <rPr>
            <b/>
            <sz val="9"/>
            <rFont val="宋体"/>
            <charset val="134"/>
          </rPr>
          <t>RR:</t>
        </r>
        <r>
          <rPr>
            <sz val="9"/>
            <rFont val="宋体"/>
            <charset val="134"/>
          </rPr>
          <t xml:space="preserve">
客版新资料</t>
        </r>
      </text>
    </comment>
    <comment ref="BF715" authorId="3">
      <text>
        <r>
          <rPr>
            <b/>
            <sz val="9"/>
            <rFont val="宋体"/>
            <charset val="134"/>
          </rPr>
          <t>RR:</t>
        </r>
        <r>
          <rPr>
            <sz val="9"/>
            <rFont val="宋体"/>
            <charset val="134"/>
          </rPr>
          <t xml:space="preserve">
客版资料翻单墨西哥单</t>
        </r>
      </text>
    </comment>
    <comment ref="BB716" authorId="3">
      <text>
        <r>
          <rPr>
            <b/>
            <sz val="9"/>
            <rFont val="宋体"/>
            <charset val="134"/>
          </rPr>
          <t>RR:</t>
        </r>
        <r>
          <rPr>
            <sz val="9"/>
            <rFont val="宋体"/>
            <charset val="134"/>
          </rPr>
          <t xml:space="preserve">
客版资料翻单墨西哥单</t>
        </r>
      </text>
    </comment>
    <comment ref="BC716" authorId="3">
      <text>
        <r>
          <rPr>
            <b/>
            <sz val="9"/>
            <rFont val="宋体"/>
            <charset val="134"/>
          </rPr>
          <t>RR:</t>
        </r>
        <r>
          <rPr>
            <sz val="9"/>
            <rFont val="宋体"/>
            <charset val="134"/>
          </rPr>
          <t xml:space="preserve">
客版新资料</t>
        </r>
      </text>
    </comment>
    <comment ref="BD716" authorId="3">
      <text>
        <r>
          <rPr>
            <b/>
            <sz val="9"/>
            <rFont val="宋体"/>
            <charset val="134"/>
          </rPr>
          <t>RR:</t>
        </r>
        <r>
          <rPr>
            <sz val="9"/>
            <rFont val="宋体"/>
            <charset val="134"/>
          </rPr>
          <t xml:space="preserve">
客版资料翻单墨西哥单</t>
        </r>
      </text>
    </comment>
    <comment ref="BE716" authorId="3">
      <text>
        <r>
          <rPr>
            <b/>
            <sz val="9"/>
            <rFont val="宋体"/>
            <charset val="134"/>
          </rPr>
          <t>RR:</t>
        </r>
        <r>
          <rPr>
            <sz val="9"/>
            <rFont val="宋体"/>
            <charset val="134"/>
          </rPr>
          <t xml:space="preserve">
客版新资料</t>
        </r>
      </text>
    </comment>
    <comment ref="BF716" authorId="3">
      <text>
        <r>
          <rPr>
            <b/>
            <sz val="9"/>
            <rFont val="宋体"/>
            <charset val="134"/>
          </rPr>
          <t>RR:</t>
        </r>
        <r>
          <rPr>
            <sz val="9"/>
            <rFont val="宋体"/>
            <charset val="134"/>
          </rPr>
          <t xml:space="preserve">
客版资料翻单墨西哥单</t>
        </r>
      </text>
    </comment>
    <comment ref="V717" authorId="2">
      <text>
        <r>
          <rPr>
            <b/>
            <sz val="9"/>
            <rFont val="宋体"/>
            <charset val="134"/>
          </rPr>
          <t>龙丽娟:</t>
        </r>
        <r>
          <rPr>
            <sz val="9"/>
            <rFont val="宋体"/>
            <charset val="134"/>
          </rPr>
          <t xml:space="preserve">
7/16 上客供RFID贴纸 13440pcs</t>
        </r>
      </text>
    </comment>
    <comment ref="V718" authorId="2">
      <text>
        <r>
          <rPr>
            <b/>
            <sz val="9"/>
            <rFont val="宋体"/>
            <charset val="134"/>
          </rPr>
          <t>龙丽娟:</t>
        </r>
        <r>
          <rPr>
            <sz val="9"/>
            <rFont val="宋体"/>
            <charset val="134"/>
          </rPr>
          <t xml:space="preserve">
7/16 上客供RFID贴纸 13440pcs</t>
        </r>
      </text>
    </comment>
    <comment ref="V719" authorId="2">
      <text>
        <r>
          <rPr>
            <b/>
            <sz val="9"/>
            <rFont val="宋体"/>
            <charset val="134"/>
          </rPr>
          <t>龙丽娟:</t>
        </r>
        <r>
          <rPr>
            <sz val="9"/>
            <rFont val="宋体"/>
            <charset val="134"/>
          </rPr>
          <t xml:space="preserve">
7/16 上客供RFID贴纸 18240pcs</t>
        </r>
      </text>
    </comment>
    <comment ref="V720" authorId="2">
      <text>
        <r>
          <rPr>
            <b/>
            <sz val="9"/>
            <rFont val="宋体"/>
            <charset val="134"/>
          </rPr>
          <t>龙丽娟:</t>
        </r>
        <r>
          <rPr>
            <sz val="9"/>
            <rFont val="宋体"/>
            <charset val="134"/>
          </rPr>
          <t xml:space="preserve">
7/16 上客供RFID贴纸 10560pcs</t>
        </r>
      </text>
    </comment>
    <comment ref="V721" authorId="2">
      <text>
        <r>
          <rPr>
            <b/>
            <sz val="9"/>
            <rFont val="宋体"/>
            <charset val="134"/>
          </rPr>
          <t>龙丽娟:</t>
        </r>
        <r>
          <rPr>
            <sz val="9"/>
            <rFont val="宋体"/>
            <charset val="134"/>
          </rPr>
          <t xml:space="preserve">
7/16 上客供RFID贴纸 19200pcs</t>
        </r>
      </text>
    </comment>
    <comment ref="T722" authorId="2">
      <text>
        <r>
          <rPr>
            <b/>
            <sz val="9"/>
            <rFont val="宋体"/>
            <charset val="0"/>
          </rPr>
          <t>龙丽娟:</t>
        </r>
        <r>
          <rPr>
            <sz val="9"/>
            <rFont val="宋体"/>
            <charset val="0"/>
          </rPr>
          <t xml:space="preserve">
8/8 1000418 1200pcsb4-a2</t>
        </r>
      </text>
    </comment>
    <comment ref="T724" authorId="2">
      <text>
        <r>
          <rPr>
            <b/>
            <sz val="9"/>
            <rFont val="宋体"/>
            <charset val="0"/>
          </rPr>
          <t>龙丽娟:</t>
        </r>
        <r>
          <rPr>
            <sz val="9"/>
            <rFont val="宋体"/>
            <charset val="0"/>
          </rPr>
          <t xml:space="preserve">
8/12 1001453 8060pcs</t>
        </r>
      </text>
    </comment>
    <comment ref="T725" authorId="2">
      <text>
        <r>
          <rPr>
            <b/>
            <sz val="9"/>
            <rFont val="宋体"/>
            <charset val="0"/>
          </rPr>
          <t>龙丽娟:</t>
        </r>
        <r>
          <rPr>
            <sz val="9"/>
            <rFont val="宋体"/>
            <charset val="0"/>
          </rPr>
          <t xml:space="preserve">
8/12 1001453 8060pcs</t>
        </r>
      </text>
    </comment>
    <comment ref="V726" authorId="2">
      <text>
        <r>
          <rPr>
            <b/>
            <sz val="9"/>
            <rFont val="宋体"/>
            <charset val="134"/>
          </rPr>
          <t>龙丽娟:</t>
        </r>
        <r>
          <rPr>
            <sz val="9"/>
            <rFont val="宋体"/>
            <charset val="134"/>
          </rPr>
          <t xml:space="preserve">
7/6上空白贴纸5520pcs</t>
        </r>
      </text>
    </comment>
    <comment ref="V727" authorId="2">
      <text>
        <r>
          <rPr>
            <b/>
            <sz val="9"/>
            <rFont val="宋体"/>
            <charset val="134"/>
          </rPr>
          <t>龙丽娟:</t>
        </r>
        <r>
          <rPr>
            <sz val="9"/>
            <rFont val="宋体"/>
            <charset val="134"/>
          </rPr>
          <t xml:space="preserve">
7/6上空白贴纸5520pcs</t>
        </r>
      </text>
    </comment>
    <comment ref="V728" authorId="2">
      <text>
        <r>
          <rPr>
            <b/>
            <sz val="9"/>
            <rFont val="宋体"/>
            <charset val="134"/>
          </rPr>
          <t>龙丽娟:</t>
        </r>
        <r>
          <rPr>
            <sz val="9"/>
            <rFont val="宋体"/>
            <charset val="134"/>
          </rPr>
          <t xml:space="preserve">
7/6上空白贴纸5520pcs</t>
        </r>
      </text>
    </comment>
    <comment ref="V729" authorId="2">
      <text>
        <r>
          <rPr>
            <b/>
            <sz val="9"/>
            <rFont val="宋体"/>
            <charset val="134"/>
          </rPr>
          <t>龙丽娟:</t>
        </r>
        <r>
          <rPr>
            <sz val="9"/>
            <rFont val="宋体"/>
            <charset val="134"/>
          </rPr>
          <t xml:space="preserve">
7/6上空白贴纸5520pcs</t>
        </r>
      </text>
    </comment>
    <comment ref="T730" authorId="2">
      <text>
        <r>
          <rPr>
            <b/>
            <sz val="9"/>
            <rFont val="宋体"/>
            <charset val="0"/>
          </rPr>
          <t>龙丽娟:</t>
        </r>
        <r>
          <rPr>
            <sz val="9"/>
            <rFont val="宋体"/>
            <charset val="0"/>
          </rPr>
          <t xml:space="preserve">
8/10 1001496 13872pcs欣泰A7</t>
        </r>
      </text>
    </comment>
    <comment ref="T731" authorId="2">
      <text>
        <r>
          <rPr>
            <b/>
            <sz val="9"/>
            <rFont val="宋体"/>
            <charset val="134"/>
          </rPr>
          <t>龙丽娟:</t>
        </r>
        <r>
          <rPr>
            <sz val="9"/>
            <rFont val="宋体"/>
            <charset val="134"/>
          </rPr>
          <t xml:space="preserve">
8/4 1001552 5268PCS馥通B2</t>
        </r>
      </text>
    </comment>
    <comment ref="T732" authorId="2">
      <text>
        <r>
          <rPr>
            <b/>
            <sz val="9"/>
            <rFont val="宋体"/>
            <charset val="134"/>
          </rPr>
          <t>龙丽娟:</t>
        </r>
        <r>
          <rPr>
            <sz val="9"/>
            <rFont val="宋体"/>
            <charset val="134"/>
          </rPr>
          <t xml:space="preserve">
8/4 1001552 5808PCS馥通D4</t>
        </r>
      </text>
    </comment>
    <comment ref="BB744" authorId="3">
      <text>
        <r>
          <rPr>
            <b/>
            <sz val="9"/>
            <rFont val="宋体"/>
            <charset val="134"/>
          </rPr>
          <t>RR:</t>
        </r>
        <r>
          <rPr>
            <sz val="9"/>
            <rFont val="宋体"/>
            <charset val="134"/>
          </rPr>
          <t xml:space="preserve">
客版资料翻单墨西哥单</t>
        </r>
      </text>
    </comment>
    <comment ref="BC744" authorId="3">
      <text>
        <r>
          <rPr>
            <b/>
            <sz val="9"/>
            <rFont val="宋体"/>
            <charset val="134"/>
          </rPr>
          <t>RR:</t>
        </r>
        <r>
          <rPr>
            <sz val="9"/>
            <rFont val="宋体"/>
            <charset val="134"/>
          </rPr>
          <t xml:space="preserve">
客版新资料</t>
        </r>
      </text>
    </comment>
    <comment ref="BD744" authorId="3">
      <text>
        <r>
          <rPr>
            <b/>
            <sz val="9"/>
            <rFont val="宋体"/>
            <charset val="134"/>
          </rPr>
          <t>RR:</t>
        </r>
        <r>
          <rPr>
            <sz val="9"/>
            <rFont val="宋体"/>
            <charset val="134"/>
          </rPr>
          <t xml:space="preserve">
客版资料翻单墨西哥单</t>
        </r>
      </text>
    </comment>
    <comment ref="BE744" authorId="3">
      <text>
        <r>
          <rPr>
            <b/>
            <sz val="9"/>
            <rFont val="宋体"/>
            <charset val="134"/>
          </rPr>
          <t>RR:</t>
        </r>
        <r>
          <rPr>
            <sz val="9"/>
            <rFont val="宋体"/>
            <charset val="134"/>
          </rPr>
          <t xml:space="preserve">
客版新资料</t>
        </r>
      </text>
    </comment>
    <comment ref="BF744" authorId="3">
      <text>
        <r>
          <rPr>
            <b/>
            <sz val="9"/>
            <rFont val="宋体"/>
            <charset val="134"/>
          </rPr>
          <t>RR:</t>
        </r>
        <r>
          <rPr>
            <sz val="9"/>
            <rFont val="宋体"/>
            <charset val="134"/>
          </rPr>
          <t xml:space="preserve">
客版资料翻单墨西哥单</t>
        </r>
      </text>
    </comment>
    <comment ref="T749" authorId="2">
      <text>
        <r>
          <rPr>
            <b/>
            <sz val="9"/>
            <rFont val="宋体"/>
            <charset val="0"/>
          </rPr>
          <t>龙丽娟:</t>
        </r>
        <r>
          <rPr>
            <sz val="9"/>
            <rFont val="宋体"/>
            <charset val="0"/>
          </rPr>
          <t xml:space="preserve">
2801403 8/6 3300pcs钜顺B4</t>
        </r>
      </text>
    </comment>
    <comment ref="V763" authorId="2">
      <text>
        <r>
          <rPr>
            <b/>
            <sz val="9"/>
            <rFont val="宋体"/>
            <charset val="134"/>
          </rPr>
          <t>龙丽娟:</t>
        </r>
        <r>
          <rPr>
            <sz val="9"/>
            <rFont val="宋体"/>
            <charset val="134"/>
          </rPr>
          <t xml:space="preserve">
7/16 收到客供外箱贴纸 29pcs</t>
        </r>
      </text>
    </comment>
    <comment ref="V765" authorId="2">
      <text>
        <r>
          <rPr>
            <b/>
            <sz val="9"/>
            <rFont val="宋体"/>
            <charset val="134"/>
          </rPr>
          <t>龙丽娟:</t>
        </r>
        <r>
          <rPr>
            <sz val="9"/>
            <rFont val="宋体"/>
            <charset val="134"/>
          </rPr>
          <t xml:space="preserve">
7/16 收到客供外箱贴纸 33pcs</t>
        </r>
      </text>
    </comment>
    <comment ref="V767" authorId="2">
      <text>
        <r>
          <rPr>
            <b/>
            <sz val="9"/>
            <rFont val="宋体"/>
            <charset val="134"/>
          </rPr>
          <t>龙丽娟:</t>
        </r>
        <r>
          <rPr>
            <sz val="9"/>
            <rFont val="宋体"/>
            <charset val="134"/>
          </rPr>
          <t xml:space="preserve">
7/16 收到客供外箱贴纸 22pcs</t>
        </r>
      </text>
    </comment>
    <comment ref="V768" authorId="2">
      <text>
        <r>
          <rPr>
            <b/>
            <sz val="9"/>
            <rFont val="宋体"/>
            <charset val="134"/>
          </rPr>
          <t>龙丽娟:</t>
        </r>
        <r>
          <rPr>
            <sz val="9"/>
            <rFont val="宋体"/>
            <charset val="134"/>
          </rPr>
          <t xml:space="preserve">
7/20上进口商贴纸690pcs</t>
        </r>
      </text>
    </comment>
    <comment ref="V769" authorId="2">
      <text>
        <r>
          <rPr>
            <b/>
            <sz val="9"/>
            <rFont val="宋体"/>
            <charset val="134"/>
          </rPr>
          <t>龙丽娟:</t>
        </r>
        <r>
          <rPr>
            <sz val="9"/>
            <rFont val="宋体"/>
            <charset val="134"/>
          </rPr>
          <t xml:space="preserve">
7/20上进口商贴纸690pcs</t>
        </r>
      </text>
    </comment>
    <comment ref="V770" authorId="2">
      <text>
        <r>
          <rPr>
            <b/>
            <sz val="9"/>
            <rFont val="宋体"/>
            <charset val="134"/>
          </rPr>
          <t>龙丽娟:</t>
        </r>
        <r>
          <rPr>
            <sz val="9"/>
            <rFont val="宋体"/>
            <charset val="134"/>
          </rPr>
          <t xml:space="preserve">
7/20上进口商贴纸690pcs</t>
        </r>
      </text>
    </comment>
    <comment ref="V780" authorId="2">
      <text>
        <r>
          <rPr>
            <b/>
            <sz val="9"/>
            <rFont val="宋体"/>
            <charset val="134"/>
          </rPr>
          <t>龙丽娟:</t>
        </r>
        <r>
          <rPr>
            <sz val="9"/>
            <rFont val="宋体"/>
            <charset val="134"/>
          </rPr>
          <t xml:space="preserve">
7/16 上客供RFID贴纸 14400pcs</t>
        </r>
      </text>
    </comment>
    <comment ref="V796" authorId="2">
      <text>
        <r>
          <rPr>
            <b/>
            <sz val="9"/>
            <rFont val="宋体"/>
            <charset val="134"/>
          </rPr>
          <t>龙丽娟:</t>
        </r>
        <r>
          <rPr>
            <sz val="9"/>
            <rFont val="宋体"/>
            <charset val="134"/>
          </rPr>
          <t xml:space="preserve">
7/16 上客供RFID贴纸 25920pcs</t>
        </r>
      </text>
    </comment>
    <comment ref="V797" authorId="2">
      <text>
        <r>
          <rPr>
            <b/>
            <sz val="9"/>
            <rFont val="宋体"/>
            <charset val="134"/>
          </rPr>
          <t>龙丽娟:</t>
        </r>
        <r>
          <rPr>
            <sz val="9"/>
            <rFont val="宋体"/>
            <charset val="134"/>
          </rPr>
          <t xml:space="preserve">
7/16 上客供RFID贴纸 28800pcs</t>
        </r>
      </text>
    </comment>
    <comment ref="AR801" authorId="2">
      <text>
        <r>
          <rPr>
            <b/>
            <sz val="9"/>
            <rFont val="宋体"/>
            <charset val="134"/>
          </rPr>
          <t>陈龙:</t>
        </r>
        <r>
          <rPr>
            <sz val="9"/>
            <rFont val="宋体"/>
            <charset val="134"/>
          </rPr>
          <t xml:space="preserve">
客版无条码新资料</t>
        </r>
      </text>
    </comment>
    <comment ref="BB816" authorId="3">
      <text>
        <r>
          <rPr>
            <b/>
            <sz val="9"/>
            <rFont val="宋体"/>
            <charset val="134"/>
          </rPr>
          <t>RR:</t>
        </r>
        <r>
          <rPr>
            <sz val="9"/>
            <rFont val="宋体"/>
            <charset val="134"/>
          </rPr>
          <t xml:space="preserve">
客版资料翻单墨西哥单</t>
        </r>
      </text>
    </comment>
    <comment ref="BC816" authorId="3">
      <text>
        <r>
          <rPr>
            <b/>
            <sz val="9"/>
            <rFont val="宋体"/>
            <charset val="134"/>
          </rPr>
          <t>RR:</t>
        </r>
        <r>
          <rPr>
            <sz val="9"/>
            <rFont val="宋体"/>
            <charset val="134"/>
          </rPr>
          <t xml:space="preserve">
客版新资料</t>
        </r>
      </text>
    </comment>
    <comment ref="BD816" authorId="3">
      <text>
        <r>
          <rPr>
            <b/>
            <sz val="9"/>
            <rFont val="宋体"/>
            <charset val="134"/>
          </rPr>
          <t>RR:</t>
        </r>
        <r>
          <rPr>
            <sz val="9"/>
            <rFont val="宋体"/>
            <charset val="134"/>
          </rPr>
          <t xml:space="preserve">
客版资料翻单墨西哥单</t>
        </r>
      </text>
    </comment>
    <comment ref="BE816" authorId="3">
      <text>
        <r>
          <rPr>
            <b/>
            <sz val="9"/>
            <rFont val="宋体"/>
            <charset val="134"/>
          </rPr>
          <t>RR:</t>
        </r>
        <r>
          <rPr>
            <sz val="9"/>
            <rFont val="宋体"/>
            <charset val="134"/>
          </rPr>
          <t xml:space="preserve">
客版新资料</t>
        </r>
      </text>
    </comment>
    <comment ref="BF816" authorId="3">
      <text>
        <r>
          <rPr>
            <b/>
            <sz val="9"/>
            <rFont val="宋体"/>
            <charset val="134"/>
          </rPr>
          <t>RR:</t>
        </r>
        <r>
          <rPr>
            <sz val="9"/>
            <rFont val="宋体"/>
            <charset val="134"/>
          </rPr>
          <t xml:space="preserve">
客版资料翻单墨西哥单</t>
        </r>
      </text>
    </comment>
    <comment ref="V821" authorId="2">
      <text>
        <r>
          <rPr>
            <b/>
            <sz val="9"/>
            <rFont val="宋体"/>
            <charset val="134"/>
          </rPr>
          <t>龙丽娟:</t>
        </r>
        <r>
          <rPr>
            <sz val="9"/>
            <rFont val="宋体"/>
            <charset val="134"/>
          </rPr>
          <t xml:space="preserve">
7/14上UPC贴纸6400pcs</t>
        </r>
      </text>
    </comment>
    <comment ref="BQ835" authorId="3">
      <text>
        <r>
          <rPr>
            <b/>
            <sz val="9"/>
            <rFont val="宋体"/>
            <charset val="134"/>
          </rPr>
          <t>RR:</t>
        </r>
        <r>
          <rPr>
            <sz val="9"/>
            <rFont val="宋体"/>
            <charset val="134"/>
          </rPr>
          <t xml:space="preserve">
新资料</t>
        </r>
      </text>
    </comment>
    <comment ref="BQ836" authorId="3">
      <text>
        <r>
          <rPr>
            <b/>
            <sz val="9"/>
            <rFont val="宋体"/>
            <charset val="134"/>
          </rPr>
          <t>RR:</t>
        </r>
        <r>
          <rPr>
            <sz val="9"/>
            <rFont val="宋体"/>
            <charset val="134"/>
          </rPr>
          <t xml:space="preserve">
新资料</t>
        </r>
      </text>
    </comment>
    <comment ref="BQ837" authorId="3">
      <text>
        <r>
          <rPr>
            <b/>
            <sz val="9"/>
            <rFont val="宋体"/>
            <charset val="134"/>
          </rPr>
          <t>RR:</t>
        </r>
        <r>
          <rPr>
            <sz val="9"/>
            <rFont val="宋体"/>
            <charset val="134"/>
          </rPr>
          <t xml:space="preserve">
新资料</t>
        </r>
      </text>
    </comment>
    <comment ref="BB849" authorId="3">
      <text>
        <r>
          <rPr>
            <b/>
            <sz val="9"/>
            <rFont val="宋体"/>
            <charset val="134"/>
          </rPr>
          <t>RR:</t>
        </r>
        <r>
          <rPr>
            <sz val="9"/>
            <rFont val="宋体"/>
            <charset val="134"/>
          </rPr>
          <t xml:space="preserve">
客版资料翻单墨西哥单</t>
        </r>
      </text>
    </comment>
    <comment ref="BC849" authorId="3">
      <text>
        <r>
          <rPr>
            <b/>
            <sz val="9"/>
            <rFont val="宋体"/>
            <charset val="134"/>
          </rPr>
          <t>RR:</t>
        </r>
        <r>
          <rPr>
            <sz val="9"/>
            <rFont val="宋体"/>
            <charset val="134"/>
          </rPr>
          <t xml:space="preserve">
客版新资料</t>
        </r>
      </text>
    </comment>
    <comment ref="BD849" authorId="3">
      <text>
        <r>
          <rPr>
            <b/>
            <sz val="9"/>
            <rFont val="宋体"/>
            <charset val="134"/>
          </rPr>
          <t>RR:</t>
        </r>
        <r>
          <rPr>
            <sz val="9"/>
            <rFont val="宋体"/>
            <charset val="134"/>
          </rPr>
          <t xml:space="preserve">
客版资料翻单墨西哥单</t>
        </r>
      </text>
    </comment>
    <comment ref="BE849" authorId="3">
      <text>
        <r>
          <rPr>
            <b/>
            <sz val="9"/>
            <rFont val="宋体"/>
            <charset val="134"/>
          </rPr>
          <t>RR:</t>
        </r>
        <r>
          <rPr>
            <sz val="9"/>
            <rFont val="宋体"/>
            <charset val="134"/>
          </rPr>
          <t xml:space="preserve">
客版新资料</t>
        </r>
      </text>
    </comment>
    <comment ref="BF849" authorId="3">
      <text>
        <r>
          <rPr>
            <b/>
            <sz val="9"/>
            <rFont val="宋体"/>
            <charset val="134"/>
          </rPr>
          <t>RR:</t>
        </r>
        <r>
          <rPr>
            <sz val="9"/>
            <rFont val="宋体"/>
            <charset val="134"/>
          </rPr>
          <t xml:space="preserve">
客版资料翻单墨西哥单</t>
        </r>
      </text>
    </comment>
    <comment ref="BB850" authorId="3">
      <text>
        <r>
          <rPr>
            <b/>
            <sz val="9"/>
            <rFont val="宋体"/>
            <charset val="134"/>
          </rPr>
          <t>RR:</t>
        </r>
        <r>
          <rPr>
            <sz val="9"/>
            <rFont val="宋体"/>
            <charset val="134"/>
          </rPr>
          <t xml:space="preserve">
客版资料翻单墨西哥单</t>
        </r>
      </text>
    </comment>
    <comment ref="BC850" authorId="3">
      <text>
        <r>
          <rPr>
            <b/>
            <sz val="9"/>
            <rFont val="宋体"/>
            <charset val="134"/>
          </rPr>
          <t>RR:</t>
        </r>
        <r>
          <rPr>
            <sz val="9"/>
            <rFont val="宋体"/>
            <charset val="134"/>
          </rPr>
          <t xml:space="preserve">
客版新资料</t>
        </r>
      </text>
    </comment>
    <comment ref="BD850" authorId="3">
      <text>
        <r>
          <rPr>
            <b/>
            <sz val="9"/>
            <rFont val="宋体"/>
            <charset val="134"/>
          </rPr>
          <t>RR:</t>
        </r>
        <r>
          <rPr>
            <sz val="9"/>
            <rFont val="宋体"/>
            <charset val="134"/>
          </rPr>
          <t xml:space="preserve">
客版资料翻单墨西哥单</t>
        </r>
      </text>
    </comment>
    <comment ref="BE850" authorId="3">
      <text>
        <r>
          <rPr>
            <b/>
            <sz val="9"/>
            <rFont val="宋体"/>
            <charset val="134"/>
          </rPr>
          <t>RR:</t>
        </r>
        <r>
          <rPr>
            <sz val="9"/>
            <rFont val="宋体"/>
            <charset val="134"/>
          </rPr>
          <t xml:space="preserve">
客版新资料</t>
        </r>
      </text>
    </comment>
    <comment ref="BF850" authorId="3">
      <text>
        <r>
          <rPr>
            <b/>
            <sz val="9"/>
            <rFont val="宋体"/>
            <charset val="134"/>
          </rPr>
          <t>RR:</t>
        </r>
        <r>
          <rPr>
            <sz val="9"/>
            <rFont val="宋体"/>
            <charset val="134"/>
          </rPr>
          <t xml:space="preserve">
客版资料翻单墨西哥单</t>
        </r>
      </text>
    </comment>
    <comment ref="BB853" authorId="3">
      <text>
        <r>
          <rPr>
            <b/>
            <sz val="9"/>
            <rFont val="宋体"/>
            <charset val="134"/>
          </rPr>
          <t>RR:</t>
        </r>
        <r>
          <rPr>
            <sz val="9"/>
            <rFont val="宋体"/>
            <charset val="134"/>
          </rPr>
          <t xml:space="preserve">
客版资料翻单墨西哥单</t>
        </r>
      </text>
    </comment>
    <comment ref="BC853" authorId="3">
      <text>
        <r>
          <rPr>
            <b/>
            <sz val="9"/>
            <rFont val="宋体"/>
            <charset val="134"/>
          </rPr>
          <t>RR:</t>
        </r>
        <r>
          <rPr>
            <sz val="9"/>
            <rFont val="宋体"/>
            <charset val="134"/>
          </rPr>
          <t xml:space="preserve">
客版新资料</t>
        </r>
      </text>
    </comment>
    <comment ref="BD853" authorId="3">
      <text>
        <r>
          <rPr>
            <b/>
            <sz val="9"/>
            <rFont val="宋体"/>
            <charset val="134"/>
          </rPr>
          <t>RR:</t>
        </r>
        <r>
          <rPr>
            <sz val="9"/>
            <rFont val="宋体"/>
            <charset val="134"/>
          </rPr>
          <t xml:space="preserve">
客版资料翻单墨西哥单</t>
        </r>
      </text>
    </comment>
    <comment ref="BE853" authorId="3">
      <text>
        <r>
          <rPr>
            <b/>
            <sz val="9"/>
            <rFont val="宋体"/>
            <charset val="134"/>
          </rPr>
          <t>RR:</t>
        </r>
        <r>
          <rPr>
            <sz val="9"/>
            <rFont val="宋体"/>
            <charset val="134"/>
          </rPr>
          <t xml:space="preserve">
客版新资料</t>
        </r>
      </text>
    </comment>
    <comment ref="BF853" authorId="3">
      <text>
        <r>
          <rPr>
            <b/>
            <sz val="9"/>
            <rFont val="宋体"/>
            <charset val="134"/>
          </rPr>
          <t>RR:</t>
        </r>
        <r>
          <rPr>
            <sz val="9"/>
            <rFont val="宋体"/>
            <charset val="134"/>
          </rPr>
          <t xml:space="preserve">
客版资料翻单墨西哥单</t>
        </r>
      </text>
    </comment>
    <comment ref="AX899" authorId="3">
      <text>
        <r>
          <rPr>
            <b/>
            <sz val="9"/>
            <rFont val="宋体"/>
            <charset val="134"/>
          </rPr>
          <t>RR:</t>
        </r>
        <r>
          <rPr>
            <sz val="9"/>
            <rFont val="宋体"/>
            <charset val="134"/>
          </rPr>
          <t xml:space="preserve">
移除21/23号唱片客版收藏指南</t>
        </r>
      </text>
    </comment>
    <comment ref="AX900" authorId="3">
      <text>
        <r>
          <rPr>
            <b/>
            <sz val="9"/>
            <rFont val="宋体"/>
            <charset val="134"/>
          </rPr>
          <t>RR:</t>
        </r>
        <r>
          <rPr>
            <sz val="9"/>
            <rFont val="宋体"/>
            <charset val="134"/>
          </rPr>
          <t xml:space="preserve">
移除21/23号唱片客版收藏指南</t>
        </r>
      </text>
    </comment>
    <comment ref="BB913" authorId="3">
      <text>
        <r>
          <rPr>
            <b/>
            <sz val="9"/>
            <rFont val="宋体"/>
            <charset val="134"/>
          </rPr>
          <t>RR:</t>
        </r>
        <r>
          <rPr>
            <sz val="9"/>
            <rFont val="宋体"/>
            <charset val="134"/>
          </rPr>
          <t xml:space="preserve">
客版资料翻单墨西哥单</t>
        </r>
      </text>
    </comment>
    <comment ref="BC913" authorId="3">
      <text>
        <r>
          <rPr>
            <b/>
            <sz val="9"/>
            <rFont val="宋体"/>
            <charset val="134"/>
          </rPr>
          <t>RR:</t>
        </r>
        <r>
          <rPr>
            <sz val="9"/>
            <rFont val="宋体"/>
            <charset val="134"/>
          </rPr>
          <t xml:space="preserve">
客版新资料</t>
        </r>
      </text>
    </comment>
    <comment ref="BD913" authorId="3">
      <text>
        <r>
          <rPr>
            <b/>
            <sz val="9"/>
            <rFont val="宋体"/>
            <charset val="134"/>
          </rPr>
          <t>RR:</t>
        </r>
        <r>
          <rPr>
            <sz val="9"/>
            <rFont val="宋体"/>
            <charset val="134"/>
          </rPr>
          <t xml:space="preserve">
客版资料翻单墨西哥单</t>
        </r>
      </text>
    </comment>
    <comment ref="BE913" authorId="3">
      <text>
        <r>
          <rPr>
            <b/>
            <sz val="9"/>
            <rFont val="宋体"/>
            <charset val="134"/>
          </rPr>
          <t>RR:</t>
        </r>
        <r>
          <rPr>
            <sz val="9"/>
            <rFont val="宋体"/>
            <charset val="134"/>
          </rPr>
          <t xml:space="preserve">
客版新资料</t>
        </r>
      </text>
    </comment>
    <comment ref="BF913" authorId="3">
      <text>
        <r>
          <rPr>
            <b/>
            <sz val="9"/>
            <rFont val="宋体"/>
            <charset val="134"/>
          </rPr>
          <t>RR:</t>
        </r>
        <r>
          <rPr>
            <sz val="9"/>
            <rFont val="宋体"/>
            <charset val="134"/>
          </rPr>
          <t xml:space="preserve">
客版资料翻单墨西哥单</t>
        </r>
      </text>
    </comment>
    <comment ref="V931" authorId="2">
      <text>
        <r>
          <rPr>
            <b/>
            <sz val="9"/>
            <rFont val="宋体"/>
            <charset val="0"/>
          </rPr>
          <t>龙丽娟:</t>
        </r>
        <r>
          <rPr>
            <sz val="9"/>
            <rFont val="宋体"/>
            <charset val="0"/>
          </rPr>
          <t xml:space="preserve">
8/13 上HK客供警语贴纸贴球底部2148pcs/客供警语贴纸拆件说明书收藏指南2748pcs</t>
        </r>
      </text>
    </comment>
  </commentList>
</comments>
</file>

<file path=xl/comments2.xml><?xml version="1.0" encoding="utf-8"?>
<comments xmlns="http://schemas.openxmlformats.org/spreadsheetml/2006/main">
  <authors>
    <author>Administrator</author>
    <author>DELL</author>
    <author>Unknown User</author>
    <author>RR</author>
  </authors>
  <commentList>
    <comment ref="AG3" authorId="0">
      <text>
        <r>
          <rPr>
            <b/>
            <sz val="12"/>
            <rFont val="宋体"/>
            <charset val="134"/>
          </rPr>
          <t>Administrator:</t>
        </r>
        <r>
          <rPr>
            <sz val="12"/>
            <rFont val="宋体"/>
            <charset val="134"/>
          </rPr>
          <t xml:space="preserve">
3/18车间包装</t>
        </r>
      </text>
    </comment>
    <comment ref="AI6" authorId="0">
      <text>
        <r>
          <rPr>
            <b/>
            <sz val="12"/>
            <rFont val="宋体"/>
            <charset val="134"/>
          </rPr>
          <t>Administrator:</t>
        </r>
        <r>
          <rPr>
            <sz val="12"/>
            <rFont val="宋体"/>
            <charset val="134"/>
          </rPr>
          <t xml:space="preserve">
1/26 收到客供外箱条码贴纸 1970pcs
1/26 收到EVENT LABEL 1950pcs
3/10 上锂电池贴纸 11932pcs
    189603/189608/190738/194297/194290/194303/194701 共用</t>
        </r>
      </text>
    </comment>
    <comment ref="AG7" authorId="0">
      <text>
        <r>
          <rPr>
            <b/>
            <sz val="12"/>
            <rFont val="宋体"/>
            <charset val="134"/>
          </rPr>
          <t>Administrator:</t>
        </r>
        <r>
          <rPr>
            <sz val="12"/>
            <rFont val="宋体"/>
            <charset val="134"/>
          </rPr>
          <t xml:space="preserve">
东莞生产35000pcs
1405566 1/26 2880pcs 华兴一F11
1406380 3/7 10000 pcs 华兴华登1楼
1405479 3/7 7680 pcs 华兴一F5
1405482 3/7 12472 pcs 华兴华登1楼
以上退回湖南返工
1405268 3/17 12296+4848pcs华兴华登1楼
1405267 3/17 17856pcs华兴华登1楼
</t>
        </r>
      </text>
    </comment>
    <comment ref="AI7" authorId="0">
      <text>
        <r>
          <rPr>
            <b/>
            <sz val="12"/>
            <rFont val="宋体"/>
            <charset val="134"/>
          </rPr>
          <t>Administrator:</t>
        </r>
        <r>
          <rPr>
            <sz val="12"/>
            <rFont val="宋体"/>
            <charset val="134"/>
          </rPr>
          <t xml:space="preserve">
1/26 上客供外箱条码贴纸 40000pcs/5000箱
     东莞生产29400pcs/3675箱
3/10 上锂电池贴纸 11932pcs
      189603/189608/190738/194297/194290/194303/194701 共用
</t>
        </r>
      </text>
    </comment>
    <comment ref="AG8" authorId="0">
      <text>
        <r>
          <rPr>
            <b/>
            <sz val="12"/>
            <rFont val="宋体"/>
            <charset val="134"/>
          </rPr>
          <t>Administrator:</t>
        </r>
        <r>
          <rPr>
            <sz val="12"/>
            <rFont val="宋体"/>
            <charset val="134"/>
          </rPr>
          <t xml:space="preserve">
1406095 3/4 2016pcs
半成品，东莞混装
备品248pcs</t>
        </r>
      </text>
    </comment>
    <comment ref="AG9" authorId="0">
      <text>
        <r>
          <rPr>
            <b/>
            <sz val="12"/>
            <rFont val="宋体"/>
            <charset val="134"/>
          </rPr>
          <t>Administrator:</t>
        </r>
        <r>
          <rPr>
            <sz val="12"/>
            <rFont val="宋体"/>
            <charset val="134"/>
          </rPr>
          <t xml:space="preserve">
1406095 3/4 864pcs
半成品，东莞混装</t>
        </r>
      </text>
    </comment>
    <comment ref="AG10" authorId="0">
      <text>
        <r>
          <rPr>
            <b/>
            <sz val="12"/>
            <rFont val="宋体"/>
            <charset val="134"/>
          </rPr>
          <t>Administrator:</t>
        </r>
        <r>
          <rPr>
            <sz val="12"/>
            <rFont val="宋体"/>
            <charset val="134"/>
          </rPr>
          <t xml:space="preserve">
3/21 1405264 5008pcs 华兴华登一楼B1区
</t>
        </r>
      </text>
    </comment>
    <comment ref="AI10" authorId="0">
      <text>
        <r>
          <rPr>
            <b/>
            <sz val="12"/>
            <rFont val="宋体"/>
            <charset val="134"/>
          </rPr>
          <t>Administrator:</t>
        </r>
        <r>
          <rPr>
            <sz val="12"/>
            <rFont val="宋体"/>
            <charset val="134"/>
          </rPr>
          <t xml:space="preserve">
3/23 上锂电池贴纸106*106mm 753pcs
191968/191960/191961/191990/191996共用</t>
        </r>
      </text>
    </comment>
    <comment ref="AG11" authorId="0">
      <text>
        <r>
          <rPr>
            <b/>
            <sz val="12"/>
            <rFont val="宋体"/>
            <charset val="134"/>
          </rPr>
          <t>Administrator:</t>
        </r>
        <r>
          <rPr>
            <sz val="12"/>
            <rFont val="宋体"/>
            <charset val="134"/>
          </rPr>
          <t xml:space="preserve">
1405268 3/17 2512pcs华兴华登一楼</t>
        </r>
      </text>
    </comment>
    <comment ref="AI11" authorId="0">
      <text>
        <r>
          <rPr>
            <b/>
            <sz val="12"/>
            <rFont val="宋体"/>
            <charset val="134"/>
          </rPr>
          <t>Administrator:</t>
        </r>
        <r>
          <rPr>
            <sz val="12"/>
            <rFont val="宋体"/>
            <charset val="134"/>
          </rPr>
          <t xml:space="preserve">
3/23 上锂电池贴纸106*106mm 753pcs
191968/191960/191961/191990/191996共用</t>
        </r>
      </text>
    </comment>
    <comment ref="AG12" authorId="0">
      <text>
        <r>
          <rPr>
            <b/>
            <sz val="12"/>
            <rFont val="宋体"/>
            <charset val="134"/>
          </rPr>
          <t>Administrator:</t>
        </r>
        <r>
          <rPr>
            <sz val="12"/>
            <rFont val="宋体"/>
            <charset val="134"/>
          </rPr>
          <t xml:space="preserve">
3/17 东莞生产，18号走空运</t>
        </r>
      </text>
    </comment>
    <comment ref="AI12" authorId="0">
      <text>
        <r>
          <rPr>
            <b/>
            <sz val="9"/>
            <rFont val="宋体"/>
            <charset val="134"/>
          </rPr>
          <t>Administrator:</t>
        </r>
        <r>
          <rPr>
            <sz val="9"/>
            <rFont val="宋体"/>
            <charset val="134"/>
          </rPr>
          <t xml:space="preserve">
3/6 上UPC贴纸 32pcs</t>
        </r>
      </text>
    </comment>
    <comment ref="AG13" authorId="0">
      <text>
        <r>
          <rPr>
            <b/>
            <sz val="12"/>
            <rFont val="宋体"/>
            <charset val="134"/>
          </rPr>
          <t>Administrator:</t>
        </r>
        <r>
          <rPr>
            <sz val="12"/>
            <rFont val="宋体"/>
            <charset val="134"/>
          </rPr>
          <t xml:space="preserve">
3/26 1405204 560pcs</t>
        </r>
      </text>
    </comment>
    <comment ref="AI13" authorId="0">
      <text>
        <r>
          <rPr>
            <b/>
            <sz val="12"/>
            <rFont val="宋体"/>
            <charset val="134"/>
          </rPr>
          <t>Administrator:</t>
        </r>
        <r>
          <rPr>
            <sz val="12"/>
            <rFont val="宋体"/>
            <charset val="134"/>
          </rPr>
          <t xml:space="preserve">
3/23 上锂电池贴纸106*106mm 753pcs
191968/191960/191961/191990/191996共用</t>
        </r>
      </text>
    </comment>
    <comment ref="AG14" authorId="0">
      <text>
        <r>
          <rPr>
            <b/>
            <sz val="12"/>
            <rFont val="宋体"/>
            <charset val="134"/>
          </rPr>
          <t>Administrator:</t>
        </r>
        <r>
          <rPr>
            <sz val="12"/>
            <rFont val="宋体"/>
            <charset val="134"/>
          </rPr>
          <t xml:space="preserve">
3/26 1405204 240pcs
</t>
        </r>
      </text>
    </comment>
    <comment ref="AI14" authorId="0">
      <text>
        <r>
          <rPr>
            <b/>
            <sz val="12"/>
            <rFont val="宋体"/>
            <charset val="134"/>
          </rPr>
          <t>Administrator:</t>
        </r>
        <r>
          <rPr>
            <sz val="12"/>
            <rFont val="宋体"/>
            <charset val="134"/>
          </rPr>
          <t xml:space="preserve">
3/23 上锂电池贴纸106*106mm 753pcs
191968/191960/191961/191990/191996共用</t>
        </r>
      </text>
    </comment>
    <comment ref="AG15" authorId="0">
      <text>
        <r>
          <rPr>
            <b/>
            <sz val="12"/>
            <rFont val="宋体"/>
            <charset val="134"/>
          </rPr>
          <t>Administrator:</t>
        </r>
        <r>
          <rPr>
            <sz val="12"/>
            <rFont val="宋体"/>
            <charset val="134"/>
          </rPr>
          <t xml:space="preserve">
1406074 3/9 3422pcs  文本云
1406103 3/17 2741pcs</t>
        </r>
      </text>
    </comment>
    <comment ref="AI15" authorId="0">
      <text>
        <r>
          <rPr>
            <b/>
            <sz val="12"/>
            <rFont val="宋体"/>
            <charset val="134"/>
          </rPr>
          <t>Administrator:</t>
        </r>
        <r>
          <rPr>
            <sz val="12"/>
            <rFont val="宋体"/>
            <charset val="134"/>
          </rPr>
          <t xml:space="preserve">
3/23 上锂电池贴纸106*106mm 753pcs
191968/191960/191961/191990/191996共用</t>
        </r>
      </text>
    </comment>
    <comment ref="AG16" authorId="0">
      <text>
        <r>
          <rPr>
            <b/>
            <sz val="12"/>
            <rFont val="宋体"/>
            <charset val="134"/>
          </rPr>
          <t>Administrator:</t>
        </r>
        <r>
          <rPr>
            <sz val="12"/>
            <rFont val="宋体"/>
            <charset val="134"/>
          </rPr>
          <t xml:space="preserve">
1406103 3/17 1536pcs</t>
        </r>
      </text>
    </comment>
    <comment ref="AG17" authorId="0">
      <text>
        <r>
          <rPr>
            <b/>
            <sz val="12"/>
            <rFont val="宋体"/>
            <charset val="134"/>
          </rPr>
          <t>Administrator:</t>
        </r>
        <r>
          <rPr>
            <sz val="12"/>
            <rFont val="宋体"/>
            <charset val="134"/>
          </rPr>
          <t xml:space="preserve">
3/23 1405232 992pcs 华兴三楼B14区</t>
        </r>
      </text>
    </comment>
    <comment ref="AI17" authorId="0">
      <text>
        <r>
          <rPr>
            <b/>
            <sz val="12"/>
            <rFont val="宋体"/>
            <charset val="134"/>
          </rPr>
          <t>Administrator:</t>
        </r>
        <r>
          <rPr>
            <sz val="12"/>
            <rFont val="宋体"/>
            <charset val="134"/>
          </rPr>
          <t xml:space="preserve">
3/21 上地址贴纸 7600pcs
191996/191997共用
3/23 上锂电池贴纸106*106mm 753pcs
191968/191960/191961/191990/191996共用
</t>
        </r>
      </text>
    </comment>
    <comment ref="AG18" authorId="0">
      <text>
        <r>
          <rPr>
            <b/>
            <sz val="12"/>
            <rFont val="宋体"/>
            <charset val="134"/>
          </rPr>
          <t>Administrator:</t>
        </r>
        <r>
          <rPr>
            <sz val="12"/>
            <rFont val="宋体"/>
            <charset val="134"/>
          </rPr>
          <t xml:space="preserve">
3/23 1405232 608pcs 华兴--F5</t>
        </r>
      </text>
    </comment>
    <comment ref="AI18" authorId="0">
      <text>
        <r>
          <rPr>
            <b/>
            <sz val="12"/>
            <rFont val="宋体"/>
            <charset val="134"/>
          </rPr>
          <t>Administrator:</t>
        </r>
        <r>
          <rPr>
            <sz val="12"/>
            <rFont val="宋体"/>
            <charset val="134"/>
          </rPr>
          <t xml:space="preserve">
3/21 上地址贴纸 7600pcs
191996/191997共用
3/23 上锂电池贴纸106*106mm 753pcs
191968/191960/191961/191990/191996共用
</t>
        </r>
      </text>
    </comment>
    <comment ref="AG19" authorId="0">
      <text>
        <r>
          <rPr>
            <b/>
            <sz val="12"/>
            <rFont val="宋体"/>
            <charset val="134"/>
          </rPr>
          <t>Administrator:</t>
        </r>
        <r>
          <rPr>
            <sz val="12"/>
            <rFont val="宋体"/>
            <charset val="134"/>
          </rPr>
          <t xml:space="preserve">
1406103 3/17 1771pcs
1406064 3/23  1013pcs</t>
        </r>
      </text>
    </comment>
    <comment ref="AI19" authorId="0">
      <text>
        <r>
          <rPr>
            <b/>
            <sz val="12"/>
            <rFont val="宋体"/>
            <charset val="134"/>
          </rPr>
          <t>Administrator:</t>
        </r>
        <r>
          <rPr>
            <sz val="12"/>
            <rFont val="宋体"/>
            <charset val="134"/>
          </rPr>
          <t xml:space="preserve">
3/21 上地址贴纸 7600pcs
191996/191997共用</t>
        </r>
      </text>
    </comment>
    <comment ref="AG20" authorId="0">
      <text>
        <r>
          <rPr>
            <b/>
            <sz val="12"/>
            <rFont val="宋体"/>
            <charset val="134"/>
          </rPr>
          <t>Administrator:</t>
        </r>
        <r>
          <rPr>
            <sz val="12"/>
            <rFont val="宋体"/>
            <charset val="134"/>
          </rPr>
          <t xml:space="preserve">
3/23 1406064 3216pcs</t>
        </r>
      </text>
    </comment>
    <comment ref="AI20" authorId="0">
      <text>
        <r>
          <rPr>
            <b/>
            <sz val="12"/>
            <rFont val="宋体"/>
            <charset val="134"/>
          </rPr>
          <t>Administrator:</t>
        </r>
        <r>
          <rPr>
            <sz val="12"/>
            <rFont val="宋体"/>
            <charset val="134"/>
          </rPr>
          <t xml:space="preserve">
3/21 上地址贴纸 7600pcs
191996/191997共用</t>
        </r>
      </text>
    </comment>
    <comment ref="AG21" authorId="0">
      <text>
        <r>
          <rPr>
            <b/>
            <sz val="13"/>
            <rFont val="宋体"/>
            <charset val="134"/>
          </rPr>
          <t xml:space="preserve">Administrator:
</t>
        </r>
        <r>
          <rPr>
            <sz val="13"/>
            <rFont val="宋体"/>
            <charset val="134"/>
          </rPr>
          <t>3/28 1406070 
唱片机半成品1850pcs
A03耳机半成品1850
A04音响半成品3700pcs
A07麦克风半成品1850pcs
A黄金唱片半成品1850pcs
A塞子          1850pcs
4/6 140637 唱片机半成品 8460pcs
4/11 1405995 唱片机半成品13000pcs</t>
        </r>
      </text>
    </comment>
    <comment ref="AI21" authorId="0">
      <text>
        <r>
          <rPr>
            <b/>
            <sz val="12"/>
            <rFont val="宋体"/>
            <charset val="134"/>
          </rPr>
          <t>Administrator:</t>
        </r>
        <r>
          <rPr>
            <sz val="12"/>
            <rFont val="宋体"/>
            <charset val="134"/>
          </rPr>
          <t xml:space="preserve">
2/26 上客供RFID贴纸 4320pcs
3/11 上锂电池贴纸 2000pcs
192823/192824/192825/192826/192827/192828共用
5/14上锂电池贴纸 26118pcs
192823/192824/192825/192826/192827/192828共用
</t>
        </r>
      </text>
    </comment>
    <comment ref="AG22" authorId="0">
      <text>
        <r>
          <rPr>
            <b/>
            <sz val="12"/>
            <rFont val="宋体"/>
            <charset val="134"/>
          </rPr>
          <t>Administrator:</t>
        </r>
        <r>
          <rPr>
            <sz val="12"/>
            <rFont val="宋体"/>
            <charset val="134"/>
          </rPr>
          <t xml:space="preserve">
1406265 4/3 400新仓库B5
</t>
        </r>
      </text>
    </comment>
    <comment ref="AI22" authorId="0">
      <text>
        <r>
          <rPr>
            <b/>
            <sz val="12"/>
            <rFont val="宋体"/>
            <charset val="134"/>
          </rPr>
          <t>Administrator:</t>
        </r>
        <r>
          <rPr>
            <sz val="12"/>
            <rFont val="宋体"/>
            <charset val="134"/>
          </rPr>
          <t xml:space="preserve">
3/6 上UPC贴纸 400pcs</t>
        </r>
      </text>
    </comment>
    <comment ref="AG23" authorId="0">
      <text>
        <r>
          <rPr>
            <b/>
            <sz val="12"/>
            <rFont val="宋体"/>
            <charset val="134"/>
          </rPr>
          <t>Administrator:</t>
        </r>
        <r>
          <rPr>
            <sz val="12"/>
            <rFont val="宋体"/>
            <charset val="134"/>
          </rPr>
          <t xml:space="preserve">
1406304 4/14 6400pcs 直走</t>
        </r>
      </text>
    </comment>
    <comment ref="AI23" authorId="0">
      <text>
        <r>
          <rPr>
            <b/>
            <sz val="11"/>
            <rFont val="宋体"/>
            <charset val="134"/>
          </rPr>
          <t>Administrator:</t>
        </r>
        <r>
          <rPr>
            <sz val="11"/>
            <rFont val="宋体"/>
            <charset val="134"/>
          </rPr>
          <t xml:space="preserve">
3/19 上地址贴纸6400pcs
3/24 上锂电池贴纸2000pcs 196425/193875/192187共用
4/10 多语警语折叠贴纸6400pcs</t>
        </r>
      </text>
    </comment>
    <comment ref="AG24" authorId="0">
      <text>
        <r>
          <rPr>
            <b/>
            <sz val="12"/>
            <rFont val="宋体"/>
            <charset val="134"/>
          </rPr>
          <t>Administrator:</t>
        </r>
        <r>
          <rPr>
            <sz val="12"/>
            <rFont val="宋体"/>
            <charset val="134"/>
          </rPr>
          <t xml:space="preserve">
4/7 1406273 6000pcs</t>
        </r>
      </text>
    </comment>
    <comment ref="AI25" authorId="0">
      <text>
        <r>
          <rPr>
            <b/>
            <sz val="9"/>
            <rFont val="宋体"/>
            <charset val="134"/>
          </rPr>
          <t>Administrator:</t>
        </r>
        <r>
          <rPr>
            <sz val="9"/>
            <rFont val="宋体"/>
            <charset val="134"/>
          </rPr>
          <t xml:space="preserve">
</t>
        </r>
        <r>
          <rPr>
            <sz val="12"/>
            <rFont val="宋体"/>
            <charset val="134"/>
          </rPr>
          <t>3/9 上Event label 1847pcs
3/9 上SAMPLE-Not for 1847pcs
3/23 客供外箱条码贴纸 785pcs（留在东莞）</t>
        </r>
      </text>
    </comment>
    <comment ref="AG26" authorId="0">
      <text>
        <r>
          <rPr>
            <b/>
            <sz val="13"/>
            <rFont val="宋体"/>
            <charset val="134"/>
          </rPr>
          <t xml:space="preserve">Administrator:
</t>
        </r>
        <r>
          <rPr>
            <sz val="13"/>
            <rFont val="宋体"/>
            <charset val="134"/>
          </rPr>
          <t>3/28 1406070 
唱片机半成品1850pcs
A03耳机半成品1850
A04音响半成品3700pcs
A07麦克风半成品1850pcs
A黄金唱片半成品1850pcs
A塞子          1850pcs
4/6 140637 唱片机半成品 8460pcs
4/11 1405995 唱片机半成品13000pcs</t>
        </r>
      </text>
    </comment>
    <comment ref="AI26" authorId="0">
      <text>
        <r>
          <rPr>
            <b/>
            <sz val="12"/>
            <rFont val="宋体"/>
            <charset val="134"/>
          </rPr>
          <t>Administrator:</t>
        </r>
        <r>
          <rPr>
            <sz val="12"/>
            <rFont val="宋体"/>
            <charset val="134"/>
          </rPr>
          <t xml:space="preserve">
2/26 上客供RFID贴纸 4560pcs
192823/192824/192825/192826/192827/192828共用
</t>
        </r>
      </text>
    </comment>
    <comment ref="AG27" authorId="1">
      <text>
        <r>
          <rPr>
            <b/>
            <sz val="12"/>
            <rFont val="宋体"/>
            <charset val="134"/>
          </rPr>
          <t>DELL:</t>
        </r>
        <r>
          <rPr>
            <sz val="12"/>
            <rFont val="宋体"/>
            <charset val="134"/>
          </rPr>
          <t xml:space="preserve">
1405332 4/9 248pcs 华兴三楼B13</t>
        </r>
      </text>
    </comment>
    <comment ref="AG28" authorId="0">
      <text>
        <r>
          <rPr>
            <b/>
            <sz val="12"/>
            <rFont val="宋体"/>
            <charset val="134"/>
          </rPr>
          <t>Administrator:</t>
        </r>
        <r>
          <rPr>
            <sz val="12"/>
            <rFont val="宋体"/>
            <charset val="134"/>
          </rPr>
          <t xml:space="preserve">
4/9 1405332 2720pcs华兴三楼B12
</t>
        </r>
      </text>
    </comment>
    <comment ref="AI28" authorId="0">
      <text>
        <r>
          <rPr>
            <b/>
            <sz val="12"/>
            <rFont val="宋体"/>
            <charset val="134"/>
          </rPr>
          <t>Administrator:</t>
        </r>
        <r>
          <rPr>
            <sz val="12"/>
            <rFont val="宋体"/>
            <charset val="134"/>
          </rPr>
          <t xml:space="preserve">
3/16 上白色防盗贴纸 2720pcs
3/23 上Kmart外箱贴纸4*4 340pcs</t>
        </r>
      </text>
    </comment>
    <comment ref="AG29" authorId="0">
      <text>
        <r>
          <rPr>
            <b/>
            <sz val="12"/>
            <rFont val="宋体"/>
            <charset val="134"/>
          </rPr>
          <t>Administrator:</t>
        </r>
        <r>
          <rPr>
            <sz val="12"/>
            <rFont val="宋体"/>
            <charset val="134"/>
          </rPr>
          <t xml:space="preserve">
1405907 4/15 6744pcs 新仓库A8区
1405914 4/15   96pcs 新仓库A8区</t>
        </r>
      </text>
    </comment>
    <comment ref="AI29" authorId="0">
      <text>
        <r>
          <rPr>
            <b/>
            <sz val="12"/>
            <rFont val="宋体"/>
            <charset val="134"/>
          </rPr>
          <t>Administrator:</t>
        </r>
        <r>
          <rPr>
            <sz val="12"/>
            <rFont val="宋体"/>
            <charset val="134"/>
          </rPr>
          <t xml:space="preserve">
3/10 上锂电池贴纸 11932pcs
      189603/189608/190738/194297/194290/194303/194701 共用
3/23上客供外箱条码贴纸 864pcs</t>
        </r>
      </text>
    </comment>
    <comment ref="AG30" authorId="0">
      <text>
        <r>
          <rPr>
            <b/>
            <sz val="12"/>
            <rFont val="宋体"/>
            <charset val="134"/>
          </rPr>
          <t>Administrator:</t>
        </r>
        <r>
          <rPr>
            <sz val="12"/>
            <rFont val="宋体"/>
            <charset val="134"/>
          </rPr>
          <t xml:space="preserve">
4/9 1405332 240pcs华兴三楼B14</t>
        </r>
      </text>
    </comment>
    <comment ref="AI30" authorId="0">
      <text>
        <r>
          <rPr>
            <b/>
            <sz val="12"/>
            <rFont val="宋体"/>
            <charset val="134"/>
          </rPr>
          <t>Administrator:</t>
        </r>
        <r>
          <rPr>
            <sz val="12"/>
            <rFont val="宋体"/>
            <charset val="134"/>
          </rPr>
          <t xml:space="preserve">
3/23 上客供警语贴纸球底部贴 252pcs
     上说明书客供警语贴纸 252pcs
    上客供电池警语贴纸 252pcs
    上客供警语贴纸贴留音机说明书252pcs</t>
        </r>
      </text>
    </comment>
    <comment ref="AG31" authorId="0">
      <text>
        <r>
          <rPr>
            <b/>
            <sz val="12"/>
            <rFont val="宋体"/>
            <charset val="134"/>
          </rPr>
          <t>Administrator:</t>
        </r>
        <r>
          <rPr>
            <sz val="12"/>
            <rFont val="宋体"/>
            <charset val="134"/>
          </rPr>
          <t xml:space="preserve">
4/11 1405944 240pcs新仓库B3</t>
        </r>
      </text>
    </comment>
    <comment ref="AI31" authorId="0">
      <text>
        <r>
          <rPr>
            <b/>
            <sz val="12"/>
            <rFont val="宋体"/>
            <charset val="134"/>
          </rPr>
          <t>Administrator:</t>
        </r>
        <r>
          <rPr>
            <sz val="12"/>
            <rFont val="宋体"/>
            <charset val="134"/>
          </rPr>
          <t xml:space="preserve">
 3/21 上警语贴纸240pcs</t>
        </r>
      </text>
    </comment>
    <comment ref="AG32" authorId="0">
      <text>
        <r>
          <rPr>
            <b/>
            <sz val="13"/>
            <rFont val="宋体"/>
            <charset val="134"/>
          </rPr>
          <t xml:space="preserve">Administrator:
</t>
        </r>
        <r>
          <rPr>
            <sz val="13"/>
            <rFont val="宋体"/>
            <charset val="134"/>
          </rPr>
          <t>3/28 1406070 
唱片机半成品1850pcs
A03耳机半成品1850
A04音响半成品3700pcs
A07麦克风半成品1850pcs
A黄金唱片半成品1850pcs
A塞子          1850pcs
4/6 140637 唱片机半成品 8460pcs
4/11 1405995 唱片机半成品13000pcs</t>
        </r>
      </text>
    </comment>
    <comment ref="AI32" authorId="0">
      <text>
        <r>
          <rPr>
            <b/>
            <sz val="12"/>
            <rFont val="宋体"/>
            <charset val="134"/>
          </rPr>
          <t>Administrator:</t>
        </r>
        <r>
          <rPr>
            <sz val="12"/>
            <rFont val="宋体"/>
            <charset val="134"/>
          </rPr>
          <t xml:space="preserve">
2/26 上客供RFID贴纸 2832pcs
192823/192824/192825/192826/192827/192828共用
</t>
        </r>
      </text>
    </comment>
    <comment ref="AG33" authorId="0">
      <text>
        <r>
          <rPr>
            <b/>
            <sz val="13"/>
            <rFont val="宋体"/>
            <charset val="134"/>
          </rPr>
          <t xml:space="preserve">Administrator:
</t>
        </r>
        <r>
          <rPr>
            <sz val="13"/>
            <rFont val="宋体"/>
            <charset val="134"/>
          </rPr>
          <t>3/28 1406070 
唱片机半成品1850pcs
A03耳机半成品1850
A04音响半成品3700pcs
A07麦克风半成品1850pcs
A黄金唱片半成品1850pcs
A塞子          1850pcs
4/6 140637 唱片机半成品 8460pcs
4/11 1405995 唱片机半成品13000pcs</t>
        </r>
      </text>
    </comment>
    <comment ref="AI33" authorId="0">
      <text>
        <r>
          <rPr>
            <b/>
            <sz val="12"/>
            <rFont val="宋体"/>
            <charset val="134"/>
          </rPr>
          <t>Administrator:</t>
        </r>
        <r>
          <rPr>
            <sz val="12"/>
            <rFont val="宋体"/>
            <charset val="134"/>
          </rPr>
          <t xml:space="preserve">
2/26 上客供RFID贴纸 4272pcs
192823/192824/192825/192826/192827/192828共用
</t>
        </r>
      </text>
    </comment>
    <comment ref="AG34" authorId="0">
      <text>
        <r>
          <rPr>
            <b/>
            <sz val="12"/>
            <rFont val="宋体"/>
            <charset val="134"/>
          </rPr>
          <t>Administrator:</t>
        </r>
        <r>
          <rPr>
            <sz val="12"/>
            <rFont val="宋体"/>
            <charset val="134"/>
          </rPr>
          <t xml:space="preserve">
1405921 4/14 1520pcs 新仓库A3区
1406304 4/14   80pcs 新仓库A3区</t>
        </r>
      </text>
    </comment>
    <comment ref="AI34" authorId="0">
      <text>
        <r>
          <rPr>
            <b/>
            <sz val="12"/>
            <rFont val="宋体"/>
            <charset val="134"/>
          </rPr>
          <t>Administrator:</t>
        </r>
        <r>
          <rPr>
            <sz val="12"/>
            <rFont val="宋体"/>
            <charset val="134"/>
          </rPr>
          <t xml:space="preserve">
4/7 上PDQ条码贴纸800pcs</t>
        </r>
      </text>
    </comment>
    <comment ref="AG35" authorId="0">
      <text>
        <r>
          <rPr>
            <b/>
            <sz val="12"/>
            <rFont val="宋体"/>
            <charset val="134"/>
          </rPr>
          <t>Administrator:</t>
        </r>
        <r>
          <rPr>
            <sz val="12"/>
            <rFont val="宋体"/>
            <charset val="134"/>
          </rPr>
          <t xml:space="preserve">
1405907 4/15 2360pcs 新仓库A4区
1405914 4/15   40pcs 新仓库A4区</t>
        </r>
      </text>
    </comment>
    <comment ref="AI35" authorId="0">
      <text>
        <r>
          <rPr>
            <b/>
            <sz val="11"/>
            <rFont val="宋体"/>
            <charset val="134"/>
          </rPr>
          <t>Administrator:</t>
        </r>
        <r>
          <rPr>
            <sz val="11"/>
            <rFont val="宋体"/>
            <charset val="134"/>
          </rPr>
          <t xml:space="preserve">
3/19 上客人通用进口商贴纸 2400pcs
</t>
        </r>
      </text>
    </comment>
    <comment ref="AG36" authorId="0">
      <text>
        <r>
          <rPr>
            <b/>
            <sz val="13"/>
            <rFont val="宋体"/>
            <charset val="134"/>
          </rPr>
          <t xml:space="preserve">Administrator:
</t>
        </r>
        <r>
          <rPr>
            <sz val="13"/>
            <rFont val="宋体"/>
            <charset val="134"/>
          </rPr>
          <t>3/28 1406070 
唱片机半成品1850pcs
A03耳机半成品1850
A04音响半成品3700pcs
A07麦克风半成品1850pcs
A黄金唱片半成品1850pcs
A塞子          1850pcs
4/6 140637 唱片机半成品 8460pcs
4/11 1405995 唱片机半成品13000pcs</t>
        </r>
      </text>
    </comment>
    <comment ref="AI36" authorId="0">
      <text>
        <r>
          <rPr>
            <b/>
            <sz val="12"/>
            <rFont val="宋体"/>
            <charset val="134"/>
          </rPr>
          <t>Administrator:</t>
        </r>
        <r>
          <rPr>
            <sz val="12"/>
            <rFont val="宋体"/>
            <charset val="134"/>
          </rPr>
          <t xml:space="preserve">
2/26 上客供RFID贴纸 6528pcs
192823/192824/192825/192826/192827/192828共用
</t>
        </r>
      </text>
    </comment>
    <comment ref="AG37" authorId="0">
      <text>
        <r>
          <rPr>
            <b/>
            <sz val="12"/>
            <rFont val="宋体"/>
            <charset val="134"/>
          </rPr>
          <t>Administrator:</t>
        </r>
        <r>
          <rPr>
            <sz val="12"/>
            <rFont val="宋体"/>
            <charset val="134"/>
          </rPr>
          <t xml:space="preserve">
1405872 4/16 4496pcs 华兴三B14
1405856 4/17  160pcs 华兴三B14</t>
        </r>
      </text>
    </comment>
    <comment ref="AG38" authorId="0">
      <text>
        <r>
          <rPr>
            <b/>
            <sz val="12"/>
            <rFont val="宋体"/>
            <charset val="134"/>
          </rPr>
          <t>Administrator:</t>
        </r>
        <r>
          <rPr>
            <sz val="12"/>
            <rFont val="宋体"/>
            <charset val="134"/>
          </rPr>
          <t xml:space="preserve">
1405866 4/16 3744pcs 直走</t>
        </r>
      </text>
    </comment>
    <comment ref="AG39" authorId="0">
      <text>
        <r>
          <rPr>
            <b/>
            <sz val="12"/>
            <rFont val="宋体"/>
            <charset val="134"/>
          </rPr>
          <t>Administrator:</t>
        </r>
        <r>
          <rPr>
            <sz val="12"/>
            <rFont val="宋体"/>
            <charset val="134"/>
          </rPr>
          <t xml:space="preserve">
4/1 1405432 1000pcs
5/4 1403383 3000pcs</t>
        </r>
      </text>
    </comment>
    <comment ref="AI39" authorId="0">
      <text>
        <r>
          <rPr>
            <b/>
            <sz val="12"/>
            <rFont val="宋体"/>
            <charset val="134"/>
          </rPr>
          <t>Administrator:</t>
        </r>
        <r>
          <rPr>
            <sz val="12"/>
            <rFont val="宋体"/>
            <charset val="134"/>
          </rPr>
          <t xml:space="preserve">
3/14 上外箱贴纸 500pcs
3/18 上客版价格贴纸 4000pcs</t>
        </r>
      </text>
    </comment>
    <comment ref="AG40" authorId="0">
      <text>
        <r>
          <rPr>
            <b/>
            <sz val="12"/>
            <rFont val="宋体"/>
            <charset val="134"/>
          </rPr>
          <t>Administrator:</t>
        </r>
        <r>
          <rPr>
            <sz val="12"/>
            <rFont val="宋体"/>
            <charset val="134"/>
          </rPr>
          <t xml:space="preserve">
1405872 4/16 5856pcs 华兴三A31
1405873 4/17 7144pcs 华兴一F9</t>
        </r>
      </text>
    </comment>
    <comment ref="AI40" authorId="0">
      <text>
        <r>
          <rPr>
            <b/>
            <sz val="12"/>
            <rFont val="宋体"/>
            <charset val="134"/>
          </rPr>
          <t>Administrator:</t>
        </r>
        <r>
          <rPr>
            <sz val="12"/>
            <rFont val="宋体"/>
            <charset val="134"/>
          </rPr>
          <t xml:space="preserve">
3/10 上锂电池贴纸 11932pcs
      189603/189608/190738/194297/194290/194303/194701 共用
</t>
        </r>
      </text>
    </comment>
    <comment ref="AG42" authorId="0">
      <text>
        <r>
          <rPr>
            <b/>
            <sz val="12"/>
            <rFont val="宋体"/>
            <charset val="134"/>
          </rPr>
          <t>Administrator:</t>
        </r>
        <r>
          <rPr>
            <sz val="12"/>
            <rFont val="宋体"/>
            <charset val="134"/>
          </rPr>
          <t xml:space="preserve">
1406228 4/18 400pcs B栋4楼B1区</t>
        </r>
      </text>
    </comment>
    <comment ref="AG43" authorId="0">
      <text>
        <r>
          <rPr>
            <b/>
            <sz val="12"/>
            <rFont val="宋体"/>
            <charset val="134"/>
          </rPr>
          <t>Administrator:</t>
        </r>
        <r>
          <rPr>
            <sz val="12"/>
            <rFont val="宋体"/>
            <charset val="134"/>
          </rPr>
          <t xml:space="preserve">
4/24 1000671 912PCS B栋4楼B9区</t>
        </r>
      </text>
    </comment>
    <comment ref="AI43" authorId="0">
      <text>
        <r>
          <rPr>
            <b/>
            <sz val="12"/>
            <rFont val="宋体"/>
            <charset val="134"/>
          </rPr>
          <t>Administrator:</t>
        </r>
        <r>
          <rPr>
            <sz val="12"/>
            <rFont val="宋体"/>
            <charset val="134"/>
          </rPr>
          <t xml:space="preserve">
3/30 上地址贴纸912pcs
3/30上锂电池贴纸4792pcs
4500196046/4500195753/4500195755/4500196881/4500196882共用
</t>
        </r>
      </text>
    </comment>
    <comment ref="AG44" authorId="0">
      <text>
        <r>
          <rPr>
            <b/>
            <sz val="12"/>
            <rFont val="宋体"/>
            <charset val="134"/>
          </rPr>
          <t>Administrator:</t>
        </r>
        <r>
          <rPr>
            <sz val="12"/>
            <rFont val="宋体"/>
            <charset val="134"/>
          </rPr>
          <t xml:space="preserve">
1000762 4/20 3600pcs 新仓库A3区</t>
        </r>
      </text>
    </comment>
    <comment ref="AI44" authorId="0">
      <text>
        <r>
          <rPr>
            <b/>
            <sz val="11"/>
            <rFont val="宋体"/>
            <charset val="134"/>
          </rPr>
          <t>Administrator:</t>
        </r>
        <r>
          <rPr>
            <sz val="11"/>
            <rFont val="宋体"/>
            <charset val="134"/>
          </rPr>
          <t xml:space="preserve">
3/24 上锂电池贴纸2000pcs 196425/193875/192187共用
3/24 上地址贴纸3600pcs
4/10上多语警语贴纸3600pcs</t>
        </r>
      </text>
    </comment>
    <comment ref="AG45" authorId="0">
      <text>
        <r>
          <rPr>
            <b/>
            <sz val="12"/>
            <rFont val="宋体"/>
            <charset val="134"/>
          </rPr>
          <t>Administrator:</t>
        </r>
        <r>
          <rPr>
            <sz val="12"/>
            <rFont val="宋体"/>
            <charset val="134"/>
          </rPr>
          <t xml:space="preserve">
1406232 4/18 5520pcs B栋4楼A7区</t>
        </r>
      </text>
    </comment>
    <comment ref="AI45" authorId="0">
      <text>
        <r>
          <rPr>
            <b/>
            <sz val="12"/>
            <rFont val="宋体"/>
            <charset val="134"/>
          </rPr>
          <t>Administrator:</t>
        </r>
        <r>
          <rPr>
            <sz val="12"/>
            <rFont val="宋体"/>
            <charset val="134"/>
          </rPr>
          <t xml:space="preserve">
4/8 上包装进口商贴纸5520pcs
4/8 上产品进口商贴纸5520pcs
4/8 上UPC贴纸5520pcs
4/8 上外箱贴纸690pcs
4/10上保证书贴纸5520pcs</t>
        </r>
      </text>
    </comment>
    <comment ref="AG46" authorId="1">
      <text>
        <r>
          <rPr>
            <b/>
            <sz val="12"/>
            <rFont val="宋体"/>
            <charset val="134"/>
          </rPr>
          <t>DELL:</t>
        </r>
        <r>
          <rPr>
            <sz val="12"/>
            <rFont val="宋体"/>
            <charset val="134"/>
          </rPr>
          <t xml:space="preserve">
1403869 4/24  16pcs  新仓库二楼B8
1403899 4/23 5984pcs 新仓库二楼B8</t>
        </r>
      </text>
    </comment>
    <comment ref="AI46" authorId="0">
      <text>
        <r>
          <rPr>
            <b/>
            <sz val="11"/>
            <rFont val="宋体"/>
            <charset val="134"/>
          </rPr>
          <t>Administrator:</t>
        </r>
        <r>
          <rPr>
            <sz val="11"/>
            <rFont val="宋体"/>
            <charset val="134"/>
          </rPr>
          <t xml:space="preserve">
3/24 上锂电池贴纸2000pcs 196425/193875/192187共用
</t>
        </r>
      </text>
    </comment>
    <comment ref="AG47" authorId="1">
      <text>
        <r>
          <rPr>
            <b/>
            <sz val="12"/>
            <rFont val="宋体"/>
            <charset val="134"/>
          </rPr>
          <t>DELL:</t>
        </r>
        <r>
          <rPr>
            <sz val="12"/>
            <rFont val="宋体"/>
            <charset val="134"/>
          </rPr>
          <t xml:space="preserve">
1000666 4/23 6000pcs 新仓库二楼B8</t>
        </r>
      </text>
    </comment>
    <comment ref="AI47" authorId="0">
      <text>
        <r>
          <rPr>
            <b/>
            <sz val="11"/>
            <rFont val="宋体"/>
            <charset val="134"/>
          </rPr>
          <t>Administrator:</t>
        </r>
        <r>
          <rPr>
            <sz val="11"/>
            <rFont val="宋体"/>
            <charset val="134"/>
          </rPr>
          <t xml:space="preserve">
3/24 上锂电池贴纸2000pcs 196425/193875/192187共用
</t>
        </r>
      </text>
    </comment>
    <comment ref="AG48" authorId="0">
      <text>
        <r>
          <rPr>
            <b/>
            <sz val="12"/>
            <rFont val="宋体"/>
            <charset val="134"/>
          </rPr>
          <t>Administrator:</t>
        </r>
        <r>
          <rPr>
            <sz val="12"/>
            <rFont val="宋体"/>
            <charset val="134"/>
          </rPr>
          <t xml:space="preserve">
1000774 4/17 5632pcs 新仓库B5区
1000780 4/18 3784pcs 新仓库B5区</t>
        </r>
      </text>
    </comment>
    <comment ref="AI48" authorId="0">
      <text>
        <r>
          <rPr>
            <b/>
            <sz val="12"/>
            <rFont val="宋体"/>
            <charset val="134"/>
          </rPr>
          <t>Administrator:</t>
        </r>
        <r>
          <rPr>
            <sz val="12"/>
            <rFont val="宋体"/>
            <charset val="134"/>
          </rPr>
          <t xml:space="preserve">
3/10 上锂电池贴纸 11932pcs
      189603/189608/190738/194297/194290/194303/194701 共用
3/30 上Event label 1177pcs
4/1  上客供外箱贴纸1177pcs
</t>
        </r>
      </text>
    </comment>
    <comment ref="AI49" authorId="0">
      <text>
        <r>
          <rPr>
            <b/>
            <sz val="9"/>
            <rFont val="宋体"/>
            <charset val="134"/>
          </rPr>
          <t>Administrator:</t>
        </r>
        <r>
          <rPr>
            <sz val="9"/>
            <rFont val="宋体"/>
            <charset val="134"/>
          </rPr>
          <t xml:space="preserve">
</t>
        </r>
        <r>
          <rPr>
            <sz val="12"/>
            <rFont val="宋体"/>
            <charset val="134"/>
          </rPr>
          <t>3/9 上Event label 1847pcs
3/9 上SAMPLE-Not for 1847pcs</t>
        </r>
      </text>
    </comment>
    <comment ref="AG50" authorId="1">
      <text>
        <r>
          <rPr>
            <b/>
            <sz val="12"/>
            <rFont val="宋体"/>
            <charset val="134"/>
          </rPr>
          <t>DELL:</t>
        </r>
        <r>
          <rPr>
            <sz val="12"/>
            <rFont val="宋体"/>
            <charset val="134"/>
          </rPr>
          <t xml:space="preserve">
1403853 4/25  3840pcs
1403854 4/25 16496pcsB栋雨棚</t>
        </r>
      </text>
    </comment>
    <comment ref="AI50" authorId="0">
      <text>
        <r>
          <rPr>
            <b/>
            <sz val="12"/>
            <rFont val="宋体"/>
            <charset val="134"/>
          </rPr>
          <t>Administrator:</t>
        </r>
        <r>
          <rPr>
            <sz val="12"/>
            <rFont val="宋体"/>
            <charset val="134"/>
          </rPr>
          <t xml:space="preserve">
3/30上锂电池贴纸4792pcs
4500196046/4500195753/4500195755/4500196881/4500196882共用
4/1 上客供外箱贴纸2568pcs</t>
        </r>
      </text>
    </comment>
    <comment ref="AG52" authorId="1">
      <text>
        <r>
          <rPr>
            <b/>
            <sz val="12"/>
            <rFont val="宋体"/>
            <charset val="134"/>
          </rPr>
          <t>DELL:</t>
        </r>
        <r>
          <rPr>
            <sz val="12"/>
            <rFont val="宋体"/>
            <charset val="134"/>
          </rPr>
          <t xml:space="preserve">
1406211 4/25 992pcs直走</t>
        </r>
      </text>
    </comment>
    <comment ref="AG53" authorId="0">
      <text>
        <r>
          <rPr>
            <b/>
            <sz val="13"/>
            <rFont val="宋体"/>
            <charset val="134"/>
          </rPr>
          <t xml:space="preserve">Administrator:
</t>
        </r>
        <r>
          <rPr>
            <sz val="13"/>
            <rFont val="宋体"/>
            <charset val="134"/>
          </rPr>
          <t>3/28 1406070 
唱片机半成品1850pcs
A03耳机半成品1850
A04音响半成品3700pcs
A07麦克风半成品1850pcs
A黄金唱片半成品1850pcs
A塞子          1850pcs
4/6 140637 唱片机半成品 8460pcs
4/11 1405995 唱片机半成品13000pcs</t>
        </r>
      </text>
    </comment>
    <comment ref="AI53" authorId="0">
      <text>
        <r>
          <rPr>
            <b/>
            <sz val="12"/>
            <rFont val="宋体"/>
            <charset val="134"/>
          </rPr>
          <t>Administrator:</t>
        </r>
        <r>
          <rPr>
            <sz val="12"/>
            <rFont val="宋体"/>
            <charset val="134"/>
          </rPr>
          <t xml:space="preserve">
2/26 上客供RFID贴纸 5184pcs
192823/192824/192825/192826/192827/192828共用
</t>
        </r>
      </text>
    </comment>
    <comment ref="AG54" authorId="0">
      <text>
        <r>
          <rPr>
            <b/>
            <sz val="13"/>
            <rFont val="宋体"/>
            <charset val="134"/>
          </rPr>
          <t xml:space="preserve">Administrator:
</t>
        </r>
        <r>
          <rPr>
            <sz val="13"/>
            <rFont val="宋体"/>
            <charset val="134"/>
          </rPr>
          <t>3/28 1406070 
唱片机半成品1850pcs
A03耳机半成品1850
A04音响半成品3700pcs
A07麦克风半成品1850pcs
A黄金唱片半成品1850pcs
A塞子          1850pcs
4/6 140637 唱片机半成品 8460pcs
4/11 1405995 唱片机半成品13000pcs</t>
        </r>
      </text>
    </comment>
    <comment ref="AI54" authorId="0">
      <text>
        <r>
          <rPr>
            <b/>
            <sz val="12"/>
            <rFont val="宋体"/>
            <charset val="134"/>
          </rPr>
          <t>Administrator:</t>
        </r>
        <r>
          <rPr>
            <sz val="12"/>
            <rFont val="宋体"/>
            <charset val="134"/>
          </rPr>
          <t xml:space="preserve">
2/26 上客供RFID贴纸 4304pcs
192823/192824/192825/192826/192827/192828共用
</t>
        </r>
      </text>
    </comment>
    <comment ref="AG56" authorId="1">
      <text>
        <r>
          <rPr>
            <b/>
            <sz val="9"/>
            <rFont val="宋体"/>
            <charset val="134"/>
          </rPr>
          <t>DELL:</t>
        </r>
        <r>
          <rPr>
            <sz val="9"/>
            <rFont val="宋体"/>
            <charset val="134"/>
          </rPr>
          <t xml:space="preserve">
1403840 4/22 368pcs
1403888 4/23  32pcs 新仓库</t>
        </r>
      </text>
    </comment>
    <comment ref="AI56" authorId="0">
      <text>
        <r>
          <rPr>
            <b/>
            <sz val="12"/>
            <rFont val="宋体"/>
            <charset val="134"/>
          </rPr>
          <t>Administrator:</t>
        </r>
        <r>
          <rPr>
            <sz val="12"/>
            <rFont val="宋体"/>
            <charset val="134"/>
          </rPr>
          <t xml:space="preserve">
3/24 上UPC贴纸 400pcs</t>
        </r>
      </text>
    </comment>
    <comment ref="AG57" authorId="1">
      <text>
        <r>
          <rPr>
            <b/>
            <sz val="12"/>
            <rFont val="宋体"/>
            <charset val="134"/>
          </rPr>
          <t>DELL:</t>
        </r>
        <r>
          <rPr>
            <sz val="12"/>
            <rFont val="宋体"/>
            <charset val="134"/>
          </rPr>
          <t xml:space="preserve">
1000656 4/25 3088pcs新仓库B3
</t>
        </r>
      </text>
    </comment>
    <comment ref="AI57" authorId="0">
      <text>
        <r>
          <rPr>
            <b/>
            <sz val="12"/>
            <rFont val="宋体"/>
            <charset val="134"/>
          </rPr>
          <t>Administrator:</t>
        </r>
        <r>
          <rPr>
            <sz val="12"/>
            <rFont val="宋体"/>
            <charset val="134"/>
          </rPr>
          <t xml:space="preserve">
4/7 上UPC贴纸3192pcs</t>
        </r>
      </text>
    </comment>
    <comment ref="AG58" authorId="0">
      <text>
        <r>
          <rPr>
            <b/>
            <sz val="12"/>
            <rFont val="宋体"/>
            <charset val="134"/>
          </rPr>
          <t>Administrator:</t>
        </r>
        <r>
          <rPr>
            <sz val="12"/>
            <rFont val="宋体"/>
            <charset val="134"/>
          </rPr>
          <t xml:space="preserve">
4/27 3001843 2000pcs新仓库B3</t>
        </r>
      </text>
    </comment>
    <comment ref="AI58" authorId="0">
      <text>
        <r>
          <rPr>
            <b/>
            <sz val="12"/>
            <rFont val="宋体"/>
            <charset val="134"/>
          </rPr>
          <t>Administrator:</t>
        </r>
        <r>
          <rPr>
            <sz val="12"/>
            <rFont val="宋体"/>
            <charset val="134"/>
          </rPr>
          <t xml:space="preserve">
3/10 上锂电池贴纸 11932pcs
      189603/189608/190738/194297/194290/194303/194701 共用
4/1 上客供外箱条码贴纸256pcs</t>
        </r>
      </text>
    </comment>
    <comment ref="AG59" authorId="1">
      <text>
        <r>
          <rPr>
            <b/>
            <sz val="12"/>
            <rFont val="宋体"/>
            <charset val="134"/>
          </rPr>
          <t>DELL:</t>
        </r>
        <r>
          <rPr>
            <sz val="12"/>
            <rFont val="宋体"/>
            <charset val="134"/>
          </rPr>
          <t xml:space="preserve">
3001884 4/30 2304pcS新仓库B14
3001881 4/30 3456pcs新仓库B14
3001900 5/4 8152pcs
3001907 5/4 288pcs</t>
        </r>
      </text>
    </comment>
    <comment ref="AI59" authorId="0">
      <text>
        <r>
          <rPr>
            <b/>
            <sz val="12"/>
            <rFont val="宋体"/>
            <charset val="134"/>
          </rPr>
          <t>Administrator:</t>
        </r>
        <r>
          <rPr>
            <sz val="12"/>
            <rFont val="宋体"/>
            <charset val="134"/>
          </rPr>
          <t xml:space="preserve">
3/30上锂电池贴纸4792pcs
4500196046/4500195753/4500195755/4500196881/4500196882共用
4/14 上客供外箱条码贴纸 1793pcs</t>
        </r>
      </text>
    </comment>
    <comment ref="AG60" authorId="1">
      <text>
        <r>
          <rPr>
            <b/>
            <sz val="9"/>
            <rFont val="宋体"/>
            <charset val="134"/>
          </rPr>
          <t>DELL:</t>
        </r>
        <r>
          <rPr>
            <sz val="9"/>
            <rFont val="宋体"/>
            <charset val="134"/>
          </rPr>
          <t xml:space="preserve">
1403854 4/25 1824pcs新仓库A5
</t>
        </r>
      </text>
    </comment>
    <comment ref="AG61" authorId="1">
      <text>
        <r>
          <rPr>
            <b/>
            <sz val="9"/>
            <rFont val="宋体"/>
            <charset val="134"/>
          </rPr>
          <t>DELL:</t>
        </r>
        <r>
          <rPr>
            <sz val="9"/>
            <rFont val="宋体"/>
            <charset val="134"/>
          </rPr>
          <t xml:space="preserve">
1403854 4/25 1064pcs新仓库A5
</t>
        </r>
      </text>
    </comment>
    <comment ref="AG62" authorId="1">
      <text>
        <r>
          <rPr>
            <b/>
            <sz val="12"/>
            <rFont val="宋体"/>
            <charset val="134"/>
          </rPr>
          <t>DELL:</t>
        </r>
        <r>
          <rPr>
            <sz val="12"/>
            <rFont val="宋体"/>
            <charset val="134"/>
          </rPr>
          <t xml:space="preserve">
1403854 4/25 984pcs新仓库A5</t>
        </r>
      </text>
    </comment>
    <comment ref="AG63" authorId="1">
      <text>
        <r>
          <rPr>
            <b/>
            <sz val="9"/>
            <rFont val="宋体"/>
            <charset val="134"/>
          </rPr>
          <t>DELL:</t>
        </r>
        <r>
          <rPr>
            <sz val="9"/>
            <rFont val="宋体"/>
            <charset val="134"/>
          </rPr>
          <t xml:space="preserve">
1403854 4/25 1824pcs新仓库A5
</t>
        </r>
      </text>
    </comment>
    <comment ref="AG64" authorId="1">
      <text>
        <r>
          <rPr>
            <b/>
            <sz val="12"/>
            <rFont val="宋体"/>
            <charset val="134"/>
          </rPr>
          <t>DELL:</t>
        </r>
        <r>
          <rPr>
            <sz val="12"/>
            <rFont val="宋体"/>
            <charset val="134"/>
          </rPr>
          <t xml:space="preserve">
1403854 4/25 2944pcs新仓库B5
1403652 4/27 56pcs新仓库B5</t>
        </r>
      </text>
    </comment>
    <comment ref="AG65" authorId="0">
      <text>
        <r>
          <rPr>
            <b/>
            <sz val="12"/>
            <rFont val="宋体"/>
            <charset val="134"/>
          </rPr>
          <t>Administrator:</t>
        </r>
        <r>
          <rPr>
            <sz val="12"/>
            <rFont val="宋体"/>
            <charset val="134"/>
          </rPr>
          <t xml:space="preserve">
5/2 1403738 800pcs B栋四楼B9</t>
        </r>
      </text>
    </comment>
    <comment ref="AI65" authorId="1">
      <text>
        <r>
          <rPr>
            <b/>
            <sz val="12"/>
            <rFont val="宋体"/>
            <charset val="134"/>
          </rPr>
          <t>DELL:</t>
        </r>
        <r>
          <rPr>
            <sz val="12"/>
            <rFont val="宋体"/>
            <charset val="134"/>
          </rPr>
          <t xml:space="preserve">
4/11 上进口商贴纸 800pcs</t>
        </r>
      </text>
    </comment>
    <comment ref="AG66" authorId="0">
      <text>
        <r>
          <rPr>
            <b/>
            <sz val="12"/>
            <rFont val="宋体"/>
            <charset val="134"/>
          </rPr>
          <t>Administrator:</t>
        </r>
        <r>
          <rPr>
            <sz val="12"/>
            <rFont val="宋体"/>
            <charset val="134"/>
          </rPr>
          <t xml:space="preserve">
5/6 1403751 704pcs新仓库A5</t>
        </r>
      </text>
    </comment>
    <comment ref="AG67" authorId="1">
      <text>
        <r>
          <rPr>
            <b/>
            <sz val="12"/>
            <rFont val="宋体"/>
            <charset val="134"/>
          </rPr>
          <t>DELL:</t>
        </r>
        <r>
          <rPr>
            <sz val="12"/>
            <rFont val="宋体"/>
            <charset val="134"/>
          </rPr>
          <t xml:space="preserve">
1000657 4/25 880pcs新仓库C1
1000658 4/25 768pcs新仓库C2
3001843 4/27 5584pcs新仓库C2</t>
        </r>
      </text>
    </comment>
    <comment ref="AI67" authorId="0">
      <text>
        <r>
          <rPr>
            <b/>
            <sz val="12"/>
            <rFont val="宋体"/>
            <charset val="134"/>
          </rPr>
          <t>Administrator:</t>
        </r>
        <r>
          <rPr>
            <sz val="12"/>
            <rFont val="宋体"/>
            <charset val="134"/>
          </rPr>
          <t xml:space="preserve">
4/9 上锂电池标签贴纸1375pcs</t>
        </r>
      </text>
    </comment>
    <comment ref="AG68" authorId="0">
      <text>
        <r>
          <rPr>
            <b/>
            <sz val="12"/>
            <rFont val="宋体"/>
            <charset val="134"/>
          </rPr>
          <t>Administrator:</t>
        </r>
        <r>
          <rPr>
            <sz val="12"/>
            <rFont val="宋体"/>
            <charset val="134"/>
          </rPr>
          <t xml:space="preserve">
5/5 1403765 1416PCS B4-B5</t>
        </r>
      </text>
    </comment>
    <comment ref="AI68" authorId="0">
      <text>
        <r>
          <rPr>
            <b/>
            <sz val="12"/>
            <rFont val="宋体"/>
            <charset val="134"/>
          </rPr>
          <t>Administrator:</t>
        </r>
        <r>
          <rPr>
            <sz val="12"/>
            <rFont val="宋体"/>
            <charset val="134"/>
          </rPr>
          <t xml:space="preserve">
3/16 上白色防盗贴纸 1408pcs
4/16 上KM外箱贴纸 177pcs</t>
        </r>
      </text>
    </comment>
    <comment ref="AG69" authorId="0">
      <text>
        <r>
          <rPr>
            <b/>
            <sz val="12"/>
            <rFont val="宋体"/>
            <charset val="134"/>
          </rPr>
          <t>Administrator:</t>
        </r>
        <r>
          <rPr>
            <sz val="12"/>
            <rFont val="宋体"/>
            <charset val="134"/>
          </rPr>
          <t xml:space="preserve">
5/4 1403387 88pcs</t>
        </r>
      </text>
    </comment>
    <comment ref="AI69" authorId="0">
      <text>
        <r>
          <rPr>
            <b/>
            <sz val="12"/>
            <rFont val="宋体"/>
            <charset val="134"/>
          </rPr>
          <t>Administrator:</t>
        </r>
        <r>
          <rPr>
            <sz val="12"/>
            <rFont val="宋体"/>
            <charset val="134"/>
          </rPr>
          <t xml:space="preserve">
3/16 上白色防盗贴纸 88pcs
4/16 上KM外箱贴纸 11pcs</t>
        </r>
      </text>
    </comment>
    <comment ref="AG70" authorId="0">
      <text>
        <r>
          <rPr>
            <b/>
            <sz val="12"/>
            <rFont val="宋体"/>
            <charset val="134"/>
          </rPr>
          <t>Administrator:</t>
        </r>
        <r>
          <rPr>
            <sz val="12"/>
            <rFont val="宋体"/>
            <charset val="134"/>
          </rPr>
          <t xml:space="preserve">
5/4 1403387 736pcs</t>
        </r>
      </text>
    </comment>
    <comment ref="AI70" authorId="0">
      <text>
        <r>
          <rPr>
            <b/>
            <sz val="12"/>
            <rFont val="宋体"/>
            <charset val="134"/>
          </rPr>
          <t>Administrator:</t>
        </r>
        <r>
          <rPr>
            <sz val="12"/>
            <rFont val="宋体"/>
            <charset val="134"/>
          </rPr>
          <t xml:space="preserve">
4/17 上锂电池标签纸106*106  4011pcs
199055/192526/193910/194882/196674/197095共用
4/14 上保证书121*81mm 736pcs
     上进口商贴纸45*47mm 736pcs
     上UPC条码贴纸35*19mm 736pcs</t>
        </r>
      </text>
    </comment>
    <comment ref="AG71" authorId="0">
      <text>
        <r>
          <rPr>
            <b/>
            <sz val="12"/>
            <rFont val="宋体"/>
            <charset val="134"/>
          </rPr>
          <t>Administrator:</t>
        </r>
        <r>
          <rPr>
            <sz val="12"/>
            <rFont val="宋体"/>
            <charset val="134"/>
          </rPr>
          <t xml:space="preserve">
5/11 1403491 10752pcs新B6</t>
        </r>
      </text>
    </comment>
    <comment ref="AI71" authorId="0">
      <text>
        <r>
          <rPr>
            <b/>
            <sz val="12"/>
            <rFont val="宋体"/>
            <charset val="134"/>
          </rPr>
          <t>Administrator:</t>
        </r>
        <r>
          <rPr>
            <sz val="12"/>
            <rFont val="宋体"/>
            <charset val="134"/>
          </rPr>
          <t xml:space="preserve">
4/20 上锂电池贴纸 8425pcs
196335/196563/196509/196510/196512/196513/198363/198365/198366/198368/198369公用
3/27 上客供RFID贴纸 10752pcs</t>
        </r>
      </text>
    </comment>
    <comment ref="AG72" authorId="0">
      <text>
        <r>
          <rPr>
            <b/>
            <sz val="12"/>
            <rFont val="宋体"/>
            <charset val="134"/>
          </rPr>
          <t>Administrator:</t>
        </r>
        <r>
          <rPr>
            <sz val="12"/>
            <rFont val="宋体"/>
            <charset val="134"/>
          </rPr>
          <t xml:space="preserve">
5/9 1402986 8704pcs</t>
        </r>
      </text>
    </comment>
    <comment ref="AI72" authorId="0">
      <text>
        <r>
          <rPr>
            <b/>
            <sz val="12"/>
            <rFont val="宋体"/>
            <charset val="134"/>
          </rPr>
          <t>Administrator:</t>
        </r>
        <r>
          <rPr>
            <sz val="12"/>
            <rFont val="宋体"/>
            <charset val="134"/>
          </rPr>
          <t xml:space="preserve">
4/20 上锂电池贴纸 8425pcs
196335/196563/196509/196510/196512/196513/198363/198365/198366/198368/198369公用
4/8 上客供RFID贴纸 8704pcs</t>
        </r>
      </text>
    </comment>
    <comment ref="AI73" authorId="1">
      <text>
        <r>
          <rPr>
            <b/>
            <sz val="12"/>
            <rFont val="宋体"/>
            <charset val="134"/>
          </rPr>
          <t>DELL:</t>
        </r>
        <r>
          <rPr>
            <sz val="12"/>
            <rFont val="宋体"/>
            <charset val="134"/>
          </rPr>
          <t xml:space="preserve">
4/30 上锂电池贴纸 7282pcs
196453/194798/195170/198032/ZMPO260306/197999/198146/198397/ZMPO260320/199501/1995045/199725/199726/199929/200071/200163/200909/201073/202070共用</t>
        </r>
      </text>
    </comment>
    <comment ref="AG74" authorId="0">
      <text>
        <r>
          <rPr>
            <b/>
            <sz val="12"/>
            <rFont val="宋体"/>
            <charset val="134"/>
          </rPr>
          <t>Administrator:</t>
        </r>
        <r>
          <rPr>
            <sz val="12"/>
            <rFont val="宋体"/>
            <charset val="134"/>
          </rPr>
          <t xml:space="preserve">
5/4 1403383 19552pcs</t>
        </r>
      </text>
    </comment>
    <comment ref="AI74" authorId="0">
      <text>
        <r>
          <rPr>
            <b/>
            <sz val="12"/>
            <rFont val="宋体"/>
            <charset val="134"/>
          </rPr>
          <t>Administrator:</t>
        </r>
        <r>
          <rPr>
            <sz val="12"/>
            <rFont val="宋体"/>
            <charset val="134"/>
          </rPr>
          <t xml:space="preserve">
4/17 上锂电池标签纸106*106  4011pcs
199055/192526/193910/194882/196674/197095共用
4/25 上客供外箱条码贴纸 2469pcs</t>
        </r>
      </text>
    </comment>
    <comment ref="AG75" authorId="0">
      <text>
        <r>
          <rPr>
            <b/>
            <sz val="12"/>
            <rFont val="宋体"/>
            <charset val="134"/>
          </rPr>
          <t>Administrator:</t>
        </r>
        <r>
          <rPr>
            <sz val="12"/>
            <rFont val="宋体"/>
            <charset val="134"/>
          </rPr>
          <t xml:space="preserve">
5/8 1403429 1704PCS B4-A7</t>
        </r>
      </text>
    </comment>
    <comment ref="AG76" authorId="0">
      <text>
        <r>
          <rPr>
            <b/>
            <sz val="12"/>
            <rFont val="宋体"/>
            <charset val="134"/>
          </rPr>
          <t>Administrator:</t>
        </r>
        <r>
          <rPr>
            <sz val="12"/>
            <rFont val="宋体"/>
            <charset val="134"/>
          </rPr>
          <t xml:space="preserve">
5/9 1403434 600pcs </t>
        </r>
      </text>
    </comment>
    <comment ref="AI76" authorId="0">
      <text>
        <r>
          <rPr>
            <b/>
            <sz val="12"/>
            <rFont val="宋体"/>
            <charset val="134"/>
          </rPr>
          <t>Administrator:</t>
        </r>
        <r>
          <rPr>
            <sz val="12"/>
            <rFont val="宋体"/>
            <charset val="134"/>
          </rPr>
          <t xml:space="preserve">
4/21 上警语贴纸 600pcs</t>
        </r>
      </text>
    </comment>
    <comment ref="AG77" authorId="1">
      <text>
        <r>
          <rPr>
            <b/>
            <sz val="12"/>
            <rFont val="宋体"/>
            <charset val="134"/>
          </rPr>
          <t>DELL:</t>
        </r>
        <r>
          <rPr>
            <sz val="12"/>
            <rFont val="宋体"/>
            <charset val="134"/>
          </rPr>
          <t xml:space="preserve">
3001838 4/25 456pcs
3001907 5/4 1176
3001933 5/5 999pcs
3001944 5/61529pcs</t>
        </r>
      </text>
    </comment>
    <comment ref="AI77" authorId="0">
      <text>
        <r>
          <rPr>
            <b/>
            <sz val="12"/>
            <rFont val="宋体"/>
            <charset val="134"/>
          </rPr>
          <t>Administrator:</t>
        </r>
        <r>
          <rPr>
            <sz val="12"/>
            <rFont val="宋体"/>
            <charset val="134"/>
          </rPr>
          <t xml:space="preserve">
4/7 收到锂电池标贴纸 36pcs
</t>
        </r>
      </text>
    </comment>
    <comment ref="AI78" authorId="1">
      <text>
        <r>
          <rPr>
            <b/>
            <sz val="12"/>
            <rFont val="宋体"/>
            <charset val="134"/>
          </rPr>
          <t>DELL:</t>
        </r>
        <r>
          <rPr>
            <sz val="12"/>
            <rFont val="宋体"/>
            <charset val="134"/>
          </rPr>
          <t xml:space="preserve">
4/30 上锂电池贴纸 7282pcs
196453/194798/195170/198032/ZMPO260306/197999/198146/198397/ZMPO260320/199501/1995045/199725/199726/199929/200071/200163/200909/201073/202070共用</t>
        </r>
      </text>
    </comment>
    <comment ref="AG79" authorId="0">
      <text>
        <r>
          <rPr>
            <b/>
            <sz val="12"/>
            <rFont val="宋体"/>
            <charset val="134"/>
          </rPr>
          <t>Administrator:</t>
        </r>
        <r>
          <rPr>
            <sz val="12"/>
            <rFont val="宋体"/>
            <charset val="134"/>
          </rPr>
          <t xml:space="preserve">
3001903 5/4 4800pcs新仓库B7
3001929 5/5 4096pcs新仓库B7</t>
        </r>
      </text>
    </comment>
    <comment ref="AI79" authorId="0">
      <text>
        <r>
          <rPr>
            <b/>
            <sz val="12"/>
            <rFont val="宋体"/>
            <charset val="134"/>
          </rPr>
          <t>Administrator:</t>
        </r>
        <r>
          <rPr>
            <sz val="12"/>
            <rFont val="宋体"/>
            <charset val="134"/>
          </rPr>
          <t xml:space="preserve">
4/20 上锂电池贴纸 8425pcs
196335/196563/196509/196510/196512/196513/198363/198365/198366/198368/198369公用
4/22 上粉色艾利贴纸 2092pcs
3/27 上客供RFID贴纸 8896pcs</t>
        </r>
      </text>
    </comment>
    <comment ref="AG80" authorId="0">
      <text>
        <r>
          <rPr>
            <b/>
            <sz val="12"/>
            <rFont val="宋体"/>
            <charset val="134"/>
          </rPr>
          <t>Administrator:</t>
        </r>
        <r>
          <rPr>
            <sz val="12"/>
            <rFont val="宋体"/>
            <charset val="134"/>
          </rPr>
          <t xml:space="preserve">
5/5 3001936 6720pcs新仓库B5
5/6 3001942 1120pcs新仓库B5
</t>
        </r>
      </text>
    </comment>
    <comment ref="AI80" authorId="0">
      <text>
        <r>
          <rPr>
            <b/>
            <sz val="12"/>
            <rFont val="宋体"/>
            <charset val="134"/>
          </rPr>
          <t>Administrator:</t>
        </r>
        <r>
          <rPr>
            <sz val="12"/>
            <rFont val="宋体"/>
            <charset val="134"/>
          </rPr>
          <t xml:space="preserve">
4/20 上锂电池贴纸 8425pcs
196335/196563/196509/196510/196512/196513/198363/198365/198366/198368/198369公用
4/22 上粉色艾利贴纸 2092pcs
3/27 上客供RFID贴纸 7840pcs</t>
        </r>
      </text>
    </comment>
    <comment ref="AG81" authorId="0">
      <text>
        <r>
          <rPr>
            <b/>
            <sz val="12"/>
            <rFont val="宋体"/>
            <charset val="134"/>
          </rPr>
          <t>Administrator:</t>
        </r>
        <r>
          <rPr>
            <sz val="12"/>
            <rFont val="宋体"/>
            <charset val="134"/>
          </rPr>
          <t xml:space="preserve">
5/9 1403435 6144pcs新3-c3</t>
        </r>
      </text>
    </comment>
    <comment ref="AI81" authorId="0">
      <text>
        <r>
          <rPr>
            <b/>
            <sz val="12"/>
            <rFont val="宋体"/>
            <charset val="134"/>
          </rPr>
          <t>Administrator:</t>
        </r>
        <r>
          <rPr>
            <sz val="12"/>
            <rFont val="宋体"/>
            <charset val="134"/>
          </rPr>
          <t xml:space="preserve">
4/20 上锂电池贴纸 8425pcs
196335/196563/196509/196510/196512/196513/198363/198365/198366/198368/198369公用
4/8 上客供RFID贴纸 6144pcs</t>
        </r>
      </text>
    </comment>
    <comment ref="AG82" authorId="0">
      <text>
        <r>
          <rPr>
            <b/>
            <sz val="12"/>
            <rFont val="宋体"/>
            <charset val="134"/>
          </rPr>
          <t>Administrator:</t>
        </r>
        <r>
          <rPr>
            <sz val="12"/>
            <rFont val="宋体"/>
            <charset val="134"/>
          </rPr>
          <t xml:space="preserve">
5/9 1403434 9216pcs新3-c3</t>
        </r>
      </text>
    </comment>
    <comment ref="AI82" authorId="0">
      <text>
        <r>
          <rPr>
            <b/>
            <sz val="12"/>
            <rFont val="宋体"/>
            <charset val="134"/>
          </rPr>
          <t>Administrator:</t>
        </r>
        <r>
          <rPr>
            <sz val="12"/>
            <rFont val="宋体"/>
            <charset val="134"/>
          </rPr>
          <t xml:space="preserve">
4/20 上锂电池贴纸 8425pcs
196335/196563/196509/196510/196512/196513/198363/198365/198366/198368/198369公用
4/8 上客供RFID贴纸 9216pcs
</t>
        </r>
      </text>
    </comment>
    <comment ref="AG83" authorId="0">
      <text>
        <r>
          <rPr>
            <b/>
            <sz val="12"/>
            <rFont val="宋体"/>
            <charset val="134"/>
          </rPr>
          <t>Administrator:</t>
        </r>
        <r>
          <rPr>
            <sz val="12"/>
            <rFont val="宋体"/>
            <charset val="134"/>
          </rPr>
          <t xml:space="preserve">
5/9 1000021 1840pcs新3-A1
</t>
        </r>
      </text>
    </comment>
    <comment ref="AI83" authorId="0">
      <text>
        <r>
          <rPr>
            <b/>
            <sz val="12"/>
            <rFont val="宋体"/>
            <charset val="134"/>
          </rPr>
          <t>Administrator:</t>
        </r>
        <r>
          <rPr>
            <sz val="12"/>
            <rFont val="宋体"/>
            <charset val="134"/>
          </rPr>
          <t xml:space="preserve">
3/30上锂电池贴纸4792pcs
4500196046/4500195753/4500195755/4500196881/4500196882共用
4/25 上外箱贴纸 230pcs
5/6 上PDQ覆盖唱片贴纸836pcs
4500196881/196882 共用
</t>
        </r>
      </text>
    </comment>
    <comment ref="AG84" authorId="0">
      <text>
        <r>
          <rPr>
            <b/>
            <sz val="12"/>
            <rFont val="宋体"/>
            <charset val="134"/>
          </rPr>
          <t>Administrator:</t>
        </r>
        <r>
          <rPr>
            <sz val="12"/>
            <rFont val="宋体"/>
            <charset val="134"/>
          </rPr>
          <t xml:space="preserve">
5/16 3001722 3328pcs</t>
        </r>
      </text>
    </comment>
    <comment ref="AI84" authorId="0">
      <text>
        <r>
          <rPr>
            <b/>
            <sz val="12"/>
            <rFont val="宋体"/>
            <charset val="134"/>
          </rPr>
          <t>Administrator:</t>
        </r>
        <r>
          <rPr>
            <sz val="12"/>
            <rFont val="宋体"/>
            <charset val="134"/>
          </rPr>
          <t xml:space="preserve">
4/29 上大白方防盗贴纸3328pcs
4/30 上锂电池贴纸 104pcs</t>
        </r>
      </text>
    </comment>
    <comment ref="AG85" authorId="0">
      <text>
        <r>
          <rPr>
            <b/>
            <sz val="12"/>
            <rFont val="宋体"/>
            <charset val="134"/>
          </rPr>
          <t>Administrator:</t>
        </r>
        <r>
          <rPr>
            <sz val="12"/>
            <rFont val="宋体"/>
            <charset val="134"/>
          </rPr>
          <t xml:space="preserve">
5/7 3001948 1246pcs</t>
        </r>
      </text>
    </comment>
    <comment ref="AI85" authorId="1">
      <text>
        <r>
          <rPr>
            <b/>
            <sz val="12"/>
            <rFont val="宋体"/>
            <charset val="134"/>
          </rPr>
          <t>DELL:</t>
        </r>
        <r>
          <rPr>
            <sz val="12"/>
            <rFont val="宋体"/>
            <charset val="134"/>
          </rPr>
          <t xml:space="preserve">
4/22 上cat label 1264pcs
     上锂电池外箱贴纸 158pcs</t>
        </r>
      </text>
    </comment>
    <comment ref="AG86" authorId="0">
      <text>
        <r>
          <rPr>
            <b/>
            <sz val="12"/>
            <rFont val="宋体"/>
            <charset val="134"/>
          </rPr>
          <t>Administrator:</t>
        </r>
        <r>
          <rPr>
            <sz val="12"/>
            <rFont val="宋体"/>
            <charset val="134"/>
          </rPr>
          <t xml:space="preserve">
5/7 3001948 1246pcs</t>
        </r>
      </text>
    </comment>
    <comment ref="AI86" authorId="1">
      <text>
        <r>
          <rPr>
            <b/>
            <sz val="12"/>
            <rFont val="宋体"/>
            <charset val="134"/>
          </rPr>
          <t>DELL:</t>
        </r>
        <r>
          <rPr>
            <sz val="12"/>
            <rFont val="宋体"/>
            <charset val="134"/>
          </rPr>
          <t xml:space="preserve">
4/22 上cat label 1264pcs
     上锂电池外箱贴纸 158pcs</t>
        </r>
      </text>
    </comment>
    <comment ref="AG87" authorId="0">
      <text>
        <r>
          <rPr>
            <b/>
            <sz val="12"/>
            <rFont val="宋体"/>
            <charset val="134"/>
          </rPr>
          <t>Administrator:</t>
        </r>
        <r>
          <rPr>
            <sz val="12"/>
            <rFont val="宋体"/>
            <charset val="134"/>
          </rPr>
          <t xml:space="preserve">
5/9 1403435 6720pcs</t>
        </r>
      </text>
    </comment>
    <comment ref="AI87" authorId="0">
      <text>
        <r>
          <rPr>
            <b/>
            <sz val="12"/>
            <rFont val="宋体"/>
            <charset val="134"/>
          </rPr>
          <t>Administrator:</t>
        </r>
        <r>
          <rPr>
            <sz val="12"/>
            <rFont val="宋体"/>
            <charset val="134"/>
          </rPr>
          <t xml:space="preserve">
4/20 上锂电池贴纸 8425pcs
196335/196563/196509/196510/196512/196513/198363/198365/198366/198368/198369公用
3/27 上客供RFID贴纸 3720pcs
4/27 上粉色艾利贴纸 5738pcs
196513/196512/196510共用
</t>
        </r>
      </text>
    </comment>
    <comment ref="AG88" authorId="0">
      <text>
        <r>
          <rPr>
            <b/>
            <sz val="12"/>
            <rFont val="宋体"/>
            <charset val="134"/>
          </rPr>
          <t>Administrator:</t>
        </r>
        <r>
          <rPr>
            <sz val="12"/>
            <rFont val="宋体"/>
            <charset val="134"/>
          </rPr>
          <t xml:space="preserve">
5/9 1403440 10528pcs</t>
        </r>
      </text>
    </comment>
    <comment ref="AI88" authorId="0">
      <text>
        <r>
          <rPr>
            <b/>
            <sz val="12"/>
            <rFont val="宋体"/>
            <charset val="134"/>
          </rPr>
          <t>Administrator:</t>
        </r>
        <r>
          <rPr>
            <sz val="12"/>
            <rFont val="宋体"/>
            <charset val="134"/>
          </rPr>
          <t xml:space="preserve">
4/20 上锂电池贴纸 8425pcs
196335/196563/196509/196510/196512/196513/198363/198365/198366/198368/198369公用
3/27 上客供RFID贴纸 10528pcs
4/27 上粉色艾利贴纸 5738pcs
196513/196512/196510共用
</t>
        </r>
      </text>
    </comment>
    <comment ref="AG89" authorId="0">
      <text>
        <r>
          <rPr>
            <b/>
            <sz val="12"/>
            <rFont val="宋体"/>
            <charset val="134"/>
          </rPr>
          <t>Administrator:</t>
        </r>
        <r>
          <rPr>
            <sz val="12"/>
            <rFont val="宋体"/>
            <charset val="134"/>
          </rPr>
          <t xml:space="preserve">
5/15 1403578 12800pcs</t>
        </r>
      </text>
    </comment>
    <comment ref="AI89" authorId="0">
      <text>
        <r>
          <rPr>
            <b/>
            <sz val="12"/>
            <rFont val="宋体"/>
            <charset val="134"/>
          </rPr>
          <t>Administrator:</t>
        </r>
        <r>
          <rPr>
            <sz val="12"/>
            <rFont val="宋体"/>
            <charset val="134"/>
          </rPr>
          <t xml:space="preserve">
4/20 上锂电池贴纸 8425pcs
196335/196563/196509/196510/196512/196513/198363/198365/198366/198368/198369公用
4/8 上客供RFID贴纸 12800pcs
</t>
        </r>
      </text>
    </comment>
    <comment ref="AG92" authorId="0">
      <text>
        <r>
          <rPr>
            <b/>
            <sz val="12"/>
            <rFont val="宋体"/>
            <charset val="134"/>
          </rPr>
          <t>Administrator:</t>
        </r>
        <r>
          <rPr>
            <sz val="12"/>
            <rFont val="宋体"/>
            <charset val="134"/>
          </rPr>
          <t xml:space="preserve">
5/11 1000048 2048pcs</t>
        </r>
      </text>
    </comment>
    <comment ref="AI92" authorId="0">
      <text>
        <r>
          <rPr>
            <b/>
            <sz val="12"/>
            <rFont val="宋体"/>
            <charset val="134"/>
          </rPr>
          <t>Administrator:</t>
        </r>
        <r>
          <rPr>
            <sz val="12"/>
            <rFont val="宋体"/>
            <charset val="134"/>
          </rPr>
          <t xml:space="preserve">
4/17 上锂电池标签纸106*106  4011pcs
199055/192526/193910/194882/196674/197095共用</t>
        </r>
      </text>
    </comment>
    <comment ref="AG93" authorId="0">
      <text>
        <r>
          <rPr>
            <b/>
            <sz val="12"/>
            <rFont val="宋体"/>
            <charset val="134"/>
          </rPr>
          <t>Administrator:</t>
        </r>
        <r>
          <rPr>
            <sz val="12"/>
            <rFont val="宋体"/>
            <charset val="134"/>
          </rPr>
          <t xml:space="preserve">
5/16 1403593 6144pcs</t>
        </r>
      </text>
    </comment>
    <comment ref="AI93" authorId="0">
      <text>
        <r>
          <rPr>
            <b/>
            <sz val="12"/>
            <rFont val="宋体"/>
            <charset val="134"/>
          </rPr>
          <t>Administrator:</t>
        </r>
        <r>
          <rPr>
            <sz val="12"/>
            <rFont val="宋体"/>
            <charset val="134"/>
          </rPr>
          <t xml:space="preserve">
4/20 上锂电池贴纸 8425pcs
196335/196563/196509/196510/196512/196513/198363/198365/198366/198368/198369公用
4/8 上客供RFID贴纸 6144pcs
</t>
        </r>
      </text>
    </comment>
    <comment ref="AG94" authorId="0">
      <text>
        <r>
          <rPr>
            <sz val="12"/>
            <rFont val="宋体"/>
            <charset val="134"/>
          </rPr>
          <t xml:space="preserve">Administrator:
5/16 1403593 6144pcs
</t>
        </r>
      </text>
    </comment>
    <comment ref="AI94" authorId="0">
      <text>
        <r>
          <rPr>
            <b/>
            <sz val="12"/>
            <rFont val="宋体"/>
            <charset val="134"/>
          </rPr>
          <t>Administrator:</t>
        </r>
        <r>
          <rPr>
            <sz val="12"/>
            <rFont val="宋体"/>
            <charset val="134"/>
          </rPr>
          <t xml:space="preserve">
4/20 上锂电池贴纸 8425pcs
196335/196563/196509/196510/196512/196513/198363/198365/198366/198368/198369公用
4/8 上客供RFID贴纸 6656pcs
</t>
        </r>
      </text>
    </comment>
    <comment ref="AG95" authorId="0">
      <text>
        <r>
          <rPr>
            <b/>
            <sz val="12"/>
            <rFont val="宋体"/>
            <charset val="134"/>
          </rPr>
          <t>Administrator:</t>
        </r>
        <r>
          <rPr>
            <sz val="12"/>
            <rFont val="宋体"/>
            <charset val="134"/>
          </rPr>
          <t xml:space="preserve">
Administrator:
5/16 1403593 6144pcs
</t>
        </r>
      </text>
    </comment>
    <comment ref="AI95" authorId="0">
      <text>
        <r>
          <rPr>
            <b/>
            <sz val="12"/>
            <rFont val="宋体"/>
            <charset val="134"/>
          </rPr>
          <t>Administrator:</t>
        </r>
        <r>
          <rPr>
            <sz val="12"/>
            <rFont val="宋体"/>
            <charset val="134"/>
          </rPr>
          <t xml:space="preserve">
4/20 上锂电池贴纸 8425pcs
196335/196563/196509/196510/196512/196513/198363/198365/198366/198368/198369公用
4/8 上客供RFID贴纸 8704pcs</t>
        </r>
      </text>
    </comment>
    <comment ref="AG96" authorId="0">
      <text>
        <r>
          <rPr>
            <b/>
            <sz val="9"/>
            <rFont val="宋体"/>
            <charset val="134"/>
          </rPr>
          <t>Administrator:</t>
        </r>
        <r>
          <rPr>
            <sz val="9"/>
            <rFont val="宋体"/>
            <charset val="134"/>
          </rPr>
          <t xml:space="preserve">
5/14 140525 12336pcs</t>
        </r>
      </text>
    </comment>
    <comment ref="AI96" authorId="0">
      <text>
        <r>
          <rPr>
            <b/>
            <sz val="12"/>
            <rFont val="宋体"/>
            <charset val="134"/>
          </rPr>
          <t>Administrator:</t>
        </r>
        <r>
          <rPr>
            <sz val="12"/>
            <rFont val="宋体"/>
            <charset val="134"/>
          </rPr>
          <t xml:space="preserve">
4/20 上锂电池贴纸 8425pcs
196335/196563/196509/196510/196512/196513/198363/198365/198366/198368/198369公用
4/27 上粉色艾利贴纸 5738pcs
196513/196512/196510共用
</t>
        </r>
      </text>
    </comment>
    <comment ref="AG97" authorId="0">
      <text>
        <r>
          <rPr>
            <b/>
            <sz val="12"/>
            <rFont val="宋体"/>
            <charset val="134"/>
          </rPr>
          <t>Administrator:</t>
        </r>
        <r>
          <rPr>
            <sz val="12"/>
            <rFont val="宋体"/>
            <charset val="134"/>
          </rPr>
          <t xml:space="preserve">
5/13 1000021 6000pcs</t>
        </r>
      </text>
    </comment>
    <comment ref="AI97" authorId="1">
      <text>
        <r>
          <rPr>
            <b/>
            <sz val="12"/>
            <rFont val="宋体"/>
            <charset val="134"/>
          </rPr>
          <t>DELL:</t>
        </r>
        <r>
          <rPr>
            <sz val="12"/>
            <rFont val="宋体"/>
            <charset val="134"/>
          </rPr>
          <t xml:space="preserve">
4/30 上锂电池贴纸 7282pcs
196453/194798/195170/198032/ZMPO260306/197999/198146/198397/ZMPO260320/199501/1995045/199725/199726/199929/200071/200163/200909/201073/202070共用</t>
        </r>
      </text>
    </comment>
    <comment ref="AG98" authorId="0">
      <text>
        <r>
          <rPr>
            <sz val="9"/>
            <rFont val="宋体"/>
            <charset val="134"/>
          </rPr>
          <t xml:space="preserve">Administrator:
</t>
        </r>
        <r>
          <rPr>
            <b/>
            <sz val="9"/>
            <rFont val="宋体"/>
            <charset val="134"/>
          </rPr>
          <t xml:space="preserve">
龙丽娟:</t>
        </r>
        <r>
          <rPr>
            <sz val="9"/>
            <rFont val="宋体"/>
            <charset val="134"/>
          </rPr>
          <t xml:space="preserve">
5/27 3002532 4320PCS</t>
        </r>
      </text>
    </comment>
    <comment ref="AI98" authorId="0">
      <text>
        <r>
          <rPr>
            <b/>
            <sz val="12"/>
            <rFont val="宋体"/>
            <charset val="134"/>
          </rPr>
          <t>Administrator:</t>
        </r>
        <r>
          <rPr>
            <sz val="12"/>
            <rFont val="宋体"/>
            <charset val="134"/>
          </rPr>
          <t xml:space="preserve">
4/17 收到锂电池标签纸 396pcs
194942/194943/194944/194945/194947/194948/194951/194953/194954/194956/194957共用</t>
        </r>
      </text>
    </comment>
    <comment ref="AG99" authorId="2">
      <text>
        <r>
          <rPr>
            <b/>
            <sz val="9"/>
            <rFont val="宋体"/>
            <charset val="134"/>
          </rPr>
          <t>龙丽娟:</t>
        </r>
        <r>
          <rPr>
            <sz val="9"/>
            <rFont val="宋体"/>
            <charset val="134"/>
          </rPr>
          <t xml:space="preserve">
5/27 2800023 3192pcs新2b6</t>
        </r>
      </text>
    </comment>
    <comment ref="AI99" authorId="0">
      <text>
        <r>
          <rPr>
            <b/>
            <sz val="12"/>
            <rFont val="宋体"/>
            <charset val="134"/>
          </rPr>
          <t>Administrator:</t>
        </r>
        <r>
          <rPr>
            <sz val="12"/>
            <rFont val="宋体"/>
            <charset val="134"/>
          </rPr>
          <t xml:space="preserve">
4/20 上锂电池贴纸 8425pcs
196335/196563/196509/196510/196512/196513/198363/198365/198366/198368/198369公用</t>
        </r>
      </text>
    </comment>
    <comment ref="AG100" authorId="0">
      <text>
        <r>
          <rPr>
            <b/>
            <sz val="12"/>
            <rFont val="宋体"/>
            <charset val="134"/>
          </rPr>
          <t>Administrator:</t>
        </r>
        <r>
          <rPr>
            <sz val="12"/>
            <rFont val="宋体"/>
            <charset val="134"/>
          </rPr>
          <t xml:space="preserve">
5/23 1403357 2128pcs</t>
        </r>
      </text>
    </comment>
    <comment ref="AI100" authorId="0">
      <text>
        <r>
          <rPr>
            <b/>
            <sz val="12"/>
            <rFont val="宋体"/>
            <charset val="134"/>
          </rPr>
          <t>Administrator:</t>
        </r>
        <r>
          <rPr>
            <sz val="12"/>
            <rFont val="宋体"/>
            <charset val="134"/>
          </rPr>
          <t xml:space="preserve">
4/17 上锂电池标签纸106*106  4011pcs
199055/192526/193910/194882/196674/197095共用</t>
        </r>
      </text>
    </comment>
    <comment ref="AG101" authorId="0">
      <text>
        <r>
          <rPr>
            <b/>
            <sz val="9"/>
            <rFont val="宋体"/>
            <charset val="134"/>
          </rPr>
          <t>Administrator:</t>
        </r>
        <r>
          <rPr>
            <sz val="9"/>
            <rFont val="宋体"/>
            <charset val="134"/>
          </rPr>
          <t xml:space="preserve">
</t>
        </r>
      </text>
    </comment>
    <comment ref="AI101" authorId="0">
      <text>
        <r>
          <rPr>
            <b/>
            <sz val="12"/>
            <rFont val="宋体"/>
            <charset val="134"/>
          </rPr>
          <t>Administrator:</t>
        </r>
        <r>
          <rPr>
            <sz val="12"/>
            <rFont val="宋体"/>
            <charset val="134"/>
          </rPr>
          <t xml:space="preserve">
3/24 上锂电池贴纸32pcs
4/7 上进口商贴纸512pcs</t>
        </r>
      </text>
    </comment>
    <comment ref="AG102" authorId="0">
      <text>
        <r>
          <rPr>
            <b/>
            <sz val="12"/>
            <rFont val="宋体"/>
            <charset val="134"/>
          </rPr>
          <t>Administrator:</t>
        </r>
        <r>
          <rPr>
            <sz val="12"/>
            <rFont val="宋体"/>
            <charset val="134"/>
          </rPr>
          <t xml:space="preserve">
5/16 1403582 1232pcs</t>
        </r>
      </text>
    </comment>
    <comment ref="AI102" authorId="0">
      <text>
        <r>
          <rPr>
            <b/>
            <sz val="12"/>
            <rFont val="宋体"/>
            <charset val="134"/>
          </rPr>
          <t>Administrator:</t>
        </r>
        <r>
          <rPr>
            <sz val="12"/>
            <rFont val="宋体"/>
            <charset val="134"/>
          </rPr>
          <t xml:space="preserve">
5/15 上PDQ覆盖唱片贴纸226pcs
4500197867/198032</t>
        </r>
      </text>
    </comment>
    <comment ref="AG103" authorId="0">
      <text>
        <r>
          <rPr>
            <b/>
            <sz val="12"/>
            <rFont val="宋体"/>
            <charset val="134"/>
          </rPr>
          <t>Administrator:</t>
        </r>
        <r>
          <rPr>
            <sz val="12"/>
            <rFont val="宋体"/>
            <charset val="134"/>
          </rPr>
          <t xml:space="preserve">
5/16 1403582 576pcs</t>
        </r>
      </text>
    </comment>
    <comment ref="AI103" authorId="1">
      <text>
        <r>
          <rPr>
            <b/>
            <sz val="12"/>
            <rFont val="宋体"/>
            <charset val="134"/>
          </rPr>
          <t>DELL:</t>
        </r>
        <r>
          <rPr>
            <sz val="12"/>
            <rFont val="宋体"/>
            <charset val="134"/>
          </rPr>
          <t xml:space="preserve">
4/30 上锂电池贴纸 7282pcs
196453/194798/195170/198032/ZMPO260306/197999/198146/198397/ZMPO260320/199501/1995045/199725/199726/199929/200071/200163/200909/201073/202070共用
5/15上PDQ覆盖唱片贴纸226pcs</t>
        </r>
      </text>
    </comment>
    <comment ref="AG104" authorId="2">
      <text>
        <r>
          <rPr>
            <b/>
            <sz val="9"/>
            <rFont val="宋体"/>
            <charset val="134"/>
          </rPr>
          <t>龙丽娟:</t>
        </r>
        <r>
          <rPr>
            <sz val="9"/>
            <rFont val="宋体"/>
            <charset val="134"/>
          </rPr>
          <t xml:space="preserve">
5/27 2800023 88pcs新2b5</t>
        </r>
      </text>
    </comment>
    <comment ref="AI104" authorId="1">
      <text>
        <r>
          <rPr>
            <b/>
            <sz val="12"/>
            <rFont val="宋体"/>
            <charset val="134"/>
          </rPr>
          <t>DELL:</t>
        </r>
        <r>
          <rPr>
            <sz val="12"/>
            <rFont val="宋体"/>
            <charset val="134"/>
          </rPr>
          <t xml:space="preserve">
4/30 上锂电池贴纸 7282pcs
196453/194798/195170/198032/ZMPO260306/197999/198146/198397/ZMPO260320/199501/1995045/199725/199726/199929/200071/200163/200909/201073/202070共用
5/11上kmart外箱贴纸177pcs</t>
        </r>
      </text>
    </comment>
    <comment ref="AG105" authorId="2">
      <text>
        <r>
          <rPr>
            <b/>
            <sz val="9"/>
            <rFont val="宋体"/>
            <charset val="134"/>
          </rPr>
          <t>龙丽娟:</t>
        </r>
        <r>
          <rPr>
            <sz val="9"/>
            <rFont val="宋体"/>
            <charset val="134"/>
          </rPr>
          <t xml:space="preserve">
5/27 2800023 88pcs新2b6</t>
        </r>
      </text>
    </comment>
    <comment ref="AI105" authorId="0">
      <text>
        <r>
          <rPr>
            <b/>
            <sz val="12"/>
            <rFont val="宋体"/>
            <charset val="134"/>
          </rPr>
          <t>Administrator:</t>
        </r>
        <r>
          <rPr>
            <sz val="12"/>
            <rFont val="宋体"/>
            <charset val="134"/>
          </rPr>
          <t xml:space="preserve">
4/2 上白色防盗贴纸88pcs
5/11上kmart外箱贴纸11pcs</t>
        </r>
      </text>
    </comment>
    <comment ref="AG106" authorId="0">
      <text>
        <r>
          <rPr>
            <b/>
            <sz val="9"/>
            <rFont val="宋体"/>
            <charset val="134"/>
          </rPr>
          <t>Administrator:</t>
        </r>
        <r>
          <rPr>
            <sz val="9"/>
            <rFont val="宋体"/>
            <charset val="134"/>
          </rPr>
          <t xml:space="preserve">
</t>
        </r>
      </text>
    </comment>
    <comment ref="AI106" authorId="1">
      <text>
        <r>
          <rPr>
            <b/>
            <sz val="12"/>
            <rFont val="宋体"/>
            <charset val="134"/>
          </rPr>
          <t>DELL:</t>
        </r>
        <r>
          <rPr>
            <sz val="12"/>
            <rFont val="宋体"/>
            <charset val="134"/>
          </rPr>
          <t xml:space="preserve">
4/30 上锂电池贴纸 7282pcs
196453/194798/195170/198032/ZMPO260306/197999/198146/198397/ZMPO260320/199501/1995045/199725/199726/199929/200071/200163/200909/201073/202070共用</t>
        </r>
      </text>
    </comment>
    <comment ref="AG107" authorId="0">
      <text>
        <r>
          <rPr>
            <b/>
            <sz val="12"/>
            <rFont val="宋体"/>
            <charset val="134"/>
          </rPr>
          <t>Administrator:</t>
        </r>
        <r>
          <rPr>
            <sz val="12"/>
            <rFont val="宋体"/>
            <charset val="134"/>
          </rPr>
          <t xml:space="preserve">
5/23 1403365 7968pcs</t>
        </r>
      </text>
    </comment>
    <comment ref="AI107" authorId="1">
      <text>
        <r>
          <rPr>
            <b/>
            <sz val="9"/>
            <rFont val="宋体"/>
            <charset val="134"/>
          </rPr>
          <t>DELL:</t>
        </r>
        <r>
          <rPr>
            <sz val="9"/>
            <rFont val="宋体"/>
            <charset val="134"/>
          </rPr>
          <t xml:space="preserve">
4/27 上粉色艾利贴纸 5738pcs
196513/196512/196510共用
</t>
        </r>
      </text>
    </comment>
    <comment ref="AG108" authorId="2">
      <text>
        <r>
          <rPr>
            <b/>
            <sz val="9"/>
            <rFont val="宋体"/>
            <charset val="134"/>
          </rPr>
          <t>龙丽娟:</t>
        </r>
        <r>
          <rPr>
            <sz val="9"/>
            <rFont val="宋体"/>
            <charset val="134"/>
          </rPr>
          <t xml:space="preserve">
5/23 1403365 7968pcs</t>
        </r>
      </text>
    </comment>
    <comment ref="AI108" authorId="1">
      <text>
        <r>
          <rPr>
            <b/>
            <sz val="9"/>
            <rFont val="宋体"/>
            <charset val="134"/>
          </rPr>
          <t>DELL:</t>
        </r>
        <r>
          <rPr>
            <sz val="9"/>
            <rFont val="宋体"/>
            <charset val="134"/>
          </rPr>
          <t xml:space="preserve">
4/27 上粉色艾利贴纸 5738pcs
196513/196512/196510共用
</t>
        </r>
      </text>
    </comment>
    <comment ref="AG109" authorId="0">
      <text>
        <r>
          <rPr>
            <b/>
            <sz val="9"/>
            <rFont val="宋体"/>
            <charset val="134"/>
          </rPr>
          <t>Administrator:</t>
        </r>
        <r>
          <rPr>
            <sz val="9"/>
            <rFont val="宋体"/>
            <charset val="134"/>
          </rPr>
          <t xml:space="preserve">
</t>
        </r>
      </text>
    </comment>
    <comment ref="AI109" authorId="0">
      <text>
        <r>
          <rPr>
            <b/>
            <sz val="12"/>
            <rFont val="宋体"/>
            <charset val="134"/>
          </rPr>
          <t xml:space="preserve">Administrator:
</t>
        </r>
        <r>
          <rPr>
            <sz val="12"/>
            <rFont val="宋体"/>
            <charset val="134"/>
          </rPr>
          <t>5/14已上30000pcs锂电池贴纸</t>
        </r>
      </text>
    </comment>
    <comment ref="AG110" authorId="0">
      <text>
        <r>
          <rPr>
            <b/>
            <sz val="9"/>
            <rFont val="宋体"/>
            <charset val="134"/>
          </rPr>
          <t>Administrator:</t>
        </r>
        <r>
          <rPr>
            <sz val="9"/>
            <rFont val="宋体"/>
            <charset val="134"/>
          </rPr>
          <t xml:space="preserve">
</t>
        </r>
      </text>
    </comment>
    <comment ref="AI110" authorId="0">
      <text>
        <r>
          <rPr>
            <b/>
            <sz val="12"/>
            <rFont val="宋体"/>
            <charset val="134"/>
          </rPr>
          <t xml:space="preserve">Administrator:
</t>
        </r>
        <r>
          <rPr>
            <sz val="12"/>
            <rFont val="宋体"/>
            <charset val="134"/>
          </rPr>
          <t>5/14已上30000pcs锂电池贴纸</t>
        </r>
      </text>
    </comment>
    <comment ref="AG111" authorId="0">
      <text>
        <r>
          <rPr>
            <b/>
            <sz val="9"/>
            <rFont val="宋体"/>
            <charset val="134"/>
          </rPr>
          <t>Administrator:</t>
        </r>
        <r>
          <rPr>
            <sz val="9"/>
            <rFont val="宋体"/>
            <charset val="134"/>
          </rPr>
          <t xml:space="preserve">
</t>
        </r>
      </text>
    </comment>
    <comment ref="AI111" authorId="0">
      <text>
        <r>
          <rPr>
            <b/>
            <sz val="12"/>
            <rFont val="宋体"/>
            <charset val="134"/>
          </rPr>
          <t xml:space="preserve">Administrator:
</t>
        </r>
        <r>
          <rPr>
            <sz val="12"/>
            <rFont val="宋体"/>
            <charset val="134"/>
          </rPr>
          <t>5/14已上30000pcs锂电池贴纸</t>
        </r>
      </text>
    </comment>
    <comment ref="AG112" authorId="0">
      <text>
        <r>
          <rPr>
            <b/>
            <sz val="12"/>
            <rFont val="宋体"/>
            <charset val="134"/>
          </rPr>
          <t>Administrator:</t>
        </r>
        <r>
          <rPr>
            <sz val="12"/>
            <rFont val="宋体"/>
            <charset val="134"/>
          </rPr>
          <t xml:space="preserve">
5/15 3001718 12288pcs</t>
        </r>
      </text>
    </comment>
    <comment ref="AI112" authorId="0">
      <text>
        <r>
          <rPr>
            <b/>
            <sz val="12"/>
            <rFont val="宋体"/>
            <charset val="134"/>
          </rPr>
          <t xml:space="preserve">Administrator:
</t>
        </r>
        <r>
          <rPr>
            <sz val="12"/>
            <rFont val="宋体"/>
            <charset val="134"/>
          </rPr>
          <t>5/14已上30000pcs锂电池贴纸</t>
        </r>
      </text>
    </comment>
    <comment ref="AG113" authorId="2">
      <text>
        <r>
          <rPr>
            <b/>
            <sz val="9"/>
            <rFont val="宋体"/>
            <charset val="134"/>
          </rPr>
          <t>龙丽娟:</t>
        </r>
        <r>
          <rPr>
            <sz val="9"/>
            <rFont val="宋体"/>
            <charset val="134"/>
          </rPr>
          <t xml:space="preserve">
5/28 2800056 1504pcs</t>
        </r>
      </text>
    </comment>
    <comment ref="AI113" authorId="0">
      <text>
        <r>
          <rPr>
            <b/>
            <sz val="12"/>
            <rFont val="宋体"/>
            <charset val="134"/>
          </rPr>
          <t>Administrator:</t>
        </r>
        <r>
          <rPr>
            <sz val="12"/>
            <rFont val="宋体"/>
            <charset val="134"/>
          </rPr>
          <t xml:space="preserve">
3/30上锂电池贴纸4792pcs
4500196046/4500195753/4500195755/4500196881/4500196882共用
5/6 上PDQ覆盖唱片贴纸836pcs
4500196881/196882 共用
5/18上sscc外箱贴纸188
pcs
</t>
        </r>
      </text>
    </comment>
    <comment ref="AG114" authorId="0">
      <text>
        <r>
          <rPr>
            <b/>
            <sz val="9"/>
            <rFont val="宋体"/>
            <charset val="134"/>
          </rPr>
          <t>Administrator:</t>
        </r>
        <r>
          <rPr>
            <sz val="9"/>
            <rFont val="宋体"/>
            <charset val="134"/>
          </rPr>
          <t xml:space="preserve">
</t>
        </r>
      </text>
    </comment>
    <comment ref="AJ114" authorId="0">
      <text>
        <r>
          <rPr>
            <b/>
            <sz val="12"/>
            <rFont val="宋体"/>
            <charset val="134"/>
          </rPr>
          <t>Administrator:</t>
        </r>
        <r>
          <rPr>
            <sz val="12"/>
            <rFont val="宋体"/>
            <charset val="134"/>
          </rPr>
          <t xml:space="preserve">
5/18 3002598 5008pcs</t>
        </r>
      </text>
    </comment>
    <comment ref="AI115" authorId="1">
      <text>
        <r>
          <rPr>
            <b/>
            <sz val="12"/>
            <rFont val="宋体"/>
            <charset val="134"/>
          </rPr>
          <t>DELL:</t>
        </r>
        <r>
          <rPr>
            <sz val="12"/>
            <rFont val="宋体"/>
            <charset val="134"/>
          </rPr>
          <t xml:space="preserve">
4/30 上锂电池贴纸 7282pcs
196453/194798/195170/198032/ZMPO260306/197999/198146/198397/ZMPO260320/199501/1995045/199725/199726/199929/200071/200163/200909/201073/202070共用</t>
        </r>
      </text>
    </comment>
    <comment ref="AG116" authorId="0">
      <text>
        <r>
          <rPr>
            <b/>
            <sz val="12"/>
            <rFont val="宋体"/>
            <charset val="134"/>
          </rPr>
          <t>Administrator:</t>
        </r>
        <r>
          <rPr>
            <sz val="12"/>
            <rFont val="宋体"/>
            <charset val="134"/>
          </rPr>
          <t xml:space="preserve">
5/20 1403914 1392pcs
5/21 3001749 2928pcs</t>
        </r>
      </text>
    </comment>
    <comment ref="AI116" authorId="0">
      <text>
        <r>
          <rPr>
            <b/>
            <sz val="12"/>
            <rFont val="宋体"/>
            <charset val="134"/>
          </rPr>
          <t>Administrator:</t>
        </r>
        <r>
          <rPr>
            <sz val="12"/>
            <rFont val="宋体"/>
            <charset val="134"/>
          </rPr>
          <t xml:space="preserve">
4/17 收到锂电池标签纸 396pcs
194942/194943/194944/194945/194947/194948/194951/194953/194954/194956/194957共用</t>
        </r>
      </text>
    </comment>
    <comment ref="AI117" authorId="0">
      <text>
        <r>
          <rPr>
            <b/>
            <sz val="12"/>
            <rFont val="宋体"/>
            <charset val="134"/>
          </rPr>
          <t>Administrator:</t>
        </r>
        <r>
          <rPr>
            <sz val="12"/>
            <rFont val="宋体"/>
            <charset val="134"/>
          </rPr>
          <t xml:space="preserve">
4/17 收到锂电池标签纸 396pcs
194942/194943/194944/194945/194947/194948/194951/194953/194954/194956/194957共用</t>
        </r>
      </text>
    </comment>
    <comment ref="AG118" authorId="0">
      <text>
        <r>
          <rPr>
            <b/>
            <sz val="12"/>
            <rFont val="宋体"/>
            <charset val="134"/>
          </rPr>
          <t>Administrator:</t>
        </r>
        <r>
          <rPr>
            <sz val="12"/>
            <rFont val="宋体"/>
            <charset val="134"/>
          </rPr>
          <t xml:space="preserve">
5/12 454pcs
5/14 1224pcs
5/23 296pcs 3001741</t>
        </r>
      </text>
    </comment>
    <comment ref="AI118" authorId="1">
      <text>
        <r>
          <rPr>
            <b/>
            <sz val="12"/>
            <rFont val="宋体"/>
            <charset val="134"/>
          </rPr>
          <t>DELL:</t>
        </r>
        <r>
          <rPr>
            <sz val="12"/>
            <rFont val="宋体"/>
            <charset val="134"/>
          </rPr>
          <t xml:space="preserve">
4/30 上锂电池UN3481标识贴纸260*260mm 196pcs
197499/198839/198838/197500/197501/197502共用</t>
        </r>
      </text>
    </comment>
    <comment ref="AQ118" authorId="3">
      <text>
        <r>
          <rPr>
            <b/>
            <sz val="9"/>
            <rFont val="宋体"/>
            <charset val="134"/>
          </rPr>
          <t>RR:</t>
        </r>
        <r>
          <rPr>
            <sz val="9"/>
            <rFont val="宋体"/>
            <charset val="134"/>
          </rPr>
          <t xml:space="preserve">
新客版资料</t>
        </r>
      </text>
    </comment>
    <comment ref="AR118" authorId="3">
      <text>
        <r>
          <rPr>
            <b/>
            <sz val="9"/>
            <rFont val="宋体"/>
            <charset val="134"/>
          </rPr>
          <t>RR:</t>
        </r>
        <r>
          <rPr>
            <sz val="9"/>
            <rFont val="宋体"/>
            <charset val="134"/>
          </rPr>
          <t xml:space="preserve">
新客版资料</t>
        </r>
      </text>
    </comment>
    <comment ref="AS118" authorId="3">
      <text>
        <r>
          <rPr>
            <b/>
            <sz val="9"/>
            <rFont val="宋体"/>
            <charset val="134"/>
          </rPr>
          <t>RR:</t>
        </r>
        <r>
          <rPr>
            <sz val="9"/>
            <rFont val="宋体"/>
            <charset val="134"/>
          </rPr>
          <t xml:space="preserve">
新客版资料</t>
        </r>
      </text>
    </comment>
    <comment ref="AG119" authorId="0">
      <text>
        <r>
          <rPr>
            <b/>
            <sz val="12"/>
            <rFont val="宋体"/>
            <charset val="134"/>
          </rPr>
          <t>Administrator:</t>
        </r>
        <r>
          <rPr>
            <sz val="12"/>
            <rFont val="宋体"/>
            <charset val="134"/>
          </rPr>
          <t xml:space="preserve">
5/21 3001750 1200pcs新B9</t>
        </r>
      </text>
    </comment>
    <comment ref="AI119" authorId="1">
      <text>
        <r>
          <rPr>
            <b/>
            <sz val="12"/>
            <rFont val="宋体"/>
            <charset val="134"/>
          </rPr>
          <t>DELL:</t>
        </r>
        <r>
          <rPr>
            <sz val="12"/>
            <rFont val="宋体"/>
            <charset val="134"/>
          </rPr>
          <t xml:space="preserve">
4/30 上锂电池贴纸 7282pcs
196453/194798/195170/198032/ZMPO260306/197999/198146/198397/ZMPO260320/199501/1995045/199725/199726/199929/200071/200163/200909/201073/202070共用
5/13商客人通用进口商贴纸2160pcs
5/13PDQ覆盖唱片贴纸460pcs</t>
        </r>
      </text>
    </comment>
    <comment ref="AG120" authorId="0">
      <text>
        <r>
          <rPr>
            <b/>
            <sz val="9"/>
            <rFont val="宋体"/>
            <charset val="134"/>
          </rPr>
          <t>Administrator:</t>
        </r>
        <r>
          <rPr>
            <sz val="9"/>
            <rFont val="宋体"/>
            <charset val="134"/>
          </rPr>
          <t xml:space="preserve">
</t>
        </r>
      </text>
    </comment>
    <comment ref="AI120" authorId="0">
      <text>
        <r>
          <rPr>
            <b/>
            <sz val="12"/>
            <rFont val="宋体"/>
            <charset val="134"/>
          </rPr>
          <t>Administrator:</t>
        </r>
        <r>
          <rPr>
            <sz val="12"/>
            <rFont val="宋体"/>
            <charset val="134"/>
          </rPr>
          <t xml:space="preserve">
4/17 收到锂电池标签纸 396pcs
194942/194943/194944/194945/194947/194948/194951/194953/194954/194956/194957共用</t>
        </r>
      </text>
    </comment>
    <comment ref="AG121" authorId="0">
      <text>
        <r>
          <rPr>
            <b/>
            <sz val="12"/>
            <rFont val="宋体"/>
            <charset val="134"/>
          </rPr>
          <t>Administrator:</t>
        </r>
        <r>
          <rPr>
            <sz val="12"/>
            <rFont val="宋体"/>
            <charset val="134"/>
          </rPr>
          <t xml:space="preserve">
5/21 3001750 1200pcs新B9
</t>
        </r>
      </text>
    </comment>
    <comment ref="AI121" authorId="0">
      <text>
        <r>
          <rPr>
            <b/>
            <sz val="12"/>
            <rFont val="宋体"/>
            <charset val="134"/>
          </rPr>
          <t>Administrator:</t>
        </r>
        <r>
          <rPr>
            <sz val="12"/>
            <rFont val="宋体"/>
            <charset val="134"/>
          </rPr>
          <t xml:space="preserve">
4/17 收到锂电池标签纸 396pcs
194942/194943/194944/194945/194947/194948/194951/194953/194954/194956/194957共用</t>
        </r>
      </text>
    </comment>
    <comment ref="AG122" authorId="2">
      <text>
        <r>
          <rPr>
            <b/>
            <sz val="9"/>
            <rFont val="宋体"/>
            <charset val="134"/>
          </rPr>
          <t>龙丽娟:</t>
        </r>
        <r>
          <rPr>
            <sz val="9"/>
            <rFont val="宋体"/>
            <charset val="134"/>
          </rPr>
          <t xml:space="preserve">
5/28 3002532 4320PCS</t>
        </r>
      </text>
    </comment>
    <comment ref="AI122" authorId="0">
      <text>
        <r>
          <rPr>
            <b/>
            <sz val="12"/>
            <rFont val="宋体"/>
            <charset val="134"/>
          </rPr>
          <t>Administrator:</t>
        </r>
        <r>
          <rPr>
            <sz val="12"/>
            <rFont val="宋体"/>
            <charset val="134"/>
          </rPr>
          <t xml:space="preserve">
4/17 收到锂电池标签纸 396pcs
194942/194943/194944/194945/194947/194948/194951/194953/194954/194956/194957共用</t>
        </r>
      </text>
    </comment>
    <comment ref="AG123" authorId="0">
      <text>
        <r>
          <rPr>
            <b/>
            <sz val="12"/>
            <rFont val="宋体"/>
            <charset val="134"/>
          </rPr>
          <t>Administrator:</t>
        </r>
        <r>
          <rPr>
            <sz val="12"/>
            <rFont val="宋体"/>
            <charset val="134"/>
          </rPr>
          <t xml:space="preserve">
5/23 3001646 600pcs</t>
        </r>
      </text>
    </comment>
    <comment ref="AI123" authorId="1">
      <text>
        <r>
          <rPr>
            <b/>
            <sz val="12"/>
            <rFont val="宋体"/>
            <charset val="134"/>
          </rPr>
          <t>DELL:</t>
        </r>
        <r>
          <rPr>
            <sz val="12"/>
            <rFont val="宋体"/>
            <charset val="134"/>
          </rPr>
          <t xml:space="preserve">
4/30 上锂电池贴纸 7282pcs
196453/194798/195170/198032/ZMPO260306/197999/198146/198397/ZMPO260320/199501/1995045/199725/199726/199929/200071/200163/200909/201073/202070共用</t>
        </r>
      </text>
    </comment>
    <comment ref="AG125" authorId="2">
      <text>
        <r>
          <rPr>
            <b/>
            <sz val="9"/>
            <rFont val="宋体"/>
            <charset val="134"/>
          </rPr>
          <t>龙丽娟:</t>
        </r>
        <r>
          <rPr>
            <sz val="9"/>
            <rFont val="宋体"/>
            <charset val="134"/>
          </rPr>
          <t xml:space="preserve">
5/30 1000401 778PCS</t>
        </r>
        <r>
          <rPr>
            <b/>
            <sz val="9"/>
            <rFont val="宋体"/>
            <charset val="134"/>
          </rPr>
          <t xml:space="preserve">
龙丽娟:</t>
        </r>
        <r>
          <rPr>
            <sz val="9"/>
            <rFont val="宋体"/>
            <charset val="134"/>
          </rPr>
          <t xml:space="preserve">
1000568 6/1 1476pcs</t>
        </r>
        <r>
          <rPr>
            <b/>
            <sz val="9"/>
            <rFont val="宋体"/>
            <charset val="134"/>
          </rPr>
          <t xml:space="preserve">
龙丽娟:</t>
        </r>
        <r>
          <rPr>
            <sz val="9"/>
            <rFont val="宋体"/>
            <charset val="134"/>
          </rPr>
          <t xml:space="preserve">
000805 6/2 1107pcs</t>
        </r>
        <r>
          <rPr>
            <b/>
            <sz val="9"/>
            <rFont val="宋体"/>
            <charset val="134"/>
          </rPr>
          <t xml:space="preserve">
龙丽娟:</t>
        </r>
        <r>
          <rPr>
            <sz val="9"/>
            <rFont val="宋体"/>
            <charset val="134"/>
          </rPr>
          <t xml:space="preserve">
1000556 6/3 360pcs</t>
        </r>
        <r>
          <rPr>
            <b/>
            <sz val="9"/>
            <rFont val="宋体"/>
            <charset val="134"/>
          </rPr>
          <t xml:space="preserve">
龙丽娟:</t>
        </r>
        <r>
          <rPr>
            <sz val="9"/>
            <rFont val="宋体"/>
            <charset val="134"/>
          </rPr>
          <t xml:space="preserve">
1000546 6/5 413pcs
1000527 6/5  38pcs</t>
        </r>
        <r>
          <rPr>
            <b/>
            <sz val="9"/>
            <rFont val="宋体"/>
            <charset val="134"/>
          </rPr>
          <t xml:space="preserve">
龙丽娟:</t>
        </r>
        <r>
          <rPr>
            <sz val="9"/>
            <rFont val="宋体"/>
            <charset val="134"/>
          </rPr>
          <t xml:space="preserve">
1000463 6/11 54pcs</t>
        </r>
        <r>
          <rPr>
            <b/>
            <sz val="9"/>
            <rFont val="宋体"/>
            <charset val="134"/>
          </rPr>
          <t xml:space="preserve">
龙丽娟:</t>
        </r>
        <r>
          <rPr>
            <sz val="9"/>
            <rFont val="宋体"/>
            <charset val="134"/>
          </rPr>
          <t xml:space="preserve">
1000118 6/13 94pcs</t>
        </r>
      </text>
    </comment>
    <comment ref="AI125" authorId="1">
      <text>
        <r>
          <rPr>
            <b/>
            <sz val="12"/>
            <rFont val="宋体"/>
            <charset val="134"/>
          </rPr>
          <t>DELL:</t>
        </r>
        <r>
          <rPr>
            <sz val="12"/>
            <rFont val="宋体"/>
            <charset val="134"/>
          </rPr>
          <t xml:space="preserve">
4/30 上锂电池UN3481标识贴纸260*260mm 196pcs
197499/198839/198838/197500/197501/197502共用</t>
        </r>
      </text>
    </comment>
    <comment ref="AQ125" authorId="3">
      <text>
        <r>
          <rPr>
            <b/>
            <sz val="9"/>
            <rFont val="宋体"/>
            <charset val="134"/>
          </rPr>
          <t>RR:</t>
        </r>
        <r>
          <rPr>
            <sz val="9"/>
            <rFont val="宋体"/>
            <charset val="134"/>
          </rPr>
          <t xml:space="preserve">
新客版资料</t>
        </r>
      </text>
    </comment>
    <comment ref="AR125" authorId="3">
      <text>
        <r>
          <rPr>
            <b/>
            <sz val="9"/>
            <rFont val="宋体"/>
            <charset val="134"/>
          </rPr>
          <t>RR:</t>
        </r>
        <r>
          <rPr>
            <sz val="9"/>
            <rFont val="宋体"/>
            <charset val="134"/>
          </rPr>
          <t xml:space="preserve">
新客版资料</t>
        </r>
      </text>
    </comment>
    <comment ref="AS125" authorId="3">
      <text>
        <r>
          <rPr>
            <b/>
            <sz val="9"/>
            <rFont val="宋体"/>
            <charset val="134"/>
          </rPr>
          <t>RR:</t>
        </r>
        <r>
          <rPr>
            <sz val="9"/>
            <rFont val="宋体"/>
            <charset val="134"/>
          </rPr>
          <t xml:space="preserve">
新客版资料</t>
        </r>
      </text>
    </comment>
    <comment ref="AI126" authorId="1">
      <text>
        <r>
          <rPr>
            <b/>
            <sz val="12"/>
            <rFont val="宋体"/>
            <charset val="134"/>
          </rPr>
          <t>DELL:</t>
        </r>
        <r>
          <rPr>
            <sz val="12"/>
            <rFont val="宋体"/>
            <charset val="134"/>
          </rPr>
          <t xml:space="preserve">
4/30 上锂电池贴纸 7282pcs
196453/194798/195170/198032/ZMPO260306/197999/198146/198397/ZMPO260320/199501/1995045/199725/199726/199929/200071/200163/200909/201073/202070共用</t>
        </r>
      </text>
    </comment>
    <comment ref="AM126" authorId="3">
      <text>
        <r>
          <rPr>
            <b/>
            <sz val="9"/>
            <rFont val="宋体"/>
            <charset val="134"/>
          </rPr>
          <t>RR:</t>
        </r>
        <r>
          <rPr>
            <sz val="9"/>
            <rFont val="宋体"/>
            <charset val="134"/>
          </rPr>
          <t xml:space="preserve">
新客版资料</t>
        </r>
      </text>
    </comment>
    <comment ref="AG127" authorId="0">
      <text>
        <r>
          <rPr>
            <b/>
            <sz val="9"/>
            <rFont val="宋体"/>
            <charset val="134"/>
          </rPr>
          <t>Administrator:</t>
        </r>
        <r>
          <rPr>
            <sz val="9"/>
            <rFont val="宋体"/>
            <charset val="134"/>
          </rPr>
          <t xml:space="preserve">
</t>
        </r>
      </text>
    </comment>
    <comment ref="AI127" authorId="0">
      <text>
        <r>
          <rPr>
            <b/>
            <sz val="12"/>
            <rFont val="宋体"/>
            <charset val="134"/>
          </rPr>
          <t>Administrator:</t>
        </r>
        <r>
          <rPr>
            <sz val="12"/>
            <rFont val="宋体"/>
            <charset val="134"/>
          </rPr>
          <t xml:space="preserve">
4/17 上锂电池标签纸106*106  4011pcs
199055/192526/193910/194882/196674/197095共用</t>
        </r>
      </text>
    </comment>
    <comment ref="AG128" authorId="2">
      <text>
        <r>
          <rPr>
            <b/>
            <sz val="9"/>
            <rFont val="宋体"/>
            <charset val="134"/>
          </rPr>
          <t>龙丽娟:</t>
        </r>
        <r>
          <rPr>
            <sz val="9"/>
            <rFont val="宋体"/>
            <charset val="134"/>
          </rPr>
          <t xml:space="preserve">
5/27 3005325 4320PCS</t>
        </r>
      </text>
    </comment>
    <comment ref="AI128" authorId="0">
      <text>
        <r>
          <rPr>
            <b/>
            <sz val="12"/>
            <rFont val="宋体"/>
            <charset val="134"/>
          </rPr>
          <t>Administrator:</t>
        </r>
        <r>
          <rPr>
            <sz val="12"/>
            <rFont val="宋体"/>
            <charset val="134"/>
          </rPr>
          <t xml:space="preserve">
4/17 收到锂电池标签纸 396pcs
194942/194943/194944/194945/194947/194948/194951/194953/194954/194956/194957共用</t>
        </r>
      </text>
    </comment>
    <comment ref="AG129" authorId="2">
      <text>
        <r>
          <rPr>
            <b/>
            <sz val="9"/>
            <rFont val="宋体"/>
            <charset val="134"/>
          </rPr>
          <t>龙丽娟:</t>
        </r>
        <r>
          <rPr>
            <sz val="9"/>
            <rFont val="宋体"/>
            <charset val="134"/>
          </rPr>
          <t xml:space="preserve">
5/281000393 4320PCS</t>
        </r>
      </text>
    </comment>
    <comment ref="AI129" authorId="0">
      <text>
        <r>
          <rPr>
            <b/>
            <sz val="12"/>
            <rFont val="宋体"/>
            <charset val="134"/>
          </rPr>
          <t>Administrator:</t>
        </r>
        <r>
          <rPr>
            <sz val="12"/>
            <rFont val="宋体"/>
            <charset val="134"/>
          </rPr>
          <t xml:space="preserve">
4/17 收到锂电池标签纸 396pcs
194942/194943/194944/194945/194947/194948/194951/194953/194954/194956/194957共用</t>
        </r>
      </text>
    </comment>
    <comment ref="AI130" authorId="0">
      <text>
        <r>
          <rPr>
            <b/>
            <sz val="12"/>
            <rFont val="宋体"/>
            <charset val="134"/>
          </rPr>
          <t>Administrator:</t>
        </r>
        <r>
          <rPr>
            <sz val="12"/>
            <rFont val="宋体"/>
            <charset val="134"/>
          </rPr>
          <t xml:space="preserve">
4/17 收到锂电池标签纸 396pcs
194942/194943/194944/194945/194947/194948/194951/194953/194954/194956/194957共用</t>
        </r>
      </text>
    </comment>
    <comment ref="AG131" authorId="2">
      <text>
        <r>
          <rPr>
            <b/>
            <sz val="9"/>
            <rFont val="宋体"/>
            <charset val="134"/>
          </rPr>
          <t>龙丽娟:</t>
        </r>
        <r>
          <rPr>
            <sz val="9"/>
            <rFont val="宋体"/>
            <charset val="134"/>
          </rPr>
          <t xml:space="preserve">
5/30 1000410 1600pcs 新2D1</t>
        </r>
      </text>
    </comment>
    <comment ref="AI131" authorId="1">
      <text>
        <r>
          <rPr>
            <b/>
            <sz val="12"/>
            <rFont val="宋体"/>
            <charset val="134"/>
          </rPr>
          <t>DELL:</t>
        </r>
        <r>
          <rPr>
            <sz val="12"/>
            <rFont val="宋体"/>
            <charset val="134"/>
          </rPr>
          <t xml:space="preserve">
4/30 上锂电池贴纸 7282pcs
196453/194798/195170/198032/ZMPO260306/197999/198146/198397/ZMPO260320/199501/1995045/199725/199726/199929/200071/200163/200909/201073/202070共用</t>
        </r>
      </text>
    </comment>
    <comment ref="AI132" authorId="0">
      <text>
        <r>
          <rPr>
            <b/>
            <sz val="12"/>
            <rFont val="宋体"/>
            <charset val="134"/>
          </rPr>
          <t>Administrator:</t>
        </r>
        <r>
          <rPr>
            <sz val="12"/>
            <rFont val="宋体"/>
            <charset val="134"/>
          </rPr>
          <t xml:space="preserve">
4/17 收到锂电池标签纸 396pcs
194942/194943/194944/194945/194947/194948/194951/194953/194954/194956/194957共用</t>
        </r>
      </text>
    </comment>
    <comment ref="AG133" authorId="2">
      <text>
        <r>
          <rPr>
            <b/>
            <sz val="9"/>
            <rFont val="宋体"/>
            <charset val="134"/>
          </rPr>
          <t>龙丽娟:</t>
        </r>
        <r>
          <rPr>
            <sz val="9"/>
            <rFont val="宋体"/>
            <charset val="134"/>
          </rPr>
          <t xml:space="preserve">
1000546 6/5 1542pcs
1000527 6/5 1637pcs</t>
        </r>
        <r>
          <rPr>
            <b/>
            <sz val="9"/>
            <rFont val="宋体"/>
            <charset val="134"/>
          </rPr>
          <t xml:space="preserve">
龙丽娟:</t>
        </r>
        <r>
          <rPr>
            <sz val="9"/>
            <rFont val="宋体"/>
            <charset val="134"/>
          </rPr>
          <t xml:space="preserve">
1000463 6/11 1141pcs</t>
        </r>
      </text>
    </comment>
    <comment ref="AI133" authorId="1">
      <text>
        <r>
          <rPr>
            <b/>
            <sz val="12"/>
            <rFont val="宋体"/>
            <charset val="134"/>
          </rPr>
          <t>DELL:</t>
        </r>
        <r>
          <rPr>
            <sz val="12"/>
            <rFont val="宋体"/>
            <charset val="134"/>
          </rPr>
          <t xml:space="preserve">
4/30 上锂电池UN3481标识贴纸260*260mm 196pcs
197499/198839/198838/197500/197501/197502共用</t>
        </r>
      </text>
    </comment>
    <comment ref="AQ133" authorId="3">
      <text>
        <r>
          <rPr>
            <b/>
            <sz val="9"/>
            <rFont val="宋体"/>
            <charset val="134"/>
          </rPr>
          <t>RR:</t>
        </r>
        <r>
          <rPr>
            <sz val="9"/>
            <rFont val="宋体"/>
            <charset val="134"/>
          </rPr>
          <t xml:space="preserve">
新客版资料</t>
        </r>
      </text>
    </comment>
    <comment ref="AR133" authorId="3">
      <text>
        <r>
          <rPr>
            <b/>
            <sz val="9"/>
            <rFont val="宋体"/>
            <charset val="134"/>
          </rPr>
          <t>RR:</t>
        </r>
        <r>
          <rPr>
            <sz val="9"/>
            <rFont val="宋体"/>
            <charset val="134"/>
          </rPr>
          <t xml:space="preserve">
新客版资料</t>
        </r>
      </text>
    </comment>
    <comment ref="AS133" authorId="3">
      <text>
        <r>
          <rPr>
            <b/>
            <sz val="9"/>
            <rFont val="宋体"/>
            <charset val="134"/>
          </rPr>
          <t>RR:</t>
        </r>
        <r>
          <rPr>
            <sz val="9"/>
            <rFont val="宋体"/>
            <charset val="134"/>
          </rPr>
          <t xml:space="preserve">
新客版资料</t>
        </r>
      </text>
    </comment>
    <comment ref="AG134" authorId="2">
      <text>
        <r>
          <rPr>
            <b/>
            <sz val="9"/>
            <rFont val="宋体"/>
            <charset val="134"/>
          </rPr>
          <t>龙丽娟:</t>
        </r>
        <r>
          <rPr>
            <sz val="9"/>
            <rFont val="宋体"/>
            <charset val="134"/>
          </rPr>
          <t xml:space="preserve">
3002532 5/27 4320PCS</t>
        </r>
      </text>
    </comment>
    <comment ref="AI134" authorId="0">
      <text>
        <r>
          <rPr>
            <b/>
            <sz val="12"/>
            <rFont val="宋体"/>
            <charset val="134"/>
          </rPr>
          <t>Administrator:</t>
        </r>
        <r>
          <rPr>
            <sz val="12"/>
            <rFont val="宋体"/>
            <charset val="134"/>
          </rPr>
          <t xml:space="preserve">
4/17 收到锂电池标签纸 396pcs
194942/194943/194944/194945/194947/194948/194951/194953/194954/194956/194957共用</t>
        </r>
      </text>
    </comment>
    <comment ref="AG135" authorId="2">
      <text>
        <r>
          <rPr>
            <b/>
            <sz val="9"/>
            <rFont val="宋体"/>
            <charset val="134"/>
          </rPr>
          <t>龙丽娟:</t>
        </r>
        <r>
          <rPr>
            <sz val="9"/>
            <rFont val="宋体"/>
            <charset val="134"/>
          </rPr>
          <t xml:space="preserve">
1000393 5/30 2124PCS
1000394 5/30 360pcs</t>
        </r>
        <r>
          <rPr>
            <b/>
            <sz val="9"/>
            <rFont val="宋体"/>
            <charset val="134"/>
          </rPr>
          <t xml:space="preserve">
龙丽娟:</t>
        </r>
        <r>
          <rPr>
            <sz val="9"/>
            <rFont val="宋体"/>
            <charset val="134"/>
          </rPr>
          <t xml:space="preserve">
1000538 6/4 1476pcs</t>
        </r>
        <r>
          <rPr>
            <b/>
            <sz val="9"/>
            <rFont val="宋体"/>
            <charset val="134"/>
          </rPr>
          <t xml:space="preserve">
龙丽娟:</t>
        </r>
        <r>
          <rPr>
            <sz val="9"/>
            <rFont val="宋体"/>
            <charset val="134"/>
          </rPr>
          <t xml:space="preserve">
1000546 6/5 360pcs</t>
        </r>
      </text>
    </comment>
    <comment ref="AI135" authorId="0">
      <text>
        <r>
          <rPr>
            <b/>
            <sz val="12"/>
            <rFont val="宋体"/>
            <charset val="134"/>
          </rPr>
          <t>Administrator:</t>
        </r>
        <r>
          <rPr>
            <sz val="12"/>
            <rFont val="宋体"/>
            <charset val="134"/>
          </rPr>
          <t xml:space="preserve">
4/17 收到锂电池标签纸 396pcs
194942/194943/194944/194945/194947/194948/194951/194953/194954/194956/194957共用</t>
        </r>
      </text>
    </comment>
    <comment ref="AG136" authorId="2">
      <text>
        <r>
          <rPr>
            <b/>
            <sz val="9"/>
            <rFont val="宋体"/>
            <charset val="134"/>
          </rPr>
          <t>龙丽娟:</t>
        </r>
        <r>
          <rPr>
            <sz val="9"/>
            <rFont val="宋体"/>
            <charset val="134"/>
          </rPr>
          <t xml:space="preserve">
1000524  6/5 349pcs
1000546  6/5 1181pcs
1000527  6/5 548pcs</t>
        </r>
        <r>
          <rPr>
            <b/>
            <sz val="9"/>
            <rFont val="宋体"/>
            <charset val="134"/>
          </rPr>
          <t xml:space="preserve">
龙丽娟:</t>
        </r>
        <r>
          <rPr>
            <sz val="9"/>
            <rFont val="宋体"/>
            <charset val="134"/>
          </rPr>
          <t xml:space="preserve">
1000422 6/6 422pcs</t>
        </r>
        <r>
          <rPr>
            <b/>
            <sz val="9"/>
            <rFont val="宋体"/>
            <charset val="134"/>
          </rPr>
          <t xml:space="preserve">
龙丽娟:</t>
        </r>
        <r>
          <rPr>
            <sz val="9"/>
            <rFont val="宋体"/>
            <charset val="134"/>
          </rPr>
          <t xml:space="preserve">
1000531 6/8 684pcs</t>
        </r>
      </text>
    </comment>
    <comment ref="AI136" authorId="0">
      <text>
        <r>
          <rPr>
            <b/>
            <sz val="12"/>
            <rFont val="宋体"/>
            <charset val="134"/>
          </rPr>
          <t>Administrator:</t>
        </r>
        <r>
          <rPr>
            <sz val="12"/>
            <rFont val="宋体"/>
            <charset val="134"/>
          </rPr>
          <t xml:space="preserve">
4/17 收到锂电池标签纸 396pcs
194942/194943/194944/194945/194947/194948/194951/194953/194954/194956/194957共用</t>
        </r>
      </text>
    </comment>
    <comment ref="AG137" authorId="2">
      <text>
        <r>
          <rPr>
            <b/>
            <sz val="9"/>
            <rFont val="宋体"/>
            <charset val="134"/>
          </rPr>
          <t>龙丽娟:</t>
        </r>
        <r>
          <rPr>
            <sz val="9"/>
            <rFont val="宋体"/>
            <charset val="134"/>
          </rPr>
          <t xml:space="preserve">
5/28 1000584 4320PCS</t>
        </r>
      </text>
    </comment>
    <comment ref="AI137" authorId="0">
      <text>
        <r>
          <rPr>
            <b/>
            <sz val="12"/>
            <rFont val="宋体"/>
            <charset val="134"/>
          </rPr>
          <t>Administrator:</t>
        </r>
        <r>
          <rPr>
            <sz val="12"/>
            <rFont val="宋体"/>
            <charset val="134"/>
          </rPr>
          <t xml:space="preserve">
4/17 收到锂电池标签纸 396pcs
194942/194943/194944/194945/194947/194948/194951/194953/194954/194956/194957共用</t>
        </r>
      </text>
    </comment>
    <comment ref="AG138" authorId="2">
      <text>
        <r>
          <rPr>
            <b/>
            <sz val="9"/>
            <rFont val="宋体"/>
            <charset val="134"/>
          </rPr>
          <t>龙丽娟:</t>
        </r>
        <r>
          <rPr>
            <sz val="9"/>
            <rFont val="宋体"/>
            <charset val="134"/>
          </rPr>
          <t xml:space="preserve">
1000538 6/4 936pcs
1000539 6/4 1132pcs</t>
        </r>
        <r>
          <rPr>
            <b/>
            <sz val="9"/>
            <rFont val="宋体"/>
            <charset val="134"/>
          </rPr>
          <t xml:space="preserve">
龙丽娟:</t>
        </r>
        <r>
          <rPr>
            <sz val="9"/>
            <rFont val="宋体"/>
            <charset val="134"/>
          </rPr>
          <t xml:space="preserve">
1000546 6/5 1532pcs</t>
        </r>
        <r>
          <rPr>
            <b/>
            <sz val="9"/>
            <rFont val="宋体"/>
            <charset val="134"/>
          </rPr>
          <t xml:space="preserve">
龙丽娟:</t>
        </r>
        <r>
          <rPr>
            <sz val="9"/>
            <rFont val="宋体"/>
            <charset val="134"/>
          </rPr>
          <t xml:space="preserve">
3002611 6/6 720pcs</t>
        </r>
      </text>
    </comment>
    <comment ref="AI138" authorId="0">
      <text>
        <r>
          <rPr>
            <b/>
            <sz val="12"/>
            <rFont val="宋体"/>
            <charset val="134"/>
          </rPr>
          <t>Administrator:</t>
        </r>
        <r>
          <rPr>
            <sz val="12"/>
            <rFont val="宋体"/>
            <charset val="134"/>
          </rPr>
          <t xml:space="preserve">
4/17 收到锂电池标签纸 396pcs
194942/194943/194944/194945/194947/194948/194951/194953/194954/194956/194957共用</t>
        </r>
      </text>
    </comment>
    <comment ref="AG139" authorId="2">
      <text>
        <r>
          <rPr>
            <b/>
            <sz val="9"/>
            <rFont val="宋体"/>
            <charset val="134"/>
          </rPr>
          <t>龙丽娟:</t>
        </r>
        <r>
          <rPr>
            <sz val="9"/>
            <rFont val="宋体"/>
            <charset val="134"/>
          </rPr>
          <t xml:space="preserve">
5/30 1000393 1312PCS</t>
        </r>
        <r>
          <rPr>
            <b/>
            <sz val="9"/>
            <rFont val="宋体"/>
            <charset val="134"/>
          </rPr>
          <t xml:space="preserve">
龙丽娟:</t>
        </r>
        <r>
          <rPr>
            <sz val="9"/>
            <rFont val="宋体"/>
            <charset val="134"/>
          </rPr>
          <t xml:space="preserve">
1000556 6/3 2052pcs
1000559 6/3 180pcs</t>
        </r>
        <r>
          <rPr>
            <b/>
            <sz val="9"/>
            <rFont val="宋体"/>
            <charset val="134"/>
          </rPr>
          <t xml:space="preserve">
龙丽娟:</t>
        </r>
        <r>
          <rPr>
            <sz val="9"/>
            <rFont val="宋体"/>
            <charset val="134"/>
          </rPr>
          <t xml:space="preserve">
1000538 6/4 540pcs</t>
        </r>
        <r>
          <rPr>
            <b/>
            <sz val="9"/>
            <rFont val="宋体"/>
            <charset val="134"/>
          </rPr>
          <t xml:space="preserve">
龙丽娟:</t>
        </r>
        <r>
          <rPr>
            <sz val="9"/>
            <rFont val="宋体"/>
            <charset val="134"/>
          </rPr>
          <t xml:space="preserve">
1000546 6/5 54pcs</t>
        </r>
        <r>
          <rPr>
            <b/>
            <sz val="9"/>
            <rFont val="宋体"/>
            <charset val="134"/>
          </rPr>
          <t xml:space="preserve">
龙丽娟:</t>
        </r>
        <r>
          <rPr>
            <sz val="9"/>
            <rFont val="宋体"/>
            <charset val="134"/>
          </rPr>
          <t xml:space="preserve">
1000531 6/8 12pcs</t>
        </r>
      </text>
    </comment>
    <comment ref="AI139" authorId="0">
      <text>
        <r>
          <rPr>
            <b/>
            <sz val="12"/>
            <rFont val="宋体"/>
            <charset val="134"/>
          </rPr>
          <t>Administrator:</t>
        </r>
        <r>
          <rPr>
            <sz val="12"/>
            <rFont val="宋体"/>
            <charset val="134"/>
          </rPr>
          <t xml:space="preserve">
4/17 收到锂电池标签纸 396pcs
194942/194943/194944/194945/194947/194948/194951/194953/194954/194956/194957共用</t>
        </r>
      </text>
    </comment>
    <comment ref="AI140" authorId="1">
      <text>
        <r>
          <rPr>
            <b/>
            <sz val="12"/>
            <rFont val="宋体"/>
            <charset val="134"/>
          </rPr>
          <t>DELL:</t>
        </r>
        <r>
          <rPr>
            <sz val="12"/>
            <rFont val="宋体"/>
            <charset val="134"/>
          </rPr>
          <t xml:space="preserve">
4/30 上锂电池贴纸 7282pcs
196453/194798/195170/198032/ZMPO260306/197999/198146/198397/ZMPO260320/199501/1995045/199725/199726/199929/200071/200163/200909/201073/202070共用</t>
        </r>
      </text>
    </comment>
    <comment ref="AI141" authorId="1">
      <text>
        <r>
          <rPr>
            <b/>
            <sz val="12"/>
            <rFont val="宋体"/>
            <charset val="134"/>
          </rPr>
          <t>DELL:</t>
        </r>
        <r>
          <rPr>
            <sz val="12"/>
            <rFont val="宋体"/>
            <charset val="134"/>
          </rPr>
          <t xml:space="preserve">
4/30 上锂电池贴纸 7282pcs
196453/194798/195170/198032/ZMPO260306/197999/198146/198397/ZMPO260320/199501/1995045/199725/199726/199929/200071/200163/200909/201073/202070共用
5/14 上Kmart外箱贴纸177pcs</t>
        </r>
      </text>
    </comment>
    <comment ref="AI142" authorId="0">
      <text>
        <r>
          <rPr>
            <b/>
            <sz val="12"/>
            <rFont val="宋体"/>
            <charset val="134"/>
          </rPr>
          <t>Administrator:</t>
        </r>
        <r>
          <rPr>
            <sz val="12"/>
            <rFont val="宋体"/>
            <charset val="134"/>
          </rPr>
          <t xml:space="preserve">
5/14 上Kmart外箱贴纸11pcs
</t>
        </r>
      </text>
    </comment>
    <comment ref="AG143" authorId="0">
      <text>
        <r>
          <rPr>
            <b/>
            <sz val="12"/>
            <rFont val="宋体"/>
            <charset val="134"/>
          </rPr>
          <t>Administrator:</t>
        </r>
        <r>
          <rPr>
            <sz val="12"/>
            <rFont val="宋体"/>
            <charset val="134"/>
          </rPr>
          <t xml:space="preserve">
5/22 3001755 4224pcs</t>
        </r>
      </text>
    </comment>
    <comment ref="AI143" authorId="1">
      <text>
        <r>
          <rPr>
            <b/>
            <sz val="12"/>
            <rFont val="宋体"/>
            <charset val="134"/>
          </rPr>
          <t>DELL:</t>
        </r>
        <r>
          <rPr>
            <sz val="12"/>
            <rFont val="宋体"/>
            <charset val="134"/>
          </rPr>
          <t xml:space="preserve">
4/30 上锂电池贴纸 7282pcs
196453/194798/195170/198032/ZMPO260306/197999/198146/198397/ZMPO260320/199501/1995045/199725/199726/199929/200071/200163/200909/201073/202070共用</t>
        </r>
      </text>
    </comment>
    <comment ref="AG144" authorId="2">
      <text>
        <r>
          <rPr>
            <b/>
            <sz val="9"/>
            <rFont val="宋体"/>
            <charset val="134"/>
          </rPr>
          <t>龙丽娟:</t>
        </r>
        <r>
          <rPr>
            <sz val="9"/>
            <rFont val="宋体"/>
            <charset val="134"/>
          </rPr>
          <t xml:space="preserve">
5/27 2800017 31672pcsb6</t>
        </r>
      </text>
    </comment>
    <comment ref="AI144" authorId="1">
      <text>
        <r>
          <rPr>
            <b/>
            <sz val="12"/>
            <rFont val="宋体"/>
            <charset val="134"/>
          </rPr>
          <t>DELL:</t>
        </r>
        <r>
          <rPr>
            <sz val="12"/>
            <rFont val="宋体"/>
            <charset val="134"/>
          </rPr>
          <t xml:space="preserve">
4/30 上锂电池贴纸 7282pcs
196453/194798/195170/198032/ZMPO260306/197999/198146/198397/ZMPO260320/199501/1995045/199725/199726/199929/200071/200163/200909/201073/202070共用
5/12 上客供外箱条码贴纸4000pcs</t>
        </r>
      </text>
    </comment>
    <comment ref="AG145" authorId="0">
      <text>
        <r>
          <rPr>
            <b/>
            <sz val="12"/>
            <rFont val="宋体"/>
            <charset val="134"/>
          </rPr>
          <t>Administrator:</t>
        </r>
        <r>
          <rPr>
            <sz val="12"/>
            <rFont val="宋体"/>
            <charset val="134"/>
          </rPr>
          <t xml:space="preserve">
5/23 3001643 6672pcs</t>
        </r>
      </text>
    </comment>
    <comment ref="AI145" authorId="1">
      <text>
        <r>
          <rPr>
            <b/>
            <sz val="12"/>
            <rFont val="宋体"/>
            <charset val="134"/>
          </rPr>
          <t>DELL:</t>
        </r>
        <r>
          <rPr>
            <sz val="12"/>
            <rFont val="宋体"/>
            <charset val="134"/>
          </rPr>
          <t xml:space="preserve">
4/30 上锂电池贴纸 7282pcs
196453/194798/195170/198032/ZMPO260306/197999/198146/198397/ZMPO260320/199501/1995045/199725/199726/199929/200071/200163/200909/201073/202070共用</t>
        </r>
      </text>
    </comment>
    <comment ref="AG146" authorId="2">
      <text>
        <r>
          <rPr>
            <b/>
            <sz val="9"/>
            <rFont val="宋体"/>
            <charset val="134"/>
          </rPr>
          <t>龙丽娟:</t>
        </r>
        <r>
          <rPr>
            <sz val="9"/>
            <rFont val="宋体"/>
            <charset val="134"/>
          </rPr>
          <t xml:space="preserve">
5/27 3002552 240pcs新2b5</t>
        </r>
      </text>
    </comment>
    <comment ref="AI146" authorId="0">
      <text>
        <r>
          <rPr>
            <b/>
            <sz val="12"/>
            <rFont val="宋体"/>
            <charset val="134"/>
          </rPr>
          <t>Administrator:</t>
        </r>
        <r>
          <rPr>
            <sz val="12"/>
            <rFont val="宋体"/>
            <charset val="134"/>
          </rPr>
          <t xml:space="preserve">
4/17 收到锂电池标签纸 396pcs
194942/194943/194944/194945/194947/194948/194951/194953/194954/194956/194957共用</t>
        </r>
      </text>
    </comment>
    <comment ref="AG147" authorId="2">
      <text>
        <r>
          <rPr>
            <b/>
            <sz val="9"/>
            <rFont val="宋体"/>
            <charset val="134"/>
          </rPr>
          <t>龙丽娟:</t>
        </r>
        <r>
          <rPr>
            <sz val="9"/>
            <rFont val="宋体"/>
            <charset val="134"/>
          </rPr>
          <t xml:space="preserve">
5/25 3001656 8704PCS新2A16</t>
        </r>
      </text>
    </comment>
    <comment ref="AI147" authorId="0">
      <text>
        <r>
          <rPr>
            <b/>
            <sz val="12"/>
            <rFont val="宋体"/>
            <charset val="134"/>
          </rPr>
          <t>Administrator:</t>
        </r>
        <r>
          <rPr>
            <sz val="12"/>
            <rFont val="宋体"/>
            <charset val="134"/>
          </rPr>
          <t xml:space="preserve">
5/7上客供RFID贴纸8704pcs
5/15 上锂电池贴纸26118pcs</t>
        </r>
      </text>
    </comment>
    <comment ref="AG148" authorId="2">
      <text>
        <r>
          <rPr>
            <b/>
            <sz val="9"/>
            <rFont val="宋体"/>
            <charset val="134"/>
          </rPr>
          <t>龙丽娟:</t>
        </r>
        <r>
          <rPr>
            <sz val="9"/>
            <rFont val="宋体"/>
            <charset val="134"/>
          </rPr>
          <t xml:space="preserve">
5/28 3002555 5120pcs</t>
        </r>
      </text>
    </comment>
    <comment ref="AI148" authorId="0">
      <text>
        <r>
          <rPr>
            <b/>
            <sz val="12"/>
            <rFont val="宋体"/>
            <charset val="134"/>
          </rPr>
          <t>Administrator:</t>
        </r>
        <r>
          <rPr>
            <sz val="12"/>
            <rFont val="宋体"/>
            <charset val="134"/>
          </rPr>
          <t xml:space="preserve">
5/7上客供RFID贴纸5120pcs
5/15 上锂电池贴纸26118pcs
</t>
        </r>
      </text>
    </comment>
    <comment ref="AG149" authorId="2">
      <text>
        <r>
          <rPr>
            <b/>
            <sz val="9"/>
            <rFont val="宋体"/>
            <charset val="134"/>
          </rPr>
          <t>龙丽娟:</t>
        </r>
        <r>
          <rPr>
            <sz val="9"/>
            <rFont val="宋体"/>
            <charset val="134"/>
          </rPr>
          <t xml:space="preserve">
5/28 3002554 10752pcs</t>
        </r>
      </text>
    </comment>
    <comment ref="AI149" authorId="0">
      <text>
        <r>
          <rPr>
            <b/>
            <sz val="12"/>
            <rFont val="宋体"/>
            <charset val="134"/>
          </rPr>
          <t>Administrator:</t>
        </r>
        <r>
          <rPr>
            <sz val="12"/>
            <rFont val="宋体"/>
            <charset val="134"/>
          </rPr>
          <t xml:space="preserve">
5/7上客供RFID贴纸10752pcs
5/15 上锂电池贴纸26118pcs
</t>
        </r>
      </text>
    </comment>
    <comment ref="AG152" authorId="2">
      <text>
        <r>
          <rPr>
            <b/>
            <sz val="9"/>
            <rFont val="宋体"/>
            <charset val="134"/>
          </rPr>
          <t>龙丽娟:</t>
        </r>
        <r>
          <rPr>
            <sz val="9"/>
            <rFont val="宋体"/>
            <charset val="134"/>
          </rPr>
          <t xml:space="preserve">
5/30 1000585 10000pcsB栋4楼A8</t>
        </r>
      </text>
    </comment>
    <comment ref="AI152" authorId="0">
      <text>
        <r>
          <rPr>
            <b/>
            <sz val="12"/>
            <rFont val="宋体"/>
            <charset val="134"/>
          </rPr>
          <t>Administrator:</t>
        </r>
        <r>
          <rPr>
            <sz val="12"/>
            <rFont val="宋体"/>
            <charset val="134"/>
          </rPr>
          <t xml:space="preserve">
5/11 上客供外箱条码贴纸1263pcs
</t>
        </r>
      </text>
    </comment>
    <comment ref="AG153" authorId="2">
      <text>
        <r>
          <rPr>
            <b/>
            <sz val="9"/>
            <rFont val="宋体"/>
            <charset val="134"/>
          </rPr>
          <t>龙丽娟:</t>
        </r>
        <r>
          <rPr>
            <sz val="9"/>
            <rFont val="宋体"/>
            <charset val="134"/>
          </rPr>
          <t xml:space="preserve">
6/8 1000531 2064pcs</t>
        </r>
        <r>
          <rPr>
            <b/>
            <sz val="9"/>
            <rFont val="宋体"/>
            <charset val="134"/>
          </rPr>
          <t xml:space="preserve">
龙丽娟:</t>
        </r>
        <r>
          <rPr>
            <sz val="9"/>
            <rFont val="宋体"/>
            <charset val="134"/>
          </rPr>
          <t xml:space="preserve">
1000512 6/8 1134pcs</t>
        </r>
        <r>
          <rPr>
            <b/>
            <sz val="9"/>
            <rFont val="宋体"/>
            <charset val="134"/>
          </rPr>
          <t xml:space="preserve">
龙丽娟:</t>
        </r>
        <r>
          <rPr>
            <sz val="9"/>
            <rFont val="宋体"/>
            <charset val="134"/>
          </rPr>
          <t xml:space="preserve">
1000491 6/9 1122pcs</t>
        </r>
      </text>
    </comment>
    <comment ref="AG154" authorId="2">
      <text>
        <r>
          <rPr>
            <b/>
            <sz val="9"/>
            <rFont val="宋体"/>
            <charset val="134"/>
          </rPr>
          <t>龙丽娟:</t>
        </r>
        <r>
          <rPr>
            <sz val="9"/>
            <rFont val="宋体"/>
            <charset val="134"/>
          </rPr>
          <t xml:space="preserve">
5/30 1000414 1120pcs新2c2</t>
        </r>
      </text>
    </comment>
    <comment ref="AG155" authorId="2">
      <text>
        <r>
          <rPr>
            <b/>
            <sz val="9"/>
            <rFont val="宋体"/>
            <charset val="134"/>
          </rPr>
          <t>龙丽娟:</t>
        </r>
        <r>
          <rPr>
            <sz val="9"/>
            <rFont val="宋体"/>
            <charset val="134"/>
          </rPr>
          <t xml:space="preserve">
5/30 1000414 432pcs新2c2</t>
        </r>
      </text>
    </comment>
    <comment ref="AI155" authorId="0">
      <text>
        <r>
          <rPr>
            <b/>
            <sz val="12"/>
            <rFont val="宋体"/>
            <charset val="134"/>
          </rPr>
          <t>Administrator:</t>
        </r>
        <r>
          <rPr>
            <sz val="12"/>
            <rFont val="宋体"/>
            <charset val="134"/>
          </rPr>
          <t xml:space="preserve">
5/20 进口商贴纸432pcs</t>
        </r>
      </text>
    </comment>
    <comment ref="AG156" authorId="2">
      <text>
        <r>
          <rPr>
            <b/>
            <sz val="9"/>
            <rFont val="宋体"/>
            <charset val="134"/>
          </rPr>
          <t>龙丽娟:</t>
        </r>
        <r>
          <rPr>
            <sz val="9"/>
            <rFont val="宋体"/>
            <charset val="134"/>
          </rPr>
          <t xml:space="preserve">
5/30 1000414 304pcs新2c2</t>
        </r>
      </text>
    </comment>
    <comment ref="AI156" authorId="0">
      <text>
        <r>
          <rPr>
            <b/>
            <sz val="12"/>
            <rFont val="宋体"/>
            <charset val="134"/>
          </rPr>
          <t>Administrator:</t>
        </r>
        <r>
          <rPr>
            <sz val="12"/>
            <rFont val="宋体"/>
            <charset val="134"/>
          </rPr>
          <t xml:space="preserve">
4/17 上客供进口商贴纸 320pcs
     上客供电池警语贴纸 318pcs
     上客供警语贴纸贴说明书 320pcs</t>
        </r>
      </text>
    </comment>
    <comment ref="AG158" authorId="2">
      <text>
        <r>
          <rPr>
            <b/>
            <sz val="9"/>
            <rFont val="宋体"/>
            <charset val="134"/>
          </rPr>
          <t>龙丽娟:</t>
        </r>
        <r>
          <rPr>
            <sz val="9"/>
            <rFont val="宋体"/>
            <charset val="134"/>
          </rPr>
          <t xml:space="preserve">
3002611 6/6 4320pcs</t>
        </r>
      </text>
    </comment>
    <comment ref="AG159" authorId="2">
      <text>
        <r>
          <rPr>
            <b/>
            <sz val="9"/>
            <rFont val="宋体"/>
            <charset val="134"/>
          </rPr>
          <t>龙丽娟:</t>
        </r>
        <r>
          <rPr>
            <sz val="9"/>
            <rFont val="宋体"/>
            <charset val="134"/>
          </rPr>
          <t xml:space="preserve">
7/20 1001838 1650pcs钜顺c4</t>
        </r>
      </text>
    </comment>
    <comment ref="AI159" authorId="0">
      <text>
        <r>
          <rPr>
            <b/>
            <sz val="12"/>
            <rFont val="宋体"/>
            <charset val="134"/>
          </rPr>
          <t>Administrator:</t>
        </r>
        <r>
          <rPr>
            <sz val="12"/>
            <rFont val="宋体"/>
            <charset val="134"/>
          </rPr>
          <t xml:space="preserve">
4/17 上客供进口商贴纸 320pcs
     上客供电池警语贴纸 318pcs
     上客供警语贴纸贴说明书 320pcs</t>
        </r>
      </text>
    </comment>
    <comment ref="AG162" authorId="2">
      <text>
        <r>
          <rPr>
            <b/>
            <sz val="9"/>
            <rFont val="宋体"/>
            <charset val="134"/>
          </rPr>
          <t>龙丽娟:</t>
        </r>
        <r>
          <rPr>
            <sz val="9"/>
            <rFont val="宋体"/>
            <charset val="134"/>
          </rPr>
          <t xml:space="preserve">
6/1 1000565 3312 B栋4楼-B4</t>
        </r>
      </text>
    </comment>
    <comment ref="AG163" authorId="2">
      <text>
        <r>
          <rPr>
            <b/>
            <sz val="9"/>
            <rFont val="宋体"/>
            <charset val="134"/>
          </rPr>
          <t>龙丽娟:</t>
        </r>
        <r>
          <rPr>
            <sz val="9"/>
            <rFont val="宋体"/>
            <charset val="134"/>
          </rPr>
          <t xml:space="preserve">
6/1 1000565 592pcs B栋4楼-B4</t>
        </r>
      </text>
    </comment>
    <comment ref="AG164" authorId="2">
      <text>
        <r>
          <rPr>
            <b/>
            <sz val="9"/>
            <rFont val="宋体"/>
            <charset val="134"/>
          </rPr>
          <t>龙丽娟:</t>
        </r>
        <r>
          <rPr>
            <sz val="9"/>
            <rFont val="宋体"/>
            <charset val="134"/>
          </rPr>
          <t xml:space="preserve">
6/1 1000572 3840pcsB4-C4</t>
        </r>
      </text>
    </comment>
    <comment ref="AG165" authorId="2">
      <text>
        <r>
          <rPr>
            <b/>
            <sz val="9"/>
            <rFont val="宋体"/>
            <charset val="134"/>
          </rPr>
          <t>龙丽娟:</t>
        </r>
        <r>
          <rPr>
            <sz val="9"/>
            <rFont val="宋体"/>
            <charset val="134"/>
          </rPr>
          <t xml:space="preserve">
6/3 1000552 5344pcs 欣泰A4</t>
        </r>
      </text>
    </comment>
    <comment ref="AG166" authorId="2">
      <text>
        <r>
          <rPr>
            <b/>
            <sz val="9"/>
            <rFont val="宋体"/>
            <charset val="134"/>
          </rPr>
          <t>龙丽娟:</t>
        </r>
        <r>
          <rPr>
            <sz val="9"/>
            <rFont val="宋体"/>
            <charset val="134"/>
          </rPr>
          <t xml:space="preserve">
6/3 1000552 5344pcs欣泰A4</t>
        </r>
      </text>
    </comment>
    <comment ref="AG167" authorId="2">
      <text>
        <r>
          <rPr>
            <b/>
            <sz val="9"/>
            <rFont val="宋体"/>
            <charset val="134"/>
          </rPr>
          <t>龙丽娟:</t>
        </r>
        <r>
          <rPr>
            <sz val="9"/>
            <rFont val="宋体"/>
            <charset val="134"/>
          </rPr>
          <t xml:space="preserve">
6/3 1000552 1536pcs欣泰A4</t>
        </r>
      </text>
    </comment>
    <comment ref="AG168" authorId="2">
      <text>
        <r>
          <rPr>
            <b/>
            <sz val="9"/>
            <rFont val="宋体"/>
            <charset val="134"/>
          </rPr>
          <t>龙丽娟:</t>
        </r>
        <r>
          <rPr>
            <sz val="9"/>
            <rFont val="宋体"/>
            <charset val="134"/>
          </rPr>
          <t xml:space="preserve">
6/3 1000552 1600pcs欣泰A4</t>
        </r>
      </text>
    </comment>
    <comment ref="AG169" authorId="2">
      <text>
        <r>
          <rPr>
            <b/>
            <sz val="9"/>
            <rFont val="宋体"/>
            <charset val="134"/>
          </rPr>
          <t>龙丽娟:</t>
        </r>
        <r>
          <rPr>
            <sz val="9"/>
            <rFont val="宋体"/>
            <charset val="134"/>
          </rPr>
          <t xml:space="preserve">
6/3 1000552 1416pcs欣泰A4</t>
        </r>
      </text>
    </comment>
    <comment ref="AG170" authorId="2">
      <text>
        <r>
          <rPr>
            <b/>
            <sz val="9"/>
            <rFont val="宋体"/>
            <charset val="134"/>
          </rPr>
          <t>龙丽娟:</t>
        </r>
        <r>
          <rPr>
            <sz val="9"/>
            <rFont val="宋体"/>
            <charset val="134"/>
          </rPr>
          <t xml:space="preserve">
6/5 1000545 1032pcs</t>
        </r>
      </text>
    </comment>
    <comment ref="AG171" authorId="2">
      <text>
        <r>
          <rPr>
            <b/>
            <sz val="9"/>
            <rFont val="宋体"/>
            <charset val="134"/>
          </rPr>
          <t>龙丽娟:</t>
        </r>
        <r>
          <rPr>
            <sz val="9"/>
            <rFont val="宋体"/>
            <charset val="134"/>
          </rPr>
          <t xml:space="preserve">
6/5 1000545 1672pcs</t>
        </r>
      </text>
    </comment>
    <comment ref="AG172" authorId="2">
      <text>
        <r>
          <rPr>
            <b/>
            <sz val="9"/>
            <rFont val="宋体"/>
            <charset val="134"/>
          </rPr>
          <t>龙丽娟:</t>
        </r>
        <r>
          <rPr>
            <sz val="9"/>
            <rFont val="宋体"/>
            <charset val="134"/>
          </rPr>
          <t xml:space="preserve">
6/5 1000545 1816pcs</t>
        </r>
      </text>
    </comment>
    <comment ref="AG173" authorId="2">
      <text>
        <r>
          <rPr>
            <b/>
            <sz val="9"/>
            <rFont val="宋体"/>
            <charset val="134"/>
          </rPr>
          <t>龙丽娟:</t>
        </r>
        <r>
          <rPr>
            <sz val="9"/>
            <rFont val="宋体"/>
            <charset val="134"/>
          </rPr>
          <t xml:space="preserve">
6/5 1000545 1448pcs</t>
        </r>
      </text>
    </comment>
    <comment ref="AG174" authorId="2">
      <text>
        <r>
          <rPr>
            <b/>
            <sz val="9"/>
            <rFont val="宋体"/>
            <charset val="134"/>
          </rPr>
          <t>龙丽娟:</t>
        </r>
        <r>
          <rPr>
            <sz val="9"/>
            <rFont val="宋体"/>
            <charset val="134"/>
          </rPr>
          <t xml:space="preserve">
6/9 1000492 1912pcs欣泰B3</t>
        </r>
      </text>
    </comment>
    <comment ref="AG175" authorId="2">
      <text>
        <r>
          <rPr>
            <b/>
            <sz val="9"/>
            <rFont val="宋体"/>
            <charset val="134"/>
          </rPr>
          <t>龙丽娟:</t>
        </r>
        <r>
          <rPr>
            <sz val="9"/>
            <rFont val="宋体"/>
            <charset val="134"/>
          </rPr>
          <t xml:space="preserve">
6/9 1000492 3344pcs欣泰B3</t>
        </r>
      </text>
    </comment>
    <comment ref="AG176" authorId="2">
      <text>
        <r>
          <rPr>
            <b/>
            <sz val="9"/>
            <rFont val="宋体"/>
            <charset val="134"/>
          </rPr>
          <t>龙丽娟:</t>
        </r>
        <r>
          <rPr>
            <sz val="9"/>
            <rFont val="宋体"/>
            <charset val="134"/>
          </rPr>
          <t xml:space="preserve">
6/9 1000492 192pcs欣泰B3</t>
        </r>
      </text>
    </comment>
    <comment ref="AI176" authorId="1">
      <text>
        <r>
          <rPr>
            <b/>
            <sz val="12"/>
            <rFont val="宋体"/>
            <charset val="134"/>
          </rPr>
          <t>DELL:</t>
        </r>
        <r>
          <rPr>
            <sz val="12"/>
            <rFont val="宋体"/>
            <charset val="134"/>
          </rPr>
          <t xml:space="preserve">
4/30 上锂电池贴纸 7282pcs
196453/194798/195170/198032/ZMPO260306/197999/198146/198397/ZMPO260320/199501/1995045/199725/199726/199929/200071/200163/200909/201073/202070共用</t>
        </r>
      </text>
    </comment>
    <comment ref="AG178" authorId="2">
      <text>
        <r>
          <rPr>
            <b/>
            <sz val="9"/>
            <rFont val="宋体"/>
            <charset val="134"/>
          </rPr>
          <t>龙丽娟:</t>
        </r>
        <r>
          <rPr>
            <sz val="9"/>
            <rFont val="宋体"/>
            <charset val="134"/>
          </rPr>
          <t xml:space="preserve">
6/9 1000492 16pcs欣泰B3</t>
        </r>
      </text>
    </comment>
    <comment ref="AG180" authorId="2">
      <text>
        <r>
          <rPr>
            <b/>
            <sz val="9"/>
            <rFont val="宋体"/>
            <charset val="134"/>
          </rPr>
          <t>龙丽娟:</t>
        </r>
        <r>
          <rPr>
            <sz val="9"/>
            <rFont val="宋体"/>
            <charset val="134"/>
          </rPr>
          <t xml:space="preserve">
6/9 1000492 832pcs欣泰B3</t>
        </r>
      </text>
    </comment>
    <comment ref="AG181" authorId="2">
      <text>
        <r>
          <rPr>
            <b/>
            <sz val="9"/>
            <rFont val="宋体"/>
            <charset val="134"/>
          </rPr>
          <t>龙丽娟:</t>
        </r>
        <r>
          <rPr>
            <sz val="9"/>
            <rFont val="宋体"/>
            <charset val="134"/>
          </rPr>
          <t xml:space="preserve">
1000097 6/16 353pcs</t>
        </r>
        <r>
          <rPr>
            <b/>
            <sz val="9"/>
            <rFont val="宋体"/>
            <charset val="134"/>
          </rPr>
          <t xml:space="preserve">
龙丽娟:</t>
        </r>
        <r>
          <rPr>
            <sz val="9"/>
            <rFont val="宋体"/>
            <charset val="134"/>
          </rPr>
          <t xml:space="preserve">
1000085  6/17 3265pcs</t>
        </r>
        <r>
          <rPr>
            <b/>
            <sz val="9"/>
            <rFont val="宋体"/>
            <charset val="134"/>
          </rPr>
          <t xml:space="preserve">
龙丽娟:</t>
        </r>
        <r>
          <rPr>
            <sz val="9"/>
            <rFont val="宋体"/>
            <charset val="134"/>
          </rPr>
          <t xml:space="preserve">
1000070 6/18 702pcs</t>
        </r>
      </text>
    </comment>
    <comment ref="AI181" authorId="1">
      <text>
        <r>
          <rPr>
            <b/>
            <sz val="12"/>
            <rFont val="宋体"/>
            <charset val="134"/>
          </rPr>
          <t>DELL:</t>
        </r>
        <r>
          <rPr>
            <sz val="12"/>
            <rFont val="宋体"/>
            <charset val="134"/>
          </rPr>
          <t xml:space="preserve">
4/30 上锂电池UN3481标识贴纸260*260mm 196pcs
197499/198839/198838/197500/197501/197502共用</t>
        </r>
      </text>
    </comment>
    <comment ref="AQ181" authorId="3">
      <text>
        <r>
          <rPr>
            <b/>
            <sz val="9"/>
            <rFont val="宋体"/>
            <charset val="134"/>
          </rPr>
          <t>RR:</t>
        </r>
        <r>
          <rPr>
            <sz val="9"/>
            <rFont val="宋体"/>
            <charset val="134"/>
          </rPr>
          <t xml:space="preserve">
新客版资料</t>
        </r>
      </text>
    </comment>
    <comment ref="AR181" authorId="3">
      <text>
        <r>
          <rPr>
            <b/>
            <sz val="9"/>
            <rFont val="宋体"/>
            <charset val="134"/>
          </rPr>
          <t>RR:</t>
        </r>
        <r>
          <rPr>
            <sz val="9"/>
            <rFont val="宋体"/>
            <charset val="134"/>
          </rPr>
          <t xml:space="preserve">
新客版资料</t>
        </r>
      </text>
    </comment>
    <comment ref="AS181" authorId="3">
      <text>
        <r>
          <rPr>
            <b/>
            <sz val="9"/>
            <rFont val="宋体"/>
            <charset val="134"/>
          </rPr>
          <t>RR:</t>
        </r>
        <r>
          <rPr>
            <sz val="9"/>
            <rFont val="宋体"/>
            <charset val="134"/>
          </rPr>
          <t xml:space="preserve">
新客版资料</t>
        </r>
      </text>
    </comment>
    <comment ref="AG182" authorId="2">
      <text>
        <r>
          <rPr>
            <b/>
            <sz val="9"/>
            <rFont val="宋体"/>
            <charset val="134"/>
          </rPr>
          <t>龙丽娟:</t>
        </r>
        <r>
          <rPr>
            <sz val="9"/>
            <rFont val="宋体"/>
            <charset val="134"/>
          </rPr>
          <t xml:space="preserve">
2801136  6/6 2000pcs 顶均B7</t>
        </r>
      </text>
    </comment>
    <comment ref="AG183" authorId="2">
      <text>
        <r>
          <rPr>
            <b/>
            <sz val="9"/>
            <rFont val="宋体"/>
            <charset val="134"/>
          </rPr>
          <t>龙丽娟:</t>
        </r>
        <r>
          <rPr>
            <sz val="9"/>
            <rFont val="宋体"/>
            <charset val="134"/>
          </rPr>
          <t xml:space="preserve">
6/4 2801073 6656pcs欣泰D5</t>
        </r>
      </text>
    </comment>
    <comment ref="AI183" authorId="0">
      <text>
        <r>
          <rPr>
            <b/>
            <sz val="12"/>
            <rFont val="宋体"/>
            <charset val="134"/>
          </rPr>
          <t>Administrator:</t>
        </r>
        <r>
          <rPr>
            <sz val="12"/>
            <rFont val="宋体"/>
            <charset val="134"/>
          </rPr>
          <t xml:space="preserve">
5/7上客供RFID贴纸6656pcs
5/15 上锂电池贴纸26118pcs
</t>
        </r>
      </text>
    </comment>
    <comment ref="AG184" authorId="2">
      <text>
        <r>
          <rPr>
            <b/>
            <sz val="9"/>
            <rFont val="宋体"/>
            <charset val="134"/>
          </rPr>
          <t>龙丽娟:</t>
        </r>
        <r>
          <rPr>
            <sz val="9"/>
            <rFont val="宋体"/>
            <charset val="134"/>
          </rPr>
          <t xml:space="preserve">
6/4 2801073 8192pcs欣泰D5</t>
        </r>
      </text>
    </comment>
    <comment ref="AI184" authorId="0">
      <text>
        <r>
          <rPr>
            <b/>
            <sz val="12"/>
            <rFont val="宋体"/>
            <charset val="134"/>
          </rPr>
          <t>Administrator:</t>
        </r>
        <r>
          <rPr>
            <sz val="12"/>
            <rFont val="宋体"/>
            <charset val="134"/>
          </rPr>
          <t xml:space="preserve">
5/7上客供RFID贴纸9216pcs
5/15 上锂电池贴纸26118pcs
</t>
        </r>
      </text>
    </comment>
    <comment ref="AG185" authorId="2">
      <text>
        <r>
          <rPr>
            <b/>
            <sz val="9"/>
            <rFont val="宋体"/>
            <charset val="134"/>
          </rPr>
          <t>龙丽娟:</t>
        </r>
        <r>
          <rPr>
            <sz val="9"/>
            <rFont val="宋体"/>
            <charset val="134"/>
          </rPr>
          <t xml:space="preserve">
6/4 2801073 9216pcs欣泰D5</t>
        </r>
      </text>
    </comment>
    <comment ref="AI185" authorId="0">
      <text>
        <r>
          <rPr>
            <b/>
            <sz val="12"/>
            <rFont val="宋体"/>
            <charset val="134"/>
          </rPr>
          <t>Administrator:</t>
        </r>
        <r>
          <rPr>
            <sz val="12"/>
            <rFont val="宋体"/>
            <charset val="134"/>
          </rPr>
          <t xml:space="preserve">
5/7上客供RFID贴纸8192pcs
5/15 上锂电池贴纸26118pcs
</t>
        </r>
      </text>
    </comment>
    <comment ref="AG186" authorId="2">
      <text>
        <r>
          <rPr>
            <b/>
            <sz val="9"/>
            <rFont val="宋体"/>
            <charset val="134"/>
          </rPr>
          <t>龙丽娟:</t>
        </r>
        <r>
          <rPr>
            <sz val="9"/>
            <rFont val="宋体"/>
            <charset val="134"/>
          </rPr>
          <t xml:space="preserve">
6/4 2801073 12800pcs欣泰D5</t>
        </r>
      </text>
    </comment>
    <comment ref="AI186" authorId="0">
      <text>
        <r>
          <rPr>
            <b/>
            <sz val="12"/>
            <rFont val="宋体"/>
            <charset val="134"/>
          </rPr>
          <t>Administrator:</t>
        </r>
        <r>
          <rPr>
            <sz val="12"/>
            <rFont val="宋体"/>
            <charset val="134"/>
          </rPr>
          <t xml:space="preserve">
5/7上客供RFID贴纸12800pcs
5/15 上锂电池贴纸26118pcs
</t>
        </r>
      </text>
    </comment>
    <comment ref="AG189" authorId="2">
      <text>
        <r>
          <rPr>
            <b/>
            <sz val="9"/>
            <rFont val="宋体"/>
            <charset val="134"/>
          </rPr>
          <t>龙丽娟:</t>
        </r>
        <r>
          <rPr>
            <sz val="9"/>
            <rFont val="宋体"/>
            <charset val="134"/>
          </rPr>
          <t xml:space="preserve">
1000491 6/9 2112pcs</t>
        </r>
        <r>
          <rPr>
            <b/>
            <sz val="9"/>
            <rFont val="宋体"/>
            <charset val="134"/>
          </rPr>
          <t xml:space="preserve">
龙丽娟:</t>
        </r>
        <r>
          <rPr>
            <sz val="9"/>
            <rFont val="宋体"/>
            <charset val="134"/>
          </rPr>
          <t xml:space="preserve">
1000517 6/10 192pcs
1000519 6/10 2016pcs</t>
        </r>
      </text>
    </comment>
    <comment ref="AG190" authorId="2">
      <text>
        <r>
          <rPr>
            <b/>
            <sz val="9"/>
            <rFont val="宋体"/>
            <charset val="134"/>
          </rPr>
          <t>龙丽娟:</t>
        </r>
        <r>
          <rPr>
            <sz val="9"/>
            <rFont val="宋体"/>
            <charset val="134"/>
          </rPr>
          <t xml:space="preserve">
1000477 6/6 576pcs</t>
        </r>
        <r>
          <rPr>
            <b/>
            <sz val="9"/>
            <rFont val="宋体"/>
            <charset val="134"/>
          </rPr>
          <t xml:space="preserve">
龙丽娟:</t>
        </r>
        <r>
          <rPr>
            <sz val="9"/>
            <rFont val="宋体"/>
            <charset val="134"/>
          </rPr>
          <t xml:space="preserve">
1000481 6/11 3150pcs</t>
        </r>
        <r>
          <rPr>
            <b/>
            <sz val="9"/>
            <rFont val="宋体"/>
            <charset val="134"/>
          </rPr>
          <t xml:space="preserve">
龙丽娟:</t>
        </r>
        <r>
          <rPr>
            <sz val="9"/>
            <rFont val="宋体"/>
            <charset val="134"/>
          </rPr>
          <t xml:space="preserve">
1000444 6/12 594pcs</t>
        </r>
      </text>
    </comment>
    <comment ref="AI191" authorId="0">
      <text>
        <r>
          <rPr>
            <b/>
            <sz val="12"/>
            <rFont val="宋体"/>
            <charset val="134"/>
          </rPr>
          <t>Administrator:</t>
        </r>
        <r>
          <rPr>
            <sz val="12"/>
            <rFont val="宋体"/>
            <charset val="134"/>
          </rPr>
          <t xml:space="preserve">
5/6 上UPC进口商贴纸896pcs</t>
        </r>
      </text>
    </comment>
    <comment ref="AG192" authorId="2">
      <text>
        <r>
          <rPr>
            <b/>
            <sz val="9"/>
            <rFont val="宋体"/>
            <charset val="0"/>
          </rPr>
          <t>龙丽娟:</t>
        </r>
        <r>
          <rPr>
            <sz val="9"/>
            <rFont val="宋体"/>
            <charset val="0"/>
          </rPr>
          <t xml:space="preserve">
2801274 6/16 15584pcs</t>
        </r>
        <r>
          <rPr>
            <b/>
            <sz val="9"/>
            <rFont val="宋体"/>
            <charset val="0"/>
          </rPr>
          <t xml:space="preserve">
龙丽娟:</t>
        </r>
        <r>
          <rPr>
            <sz val="9"/>
            <rFont val="宋体"/>
            <charset val="0"/>
          </rPr>
          <t xml:space="preserve">
2201047 6/16 416pcs</t>
        </r>
      </text>
    </comment>
    <comment ref="AI192" authorId="0">
      <text>
        <r>
          <rPr>
            <b/>
            <sz val="12"/>
            <rFont val="宋体"/>
            <charset val="134"/>
          </rPr>
          <t>Administrator:</t>
        </r>
        <r>
          <rPr>
            <sz val="12"/>
            <rFont val="宋体"/>
            <charset val="134"/>
          </rPr>
          <t xml:space="preserve">
5/12 上客供外箱贴纸 2020pcs</t>
        </r>
      </text>
    </comment>
    <comment ref="AG193" authorId="2">
      <text>
        <r>
          <rPr>
            <b/>
            <sz val="9"/>
            <rFont val="宋体"/>
            <charset val="134"/>
          </rPr>
          <t>龙丽娟:</t>
        </r>
        <r>
          <rPr>
            <sz val="9"/>
            <rFont val="宋体"/>
            <charset val="134"/>
          </rPr>
          <t xml:space="preserve">
6/9 2801177 2184pcs欣泰B4</t>
        </r>
      </text>
    </comment>
    <comment ref="AG194" authorId="2">
      <text>
        <r>
          <rPr>
            <b/>
            <sz val="9"/>
            <rFont val="宋体"/>
            <charset val="134"/>
          </rPr>
          <t>龙丽娟:</t>
        </r>
        <r>
          <rPr>
            <sz val="9"/>
            <rFont val="宋体"/>
            <charset val="134"/>
          </rPr>
          <t xml:space="preserve">
2801274 6/16 4480pcs</t>
        </r>
        <r>
          <rPr>
            <b/>
            <sz val="9"/>
            <rFont val="宋体"/>
            <charset val="134"/>
          </rPr>
          <t xml:space="preserve">
龙丽娟:</t>
        </r>
        <r>
          <rPr>
            <sz val="9"/>
            <rFont val="宋体"/>
            <charset val="134"/>
          </rPr>
          <t xml:space="preserve">
2201047 6/16 712pcs</t>
        </r>
      </text>
    </comment>
    <comment ref="AG195" authorId="2">
      <text>
        <r>
          <rPr>
            <b/>
            <sz val="9"/>
            <rFont val="宋体"/>
            <charset val="134"/>
          </rPr>
          <t>龙丽娟:</t>
        </r>
        <r>
          <rPr>
            <sz val="9"/>
            <rFont val="宋体"/>
            <charset val="134"/>
          </rPr>
          <t xml:space="preserve">
6/13 2801241 3008PCS顶均B2</t>
        </r>
      </text>
    </comment>
    <comment ref="AI196" authorId="2">
      <text>
        <r>
          <rPr>
            <b/>
            <sz val="9"/>
            <rFont val="宋体"/>
            <charset val="134"/>
          </rPr>
          <t>龙丽娟:</t>
        </r>
        <r>
          <rPr>
            <sz val="9"/>
            <rFont val="宋体"/>
            <charset val="134"/>
          </rPr>
          <t xml:space="preserve">
6/27上产品贴纸7584pcs</t>
        </r>
        <r>
          <rPr>
            <b/>
            <sz val="9"/>
            <rFont val="宋体"/>
            <charset val="134"/>
          </rPr>
          <t xml:space="preserve">
龙丽娟:</t>
        </r>
        <r>
          <rPr>
            <sz val="9"/>
            <rFont val="宋体"/>
            <charset val="134"/>
          </rPr>
          <t xml:space="preserve">
6/27上空白贴纸7584pcs</t>
        </r>
      </text>
    </comment>
    <comment ref="AG197" authorId="2">
      <text>
        <r>
          <rPr>
            <b/>
            <sz val="9"/>
            <rFont val="宋体"/>
            <charset val="134"/>
          </rPr>
          <t>龙丽娟:</t>
        </r>
        <r>
          <rPr>
            <sz val="9"/>
            <rFont val="宋体"/>
            <charset val="134"/>
          </rPr>
          <t xml:space="preserve">
1000452 6/12 2226pcs
1000444 6/12 2094pcs</t>
        </r>
      </text>
    </comment>
    <comment ref="AG198" authorId="2">
      <text>
        <r>
          <rPr>
            <b/>
            <sz val="9"/>
            <rFont val="宋体"/>
            <charset val="134"/>
          </rPr>
          <t>龙丽娟:</t>
        </r>
        <r>
          <rPr>
            <sz val="9"/>
            <rFont val="宋体"/>
            <charset val="134"/>
          </rPr>
          <t xml:space="preserve">
1000452 6/12 192pcs</t>
        </r>
        <r>
          <rPr>
            <b/>
            <sz val="9"/>
            <rFont val="宋体"/>
            <charset val="134"/>
          </rPr>
          <t xml:space="preserve">
龙丽娟:</t>
        </r>
        <r>
          <rPr>
            <sz val="9"/>
            <rFont val="宋体"/>
            <charset val="134"/>
          </rPr>
          <t xml:space="preserve">
1000117 6/13 546pcs
1000455 6/13 3582pcs</t>
        </r>
      </text>
    </comment>
    <comment ref="AG199" authorId="2">
      <text>
        <r>
          <rPr>
            <b/>
            <sz val="9"/>
            <rFont val="宋体"/>
            <charset val="134"/>
          </rPr>
          <t>龙丽娟:</t>
        </r>
        <r>
          <rPr>
            <sz val="9"/>
            <rFont val="宋体"/>
            <charset val="134"/>
          </rPr>
          <t xml:space="preserve">
1000117 6/13 1362pcs
1000129 6/13 576pcs</t>
        </r>
        <r>
          <rPr>
            <b/>
            <sz val="9"/>
            <rFont val="宋体"/>
            <charset val="134"/>
          </rPr>
          <t xml:space="preserve">
龙丽娟:</t>
        </r>
        <r>
          <rPr>
            <sz val="9"/>
            <rFont val="宋体"/>
            <charset val="134"/>
          </rPr>
          <t xml:space="preserve">
1000092 6/15 1806pcs</t>
        </r>
        <r>
          <rPr>
            <b/>
            <sz val="9"/>
            <rFont val="宋体"/>
            <charset val="134"/>
          </rPr>
          <t xml:space="preserve">
龙丽娟:</t>
        </r>
        <r>
          <rPr>
            <sz val="9"/>
            <rFont val="宋体"/>
            <charset val="134"/>
          </rPr>
          <t xml:space="preserve">
1000097 6/16 576pcs</t>
        </r>
      </text>
    </comment>
    <comment ref="AI200" authorId="2">
      <text>
        <r>
          <rPr>
            <b/>
            <sz val="9"/>
            <rFont val="宋体"/>
            <charset val="134"/>
          </rPr>
          <t>龙丽娟:</t>
        </r>
        <r>
          <rPr>
            <sz val="9"/>
            <rFont val="宋体"/>
            <charset val="134"/>
          </rPr>
          <t xml:space="preserve">
6/2 客供亚马逊外箱贴纸1625pcs</t>
        </r>
      </text>
    </comment>
    <comment ref="AG201" authorId="2">
      <text>
        <r>
          <rPr>
            <b/>
            <sz val="9"/>
            <rFont val="宋体"/>
            <charset val="134"/>
          </rPr>
          <t>龙丽娟:</t>
        </r>
        <r>
          <rPr>
            <sz val="9"/>
            <rFont val="宋体"/>
            <charset val="134"/>
          </rPr>
          <t xml:space="preserve">
1000097 6/16 960pcs
1000101 6/16 192pcs
1000080 6/16 2064pcs</t>
        </r>
        <r>
          <rPr>
            <b/>
            <sz val="9"/>
            <rFont val="宋体"/>
            <charset val="134"/>
          </rPr>
          <t xml:space="preserve">
龙丽娟:</t>
        </r>
        <r>
          <rPr>
            <sz val="9"/>
            <rFont val="宋体"/>
            <charset val="134"/>
          </rPr>
          <t xml:space="preserve">
1000082 6/17 1104pcs</t>
        </r>
      </text>
    </comment>
    <comment ref="AQ201" authorId="3">
      <text>
        <r>
          <rPr>
            <b/>
            <sz val="9"/>
            <rFont val="宋体"/>
            <charset val="134"/>
          </rPr>
          <t>RR:</t>
        </r>
        <r>
          <rPr>
            <sz val="9"/>
            <rFont val="宋体"/>
            <charset val="134"/>
          </rPr>
          <t xml:space="preserve">
新客版资料</t>
        </r>
      </text>
    </comment>
    <comment ref="AR201" authorId="3">
      <text>
        <r>
          <rPr>
            <b/>
            <sz val="9"/>
            <rFont val="宋体"/>
            <charset val="134"/>
          </rPr>
          <t>RR:</t>
        </r>
        <r>
          <rPr>
            <sz val="9"/>
            <rFont val="宋体"/>
            <charset val="134"/>
          </rPr>
          <t xml:space="preserve">
新客版资料</t>
        </r>
      </text>
    </comment>
    <comment ref="AS201" authorId="3">
      <text>
        <r>
          <rPr>
            <b/>
            <sz val="9"/>
            <rFont val="宋体"/>
            <charset val="134"/>
          </rPr>
          <t>RR:</t>
        </r>
        <r>
          <rPr>
            <sz val="9"/>
            <rFont val="宋体"/>
            <charset val="134"/>
          </rPr>
          <t xml:space="preserve">
新客版资料</t>
        </r>
      </text>
    </comment>
    <comment ref="AG203" authorId="2">
      <text>
        <r>
          <rPr>
            <b/>
            <sz val="9"/>
            <rFont val="宋体"/>
            <charset val="134"/>
          </rPr>
          <t>龙丽娟:</t>
        </r>
        <r>
          <rPr>
            <sz val="9"/>
            <rFont val="宋体"/>
            <charset val="134"/>
          </rPr>
          <t xml:space="preserve">
6/15 2801258  512pcs欣泰D6</t>
        </r>
      </text>
    </comment>
    <comment ref="AG204" authorId="2">
      <text>
        <r>
          <rPr>
            <b/>
            <sz val="9"/>
            <rFont val="宋体"/>
            <charset val="134"/>
          </rPr>
          <t>龙丽娟:</t>
        </r>
        <r>
          <rPr>
            <sz val="9"/>
            <rFont val="宋体"/>
            <charset val="134"/>
          </rPr>
          <t xml:space="preserve">
6/18 2201065 1416pcs顶均B8</t>
        </r>
      </text>
    </comment>
    <comment ref="AI204" authorId="2">
      <text>
        <r>
          <rPr>
            <b/>
            <sz val="9"/>
            <rFont val="宋体"/>
            <charset val="134"/>
          </rPr>
          <t>龙丽娟:</t>
        </r>
        <r>
          <rPr>
            <sz val="9"/>
            <rFont val="宋体"/>
            <charset val="134"/>
          </rPr>
          <t xml:space="preserve">
6/3上kmart外箱贴纸177pcs</t>
        </r>
        <r>
          <rPr>
            <b/>
            <sz val="9"/>
            <rFont val="宋体"/>
            <charset val="134"/>
          </rPr>
          <t xml:space="preserve">
龙丽娟:</t>
        </r>
        <r>
          <rPr>
            <sz val="9"/>
            <rFont val="宋体"/>
            <charset val="134"/>
          </rPr>
          <t xml:space="preserve">
6/10上白色防盗贴纸1416pcs</t>
        </r>
      </text>
    </comment>
    <comment ref="AG205" authorId="2">
      <text>
        <r>
          <rPr>
            <b/>
            <sz val="9"/>
            <rFont val="宋体"/>
            <charset val="134"/>
          </rPr>
          <t>龙丽娟:</t>
        </r>
        <r>
          <rPr>
            <sz val="9"/>
            <rFont val="宋体"/>
            <charset val="134"/>
          </rPr>
          <t xml:space="preserve">
6/18 2201065 88pcs顶均B5.</t>
        </r>
      </text>
    </comment>
    <comment ref="AI205" authorId="2">
      <text>
        <r>
          <rPr>
            <b/>
            <sz val="9"/>
            <rFont val="宋体"/>
            <charset val="134"/>
          </rPr>
          <t>龙丽娟:</t>
        </r>
        <r>
          <rPr>
            <sz val="9"/>
            <rFont val="宋体"/>
            <charset val="134"/>
          </rPr>
          <t xml:space="preserve">
6/3上kmart外箱贴纸11pcs</t>
        </r>
        <r>
          <rPr>
            <b/>
            <sz val="9"/>
            <rFont val="宋体"/>
            <charset val="134"/>
          </rPr>
          <t xml:space="preserve">
龙丽娟:</t>
        </r>
        <r>
          <rPr>
            <sz val="9"/>
            <rFont val="宋体"/>
            <charset val="134"/>
          </rPr>
          <t xml:space="preserve">
6/10上白色防盗贴纸88pcs</t>
        </r>
      </text>
    </comment>
    <comment ref="AG206" authorId="2">
      <text>
        <r>
          <rPr>
            <b/>
            <sz val="9"/>
            <rFont val="宋体"/>
            <charset val="134"/>
          </rPr>
          <t>龙丽娟:</t>
        </r>
        <r>
          <rPr>
            <sz val="9"/>
            <rFont val="宋体"/>
            <charset val="134"/>
          </rPr>
          <t xml:space="preserve">
7/12 2801298 660pcs五车间</t>
        </r>
      </text>
    </comment>
    <comment ref="AG207" authorId="2">
      <text>
        <r>
          <rPr>
            <b/>
            <sz val="9"/>
            <rFont val="宋体"/>
            <charset val="134"/>
          </rPr>
          <t>龙丽娟:</t>
        </r>
        <r>
          <rPr>
            <sz val="9"/>
            <rFont val="宋体"/>
            <charset val="134"/>
          </rPr>
          <t xml:space="preserve">
6/13 2801248 2464PCS 顶均B8</t>
        </r>
      </text>
    </comment>
    <comment ref="AG208" authorId="2">
      <text>
        <r>
          <rPr>
            <b/>
            <sz val="9"/>
            <rFont val="宋体"/>
            <charset val="134"/>
          </rPr>
          <t>龙丽娟:</t>
        </r>
        <r>
          <rPr>
            <sz val="9"/>
            <rFont val="宋体"/>
            <charset val="134"/>
          </rPr>
          <t xml:space="preserve">
2801224 6/12 38816pcs顶均D3</t>
        </r>
        <r>
          <rPr>
            <b/>
            <sz val="9"/>
            <rFont val="宋体"/>
            <charset val="134"/>
          </rPr>
          <t xml:space="preserve">
龙丽娟:</t>
        </r>
        <r>
          <rPr>
            <sz val="9"/>
            <rFont val="宋体"/>
            <charset val="134"/>
          </rPr>
          <t xml:space="preserve">
6/12 2801227 184PCS 欣泰D3</t>
        </r>
      </text>
    </comment>
    <comment ref="AG209" authorId="2">
      <text>
        <r>
          <rPr>
            <b/>
            <sz val="9"/>
            <rFont val="宋体"/>
            <charset val="134"/>
          </rPr>
          <t>龙丽娟:</t>
        </r>
        <r>
          <rPr>
            <sz val="9"/>
            <rFont val="宋体"/>
            <charset val="134"/>
          </rPr>
          <t xml:space="preserve">
1000097 6/16 594pcs</t>
        </r>
        <r>
          <rPr>
            <b/>
            <sz val="9"/>
            <rFont val="宋体"/>
            <charset val="134"/>
          </rPr>
          <t xml:space="preserve">
龙丽娟:</t>
        </r>
        <r>
          <rPr>
            <sz val="9"/>
            <rFont val="宋体"/>
            <charset val="134"/>
          </rPr>
          <t xml:space="preserve">
1000061 6/20 528pcs
1000010 6/20 768pcs</t>
        </r>
        <r>
          <rPr>
            <b/>
            <sz val="9"/>
            <rFont val="宋体"/>
            <charset val="134"/>
          </rPr>
          <t xml:space="preserve">
龙丽娟:</t>
        </r>
        <r>
          <rPr>
            <sz val="9"/>
            <rFont val="宋体"/>
            <charset val="134"/>
          </rPr>
          <t xml:space="preserve">
1000198 6/29 942pcs
1000324 6/29 192pcs</t>
        </r>
      </text>
    </comment>
    <comment ref="AG210" authorId="2">
      <text>
        <r>
          <rPr>
            <b/>
            <sz val="9"/>
            <rFont val="宋体"/>
            <charset val="134"/>
          </rPr>
          <t>龙丽娟:</t>
        </r>
        <r>
          <rPr>
            <sz val="9"/>
            <rFont val="宋体"/>
            <charset val="134"/>
          </rPr>
          <t xml:space="preserve">
1000117 6/13 1296pcs
1000455 6/13 1548pcs
1000129 6/13 396pcs</t>
        </r>
        <r>
          <rPr>
            <b/>
            <sz val="9"/>
            <rFont val="宋体"/>
            <charset val="134"/>
          </rPr>
          <t xml:space="preserve">
龙丽娟:</t>
        </r>
        <r>
          <rPr>
            <sz val="9"/>
            <rFont val="宋体"/>
            <charset val="134"/>
          </rPr>
          <t xml:space="preserve">
1000196 6/30 768pcs</t>
        </r>
      </text>
    </comment>
    <comment ref="AG211" authorId="2">
      <text>
        <r>
          <rPr>
            <b/>
            <sz val="9"/>
            <rFont val="宋体"/>
            <charset val="134"/>
          </rPr>
          <t>龙丽娟:</t>
        </r>
        <r>
          <rPr>
            <sz val="9"/>
            <rFont val="宋体"/>
            <charset val="134"/>
          </rPr>
          <t xml:space="preserve">
1000097 6/16 594pcs</t>
        </r>
        <r>
          <rPr>
            <b/>
            <sz val="9"/>
            <rFont val="宋体"/>
            <charset val="134"/>
          </rPr>
          <t xml:space="preserve">
龙丽娟:</t>
        </r>
        <r>
          <rPr>
            <sz val="9"/>
            <rFont val="宋体"/>
            <charset val="134"/>
          </rPr>
          <t xml:space="preserve">
1000065 6/20 912pcs</t>
        </r>
        <r>
          <rPr>
            <b/>
            <sz val="9"/>
            <rFont val="宋体"/>
            <charset val="134"/>
          </rPr>
          <t xml:space="preserve">
龙丽娟:</t>
        </r>
        <r>
          <rPr>
            <sz val="9"/>
            <rFont val="宋体"/>
            <charset val="134"/>
          </rPr>
          <t xml:space="preserve">
1000010 6/20 384pcs</t>
        </r>
        <r>
          <rPr>
            <b/>
            <sz val="9"/>
            <rFont val="宋体"/>
            <charset val="134"/>
          </rPr>
          <t xml:space="preserve">
龙丽娟:</t>
        </r>
        <r>
          <rPr>
            <sz val="9"/>
            <rFont val="宋体"/>
            <charset val="134"/>
          </rPr>
          <t xml:space="preserve">
1000198 6/29 192pcs</t>
        </r>
        <r>
          <rPr>
            <b/>
            <sz val="9"/>
            <rFont val="宋体"/>
            <charset val="134"/>
          </rPr>
          <t xml:space="preserve">
龙丽娟:</t>
        </r>
        <r>
          <rPr>
            <sz val="9"/>
            <rFont val="宋体"/>
            <charset val="134"/>
          </rPr>
          <t xml:space="preserve">
1000205 6/30 942pcs</t>
        </r>
      </text>
    </comment>
    <comment ref="AG212" authorId="2">
      <text>
        <r>
          <rPr>
            <b/>
            <sz val="9"/>
            <rFont val="宋体"/>
            <charset val="134"/>
          </rPr>
          <t>龙丽娟:</t>
        </r>
        <r>
          <rPr>
            <sz val="9"/>
            <rFont val="宋体"/>
            <charset val="134"/>
          </rPr>
          <t xml:space="preserve">
1000116 6/15 144pcs</t>
        </r>
        <r>
          <rPr>
            <b/>
            <sz val="9"/>
            <rFont val="宋体"/>
            <charset val="134"/>
          </rPr>
          <t xml:space="preserve">
龙丽娟:</t>
        </r>
        <r>
          <rPr>
            <sz val="9"/>
            <rFont val="宋体"/>
            <charset val="134"/>
          </rPr>
          <t xml:space="preserve">
1000097 6/16 2514pcs</t>
        </r>
        <r>
          <rPr>
            <b/>
            <sz val="9"/>
            <rFont val="宋体"/>
            <charset val="134"/>
          </rPr>
          <t xml:space="preserve">
龙丽娟:</t>
        </r>
        <r>
          <rPr>
            <sz val="9"/>
            <rFont val="宋体"/>
            <charset val="134"/>
          </rPr>
          <t xml:space="preserve">
1000085 6/17 768pcs</t>
        </r>
        <r>
          <rPr>
            <b/>
            <sz val="9"/>
            <rFont val="宋体"/>
            <charset val="134"/>
          </rPr>
          <t xml:space="preserve">
龙丽娟:</t>
        </r>
        <r>
          <rPr>
            <sz val="9"/>
            <rFont val="宋体"/>
            <charset val="134"/>
          </rPr>
          <t xml:space="preserve">
1000061 6//20 192pcs</t>
        </r>
        <r>
          <rPr>
            <b/>
            <sz val="9"/>
            <rFont val="宋体"/>
            <charset val="134"/>
          </rPr>
          <t xml:space="preserve">
龙丽娟:</t>
        </r>
        <r>
          <rPr>
            <sz val="9"/>
            <rFont val="宋体"/>
            <charset val="134"/>
          </rPr>
          <t xml:space="preserve">
1000065 6/20 336pcs</t>
        </r>
        <r>
          <rPr>
            <b/>
            <sz val="9"/>
            <rFont val="宋体"/>
            <charset val="134"/>
          </rPr>
          <t xml:space="preserve">
龙丽娟:</t>
        </r>
        <r>
          <rPr>
            <sz val="9"/>
            <rFont val="宋体"/>
            <charset val="134"/>
          </rPr>
          <t xml:space="preserve">
10000319 6/29 366pcs</t>
        </r>
      </text>
    </comment>
    <comment ref="AG213" authorId="2">
      <text>
        <r>
          <rPr>
            <b/>
            <sz val="9"/>
            <rFont val="宋体"/>
            <charset val="134"/>
          </rPr>
          <t>龙丽娟:</t>
        </r>
        <r>
          <rPr>
            <sz val="9"/>
            <rFont val="宋体"/>
            <charset val="134"/>
          </rPr>
          <t xml:space="preserve">
6/17 2201074  504pcs欣泰b4</t>
        </r>
      </text>
    </comment>
    <comment ref="AG214" authorId="2">
      <text>
        <r>
          <rPr>
            <b/>
            <sz val="9"/>
            <rFont val="宋体"/>
            <charset val="134"/>
          </rPr>
          <t>龙丽娟:</t>
        </r>
        <r>
          <rPr>
            <sz val="9"/>
            <rFont val="宋体"/>
            <charset val="134"/>
          </rPr>
          <t xml:space="preserve">
6/13 1000104 1680PCS顶均A8</t>
        </r>
      </text>
    </comment>
    <comment ref="AG215" authorId="2">
      <text>
        <r>
          <rPr>
            <b/>
            <sz val="9"/>
            <rFont val="宋体"/>
            <charset val="134"/>
          </rPr>
          <t>龙丽娟:</t>
        </r>
        <r>
          <rPr>
            <sz val="9"/>
            <rFont val="宋体"/>
            <charset val="134"/>
          </rPr>
          <t xml:space="preserve">
6/12 1000468 25920pcs欣泰A4</t>
        </r>
        <r>
          <rPr>
            <b/>
            <sz val="9"/>
            <rFont val="宋体"/>
            <charset val="134"/>
          </rPr>
          <t xml:space="preserve">
龙丽娟:</t>
        </r>
        <r>
          <rPr>
            <sz val="9"/>
            <rFont val="宋体"/>
            <charset val="134"/>
          </rPr>
          <t xml:space="preserve">
1000451 6/12 6656PCS欣泰A4</t>
        </r>
      </text>
    </comment>
    <comment ref="AI215" authorId="2">
      <text>
        <r>
          <rPr>
            <b/>
            <sz val="9"/>
            <rFont val="宋体"/>
            <charset val="134"/>
          </rPr>
          <t>龙丽娟:</t>
        </r>
        <r>
          <rPr>
            <sz val="9"/>
            <rFont val="宋体"/>
            <charset val="134"/>
          </rPr>
          <t xml:space="preserve">
6/2上客供亚马逊外箱贴纸32720pcs</t>
        </r>
      </text>
    </comment>
    <comment ref="AG216" authorId="2">
      <text>
        <r>
          <rPr>
            <b/>
            <sz val="9"/>
            <rFont val="宋体"/>
            <charset val="134"/>
          </rPr>
          <t>龙丽娟:</t>
        </r>
        <r>
          <rPr>
            <sz val="9"/>
            <rFont val="宋体"/>
            <charset val="134"/>
          </rPr>
          <t xml:space="preserve">
2201062 6/18 8192pcsA17</t>
        </r>
      </text>
    </comment>
    <comment ref="AI216" authorId="0">
      <text>
        <r>
          <rPr>
            <sz val="9"/>
            <rFont val="宋体"/>
            <charset val="134"/>
          </rPr>
          <t xml:space="preserve">Administrator:
5/14上客供RFID贴纸8704pcs
5/15 上锂电池贴纸26118pcs
</t>
        </r>
        <r>
          <rPr>
            <b/>
            <sz val="9"/>
            <rFont val="宋体"/>
            <charset val="134"/>
          </rPr>
          <t xml:space="preserve">
龙丽娟:</t>
        </r>
        <r>
          <rPr>
            <sz val="9"/>
            <rFont val="宋体"/>
            <charset val="134"/>
          </rPr>
          <t xml:space="preserve">
7/17 客供RFID贴纸8192pcs</t>
        </r>
      </text>
    </comment>
    <comment ref="AG217" authorId="2">
      <text>
        <r>
          <rPr>
            <b/>
            <sz val="9"/>
            <rFont val="宋体"/>
            <charset val="134"/>
          </rPr>
          <t>龙丽娟:</t>
        </r>
        <r>
          <rPr>
            <sz val="9"/>
            <rFont val="宋体"/>
            <charset val="134"/>
          </rPr>
          <t xml:space="preserve">
2201062 6/18 9728pcsA11</t>
        </r>
      </text>
    </comment>
    <comment ref="AI217" authorId="0">
      <text>
        <r>
          <rPr>
            <sz val="9"/>
            <rFont val="宋体"/>
            <charset val="134"/>
          </rPr>
          <t xml:space="preserve">Administrator:
5/14上客供RFID贴纸9728pcs
5/15 上锂电池贴纸26118pcs
</t>
        </r>
        <r>
          <rPr>
            <b/>
            <sz val="9"/>
            <rFont val="宋体"/>
            <charset val="134"/>
          </rPr>
          <t xml:space="preserve">
龙丽娟:</t>
        </r>
        <r>
          <rPr>
            <sz val="9"/>
            <rFont val="宋体"/>
            <charset val="134"/>
          </rPr>
          <t xml:space="preserve">
7/17 客供RFID贴纸9728pcs</t>
        </r>
      </text>
    </comment>
    <comment ref="AG218" authorId="2">
      <text>
        <r>
          <rPr>
            <b/>
            <sz val="9"/>
            <rFont val="宋体"/>
            <charset val="134"/>
          </rPr>
          <t>龙丽娟:</t>
        </r>
        <r>
          <rPr>
            <sz val="9"/>
            <rFont val="宋体"/>
            <charset val="134"/>
          </rPr>
          <t xml:space="preserve">
2201062 6/18 8704pcsA12</t>
        </r>
        <r>
          <rPr>
            <b/>
            <sz val="9"/>
            <rFont val="宋体"/>
            <charset val="134"/>
          </rPr>
          <t xml:space="preserve">
龙丽娟:</t>
        </r>
        <r>
          <rPr>
            <sz val="9"/>
            <rFont val="宋体"/>
            <charset val="134"/>
          </rPr>
          <t xml:space="preserve">
7/17 客供RFID贴纸8704pcs</t>
        </r>
      </text>
    </comment>
    <comment ref="AI218" authorId="0">
      <text>
        <r>
          <rPr>
            <b/>
            <sz val="12"/>
            <rFont val="宋体"/>
            <charset val="134"/>
          </rPr>
          <t>Administrator:</t>
        </r>
        <r>
          <rPr>
            <sz val="12"/>
            <rFont val="宋体"/>
            <charset val="134"/>
          </rPr>
          <t xml:space="preserve">
5/14上客供RFID贴纸8704pcs
5/15 上锂电池贴纸26118pcs
</t>
        </r>
      </text>
    </comment>
    <comment ref="AG219" authorId="2">
      <text>
        <r>
          <rPr>
            <b/>
            <sz val="9"/>
            <rFont val="宋体"/>
            <charset val="134"/>
          </rPr>
          <t>龙丽娟:</t>
        </r>
        <r>
          <rPr>
            <sz val="9"/>
            <rFont val="宋体"/>
            <charset val="134"/>
          </rPr>
          <t xml:space="preserve">
2801274 6/16 7176pcs</t>
        </r>
        <r>
          <rPr>
            <b/>
            <sz val="9"/>
            <rFont val="宋体"/>
            <charset val="134"/>
          </rPr>
          <t xml:space="preserve">
龙丽娟:</t>
        </r>
        <r>
          <rPr>
            <sz val="9"/>
            <rFont val="宋体"/>
            <charset val="134"/>
          </rPr>
          <t xml:space="preserve">
2201047 6/16 200pcs</t>
        </r>
      </text>
    </comment>
    <comment ref="AI221" authorId="2">
      <text>
        <r>
          <rPr>
            <b/>
            <sz val="9"/>
            <rFont val="宋体"/>
            <charset val="134"/>
          </rPr>
          <t>龙丽娟:</t>
        </r>
        <r>
          <rPr>
            <sz val="9"/>
            <rFont val="宋体"/>
            <charset val="134"/>
          </rPr>
          <t xml:space="preserve">
6/26上客供价格贴纸3170pcs</t>
        </r>
        <r>
          <rPr>
            <b/>
            <sz val="9"/>
            <rFont val="宋体"/>
            <charset val="134"/>
          </rPr>
          <t xml:space="preserve">
龙丽娟:</t>
        </r>
        <r>
          <rPr>
            <sz val="9"/>
            <rFont val="宋体"/>
            <charset val="134"/>
          </rPr>
          <t xml:space="preserve">
7/9上upc贴纸1512pcs</t>
        </r>
        <r>
          <rPr>
            <b/>
            <sz val="9"/>
            <rFont val="宋体"/>
            <charset val="134"/>
          </rPr>
          <t xml:space="preserve">
龙丽娟:</t>
        </r>
        <r>
          <rPr>
            <sz val="9"/>
            <rFont val="宋体"/>
            <charset val="134"/>
          </rPr>
          <t xml:space="preserve">
7/6上保证书/包装贴纸各3008</t>
        </r>
      </text>
    </comment>
    <comment ref="AG222" authorId="2">
      <text>
        <r>
          <rPr>
            <b/>
            <sz val="9"/>
            <rFont val="宋体"/>
            <charset val="134"/>
          </rPr>
          <t>龙丽娟:</t>
        </r>
        <r>
          <rPr>
            <sz val="9"/>
            <rFont val="宋体"/>
            <charset val="134"/>
          </rPr>
          <t xml:space="preserve">
6/17 2201074  2800pcs欣泰c4</t>
        </r>
      </text>
    </comment>
    <comment ref="AG223" authorId="2">
      <text>
        <r>
          <rPr>
            <b/>
            <sz val="9"/>
            <rFont val="宋体"/>
            <charset val="134"/>
          </rPr>
          <t>龙丽娟:</t>
        </r>
        <r>
          <rPr>
            <sz val="9"/>
            <rFont val="宋体"/>
            <charset val="134"/>
          </rPr>
          <t xml:space="preserve">
199512 6/22 1152pcs欣泰c4</t>
        </r>
      </text>
    </comment>
    <comment ref="AG224" authorId="2">
      <text>
        <r>
          <rPr>
            <b/>
            <sz val="9"/>
            <rFont val="宋体"/>
            <charset val="134"/>
          </rPr>
          <t>龙丽娟:</t>
        </r>
        <r>
          <rPr>
            <sz val="9"/>
            <rFont val="宋体"/>
            <charset val="134"/>
          </rPr>
          <t xml:space="preserve">
6/20 2201094 2400pcs顶均B7</t>
        </r>
      </text>
    </comment>
    <comment ref="AG225" authorId="2">
      <text>
        <r>
          <rPr>
            <b/>
            <sz val="9"/>
            <rFont val="宋体"/>
            <charset val="134"/>
          </rPr>
          <t>龙丽娟:</t>
        </r>
        <r>
          <rPr>
            <sz val="9"/>
            <rFont val="宋体"/>
            <charset val="134"/>
          </rPr>
          <t xml:space="preserve">
1000097 6/16 192pcs</t>
        </r>
        <r>
          <rPr>
            <b/>
            <sz val="9"/>
            <rFont val="宋体"/>
            <charset val="134"/>
          </rPr>
          <t xml:space="preserve">
龙丽娟:</t>
        </r>
        <r>
          <rPr>
            <sz val="9"/>
            <rFont val="宋体"/>
            <charset val="134"/>
          </rPr>
          <t xml:space="preserve">
1000061 6/20 1296pcs</t>
        </r>
        <r>
          <rPr>
            <b/>
            <sz val="9"/>
            <rFont val="宋体"/>
            <charset val="134"/>
          </rPr>
          <t xml:space="preserve">
龙丽娟:</t>
        </r>
        <r>
          <rPr>
            <sz val="9"/>
            <rFont val="宋体"/>
            <charset val="134"/>
          </rPr>
          <t xml:space="preserve">
100205 6/30 1134pcs</t>
        </r>
      </text>
    </comment>
    <comment ref="AG226" authorId="2">
      <text>
        <r>
          <rPr>
            <b/>
            <sz val="9"/>
            <rFont val="宋体"/>
            <charset val="134"/>
          </rPr>
          <t>龙丽娟:</t>
        </r>
        <r>
          <rPr>
            <sz val="9"/>
            <rFont val="宋体"/>
            <charset val="134"/>
          </rPr>
          <t xml:space="preserve">
1000013 6/22 1296pcs</t>
        </r>
      </text>
    </comment>
    <comment ref="AG227" authorId="2">
      <text>
        <r>
          <rPr>
            <b/>
            <sz val="9"/>
            <rFont val="宋体"/>
            <charset val="134"/>
          </rPr>
          <t>龙丽娟:</t>
        </r>
        <r>
          <rPr>
            <sz val="9"/>
            <rFont val="宋体"/>
            <charset val="134"/>
          </rPr>
          <t xml:space="preserve">
1000013 6/22 1296pcs</t>
        </r>
        <r>
          <rPr>
            <b/>
            <sz val="9"/>
            <rFont val="宋体"/>
            <charset val="134"/>
          </rPr>
          <t xml:space="preserve">
龙丽娟:</t>
        </r>
        <r>
          <rPr>
            <sz val="9"/>
            <rFont val="宋体"/>
            <charset val="134"/>
          </rPr>
          <t xml:space="preserve">
1000205 6/30 192pcs</t>
        </r>
      </text>
    </comment>
    <comment ref="AG228" authorId="2">
      <text>
        <r>
          <rPr>
            <b/>
            <sz val="9"/>
            <rFont val="宋体"/>
            <charset val="134"/>
          </rPr>
          <t>龙丽娟:</t>
        </r>
        <r>
          <rPr>
            <sz val="9"/>
            <rFont val="宋体"/>
            <charset val="134"/>
          </rPr>
          <t xml:space="preserve">
2201087 6/22 512pcs顶均A12</t>
        </r>
      </text>
    </comment>
    <comment ref="AI228" authorId="0">
      <text>
        <r>
          <rPr>
            <b/>
            <sz val="12"/>
            <rFont val="宋体"/>
            <charset val="134"/>
          </rPr>
          <t>Administrator:</t>
        </r>
        <r>
          <rPr>
            <sz val="12"/>
            <rFont val="宋体"/>
            <charset val="134"/>
          </rPr>
          <t xml:space="preserve">
5/15 SNI label贴纸512pcs</t>
        </r>
      </text>
    </comment>
    <comment ref="AG229" authorId="2">
      <text>
        <r>
          <rPr>
            <b/>
            <sz val="9"/>
            <rFont val="宋体"/>
            <charset val="134"/>
          </rPr>
          <t>龙丽娟:</t>
        </r>
        <r>
          <rPr>
            <sz val="9"/>
            <rFont val="宋体"/>
            <charset val="134"/>
          </rPr>
          <t xml:space="preserve">
1000104 6/13 2400pcs</t>
        </r>
      </text>
    </comment>
    <comment ref="AG230" authorId="2">
      <text>
        <r>
          <rPr>
            <b/>
            <sz val="9"/>
            <rFont val="宋体"/>
            <charset val="134"/>
          </rPr>
          <t>龙丽娟:</t>
        </r>
        <r>
          <rPr>
            <sz val="9"/>
            <rFont val="宋体"/>
            <charset val="134"/>
          </rPr>
          <t xml:space="preserve">
2201087 6/22 480pcs顶均A12</t>
        </r>
      </text>
    </comment>
    <comment ref="AI230" authorId="2">
      <text>
        <r>
          <rPr>
            <b/>
            <sz val="9"/>
            <rFont val="宋体"/>
            <charset val="134"/>
          </rPr>
          <t>龙丽娟:</t>
        </r>
        <r>
          <rPr>
            <sz val="9"/>
            <rFont val="宋体"/>
            <charset val="134"/>
          </rPr>
          <t xml:space="preserve">
6/9上UPC贴纸480pcs</t>
        </r>
      </text>
    </comment>
    <comment ref="AG231" authorId="2">
      <text>
        <r>
          <rPr>
            <b/>
            <sz val="9"/>
            <rFont val="宋体"/>
            <charset val="134"/>
          </rPr>
          <t>龙丽娟:</t>
        </r>
        <r>
          <rPr>
            <sz val="9"/>
            <rFont val="宋体"/>
            <charset val="134"/>
          </rPr>
          <t xml:space="preserve">
2201087 6/22 1872pcs顶均A13</t>
        </r>
      </text>
    </comment>
    <comment ref="AI231" authorId="2">
      <text>
        <r>
          <rPr>
            <b/>
            <sz val="9"/>
            <rFont val="宋体"/>
            <charset val="134"/>
          </rPr>
          <t>龙丽娟:</t>
        </r>
        <r>
          <rPr>
            <sz val="9"/>
            <rFont val="宋体"/>
            <charset val="134"/>
          </rPr>
          <t xml:space="preserve">
6/1上地址贴纸1872pcs</t>
        </r>
      </text>
    </comment>
    <comment ref="AG232" authorId="2">
      <text>
        <r>
          <rPr>
            <b/>
            <sz val="9"/>
            <rFont val="宋体"/>
            <charset val="134"/>
          </rPr>
          <t>龙丽娟:</t>
        </r>
        <r>
          <rPr>
            <sz val="9"/>
            <rFont val="宋体"/>
            <charset val="134"/>
          </rPr>
          <t xml:space="preserve">
6/20 1000062 400pcs欣泰c3</t>
        </r>
      </text>
    </comment>
    <comment ref="AG233" authorId="2">
      <text>
        <r>
          <rPr>
            <b/>
            <sz val="9"/>
            <rFont val="宋体"/>
            <charset val="134"/>
          </rPr>
          <t>龙丽娟:</t>
        </r>
        <r>
          <rPr>
            <sz val="9"/>
            <rFont val="宋体"/>
            <charset val="134"/>
          </rPr>
          <t xml:space="preserve">
6/27 2200956 160pcs顶均A7</t>
        </r>
      </text>
    </comment>
    <comment ref="AI233" authorId="2">
      <text>
        <r>
          <rPr>
            <b/>
            <sz val="9"/>
            <rFont val="宋体"/>
            <charset val="134"/>
          </rPr>
          <t>龙丽娟:</t>
        </r>
        <r>
          <rPr>
            <sz val="9"/>
            <rFont val="宋体"/>
            <charset val="134"/>
          </rPr>
          <t xml:space="preserve">
6/10上家乐福外箱贴纸40pcs</t>
        </r>
      </text>
    </comment>
    <comment ref="AG234" authorId="2">
      <text>
        <r>
          <rPr>
            <b/>
            <sz val="9"/>
            <rFont val="宋体"/>
            <charset val="134"/>
          </rPr>
          <t>龙丽娟:</t>
        </r>
        <r>
          <rPr>
            <sz val="9"/>
            <rFont val="宋体"/>
            <charset val="134"/>
          </rPr>
          <t xml:space="preserve">
6/25 2200935 1504pcs 欣泰d4</t>
        </r>
      </text>
    </comment>
    <comment ref="AG235" authorId="2">
      <text>
        <r>
          <rPr>
            <b/>
            <sz val="9"/>
            <rFont val="宋体"/>
            <charset val="134"/>
          </rPr>
          <t>龙丽娟:</t>
        </r>
        <r>
          <rPr>
            <sz val="9"/>
            <rFont val="宋体"/>
            <charset val="134"/>
          </rPr>
          <t xml:space="preserve">
2201256 7/8 1600pcs欣泰c6</t>
        </r>
      </text>
    </comment>
    <comment ref="AI235" authorId="2">
      <text>
        <r>
          <rPr>
            <b/>
            <sz val="9"/>
            <rFont val="宋体"/>
            <charset val="134"/>
          </rPr>
          <t>龙丽娟:</t>
        </r>
        <r>
          <rPr>
            <sz val="9"/>
            <rFont val="宋体"/>
            <charset val="134"/>
          </rPr>
          <t xml:space="preserve">
6/24上UPC贴纸1600pcs
6/25上进口商贴纸1600pcs</t>
        </r>
      </text>
    </comment>
    <comment ref="AG236" authorId="2">
      <text>
        <r>
          <rPr>
            <b/>
            <sz val="9"/>
            <rFont val="宋体"/>
            <charset val="134"/>
          </rPr>
          <t>龙丽娟:</t>
        </r>
        <r>
          <rPr>
            <sz val="9"/>
            <rFont val="宋体"/>
            <charset val="134"/>
          </rPr>
          <t xml:space="preserve">
6/25 2200927 1024pcs欣泰c4</t>
        </r>
      </text>
    </comment>
    <comment ref="AG237" authorId="2">
      <text>
        <r>
          <rPr>
            <b/>
            <sz val="9"/>
            <rFont val="宋体"/>
            <charset val="134"/>
          </rPr>
          <t>龙丽娟:</t>
        </r>
        <r>
          <rPr>
            <sz val="9"/>
            <rFont val="宋体"/>
            <charset val="134"/>
          </rPr>
          <t xml:space="preserve">
6/23 顶均a4</t>
        </r>
      </text>
    </comment>
    <comment ref="AG238" authorId="2">
      <text>
        <r>
          <rPr>
            <b/>
            <sz val="9"/>
            <rFont val="宋体"/>
            <charset val="134"/>
          </rPr>
          <t>龙丽娟:</t>
        </r>
        <r>
          <rPr>
            <sz val="9"/>
            <rFont val="宋体"/>
            <charset val="134"/>
          </rPr>
          <t xml:space="preserve">
6/23 顶均a13</t>
        </r>
      </text>
    </comment>
    <comment ref="AI238" authorId="2">
      <text>
        <r>
          <rPr>
            <b/>
            <sz val="9"/>
            <rFont val="宋体"/>
            <charset val="134"/>
          </rPr>
          <t>龙丽娟:</t>
        </r>
        <r>
          <rPr>
            <sz val="9"/>
            <rFont val="宋体"/>
            <charset val="134"/>
          </rPr>
          <t xml:space="preserve">
6/1 上警告语环保标贴纸352pcs</t>
        </r>
      </text>
    </comment>
    <comment ref="AG239" authorId="2">
      <text>
        <r>
          <rPr>
            <b/>
            <sz val="9"/>
            <rFont val="宋体"/>
            <charset val="134"/>
          </rPr>
          <t>龙丽娟:</t>
        </r>
        <r>
          <rPr>
            <sz val="9"/>
            <rFont val="宋体"/>
            <charset val="134"/>
          </rPr>
          <t xml:space="preserve">
6/18 1000075 1108pcs欣泰D3</t>
        </r>
      </text>
    </comment>
    <comment ref="AI239" authorId="2">
      <text>
        <r>
          <rPr>
            <b/>
            <sz val="9"/>
            <rFont val="宋体"/>
            <charset val="134"/>
          </rPr>
          <t>龙丽娟:</t>
        </r>
        <r>
          <rPr>
            <sz val="9"/>
            <rFont val="宋体"/>
            <charset val="134"/>
          </rPr>
          <t xml:space="preserve">
6/3上亚马逊外箱贴纸88pcs</t>
        </r>
      </text>
    </comment>
    <comment ref="AG240" authorId="2">
      <text>
        <r>
          <rPr>
            <b/>
            <sz val="9"/>
            <rFont val="宋体"/>
            <charset val="134"/>
          </rPr>
          <t>龙丽娟:</t>
        </r>
        <r>
          <rPr>
            <sz val="9"/>
            <rFont val="宋体"/>
            <charset val="134"/>
          </rPr>
          <t xml:space="preserve">
6/18 1000075 1184pcs欣泰D4</t>
        </r>
      </text>
    </comment>
    <comment ref="AI240" authorId="2">
      <text>
        <r>
          <rPr>
            <b/>
            <sz val="9"/>
            <rFont val="宋体"/>
            <charset val="134"/>
          </rPr>
          <t>龙丽娟:</t>
        </r>
        <r>
          <rPr>
            <sz val="9"/>
            <rFont val="宋体"/>
            <charset val="134"/>
          </rPr>
          <t xml:space="preserve">
6/3上亚马逊外箱贴纸74pcs</t>
        </r>
      </text>
    </comment>
    <comment ref="AG241" authorId="2">
      <text>
        <r>
          <rPr>
            <b/>
            <sz val="9"/>
            <rFont val="宋体"/>
            <charset val="134"/>
          </rPr>
          <t>龙丽娟:</t>
        </r>
        <r>
          <rPr>
            <sz val="9"/>
            <rFont val="宋体"/>
            <charset val="134"/>
          </rPr>
          <t xml:space="preserve">
6/18 1000075 1200pcs欣泰c4</t>
        </r>
      </text>
    </comment>
    <comment ref="AI241" authorId="2">
      <text>
        <r>
          <rPr>
            <b/>
            <sz val="9"/>
            <rFont val="宋体"/>
            <charset val="134"/>
          </rPr>
          <t>龙丽娟:</t>
        </r>
        <r>
          <rPr>
            <sz val="9"/>
            <rFont val="宋体"/>
            <charset val="134"/>
          </rPr>
          <t xml:space="preserve">
6/3上亚马逊外箱贴纸75pcs</t>
        </r>
      </text>
    </comment>
    <comment ref="AG242" authorId="2">
      <text>
        <r>
          <rPr>
            <b/>
            <sz val="9"/>
            <rFont val="宋体"/>
            <charset val="134"/>
          </rPr>
          <t>龙丽娟:</t>
        </r>
        <r>
          <rPr>
            <sz val="9"/>
            <rFont val="宋体"/>
            <charset val="134"/>
          </rPr>
          <t xml:space="preserve">
6/18 1000075 4080pcs欣泰e2</t>
        </r>
      </text>
    </comment>
    <comment ref="AI242" authorId="2">
      <text>
        <r>
          <rPr>
            <b/>
            <sz val="9"/>
            <rFont val="宋体"/>
            <charset val="134"/>
          </rPr>
          <t>龙丽娟:</t>
        </r>
        <r>
          <rPr>
            <sz val="9"/>
            <rFont val="宋体"/>
            <charset val="134"/>
          </rPr>
          <t xml:space="preserve">
6/3上亚马逊外箱贴纸255pcs</t>
        </r>
      </text>
    </comment>
    <comment ref="AG244" authorId="2">
      <text>
        <r>
          <rPr>
            <b/>
            <sz val="9"/>
            <rFont val="宋体"/>
            <charset val="134"/>
          </rPr>
          <t>龙丽娟:</t>
        </r>
        <r>
          <rPr>
            <sz val="9"/>
            <rFont val="宋体"/>
            <charset val="134"/>
          </rPr>
          <t xml:space="preserve">
2200935 6/25 11776pcs 欣泰d4</t>
        </r>
      </text>
    </comment>
    <comment ref="AI244" authorId="0">
      <text>
        <r>
          <rPr>
            <b/>
            <sz val="9"/>
            <rFont val="宋体"/>
            <charset val="134"/>
          </rPr>
          <t>Administrator:</t>
        </r>
        <r>
          <rPr>
            <sz val="9"/>
            <rFont val="宋体"/>
            <charset val="134"/>
          </rPr>
          <t xml:space="preserve">
5/15 上锂电池贴纸26118pcs
</t>
        </r>
      </text>
    </comment>
    <comment ref="AG245" authorId="2">
      <text>
        <r>
          <rPr>
            <b/>
            <sz val="9"/>
            <rFont val="宋体"/>
            <charset val="134"/>
          </rPr>
          <t>龙丽娟:</t>
        </r>
        <r>
          <rPr>
            <sz val="9"/>
            <rFont val="宋体"/>
            <charset val="134"/>
          </rPr>
          <t xml:space="preserve">
6/24 2200925 5632pcs顶均D2</t>
        </r>
      </text>
    </comment>
    <comment ref="AG246" authorId="2">
      <text>
        <r>
          <rPr>
            <b/>
            <sz val="9"/>
            <rFont val="宋体"/>
            <charset val="134"/>
          </rPr>
          <t>龙丽娟:</t>
        </r>
        <r>
          <rPr>
            <sz val="9"/>
            <rFont val="宋体"/>
            <charset val="134"/>
          </rPr>
          <t xml:space="preserve">
6/25 2200927 11776pcs欣泰c5</t>
        </r>
      </text>
    </comment>
    <comment ref="AG247" authorId="2">
      <text>
        <r>
          <rPr>
            <b/>
            <sz val="9"/>
            <rFont val="宋体"/>
            <charset val="134"/>
          </rPr>
          <t>龙丽娟:</t>
        </r>
        <r>
          <rPr>
            <sz val="9"/>
            <rFont val="宋体"/>
            <charset val="134"/>
          </rPr>
          <t xml:space="preserve">
6/24 2200925 8704pcs顶均D2</t>
        </r>
      </text>
    </comment>
    <comment ref="AG248" authorId="2">
      <text>
        <r>
          <rPr>
            <b/>
            <sz val="9"/>
            <rFont val="宋体"/>
            <charset val="134"/>
          </rPr>
          <t>龙丽娟:</t>
        </r>
        <r>
          <rPr>
            <sz val="9"/>
            <rFont val="宋体"/>
            <charset val="134"/>
          </rPr>
          <t xml:space="preserve">
6/20 1000062 720pcs欣泰c4</t>
        </r>
      </text>
    </comment>
    <comment ref="AI248" authorId="0">
      <text>
        <r>
          <rPr>
            <b/>
            <sz val="12"/>
            <rFont val="宋体"/>
            <charset val="134"/>
          </rPr>
          <t>Administrator:</t>
        </r>
        <r>
          <rPr>
            <sz val="12"/>
            <rFont val="宋体"/>
            <charset val="134"/>
          </rPr>
          <t xml:space="preserve">
5/11 上UPC贴纸720pcs
</t>
        </r>
      </text>
    </comment>
    <comment ref="AG250" authorId="2">
      <text>
        <r>
          <rPr>
            <b/>
            <sz val="9"/>
            <rFont val="宋体"/>
            <charset val="134"/>
          </rPr>
          <t>龙丽娟:</t>
        </r>
        <r>
          <rPr>
            <sz val="9"/>
            <rFont val="宋体"/>
            <charset val="134"/>
          </rPr>
          <t xml:space="preserve">
1000013 6/22 192pcs
1000604 6/22 1104pcs</t>
        </r>
      </text>
    </comment>
    <comment ref="AG251" authorId="2">
      <text>
        <r>
          <rPr>
            <b/>
            <sz val="9"/>
            <rFont val="宋体"/>
            <charset val="134"/>
          </rPr>
          <t>龙丽娟:</t>
        </r>
        <r>
          <rPr>
            <sz val="9"/>
            <rFont val="宋体"/>
            <charset val="134"/>
          </rPr>
          <t xml:space="preserve">
1000608 6/22 960pcs</t>
        </r>
        <r>
          <rPr>
            <b/>
            <sz val="9"/>
            <rFont val="宋体"/>
            <charset val="134"/>
          </rPr>
          <t xml:space="preserve">
龙丽娟:</t>
        </r>
        <r>
          <rPr>
            <sz val="9"/>
            <rFont val="宋体"/>
            <charset val="134"/>
          </rPr>
          <t xml:space="preserve">
1000624 6/23 192pcs
1000613 6/23 144pcs</t>
        </r>
      </text>
    </comment>
    <comment ref="AG252" authorId="2">
      <text>
        <r>
          <rPr>
            <b/>
            <sz val="9"/>
            <rFont val="宋体"/>
            <charset val="134"/>
          </rPr>
          <t>龙丽娟:</t>
        </r>
        <r>
          <rPr>
            <sz val="9"/>
            <rFont val="宋体"/>
            <charset val="134"/>
          </rPr>
          <t xml:space="preserve">
6/22 1000600  1168pcs顶均A13</t>
        </r>
      </text>
    </comment>
    <comment ref="AG253" authorId="2">
      <text>
        <r>
          <rPr>
            <b/>
            <sz val="9"/>
            <rFont val="宋体"/>
            <charset val="134"/>
          </rPr>
          <t>龙丽娟:</t>
        </r>
        <r>
          <rPr>
            <sz val="9"/>
            <rFont val="宋体"/>
            <charset val="134"/>
          </rPr>
          <t xml:space="preserve">
1000613 6/23 528pcs
1000624 6/23 768pcs</t>
        </r>
      </text>
    </comment>
    <comment ref="AG254" authorId="2">
      <text>
        <r>
          <rPr>
            <b/>
            <sz val="9"/>
            <rFont val="宋体"/>
            <charset val="134"/>
          </rPr>
          <t>龙丽娟:</t>
        </r>
        <r>
          <rPr>
            <sz val="9"/>
            <rFont val="宋体"/>
            <charset val="134"/>
          </rPr>
          <t xml:space="preserve">
1000624 6/23 1152pcs</t>
        </r>
      </text>
    </comment>
    <comment ref="AG255" authorId="2">
      <text>
        <r>
          <rPr>
            <b/>
            <sz val="9"/>
            <rFont val="宋体"/>
            <charset val="134"/>
          </rPr>
          <t>龙丽娟:</t>
        </r>
        <r>
          <rPr>
            <sz val="9"/>
            <rFont val="宋体"/>
            <charset val="134"/>
          </rPr>
          <t xml:space="preserve">
1000624 6/23 768pcs
1000618 6/23 480pcs</t>
        </r>
      </text>
    </comment>
    <comment ref="AG257" authorId="2">
      <text>
        <r>
          <rPr>
            <b/>
            <sz val="9"/>
            <rFont val="宋体"/>
            <charset val="134"/>
          </rPr>
          <t>龙丽娟:</t>
        </r>
        <r>
          <rPr>
            <sz val="9"/>
            <rFont val="宋体"/>
            <charset val="134"/>
          </rPr>
          <t xml:space="preserve">
6/22 1000600  720pcs顶均B8</t>
        </r>
      </text>
    </comment>
    <comment ref="AI257" authorId="2">
      <text>
        <r>
          <rPr>
            <b/>
            <sz val="9"/>
            <rFont val="宋体"/>
            <charset val="134"/>
          </rPr>
          <t>龙丽娟:</t>
        </r>
        <r>
          <rPr>
            <sz val="9"/>
            <rFont val="宋体"/>
            <charset val="134"/>
          </rPr>
          <t xml:space="preserve">
6/2 上upc贴纸720pcs</t>
        </r>
      </text>
    </comment>
    <comment ref="AI259" authorId="2">
      <text>
        <r>
          <rPr>
            <b/>
            <sz val="9"/>
            <rFont val="宋体"/>
            <charset val="134"/>
          </rPr>
          <t>龙丽娟:</t>
        </r>
        <r>
          <rPr>
            <sz val="9"/>
            <rFont val="宋体"/>
            <charset val="134"/>
          </rPr>
          <t xml:space="preserve">
6/27上产品墨西哥进口商贴纸8640pcs</t>
        </r>
      </text>
    </comment>
    <comment ref="AQ259" authorId="3">
      <text>
        <r>
          <rPr>
            <b/>
            <sz val="9"/>
            <rFont val="宋体"/>
            <charset val="134"/>
          </rPr>
          <t>RR:</t>
        </r>
        <r>
          <rPr>
            <sz val="9"/>
            <rFont val="宋体"/>
            <charset val="134"/>
          </rPr>
          <t xml:space="preserve">
新客版资料</t>
        </r>
      </text>
    </comment>
    <comment ref="AR259" authorId="3">
      <text>
        <r>
          <rPr>
            <b/>
            <sz val="9"/>
            <rFont val="宋体"/>
            <charset val="134"/>
          </rPr>
          <t>RR:</t>
        </r>
        <r>
          <rPr>
            <sz val="9"/>
            <rFont val="宋体"/>
            <charset val="134"/>
          </rPr>
          <t xml:space="preserve">
新客版资料</t>
        </r>
      </text>
    </comment>
    <comment ref="AS259" authorId="3">
      <text>
        <r>
          <rPr>
            <b/>
            <sz val="9"/>
            <rFont val="宋体"/>
            <charset val="134"/>
          </rPr>
          <t>RR:</t>
        </r>
        <r>
          <rPr>
            <sz val="9"/>
            <rFont val="宋体"/>
            <charset val="134"/>
          </rPr>
          <t xml:space="preserve">
新客版资料</t>
        </r>
      </text>
    </comment>
    <comment ref="AG260" authorId="2">
      <text>
        <r>
          <rPr>
            <b/>
            <sz val="9"/>
            <rFont val="宋体"/>
            <charset val="134"/>
          </rPr>
          <t>龙丽娟:</t>
        </r>
        <r>
          <rPr>
            <sz val="9"/>
            <rFont val="宋体"/>
            <charset val="134"/>
          </rPr>
          <t xml:space="preserve">
1000175 7/1 730pcs</t>
        </r>
        <r>
          <rPr>
            <b/>
            <sz val="9"/>
            <rFont val="宋体"/>
            <charset val="134"/>
          </rPr>
          <t xml:space="preserve">
龙丽娟:</t>
        </r>
        <r>
          <rPr>
            <sz val="9"/>
            <rFont val="宋体"/>
            <charset val="134"/>
          </rPr>
          <t xml:space="preserve">
300287 7/10 1136pcs</t>
        </r>
        <r>
          <rPr>
            <b/>
            <sz val="9"/>
            <rFont val="宋体"/>
            <charset val="134"/>
          </rPr>
          <t xml:space="preserve">
龙丽娟:</t>
        </r>
        <r>
          <rPr>
            <sz val="9"/>
            <rFont val="宋体"/>
            <charset val="134"/>
          </rPr>
          <t xml:space="preserve">
3003044 7/14 564pcs</t>
        </r>
      </text>
    </comment>
    <comment ref="AG264" authorId="2">
      <text>
        <r>
          <rPr>
            <b/>
            <sz val="9"/>
            <rFont val="宋体"/>
            <charset val="134"/>
          </rPr>
          <t>龙丽娟:</t>
        </r>
        <r>
          <rPr>
            <sz val="9"/>
            <rFont val="宋体"/>
            <charset val="134"/>
          </rPr>
          <t xml:space="preserve">
3003918 8/7 192pcs</t>
        </r>
      </text>
    </comment>
    <comment ref="AG266" authorId="2">
      <text>
        <r>
          <rPr>
            <b/>
            <sz val="9"/>
            <rFont val="宋体"/>
            <charset val="134"/>
          </rPr>
          <t>龙丽娟:</t>
        </r>
        <r>
          <rPr>
            <sz val="9"/>
            <rFont val="宋体"/>
            <charset val="134"/>
          </rPr>
          <t xml:space="preserve">
6/23 88pcs欣泰c6</t>
        </r>
      </text>
    </comment>
    <comment ref="AI266" authorId="2">
      <text>
        <r>
          <rPr>
            <b/>
            <sz val="9"/>
            <rFont val="宋体"/>
            <charset val="134"/>
          </rPr>
          <t>龙丽娟:</t>
        </r>
        <r>
          <rPr>
            <sz val="9"/>
            <rFont val="宋体"/>
            <charset val="134"/>
          </rPr>
          <t xml:space="preserve">
6/10上白色防盗贴纸88pcs</t>
        </r>
      </text>
    </comment>
    <comment ref="AG267" authorId="2">
      <text>
        <r>
          <rPr>
            <b/>
            <sz val="9"/>
            <rFont val="宋体"/>
            <charset val="134"/>
          </rPr>
          <t>龙丽娟:</t>
        </r>
        <r>
          <rPr>
            <sz val="9"/>
            <rFont val="宋体"/>
            <charset val="134"/>
          </rPr>
          <t xml:space="preserve">
6/23欣泰c6 1416pcs</t>
        </r>
      </text>
    </comment>
    <comment ref="AI267" authorId="2">
      <text>
        <r>
          <rPr>
            <b/>
            <sz val="9"/>
            <rFont val="宋体"/>
            <charset val="134"/>
          </rPr>
          <t>龙丽娟:</t>
        </r>
        <r>
          <rPr>
            <sz val="9"/>
            <rFont val="宋体"/>
            <charset val="134"/>
          </rPr>
          <t xml:space="preserve">
6/10上白色防盗贴纸1416pcs</t>
        </r>
      </text>
    </comment>
    <comment ref="AG268" authorId="2">
      <text>
        <r>
          <rPr>
            <b/>
            <sz val="9"/>
            <rFont val="宋体"/>
            <charset val="134"/>
          </rPr>
          <t>龙丽娟:</t>
        </r>
        <r>
          <rPr>
            <sz val="9"/>
            <rFont val="宋体"/>
            <charset val="134"/>
          </rPr>
          <t xml:space="preserve">
6/20 1000062 160pcs欣泰c4</t>
        </r>
      </text>
    </comment>
    <comment ref="AG269" authorId="2">
      <text>
        <r>
          <rPr>
            <b/>
            <sz val="9"/>
            <rFont val="宋体"/>
            <charset val="134"/>
          </rPr>
          <t>龙丽娟:</t>
        </r>
        <r>
          <rPr>
            <sz val="9"/>
            <rFont val="宋体"/>
            <charset val="134"/>
          </rPr>
          <t xml:space="preserve">
6/20 1000062 152pcs欣泰c3</t>
        </r>
      </text>
    </comment>
    <comment ref="AG270" authorId="2">
      <text>
        <r>
          <rPr>
            <b/>
            <sz val="9"/>
            <rFont val="宋体"/>
            <charset val="134"/>
          </rPr>
          <t>龙丽娟:</t>
        </r>
        <r>
          <rPr>
            <sz val="9"/>
            <rFont val="宋体"/>
            <charset val="134"/>
          </rPr>
          <t xml:space="preserve">
6/24 2201157 5000pcs欣泰A2</t>
        </r>
      </text>
    </comment>
    <comment ref="AG271" authorId="2">
      <text>
        <r>
          <rPr>
            <b/>
            <sz val="9"/>
            <rFont val="宋体"/>
            <charset val="134"/>
          </rPr>
          <t>龙丽娟:</t>
        </r>
        <r>
          <rPr>
            <sz val="9"/>
            <rFont val="宋体"/>
            <charset val="134"/>
          </rPr>
          <t xml:space="preserve">
6/24 2200925 400pcs顶均c3</t>
        </r>
      </text>
    </comment>
    <comment ref="AG272" authorId="2">
      <text>
        <r>
          <rPr>
            <b/>
            <sz val="9"/>
            <rFont val="宋体"/>
            <charset val="134"/>
          </rPr>
          <t>龙丽娟:</t>
        </r>
        <r>
          <rPr>
            <sz val="9"/>
            <rFont val="宋体"/>
            <charset val="134"/>
          </rPr>
          <t xml:space="preserve">
6/23顶均a5</t>
        </r>
      </text>
    </comment>
    <comment ref="AG273" authorId="2">
      <text>
        <r>
          <rPr>
            <b/>
            <sz val="9"/>
            <rFont val="宋体"/>
            <charset val="134"/>
          </rPr>
          <t>龙丽娟:</t>
        </r>
        <r>
          <rPr>
            <sz val="9"/>
            <rFont val="宋体"/>
            <charset val="134"/>
          </rPr>
          <t xml:space="preserve">
6/25 1856pcs欣泰c4</t>
        </r>
      </text>
    </comment>
    <comment ref="AG274" authorId="2">
      <text>
        <r>
          <rPr>
            <b/>
            <sz val="9"/>
            <rFont val="宋体"/>
            <charset val="134"/>
          </rPr>
          <t>龙丽娟:</t>
        </r>
        <r>
          <rPr>
            <sz val="9"/>
            <rFont val="宋体"/>
            <charset val="134"/>
          </rPr>
          <t xml:space="preserve">
6/25 2201165 928pcs欣泰c4</t>
        </r>
      </text>
    </comment>
    <comment ref="AG275" authorId="2">
      <text>
        <r>
          <rPr>
            <b/>
            <sz val="9"/>
            <rFont val="宋体"/>
            <charset val="134"/>
          </rPr>
          <t>龙丽娟:</t>
        </r>
        <r>
          <rPr>
            <sz val="9"/>
            <rFont val="宋体"/>
            <charset val="134"/>
          </rPr>
          <t xml:space="preserve">
6/25 2201165 2320pcs欣泰c4</t>
        </r>
        <r>
          <rPr>
            <b/>
            <sz val="9"/>
            <rFont val="宋体"/>
            <charset val="134"/>
          </rPr>
          <t xml:space="preserve">
龙丽娟:</t>
        </r>
        <r>
          <rPr>
            <sz val="9"/>
            <rFont val="宋体"/>
            <charset val="134"/>
          </rPr>
          <t xml:space="preserve">
7/6 2201214 16pcs</t>
        </r>
      </text>
    </comment>
    <comment ref="AG276" authorId="2">
      <text>
        <r>
          <rPr>
            <b/>
            <sz val="9"/>
            <rFont val="宋体"/>
            <charset val="134"/>
          </rPr>
          <t>龙丽娟:</t>
        </r>
        <r>
          <rPr>
            <sz val="9"/>
            <rFont val="宋体"/>
            <charset val="134"/>
          </rPr>
          <t xml:space="preserve">
7/1 2201024 8512pcs欣泰B7</t>
        </r>
      </text>
    </comment>
    <comment ref="AG277" authorId="2">
      <text>
        <r>
          <rPr>
            <b/>
            <sz val="9"/>
            <rFont val="宋体"/>
            <charset val="134"/>
          </rPr>
          <t>龙丽娟:</t>
        </r>
        <r>
          <rPr>
            <sz val="9"/>
            <rFont val="宋体"/>
            <charset val="134"/>
          </rPr>
          <t xml:space="preserve">
6/30 1000204 1664pcs顶A15</t>
        </r>
      </text>
    </comment>
    <comment ref="AI277" authorId="2">
      <text>
        <r>
          <rPr>
            <b/>
            <sz val="9"/>
            <rFont val="宋体"/>
            <charset val="134"/>
          </rPr>
          <t>龙丽娟:</t>
        </r>
        <r>
          <rPr>
            <sz val="9"/>
            <rFont val="宋体"/>
            <charset val="134"/>
          </rPr>
          <t xml:space="preserve">
6/10上家乐福外箱贴纸416pcs</t>
        </r>
      </text>
    </comment>
    <comment ref="AG278" authorId="2">
      <text>
        <r>
          <rPr>
            <b/>
            <sz val="9"/>
            <rFont val="宋体"/>
            <charset val="134"/>
          </rPr>
          <t>龙丽娟:</t>
        </r>
        <r>
          <rPr>
            <sz val="9"/>
            <rFont val="宋体"/>
            <charset val="134"/>
          </rPr>
          <t xml:space="preserve">
6/30 1000204 2304pcs顶A15</t>
        </r>
      </text>
    </comment>
    <comment ref="AI278" authorId="2">
      <text>
        <r>
          <rPr>
            <b/>
            <sz val="9"/>
            <rFont val="宋体"/>
            <charset val="134"/>
          </rPr>
          <t>龙丽娟:</t>
        </r>
        <r>
          <rPr>
            <sz val="9"/>
            <rFont val="宋体"/>
            <charset val="134"/>
          </rPr>
          <t xml:space="preserve">
6/10上家乐福外箱贴纸416pcs</t>
        </r>
      </text>
    </comment>
    <comment ref="AG279" authorId="2">
      <text>
        <r>
          <rPr>
            <b/>
            <sz val="9"/>
            <rFont val="宋体"/>
            <charset val="134"/>
          </rPr>
          <t>龙丽娟:</t>
        </r>
        <r>
          <rPr>
            <sz val="9"/>
            <rFont val="宋体"/>
            <charset val="134"/>
          </rPr>
          <t xml:space="preserve">
1000332 6/27 3600pcs 欣泰仓库一楼A4
</t>
        </r>
      </text>
    </comment>
    <comment ref="AI279" authorId="0">
      <text>
        <r>
          <rPr>
            <b/>
            <sz val="12"/>
            <rFont val="宋体"/>
            <charset val="134"/>
          </rPr>
          <t>Administrator:</t>
        </r>
        <r>
          <rPr>
            <sz val="12"/>
            <rFont val="宋体"/>
            <charset val="134"/>
          </rPr>
          <t xml:space="preserve">
3/18 上UPC贴纸 3600pcs</t>
        </r>
      </text>
    </comment>
    <comment ref="AG280" authorId="2">
      <text>
        <r>
          <rPr>
            <b/>
            <sz val="9"/>
            <rFont val="宋体"/>
            <charset val="134"/>
          </rPr>
          <t>龙丽娟:</t>
        </r>
        <r>
          <rPr>
            <sz val="9"/>
            <rFont val="宋体"/>
            <charset val="134"/>
          </rPr>
          <t xml:space="preserve">
7/8 2201243 368pcs欣泰c5</t>
        </r>
      </text>
    </comment>
    <comment ref="AI280" authorId="0">
      <text>
        <r>
          <rPr>
            <b/>
            <sz val="12"/>
            <rFont val="宋体"/>
            <charset val="134"/>
          </rPr>
          <t>Administrator:</t>
        </r>
        <r>
          <rPr>
            <sz val="12"/>
            <rFont val="宋体"/>
            <charset val="134"/>
          </rPr>
          <t xml:space="preserve">
5/16 上通用进口商贴纸504pcs</t>
        </r>
      </text>
    </comment>
    <comment ref="AG281" authorId="2">
      <text>
        <r>
          <rPr>
            <b/>
            <sz val="9"/>
            <rFont val="宋体"/>
            <charset val="134"/>
          </rPr>
          <t>龙丽娟:</t>
        </r>
        <r>
          <rPr>
            <sz val="9"/>
            <rFont val="宋体"/>
            <charset val="134"/>
          </rPr>
          <t xml:space="preserve">
7/4 2201214 2128pcs欣泰A1</t>
        </r>
      </text>
    </comment>
    <comment ref="AG282" authorId="2">
      <text>
        <r>
          <rPr>
            <b/>
            <sz val="9"/>
            <rFont val="宋体"/>
            <charset val="134"/>
          </rPr>
          <t>龙丽娟:</t>
        </r>
        <r>
          <rPr>
            <sz val="9"/>
            <rFont val="宋体"/>
            <charset val="134"/>
          </rPr>
          <t xml:space="preserve">
6/22 1000600  8000pcs顶均A11</t>
        </r>
      </text>
    </comment>
    <comment ref="AI282" authorId="2">
      <text>
        <r>
          <rPr>
            <b/>
            <sz val="9"/>
            <rFont val="宋体"/>
            <charset val="134"/>
          </rPr>
          <t>龙丽娟:</t>
        </r>
        <r>
          <rPr>
            <sz val="9"/>
            <rFont val="宋体"/>
            <charset val="134"/>
          </rPr>
          <t xml:space="preserve">
7/4上价格贴纸16000pcs</t>
        </r>
      </text>
    </comment>
    <comment ref="AG283" authorId="2">
      <text>
        <r>
          <rPr>
            <b/>
            <sz val="9"/>
            <rFont val="宋体"/>
            <charset val="134"/>
          </rPr>
          <t>龙丽娟:</t>
        </r>
        <r>
          <rPr>
            <sz val="9"/>
            <rFont val="宋体"/>
            <charset val="134"/>
          </rPr>
          <t xml:space="preserve">
6/22 1000600  2000pcs顶均A13</t>
        </r>
      </text>
    </comment>
    <comment ref="AG284" authorId="2">
      <text>
        <r>
          <rPr>
            <b/>
            <sz val="9"/>
            <rFont val="宋体"/>
            <charset val="134"/>
          </rPr>
          <t>龙丽娟:</t>
        </r>
        <r>
          <rPr>
            <sz val="9"/>
            <rFont val="宋体"/>
            <charset val="134"/>
          </rPr>
          <t xml:space="preserve">
6/27 201657 8800pcs顶均B7</t>
        </r>
      </text>
    </comment>
    <comment ref="AG285" authorId="2">
      <text>
        <r>
          <rPr>
            <b/>
            <sz val="9"/>
            <rFont val="宋体"/>
            <charset val="134"/>
          </rPr>
          <t>龙丽娟:</t>
        </r>
        <r>
          <rPr>
            <sz val="9"/>
            <rFont val="宋体"/>
            <charset val="134"/>
          </rPr>
          <t xml:space="preserve">
7/9 2201266 224pcs欣泰c1</t>
        </r>
      </text>
    </comment>
    <comment ref="AG291" authorId="2">
      <text>
        <r>
          <rPr>
            <b/>
            <sz val="9"/>
            <rFont val="宋体"/>
            <charset val="134"/>
          </rPr>
          <t>龙丽娟:</t>
        </r>
        <r>
          <rPr>
            <sz val="9"/>
            <rFont val="宋体"/>
            <charset val="134"/>
          </rPr>
          <t xml:space="preserve">
2201003 6/30 780pcs</t>
        </r>
      </text>
    </comment>
    <comment ref="AI291" authorId="2">
      <text>
        <r>
          <rPr>
            <b/>
            <sz val="9"/>
            <rFont val="宋体"/>
            <charset val="134"/>
          </rPr>
          <t>龙丽娟:</t>
        </r>
        <r>
          <rPr>
            <sz val="9"/>
            <rFont val="宋体"/>
            <charset val="134"/>
          </rPr>
          <t xml:space="preserve">
6/16上客供RFID贴纸7680pcs</t>
        </r>
      </text>
    </comment>
    <comment ref="AG292" authorId="2">
      <text>
        <r>
          <rPr>
            <b/>
            <sz val="9"/>
            <rFont val="宋体"/>
            <charset val="134"/>
          </rPr>
          <t>龙丽娟:</t>
        </r>
        <r>
          <rPr>
            <sz val="9"/>
            <rFont val="宋体"/>
            <charset val="134"/>
          </rPr>
          <t xml:space="preserve">
2200988 6/30 9216pcs</t>
        </r>
      </text>
    </comment>
    <comment ref="AI292" authorId="2">
      <text>
        <r>
          <rPr>
            <b/>
            <sz val="9"/>
            <rFont val="宋体"/>
            <charset val="134"/>
          </rPr>
          <t>龙丽娟:</t>
        </r>
        <r>
          <rPr>
            <sz val="9"/>
            <rFont val="宋体"/>
            <charset val="134"/>
          </rPr>
          <t xml:space="preserve">
6/16上客供RFID贴纸9216pcs</t>
        </r>
      </text>
    </comment>
    <comment ref="AG293" authorId="2">
      <text>
        <r>
          <rPr>
            <b/>
            <sz val="9"/>
            <rFont val="宋体"/>
            <charset val="134"/>
          </rPr>
          <t>龙丽娟:</t>
        </r>
        <r>
          <rPr>
            <sz val="9"/>
            <rFont val="宋体"/>
            <charset val="134"/>
          </rPr>
          <t xml:space="preserve">
2200988 6/30 3840PCS</t>
        </r>
        <r>
          <rPr>
            <b/>
            <sz val="9"/>
            <rFont val="宋体"/>
            <charset val="134"/>
          </rPr>
          <t xml:space="preserve">
龙丽娟:</t>
        </r>
        <r>
          <rPr>
            <sz val="9"/>
            <rFont val="宋体"/>
            <charset val="134"/>
          </rPr>
          <t xml:space="preserve">
2201003 6/30 3840pcs</t>
        </r>
      </text>
    </comment>
    <comment ref="AI293" authorId="2">
      <text>
        <r>
          <rPr>
            <b/>
            <sz val="9"/>
            <rFont val="宋体"/>
            <charset val="134"/>
          </rPr>
          <t>龙丽娟:</t>
        </r>
        <r>
          <rPr>
            <sz val="9"/>
            <rFont val="宋体"/>
            <charset val="134"/>
          </rPr>
          <t xml:space="preserve">
6/16上客供RFID贴纸7680pcs</t>
        </r>
      </text>
    </comment>
    <comment ref="AG294" authorId="2">
      <text>
        <r>
          <rPr>
            <b/>
            <sz val="9"/>
            <rFont val="宋体"/>
            <charset val="134"/>
          </rPr>
          <t>龙丽娟:</t>
        </r>
        <r>
          <rPr>
            <sz val="9"/>
            <rFont val="宋体"/>
            <charset val="134"/>
          </rPr>
          <t xml:space="preserve">
6/27 2200966 6464pcs顶均A1</t>
        </r>
      </text>
    </comment>
    <comment ref="AG295" authorId="2">
      <text>
        <r>
          <rPr>
            <b/>
            <sz val="9"/>
            <rFont val="宋体"/>
            <charset val="134"/>
          </rPr>
          <t>龙丽娟:</t>
        </r>
        <r>
          <rPr>
            <sz val="9"/>
            <rFont val="宋体"/>
            <charset val="134"/>
          </rPr>
          <t xml:space="preserve">
6/27 2200966 6544pcs顶均A1</t>
        </r>
      </text>
    </comment>
    <comment ref="AG296" authorId="2">
      <text>
        <r>
          <rPr>
            <b/>
            <sz val="9"/>
            <rFont val="宋体"/>
            <charset val="134"/>
          </rPr>
          <t>龙丽娟:</t>
        </r>
        <r>
          <rPr>
            <sz val="9"/>
            <rFont val="宋体"/>
            <charset val="134"/>
          </rPr>
          <t xml:space="preserve">
欣泰c26/23 5192pcs</t>
        </r>
      </text>
    </comment>
    <comment ref="AI297" authorId="2">
      <text>
        <r>
          <rPr>
            <b/>
            <sz val="9"/>
            <rFont val="宋体"/>
            <charset val="134"/>
          </rPr>
          <t>龙丽娟:</t>
        </r>
        <r>
          <rPr>
            <sz val="9"/>
            <rFont val="宋体"/>
            <charset val="134"/>
          </rPr>
          <t xml:space="preserve">
6/25 上客供ASN/客供HU/客供HU;S(条形码）贴纸各13pcs</t>
        </r>
        <r>
          <rPr>
            <b/>
            <sz val="9"/>
            <rFont val="宋体"/>
            <charset val="134"/>
          </rPr>
          <t xml:space="preserve">
龙丽娟:</t>
        </r>
        <r>
          <rPr>
            <sz val="9"/>
            <rFont val="宋体"/>
            <charset val="134"/>
          </rPr>
          <t xml:space="preserve">
7/12上进口商贴纸/说明书贴纸各208/pcs</t>
        </r>
        <r>
          <rPr>
            <b/>
            <sz val="9"/>
            <rFont val="宋体"/>
            <charset val="134"/>
          </rPr>
          <t xml:space="preserve">
龙丽娟:</t>
        </r>
        <r>
          <rPr>
            <sz val="9"/>
            <rFont val="宋体"/>
            <charset val="134"/>
          </rPr>
          <t xml:space="preserve">
7/10 上价格 贴纸  208pcs</t>
        </r>
      </text>
    </comment>
    <comment ref="AG298" authorId="2">
      <text>
        <r>
          <rPr>
            <b/>
            <sz val="9"/>
            <rFont val="宋体"/>
            <charset val="134"/>
          </rPr>
          <t>龙丽娟:</t>
        </r>
        <r>
          <rPr>
            <sz val="9"/>
            <rFont val="宋体"/>
            <charset val="134"/>
          </rPr>
          <t xml:space="preserve">
7/1 2201024 7376pcs欣泰b7</t>
        </r>
      </text>
    </comment>
    <comment ref="AG299" authorId="2">
      <text>
        <r>
          <rPr>
            <b/>
            <sz val="9"/>
            <rFont val="宋体"/>
            <charset val="134"/>
          </rPr>
          <t>龙丽娟:</t>
        </r>
        <r>
          <rPr>
            <sz val="9"/>
            <rFont val="宋体"/>
            <charset val="134"/>
          </rPr>
          <t xml:space="preserve">
2201240 7/7 6400pcs直走</t>
        </r>
      </text>
    </comment>
    <comment ref="AI299" authorId="2">
      <text>
        <r>
          <rPr>
            <b/>
            <sz val="9"/>
            <rFont val="宋体"/>
            <charset val="134"/>
          </rPr>
          <t>龙丽娟:</t>
        </r>
        <r>
          <rPr>
            <sz val="9"/>
            <rFont val="宋体"/>
            <charset val="134"/>
          </rPr>
          <t xml:space="preserve">
6/17上UPC贴纸/进口商贴纸/产品贴纸/说明书贴纸各6400pcs</t>
        </r>
      </text>
    </comment>
    <comment ref="AG300" authorId="2">
      <text>
        <r>
          <rPr>
            <b/>
            <sz val="9"/>
            <rFont val="宋体"/>
            <charset val="134"/>
          </rPr>
          <t>龙丽娟:</t>
        </r>
        <r>
          <rPr>
            <sz val="9"/>
            <rFont val="宋体"/>
            <charset val="134"/>
          </rPr>
          <t xml:space="preserve">
2201228 7/6 664pcs欣泰D4</t>
        </r>
      </text>
    </comment>
    <comment ref="AG303" authorId="2">
      <text>
        <r>
          <rPr>
            <b/>
            <sz val="9"/>
            <rFont val="宋体"/>
            <charset val="134"/>
          </rPr>
          <t>龙丽娟:</t>
        </r>
        <r>
          <rPr>
            <sz val="9"/>
            <rFont val="宋体"/>
            <charset val="134"/>
          </rPr>
          <t xml:space="preserve">
2201211 7/3 120pcs顶均B1</t>
        </r>
      </text>
    </comment>
    <comment ref="AI303" authorId="2">
      <text>
        <r>
          <rPr>
            <b/>
            <sz val="9"/>
            <rFont val="宋体"/>
            <charset val="134"/>
          </rPr>
          <t>龙丽娟:</t>
        </r>
        <r>
          <rPr>
            <sz val="9"/>
            <rFont val="宋体"/>
            <charset val="134"/>
          </rPr>
          <t xml:space="preserve">
6/22上多语警语折叠贴纸120pcs</t>
        </r>
      </text>
    </comment>
    <comment ref="AG304" authorId="2">
      <text>
        <r>
          <rPr>
            <b/>
            <sz val="9"/>
            <rFont val="宋体"/>
            <charset val="134"/>
          </rPr>
          <t>龙丽娟:</t>
        </r>
        <r>
          <rPr>
            <sz val="9"/>
            <rFont val="宋体"/>
            <charset val="134"/>
          </rPr>
          <t xml:space="preserve">
7/4 3002518 1600pcs欣泰c6</t>
        </r>
      </text>
    </comment>
    <comment ref="AI304" authorId="2">
      <text>
        <r>
          <rPr>
            <b/>
            <sz val="9"/>
            <rFont val="宋体"/>
            <charset val="134"/>
          </rPr>
          <t>龙丽娟:</t>
        </r>
        <r>
          <rPr>
            <sz val="9"/>
            <rFont val="宋体"/>
            <charset val="134"/>
          </rPr>
          <t xml:space="preserve">
6/22上pdq底部贴纸100pcs</t>
        </r>
      </text>
    </comment>
    <comment ref="AG305" authorId="2">
      <text>
        <r>
          <rPr>
            <b/>
            <sz val="9"/>
            <rFont val="宋体"/>
            <charset val="134"/>
          </rPr>
          <t>龙丽娟:</t>
        </r>
        <r>
          <rPr>
            <sz val="9"/>
            <rFont val="宋体"/>
            <charset val="134"/>
          </rPr>
          <t xml:space="preserve">
7/20 1001838 1644pcs钜顺c4</t>
        </r>
      </text>
    </comment>
    <comment ref="AI305" authorId="2">
      <text>
        <r>
          <rPr>
            <b/>
            <sz val="9"/>
            <rFont val="宋体"/>
            <charset val="134"/>
          </rPr>
          <t>龙丽娟:</t>
        </r>
        <r>
          <rPr>
            <sz val="9"/>
            <rFont val="宋体"/>
            <charset val="134"/>
          </rPr>
          <t xml:space="preserve">
6/17上产品贴纸10008pcs</t>
        </r>
        <r>
          <rPr>
            <b/>
            <sz val="9"/>
            <rFont val="宋体"/>
            <charset val="134"/>
          </rPr>
          <t xml:space="preserve">
龙丽娟:</t>
        </r>
        <r>
          <rPr>
            <sz val="9"/>
            <rFont val="宋体"/>
            <charset val="134"/>
          </rPr>
          <t xml:space="preserve">
6/17上空白贴纸2004pcs</t>
        </r>
        <r>
          <rPr>
            <b/>
            <sz val="9"/>
            <rFont val="宋体"/>
            <charset val="134"/>
          </rPr>
          <t xml:space="preserve">
龙丽娟:</t>
        </r>
        <r>
          <rPr>
            <sz val="9"/>
            <rFont val="宋体"/>
            <charset val="134"/>
          </rPr>
          <t xml:space="preserve">
7/18意/希wee说明书3000pcs</t>
        </r>
      </text>
    </comment>
    <comment ref="AI306" authorId="2">
      <text>
        <r>
          <rPr>
            <b/>
            <sz val="9"/>
            <rFont val="宋体"/>
            <charset val="134"/>
          </rPr>
          <t>龙丽娟:</t>
        </r>
        <r>
          <rPr>
            <sz val="9"/>
            <rFont val="宋体"/>
            <charset val="134"/>
          </rPr>
          <t xml:space="preserve">
6/17上产品贴纸10008pcs</t>
        </r>
        <r>
          <rPr>
            <b/>
            <sz val="9"/>
            <rFont val="宋体"/>
            <charset val="134"/>
          </rPr>
          <t xml:space="preserve">
龙丽娟:</t>
        </r>
        <r>
          <rPr>
            <sz val="9"/>
            <rFont val="宋体"/>
            <charset val="134"/>
          </rPr>
          <t xml:space="preserve">
6/17上空白贴纸3000pcs</t>
        </r>
      </text>
    </comment>
    <comment ref="AI307" authorId="2">
      <text>
        <r>
          <rPr>
            <b/>
            <sz val="9"/>
            <rFont val="宋体"/>
            <charset val="134"/>
          </rPr>
          <t>龙丽娟:</t>
        </r>
        <r>
          <rPr>
            <sz val="9"/>
            <rFont val="宋体"/>
            <charset val="134"/>
          </rPr>
          <t xml:space="preserve">
7/15 上大白方防盗贴纸 1248pcs
         上小黄圆防盗贴纸 1248pcs</t>
        </r>
      </text>
    </comment>
    <comment ref="AQ313" authorId="3">
      <text>
        <r>
          <rPr>
            <b/>
            <sz val="9"/>
            <rFont val="宋体"/>
            <charset val="134"/>
          </rPr>
          <t>RR:</t>
        </r>
        <r>
          <rPr>
            <sz val="9"/>
            <rFont val="宋体"/>
            <charset val="134"/>
          </rPr>
          <t xml:space="preserve">
新客版资料</t>
        </r>
      </text>
    </comment>
    <comment ref="AR313" authorId="3">
      <text>
        <r>
          <rPr>
            <b/>
            <sz val="9"/>
            <rFont val="宋体"/>
            <charset val="134"/>
          </rPr>
          <t>RR:</t>
        </r>
        <r>
          <rPr>
            <sz val="9"/>
            <rFont val="宋体"/>
            <charset val="134"/>
          </rPr>
          <t xml:space="preserve">
新客版资料</t>
        </r>
      </text>
    </comment>
    <comment ref="AS313" authorId="3">
      <text>
        <r>
          <rPr>
            <b/>
            <sz val="9"/>
            <rFont val="宋体"/>
            <charset val="134"/>
          </rPr>
          <t>RR:</t>
        </r>
        <r>
          <rPr>
            <sz val="9"/>
            <rFont val="宋体"/>
            <charset val="134"/>
          </rPr>
          <t xml:space="preserve">
新客版资料</t>
        </r>
      </text>
    </comment>
    <comment ref="AG315" authorId="2">
      <text>
        <r>
          <rPr>
            <b/>
            <sz val="9"/>
            <rFont val="宋体"/>
            <charset val="134"/>
          </rPr>
          <t>龙丽娟:</t>
        </r>
        <r>
          <rPr>
            <sz val="9"/>
            <rFont val="宋体"/>
            <charset val="134"/>
          </rPr>
          <t xml:space="preserve">
1000151 7/3 1400pcs顶均B4</t>
        </r>
      </text>
    </comment>
    <comment ref="AG316" authorId="2">
      <text>
        <r>
          <rPr>
            <b/>
            <sz val="9"/>
            <rFont val="宋体"/>
            <charset val="134"/>
          </rPr>
          <t>龙丽娟:</t>
        </r>
        <r>
          <rPr>
            <sz val="9"/>
            <rFont val="宋体"/>
            <charset val="134"/>
          </rPr>
          <t xml:space="preserve">
1000151 7/3 104pcs顶均A7</t>
        </r>
      </text>
    </comment>
    <comment ref="AG317" authorId="2">
      <text>
        <r>
          <rPr>
            <b/>
            <sz val="9"/>
            <rFont val="宋体"/>
            <charset val="134"/>
          </rPr>
          <t>龙丽娟:</t>
        </r>
        <r>
          <rPr>
            <sz val="9"/>
            <rFont val="宋体"/>
            <charset val="134"/>
          </rPr>
          <t xml:space="preserve">
7/4 3002518 1416pcs欣泰c6</t>
        </r>
      </text>
    </comment>
    <comment ref="AG318" authorId="2">
      <text>
        <r>
          <rPr>
            <b/>
            <sz val="9"/>
            <rFont val="宋体"/>
            <charset val="134"/>
          </rPr>
          <t>龙丽娟:</t>
        </r>
        <r>
          <rPr>
            <sz val="9"/>
            <rFont val="宋体"/>
            <charset val="134"/>
          </rPr>
          <t xml:space="preserve">
7/4 3002518 88pcs欣泰c6</t>
        </r>
      </text>
    </comment>
    <comment ref="AI318" authorId="2">
      <text>
        <r>
          <rPr>
            <b/>
            <sz val="9"/>
            <rFont val="宋体"/>
            <charset val="134"/>
          </rPr>
          <t>龙丽娟:</t>
        </r>
        <r>
          <rPr>
            <sz val="9"/>
            <rFont val="宋体"/>
            <charset val="134"/>
          </rPr>
          <t xml:space="preserve">
6/29上sscc外箱贴纸177pcs</t>
        </r>
      </text>
    </comment>
    <comment ref="AG319" authorId="2">
      <text>
        <r>
          <rPr>
            <b/>
            <sz val="9"/>
            <rFont val="宋体"/>
            <charset val="134"/>
          </rPr>
          <t>龙丽娟:</t>
        </r>
        <r>
          <rPr>
            <sz val="9"/>
            <rFont val="宋体"/>
            <charset val="134"/>
          </rPr>
          <t xml:space="preserve">
6/27 1000333 11776pcs欣泰f5</t>
        </r>
      </text>
    </comment>
    <comment ref="AI319" authorId="2">
      <text>
        <r>
          <rPr>
            <b/>
            <sz val="9"/>
            <rFont val="宋体"/>
            <charset val="134"/>
          </rPr>
          <t>龙丽娟:</t>
        </r>
        <r>
          <rPr>
            <sz val="9"/>
            <rFont val="宋体"/>
            <charset val="134"/>
          </rPr>
          <t xml:space="preserve">
6/16上客供RFID贴纸11776pcs</t>
        </r>
      </text>
    </comment>
    <comment ref="AG320" authorId="2">
      <text>
        <r>
          <rPr>
            <b/>
            <sz val="9"/>
            <rFont val="宋体"/>
            <charset val="134"/>
          </rPr>
          <t>龙丽娟:</t>
        </r>
        <r>
          <rPr>
            <sz val="9"/>
            <rFont val="宋体"/>
            <charset val="134"/>
          </rPr>
          <t xml:space="preserve">
6/27 3002617 11264pcs 华兴B7</t>
        </r>
      </text>
    </comment>
    <comment ref="AI320" authorId="2">
      <text>
        <r>
          <rPr>
            <b/>
            <sz val="9"/>
            <rFont val="宋体"/>
            <charset val="134"/>
          </rPr>
          <t>龙丽娟:</t>
        </r>
        <r>
          <rPr>
            <sz val="9"/>
            <rFont val="宋体"/>
            <charset val="134"/>
          </rPr>
          <t xml:space="preserve">
6/16上客供RFID贴纸11264pcs</t>
        </r>
      </text>
    </comment>
    <comment ref="AG321" authorId="2">
      <text>
        <r>
          <rPr>
            <b/>
            <sz val="9"/>
            <rFont val="宋体"/>
            <charset val="134"/>
          </rPr>
          <t>龙丽娟:</t>
        </r>
        <r>
          <rPr>
            <sz val="9"/>
            <rFont val="宋体"/>
            <charset val="134"/>
          </rPr>
          <t xml:space="preserve">
7/3 1000145 5632pcs顶均A12</t>
        </r>
      </text>
    </comment>
    <comment ref="AI321" authorId="2">
      <text>
        <r>
          <rPr>
            <b/>
            <sz val="9"/>
            <rFont val="宋体"/>
            <charset val="134"/>
          </rPr>
          <t>龙丽娟:</t>
        </r>
        <r>
          <rPr>
            <sz val="9"/>
            <rFont val="宋体"/>
            <charset val="134"/>
          </rPr>
          <t xml:space="preserve">
6/16上客供RFID贴纸5632pcs</t>
        </r>
      </text>
    </comment>
    <comment ref="AG322" authorId="2">
      <text>
        <r>
          <rPr>
            <b/>
            <sz val="9"/>
            <rFont val="宋体"/>
            <charset val="134"/>
          </rPr>
          <t>龙丽娟:</t>
        </r>
        <r>
          <rPr>
            <sz val="9"/>
            <rFont val="宋体"/>
            <charset val="134"/>
          </rPr>
          <t xml:space="preserve">
7/4 3002518 1408pcs欣泰c4</t>
        </r>
      </text>
    </comment>
    <comment ref="AI322" authorId="2">
      <text>
        <r>
          <rPr>
            <b/>
            <sz val="9"/>
            <rFont val="宋体"/>
            <charset val="134"/>
          </rPr>
          <t>龙丽娟:</t>
        </r>
        <r>
          <rPr>
            <sz val="9"/>
            <rFont val="宋体"/>
            <charset val="134"/>
          </rPr>
          <t xml:space="preserve">
7/9收到亚马逊外箱贴纸88pcs</t>
        </r>
      </text>
    </comment>
    <comment ref="AG323" authorId="2">
      <text>
        <r>
          <rPr>
            <b/>
            <sz val="9"/>
            <rFont val="宋体"/>
            <charset val="134"/>
          </rPr>
          <t>龙丽娟:</t>
        </r>
        <r>
          <rPr>
            <sz val="9"/>
            <rFont val="宋体"/>
            <charset val="134"/>
          </rPr>
          <t xml:space="preserve">
7/4 3002518 1184pcs欣泰c4</t>
        </r>
      </text>
    </comment>
    <comment ref="AI323" authorId="2">
      <text>
        <r>
          <rPr>
            <b/>
            <sz val="9"/>
            <rFont val="宋体"/>
            <charset val="134"/>
          </rPr>
          <t>龙丽娟:</t>
        </r>
        <r>
          <rPr>
            <sz val="9"/>
            <rFont val="宋体"/>
            <charset val="134"/>
          </rPr>
          <t xml:space="preserve">
7/7收到亚马逊外箱贴纸74pcs</t>
        </r>
      </text>
    </comment>
    <comment ref="AG324" authorId="2">
      <text>
        <r>
          <rPr>
            <b/>
            <sz val="9"/>
            <rFont val="宋体"/>
            <charset val="134"/>
          </rPr>
          <t>龙丽娟:</t>
        </r>
        <r>
          <rPr>
            <sz val="9"/>
            <rFont val="宋体"/>
            <charset val="134"/>
          </rPr>
          <t xml:space="preserve">
7/11 2801284 4064pcs欣泰e6</t>
        </r>
      </text>
    </comment>
    <comment ref="AI324" authorId="2">
      <text>
        <r>
          <rPr>
            <b/>
            <sz val="9"/>
            <rFont val="宋体"/>
            <charset val="134"/>
          </rPr>
          <t>龙丽娟:</t>
        </r>
        <r>
          <rPr>
            <sz val="9"/>
            <rFont val="宋体"/>
            <charset val="134"/>
          </rPr>
          <t xml:space="preserve">
7/9收到亚马逊外箱贴纸254pcs</t>
        </r>
      </text>
    </comment>
    <comment ref="AG325" authorId="2">
      <text>
        <r>
          <rPr>
            <b/>
            <sz val="9"/>
            <rFont val="宋体"/>
            <charset val="134"/>
          </rPr>
          <t>龙丽娟:</t>
        </r>
        <r>
          <rPr>
            <sz val="9"/>
            <rFont val="宋体"/>
            <charset val="134"/>
          </rPr>
          <t xml:space="preserve">
7/4 3002518 512pcs欣泰c2</t>
        </r>
      </text>
    </comment>
    <comment ref="AI325" authorId="2">
      <text>
        <r>
          <rPr>
            <b/>
            <sz val="9"/>
            <rFont val="宋体"/>
            <charset val="134"/>
          </rPr>
          <t>龙丽娟:</t>
        </r>
        <r>
          <rPr>
            <sz val="9"/>
            <rFont val="宋体"/>
            <charset val="134"/>
          </rPr>
          <t xml:space="preserve">
6/23上地址贴纸512pcs</t>
        </r>
      </text>
    </comment>
    <comment ref="AG326" authorId="2">
      <text>
        <r>
          <rPr>
            <b/>
            <sz val="9"/>
            <rFont val="宋体"/>
            <charset val="134"/>
          </rPr>
          <t>龙丽娟:</t>
        </r>
        <r>
          <rPr>
            <sz val="9"/>
            <rFont val="宋体"/>
            <charset val="134"/>
          </rPr>
          <t xml:space="preserve">
1000151 7/3 1000pcs顶均B4</t>
        </r>
      </text>
    </comment>
    <comment ref="AI326" authorId="2">
      <text>
        <r>
          <rPr>
            <b/>
            <sz val="9"/>
            <rFont val="宋体"/>
            <charset val="134"/>
          </rPr>
          <t>龙丽娟:</t>
        </r>
        <r>
          <rPr>
            <sz val="9"/>
            <rFont val="宋体"/>
            <charset val="134"/>
          </rPr>
          <t xml:space="preserve">
6/22上包装贴纸/锂电池警告语贴纸各1000pcs</t>
        </r>
      </text>
    </comment>
    <comment ref="AG327" authorId="2">
      <text>
        <r>
          <rPr>
            <b/>
            <sz val="9"/>
            <rFont val="宋体"/>
            <charset val="134"/>
          </rPr>
          <t>龙丽娟:</t>
        </r>
        <r>
          <rPr>
            <sz val="9"/>
            <rFont val="宋体"/>
            <charset val="134"/>
          </rPr>
          <t xml:space="preserve">
1000151 7/3 8192pcs顶均B4</t>
        </r>
      </text>
    </comment>
    <comment ref="AI327" authorId="2">
      <text>
        <r>
          <rPr>
            <b/>
            <sz val="9"/>
            <rFont val="宋体"/>
            <charset val="134"/>
          </rPr>
          <t>龙丽娟:</t>
        </r>
        <r>
          <rPr>
            <sz val="9"/>
            <rFont val="宋体"/>
            <charset val="134"/>
          </rPr>
          <t xml:space="preserve">
6/16上客供RFID贴纸8192pcs</t>
        </r>
      </text>
    </comment>
    <comment ref="AG328" authorId="2">
      <text>
        <r>
          <rPr>
            <b/>
            <sz val="9"/>
            <rFont val="宋体"/>
            <charset val="134"/>
          </rPr>
          <t>龙丽娟:</t>
        </r>
        <r>
          <rPr>
            <sz val="9"/>
            <rFont val="宋体"/>
            <charset val="134"/>
          </rPr>
          <t xml:space="preserve">
7/9 2201266 2800pcs欣泰c1</t>
        </r>
      </text>
    </comment>
    <comment ref="AG329" authorId="2">
      <text>
        <r>
          <rPr>
            <b/>
            <sz val="9"/>
            <rFont val="宋体"/>
            <charset val="134"/>
          </rPr>
          <t>龙丽娟:</t>
        </r>
        <r>
          <rPr>
            <sz val="9"/>
            <rFont val="宋体"/>
            <charset val="134"/>
          </rPr>
          <t xml:space="preserve">
7/10 2201276 1312pcs 应兴A6</t>
        </r>
      </text>
    </comment>
    <comment ref="AI329" authorId="2">
      <text>
        <r>
          <rPr>
            <b/>
            <sz val="9"/>
            <rFont val="宋体"/>
            <charset val="134"/>
          </rPr>
          <t>龙丽娟:</t>
        </r>
        <r>
          <rPr>
            <sz val="9"/>
            <rFont val="宋体"/>
            <charset val="134"/>
          </rPr>
          <t xml:space="preserve">
6/23上进口商贴纸乌克兰语贴纸锂电池警告语说明书贴纸各1312pcs</t>
        </r>
      </text>
    </comment>
    <comment ref="AO329" authorId="3">
      <text>
        <r>
          <rPr>
            <b/>
            <sz val="9"/>
            <rFont val="宋体"/>
            <charset val="134"/>
          </rPr>
          <t>RR:</t>
        </r>
        <r>
          <rPr>
            <sz val="9"/>
            <rFont val="宋体"/>
            <charset val="134"/>
          </rPr>
          <t xml:space="preserve">
客版</t>
        </r>
      </text>
    </comment>
    <comment ref="AI330" authorId="0">
      <text>
        <r>
          <rPr>
            <sz val="9"/>
            <rFont val="宋体"/>
            <charset val="134"/>
          </rPr>
          <t xml:space="preserve">Administrator:
5/14上客供RFID贴纸17280pcs
5/15 上锂电池贴纸26118pcs
</t>
        </r>
        <r>
          <rPr>
            <b/>
            <sz val="9"/>
            <rFont val="宋体"/>
            <charset val="134"/>
          </rPr>
          <t xml:space="preserve">
龙丽娟:</t>
        </r>
        <r>
          <rPr>
            <sz val="9"/>
            <rFont val="宋体"/>
            <charset val="134"/>
          </rPr>
          <t xml:space="preserve">
7/17 客供RFID贴纸17280pcs</t>
        </r>
      </text>
    </comment>
    <comment ref="AI331" authorId="0">
      <text>
        <r>
          <rPr>
            <sz val="9"/>
            <rFont val="宋体"/>
            <charset val="134"/>
          </rPr>
          <t xml:space="preserve">Administrator:
5/14上客供RFID贴纸18240pcs
5/15 上锂电池贴纸26118pcs
</t>
        </r>
        <r>
          <rPr>
            <b/>
            <sz val="9"/>
            <rFont val="宋体"/>
            <charset val="134"/>
          </rPr>
          <t xml:space="preserve">
龙丽娟:</t>
        </r>
        <r>
          <rPr>
            <sz val="9"/>
            <rFont val="宋体"/>
            <charset val="134"/>
          </rPr>
          <t xml:space="preserve">
7/17 客供RFID贴纸18240pcs</t>
        </r>
      </text>
    </comment>
    <comment ref="AI332" authorId="2">
      <text>
        <r>
          <rPr>
            <b/>
            <sz val="9"/>
            <rFont val="宋体"/>
            <charset val="134"/>
          </rPr>
          <t>龙丽娟:</t>
        </r>
        <r>
          <rPr>
            <sz val="9"/>
            <rFont val="宋体"/>
            <charset val="134"/>
          </rPr>
          <t xml:space="preserve">
6/23上进口商贴纸乌克兰语贴纸锂电池警告语贴纸各504pcs</t>
        </r>
      </text>
    </comment>
    <comment ref="AO332" authorId="3">
      <text>
        <r>
          <rPr>
            <b/>
            <sz val="9"/>
            <rFont val="宋体"/>
            <charset val="134"/>
          </rPr>
          <t>RR:</t>
        </r>
        <r>
          <rPr>
            <sz val="9"/>
            <rFont val="宋体"/>
            <charset val="134"/>
          </rPr>
          <t xml:space="preserve">
客版</t>
        </r>
      </text>
    </comment>
    <comment ref="AG333" authorId="2">
      <text>
        <r>
          <rPr>
            <b/>
            <sz val="9"/>
            <rFont val="宋体"/>
            <charset val="134"/>
          </rPr>
          <t>龙丽娟:</t>
        </r>
        <r>
          <rPr>
            <sz val="9"/>
            <rFont val="宋体"/>
            <charset val="134"/>
          </rPr>
          <t xml:space="preserve">
7/8 2201256 5192pcs欣泰f1</t>
        </r>
      </text>
    </comment>
    <comment ref="AI333" authorId="2">
      <text>
        <r>
          <rPr>
            <b/>
            <sz val="9"/>
            <rFont val="宋体"/>
            <charset val="134"/>
          </rPr>
          <t>龙丽娟:</t>
        </r>
        <r>
          <rPr>
            <sz val="9"/>
            <rFont val="宋体"/>
            <charset val="134"/>
          </rPr>
          <t xml:space="preserve">
6/27上客供外箱条码贴纸</t>
        </r>
      </text>
    </comment>
    <comment ref="AG334" authorId="2">
      <text>
        <r>
          <rPr>
            <b/>
            <sz val="9"/>
            <rFont val="宋体"/>
            <charset val="134"/>
          </rPr>
          <t>龙丽娟:</t>
        </r>
        <r>
          <rPr>
            <sz val="9"/>
            <rFont val="宋体"/>
            <charset val="134"/>
          </rPr>
          <t xml:space="preserve">
7/8 2201260 7376pcs欣泰2B1</t>
        </r>
      </text>
    </comment>
    <comment ref="AI334" authorId="2">
      <text>
        <r>
          <rPr>
            <b/>
            <sz val="9"/>
            <rFont val="宋体"/>
            <charset val="134"/>
          </rPr>
          <t>龙丽娟:</t>
        </r>
        <r>
          <rPr>
            <sz val="9"/>
            <rFont val="宋体"/>
            <charset val="134"/>
          </rPr>
          <t xml:space="preserve">
7/4 上客供外箱贴纸922pcs</t>
        </r>
      </text>
    </comment>
    <comment ref="AG335" authorId="2">
      <text>
        <r>
          <rPr>
            <b/>
            <sz val="9"/>
            <rFont val="宋体"/>
            <charset val="134"/>
          </rPr>
          <t>龙丽娟:</t>
        </r>
        <r>
          <rPr>
            <sz val="9"/>
            <rFont val="宋体"/>
            <charset val="134"/>
          </rPr>
          <t xml:space="preserve">
7/9 2201275 欣泰B3</t>
        </r>
      </text>
    </comment>
    <comment ref="AI335" authorId="2">
      <text>
        <r>
          <rPr>
            <b/>
            <sz val="9"/>
            <rFont val="宋体"/>
            <charset val="134"/>
          </rPr>
          <t>龙丽娟:</t>
        </r>
        <r>
          <rPr>
            <sz val="9"/>
            <rFont val="宋体"/>
            <charset val="134"/>
          </rPr>
          <t xml:space="preserve">
6/29上包装贴纸1000pcs</t>
        </r>
      </text>
    </comment>
    <comment ref="AI336" authorId="0">
      <text>
        <r>
          <rPr>
            <sz val="9"/>
            <rFont val="宋体"/>
            <charset val="134"/>
          </rPr>
          <t>Administrator:
5/14上客供RFID贴纸11328pcs</t>
        </r>
        <r>
          <rPr>
            <b/>
            <sz val="9"/>
            <rFont val="宋体"/>
            <charset val="134"/>
          </rPr>
          <t xml:space="preserve">
龙丽娟:</t>
        </r>
        <r>
          <rPr>
            <sz val="9"/>
            <rFont val="宋体"/>
            <charset val="134"/>
          </rPr>
          <t xml:space="preserve">
7/17 客供RFID贴纸11328pcs</t>
        </r>
      </text>
    </comment>
    <comment ref="AI337" authorId="0">
      <text>
        <r>
          <rPr>
            <sz val="9"/>
            <rFont val="宋体"/>
            <charset val="134"/>
          </rPr>
          <t>Administrator:
5/14上客供RFID贴纸17088pcs</t>
        </r>
        <r>
          <rPr>
            <b/>
            <sz val="9"/>
            <rFont val="宋体"/>
            <charset val="134"/>
          </rPr>
          <t xml:space="preserve">
龙丽娟:</t>
        </r>
        <r>
          <rPr>
            <sz val="9"/>
            <rFont val="宋体"/>
            <charset val="134"/>
          </rPr>
          <t xml:space="preserve">
7/17 客供RFID贴纸17088pcs</t>
        </r>
      </text>
    </comment>
    <comment ref="AG340" authorId="2">
      <text>
        <r>
          <rPr>
            <b/>
            <sz val="9"/>
            <rFont val="宋体"/>
            <charset val="134"/>
          </rPr>
          <t>龙丽娟:</t>
        </r>
        <r>
          <rPr>
            <sz val="9"/>
            <rFont val="宋体"/>
            <charset val="134"/>
          </rPr>
          <t xml:space="preserve">
2201214 7/4 368pcs</t>
        </r>
      </text>
    </comment>
    <comment ref="AG341" authorId="2">
      <text>
        <r>
          <rPr>
            <b/>
            <sz val="9"/>
            <rFont val="宋体"/>
            <charset val="134"/>
          </rPr>
          <t>龙丽娟:</t>
        </r>
        <r>
          <rPr>
            <sz val="9"/>
            <rFont val="宋体"/>
            <charset val="134"/>
          </rPr>
          <t xml:space="preserve">
2201214 7/4 656pcs欣泰A1</t>
        </r>
      </text>
    </comment>
    <comment ref="AG342" authorId="2">
      <text>
        <r>
          <rPr>
            <b/>
            <sz val="9"/>
            <rFont val="宋体"/>
            <charset val="134"/>
          </rPr>
          <t>龙丽娟:</t>
        </r>
        <r>
          <rPr>
            <sz val="9"/>
            <rFont val="宋体"/>
            <charset val="134"/>
          </rPr>
          <t xml:space="preserve">
2201214 7/4 384pcs欣泰A1</t>
        </r>
      </text>
    </comment>
    <comment ref="AG343" authorId="2">
      <text>
        <r>
          <rPr>
            <b/>
            <sz val="9"/>
            <rFont val="宋体"/>
            <charset val="134"/>
          </rPr>
          <t>龙丽娟:</t>
        </r>
        <r>
          <rPr>
            <sz val="9"/>
            <rFont val="宋体"/>
            <charset val="134"/>
          </rPr>
          <t xml:space="preserve">
2201214 7/4 752pcs欣泰A1</t>
        </r>
      </text>
    </comment>
    <comment ref="AG344" authorId="2">
      <text>
        <r>
          <rPr>
            <b/>
            <sz val="9"/>
            <rFont val="宋体"/>
            <charset val="134"/>
          </rPr>
          <t>龙丽娟:</t>
        </r>
        <r>
          <rPr>
            <sz val="9"/>
            <rFont val="宋体"/>
            <charset val="134"/>
          </rPr>
          <t xml:space="preserve">
2201214 7/4 464pcs欣泰A1</t>
        </r>
      </text>
    </comment>
    <comment ref="AG345" authorId="2">
      <text>
        <r>
          <rPr>
            <b/>
            <sz val="9"/>
            <rFont val="宋体"/>
            <charset val="134"/>
          </rPr>
          <t>龙丽娟:</t>
        </r>
        <r>
          <rPr>
            <sz val="9"/>
            <rFont val="宋体"/>
            <charset val="134"/>
          </rPr>
          <t xml:space="preserve">
7/8 2201256 800pcs欣泰c6</t>
        </r>
      </text>
    </comment>
    <comment ref="AI345" authorId="2">
      <text>
        <r>
          <rPr>
            <b/>
            <sz val="9"/>
            <rFont val="宋体"/>
            <charset val="134"/>
          </rPr>
          <t>龙丽娟:</t>
        </r>
        <r>
          <rPr>
            <sz val="9"/>
            <rFont val="宋体"/>
            <charset val="134"/>
          </rPr>
          <t xml:space="preserve">
6/25 上进口商贴纸800pcs</t>
        </r>
      </text>
    </comment>
    <comment ref="AG346" authorId="2">
      <text>
        <r>
          <rPr>
            <b/>
            <sz val="9"/>
            <rFont val="宋体"/>
            <charset val="134"/>
          </rPr>
          <t>龙丽娟:</t>
        </r>
        <r>
          <rPr>
            <sz val="9"/>
            <rFont val="宋体"/>
            <charset val="134"/>
          </rPr>
          <t xml:space="preserve">
7/8 2201254 3600pcs顶均c4</t>
        </r>
      </text>
    </comment>
    <comment ref="AG347" authorId="2">
      <text>
        <r>
          <rPr>
            <b/>
            <sz val="9"/>
            <rFont val="宋体"/>
            <charset val="134"/>
          </rPr>
          <t>龙丽娟:</t>
        </r>
        <r>
          <rPr>
            <sz val="9"/>
            <rFont val="宋体"/>
            <charset val="134"/>
          </rPr>
          <t xml:space="preserve">
7/13 1001925 1008pcs钜顺B3</t>
        </r>
      </text>
    </comment>
    <comment ref="AI347" authorId="2">
      <text>
        <r>
          <rPr>
            <b/>
            <sz val="9"/>
            <rFont val="宋体"/>
            <charset val="134"/>
          </rPr>
          <t>龙丽娟:</t>
        </r>
        <r>
          <rPr>
            <sz val="9"/>
            <rFont val="宋体"/>
            <charset val="134"/>
          </rPr>
          <t xml:space="preserve">
6/9上UPC/进口商贴纸各1008pcs</t>
        </r>
      </text>
    </comment>
    <comment ref="AG348" authorId="2">
      <text>
        <r>
          <rPr>
            <b/>
            <sz val="9"/>
            <rFont val="宋体"/>
            <charset val="134"/>
          </rPr>
          <t>龙丽娟:</t>
        </r>
        <r>
          <rPr>
            <sz val="9"/>
            <rFont val="宋体"/>
            <charset val="134"/>
          </rPr>
          <t xml:space="preserve">
7/14 1001942pcs欣泰d2</t>
        </r>
      </text>
    </comment>
    <comment ref="AG349" authorId="2">
      <text>
        <r>
          <rPr>
            <b/>
            <sz val="9"/>
            <rFont val="宋体"/>
            <charset val="134"/>
          </rPr>
          <t>龙丽娟:</t>
        </r>
        <r>
          <rPr>
            <sz val="9"/>
            <rFont val="宋体"/>
            <charset val="134"/>
          </rPr>
          <t xml:space="preserve">
7/12 2801298 8000pcs欣泰d6</t>
        </r>
      </text>
    </comment>
    <comment ref="AG363" authorId="2">
      <text>
        <r>
          <rPr>
            <b/>
            <sz val="9"/>
            <rFont val="宋体"/>
            <charset val="134"/>
          </rPr>
          <t>龙丽娟:</t>
        </r>
        <r>
          <rPr>
            <sz val="9"/>
            <rFont val="宋体"/>
            <charset val="134"/>
          </rPr>
          <t xml:space="preserve">
7/6 2201220 2208pcs欣泰B2</t>
        </r>
      </text>
    </comment>
    <comment ref="AG364" authorId="2">
      <text>
        <r>
          <rPr>
            <b/>
            <sz val="9"/>
            <rFont val="宋体"/>
            <charset val="134"/>
          </rPr>
          <t>龙丽娟:</t>
        </r>
        <r>
          <rPr>
            <sz val="9"/>
            <rFont val="宋体"/>
            <charset val="134"/>
          </rPr>
          <t xml:space="preserve">
7/9 2201266  496pcs欣泰A5</t>
        </r>
      </text>
    </comment>
    <comment ref="AI364" authorId="2">
      <text>
        <r>
          <rPr>
            <b/>
            <sz val="9"/>
            <rFont val="宋体"/>
            <charset val="134"/>
          </rPr>
          <t>龙丽娟:</t>
        </r>
        <r>
          <rPr>
            <sz val="9"/>
            <rFont val="宋体"/>
            <charset val="134"/>
          </rPr>
          <t xml:space="preserve">
6/22上进口商/UPC贴纸各496pcs</t>
        </r>
      </text>
    </comment>
    <comment ref="AG365" authorId="2">
      <text>
        <r>
          <rPr>
            <b/>
            <sz val="9"/>
            <rFont val="宋体"/>
            <charset val="134"/>
          </rPr>
          <t>龙丽娟:</t>
        </r>
        <r>
          <rPr>
            <sz val="9"/>
            <rFont val="宋体"/>
            <charset val="134"/>
          </rPr>
          <t xml:space="preserve">
7/10 2201295 960pcs 应兴A9</t>
        </r>
      </text>
    </comment>
    <comment ref="AG366" authorId="2">
      <text>
        <r>
          <rPr>
            <b/>
            <sz val="9"/>
            <rFont val="宋体"/>
            <charset val="0"/>
          </rPr>
          <t>龙丽娟:</t>
        </r>
        <r>
          <rPr>
            <sz val="9"/>
            <rFont val="宋体"/>
            <charset val="0"/>
          </rPr>
          <t xml:space="preserve">
2201228 7/6 3008pcs</t>
        </r>
      </text>
    </comment>
    <comment ref="AI367" authorId="2">
      <text>
        <r>
          <rPr>
            <b/>
            <sz val="9"/>
            <rFont val="宋体"/>
            <charset val="134"/>
          </rPr>
          <t>龙丽娟:</t>
        </r>
        <r>
          <rPr>
            <sz val="9"/>
            <rFont val="宋体"/>
            <charset val="134"/>
          </rPr>
          <t xml:space="preserve">
7/6上价格贴纸416pcs上pdq价格贴纸/条码贴纸各174pcs</t>
        </r>
        <r>
          <rPr>
            <b/>
            <sz val="9"/>
            <rFont val="宋体"/>
            <charset val="134"/>
          </rPr>
          <t xml:space="preserve">
龙丽娟:</t>
        </r>
        <r>
          <rPr>
            <sz val="9"/>
            <rFont val="宋体"/>
            <charset val="134"/>
          </rPr>
          <t xml:space="preserve">
5/8 上通用外箱贴纸 61pcs</t>
        </r>
        <r>
          <rPr>
            <b/>
            <sz val="9"/>
            <rFont val="宋体"/>
            <charset val="134"/>
          </rPr>
          <t xml:space="preserve">
龙丽娟:</t>
        </r>
        <r>
          <rPr>
            <sz val="9"/>
            <rFont val="宋体"/>
            <charset val="134"/>
          </rPr>
          <t xml:space="preserve">
5/8 上NJ客供外箱贴纸 61pcs</t>
        </r>
      </text>
    </comment>
    <comment ref="AI368" authorId="2">
      <text>
        <r>
          <rPr>
            <b/>
            <sz val="9"/>
            <rFont val="宋体"/>
            <charset val="134"/>
          </rPr>
          <t>龙丽娟:</t>
        </r>
        <r>
          <rPr>
            <sz val="9"/>
            <rFont val="宋体"/>
            <charset val="134"/>
          </rPr>
          <t xml:space="preserve">
7/6上价格贴纸416pcs上pdq价格贴纸/条码贴纸各174pcs</t>
        </r>
        <r>
          <rPr>
            <b/>
            <sz val="9"/>
            <rFont val="宋体"/>
            <charset val="134"/>
          </rPr>
          <t xml:space="preserve">
龙丽娟:</t>
        </r>
        <r>
          <rPr>
            <sz val="9"/>
            <rFont val="宋体"/>
            <charset val="134"/>
          </rPr>
          <t xml:space="preserve">
5/8 上客供通用贴纸 26pcs</t>
        </r>
        <r>
          <rPr>
            <b/>
            <sz val="9"/>
            <rFont val="宋体"/>
            <charset val="134"/>
          </rPr>
          <t xml:space="preserve">
龙丽娟:</t>
        </r>
        <r>
          <rPr>
            <sz val="9"/>
            <rFont val="宋体"/>
            <charset val="134"/>
          </rPr>
          <t xml:space="preserve">
5/8 上NV客供外箱贴纸 26pcs</t>
        </r>
      </text>
    </comment>
    <comment ref="AG369" authorId="2">
      <text>
        <r>
          <rPr>
            <b/>
            <sz val="9"/>
            <rFont val="宋体"/>
            <charset val="134"/>
          </rPr>
          <t>龙丽娟:</t>
        </r>
        <r>
          <rPr>
            <sz val="9"/>
            <rFont val="宋体"/>
            <charset val="134"/>
          </rPr>
          <t xml:space="preserve">
7/14 1001943 480pcs欣泰c6</t>
        </r>
      </text>
    </comment>
    <comment ref="AG373" authorId="2">
      <text>
        <r>
          <rPr>
            <b/>
            <sz val="9"/>
            <rFont val="宋体"/>
            <charset val="134"/>
          </rPr>
          <t>龙丽娟:</t>
        </r>
        <r>
          <rPr>
            <sz val="9"/>
            <rFont val="宋体"/>
            <charset val="134"/>
          </rPr>
          <t xml:space="preserve">
7/11 2801277 9000pcs欣泰F4</t>
        </r>
      </text>
    </comment>
    <comment ref="AI373" authorId="2">
      <text>
        <r>
          <rPr>
            <b/>
            <sz val="9"/>
            <rFont val="宋体"/>
            <charset val="134"/>
          </rPr>
          <t>龙丽娟:</t>
        </r>
        <r>
          <rPr>
            <sz val="9"/>
            <rFont val="宋体"/>
            <charset val="134"/>
          </rPr>
          <t xml:space="preserve">
7/3上UPC贴纸9000pcs</t>
        </r>
      </text>
    </comment>
    <comment ref="AG374" authorId="2">
      <text>
        <r>
          <rPr>
            <b/>
            <sz val="9"/>
            <rFont val="宋体"/>
            <charset val="134"/>
          </rPr>
          <t>龙丽娟:</t>
        </r>
        <r>
          <rPr>
            <sz val="9"/>
            <rFont val="宋体"/>
            <charset val="134"/>
          </rPr>
          <t xml:space="preserve">
7/14 1001942 8064pcs欣泰d4</t>
        </r>
      </text>
    </comment>
    <comment ref="AI374" authorId="2">
      <text>
        <r>
          <rPr>
            <b/>
            <sz val="9"/>
            <rFont val="宋体"/>
            <charset val="134"/>
          </rPr>
          <t>龙丽娟:</t>
        </r>
        <r>
          <rPr>
            <sz val="9"/>
            <rFont val="宋体"/>
            <charset val="134"/>
          </rPr>
          <t xml:space="preserve">
7/4 上环保标贴纸1008pcs</t>
        </r>
        <r>
          <rPr>
            <b/>
            <sz val="9"/>
            <rFont val="宋体"/>
            <charset val="134"/>
          </rPr>
          <t xml:space="preserve">
龙丽娟:</t>
        </r>
        <r>
          <rPr>
            <sz val="9"/>
            <rFont val="宋体"/>
            <charset val="134"/>
          </rPr>
          <t xml:space="preserve">
7/3上包装进口商/产品进口商/UPC/保证书贴纸各8064pcs</t>
        </r>
      </text>
    </comment>
    <comment ref="AI375" authorId="2">
      <text>
        <r>
          <rPr>
            <b/>
            <sz val="9"/>
            <rFont val="宋体"/>
            <charset val="134"/>
          </rPr>
          <t>龙丽娟:</t>
        </r>
        <r>
          <rPr>
            <sz val="9"/>
            <rFont val="宋体"/>
            <charset val="134"/>
          </rPr>
          <t xml:space="preserve">
6/16上客供RFID贴纸7680pcs</t>
        </r>
        <r>
          <rPr>
            <b/>
            <sz val="9"/>
            <rFont val="宋体"/>
            <charset val="134"/>
          </rPr>
          <t xml:space="preserve">
龙丽娟:</t>
        </r>
        <r>
          <rPr>
            <sz val="9"/>
            <rFont val="宋体"/>
            <charset val="134"/>
          </rPr>
          <t xml:space="preserve">
6/24 上艾利贴纸 15pcs</t>
        </r>
        <r>
          <rPr>
            <b/>
            <sz val="9"/>
            <rFont val="宋体"/>
            <charset val="134"/>
          </rPr>
          <t xml:space="preserve">
龙丽娟:</t>
        </r>
        <r>
          <rPr>
            <sz val="9"/>
            <rFont val="宋体"/>
            <charset val="134"/>
          </rPr>
          <t xml:space="preserve">
6/26 上锂电池贴纸 2000+17200pcs 
207763/208482/208497/211875/211883共用</t>
        </r>
      </text>
    </comment>
    <comment ref="AG376" authorId="2">
      <text>
        <r>
          <rPr>
            <b/>
            <sz val="9"/>
            <rFont val="宋体"/>
            <charset val="134"/>
          </rPr>
          <t>龙丽娟:</t>
        </r>
        <r>
          <rPr>
            <sz val="9"/>
            <rFont val="宋体"/>
            <charset val="134"/>
          </rPr>
          <t xml:space="preserve">
1016764 8/5 8704pcs</t>
        </r>
      </text>
    </comment>
    <comment ref="AI376" authorId="2">
      <text>
        <r>
          <rPr>
            <b/>
            <sz val="9"/>
            <rFont val="宋体"/>
            <charset val="134"/>
          </rPr>
          <t>龙丽娟:</t>
        </r>
        <r>
          <rPr>
            <sz val="9"/>
            <rFont val="宋体"/>
            <charset val="134"/>
          </rPr>
          <t xml:space="preserve">
6/16上客供RFID贴纸8704pcs</t>
        </r>
        <r>
          <rPr>
            <b/>
            <sz val="9"/>
            <rFont val="宋体"/>
            <charset val="134"/>
          </rPr>
          <t xml:space="preserve">
龙丽娟:</t>
        </r>
        <r>
          <rPr>
            <sz val="9"/>
            <rFont val="宋体"/>
            <charset val="134"/>
          </rPr>
          <t xml:space="preserve">
6/24 上艾利贴纸 17pcs</t>
        </r>
        <r>
          <rPr>
            <b/>
            <sz val="9"/>
            <rFont val="宋体"/>
            <charset val="134"/>
          </rPr>
          <t xml:space="preserve">
龙丽娟:</t>
        </r>
        <r>
          <rPr>
            <sz val="9"/>
            <rFont val="宋体"/>
            <charset val="134"/>
          </rPr>
          <t xml:space="preserve">
6/26 上锂电池贴纸 2000+17200pcs 
207763/208482/208497/211875/211883共用</t>
        </r>
      </text>
    </comment>
    <comment ref="AI377" authorId="2">
      <text>
        <r>
          <rPr>
            <b/>
            <sz val="9"/>
            <rFont val="宋体"/>
            <charset val="134"/>
          </rPr>
          <t>龙丽娟:</t>
        </r>
        <r>
          <rPr>
            <sz val="9"/>
            <rFont val="宋体"/>
            <charset val="134"/>
          </rPr>
          <t xml:space="preserve">
6/16上客供RFID贴纸6656pcs</t>
        </r>
        <r>
          <rPr>
            <b/>
            <sz val="9"/>
            <rFont val="宋体"/>
            <charset val="134"/>
          </rPr>
          <t xml:space="preserve">
龙丽娟:</t>
        </r>
        <r>
          <rPr>
            <sz val="9"/>
            <rFont val="宋体"/>
            <charset val="134"/>
          </rPr>
          <t xml:space="preserve">
6/24 上艾利贴纸 13pcs</t>
        </r>
        <r>
          <rPr>
            <b/>
            <sz val="9"/>
            <rFont val="宋体"/>
            <charset val="134"/>
          </rPr>
          <t xml:space="preserve">
龙丽娟:</t>
        </r>
        <r>
          <rPr>
            <sz val="9"/>
            <rFont val="宋体"/>
            <charset val="134"/>
          </rPr>
          <t xml:space="preserve">
6/26 上锂电池贴纸 2000+17200pcs 
207763/208482/208497/211875/211883共用</t>
        </r>
      </text>
    </comment>
    <comment ref="AG378" authorId="2">
      <text>
        <r>
          <rPr>
            <b/>
            <sz val="9"/>
            <rFont val="宋体"/>
            <charset val="134"/>
          </rPr>
          <t>龙丽娟:</t>
        </r>
        <r>
          <rPr>
            <sz val="9"/>
            <rFont val="宋体"/>
            <charset val="134"/>
          </rPr>
          <t xml:space="preserve">
0001890 7/16 240pcs</t>
        </r>
      </text>
    </comment>
    <comment ref="AI378" authorId="2">
      <text>
        <r>
          <rPr>
            <b/>
            <sz val="9"/>
            <rFont val="宋体"/>
            <charset val="134"/>
          </rPr>
          <t>龙丽娟:</t>
        </r>
        <r>
          <rPr>
            <sz val="9"/>
            <rFont val="宋体"/>
            <charset val="134"/>
          </rPr>
          <t xml:space="preserve">
6/22 上3 张HK 客供警语贴纸 252pcs</t>
        </r>
      </text>
    </comment>
    <comment ref="AG379" authorId="2">
      <text>
        <r>
          <rPr>
            <b/>
            <sz val="9"/>
            <rFont val="宋体"/>
            <charset val="134"/>
          </rPr>
          <t>龙丽娟:</t>
        </r>
        <r>
          <rPr>
            <sz val="9"/>
            <rFont val="宋体"/>
            <charset val="134"/>
          </rPr>
          <t xml:space="preserve">
1016750 7/20 704pcs</t>
        </r>
      </text>
    </comment>
    <comment ref="AI379" authorId="2">
      <text>
        <r>
          <rPr>
            <b/>
            <sz val="9"/>
            <rFont val="宋体"/>
            <charset val="134"/>
          </rPr>
          <t>龙丽娟:</t>
        </r>
        <r>
          <rPr>
            <sz val="9"/>
            <rFont val="宋体"/>
            <charset val="134"/>
          </rPr>
          <t xml:space="preserve">
6/30 上进口商贴纸 704pcs</t>
        </r>
      </text>
    </comment>
    <comment ref="AI380" authorId="2">
      <text>
        <r>
          <rPr>
            <b/>
            <sz val="9"/>
            <rFont val="宋体"/>
            <charset val="134"/>
          </rPr>
          <t>龙丽娟:</t>
        </r>
        <r>
          <rPr>
            <sz val="9"/>
            <rFont val="宋体"/>
            <charset val="134"/>
          </rPr>
          <t xml:space="preserve">
7/7上进口商/upc贴纸各12528pcs
206033/208984共用</t>
        </r>
        <r>
          <rPr>
            <b/>
            <sz val="9"/>
            <rFont val="宋体"/>
            <charset val="134"/>
          </rPr>
          <t xml:space="preserve">
龙丽娟:</t>
        </r>
        <r>
          <rPr>
            <sz val="9"/>
            <rFont val="宋体"/>
            <charset val="134"/>
          </rPr>
          <t xml:space="preserve">
7/11补订进口商贴纸4500pcs</t>
        </r>
      </text>
    </comment>
    <comment ref="AG386" authorId="2">
      <text>
        <r>
          <rPr>
            <b/>
            <sz val="9"/>
            <rFont val="宋体"/>
            <charset val="134"/>
          </rPr>
          <t>龙丽娟:</t>
        </r>
        <r>
          <rPr>
            <sz val="9"/>
            <rFont val="宋体"/>
            <charset val="134"/>
          </rPr>
          <t xml:space="preserve">
7/11 2801284 2704pcs欣泰e7</t>
        </r>
      </text>
    </comment>
    <comment ref="AI386" authorId="2">
      <text>
        <r>
          <rPr>
            <b/>
            <sz val="9"/>
            <rFont val="宋体"/>
            <charset val="134"/>
          </rPr>
          <t>龙丽娟:</t>
        </r>
        <r>
          <rPr>
            <sz val="9"/>
            <rFont val="宋体"/>
            <charset val="134"/>
          </rPr>
          <t xml:space="preserve">
6/29上sscc外箱贴纸177pcs</t>
        </r>
        <r>
          <rPr>
            <b/>
            <sz val="9"/>
            <rFont val="宋体"/>
            <charset val="134"/>
          </rPr>
          <t xml:space="preserve">
龙丽娟:</t>
        </r>
        <r>
          <rPr>
            <sz val="9"/>
            <rFont val="宋体"/>
            <charset val="134"/>
          </rPr>
          <t xml:space="preserve">
7/9收到亚马逊外箱贴纸169pcs</t>
        </r>
      </text>
    </comment>
    <comment ref="AG387" authorId="2">
      <text>
        <r>
          <rPr>
            <b/>
            <sz val="9"/>
            <rFont val="宋体"/>
            <charset val="134"/>
          </rPr>
          <t>龙丽娟:</t>
        </r>
        <r>
          <rPr>
            <sz val="9"/>
            <rFont val="宋体"/>
            <charset val="134"/>
          </rPr>
          <t xml:space="preserve">
7/11 2801284 1056pcs欣泰A5</t>
        </r>
      </text>
    </comment>
    <comment ref="AI387" authorId="2">
      <text>
        <r>
          <rPr>
            <b/>
            <sz val="9"/>
            <rFont val="宋体"/>
            <charset val="134"/>
          </rPr>
          <t>龙丽娟:</t>
        </r>
        <r>
          <rPr>
            <sz val="9"/>
            <rFont val="宋体"/>
            <charset val="134"/>
          </rPr>
          <t xml:space="preserve">
7/9收到亚马逊外箱贴纸66pcs</t>
        </r>
      </text>
    </comment>
    <comment ref="AG388" authorId="2">
      <text>
        <r>
          <rPr>
            <b/>
            <sz val="9"/>
            <rFont val="宋体"/>
            <charset val="134"/>
          </rPr>
          <t>龙丽娟:</t>
        </r>
        <r>
          <rPr>
            <sz val="9"/>
            <rFont val="宋体"/>
            <charset val="134"/>
          </rPr>
          <t xml:space="preserve">
7/11 2801284 928pcs欣泰d6</t>
        </r>
      </text>
    </comment>
    <comment ref="AI388" authorId="2">
      <text>
        <r>
          <rPr>
            <b/>
            <sz val="9"/>
            <rFont val="宋体"/>
            <charset val="134"/>
          </rPr>
          <t>龙丽娟:</t>
        </r>
        <r>
          <rPr>
            <sz val="9"/>
            <rFont val="宋体"/>
            <charset val="134"/>
          </rPr>
          <t xml:space="preserve">
7/9收到亚马逊外箱贴纸58pcs</t>
        </r>
      </text>
    </comment>
    <comment ref="AG389" authorId="2">
      <text>
        <r>
          <rPr>
            <b/>
            <sz val="9"/>
            <rFont val="宋体"/>
            <charset val="134"/>
          </rPr>
          <t>龙丽娟:</t>
        </r>
        <r>
          <rPr>
            <sz val="9"/>
            <rFont val="宋体"/>
            <charset val="134"/>
          </rPr>
          <t xml:space="preserve">
1016770 8/11 5192pcs</t>
        </r>
      </text>
    </comment>
    <comment ref="AI389" authorId="2">
      <text>
        <r>
          <rPr>
            <b/>
            <sz val="9"/>
            <rFont val="宋体"/>
            <charset val="134"/>
          </rPr>
          <t>龙丽娟:</t>
        </r>
        <r>
          <rPr>
            <sz val="9"/>
            <rFont val="宋体"/>
            <charset val="134"/>
          </rPr>
          <t xml:space="preserve">
7/1 上客供外箱贴纸 656pcs</t>
        </r>
      </text>
    </comment>
    <comment ref="AG390" authorId="2">
      <text>
        <r>
          <rPr>
            <b/>
            <sz val="9"/>
            <rFont val="宋体"/>
            <charset val="134"/>
          </rPr>
          <t>龙丽娟:</t>
        </r>
        <r>
          <rPr>
            <sz val="9"/>
            <rFont val="宋体"/>
            <charset val="134"/>
          </rPr>
          <t xml:space="preserve">
7/20 3003160 1328pcs钜顺负二楼</t>
        </r>
      </text>
    </comment>
    <comment ref="AI390" authorId="2">
      <text>
        <r>
          <rPr>
            <b/>
            <sz val="9"/>
            <rFont val="宋体"/>
            <charset val="134"/>
          </rPr>
          <t>龙丽娟:</t>
        </r>
        <r>
          <rPr>
            <sz val="9"/>
            <rFont val="宋体"/>
            <charset val="134"/>
          </rPr>
          <t xml:space="preserve">
7/9上upc贴纸1328pcs</t>
        </r>
      </text>
    </comment>
    <comment ref="AG392" authorId="2">
      <text>
        <r>
          <rPr>
            <b/>
            <sz val="9"/>
            <rFont val="宋体"/>
            <charset val="134"/>
          </rPr>
          <t>龙丽娟:</t>
        </r>
        <r>
          <rPr>
            <sz val="9"/>
            <rFont val="宋体"/>
            <charset val="134"/>
          </rPr>
          <t xml:space="preserve">
1016754 7/27 640pcs</t>
        </r>
      </text>
    </comment>
    <comment ref="AG393" authorId="2">
      <text>
        <r>
          <rPr>
            <b/>
            <sz val="9"/>
            <rFont val="宋体"/>
            <charset val="134"/>
          </rPr>
          <t>龙丽娟:</t>
        </r>
        <r>
          <rPr>
            <sz val="9"/>
            <rFont val="宋体"/>
            <charset val="134"/>
          </rPr>
          <t xml:space="preserve">
1016754 7/27 1360pcs</t>
        </r>
      </text>
    </comment>
    <comment ref="AI394" authorId="2">
      <text>
        <r>
          <rPr>
            <b/>
            <sz val="9"/>
            <rFont val="宋体"/>
            <charset val="134"/>
          </rPr>
          <t>龙丽娟:</t>
        </r>
        <r>
          <rPr>
            <sz val="9"/>
            <rFont val="宋体"/>
            <charset val="134"/>
          </rPr>
          <t xml:space="preserve">
7/14 已跟河源确认收到外箱贴纸 2045pcs</t>
        </r>
        <r>
          <rPr>
            <b/>
            <sz val="9"/>
            <rFont val="宋体"/>
            <charset val="134"/>
          </rPr>
          <t xml:space="preserve">
龙丽娟:</t>
        </r>
        <r>
          <rPr>
            <sz val="9"/>
            <rFont val="宋体"/>
            <charset val="134"/>
          </rPr>
          <t xml:space="preserve">
7/15上客供亚马逊外箱贴纸2045pcs</t>
        </r>
      </text>
    </comment>
    <comment ref="AI395" authorId="0">
      <text>
        <r>
          <rPr>
            <sz val="9"/>
            <rFont val="宋体"/>
            <charset val="134"/>
          </rPr>
          <t>Administrator:
5/14上客供RFID贴纸20736pcs</t>
        </r>
        <r>
          <rPr>
            <b/>
            <sz val="9"/>
            <rFont val="宋体"/>
            <charset val="134"/>
          </rPr>
          <t xml:space="preserve">
龙丽娟:</t>
        </r>
        <r>
          <rPr>
            <sz val="9"/>
            <rFont val="宋体"/>
            <charset val="134"/>
          </rPr>
          <t xml:space="preserve">
7/18 上客供RFID贴纸20736pcs</t>
        </r>
      </text>
    </comment>
    <comment ref="AI396" authorId="0">
      <text>
        <r>
          <rPr>
            <sz val="9"/>
            <rFont val="宋体"/>
            <charset val="134"/>
          </rPr>
          <t>Administrator:
5/14上客供RFID贴纸17216pcs</t>
        </r>
        <r>
          <rPr>
            <b/>
            <sz val="9"/>
            <rFont val="宋体"/>
            <charset val="134"/>
          </rPr>
          <t xml:space="preserve">
龙丽娟:</t>
        </r>
        <r>
          <rPr>
            <sz val="9"/>
            <rFont val="宋体"/>
            <charset val="134"/>
          </rPr>
          <t xml:space="preserve">
7/17 客供RFID贴纸17216pcs</t>
        </r>
      </text>
    </comment>
    <comment ref="AI398" authorId="2">
      <text>
        <r>
          <rPr>
            <b/>
            <sz val="9"/>
            <rFont val="宋体"/>
            <charset val="134"/>
          </rPr>
          <t>龙丽娟:</t>
        </r>
        <r>
          <rPr>
            <sz val="9"/>
            <rFont val="宋体"/>
            <charset val="134"/>
          </rPr>
          <t xml:space="preserve">
7/9上款号条码贴纸/警语贴纸/地址贴纸各800</t>
        </r>
      </text>
    </comment>
    <comment ref="AI400" authorId="2">
      <text>
        <r>
          <rPr>
            <b/>
            <sz val="9"/>
            <rFont val="宋体"/>
            <charset val="134"/>
          </rPr>
          <t>龙丽娟:</t>
        </r>
        <r>
          <rPr>
            <sz val="9"/>
            <rFont val="宋体"/>
            <charset val="134"/>
          </rPr>
          <t xml:space="preserve">
7/14上多语警语贴纸3000pcs</t>
        </r>
      </text>
    </comment>
    <comment ref="AG401" authorId="2">
      <text>
        <r>
          <rPr>
            <b/>
            <sz val="9"/>
            <rFont val="宋体"/>
            <charset val="134"/>
          </rPr>
          <t>龙丽娟:</t>
        </r>
        <r>
          <rPr>
            <sz val="9"/>
            <rFont val="宋体"/>
            <charset val="134"/>
          </rPr>
          <t xml:space="preserve">
1016750 7/20 2000pcs</t>
        </r>
      </text>
    </comment>
    <comment ref="AI401" authorId="2">
      <text>
        <r>
          <rPr>
            <b/>
            <sz val="9"/>
            <rFont val="宋体"/>
            <charset val="134"/>
          </rPr>
          <t>龙丽娟:</t>
        </r>
        <r>
          <rPr>
            <sz val="9"/>
            <rFont val="宋体"/>
            <charset val="134"/>
          </rPr>
          <t xml:space="preserve">
7/9上客人通用进口商贴纸2000pcs</t>
        </r>
      </text>
    </comment>
    <comment ref="AI402" authorId="0">
      <text>
        <r>
          <rPr>
            <sz val="9"/>
            <rFont val="宋体"/>
            <charset val="134"/>
          </rPr>
          <t>Administrator:
5/14上客供RFID贴纸26112pcs</t>
        </r>
        <r>
          <rPr>
            <b/>
            <sz val="9"/>
            <rFont val="宋体"/>
            <charset val="134"/>
          </rPr>
          <t xml:space="preserve">
龙丽娟:</t>
        </r>
        <r>
          <rPr>
            <sz val="9"/>
            <rFont val="宋体"/>
            <charset val="134"/>
          </rPr>
          <t xml:space="preserve">
7/17 客供RFID贴纸26112pcs</t>
        </r>
      </text>
    </comment>
    <comment ref="AI403" authorId="2">
      <text>
        <r>
          <rPr>
            <b/>
            <sz val="9"/>
            <rFont val="宋体"/>
            <charset val="134"/>
          </rPr>
          <t>龙丽娟:</t>
        </r>
        <r>
          <rPr>
            <sz val="9"/>
            <rFont val="宋体"/>
            <charset val="134"/>
          </rPr>
          <t xml:space="preserve">
7/15上UPC贴纸3200pcs</t>
        </r>
      </text>
    </comment>
    <comment ref="AG405" authorId="2">
      <text>
        <r>
          <rPr>
            <b/>
            <sz val="9"/>
            <rFont val="宋体"/>
            <charset val="134"/>
          </rPr>
          <t>龙丽娟:</t>
        </r>
        <r>
          <rPr>
            <sz val="9"/>
            <rFont val="宋体"/>
            <charset val="134"/>
          </rPr>
          <t xml:space="preserve">
7/10 2201276 6960pcs 应兴A6</t>
        </r>
      </text>
    </comment>
    <comment ref="AI405" authorId="2">
      <text>
        <r>
          <rPr>
            <b/>
            <sz val="9"/>
            <rFont val="宋体"/>
            <charset val="134"/>
          </rPr>
          <t>龙丽娟:</t>
        </r>
        <r>
          <rPr>
            <sz val="9"/>
            <rFont val="宋体"/>
            <charset val="134"/>
          </rPr>
          <t xml:space="preserve">
6/9上德语警告语贴纸6960pcs</t>
        </r>
      </text>
    </comment>
    <comment ref="AG406" authorId="2">
      <text>
        <r>
          <rPr>
            <b/>
            <sz val="9"/>
            <rFont val="宋体"/>
            <charset val="134"/>
          </rPr>
          <t>龙丽娟:</t>
        </r>
        <r>
          <rPr>
            <sz val="9"/>
            <rFont val="宋体"/>
            <charset val="134"/>
          </rPr>
          <t xml:space="preserve">
1016757 7/29 2400pcs</t>
        </r>
      </text>
    </comment>
    <comment ref="AI407" authorId="2">
      <text>
        <r>
          <rPr>
            <b/>
            <sz val="9"/>
            <rFont val="宋体"/>
            <charset val="134"/>
          </rPr>
          <t>龙丽娟:</t>
        </r>
        <r>
          <rPr>
            <sz val="9"/>
            <rFont val="宋体"/>
            <charset val="134"/>
          </rPr>
          <t xml:space="preserve">
7/4上锂电池贴纸112pcs</t>
        </r>
      </text>
    </comment>
    <comment ref="AI408" authorId="2">
      <text>
        <r>
          <rPr>
            <b/>
            <sz val="9"/>
            <rFont val="宋体"/>
            <charset val="134"/>
          </rPr>
          <t>龙丽娟:</t>
        </r>
        <r>
          <rPr>
            <sz val="9"/>
            <rFont val="宋体"/>
            <charset val="134"/>
          </rPr>
          <t xml:space="preserve">
7/7上包装贴纸1704pcs</t>
        </r>
      </text>
    </comment>
    <comment ref="AI409" authorId="2">
      <text>
        <r>
          <rPr>
            <b/>
            <sz val="9"/>
            <rFont val="宋体"/>
            <charset val="134"/>
          </rPr>
          <t>龙丽娟:</t>
        </r>
        <r>
          <rPr>
            <sz val="9"/>
            <rFont val="宋体"/>
            <charset val="134"/>
          </rPr>
          <t xml:space="preserve">
7/6上进口商贴纸2000pcs</t>
        </r>
      </text>
    </comment>
    <comment ref="AI410" authorId="2">
      <text>
        <r>
          <rPr>
            <b/>
            <sz val="9"/>
            <rFont val="宋体"/>
            <charset val="134"/>
          </rPr>
          <t>龙丽娟:</t>
        </r>
        <r>
          <rPr>
            <sz val="9"/>
            <rFont val="宋体"/>
            <charset val="134"/>
          </rPr>
          <t xml:space="preserve">
7/7上upc贴纸240pcs</t>
        </r>
      </text>
    </comment>
    <comment ref="AG411" authorId="2">
      <text>
        <r>
          <rPr>
            <b/>
            <sz val="9"/>
            <rFont val="宋体"/>
            <charset val="134"/>
          </rPr>
          <t>龙丽娟:</t>
        </r>
        <r>
          <rPr>
            <sz val="9"/>
            <rFont val="宋体"/>
            <charset val="134"/>
          </rPr>
          <t xml:space="preserve">
1016759 7/30 1024pcs</t>
        </r>
      </text>
    </comment>
    <comment ref="AI411" authorId="2">
      <text>
        <r>
          <rPr>
            <b/>
            <sz val="9"/>
            <rFont val="宋体"/>
            <charset val="134"/>
          </rPr>
          <t>龙丽娟:</t>
        </r>
        <r>
          <rPr>
            <sz val="9"/>
            <rFont val="宋体"/>
            <charset val="134"/>
          </rPr>
          <t xml:space="preserve">
7/6上客供防盗贴纸1024pcs</t>
        </r>
      </text>
    </comment>
    <comment ref="AG414" authorId="2">
      <text>
        <r>
          <rPr>
            <b/>
            <sz val="9"/>
            <rFont val="宋体"/>
            <charset val="134"/>
          </rPr>
          <t>龙丽娟:</t>
        </r>
        <r>
          <rPr>
            <sz val="9"/>
            <rFont val="宋体"/>
            <charset val="134"/>
          </rPr>
          <t xml:space="preserve">
1016752 7/23 1400pcs</t>
        </r>
      </text>
    </comment>
    <comment ref="AI414" authorId="2">
      <text>
        <r>
          <rPr>
            <b/>
            <sz val="9"/>
            <rFont val="宋体"/>
            <charset val="134"/>
          </rPr>
          <t>龙丽娟:</t>
        </r>
        <r>
          <rPr>
            <sz val="9"/>
            <rFont val="宋体"/>
            <charset val="134"/>
          </rPr>
          <t xml:space="preserve">
7/6上kmart外箱贴纸175pcs</t>
        </r>
        <r>
          <rPr>
            <b/>
            <sz val="9"/>
            <rFont val="宋体"/>
            <charset val="134"/>
          </rPr>
          <t xml:space="preserve">
龙丽娟:</t>
        </r>
        <r>
          <rPr>
            <sz val="9"/>
            <rFont val="宋体"/>
            <charset val="134"/>
          </rPr>
          <t xml:space="preserve">
6/16 上白色防盗贴纸 1400pcs</t>
        </r>
      </text>
    </comment>
    <comment ref="AG415" authorId="2">
      <text>
        <r>
          <rPr>
            <b/>
            <sz val="9"/>
            <rFont val="宋体"/>
            <charset val="134"/>
          </rPr>
          <t>龙丽娟:</t>
        </r>
        <r>
          <rPr>
            <sz val="9"/>
            <rFont val="宋体"/>
            <charset val="134"/>
          </rPr>
          <t xml:space="preserve">
1016753 7/22 104pcs</t>
        </r>
      </text>
    </comment>
    <comment ref="AI415" authorId="2">
      <text>
        <r>
          <rPr>
            <b/>
            <sz val="9"/>
            <rFont val="宋体"/>
            <charset val="134"/>
          </rPr>
          <t>龙丽娟:</t>
        </r>
        <r>
          <rPr>
            <sz val="9"/>
            <rFont val="宋体"/>
            <charset val="134"/>
          </rPr>
          <t xml:space="preserve">
7/6上Kmart外箱贴纸13pcs</t>
        </r>
        <r>
          <rPr>
            <b/>
            <sz val="9"/>
            <rFont val="宋体"/>
            <charset val="134"/>
          </rPr>
          <t xml:space="preserve">
龙丽娟:</t>
        </r>
        <r>
          <rPr>
            <sz val="9"/>
            <rFont val="宋体"/>
            <charset val="134"/>
          </rPr>
          <t xml:space="preserve">
6/16 上白色防盗贴纸 104pcs</t>
        </r>
      </text>
    </comment>
    <comment ref="AI416" authorId="2">
      <text>
        <r>
          <rPr>
            <b/>
            <sz val="9"/>
            <rFont val="宋体"/>
            <charset val="134"/>
          </rPr>
          <t>龙丽娟:</t>
        </r>
        <r>
          <rPr>
            <sz val="9"/>
            <rFont val="宋体"/>
            <charset val="134"/>
          </rPr>
          <t xml:space="preserve">
7/7上进口商/upc贴纸各12528pcs
207499/208984共用</t>
        </r>
      </text>
    </comment>
    <comment ref="AI418" authorId="2">
      <text>
        <r>
          <rPr>
            <b/>
            <sz val="9"/>
            <rFont val="宋体"/>
            <charset val="134"/>
          </rPr>
          <t>龙丽娟:</t>
        </r>
        <r>
          <rPr>
            <sz val="9"/>
            <rFont val="宋体"/>
            <charset val="134"/>
          </rPr>
          <t xml:space="preserve">
6/16上客供RFID贴纸4608pcs</t>
        </r>
        <r>
          <rPr>
            <b/>
            <sz val="9"/>
            <rFont val="宋体"/>
            <charset val="134"/>
          </rPr>
          <t xml:space="preserve">
龙丽娟:</t>
        </r>
        <r>
          <rPr>
            <sz val="9"/>
            <rFont val="宋体"/>
            <charset val="134"/>
          </rPr>
          <t xml:space="preserve">
6/26 上锂电池贴纸 2000+17200pcs 
207763/208482/208497/211875/211883共用</t>
        </r>
        <r>
          <rPr>
            <b/>
            <sz val="9"/>
            <rFont val="宋体"/>
            <charset val="134"/>
          </rPr>
          <t xml:space="preserve">
龙丽娟:</t>
        </r>
        <r>
          <rPr>
            <sz val="9"/>
            <rFont val="宋体"/>
            <charset val="134"/>
          </rPr>
          <t xml:space="preserve">
6/30 上艾利贴纸  9pcs</t>
        </r>
      </text>
    </comment>
    <comment ref="AI419" authorId="2">
      <text>
        <r>
          <rPr>
            <b/>
            <sz val="9"/>
            <rFont val="宋体"/>
            <charset val="134"/>
          </rPr>
          <t>龙丽娟:</t>
        </r>
        <r>
          <rPr>
            <sz val="9"/>
            <rFont val="宋体"/>
            <charset val="134"/>
          </rPr>
          <t xml:space="preserve">
6/23上upc贴纸16944</t>
        </r>
      </text>
    </comment>
    <comment ref="AG422" authorId="2">
      <text>
        <r>
          <rPr>
            <b/>
            <sz val="9"/>
            <rFont val="宋体"/>
            <charset val="0"/>
          </rPr>
          <t>龙丽娟:</t>
        </r>
        <r>
          <rPr>
            <sz val="9"/>
            <rFont val="宋体"/>
            <charset val="0"/>
          </rPr>
          <t xml:space="preserve">
3003180 7/23 224pcs</t>
        </r>
      </text>
    </comment>
    <comment ref="AG443" authorId="2">
      <text>
        <r>
          <rPr>
            <b/>
            <sz val="9"/>
            <rFont val="宋体"/>
            <charset val="134"/>
          </rPr>
          <t>龙丽娟:</t>
        </r>
        <r>
          <rPr>
            <sz val="9"/>
            <rFont val="宋体"/>
            <charset val="134"/>
          </rPr>
          <t xml:space="preserve">
1016757 7/29 7376pcs</t>
        </r>
      </text>
    </comment>
    <comment ref="AI443" authorId="2">
      <text>
        <r>
          <rPr>
            <b/>
            <sz val="9"/>
            <rFont val="宋体"/>
            <charset val="134"/>
          </rPr>
          <t>龙丽娟:</t>
        </r>
        <r>
          <rPr>
            <sz val="9"/>
            <rFont val="宋体"/>
            <charset val="134"/>
          </rPr>
          <t xml:space="preserve">
7/6上客供外箱条码贴纸932pcs</t>
        </r>
      </text>
    </comment>
    <comment ref="AI444" authorId="2">
      <text>
        <r>
          <rPr>
            <b/>
            <sz val="9"/>
            <rFont val="宋体"/>
            <charset val="134"/>
          </rPr>
          <t>龙丽娟:</t>
        </r>
        <r>
          <rPr>
            <sz val="9"/>
            <rFont val="宋体"/>
            <charset val="134"/>
          </rPr>
          <t xml:space="preserve">
7/11上进口商/UPC贴纸各880pcs</t>
        </r>
      </text>
    </comment>
    <comment ref="AI445" authorId="2">
      <text>
        <r>
          <rPr>
            <b/>
            <sz val="9"/>
            <rFont val="宋体"/>
            <charset val="134"/>
          </rPr>
          <t>龙丽娟:</t>
        </r>
        <r>
          <rPr>
            <sz val="9"/>
            <rFont val="宋体"/>
            <charset val="134"/>
          </rPr>
          <t xml:space="preserve">
7/7上进口商/upc贴纸各400pcs</t>
        </r>
      </text>
    </comment>
    <comment ref="AG448" authorId="2">
      <text>
        <r>
          <rPr>
            <b/>
            <sz val="9"/>
            <rFont val="宋体"/>
            <charset val="134"/>
          </rPr>
          <t>龙丽娟:</t>
        </r>
        <r>
          <rPr>
            <sz val="9"/>
            <rFont val="宋体"/>
            <charset val="134"/>
          </rPr>
          <t xml:space="preserve">
7/6 2201228 2880 pcs欣泰c6</t>
        </r>
      </text>
    </comment>
    <comment ref="AG449" authorId="2">
      <text>
        <r>
          <rPr>
            <b/>
            <sz val="9"/>
            <rFont val="宋体"/>
            <charset val="134"/>
          </rPr>
          <t>龙丽娟:</t>
        </r>
        <r>
          <rPr>
            <sz val="9"/>
            <rFont val="宋体"/>
            <charset val="134"/>
          </rPr>
          <t xml:space="preserve">
7/17 1001878 4176pcs顶均d2</t>
        </r>
      </text>
    </comment>
    <comment ref="AI449" authorId="2">
      <text>
        <r>
          <rPr>
            <b/>
            <sz val="9"/>
            <rFont val="宋体"/>
            <charset val="134"/>
          </rPr>
          <t>龙丽娟:</t>
        </r>
        <r>
          <rPr>
            <sz val="9"/>
            <rFont val="宋体"/>
            <charset val="134"/>
          </rPr>
          <t xml:space="preserve">
6/26上UPC贴纸4176pcs</t>
        </r>
      </text>
    </comment>
    <comment ref="AG451" authorId="2">
      <text>
        <r>
          <rPr>
            <b/>
            <sz val="9"/>
            <rFont val="宋体"/>
            <charset val="134"/>
          </rPr>
          <t>龙丽娟:</t>
        </r>
        <r>
          <rPr>
            <sz val="9"/>
            <rFont val="宋体"/>
            <charset val="134"/>
          </rPr>
          <t xml:space="preserve">
7/17 1001897 496pcs顶均c4</t>
        </r>
      </text>
    </comment>
    <comment ref="AI451" authorId="2">
      <text>
        <r>
          <rPr>
            <b/>
            <sz val="9"/>
            <rFont val="宋体"/>
            <charset val="134"/>
          </rPr>
          <t>龙丽娟:</t>
        </r>
        <r>
          <rPr>
            <sz val="9"/>
            <rFont val="宋体"/>
            <charset val="134"/>
          </rPr>
          <t xml:space="preserve">
7/8上upc贴纸688pcs
203228/203233共用</t>
        </r>
      </text>
    </comment>
    <comment ref="AG452" authorId="2">
      <text>
        <r>
          <rPr>
            <b/>
            <sz val="9"/>
            <rFont val="宋体"/>
            <charset val="134"/>
          </rPr>
          <t>龙丽娟:</t>
        </r>
        <r>
          <rPr>
            <sz val="9"/>
            <rFont val="宋体"/>
            <charset val="134"/>
          </rPr>
          <t xml:space="preserve">
7/17 1001897 392pcs顶均c4</t>
        </r>
      </text>
    </comment>
    <comment ref="AI452" authorId="2">
      <text>
        <r>
          <rPr>
            <b/>
            <sz val="9"/>
            <rFont val="宋体"/>
            <charset val="134"/>
          </rPr>
          <t>龙丽娟:</t>
        </r>
        <r>
          <rPr>
            <sz val="9"/>
            <rFont val="宋体"/>
            <charset val="134"/>
          </rPr>
          <t xml:space="preserve">
7/8上upc贴纸688pcs
203228/203233共用</t>
        </r>
      </text>
    </comment>
    <comment ref="AG453" authorId="2">
      <text>
        <r>
          <rPr>
            <b/>
            <sz val="9"/>
            <rFont val="宋体"/>
            <charset val="134"/>
          </rPr>
          <t>龙丽娟:</t>
        </r>
        <r>
          <rPr>
            <sz val="9"/>
            <rFont val="宋体"/>
            <charset val="134"/>
          </rPr>
          <t xml:space="preserve">
0001890 7/16 7056pcs</t>
        </r>
      </text>
    </comment>
    <comment ref="AG454" authorId="2">
      <text>
        <r>
          <rPr>
            <b/>
            <sz val="9"/>
            <rFont val="宋体"/>
            <charset val="134"/>
          </rPr>
          <t>龙丽娟:</t>
        </r>
        <r>
          <rPr>
            <sz val="9"/>
            <rFont val="宋体"/>
            <charset val="134"/>
          </rPr>
          <t xml:space="preserve">
7/17 1001895 8040pcs欣泰F5</t>
        </r>
        <r>
          <rPr>
            <b/>
            <sz val="9"/>
            <rFont val="宋体"/>
            <charset val="134"/>
          </rPr>
          <t xml:space="preserve">
龙丽娟:</t>
        </r>
        <r>
          <rPr>
            <sz val="9"/>
            <rFont val="宋体"/>
            <charset val="134"/>
          </rPr>
          <t xml:space="preserve">
7/17 1001878 960pcs顶均c3</t>
        </r>
      </text>
    </comment>
    <comment ref="AG455" authorId="2">
      <text>
        <r>
          <rPr>
            <b/>
            <sz val="9"/>
            <rFont val="宋体"/>
            <charset val="134"/>
          </rPr>
          <t>龙丽娟:</t>
        </r>
        <r>
          <rPr>
            <sz val="9"/>
            <rFont val="宋体"/>
            <charset val="134"/>
          </rPr>
          <t xml:space="preserve">
7/20 1001721 32pcs补单</t>
        </r>
        <r>
          <rPr>
            <b/>
            <sz val="9"/>
            <rFont val="宋体"/>
            <charset val="134"/>
          </rPr>
          <t xml:space="preserve">
龙丽娟:</t>
        </r>
        <r>
          <rPr>
            <sz val="9"/>
            <rFont val="宋体"/>
            <charset val="134"/>
          </rPr>
          <t xml:space="preserve">
7/17 1001895 10000pcs欣泰F5</t>
        </r>
      </text>
    </comment>
    <comment ref="AI455" authorId="0">
      <text>
        <r>
          <rPr>
            <b/>
            <sz val="12"/>
            <rFont val="宋体"/>
            <charset val="134"/>
          </rPr>
          <t>Administrator:</t>
        </r>
        <r>
          <rPr>
            <sz val="12"/>
            <rFont val="宋体"/>
            <charset val="134"/>
          </rPr>
          <t xml:space="preserve">
5/14 上客供价格贴纸10500pcs</t>
        </r>
      </text>
    </comment>
    <comment ref="AG456" authorId="2">
      <text>
        <r>
          <rPr>
            <b/>
            <sz val="9"/>
            <rFont val="宋体"/>
            <charset val="134"/>
          </rPr>
          <t>龙丽娟:</t>
        </r>
        <r>
          <rPr>
            <sz val="9"/>
            <rFont val="宋体"/>
            <charset val="134"/>
          </rPr>
          <t xml:space="preserve">
7/17 1001878 3200pcs顶均d1</t>
        </r>
      </text>
    </comment>
    <comment ref="AI457" authorId="2">
      <text>
        <r>
          <rPr>
            <b/>
            <sz val="9"/>
            <rFont val="宋体"/>
            <charset val="134"/>
          </rPr>
          <t>龙丽娟:</t>
        </r>
        <r>
          <rPr>
            <sz val="9"/>
            <rFont val="宋体"/>
            <charset val="134"/>
          </rPr>
          <t xml:space="preserve">
7/6上客供外箱条码贴纸656pcs</t>
        </r>
      </text>
    </comment>
    <comment ref="AG459" authorId="2">
      <text>
        <r>
          <rPr>
            <b/>
            <sz val="9"/>
            <rFont val="宋体"/>
            <charset val="134"/>
          </rPr>
          <t>龙丽娟:</t>
        </r>
        <r>
          <rPr>
            <sz val="9"/>
            <rFont val="宋体"/>
            <charset val="134"/>
          </rPr>
          <t xml:space="preserve">
1016761 7/31 1504pcs</t>
        </r>
      </text>
    </comment>
    <comment ref="AI459" authorId="2">
      <text>
        <r>
          <rPr>
            <b/>
            <sz val="9"/>
            <rFont val="宋体"/>
            <charset val="134"/>
          </rPr>
          <t>龙丽娟:</t>
        </r>
        <r>
          <rPr>
            <sz val="9"/>
            <rFont val="宋体"/>
            <charset val="134"/>
          </rPr>
          <t xml:space="preserve">
7/7上进口商贴纸1504pcs</t>
        </r>
      </text>
    </comment>
    <comment ref="AG460" authorId="2">
      <text>
        <r>
          <rPr>
            <b/>
            <sz val="9"/>
            <rFont val="宋体"/>
            <charset val="134"/>
          </rPr>
          <t>龙丽娟:</t>
        </r>
        <r>
          <rPr>
            <sz val="9"/>
            <rFont val="宋体"/>
            <charset val="134"/>
          </rPr>
          <t xml:space="preserve">
1016758 7/30 504pcs</t>
        </r>
      </text>
    </comment>
    <comment ref="AI461" authorId="2">
      <text>
        <r>
          <rPr>
            <b/>
            <sz val="9"/>
            <rFont val="宋体"/>
            <charset val="134"/>
          </rPr>
          <t>龙丽娟:</t>
        </r>
        <r>
          <rPr>
            <sz val="9"/>
            <rFont val="宋体"/>
            <charset val="134"/>
          </rPr>
          <t xml:space="preserve">
7/9上警告语贴纸352pcs</t>
        </r>
      </text>
    </comment>
    <comment ref="AG462" authorId="2">
      <text>
        <r>
          <rPr>
            <b/>
            <sz val="9"/>
            <rFont val="宋体"/>
            <charset val="134"/>
          </rPr>
          <t>龙丽娟:</t>
        </r>
        <r>
          <rPr>
            <sz val="9"/>
            <rFont val="宋体"/>
            <charset val="134"/>
          </rPr>
          <t xml:space="preserve">
1016754 7/27 768pcs</t>
        </r>
      </text>
    </comment>
    <comment ref="AG463" authorId="2">
      <text>
        <r>
          <rPr>
            <b/>
            <sz val="9"/>
            <rFont val="宋体"/>
            <charset val="134"/>
          </rPr>
          <t>龙丽娟:</t>
        </r>
        <r>
          <rPr>
            <sz val="9"/>
            <rFont val="宋体"/>
            <charset val="134"/>
          </rPr>
          <t xml:space="preserve">
1016754 7/27 680pcs</t>
        </r>
      </text>
    </comment>
    <comment ref="AG464" authorId="2">
      <text>
        <r>
          <rPr>
            <b/>
            <sz val="9"/>
            <rFont val="宋体"/>
            <charset val="134"/>
          </rPr>
          <t>龙丽娟:</t>
        </r>
        <r>
          <rPr>
            <sz val="9"/>
            <rFont val="宋体"/>
            <charset val="134"/>
          </rPr>
          <t xml:space="preserve">
1016754 7/27 320pcs</t>
        </r>
      </text>
    </comment>
    <comment ref="AI468" authorId="2">
      <text>
        <r>
          <rPr>
            <b/>
            <sz val="9"/>
            <rFont val="宋体"/>
            <charset val="134"/>
          </rPr>
          <t>龙丽娟:</t>
        </r>
        <r>
          <rPr>
            <sz val="9"/>
            <rFont val="宋体"/>
            <charset val="134"/>
          </rPr>
          <t xml:space="preserve">
7/15 上UPC贴纸1408pcs</t>
        </r>
      </text>
    </comment>
    <comment ref="AI469" authorId="2">
      <text>
        <r>
          <rPr>
            <b/>
            <sz val="9"/>
            <rFont val="宋体"/>
            <charset val="134"/>
          </rPr>
          <t>龙丽娟:</t>
        </r>
        <r>
          <rPr>
            <sz val="9"/>
            <rFont val="宋体"/>
            <charset val="134"/>
          </rPr>
          <t xml:space="preserve">
7/9上保证书704pcs</t>
        </r>
        <r>
          <rPr>
            <b/>
            <sz val="9"/>
            <rFont val="宋体"/>
            <charset val="134"/>
          </rPr>
          <t xml:space="preserve">
龙丽娟:</t>
        </r>
        <r>
          <rPr>
            <sz val="9"/>
            <rFont val="宋体"/>
            <charset val="134"/>
          </rPr>
          <t xml:space="preserve">
7/8上包装贴纸/说明书贴纸各704pcs</t>
        </r>
        <r>
          <rPr>
            <b/>
            <sz val="9"/>
            <rFont val="宋体"/>
            <charset val="134"/>
          </rPr>
          <t xml:space="preserve">
龙丽娟:</t>
        </r>
        <r>
          <rPr>
            <sz val="9"/>
            <rFont val="宋体"/>
            <charset val="134"/>
          </rPr>
          <t xml:space="preserve">
7/14上客供价格贴纸835pcs</t>
        </r>
      </text>
    </comment>
    <comment ref="AI470" authorId="2">
      <text>
        <r>
          <rPr>
            <b/>
            <sz val="9"/>
            <rFont val="宋体"/>
            <charset val="134"/>
          </rPr>
          <t>龙丽娟:</t>
        </r>
        <r>
          <rPr>
            <sz val="9"/>
            <rFont val="宋体"/>
            <charset val="134"/>
          </rPr>
          <t xml:space="preserve">
7/15EAN条码贴纸2000pcs</t>
        </r>
        <r>
          <rPr>
            <b/>
            <sz val="9"/>
            <rFont val="宋体"/>
            <charset val="134"/>
          </rPr>
          <t xml:space="preserve">
龙丽娟:</t>
        </r>
        <r>
          <rPr>
            <sz val="9"/>
            <rFont val="宋体"/>
            <charset val="134"/>
          </rPr>
          <t xml:space="preserve">
7/16上客户进口商贴纸2000pc</t>
        </r>
      </text>
    </comment>
    <comment ref="AG471" authorId="2">
      <text>
        <r>
          <rPr>
            <b/>
            <sz val="9"/>
            <rFont val="宋体"/>
            <charset val="134"/>
          </rPr>
          <t>龙丽娟:</t>
        </r>
        <r>
          <rPr>
            <sz val="9"/>
            <rFont val="宋体"/>
            <charset val="134"/>
          </rPr>
          <t xml:space="preserve">
1016762 8/3 2560pcs</t>
        </r>
      </text>
    </comment>
    <comment ref="AI471" authorId="2">
      <text>
        <r>
          <rPr>
            <b/>
            <sz val="9"/>
            <rFont val="宋体"/>
            <charset val="134"/>
          </rPr>
          <t>龙丽娟:</t>
        </r>
        <r>
          <rPr>
            <sz val="9"/>
            <rFont val="宋体"/>
            <charset val="134"/>
          </rPr>
          <t xml:space="preserve">
7/6上客供防盗贴纸2560pcs</t>
        </r>
      </text>
    </comment>
    <comment ref="AG472" authorId="2">
      <text>
        <r>
          <rPr>
            <b/>
            <sz val="9"/>
            <rFont val="宋体"/>
            <charset val="134"/>
          </rPr>
          <t>龙丽娟:</t>
        </r>
        <r>
          <rPr>
            <sz val="9"/>
            <rFont val="宋体"/>
            <charset val="134"/>
          </rPr>
          <t xml:space="preserve">
1016769 8/11 5008pcs</t>
        </r>
      </text>
    </comment>
    <comment ref="AI472" authorId="2">
      <text>
        <r>
          <rPr>
            <b/>
            <sz val="9"/>
            <rFont val="宋体"/>
            <charset val="134"/>
          </rPr>
          <t>龙丽娟:</t>
        </r>
        <r>
          <rPr>
            <sz val="9"/>
            <rFont val="宋体"/>
            <charset val="134"/>
          </rPr>
          <t xml:space="preserve">
6/20 上河源进口商贴纸（含条码)5008PCS</t>
        </r>
      </text>
    </comment>
    <comment ref="AI473" authorId="2">
      <text>
        <r>
          <rPr>
            <b/>
            <sz val="9"/>
            <rFont val="宋体"/>
            <charset val="134"/>
          </rPr>
          <t>龙丽娟:</t>
        </r>
        <r>
          <rPr>
            <sz val="9"/>
            <rFont val="宋体"/>
            <charset val="134"/>
          </rPr>
          <t xml:space="preserve">
7/13上UPC贴纸1000pcs</t>
        </r>
      </text>
    </comment>
    <comment ref="AI475" authorId="2">
      <text>
        <r>
          <rPr>
            <b/>
            <sz val="9"/>
            <rFont val="宋体"/>
            <charset val="134"/>
          </rPr>
          <t>龙丽娟:</t>
        </r>
        <r>
          <rPr>
            <sz val="9"/>
            <rFont val="宋体"/>
            <charset val="134"/>
          </rPr>
          <t xml:space="preserve">
7/15 EAN条码贴纸/地址贴纸各上2720pcs</t>
        </r>
        <r>
          <rPr>
            <b/>
            <sz val="9"/>
            <rFont val="宋体"/>
            <charset val="134"/>
          </rPr>
          <t xml:space="preserve">
龙丽娟:</t>
        </r>
        <r>
          <rPr>
            <sz val="9"/>
            <rFont val="宋体"/>
            <charset val="134"/>
          </rPr>
          <t xml:space="preserve">
7/16上进口商贴纸2720pcs</t>
        </r>
      </text>
    </comment>
    <comment ref="AI478" authorId="2">
      <text>
        <r>
          <rPr>
            <b/>
            <sz val="9"/>
            <rFont val="宋体"/>
            <charset val="134"/>
          </rPr>
          <t>龙丽娟:</t>
        </r>
        <r>
          <rPr>
            <sz val="9"/>
            <rFont val="宋体"/>
            <charset val="134"/>
          </rPr>
          <t xml:space="preserve">
7/13上款号条码贴纸/警告语贴纸1808pcs</t>
        </r>
      </text>
    </comment>
    <comment ref="AG479" authorId="2">
      <text>
        <r>
          <rPr>
            <b/>
            <sz val="9"/>
            <rFont val="宋体"/>
            <charset val="134"/>
          </rPr>
          <t>龙丽娟:</t>
        </r>
        <r>
          <rPr>
            <sz val="9"/>
            <rFont val="宋体"/>
            <charset val="134"/>
          </rPr>
          <t xml:space="preserve">
1016767 8/10 4960pcs</t>
        </r>
      </text>
    </comment>
    <comment ref="AG480" authorId="2">
      <text>
        <r>
          <rPr>
            <b/>
            <sz val="9"/>
            <rFont val="宋体"/>
            <charset val="134"/>
          </rPr>
          <t>龙丽娟:</t>
        </r>
        <r>
          <rPr>
            <sz val="9"/>
            <rFont val="宋体"/>
            <charset val="134"/>
          </rPr>
          <t xml:space="preserve">
1016751 7/21 1008pcs</t>
        </r>
      </text>
    </comment>
    <comment ref="AI480" authorId="2">
      <text>
        <r>
          <rPr>
            <b/>
            <sz val="9"/>
            <rFont val="宋体"/>
            <charset val="134"/>
          </rPr>
          <t>龙丽娟:</t>
        </r>
        <r>
          <rPr>
            <sz val="9"/>
            <rFont val="宋体"/>
            <charset val="134"/>
          </rPr>
          <t xml:space="preserve">
7/13 上PDQ底部贴纸 126pcs</t>
        </r>
      </text>
    </comment>
    <comment ref="AG481" authorId="2">
      <text>
        <r>
          <rPr>
            <b/>
            <sz val="9"/>
            <rFont val="宋体"/>
            <charset val="134"/>
          </rPr>
          <t>龙丽娟:</t>
        </r>
        <r>
          <rPr>
            <sz val="9"/>
            <rFont val="宋体"/>
            <charset val="134"/>
          </rPr>
          <t xml:space="preserve">
2800365 8/1 3200pcs欣泰B3</t>
        </r>
      </text>
    </comment>
    <comment ref="AG482" authorId="2">
      <text>
        <r>
          <rPr>
            <b/>
            <sz val="9"/>
            <rFont val="宋体"/>
            <charset val="134"/>
          </rPr>
          <t>龙丽娟:</t>
        </r>
        <r>
          <rPr>
            <sz val="9"/>
            <rFont val="宋体"/>
            <charset val="134"/>
          </rPr>
          <t xml:space="preserve">
7/12 2801298 32pcs欣泰d6</t>
        </r>
      </text>
    </comment>
    <comment ref="AI483" authorId="2">
      <text>
        <r>
          <rPr>
            <b/>
            <sz val="9"/>
            <rFont val="宋体"/>
            <charset val="134"/>
          </rPr>
          <t>龙丽娟:</t>
        </r>
        <r>
          <rPr>
            <sz val="9"/>
            <rFont val="宋体"/>
            <charset val="134"/>
          </rPr>
          <t xml:space="preserve">
7/15上UPC/进口商贴纸各808pcs</t>
        </r>
      </text>
    </comment>
    <comment ref="AI484" authorId="2">
      <text>
        <r>
          <rPr>
            <b/>
            <sz val="9"/>
            <rFont val="宋体"/>
            <charset val="134"/>
          </rPr>
          <t>龙丽娟:</t>
        </r>
        <r>
          <rPr>
            <sz val="9"/>
            <rFont val="宋体"/>
            <charset val="134"/>
          </rPr>
          <t xml:space="preserve">
6/18上HK客供警语贴纸1242pcs/HK客供警语贴纸贴收藏指南和拆件说明书1242pcs</t>
        </r>
        <r>
          <rPr>
            <b/>
            <sz val="9"/>
            <rFont val="宋体"/>
            <charset val="134"/>
          </rPr>
          <t xml:space="preserve">
龙丽娟:</t>
        </r>
        <r>
          <rPr>
            <sz val="9"/>
            <rFont val="宋体"/>
            <charset val="134"/>
          </rPr>
          <t xml:space="preserve">
6/18上HK客供电池警语贴说明书1242pcs</t>
        </r>
      </text>
    </comment>
    <comment ref="AG485" authorId="2">
      <text>
        <r>
          <rPr>
            <b/>
            <sz val="9"/>
            <rFont val="宋体"/>
            <charset val="134"/>
          </rPr>
          <t>龙丽娟:</t>
        </r>
        <r>
          <rPr>
            <sz val="9"/>
            <rFont val="宋体"/>
            <charset val="134"/>
          </rPr>
          <t xml:space="preserve">
1016764 8/5 2000pcs</t>
        </r>
      </text>
    </comment>
    <comment ref="AI486" authorId="2">
      <text>
        <r>
          <rPr>
            <b/>
            <sz val="9"/>
            <rFont val="宋体"/>
            <charset val="134"/>
          </rPr>
          <t>龙丽娟:</t>
        </r>
        <r>
          <rPr>
            <sz val="9"/>
            <rFont val="宋体"/>
            <charset val="134"/>
          </rPr>
          <t xml:space="preserve">
7/15上地址贴纸26416pcs
207585/211476共用</t>
        </r>
      </text>
    </comment>
    <comment ref="AI489" authorId="2">
      <text>
        <r>
          <rPr>
            <b/>
            <sz val="9"/>
            <rFont val="宋体"/>
            <charset val="134"/>
          </rPr>
          <t>龙丽娟:</t>
        </r>
        <r>
          <rPr>
            <sz val="9"/>
            <rFont val="宋体"/>
            <charset val="134"/>
          </rPr>
          <t xml:space="preserve">
7/20上upc贴纸1600pcs</t>
        </r>
      </text>
    </comment>
    <comment ref="AI492" authorId="2">
      <text>
        <r>
          <rPr>
            <b/>
            <sz val="9"/>
            <rFont val="宋体"/>
            <charset val="134"/>
          </rPr>
          <t>龙丽娟:</t>
        </r>
        <r>
          <rPr>
            <sz val="9"/>
            <rFont val="宋体"/>
            <charset val="134"/>
          </rPr>
          <t xml:space="preserve">
7/20上多语警语贴纸3000pcs</t>
        </r>
      </text>
    </comment>
    <comment ref="AI494" authorId="2">
      <text>
        <r>
          <rPr>
            <b/>
            <sz val="9"/>
            <rFont val="宋体"/>
            <charset val="134"/>
          </rPr>
          <t>龙丽娟:</t>
        </r>
        <r>
          <rPr>
            <sz val="9"/>
            <rFont val="宋体"/>
            <charset val="134"/>
          </rPr>
          <t xml:space="preserve">
7/9收到亚马逊外箱贴纸69pcs</t>
        </r>
      </text>
    </comment>
    <comment ref="AI495" authorId="2">
      <text>
        <r>
          <rPr>
            <b/>
            <sz val="9"/>
            <rFont val="宋体"/>
            <charset val="134"/>
          </rPr>
          <t>龙丽娟:</t>
        </r>
        <r>
          <rPr>
            <sz val="9"/>
            <rFont val="宋体"/>
            <charset val="134"/>
          </rPr>
          <t xml:space="preserve">
7/9收到亚马逊外箱贴纸52pcs</t>
        </r>
      </text>
    </comment>
    <comment ref="AE497" authorId="2">
      <text>
        <r>
          <rPr>
            <b/>
            <sz val="9"/>
            <rFont val="宋体"/>
            <charset val="134"/>
          </rPr>
          <t>龙丽娟:</t>
        </r>
        <r>
          <rPr>
            <sz val="9"/>
            <rFont val="宋体"/>
            <charset val="134"/>
          </rPr>
          <t xml:space="preserve">
8/1 2800364 20664pcs欣泰E4</t>
        </r>
      </text>
    </comment>
    <comment ref="AG498" authorId="2">
      <text>
        <r>
          <rPr>
            <b/>
            <sz val="9"/>
            <rFont val="宋体"/>
            <charset val="134"/>
          </rPr>
          <t>龙丽娟:</t>
        </r>
        <r>
          <rPr>
            <sz val="9"/>
            <rFont val="宋体"/>
            <charset val="134"/>
          </rPr>
          <t xml:space="preserve">
8/4 1001555 512pcs馥通E8</t>
        </r>
      </text>
    </comment>
    <comment ref="AI498" authorId="2">
      <text>
        <r>
          <rPr>
            <b/>
            <sz val="9"/>
            <rFont val="宋体"/>
            <charset val="134"/>
          </rPr>
          <t>龙丽娟:</t>
        </r>
        <r>
          <rPr>
            <sz val="9"/>
            <rFont val="宋体"/>
            <charset val="134"/>
          </rPr>
          <t xml:space="preserve">
7/20上进口商贴纸512pcs</t>
        </r>
      </text>
    </comment>
    <comment ref="AG501" authorId="2">
      <text>
        <r>
          <rPr>
            <b/>
            <sz val="9"/>
            <rFont val="宋体"/>
            <charset val="0"/>
          </rPr>
          <t>龙丽娟:</t>
        </r>
        <r>
          <rPr>
            <sz val="9"/>
            <rFont val="宋体"/>
            <charset val="0"/>
          </rPr>
          <t xml:space="preserve">
1001536 8/6 2416pcs欣泰B1</t>
        </r>
      </text>
    </comment>
    <comment ref="AG502" authorId="2">
      <text>
        <r>
          <rPr>
            <b/>
            <sz val="9"/>
            <rFont val="宋体"/>
            <charset val="134"/>
          </rPr>
          <t>龙丽娟:</t>
        </r>
        <r>
          <rPr>
            <sz val="9"/>
            <rFont val="宋体"/>
            <charset val="134"/>
          </rPr>
          <t xml:space="preserve">
8/4 3004754 1200pcs馥通B5</t>
        </r>
      </text>
    </comment>
    <comment ref="AI502" authorId="2">
      <text>
        <r>
          <rPr>
            <b/>
            <sz val="9"/>
            <rFont val="宋体"/>
            <charset val="134"/>
          </rPr>
          <t>龙丽娟:</t>
        </r>
        <r>
          <rPr>
            <sz val="9"/>
            <rFont val="宋体"/>
            <charset val="134"/>
          </rPr>
          <t xml:space="preserve">
6/10上UPC贴纸1624pcs
208821/208841共用</t>
        </r>
      </text>
    </comment>
    <comment ref="AE503" authorId="2">
      <text>
        <r>
          <rPr>
            <b/>
            <sz val="9"/>
            <rFont val="宋体"/>
            <charset val="134"/>
          </rPr>
          <t>龙丽娟:</t>
        </r>
        <r>
          <rPr>
            <sz val="9"/>
            <rFont val="宋体"/>
            <charset val="134"/>
          </rPr>
          <t xml:space="preserve">
8/4 3003972 304pcs钜顺B1</t>
        </r>
      </text>
    </comment>
    <comment ref="AI503" authorId="2">
      <text>
        <r>
          <rPr>
            <b/>
            <sz val="9"/>
            <rFont val="宋体"/>
            <charset val="134"/>
          </rPr>
          <t>龙丽娟:</t>
        </r>
        <r>
          <rPr>
            <sz val="9"/>
            <rFont val="宋体"/>
            <charset val="134"/>
          </rPr>
          <t xml:space="preserve">
6/10上UPC贴纸1624pcs
208821/208841共用</t>
        </r>
      </text>
    </comment>
    <comment ref="AG505" authorId="2">
      <text>
        <r>
          <rPr>
            <b/>
            <sz val="9"/>
            <rFont val="宋体"/>
            <charset val="134"/>
          </rPr>
          <t>龙丽娟:</t>
        </r>
        <r>
          <rPr>
            <sz val="9"/>
            <rFont val="宋体"/>
            <charset val="134"/>
          </rPr>
          <t xml:space="preserve">
8/4 1001555 1488pcs馥通E8</t>
        </r>
      </text>
    </comment>
    <comment ref="AI505" authorId="2">
      <text>
        <r>
          <rPr>
            <b/>
            <sz val="9"/>
            <rFont val="宋体"/>
            <charset val="134"/>
          </rPr>
          <t>龙丽娟:</t>
        </r>
        <r>
          <rPr>
            <sz val="9"/>
            <rFont val="宋体"/>
            <charset val="134"/>
          </rPr>
          <t xml:space="preserve">
7/20上upc贴纸1488pcs</t>
        </r>
      </text>
    </comment>
    <comment ref="AG506" authorId="2">
      <text>
        <r>
          <rPr>
            <b/>
            <sz val="9"/>
            <rFont val="宋体"/>
            <charset val="0"/>
          </rPr>
          <t>龙丽娟:</t>
        </r>
        <r>
          <rPr>
            <sz val="9"/>
            <rFont val="宋体"/>
            <charset val="0"/>
          </rPr>
          <t xml:space="preserve">
1001530 8/8 1504PCS欣泰E6</t>
        </r>
      </text>
    </comment>
    <comment ref="AI506" authorId="2">
      <text>
        <r>
          <rPr>
            <b/>
            <sz val="9"/>
            <rFont val="宋体"/>
            <charset val="134"/>
          </rPr>
          <t>龙丽娟:</t>
        </r>
        <r>
          <rPr>
            <sz val="9"/>
            <rFont val="宋体"/>
            <charset val="134"/>
          </rPr>
          <t xml:space="preserve">
7/6上价格贴纸416pcs上pdq价格贴纸/条码贴纸各174pcs</t>
        </r>
        <r>
          <rPr>
            <b/>
            <sz val="9"/>
            <rFont val="宋体"/>
            <charset val="134"/>
          </rPr>
          <t xml:space="preserve">
龙丽娟:</t>
        </r>
        <r>
          <rPr>
            <sz val="9"/>
            <rFont val="宋体"/>
            <charset val="134"/>
          </rPr>
          <t xml:space="preserve">
5/8 上通用客供外箱贴纸 94pcs</t>
        </r>
        <r>
          <rPr>
            <b/>
            <sz val="9"/>
            <rFont val="宋体"/>
            <charset val="134"/>
          </rPr>
          <t xml:space="preserve">
龙丽娟:</t>
        </r>
        <r>
          <rPr>
            <sz val="9"/>
            <rFont val="宋体"/>
            <charset val="134"/>
          </rPr>
          <t xml:space="preserve">
5/8 上NJ客供外箱贴纸 94pcs</t>
        </r>
      </text>
    </comment>
    <comment ref="AG507" authorId="2">
      <text>
        <r>
          <rPr>
            <b/>
            <sz val="9"/>
            <rFont val="宋体"/>
            <charset val="0"/>
          </rPr>
          <t>龙丽娟:</t>
        </r>
        <r>
          <rPr>
            <sz val="9"/>
            <rFont val="宋体"/>
            <charset val="0"/>
          </rPr>
          <t xml:space="preserve">
1001530 8/8 512PCS欣泰2A2</t>
        </r>
      </text>
    </comment>
    <comment ref="AI507" authorId="2">
      <text>
        <r>
          <rPr>
            <b/>
            <sz val="9"/>
            <rFont val="宋体"/>
            <charset val="134"/>
          </rPr>
          <t>龙丽娟:</t>
        </r>
        <r>
          <rPr>
            <sz val="9"/>
            <rFont val="宋体"/>
            <charset val="134"/>
          </rPr>
          <t xml:space="preserve">
7/6上价格贴纸416pcs上pdq价格贴纸/条码贴纸各174pcs</t>
        </r>
        <r>
          <rPr>
            <b/>
            <sz val="9"/>
            <rFont val="宋体"/>
            <charset val="134"/>
          </rPr>
          <t xml:space="preserve">
龙丽娟:</t>
        </r>
        <r>
          <rPr>
            <sz val="9"/>
            <rFont val="宋体"/>
            <charset val="134"/>
          </rPr>
          <t xml:space="preserve">
5/8 上客供通用外箱贴纸 32pcs</t>
        </r>
        <r>
          <rPr>
            <b/>
            <sz val="9"/>
            <rFont val="宋体"/>
            <charset val="134"/>
          </rPr>
          <t xml:space="preserve">
龙丽娟:</t>
        </r>
        <r>
          <rPr>
            <sz val="9"/>
            <rFont val="宋体"/>
            <charset val="134"/>
          </rPr>
          <t xml:space="preserve">
5/8 上NV客供外箱贴纸 32pcs</t>
        </r>
      </text>
    </comment>
    <comment ref="AG509" authorId="2">
      <text>
        <r>
          <rPr>
            <b/>
            <sz val="9"/>
            <rFont val="宋体"/>
            <charset val="134"/>
          </rPr>
          <t>龙丽娟:</t>
        </r>
        <r>
          <rPr>
            <sz val="9"/>
            <rFont val="宋体"/>
            <charset val="134"/>
          </rPr>
          <t xml:space="preserve">
1016770 8/11 6656pcs</t>
        </r>
      </text>
    </comment>
    <comment ref="AI509" authorId="2">
      <text>
        <r>
          <rPr>
            <b/>
            <sz val="9"/>
            <rFont val="宋体"/>
            <charset val="134"/>
          </rPr>
          <t>龙丽娟:</t>
        </r>
        <r>
          <rPr>
            <sz val="9"/>
            <rFont val="宋体"/>
            <charset val="134"/>
          </rPr>
          <t xml:space="preserve">
6/16上客供RFID贴纸6656pcs</t>
        </r>
        <r>
          <rPr>
            <b/>
            <sz val="9"/>
            <rFont val="宋体"/>
            <charset val="134"/>
          </rPr>
          <t xml:space="preserve">
龙丽娟:</t>
        </r>
        <r>
          <rPr>
            <sz val="9"/>
            <rFont val="宋体"/>
            <charset val="134"/>
          </rPr>
          <t xml:space="preserve">
6/26 上锂电池贴纸 2000+17200pcs 
207763/208482/208497/211875/211883共用</t>
        </r>
        <r>
          <rPr>
            <b/>
            <sz val="9"/>
            <rFont val="宋体"/>
            <charset val="134"/>
          </rPr>
          <t xml:space="preserve">
龙丽娟:</t>
        </r>
        <r>
          <rPr>
            <sz val="9"/>
            <rFont val="宋体"/>
            <charset val="134"/>
          </rPr>
          <t xml:space="preserve">
6/30 上艾利贴纸  13pcs</t>
        </r>
      </text>
    </comment>
    <comment ref="AG510" authorId="2">
      <text>
        <r>
          <rPr>
            <b/>
            <sz val="9"/>
            <rFont val="宋体"/>
            <charset val="0"/>
          </rPr>
          <t>龙丽娟:</t>
        </r>
        <r>
          <rPr>
            <sz val="9"/>
            <rFont val="宋体"/>
            <charset val="0"/>
          </rPr>
          <t xml:space="preserve">
1016778 8/15 8192pcs</t>
        </r>
      </text>
    </comment>
    <comment ref="AI510" authorId="2">
      <text>
        <r>
          <rPr>
            <b/>
            <sz val="9"/>
            <rFont val="宋体"/>
            <charset val="134"/>
          </rPr>
          <t>龙丽娟:</t>
        </r>
        <r>
          <rPr>
            <sz val="9"/>
            <rFont val="宋体"/>
            <charset val="134"/>
          </rPr>
          <t xml:space="preserve">
6/16上客供RFID贴纸8192pcs</t>
        </r>
        <r>
          <rPr>
            <b/>
            <sz val="9"/>
            <rFont val="宋体"/>
            <charset val="134"/>
          </rPr>
          <t xml:space="preserve">
龙丽娟:</t>
        </r>
        <r>
          <rPr>
            <sz val="9"/>
            <rFont val="宋体"/>
            <charset val="134"/>
          </rPr>
          <t xml:space="preserve">
6/26 上锂电池贴纸 2000+17200pcs 
207763/208482/208497/211875/211883共用</t>
        </r>
        <r>
          <rPr>
            <b/>
            <sz val="9"/>
            <rFont val="宋体"/>
            <charset val="134"/>
          </rPr>
          <t xml:space="preserve">
龙丽娟:</t>
        </r>
        <r>
          <rPr>
            <sz val="9"/>
            <rFont val="宋体"/>
            <charset val="134"/>
          </rPr>
          <t xml:space="preserve">
6/30 上艾利贴纸  16pcs</t>
        </r>
      </text>
    </comment>
    <comment ref="AG511" authorId="2">
      <text>
        <r>
          <rPr>
            <b/>
            <sz val="9"/>
            <rFont val="宋体"/>
            <charset val="134"/>
          </rPr>
          <t>龙丽娟:</t>
        </r>
        <r>
          <rPr>
            <sz val="9"/>
            <rFont val="宋体"/>
            <charset val="134"/>
          </rPr>
          <t xml:space="preserve">
7/14 1001943 3008pcs欣泰f4</t>
        </r>
      </text>
    </comment>
    <comment ref="AG512" authorId="2">
      <text>
        <r>
          <rPr>
            <b/>
            <sz val="9"/>
            <rFont val="宋体"/>
            <charset val="134"/>
          </rPr>
          <t>龙丽娟:</t>
        </r>
        <r>
          <rPr>
            <sz val="9"/>
            <rFont val="宋体"/>
            <charset val="134"/>
          </rPr>
          <t xml:space="preserve">
1016760 7/31 88pcs</t>
        </r>
      </text>
    </comment>
    <comment ref="AI512" authorId="2">
      <text>
        <r>
          <rPr>
            <b/>
            <sz val="9"/>
            <rFont val="宋体"/>
            <charset val="134"/>
          </rPr>
          <t>龙丽娟:</t>
        </r>
        <r>
          <rPr>
            <sz val="9"/>
            <rFont val="宋体"/>
            <charset val="134"/>
          </rPr>
          <t xml:space="preserve">
7/10 上外箱贴纸 11pcs</t>
        </r>
        <r>
          <rPr>
            <b/>
            <sz val="9"/>
            <rFont val="宋体"/>
            <charset val="134"/>
          </rPr>
          <t xml:space="preserve">
龙丽娟:</t>
        </r>
        <r>
          <rPr>
            <sz val="9"/>
            <rFont val="宋体"/>
            <charset val="134"/>
          </rPr>
          <t xml:space="preserve">
7/15 上防盗贴纸 88pcs</t>
        </r>
      </text>
    </comment>
    <comment ref="AG513" authorId="2">
      <text>
        <r>
          <rPr>
            <b/>
            <sz val="9"/>
            <rFont val="宋体"/>
            <charset val="134"/>
          </rPr>
          <t>龙丽娟:</t>
        </r>
        <r>
          <rPr>
            <sz val="9"/>
            <rFont val="宋体"/>
            <charset val="134"/>
          </rPr>
          <t xml:space="preserve">
1016760 7/31 1416pcs</t>
        </r>
      </text>
    </comment>
    <comment ref="AI513" authorId="2">
      <text>
        <r>
          <rPr>
            <b/>
            <sz val="9"/>
            <rFont val="宋体"/>
            <charset val="134"/>
          </rPr>
          <t>龙丽娟:</t>
        </r>
        <r>
          <rPr>
            <sz val="9"/>
            <rFont val="宋体"/>
            <charset val="134"/>
          </rPr>
          <t xml:space="preserve">
7/10 上KM外箱贴纸 117pcs</t>
        </r>
        <r>
          <rPr>
            <b/>
            <sz val="9"/>
            <rFont val="宋体"/>
            <charset val="134"/>
          </rPr>
          <t xml:space="preserve">
龙丽娟:</t>
        </r>
        <r>
          <rPr>
            <sz val="9"/>
            <rFont val="宋体"/>
            <charset val="134"/>
          </rPr>
          <t xml:space="preserve">
7/15 上防盗贴纸 1416pcs</t>
        </r>
      </text>
    </comment>
    <comment ref="AI514" authorId="1">
      <text>
        <r>
          <rPr>
            <b/>
            <sz val="12"/>
            <rFont val="宋体"/>
            <charset val="134"/>
          </rPr>
          <t>DELL:</t>
        </r>
        <r>
          <rPr>
            <sz val="12"/>
            <rFont val="宋体"/>
            <charset val="134"/>
          </rPr>
          <t xml:space="preserve">
4/30 上锂电池UN3481标识贴纸260*260mm 196pcs
197499/198839/198838/197500/197501/197502共用</t>
        </r>
      </text>
    </comment>
    <comment ref="AQ514" authorId="3">
      <text>
        <r>
          <rPr>
            <b/>
            <sz val="9"/>
            <rFont val="宋体"/>
            <charset val="134"/>
          </rPr>
          <t>RR:</t>
        </r>
        <r>
          <rPr>
            <sz val="9"/>
            <rFont val="宋体"/>
            <charset val="134"/>
          </rPr>
          <t xml:space="preserve">
新客版资料</t>
        </r>
      </text>
    </comment>
    <comment ref="AR514" authorId="3">
      <text>
        <r>
          <rPr>
            <b/>
            <sz val="9"/>
            <rFont val="宋体"/>
            <charset val="134"/>
          </rPr>
          <t>RR:</t>
        </r>
        <r>
          <rPr>
            <sz val="9"/>
            <rFont val="宋体"/>
            <charset val="134"/>
          </rPr>
          <t xml:space="preserve">
新客版资料</t>
        </r>
      </text>
    </comment>
    <comment ref="AS514" authorId="3">
      <text>
        <r>
          <rPr>
            <b/>
            <sz val="9"/>
            <rFont val="宋体"/>
            <charset val="134"/>
          </rPr>
          <t>RR:</t>
        </r>
        <r>
          <rPr>
            <sz val="9"/>
            <rFont val="宋体"/>
            <charset val="134"/>
          </rPr>
          <t xml:space="preserve">
新客版资料</t>
        </r>
      </text>
    </comment>
    <comment ref="AI515" authorId="2">
      <text>
        <r>
          <rPr>
            <b/>
            <sz val="9"/>
            <rFont val="宋体"/>
            <charset val="134"/>
          </rPr>
          <t>龙丽娟:</t>
        </r>
        <r>
          <rPr>
            <sz val="9"/>
            <rFont val="宋体"/>
            <charset val="134"/>
          </rPr>
          <t xml:space="preserve">
7/6上客供防盗贴纸1024pcs</t>
        </r>
      </text>
    </comment>
    <comment ref="AI517" authorId="2">
      <text>
        <r>
          <rPr>
            <b/>
            <sz val="9"/>
            <rFont val="宋体"/>
            <charset val="134"/>
          </rPr>
          <t>龙丽娟:</t>
        </r>
        <r>
          <rPr>
            <sz val="9"/>
            <rFont val="宋体"/>
            <charset val="134"/>
          </rPr>
          <t xml:space="preserve">
7/17上PDQ地址贴纸2516pcs
203946/210400/213523共用</t>
        </r>
      </text>
    </comment>
    <comment ref="AG518" authorId="2">
      <text>
        <r>
          <rPr>
            <b/>
            <sz val="9"/>
            <rFont val="宋体"/>
            <charset val="0"/>
          </rPr>
          <t>龙丽娟:</t>
        </r>
        <r>
          <rPr>
            <sz val="9"/>
            <rFont val="宋体"/>
            <charset val="0"/>
          </rPr>
          <t xml:space="preserve">
1016775 8/14 10240pcs</t>
        </r>
      </text>
    </comment>
    <comment ref="AI518" authorId="2">
      <text>
        <r>
          <rPr>
            <b/>
            <sz val="9"/>
            <rFont val="宋体"/>
            <charset val="134"/>
          </rPr>
          <t>龙丽娟:</t>
        </r>
        <r>
          <rPr>
            <sz val="9"/>
            <rFont val="宋体"/>
            <charset val="134"/>
          </rPr>
          <t xml:space="preserve">
6/16上客供RFID贴纸10240pcs</t>
        </r>
        <r>
          <rPr>
            <b/>
            <sz val="9"/>
            <rFont val="宋体"/>
            <charset val="134"/>
          </rPr>
          <t xml:space="preserve">
龙丽娟:</t>
        </r>
        <r>
          <rPr>
            <sz val="9"/>
            <rFont val="宋体"/>
            <charset val="134"/>
          </rPr>
          <t xml:space="preserve">
6/26 上锂电池贴纸 2000+17200pcs 
207763/208482/208497/211875/211883共用</t>
        </r>
        <r>
          <rPr>
            <b/>
            <sz val="9"/>
            <rFont val="宋体"/>
            <charset val="134"/>
          </rPr>
          <t xml:space="preserve">
龙丽娟:</t>
        </r>
        <r>
          <rPr>
            <sz val="9"/>
            <rFont val="宋体"/>
            <charset val="134"/>
          </rPr>
          <t xml:space="preserve">
6/30 上艾利贴纸  20pcs</t>
        </r>
      </text>
    </comment>
    <comment ref="AI519" authorId="2">
      <text>
        <r>
          <rPr>
            <b/>
            <sz val="9"/>
            <rFont val="宋体"/>
            <charset val="134"/>
          </rPr>
          <t>龙丽娟:</t>
        </r>
        <r>
          <rPr>
            <sz val="9"/>
            <rFont val="宋体"/>
            <charset val="134"/>
          </rPr>
          <t xml:space="preserve">
6/16上客供RFID贴纸7168pcs</t>
        </r>
        <r>
          <rPr>
            <b/>
            <sz val="9"/>
            <rFont val="宋体"/>
            <charset val="134"/>
          </rPr>
          <t xml:space="preserve">
龙丽娟:</t>
        </r>
        <r>
          <rPr>
            <sz val="9"/>
            <rFont val="宋体"/>
            <charset val="134"/>
          </rPr>
          <t xml:space="preserve">
6/26 上锂电池贴纸 2000+17200pcs 
207763/208482/208497/211875/211883共用</t>
        </r>
        <r>
          <rPr>
            <b/>
            <sz val="9"/>
            <rFont val="宋体"/>
            <charset val="134"/>
          </rPr>
          <t xml:space="preserve">
龙丽娟:</t>
        </r>
        <r>
          <rPr>
            <sz val="9"/>
            <rFont val="宋体"/>
            <charset val="134"/>
          </rPr>
          <t xml:space="preserve">
6/30 上艾利贴纸  14pcs</t>
        </r>
      </text>
    </comment>
    <comment ref="AI520" authorId="2">
      <text>
        <r>
          <rPr>
            <b/>
            <sz val="9"/>
            <rFont val="宋体"/>
            <charset val="134"/>
          </rPr>
          <t>龙丽娟:</t>
        </r>
        <r>
          <rPr>
            <sz val="9"/>
            <rFont val="宋体"/>
            <charset val="134"/>
          </rPr>
          <t xml:space="preserve">
6/16上客供RFID贴纸10752pcs</t>
        </r>
        <r>
          <rPr>
            <b/>
            <sz val="9"/>
            <rFont val="宋体"/>
            <charset val="134"/>
          </rPr>
          <t xml:space="preserve">
龙丽娟:</t>
        </r>
        <r>
          <rPr>
            <sz val="9"/>
            <rFont val="宋体"/>
            <charset val="134"/>
          </rPr>
          <t xml:space="preserve">
6/26 上锂电池贴纸 2000+17200pcs 
207763/208482/208497/211875/211883共用</t>
        </r>
        <r>
          <rPr>
            <b/>
            <sz val="9"/>
            <rFont val="宋体"/>
            <charset val="134"/>
          </rPr>
          <t xml:space="preserve">
龙丽娟:</t>
        </r>
        <r>
          <rPr>
            <sz val="9"/>
            <rFont val="宋体"/>
            <charset val="134"/>
          </rPr>
          <t xml:space="preserve">
6/30 上艾利贴纸  21pcs</t>
        </r>
      </text>
    </comment>
    <comment ref="AG521" authorId="2">
      <text>
        <r>
          <rPr>
            <b/>
            <sz val="9"/>
            <rFont val="宋体"/>
            <charset val="0"/>
          </rPr>
          <t>龙丽娟:</t>
        </r>
        <r>
          <rPr>
            <sz val="9"/>
            <rFont val="宋体"/>
            <charset val="0"/>
          </rPr>
          <t xml:space="preserve">
1016777 8/15 7168pcs</t>
        </r>
      </text>
    </comment>
    <comment ref="AI521" authorId="2">
      <text>
        <r>
          <rPr>
            <b/>
            <sz val="9"/>
            <rFont val="宋体"/>
            <charset val="134"/>
          </rPr>
          <t>龙丽娟:</t>
        </r>
        <r>
          <rPr>
            <sz val="9"/>
            <rFont val="宋体"/>
            <charset val="134"/>
          </rPr>
          <t xml:space="preserve">
6/16上客供RFID贴纸7168pcs</t>
        </r>
        <r>
          <rPr>
            <b/>
            <sz val="9"/>
            <rFont val="宋体"/>
            <charset val="134"/>
          </rPr>
          <t xml:space="preserve">
龙丽娟:</t>
        </r>
        <r>
          <rPr>
            <sz val="9"/>
            <rFont val="宋体"/>
            <charset val="134"/>
          </rPr>
          <t xml:space="preserve">
6/26 上锂电池贴纸 2000+17200pcs 
207763/208482/208497/211875/211883共用</t>
        </r>
        <r>
          <rPr>
            <b/>
            <sz val="9"/>
            <rFont val="宋体"/>
            <charset val="134"/>
          </rPr>
          <t xml:space="preserve">
龙丽娟:</t>
        </r>
        <r>
          <rPr>
            <sz val="9"/>
            <rFont val="宋体"/>
            <charset val="134"/>
          </rPr>
          <t xml:space="preserve">
6/30 上艾利贴纸  14pcs</t>
        </r>
      </text>
    </comment>
    <comment ref="AG523" authorId="2">
      <text>
        <r>
          <rPr>
            <b/>
            <sz val="9"/>
            <rFont val="宋体"/>
            <charset val="134"/>
          </rPr>
          <t>龙丽娟:</t>
        </r>
        <r>
          <rPr>
            <sz val="9"/>
            <rFont val="宋体"/>
            <charset val="134"/>
          </rPr>
          <t xml:space="preserve">
1000010 6/20 686pcs</t>
        </r>
        <r>
          <rPr>
            <b/>
            <sz val="9"/>
            <rFont val="宋体"/>
            <charset val="134"/>
          </rPr>
          <t xml:space="preserve">
龙丽娟:</t>
        </r>
        <r>
          <rPr>
            <sz val="9"/>
            <rFont val="宋体"/>
            <charset val="134"/>
          </rPr>
          <t xml:space="preserve">
1000013 6/22 1152pcs</t>
        </r>
        <r>
          <rPr>
            <b/>
            <sz val="9"/>
            <rFont val="宋体"/>
            <charset val="134"/>
          </rPr>
          <t xml:space="preserve">
龙丽娟:</t>
        </r>
        <r>
          <rPr>
            <sz val="9"/>
            <rFont val="宋体"/>
            <charset val="134"/>
          </rPr>
          <t xml:space="preserve">
1000205 6/30 1152pcs
1000207 6/30 144pcs</t>
        </r>
      </text>
    </comment>
    <comment ref="AI523" authorId="1">
      <text>
        <r>
          <rPr>
            <b/>
            <sz val="12"/>
            <rFont val="宋体"/>
            <charset val="134"/>
          </rPr>
          <t>DELL:</t>
        </r>
        <r>
          <rPr>
            <sz val="12"/>
            <rFont val="宋体"/>
            <charset val="134"/>
          </rPr>
          <t xml:space="preserve">
4/30 上锂电池UN3481标识贴纸260*260mm 196pcs
197499/198839/198838/197500/197501/197502共用</t>
        </r>
      </text>
    </comment>
    <comment ref="AQ523" authorId="3">
      <text>
        <r>
          <rPr>
            <b/>
            <sz val="9"/>
            <rFont val="宋体"/>
            <charset val="134"/>
          </rPr>
          <t>RR:</t>
        </r>
        <r>
          <rPr>
            <sz val="9"/>
            <rFont val="宋体"/>
            <charset val="134"/>
          </rPr>
          <t xml:space="preserve">
新客版资料</t>
        </r>
      </text>
    </comment>
    <comment ref="AR523" authorId="3">
      <text>
        <r>
          <rPr>
            <b/>
            <sz val="9"/>
            <rFont val="宋体"/>
            <charset val="134"/>
          </rPr>
          <t>RR:</t>
        </r>
        <r>
          <rPr>
            <sz val="9"/>
            <rFont val="宋体"/>
            <charset val="134"/>
          </rPr>
          <t xml:space="preserve">
新客版资料</t>
        </r>
      </text>
    </comment>
    <comment ref="AS523" authorId="3">
      <text>
        <r>
          <rPr>
            <b/>
            <sz val="9"/>
            <rFont val="宋体"/>
            <charset val="134"/>
          </rPr>
          <t>RR:</t>
        </r>
        <r>
          <rPr>
            <sz val="9"/>
            <rFont val="宋体"/>
            <charset val="134"/>
          </rPr>
          <t xml:space="preserve">
新客版资料</t>
        </r>
      </text>
    </comment>
    <comment ref="AI524" authorId="2">
      <text>
        <r>
          <rPr>
            <b/>
            <sz val="9"/>
            <rFont val="宋体"/>
            <charset val="134"/>
          </rPr>
          <t>龙丽娟:</t>
        </r>
        <r>
          <rPr>
            <sz val="9"/>
            <rFont val="宋体"/>
            <charset val="134"/>
          </rPr>
          <t xml:space="preserve">
6/30 上UPC贴纸 32pcs</t>
        </r>
      </text>
    </comment>
    <comment ref="AI525" authorId="2">
      <text>
        <r>
          <rPr>
            <b/>
            <sz val="9"/>
            <rFont val="宋体"/>
            <charset val="134"/>
          </rPr>
          <t>龙丽娟:</t>
        </r>
        <r>
          <rPr>
            <sz val="9"/>
            <rFont val="宋体"/>
            <charset val="134"/>
          </rPr>
          <t xml:space="preserve">
4/18 上多语警语折叠贴纸 1800pcs</t>
        </r>
      </text>
    </comment>
    <comment ref="AI529" authorId="2">
      <text>
        <r>
          <rPr>
            <b/>
            <sz val="9"/>
            <rFont val="宋体"/>
            <charset val="134"/>
          </rPr>
          <t>龙丽娟:</t>
        </r>
        <r>
          <rPr>
            <sz val="9"/>
            <rFont val="宋体"/>
            <charset val="134"/>
          </rPr>
          <t xml:space="preserve">
6/25上德语警语贴纸304pcs上产品图片贴纸256pcs</t>
        </r>
      </text>
    </comment>
    <comment ref="AI530" authorId="2">
      <text>
        <r>
          <rPr>
            <b/>
            <sz val="9"/>
            <rFont val="宋体"/>
            <charset val="134"/>
          </rPr>
          <t>龙丽娟:</t>
        </r>
        <r>
          <rPr>
            <sz val="9"/>
            <rFont val="宋体"/>
            <charset val="134"/>
          </rPr>
          <t xml:space="preserve">
7/6上qr贴纸1008pcs</t>
        </r>
        <r>
          <rPr>
            <b/>
            <sz val="9"/>
            <rFont val="宋体"/>
            <charset val="134"/>
          </rPr>
          <t xml:space="preserve">
龙丽娟:</t>
        </r>
        <r>
          <rPr>
            <sz val="9"/>
            <rFont val="宋体"/>
            <charset val="134"/>
          </rPr>
          <t xml:space="preserve">
7/13上进口商贴纸1008pcs</t>
        </r>
      </text>
    </comment>
    <comment ref="AI531" authorId="2">
      <text>
        <r>
          <rPr>
            <b/>
            <sz val="9"/>
            <rFont val="宋体"/>
            <charset val="134"/>
          </rPr>
          <t>龙丽娟:</t>
        </r>
        <r>
          <rPr>
            <sz val="9"/>
            <rFont val="宋体"/>
            <charset val="134"/>
          </rPr>
          <t xml:space="preserve">
7/7上upc条码贴纸312pcs</t>
        </r>
      </text>
    </comment>
    <comment ref="AI532" authorId="2">
      <text>
        <r>
          <rPr>
            <b/>
            <sz val="9"/>
            <rFont val="宋体"/>
            <charset val="134"/>
          </rPr>
          <t>龙丽娟:</t>
        </r>
        <r>
          <rPr>
            <sz val="9"/>
            <rFont val="宋体"/>
            <charset val="134"/>
          </rPr>
          <t xml:space="preserve">
6/26上upc贴纸360</t>
        </r>
      </text>
    </comment>
    <comment ref="AG534" authorId="2">
      <text>
        <r>
          <rPr>
            <b/>
            <sz val="9"/>
            <rFont val="宋体"/>
            <charset val="0"/>
          </rPr>
          <t>龙丽娟:</t>
        </r>
        <r>
          <rPr>
            <sz val="9"/>
            <rFont val="宋体"/>
            <charset val="0"/>
          </rPr>
          <t xml:space="preserve">
8/8 1000417 2004PCS直走</t>
        </r>
      </text>
    </comment>
    <comment ref="AI534" authorId="2">
      <text>
        <r>
          <rPr>
            <b/>
            <sz val="9"/>
            <rFont val="宋体"/>
            <charset val="134"/>
          </rPr>
          <t>龙丽娟:</t>
        </r>
        <r>
          <rPr>
            <sz val="9"/>
            <rFont val="宋体"/>
            <charset val="134"/>
          </rPr>
          <t xml:space="preserve">
7/14 上客供RFID贴纸2145pcs</t>
        </r>
      </text>
    </comment>
    <comment ref="AG535" authorId="2">
      <text>
        <r>
          <rPr>
            <b/>
            <sz val="9"/>
            <rFont val="宋体"/>
            <charset val="0"/>
          </rPr>
          <t>龙丽娟:</t>
        </r>
        <r>
          <rPr>
            <sz val="9"/>
            <rFont val="宋体"/>
            <charset val="0"/>
          </rPr>
          <t xml:space="preserve">
8/8 1000415 18pcs馥通c3</t>
        </r>
      </text>
    </comment>
    <comment ref="AG536" authorId="2">
      <text>
        <r>
          <rPr>
            <b/>
            <sz val="9"/>
            <rFont val="宋体"/>
            <charset val="0"/>
          </rPr>
          <t>龙丽娟:</t>
        </r>
        <r>
          <rPr>
            <sz val="9"/>
            <rFont val="宋体"/>
            <charset val="0"/>
          </rPr>
          <t xml:space="preserve">
1001544 8/6 16pcs 欣泰仓库一楼A5</t>
        </r>
      </text>
    </comment>
    <comment ref="AI538" authorId="2">
      <text>
        <r>
          <rPr>
            <b/>
            <sz val="9"/>
            <rFont val="宋体"/>
            <charset val="134"/>
          </rPr>
          <t>龙丽娟:</t>
        </r>
        <r>
          <rPr>
            <sz val="9"/>
            <rFont val="宋体"/>
            <charset val="134"/>
          </rPr>
          <t xml:space="preserve">
7/9收到亚马逊外箱贴纸101pcs</t>
        </r>
      </text>
    </comment>
    <comment ref="AI550" authorId="2">
      <text>
        <r>
          <rPr>
            <b/>
            <sz val="9"/>
            <rFont val="宋体"/>
            <charset val="134"/>
          </rPr>
          <t>龙丽娟:</t>
        </r>
        <r>
          <rPr>
            <sz val="9"/>
            <rFont val="宋体"/>
            <charset val="134"/>
          </rPr>
          <t xml:space="preserve">
7/20上警语/客人信息/意大利回收标贴纸1600pcs</t>
        </r>
      </text>
    </comment>
    <comment ref="AI552" authorId="2">
      <text>
        <r>
          <rPr>
            <b/>
            <sz val="9"/>
            <rFont val="宋体"/>
            <charset val="134"/>
          </rPr>
          <t>龙丽娟:</t>
        </r>
        <r>
          <rPr>
            <sz val="9"/>
            <rFont val="宋体"/>
            <charset val="134"/>
          </rPr>
          <t xml:space="preserve">
7/16上环保标/DE/IT警告语贴纸32592
210819/211827共用</t>
        </r>
      </text>
    </comment>
    <comment ref="AG553" authorId="2">
      <text>
        <r>
          <rPr>
            <b/>
            <sz val="9"/>
            <rFont val="宋体"/>
            <charset val="134"/>
          </rPr>
          <t>龙丽娟:</t>
        </r>
        <r>
          <rPr>
            <sz val="9"/>
            <rFont val="宋体"/>
            <charset val="134"/>
          </rPr>
          <t xml:space="preserve">
7/22 2801338 224pcs</t>
        </r>
      </text>
    </comment>
    <comment ref="AI559" authorId="2">
      <text>
        <r>
          <rPr>
            <b/>
            <sz val="9"/>
            <rFont val="宋体"/>
            <charset val="134"/>
          </rPr>
          <t>龙丽娟:</t>
        </r>
        <r>
          <rPr>
            <sz val="9"/>
            <rFont val="宋体"/>
            <charset val="134"/>
          </rPr>
          <t xml:space="preserve">
6/23上upc贴纸2144pcs</t>
        </r>
      </text>
    </comment>
    <comment ref="AI560" authorId="2">
      <text>
        <r>
          <rPr>
            <b/>
            <sz val="9"/>
            <rFont val="宋体"/>
            <charset val="134"/>
          </rPr>
          <t>龙丽娟:</t>
        </r>
        <r>
          <rPr>
            <sz val="9"/>
            <rFont val="宋体"/>
            <charset val="134"/>
          </rPr>
          <t xml:space="preserve">
7/20上upc贴纸15002pcs</t>
        </r>
      </text>
    </comment>
    <comment ref="AE562" authorId="2">
      <text>
        <r>
          <rPr>
            <b/>
            <sz val="9"/>
            <rFont val="宋体"/>
            <charset val="0"/>
          </rPr>
          <t>龙丽娟:</t>
        </r>
        <r>
          <rPr>
            <sz val="9"/>
            <rFont val="宋体"/>
            <charset val="0"/>
          </rPr>
          <t xml:space="preserve">
8/8 1001512 2400pcs欣泰B4</t>
        </r>
      </text>
    </comment>
    <comment ref="AI564" authorId="2">
      <text>
        <r>
          <rPr>
            <b/>
            <sz val="9"/>
            <rFont val="宋体"/>
            <charset val="134"/>
          </rPr>
          <t>龙丽娟:</t>
        </r>
        <r>
          <rPr>
            <sz val="9"/>
            <rFont val="宋体"/>
            <charset val="134"/>
          </rPr>
          <t xml:space="preserve">
7/9收到亚马逊外箱贴纸185pcs</t>
        </r>
        <r>
          <rPr>
            <b/>
            <sz val="9"/>
            <rFont val="宋体"/>
            <charset val="134"/>
          </rPr>
          <t xml:space="preserve">
龙丽娟:</t>
        </r>
        <r>
          <rPr>
            <sz val="9"/>
            <rFont val="宋体"/>
            <charset val="134"/>
          </rPr>
          <t xml:space="preserve">
7/16上环保标/DE/IT警告语贴纸32592
210819/211827共用</t>
        </r>
      </text>
    </comment>
    <comment ref="AI565" authorId="2">
      <text>
        <r>
          <rPr>
            <b/>
            <sz val="9"/>
            <rFont val="宋体"/>
            <charset val="134"/>
          </rPr>
          <t>龙丽娟:</t>
        </r>
        <r>
          <rPr>
            <sz val="9"/>
            <rFont val="宋体"/>
            <charset val="134"/>
          </rPr>
          <t xml:space="preserve">
7/9收到亚马逊外箱贴纸185pcs</t>
        </r>
        <r>
          <rPr>
            <b/>
            <sz val="9"/>
            <rFont val="宋体"/>
            <charset val="134"/>
          </rPr>
          <t xml:space="preserve">
龙丽娟:</t>
        </r>
        <r>
          <rPr>
            <sz val="9"/>
            <rFont val="宋体"/>
            <charset val="134"/>
          </rPr>
          <t xml:space="preserve">
7/16上环保标/DE/IT警告语贴纸32592
210819/211827共用</t>
        </r>
      </text>
    </comment>
    <comment ref="AI566" authorId="2">
      <text>
        <r>
          <rPr>
            <b/>
            <sz val="9"/>
            <rFont val="宋体"/>
            <charset val="134"/>
          </rPr>
          <t>龙丽娟:</t>
        </r>
        <r>
          <rPr>
            <sz val="9"/>
            <rFont val="宋体"/>
            <charset val="134"/>
          </rPr>
          <t xml:space="preserve">
7/9收到亚马逊外箱贴纸188pcs</t>
        </r>
        <r>
          <rPr>
            <b/>
            <sz val="9"/>
            <rFont val="宋体"/>
            <charset val="134"/>
          </rPr>
          <t xml:space="preserve">
龙丽娟:</t>
        </r>
        <r>
          <rPr>
            <sz val="9"/>
            <rFont val="宋体"/>
            <charset val="134"/>
          </rPr>
          <t xml:space="preserve">
7/16上环保标/DE/IT警告语贴纸32592
210819/211827共用</t>
        </r>
      </text>
    </comment>
    <comment ref="AG567" authorId="2">
      <text>
        <r>
          <rPr>
            <b/>
            <sz val="9"/>
            <rFont val="宋体"/>
            <charset val="134"/>
          </rPr>
          <t>龙丽娟:</t>
        </r>
        <r>
          <rPr>
            <sz val="9"/>
            <rFont val="宋体"/>
            <charset val="134"/>
          </rPr>
          <t xml:space="preserve">
3004733 8/1 1872pcs欣泰c6</t>
        </r>
      </text>
    </comment>
    <comment ref="AI567" authorId="2">
      <text>
        <r>
          <rPr>
            <b/>
            <sz val="9"/>
            <rFont val="宋体"/>
            <charset val="134"/>
          </rPr>
          <t>龙丽娟:</t>
        </r>
        <r>
          <rPr>
            <sz val="9"/>
            <rFont val="宋体"/>
            <charset val="134"/>
          </rPr>
          <t xml:space="preserve">
7/9收到亚马逊外箱贴纸117pcs</t>
        </r>
        <r>
          <rPr>
            <b/>
            <sz val="9"/>
            <rFont val="宋体"/>
            <charset val="134"/>
          </rPr>
          <t xml:space="preserve">
龙丽娟:</t>
        </r>
        <r>
          <rPr>
            <sz val="9"/>
            <rFont val="宋体"/>
            <charset val="134"/>
          </rPr>
          <t xml:space="preserve">
7/16上环保标/DE/IT警告语贴纸32592
210819/211827共用</t>
        </r>
      </text>
    </comment>
    <comment ref="AI568" authorId="2">
      <text>
        <r>
          <rPr>
            <b/>
            <sz val="9"/>
            <rFont val="宋体"/>
            <charset val="134"/>
          </rPr>
          <t>龙丽娟:</t>
        </r>
        <r>
          <rPr>
            <sz val="9"/>
            <rFont val="宋体"/>
            <charset val="134"/>
          </rPr>
          <t xml:space="preserve">
7/9收到亚马逊外箱贴纸117pcs</t>
        </r>
        <r>
          <rPr>
            <b/>
            <sz val="9"/>
            <rFont val="宋体"/>
            <charset val="134"/>
          </rPr>
          <t xml:space="preserve">
龙丽娟:</t>
        </r>
        <r>
          <rPr>
            <sz val="9"/>
            <rFont val="宋体"/>
            <charset val="134"/>
          </rPr>
          <t xml:space="preserve">
7/16上环保标/DE/IT警告语贴纸32592
210819/211827共用</t>
        </r>
      </text>
    </comment>
    <comment ref="AG569" authorId="2">
      <text>
        <r>
          <rPr>
            <b/>
            <sz val="9"/>
            <rFont val="宋体"/>
            <charset val="134"/>
          </rPr>
          <t>龙丽娟:</t>
        </r>
        <r>
          <rPr>
            <sz val="9"/>
            <rFont val="宋体"/>
            <charset val="134"/>
          </rPr>
          <t xml:space="preserve">
8/1 3004733 1296pcs欣泰c6</t>
        </r>
      </text>
    </comment>
    <comment ref="AI569" authorId="2">
      <text>
        <r>
          <rPr>
            <b/>
            <sz val="9"/>
            <rFont val="宋体"/>
            <charset val="134"/>
          </rPr>
          <t>龙丽娟:</t>
        </r>
        <r>
          <rPr>
            <sz val="9"/>
            <rFont val="宋体"/>
            <charset val="134"/>
          </rPr>
          <t xml:space="preserve">
7/9收到亚马逊外箱贴纸350pcs</t>
        </r>
        <r>
          <rPr>
            <b/>
            <sz val="9"/>
            <rFont val="宋体"/>
            <charset val="134"/>
          </rPr>
          <t xml:space="preserve">
龙丽娟:</t>
        </r>
        <r>
          <rPr>
            <sz val="9"/>
            <rFont val="宋体"/>
            <charset val="134"/>
          </rPr>
          <t xml:space="preserve">
7/16上环保标/DE/IT警告语贴纸32592
210819/211827共用</t>
        </r>
      </text>
    </comment>
    <comment ref="AI570" authorId="2">
      <text>
        <r>
          <rPr>
            <b/>
            <sz val="9"/>
            <rFont val="宋体"/>
            <charset val="134"/>
          </rPr>
          <t>龙丽娟:</t>
        </r>
        <r>
          <rPr>
            <sz val="9"/>
            <rFont val="宋体"/>
            <charset val="134"/>
          </rPr>
          <t xml:space="preserve">
7/9收到亚马逊外箱贴纸185pcs</t>
        </r>
        <r>
          <rPr>
            <b/>
            <sz val="9"/>
            <rFont val="宋体"/>
            <charset val="134"/>
          </rPr>
          <t xml:space="preserve">
龙丽娟:</t>
        </r>
        <r>
          <rPr>
            <sz val="9"/>
            <rFont val="宋体"/>
            <charset val="134"/>
          </rPr>
          <t xml:space="preserve">
7/16上环保标/DE/IT警告语贴纸32592
210819/211827共用</t>
        </r>
      </text>
    </comment>
    <comment ref="AI571" authorId="2">
      <text>
        <r>
          <rPr>
            <b/>
            <sz val="9"/>
            <rFont val="宋体"/>
            <charset val="134"/>
          </rPr>
          <t>龙丽娟:</t>
        </r>
        <r>
          <rPr>
            <sz val="9"/>
            <rFont val="宋体"/>
            <charset val="134"/>
          </rPr>
          <t xml:space="preserve">
7/9收到亚马逊外箱贴纸185pcs</t>
        </r>
        <r>
          <rPr>
            <b/>
            <sz val="9"/>
            <rFont val="宋体"/>
            <charset val="134"/>
          </rPr>
          <t xml:space="preserve">
龙丽娟:</t>
        </r>
        <r>
          <rPr>
            <sz val="9"/>
            <rFont val="宋体"/>
            <charset val="134"/>
          </rPr>
          <t xml:space="preserve">
7/16上环保标/DE/IT警告语贴纸32592
210819/211827共用</t>
        </r>
      </text>
    </comment>
    <comment ref="AI572" authorId="2">
      <text>
        <r>
          <rPr>
            <b/>
            <sz val="9"/>
            <rFont val="宋体"/>
            <charset val="134"/>
          </rPr>
          <t>龙丽娟:</t>
        </r>
        <r>
          <rPr>
            <sz val="9"/>
            <rFont val="宋体"/>
            <charset val="134"/>
          </rPr>
          <t xml:space="preserve">
7/16上客户进口商贴纸480pcs</t>
        </r>
      </text>
    </comment>
    <comment ref="AG573" authorId="2">
      <text>
        <r>
          <rPr>
            <b/>
            <sz val="9"/>
            <rFont val="宋体"/>
            <charset val="0"/>
          </rPr>
          <t>龙丽娟:</t>
        </r>
        <r>
          <rPr>
            <sz val="9"/>
            <rFont val="宋体"/>
            <charset val="0"/>
          </rPr>
          <t xml:space="preserve">
8/6 1001547 1000pcs钜顺A4</t>
        </r>
      </text>
    </comment>
    <comment ref="AG575" authorId="2">
      <text>
        <r>
          <rPr>
            <b/>
            <sz val="9"/>
            <rFont val="宋体"/>
            <charset val="0"/>
          </rPr>
          <t>龙丽娟:</t>
        </r>
        <r>
          <rPr>
            <sz val="9"/>
            <rFont val="宋体"/>
            <charset val="0"/>
          </rPr>
          <t xml:space="preserve">
1016774 8/14 2000pcs</t>
        </r>
      </text>
    </comment>
    <comment ref="AG576" authorId="2">
      <text>
        <r>
          <rPr>
            <b/>
            <sz val="9"/>
            <rFont val="宋体"/>
            <charset val="134"/>
          </rPr>
          <t>龙丽娟:</t>
        </r>
        <r>
          <rPr>
            <sz val="9"/>
            <rFont val="宋体"/>
            <charset val="134"/>
          </rPr>
          <t xml:space="preserve">
1016763 8/3 3600pcs</t>
        </r>
      </text>
    </comment>
    <comment ref="AI576" authorId="2">
      <text>
        <r>
          <rPr>
            <b/>
            <sz val="9"/>
            <rFont val="宋体"/>
            <charset val="134"/>
          </rPr>
          <t>龙丽娟:</t>
        </r>
        <r>
          <rPr>
            <sz val="9"/>
            <rFont val="宋体"/>
            <charset val="134"/>
          </rPr>
          <t xml:space="preserve">
7/15上客人通用进口商3600pcs</t>
        </r>
      </text>
    </comment>
    <comment ref="AG581" authorId="2">
      <text>
        <r>
          <rPr>
            <b/>
            <sz val="9"/>
            <rFont val="宋体"/>
            <charset val="134"/>
          </rPr>
          <t>龙丽娟:</t>
        </r>
        <r>
          <rPr>
            <sz val="9"/>
            <rFont val="宋体"/>
            <charset val="134"/>
          </rPr>
          <t xml:space="preserve">
3004754 8/4 3216pcs馥通B3</t>
        </r>
      </text>
    </comment>
    <comment ref="AG582" authorId="2">
      <text>
        <r>
          <rPr>
            <b/>
            <sz val="9"/>
            <rFont val="宋体"/>
            <charset val="134"/>
          </rPr>
          <t>龙丽娟:</t>
        </r>
        <r>
          <rPr>
            <sz val="9"/>
            <rFont val="宋体"/>
            <charset val="134"/>
          </rPr>
          <t xml:space="preserve">
1016765 8/6 104pcs</t>
        </r>
      </text>
    </comment>
    <comment ref="AI582" authorId="2">
      <text>
        <r>
          <rPr>
            <b/>
            <sz val="9"/>
            <rFont val="宋体"/>
            <charset val="134"/>
          </rPr>
          <t>龙丽娟:</t>
        </r>
        <r>
          <rPr>
            <sz val="9"/>
            <rFont val="宋体"/>
            <charset val="134"/>
          </rPr>
          <t xml:space="preserve">
7/15 上防盗贴纸 104pcs</t>
        </r>
        <r>
          <rPr>
            <b/>
            <sz val="9"/>
            <rFont val="宋体"/>
            <charset val="134"/>
          </rPr>
          <t xml:space="preserve">
龙丽娟:</t>
        </r>
        <r>
          <rPr>
            <sz val="9"/>
            <rFont val="宋体"/>
            <charset val="134"/>
          </rPr>
          <t xml:space="preserve">
7/21上kmart外箱贴纸175pcs</t>
        </r>
      </text>
    </comment>
    <comment ref="AG583" authorId="2">
      <text>
        <r>
          <rPr>
            <b/>
            <sz val="9"/>
            <rFont val="宋体"/>
            <charset val="134"/>
          </rPr>
          <t>龙丽娟:</t>
        </r>
        <r>
          <rPr>
            <sz val="9"/>
            <rFont val="宋体"/>
            <charset val="134"/>
          </rPr>
          <t xml:space="preserve">
1016765 8/6 1400pcs</t>
        </r>
      </text>
    </comment>
    <comment ref="AI583" authorId="2">
      <text>
        <r>
          <rPr>
            <b/>
            <sz val="9"/>
            <rFont val="宋体"/>
            <charset val="134"/>
          </rPr>
          <t>龙丽娟:</t>
        </r>
        <r>
          <rPr>
            <sz val="9"/>
            <rFont val="宋体"/>
            <charset val="134"/>
          </rPr>
          <t xml:space="preserve">
7/15 上防盗贴纸 1400pcs</t>
        </r>
        <r>
          <rPr>
            <b/>
            <sz val="9"/>
            <rFont val="宋体"/>
            <charset val="134"/>
          </rPr>
          <t xml:space="preserve">
龙丽娟:</t>
        </r>
        <r>
          <rPr>
            <sz val="9"/>
            <rFont val="宋体"/>
            <charset val="134"/>
          </rPr>
          <t xml:space="preserve">
7/21上kmart外箱贴纸175pcs</t>
        </r>
      </text>
    </comment>
    <comment ref="AI584" authorId="2">
      <text>
        <r>
          <rPr>
            <b/>
            <sz val="9"/>
            <rFont val="宋体"/>
            <charset val="134"/>
          </rPr>
          <t>龙丽娟:</t>
        </r>
        <r>
          <rPr>
            <sz val="9"/>
            <rFont val="宋体"/>
            <charset val="134"/>
          </rPr>
          <t xml:space="preserve">
7/21上客供亚马逊外箱贴纸63pcs</t>
        </r>
      </text>
    </comment>
    <comment ref="AI585" authorId="2">
      <text>
        <r>
          <rPr>
            <b/>
            <sz val="9"/>
            <rFont val="宋体"/>
            <charset val="134"/>
          </rPr>
          <t>龙丽娟:</t>
        </r>
        <r>
          <rPr>
            <sz val="9"/>
            <rFont val="宋体"/>
            <charset val="134"/>
          </rPr>
          <t xml:space="preserve">
7/21上客供亚马逊外箱贴纸771pcs</t>
        </r>
      </text>
    </comment>
    <comment ref="AQ586" authorId="3">
      <text>
        <r>
          <rPr>
            <b/>
            <sz val="9"/>
            <rFont val="宋体"/>
            <charset val="134"/>
          </rPr>
          <t>RR:</t>
        </r>
        <r>
          <rPr>
            <sz val="9"/>
            <rFont val="宋体"/>
            <charset val="134"/>
          </rPr>
          <t xml:space="preserve">
新客版资料</t>
        </r>
      </text>
    </comment>
    <comment ref="AR586" authorId="3">
      <text>
        <r>
          <rPr>
            <b/>
            <sz val="9"/>
            <rFont val="宋体"/>
            <charset val="134"/>
          </rPr>
          <t>RR:</t>
        </r>
        <r>
          <rPr>
            <sz val="9"/>
            <rFont val="宋体"/>
            <charset val="134"/>
          </rPr>
          <t xml:space="preserve">
新客版资料</t>
        </r>
      </text>
    </comment>
    <comment ref="AS586" authorId="3">
      <text>
        <r>
          <rPr>
            <b/>
            <sz val="9"/>
            <rFont val="宋体"/>
            <charset val="134"/>
          </rPr>
          <t>RR:</t>
        </r>
        <r>
          <rPr>
            <sz val="9"/>
            <rFont val="宋体"/>
            <charset val="134"/>
          </rPr>
          <t xml:space="preserve">
新客版资料</t>
        </r>
      </text>
    </comment>
    <comment ref="AG588" authorId="2">
      <text>
        <r>
          <rPr>
            <b/>
            <sz val="9"/>
            <rFont val="宋体"/>
            <charset val="134"/>
          </rPr>
          <t>龙丽娟:</t>
        </r>
        <r>
          <rPr>
            <sz val="9"/>
            <rFont val="宋体"/>
            <charset val="134"/>
          </rPr>
          <t xml:space="preserve">
1016765 8/6 5600pcs</t>
        </r>
      </text>
    </comment>
    <comment ref="AG590" authorId="2">
      <text>
        <r>
          <rPr>
            <b/>
            <sz val="9"/>
            <rFont val="宋体"/>
            <charset val="134"/>
          </rPr>
          <t>龙丽娟:</t>
        </r>
        <r>
          <rPr>
            <sz val="9"/>
            <rFont val="宋体"/>
            <charset val="134"/>
          </rPr>
          <t xml:space="preserve">
8/4 3003972 800pcs钜顺B4</t>
        </r>
      </text>
    </comment>
    <comment ref="AI594" authorId="2">
      <text>
        <r>
          <rPr>
            <b/>
            <sz val="9"/>
            <rFont val="宋体"/>
            <charset val="134"/>
          </rPr>
          <t>龙丽娟:</t>
        </r>
        <r>
          <rPr>
            <sz val="9"/>
            <rFont val="宋体"/>
            <charset val="134"/>
          </rPr>
          <t xml:space="preserve">
6/26 上锂电池贴纸 2000+17200pcs 
207763/208482/208497/211875/211883共用</t>
        </r>
        <r>
          <rPr>
            <b/>
            <sz val="9"/>
            <rFont val="宋体"/>
            <charset val="134"/>
          </rPr>
          <t xml:space="preserve">
龙丽娟:</t>
        </r>
        <r>
          <rPr>
            <sz val="9"/>
            <rFont val="宋体"/>
            <charset val="134"/>
          </rPr>
          <t xml:space="preserve">
6/30 上艾利贴纸  10pcs</t>
        </r>
        <r>
          <rPr>
            <b/>
            <sz val="9"/>
            <rFont val="宋体"/>
            <charset val="134"/>
          </rPr>
          <t xml:space="preserve">
龙丽娟:</t>
        </r>
        <r>
          <rPr>
            <sz val="9"/>
            <rFont val="宋体"/>
            <charset val="134"/>
          </rPr>
          <t xml:space="preserve">
7/3上客供RFID贴纸5120pcs</t>
        </r>
      </text>
    </comment>
    <comment ref="AI595" authorId="2">
      <text>
        <r>
          <rPr>
            <b/>
            <sz val="9"/>
            <rFont val="宋体"/>
            <charset val="134"/>
          </rPr>
          <t>龙丽娟:</t>
        </r>
        <r>
          <rPr>
            <sz val="9"/>
            <rFont val="宋体"/>
            <charset val="134"/>
          </rPr>
          <t xml:space="preserve">
6/26 上锂电池贴纸 2000+17200pcs 
207763/208482/208497/211875/211883共用</t>
        </r>
        <r>
          <rPr>
            <b/>
            <sz val="9"/>
            <rFont val="宋体"/>
            <charset val="134"/>
          </rPr>
          <t xml:space="preserve">
龙丽娟:</t>
        </r>
        <r>
          <rPr>
            <sz val="9"/>
            <rFont val="宋体"/>
            <charset val="134"/>
          </rPr>
          <t xml:space="preserve">
6/30 上艾利贴纸  21pcs</t>
        </r>
        <r>
          <rPr>
            <b/>
            <sz val="9"/>
            <rFont val="宋体"/>
            <charset val="134"/>
          </rPr>
          <t xml:space="preserve">
龙丽娟:</t>
        </r>
        <r>
          <rPr>
            <sz val="9"/>
            <rFont val="宋体"/>
            <charset val="134"/>
          </rPr>
          <t xml:space="preserve">
7/3上客供RFID贴纸10752pcs</t>
        </r>
      </text>
    </comment>
    <comment ref="AG596" authorId="2">
      <text>
        <r>
          <rPr>
            <b/>
            <sz val="9"/>
            <rFont val="宋体"/>
            <charset val="134"/>
          </rPr>
          <t>龙丽娟:</t>
        </r>
        <r>
          <rPr>
            <sz val="9"/>
            <rFont val="宋体"/>
            <charset val="134"/>
          </rPr>
          <t xml:space="preserve">
1016768 8/10 7168pcs</t>
        </r>
      </text>
    </comment>
    <comment ref="AI596" authorId="2">
      <text>
        <r>
          <rPr>
            <b/>
            <sz val="9"/>
            <rFont val="宋体"/>
            <charset val="134"/>
          </rPr>
          <t>龙丽娟:</t>
        </r>
        <r>
          <rPr>
            <sz val="9"/>
            <rFont val="宋体"/>
            <charset val="134"/>
          </rPr>
          <t xml:space="preserve">
6/26 上锂电池贴纸 2000+17200pcs 
207763/208482/208497/211875/211883共用</t>
        </r>
        <r>
          <rPr>
            <b/>
            <sz val="9"/>
            <rFont val="宋体"/>
            <charset val="134"/>
          </rPr>
          <t xml:space="preserve">
龙丽娟:</t>
        </r>
        <r>
          <rPr>
            <sz val="9"/>
            <rFont val="宋体"/>
            <charset val="134"/>
          </rPr>
          <t xml:space="preserve">
6/30 上艾利贴纸  14pcs</t>
        </r>
        <r>
          <rPr>
            <b/>
            <sz val="9"/>
            <rFont val="宋体"/>
            <charset val="134"/>
          </rPr>
          <t xml:space="preserve">
龙丽娟:</t>
        </r>
        <r>
          <rPr>
            <sz val="9"/>
            <rFont val="宋体"/>
            <charset val="134"/>
          </rPr>
          <t xml:space="preserve">
7/3上客供RFID贴纸7168pcs</t>
        </r>
      </text>
    </comment>
    <comment ref="AG597" authorId="2">
      <text>
        <r>
          <rPr>
            <b/>
            <sz val="9"/>
            <rFont val="宋体"/>
            <charset val="0"/>
          </rPr>
          <t>龙丽娟:</t>
        </r>
        <r>
          <rPr>
            <sz val="9"/>
            <rFont val="宋体"/>
            <charset val="0"/>
          </rPr>
          <t xml:space="preserve">
1001522 8/7 512pcs欣泰B2</t>
        </r>
      </text>
    </comment>
    <comment ref="AI598" authorId="2">
      <text>
        <r>
          <rPr>
            <b/>
            <sz val="9"/>
            <rFont val="宋体"/>
            <charset val="134"/>
          </rPr>
          <t>龙丽娟:</t>
        </r>
        <r>
          <rPr>
            <sz val="9"/>
            <rFont val="宋体"/>
            <charset val="134"/>
          </rPr>
          <t xml:space="preserve">
7/16 上进口商贴纸 512pcs</t>
        </r>
      </text>
    </comment>
    <comment ref="AG599" authorId="2">
      <text>
        <r>
          <rPr>
            <b/>
            <sz val="9"/>
            <rFont val="宋体"/>
            <charset val="0"/>
          </rPr>
          <t>龙丽娟:</t>
        </r>
        <r>
          <rPr>
            <sz val="9"/>
            <rFont val="宋体"/>
            <charset val="0"/>
          </rPr>
          <t xml:space="preserve">
1001522 8/7 400pcs欣泰B3</t>
        </r>
      </text>
    </comment>
    <comment ref="AI599" authorId="2">
      <text>
        <r>
          <rPr>
            <b/>
            <sz val="9"/>
            <rFont val="宋体"/>
            <charset val="134"/>
          </rPr>
          <t>龙丽娟:</t>
        </r>
        <r>
          <rPr>
            <sz val="9"/>
            <rFont val="宋体"/>
            <charset val="134"/>
          </rPr>
          <t xml:space="preserve">
7/16 上进口商贴纸 400pcs
         上产品贴纸  400pcs</t>
        </r>
      </text>
    </comment>
    <comment ref="AG600" authorId="2">
      <text>
        <r>
          <rPr>
            <b/>
            <sz val="9"/>
            <rFont val="宋体"/>
            <charset val="0"/>
          </rPr>
          <t>龙丽娟:</t>
        </r>
        <r>
          <rPr>
            <sz val="9"/>
            <rFont val="宋体"/>
            <charset val="0"/>
          </rPr>
          <t xml:space="preserve">
1016776 8/14 9728pcs</t>
        </r>
      </text>
    </comment>
    <comment ref="AI600" authorId="2">
      <text>
        <r>
          <rPr>
            <b/>
            <sz val="9"/>
            <rFont val="宋体"/>
            <charset val="134"/>
          </rPr>
          <t>龙丽娟:</t>
        </r>
        <r>
          <rPr>
            <sz val="9"/>
            <rFont val="宋体"/>
            <charset val="134"/>
          </rPr>
          <t xml:space="preserve">
6/26 上锂电池贴纸 2000+17200pcs 
207763/208482/208497/211875/211883共用</t>
        </r>
        <r>
          <rPr>
            <b/>
            <sz val="9"/>
            <rFont val="宋体"/>
            <charset val="134"/>
          </rPr>
          <t xml:space="preserve">
龙丽娟:</t>
        </r>
        <r>
          <rPr>
            <sz val="9"/>
            <rFont val="宋体"/>
            <charset val="134"/>
          </rPr>
          <t xml:space="preserve">
6/30 上艾利贴纸  19pcs</t>
        </r>
        <r>
          <rPr>
            <b/>
            <sz val="9"/>
            <rFont val="宋体"/>
            <charset val="134"/>
          </rPr>
          <t xml:space="preserve">
龙丽娟:</t>
        </r>
        <r>
          <rPr>
            <sz val="9"/>
            <rFont val="宋体"/>
            <charset val="134"/>
          </rPr>
          <t xml:space="preserve">
7/3上客供RFID贴纸9728pcs</t>
        </r>
      </text>
    </comment>
    <comment ref="AG601" authorId="2">
      <text>
        <r>
          <rPr>
            <b/>
            <sz val="9"/>
            <rFont val="宋体"/>
            <charset val="134"/>
          </rPr>
          <t>龙丽娟:</t>
        </r>
        <r>
          <rPr>
            <sz val="9"/>
            <rFont val="宋体"/>
            <charset val="134"/>
          </rPr>
          <t xml:space="preserve">
1016764 8/5 1824pcs</t>
        </r>
      </text>
    </comment>
    <comment ref="AE602" authorId="2">
      <text>
        <r>
          <rPr>
            <b/>
            <sz val="9"/>
            <rFont val="宋体"/>
            <charset val="134"/>
          </rPr>
          <t>龙丽娟:</t>
        </r>
        <r>
          <rPr>
            <sz val="9"/>
            <rFont val="宋体"/>
            <charset val="134"/>
          </rPr>
          <t xml:space="preserve">
8/4 3003972 1200pcs钜顺B4</t>
        </r>
      </text>
    </comment>
    <comment ref="AI602" authorId="2">
      <text>
        <r>
          <rPr>
            <b/>
            <sz val="9"/>
            <rFont val="宋体"/>
            <charset val="134"/>
          </rPr>
          <t>龙丽娟:</t>
        </r>
        <r>
          <rPr>
            <sz val="9"/>
            <rFont val="宋体"/>
            <charset val="134"/>
          </rPr>
          <t xml:space="preserve">
7/17上UPC贴纸1200pcs</t>
        </r>
      </text>
    </comment>
    <comment ref="AG604" authorId="2">
      <text>
        <r>
          <rPr>
            <b/>
            <sz val="9"/>
            <rFont val="宋体"/>
            <charset val="134"/>
          </rPr>
          <t>龙丽娟:</t>
        </r>
        <r>
          <rPr>
            <sz val="9"/>
            <rFont val="宋体"/>
            <charset val="134"/>
          </rPr>
          <t xml:space="preserve">
1016729 8/11 4272pcs</t>
        </r>
      </text>
    </comment>
    <comment ref="AI605" authorId="2">
      <text>
        <r>
          <rPr>
            <b/>
            <sz val="9"/>
            <rFont val="宋体"/>
            <charset val="134"/>
          </rPr>
          <t>龙丽娟:</t>
        </r>
        <r>
          <rPr>
            <sz val="9"/>
            <rFont val="宋体"/>
            <charset val="134"/>
          </rPr>
          <t xml:space="preserve">
7/21上亚马逊外箱贴纸60pcs</t>
        </r>
      </text>
    </comment>
    <comment ref="AG606" authorId="2">
      <text>
        <r>
          <rPr>
            <b/>
            <sz val="9"/>
            <rFont val="宋体"/>
            <charset val="0"/>
          </rPr>
          <t>龙丽娟:</t>
        </r>
        <r>
          <rPr>
            <sz val="9"/>
            <rFont val="宋体"/>
            <charset val="0"/>
          </rPr>
          <t xml:space="preserve">
1001522 8/7 1024pcs欣泰C3</t>
        </r>
      </text>
    </comment>
    <comment ref="AI606" authorId="2">
      <text>
        <r>
          <rPr>
            <b/>
            <sz val="9"/>
            <rFont val="宋体"/>
            <charset val="134"/>
          </rPr>
          <t>龙丽娟:</t>
        </r>
        <r>
          <rPr>
            <sz val="9"/>
            <rFont val="宋体"/>
            <charset val="134"/>
          </rPr>
          <t xml:space="preserve">
7/20上UPC贴纸/环保标警告语贴纸各10656
213130/021118共用</t>
        </r>
      </text>
    </comment>
    <comment ref="AG607" authorId="2">
      <text>
        <r>
          <rPr>
            <b/>
            <sz val="9"/>
            <rFont val="宋体"/>
            <charset val="0"/>
          </rPr>
          <t>龙丽娟:</t>
        </r>
        <r>
          <rPr>
            <sz val="9"/>
            <rFont val="宋体"/>
            <charset val="0"/>
          </rPr>
          <t xml:space="preserve">
1001522 8/7 1024pcs欣泰B2</t>
        </r>
      </text>
    </comment>
    <comment ref="AI607" authorId="2">
      <text>
        <r>
          <rPr>
            <b/>
            <sz val="9"/>
            <rFont val="宋体"/>
            <charset val="134"/>
          </rPr>
          <t>龙丽娟:</t>
        </r>
        <r>
          <rPr>
            <sz val="9"/>
            <rFont val="宋体"/>
            <charset val="134"/>
          </rPr>
          <t xml:space="preserve">
7/20上UPC贴纸/环保标警告语贴纸各10656
213130/021118共用</t>
        </r>
      </text>
    </comment>
    <comment ref="AG608" authorId="2">
      <text>
        <r>
          <rPr>
            <b/>
            <sz val="9"/>
            <rFont val="宋体"/>
            <charset val="134"/>
          </rPr>
          <t>龙丽娟:</t>
        </r>
        <r>
          <rPr>
            <sz val="9"/>
            <rFont val="宋体"/>
            <charset val="134"/>
          </rPr>
          <t xml:space="preserve">
8/4 3004754 120PCSF馥通B5</t>
        </r>
      </text>
    </comment>
    <comment ref="AI608" authorId="2">
      <text>
        <r>
          <rPr>
            <b/>
            <sz val="9"/>
            <rFont val="宋体"/>
            <charset val="134"/>
          </rPr>
          <t>龙丽娟:</t>
        </r>
        <r>
          <rPr>
            <sz val="9"/>
            <rFont val="宋体"/>
            <charset val="134"/>
          </rPr>
          <t xml:space="preserve">
6/10上UPC贴纸1624pcs
208821/208841共用</t>
        </r>
      </text>
    </comment>
    <comment ref="AG609" authorId="2">
      <text>
        <r>
          <rPr>
            <b/>
            <sz val="9"/>
            <rFont val="宋体"/>
            <charset val="134"/>
          </rPr>
          <t>龙丽娟:</t>
        </r>
        <r>
          <rPr>
            <sz val="9"/>
            <rFont val="宋体"/>
            <charset val="134"/>
          </rPr>
          <t xml:space="preserve">
1016770 8/11 880pcs</t>
        </r>
      </text>
    </comment>
    <comment ref="AG611" authorId="2">
      <text>
        <r>
          <rPr>
            <b/>
            <sz val="9"/>
            <rFont val="宋体"/>
            <charset val="0"/>
          </rPr>
          <t>龙丽娟:</t>
        </r>
        <r>
          <rPr>
            <sz val="9"/>
            <rFont val="宋体"/>
            <charset val="0"/>
          </rPr>
          <t xml:space="preserve">
8/8 2800416 3840pcs欣d6</t>
        </r>
      </text>
    </comment>
    <comment ref="AI611" authorId="2">
      <text>
        <r>
          <rPr>
            <b/>
            <sz val="9"/>
            <rFont val="宋体"/>
            <charset val="134"/>
          </rPr>
          <t>龙丽娟:</t>
        </r>
        <r>
          <rPr>
            <sz val="9"/>
            <rFont val="宋体"/>
            <charset val="134"/>
          </rPr>
          <t xml:space="preserve">
7/16 上客供外箱贴纸 4635pcs</t>
        </r>
      </text>
    </comment>
    <comment ref="AF612" authorId="2">
      <text>
        <r>
          <rPr>
            <b/>
            <sz val="9"/>
            <rFont val="宋体"/>
            <charset val="134"/>
          </rPr>
          <t>龙丽娟:</t>
        </r>
        <r>
          <rPr>
            <sz val="9"/>
            <rFont val="宋体"/>
            <charset val="134"/>
          </rPr>
          <t xml:space="preserve">
河源转湖南，3L订单备注错了1L</t>
        </r>
      </text>
    </comment>
    <comment ref="AG612" authorId="2">
      <text>
        <r>
          <rPr>
            <b/>
            <sz val="9"/>
            <rFont val="宋体"/>
            <charset val="0"/>
          </rPr>
          <t>龙丽娟:</t>
        </r>
        <r>
          <rPr>
            <sz val="9"/>
            <rFont val="宋体"/>
            <charset val="0"/>
          </rPr>
          <t xml:space="preserve">
8/8 1001516 3424pcsB栋A1-C8</t>
        </r>
      </text>
    </comment>
    <comment ref="AI612" authorId="2">
      <text>
        <r>
          <rPr>
            <b/>
            <sz val="9"/>
            <rFont val="宋体"/>
            <charset val="134"/>
          </rPr>
          <t>龙丽娟:</t>
        </r>
        <r>
          <rPr>
            <sz val="9"/>
            <rFont val="宋体"/>
            <charset val="134"/>
          </rPr>
          <t xml:space="preserve">
7/17上进口商贴纸3424pcs</t>
        </r>
      </text>
    </comment>
    <comment ref="AG613" authorId="2">
      <text>
        <r>
          <rPr>
            <b/>
            <sz val="9"/>
            <rFont val="宋体"/>
            <charset val="0"/>
          </rPr>
          <t>龙丽娟:</t>
        </r>
        <r>
          <rPr>
            <sz val="9"/>
            <rFont val="宋体"/>
            <charset val="0"/>
          </rPr>
          <t xml:space="preserve">
8/6 3003095 320pcs欣泰B1</t>
        </r>
      </text>
    </comment>
    <comment ref="AI613" authorId="2">
      <text>
        <r>
          <rPr>
            <b/>
            <sz val="9"/>
            <rFont val="宋体"/>
            <charset val="134"/>
          </rPr>
          <t>龙丽娟:</t>
        </r>
        <r>
          <rPr>
            <sz val="9"/>
            <rFont val="宋体"/>
            <charset val="134"/>
          </rPr>
          <t xml:space="preserve">
7/17上意大利警语贴纸320pcs</t>
        </r>
      </text>
    </comment>
    <comment ref="AI617" authorId="2">
      <text>
        <r>
          <rPr>
            <b/>
            <sz val="9"/>
            <rFont val="宋体"/>
            <charset val="134"/>
          </rPr>
          <t>龙丽娟:</t>
        </r>
        <r>
          <rPr>
            <sz val="9"/>
            <rFont val="宋体"/>
            <charset val="134"/>
          </rPr>
          <t xml:space="preserve">
7/20上UPC贴纸/环保标警告语贴纸各10656
213130/021118共用</t>
        </r>
        <r>
          <rPr>
            <b/>
            <sz val="9"/>
            <rFont val="宋体"/>
            <charset val="134"/>
          </rPr>
          <t xml:space="preserve">
龙丽娟:</t>
        </r>
        <r>
          <rPr>
            <sz val="9"/>
            <rFont val="宋体"/>
            <charset val="134"/>
          </rPr>
          <t xml:space="preserve">
7/21收到亚马逊外箱贴纸188pcs</t>
        </r>
      </text>
    </comment>
    <comment ref="AI618" authorId="2">
      <text>
        <r>
          <rPr>
            <b/>
            <sz val="9"/>
            <rFont val="宋体"/>
            <charset val="134"/>
          </rPr>
          <t>龙丽娟:</t>
        </r>
        <r>
          <rPr>
            <sz val="9"/>
            <rFont val="宋体"/>
            <charset val="134"/>
          </rPr>
          <t xml:space="preserve">
7/20上UPC贴纸/环保标警告语贴纸各10656
213130/021118共用</t>
        </r>
        <r>
          <rPr>
            <b/>
            <sz val="9"/>
            <rFont val="宋体"/>
            <charset val="134"/>
          </rPr>
          <t xml:space="preserve">
龙丽娟:</t>
        </r>
        <r>
          <rPr>
            <sz val="9"/>
            <rFont val="宋体"/>
            <charset val="134"/>
          </rPr>
          <t xml:space="preserve">
7/21上客供亚马逊外箱贴纸350pcs</t>
        </r>
      </text>
    </comment>
    <comment ref="AI619" authorId="2">
      <text>
        <r>
          <rPr>
            <b/>
            <sz val="9"/>
            <rFont val="宋体"/>
            <charset val="134"/>
          </rPr>
          <t>龙丽娟:</t>
        </r>
        <r>
          <rPr>
            <sz val="9"/>
            <rFont val="宋体"/>
            <charset val="134"/>
          </rPr>
          <t xml:space="preserve">
7/17上catlabel贴纸1504pcs</t>
        </r>
      </text>
    </comment>
    <comment ref="AG620" authorId="2">
      <text>
        <r>
          <rPr>
            <b/>
            <sz val="9"/>
            <rFont val="宋体"/>
            <charset val="134"/>
          </rPr>
          <t>龙丽娟:</t>
        </r>
        <r>
          <rPr>
            <sz val="9"/>
            <rFont val="宋体"/>
            <charset val="134"/>
          </rPr>
          <t xml:space="preserve">
3003923 8/7 2976pcs</t>
        </r>
      </text>
    </comment>
    <comment ref="AI620" authorId="2">
      <text>
        <r>
          <rPr>
            <b/>
            <sz val="9"/>
            <rFont val="宋体"/>
            <charset val="134"/>
          </rPr>
          <t>龙丽娟:</t>
        </r>
        <r>
          <rPr>
            <sz val="9"/>
            <rFont val="宋体"/>
            <charset val="134"/>
          </rPr>
          <t xml:space="preserve">
7/18上产品贴纸2880pcs</t>
        </r>
      </text>
    </comment>
    <comment ref="AG621" authorId="2">
      <text>
        <r>
          <rPr>
            <b/>
            <sz val="9"/>
            <rFont val="宋体"/>
            <charset val="0"/>
          </rPr>
          <t>龙丽娟:</t>
        </r>
        <r>
          <rPr>
            <sz val="9"/>
            <rFont val="宋体"/>
            <charset val="0"/>
          </rPr>
          <t xml:space="preserve">
8/6 3003095 1488pcs欣泰B1</t>
        </r>
      </text>
    </comment>
    <comment ref="AI621" authorId="2">
      <text>
        <r>
          <rPr>
            <b/>
            <sz val="9"/>
            <rFont val="宋体"/>
            <charset val="134"/>
          </rPr>
          <t>龙丽娟:</t>
        </r>
        <r>
          <rPr>
            <sz val="9"/>
            <rFont val="宋体"/>
            <charset val="134"/>
          </rPr>
          <t xml:space="preserve">
7/21上亚马逊外箱贴纸93pcs</t>
        </r>
      </text>
    </comment>
    <comment ref="AG622" authorId="2">
      <text>
        <r>
          <rPr>
            <b/>
            <sz val="9"/>
            <rFont val="宋体"/>
            <charset val="0"/>
          </rPr>
          <t>龙丽娟:</t>
        </r>
        <r>
          <rPr>
            <sz val="9"/>
            <rFont val="宋体"/>
            <charset val="0"/>
          </rPr>
          <t xml:space="preserve">
3003924 8/7 1936pcsB4</t>
        </r>
      </text>
    </comment>
    <comment ref="AI622" authorId="2">
      <text>
        <r>
          <rPr>
            <b/>
            <sz val="9"/>
            <rFont val="宋体"/>
            <charset val="134"/>
          </rPr>
          <t>龙丽娟:</t>
        </r>
        <r>
          <rPr>
            <sz val="9"/>
            <rFont val="宋体"/>
            <charset val="134"/>
          </rPr>
          <t xml:space="preserve">
7/21上亚马逊外箱贴纸121pcs</t>
        </r>
      </text>
    </comment>
    <comment ref="AG623" authorId="2">
      <text>
        <r>
          <rPr>
            <b/>
            <sz val="9"/>
            <rFont val="宋体"/>
            <charset val="0"/>
          </rPr>
          <t>龙丽娟:</t>
        </r>
        <r>
          <rPr>
            <sz val="9"/>
            <rFont val="宋体"/>
            <charset val="0"/>
          </rPr>
          <t xml:space="preserve">
8/6 1001536 432pcs 欣泰c6</t>
        </r>
      </text>
    </comment>
    <comment ref="AG624" authorId="2">
      <text>
        <r>
          <rPr>
            <b/>
            <sz val="9"/>
            <rFont val="宋体"/>
            <charset val="0"/>
          </rPr>
          <t>龙丽娟:</t>
        </r>
        <r>
          <rPr>
            <sz val="9"/>
            <rFont val="宋体"/>
            <charset val="0"/>
          </rPr>
          <t xml:space="preserve">
8/6 1001536 2576pcs欣泰c2</t>
        </r>
      </text>
    </comment>
    <comment ref="AE625" authorId="2">
      <text>
        <r>
          <rPr>
            <b/>
            <sz val="9"/>
            <rFont val="宋体"/>
            <charset val="0"/>
          </rPr>
          <t>龙丽娟:</t>
        </r>
        <r>
          <rPr>
            <sz val="9"/>
            <rFont val="宋体"/>
            <charset val="0"/>
          </rPr>
          <t xml:space="preserve">
8/6 3003095 3152pcs</t>
        </r>
      </text>
    </comment>
    <comment ref="AG625" authorId="2">
      <text>
        <r>
          <rPr>
            <b/>
            <sz val="9"/>
            <rFont val="宋体"/>
            <charset val="0"/>
          </rPr>
          <t>龙丽娟:</t>
        </r>
        <r>
          <rPr>
            <sz val="9"/>
            <rFont val="宋体"/>
            <charset val="0"/>
          </rPr>
          <t xml:space="preserve">
8/6 3003095 3152pcs欣泰c1</t>
        </r>
      </text>
    </comment>
    <comment ref="AG626" authorId="2">
      <text>
        <r>
          <rPr>
            <b/>
            <sz val="9"/>
            <rFont val="宋体"/>
            <charset val="134"/>
          </rPr>
          <t>龙丽娟:</t>
        </r>
        <r>
          <rPr>
            <sz val="9"/>
            <rFont val="宋体"/>
            <charset val="134"/>
          </rPr>
          <t xml:space="preserve">
1016767 8/10 4168pcs</t>
        </r>
      </text>
    </comment>
    <comment ref="AI626" authorId="2">
      <text>
        <r>
          <rPr>
            <b/>
            <sz val="9"/>
            <rFont val="宋体"/>
            <charset val="134"/>
          </rPr>
          <t>龙丽娟:</t>
        </r>
        <r>
          <rPr>
            <sz val="9"/>
            <rFont val="宋体"/>
            <charset val="134"/>
          </rPr>
          <t xml:space="preserve">
7/3上客供RFID贴纸4168pcs</t>
        </r>
      </text>
    </comment>
    <comment ref="AG627" authorId="2">
      <text>
        <r>
          <rPr>
            <b/>
            <sz val="9"/>
            <rFont val="宋体"/>
            <charset val="0"/>
          </rPr>
          <t>龙丽娟:</t>
        </r>
        <r>
          <rPr>
            <sz val="9"/>
            <rFont val="宋体"/>
            <charset val="0"/>
          </rPr>
          <t xml:space="preserve">
1001522 8/7 424pcs欣泰A5</t>
        </r>
      </text>
    </comment>
    <comment ref="AG628" authorId="2">
      <text>
        <r>
          <rPr>
            <b/>
            <sz val="9"/>
            <rFont val="宋体"/>
            <charset val="0"/>
          </rPr>
          <t>龙丽娟:</t>
        </r>
        <r>
          <rPr>
            <sz val="9"/>
            <rFont val="宋体"/>
            <charset val="0"/>
          </rPr>
          <t xml:space="preserve">
1016774 8/14 216pcs</t>
        </r>
      </text>
    </comment>
    <comment ref="AG629" authorId="2">
      <text>
        <r>
          <rPr>
            <b/>
            <sz val="9"/>
            <rFont val="宋体"/>
            <charset val="134"/>
          </rPr>
          <t>龙丽娟:</t>
        </r>
        <r>
          <rPr>
            <sz val="9"/>
            <rFont val="宋体"/>
            <charset val="134"/>
          </rPr>
          <t xml:space="preserve">
3003923 8/7 2976pcs</t>
        </r>
      </text>
    </comment>
    <comment ref="AI636" authorId="2">
      <text>
        <r>
          <rPr>
            <b/>
            <sz val="9"/>
            <rFont val="宋体"/>
            <charset val="134"/>
          </rPr>
          <t>龙丽娟:</t>
        </r>
        <r>
          <rPr>
            <sz val="9"/>
            <rFont val="宋体"/>
            <charset val="134"/>
          </rPr>
          <t xml:space="preserve">
7/14上多语警语贴纸800pcs</t>
        </r>
      </text>
    </comment>
    <comment ref="AI638" authorId="2">
      <text>
        <r>
          <rPr>
            <b/>
            <sz val="9"/>
            <rFont val="宋体"/>
            <charset val="134"/>
          </rPr>
          <t>龙丽娟:</t>
        </r>
        <r>
          <rPr>
            <sz val="9"/>
            <rFont val="宋体"/>
            <charset val="134"/>
          </rPr>
          <t xml:space="preserve">
7/16上进口商贴纸1488pcs</t>
        </r>
      </text>
    </comment>
    <comment ref="AG639" authorId="2">
      <text>
        <r>
          <rPr>
            <b/>
            <sz val="9"/>
            <rFont val="宋体"/>
            <charset val="0"/>
          </rPr>
          <t>龙丽娟:</t>
        </r>
        <r>
          <rPr>
            <sz val="9"/>
            <rFont val="宋体"/>
            <charset val="0"/>
          </rPr>
          <t xml:space="preserve">
1001530 8/8 2160PCS欣泰C7</t>
        </r>
      </text>
    </comment>
    <comment ref="AG640" authorId="2">
      <text>
        <r>
          <rPr>
            <b/>
            <sz val="9"/>
            <rFont val="宋体"/>
            <charset val="0"/>
          </rPr>
          <t>龙丽娟:</t>
        </r>
        <r>
          <rPr>
            <sz val="9"/>
            <rFont val="宋体"/>
            <charset val="0"/>
          </rPr>
          <t xml:space="preserve">
3003923 8/7 2976pcsA5</t>
        </r>
        <r>
          <rPr>
            <b/>
            <sz val="9"/>
            <rFont val="宋体"/>
            <charset val="0"/>
          </rPr>
          <t xml:space="preserve">
龙丽娟:</t>
        </r>
        <r>
          <rPr>
            <sz val="9"/>
            <rFont val="宋体"/>
            <charset val="0"/>
          </rPr>
          <t xml:space="preserve">
3003924 8/7 32pcsA5</t>
        </r>
      </text>
    </comment>
    <comment ref="AG641" authorId="2">
      <text>
        <r>
          <rPr>
            <b/>
            <sz val="9"/>
            <rFont val="宋体"/>
            <charset val="0"/>
          </rPr>
          <t>龙丽娟:</t>
        </r>
        <r>
          <rPr>
            <sz val="9"/>
            <rFont val="宋体"/>
            <charset val="0"/>
          </rPr>
          <t xml:space="preserve">
8/13 1000473 1134PCS</t>
        </r>
      </text>
    </comment>
    <comment ref="AG643" authorId="2">
      <text>
        <r>
          <rPr>
            <b/>
            <sz val="9"/>
            <rFont val="宋体"/>
            <charset val="0"/>
          </rPr>
          <t>龙丽娟:</t>
        </r>
        <r>
          <rPr>
            <sz val="9"/>
            <rFont val="宋体"/>
            <charset val="0"/>
          </rPr>
          <t xml:space="preserve">
1001522 8/7 5008pcs欣泰c4</t>
        </r>
      </text>
    </comment>
    <comment ref="AI643" authorId="2">
      <text>
        <r>
          <rPr>
            <b/>
            <sz val="9"/>
            <rFont val="宋体"/>
            <charset val="134"/>
          </rPr>
          <t>龙丽娟:</t>
        </r>
        <r>
          <rPr>
            <sz val="9"/>
            <rFont val="宋体"/>
            <charset val="134"/>
          </rPr>
          <t xml:space="preserve">
7/6上进口商/UPC贴纸各5008pcs</t>
        </r>
      </text>
    </comment>
    <comment ref="AG646" authorId="2">
      <text>
        <r>
          <rPr>
            <b/>
            <sz val="9"/>
            <rFont val="宋体"/>
            <charset val="0"/>
          </rPr>
          <t>龙丽娟:</t>
        </r>
        <r>
          <rPr>
            <sz val="9"/>
            <rFont val="宋体"/>
            <charset val="0"/>
          </rPr>
          <t xml:space="preserve">
1001522 8/7 2000pcs欣泰c3</t>
        </r>
      </text>
    </comment>
    <comment ref="AI646" authorId="2">
      <text>
        <r>
          <rPr>
            <b/>
            <sz val="9"/>
            <rFont val="宋体"/>
            <charset val="134"/>
          </rPr>
          <t>龙丽娟:</t>
        </r>
        <r>
          <rPr>
            <sz val="9"/>
            <rFont val="宋体"/>
            <charset val="134"/>
          </rPr>
          <t xml:space="preserve">
7/16 上UPC 贴纸 2000pcs</t>
        </r>
      </text>
    </comment>
    <comment ref="AG647" authorId="2">
      <text>
        <r>
          <rPr>
            <b/>
            <sz val="9"/>
            <rFont val="宋体"/>
            <charset val="0"/>
          </rPr>
          <t>龙丽娟:</t>
        </r>
        <r>
          <rPr>
            <sz val="9"/>
            <rFont val="宋体"/>
            <charset val="0"/>
          </rPr>
          <t xml:space="preserve">
8/12 3003820 3168PCS欣泰c4</t>
        </r>
      </text>
    </comment>
    <comment ref="AI650" authorId="2">
      <text>
        <r>
          <rPr>
            <b/>
            <sz val="9"/>
            <rFont val="宋体"/>
            <charset val="134"/>
          </rPr>
          <t>龙丽娟:</t>
        </r>
        <r>
          <rPr>
            <sz val="9"/>
            <rFont val="宋体"/>
            <charset val="134"/>
          </rPr>
          <t xml:space="preserve">
6/26 上锂电池贴纸 2000+17200pcs 
207763/208482/208497/211875/211883共用</t>
        </r>
        <r>
          <rPr>
            <b/>
            <sz val="9"/>
            <rFont val="宋体"/>
            <charset val="134"/>
          </rPr>
          <t xml:space="preserve">
龙丽娟:</t>
        </r>
        <r>
          <rPr>
            <sz val="9"/>
            <rFont val="宋体"/>
            <charset val="134"/>
          </rPr>
          <t xml:space="preserve">
6/30 上艾利贴纸  19pcs</t>
        </r>
        <r>
          <rPr>
            <b/>
            <sz val="9"/>
            <rFont val="宋体"/>
            <charset val="134"/>
          </rPr>
          <t xml:space="preserve">
龙丽娟:</t>
        </r>
        <r>
          <rPr>
            <sz val="9"/>
            <rFont val="宋体"/>
            <charset val="134"/>
          </rPr>
          <t xml:space="preserve">
7/3上客供RFID贴纸9728pcs</t>
        </r>
      </text>
    </comment>
    <comment ref="AI651" authorId="2">
      <text>
        <r>
          <rPr>
            <b/>
            <sz val="9"/>
            <rFont val="宋体"/>
            <charset val="134"/>
          </rPr>
          <t>龙丽娟:</t>
        </r>
        <r>
          <rPr>
            <sz val="9"/>
            <rFont val="宋体"/>
            <charset val="134"/>
          </rPr>
          <t xml:space="preserve">
6/26 上锂电池贴纸 2000+17200pcs 
207763/208482/208497/211875/211883共用</t>
        </r>
        <r>
          <rPr>
            <b/>
            <sz val="9"/>
            <rFont val="宋体"/>
            <charset val="134"/>
          </rPr>
          <t xml:space="preserve">
龙丽娟:</t>
        </r>
        <r>
          <rPr>
            <sz val="9"/>
            <rFont val="宋体"/>
            <charset val="134"/>
          </rPr>
          <t xml:space="preserve">
6/30 上艾利贴纸  16pcs</t>
        </r>
        <r>
          <rPr>
            <b/>
            <sz val="9"/>
            <rFont val="宋体"/>
            <charset val="134"/>
          </rPr>
          <t xml:space="preserve">
龙丽娟:</t>
        </r>
        <r>
          <rPr>
            <sz val="9"/>
            <rFont val="宋体"/>
            <charset val="134"/>
          </rPr>
          <t xml:space="preserve">
7/3上客供RFID贴纸8192pcs</t>
        </r>
      </text>
    </comment>
    <comment ref="AI652" authorId="2">
      <text>
        <r>
          <rPr>
            <b/>
            <sz val="9"/>
            <rFont val="宋体"/>
            <charset val="134"/>
          </rPr>
          <t>龙丽娟:</t>
        </r>
        <r>
          <rPr>
            <sz val="9"/>
            <rFont val="宋体"/>
            <charset val="134"/>
          </rPr>
          <t xml:space="preserve">
6/26 上锂电池贴纸 2000+17200pcs 
207763/208482/208497/211875/211883共用</t>
        </r>
        <r>
          <rPr>
            <b/>
            <sz val="9"/>
            <rFont val="宋体"/>
            <charset val="134"/>
          </rPr>
          <t xml:space="preserve">
龙丽娟:</t>
        </r>
        <r>
          <rPr>
            <sz val="9"/>
            <rFont val="宋体"/>
            <charset val="134"/>
          </rPr>
          <t xml:space="preserve">
6/30 上艾利贴纸  9pcs</t>
        </r>
        <r>
          <rPr>
            <b/>
            <sz val="9"/>
            <rFont val="宋体"/>
            <charset val="134"/>
          </rPr>
          <t xml:space="preserve">
龙丽娟:</t>
        </r>
        <r>
          <rPr>
            <sz val="9"/>
            <rFont val="宋体"/>
            <charset val="134"/>
          </rPr>
          <t xml:space="preserve">
7/3上客供RFID贴纸4608pcs</t>
        </r>
      </text>
    </comment>
    <comment ref="AI653" authorId="2">
      <text>
        <r>
          <rPr>
            <b/>
            <sz val="9"/>
            <rFont val="宋体"/>
            <charset val="134"/>
          </rPr>
          <t>龙丽娟:</t>
        </r>
        <r>
          <rPr>
            <sz val="9"/>
            <rFont val="宋体"/>
            <charset val="134"/>
          </rPr>
          <t xml:space="preserve">
6/26 上锂电池贴纸 2000+17200pcs 
207763/208482/208497/211875/211883共用</t>
        </r>
        <r>
          <rPr>
            <b/>
            <sz val="9"/>
            <rFont val="宋体"/>
            <charset val="134"/>
          </rPr>
          <t xml:space="preserve">
龙丽娟:</t>
        </r>
        <r>
          <rPr>
            <sz val="9"/>
            <rFont val="宋体"/>
            <charset val="134"/>
          </rPr>
          <t xml:space="preserve">
6/30 上艾利贴纸  8pcs</t>
        </r>
        <r>
          <rPr>
            <b/>
            <sz val="9"/>
            <rFont val="宋体"/>
            <charset val="134"/>
          </rPr>
          <t xml:space="preserve">
龙丽娟:</t>
        </r>
        <r>
          <rPr>
            <sz val="9"/>
            <rFont val="宋体"/>
            <charset val="134"/>
          </rPr>
          <t xml:space="preserve">
7/3上客供RFID贴纸4096pcs</t>
        </r>
      </text>
    </comment>
    <comment ref="AG654" authorId="2">
      <text>
        <r>
          <rPr>
            <b/>
            <sz val="9"/>
            <rFont val="宋体"/>
            <charset val="0"/>
          </rPr>
          <t>龙丽娟:</t>
        </r>
        <r>
          <rPr>
            <sz val="9"/>
            <rFont val="宋体"/>
            <charset val="0"/>
          </rPr>
          <t xml:space="preserve">
8/8 3004690 6032pcs欣泰e4</t>
        </r>
      </text>
    </comment>
    <comment ref="AI654" authorId="2">
      <text>
        <r>
          <rPr>
            <b/>
            <sz val="9"/>
            <rFont val="宋体"/>
            <charset val="134"/>
          </rPr>
          <t>龙丽娟:</t>
        </r>
        <r>
          <rPr>
            <sz val="9"/>
            <rFont val="宋体"/>
            <charset val="134"/>
          </rPr>
          <t xml:space="preserve">
7/16上UPC贴纸6032pcs</t>
        </r>
        <r>
          <rPr>
            <b/>
            <sz val="9"/>
            <rFont val="宋体"/>
            <charset val="134"/>
          </rPr>
          <t xml:space="preserve">
龙丽娟:</t>
        </r>
        <r>
          <rPr>
            <sz val="9"/>
            <rFont val="宋体"/>
            <charset val="134"/>
          </rPr>
          <t xml:space="preserve">
7/16上环保标/IT警告语贴纸6032pcs</t>
        </r>
        <r>
          <rPr>
            <b/>
            <sz val="9"/>
            <rFont val="宋体"/>
            <charset val="134"/>
          </rPr>
          <t xml:space="preserve">
龙丽娟:</t>
        </r>
        <r>
          <rPr>
            <sz val="9"/>
            <rFont val="宋体"/>
            <charset val="134"/>
          </rPr>
          <t xml:space="preserve">
7/21上客供亚马逊外箱贴纸377pcs</t>
        </r>
      </text>
    </comment>
    <comment ref="AI655" authorId="2">
      <text>
        <r>
          <rPr>
            <b/>
            <sz val="9"/>
            <rFont val="宋体"/>
            <charset val="134"/>
          </rPr>
          <t>龙丽娟:</t>
        </r>
        <r>
          <rPr>
            <sz val="9"/>
            <rFont val="宋体"/>
            <charset val="134"/>
          </rPr>
          <t xml:space="preserve">
7/16上UPC贴纸11248pcs</t>
        </r>
        <r>
          <rPr>
            <b/>
            <sz val="9"/>
            <rFont val="宋体"/>
            <charset val="134"/>
          </rPr>
          <t xml:space="preserve">
龙丽娟:</t>
        </r>
        <r>
          <rPr>
            <sz val="9"/>
            <rFont val="宋体"/>
            <charset val="134"/>
          </rPr>
          <t xml:space="preserve">
7/16上环保标/IT警告语贴纸11248pcs</t>
        </r>
        <r>
          <rPr>
            <b/>
            <sz val="9"/>
            <rFont val="宋体"/>
            <charset val="134"/>
          </rPr>
          <t xml:space="preserve">
龙丽娟:</t>
        </r>
        <r>
          <rPr>
            <sz val="9"/>
            <rFont val="宋体"/>
            <charset val="134"/>
          </rPr>
          <t xml:space="preserve">
7/21上客供亚马逊外箱贴纸703pcs</t>
        </r>
      </text>
    </comment>
    <comment ref="AG656" authorId="2">
      <text>
        <r>
          <rPr>
            <b/>
            <sz val="9"/>
            <rFont val="宋体"/>
            <charset val="0"/>
          </rPr>
          <t>龙丽娟:</t>
        </r>
        <r>
          <rPr>
            <sz val="9"/>
            <rFont val="宋体"/>
            <charset val="0"/>
          </rPr>
          <t xml:space="preserve">
8/8 1001516 640pcsB栋A1-C8</t>
        </r>
      </text>
    </comment>
    <comment ref="AI656" authorId="2">
      <text>
        <r>
          <rPr>
            <b/>
            <sz val="9"/>
            <rFont val="宋体"/>
            <charset val="134"/>
          </rPr>
          <t>龙丽娟:</t>
        </r>
        <r>
          <rPr>
            <sz val="9"/>
            <rFont val="宋体"/>
            <charset val="134"/>
          </rPr>
          <t xml:space="preserve">
7/21上亚马逊外箱贴纸40pcs</t>
        </r>
      </text>
    </comment>
    <comment ref="AI657" authorId="2">
      <text>
        <r>
          <rPr>
            <b/>
            <sz val="9"/>
            <rFont val="宋体"/>
            <charset val="134"/>
          </rPr>
          <t>龙丽娟:</t>
        </r>
        <r>
          <rPr>
            <sz val="9"/>
            <rFont val="宋体"/>
            <charset val="134"/>
          </rPr>
          <t xml:space="preserve">
7/16上进口商贴纸960pcs</t>
        </r>
      </text>
    </comment>
    <comment ref="AI658" authorId="2">
      <text>
        <r>
          <rPr>
            <b/>
            <sz val="9"/>
            <rFont val="宋体"/>
            <charset val="134"/>
          </rPr>
          <t>龙丽娟:</t>
        </r>
        <r>
          <rPr>
            <sz val="9"/>
            <rFont val="宋体"/>
            <charset val="134"/>
          </rPr>
          <t xml:space="preserve">
6/26 上锂电池贴纸 2000+17200pcs 
207763/208482/208497/211875/211883共用</t>
        </r>
        <r>
          <rPr>
            <b/>
            <sz val="9"/>
            <rFont val="宋体"/>
            <charset val="134"/>
          </rPr>
          <t xml:space="preserve">
龙丽娟:</t>
        </r>
        <r>
          <rPr>
            <sz val="9"/>
            <rFont val="宋体"/>
            <charset val="134"/>
          </rPr>
          <t xml:space="preserve">
7/3上客供RFID贴纸9728pcs</t>
        </r>
      </text>
    </comment>
    <comment ref="AI659" authorId="2">
      <text>
        <r>
          <rPr>
            <b/>
            <sz val="9"/>
            <rFont val="宋体"/>
            <charset val="134"/>
          </rPr>
          <t>龙丽娟:</t>
        </r>
        <r>
          <rPr>
            <sz val="9"/>
            <rFont val="宋体"/>
            <charset val="134"/>
          </rPr>
          <t xml:space="preserve">
6/26 上锂电池贴纸 2000+17200pcs 
207763/208482/208497/211875/211883共用</t>
        </r>
        <r>
          <rPr>
            <b/>
            <sz val="9"/>
            <rFont val="宋体"/>
            <charset val="134"/>
          </rPr>
          <t xml:space="preserve">
龙丽娟:</t>
        </r>
        <r>
          <rPr>
            <sz val="9"/>
            <rFont val="宋体"/>
            <charset val="134"/>
          </rPr>
          <t xml:space="preserve">
6/30 上艾利贴纸  13pcs</t>
        </r>
        <r>
          <rPr>
            <b/>
            <sz val="9"/>
            <rFont val="宋体"/>
            <charset val="134"/>
          </rPr>
          <t xml:space="preserve">
龙丽娟:</t>
        </r>
        <r>
          <rPr>
            <sz val="9"/>
            <rFont val="宋体"/>
            <charset val="134"/>
          </rPr>
          <t xml:space="preserve">
7/3上客供RFID贴纸6656pcs</t>
        </r>
      </text>
    </comment>
    <comment ref="AI661" authorId="2">
      <text>
        <r>
          <rPr>
            <b/>
            <sz val="9"/>
            <rFont val="宋体"/>
            <charset val="134"/>
          </rPr>
          <t>龙丽娟:</t>
        </r>
        <r>
          <rPr>
            <sz val="9"/>
            <rFont val="宋体"/>
            <charset val="134"/>
          </rPr>
          <t xml:space="preserve">
7/16 上客供芯片码贴纸 2400pcs</t>
        </r>
      </text>
    </comment>
    <comment ref="AI662" authorId="2">
      <text>
        <r>
          <rPr>
            <b/>
            <sz val="9"/>
            <rFont val="宋体"/>
            <charset val="134"/>
          </rPr>
          <t>龙丽娟:</t>
        </r>
        <r>
          <rPr>
            <sz val="9"/>
            <rFont val="宋体"/>
            <charset val="134"/>
          </rPr>
          <t xml:space="preserve">
7/16 上客供芯片码贴纸 14000pcs</t>
        </r>
      </text>
    </comment>
    <comment ref="AG663" authorId="2">
      <text>
        <r>
          <rPr>
            <b/>
            <sz val="9"/>
            <rFont val="宋体"/>
            <charset val="0"/>
          </rPr>
          <t>龙丽娟:</t>
        </r>
        <r>
          <rPr>
            <sz val="9"/>
            <rFont val="宋体"/>
            <charset val="0"/>
          </rPr>
          <t xml:space="preserve">
8/13 1001437 17280pcs</t>
        </r>
      </text>
    </comment>
    <comment ref="AG664" authorId="2">
      <text>
        <r>
          <rPr>
            <b/>
            <sz val="9"/>
            <rFont val="宋体"/>
            <charset val="0"/>
          </rPr>
          <t>龙丽娟:</t>
        </r>
        <r>
          <rPr>
            <sz val="9"/>
            <rFont val="宋体"/>
            <charset val="0"/>
          </rPr>
          <t xml:space="preserve">
8/12 1001453 704pcs</t>
        </r>
      </text>
    </comment>
    <comment ref="AI664" authorId="2">
      <text>
        <r>
          <rPr>
            <b/>
            <sz val="9"/>
            <rFont val="宋体"/>
            <charset val="134"/>
          </rPr>
          <t>龙丽娟:</t>
        </r>
        <r>
          <rPr>
            <sz val="9"/>
            <rFont val="宋体"/>
            <charset val="134"/>
          </rPr>
          <t xml:space="preserve">
7/16上进口商贴纸704pcs</t>
        </r>
      </text>
    </comment>
    <comment ref="AG669" authorId="2">
      <text>
        <r>
          <rPr>
            <b/>
            <sz val="9"/>
            <rFont val="宋体"/>
            <charset val="0"/>
          </rPr>
          <t>龙丽娟:</t>
        </r>
        <r>
          <rPr>
            <sz val="9"/>
            <rFont val="宋体"/>
            <charset val="0"/>
          </rPr>
          <t xml:space="preserve">
8/8 1001509 640pcs欣泰E5</t>
        </r>
      </text>
    </comment>
    <comment ref="AI669" authorId="2">
      <text>
        <r>
          <rPr>
            <b/>
            <sz val="9"/>
            <rFont val="宋体"/>
            <charset val="134"/>
          </rPr>
          <t>龙丽娟:</t>
        </r>
        <r>
          <rPr>
            <sz val="9"/>
            <rFont val="宋体"/>
            <charset val="134"/>
          </rPr>
          <t xml:space="preserve">
7/6上价格贴纸416pcs上pdq价格贴纸/条码贴纸各174pcs</t>
        </r>
        <r>
          <rPr>
            <b/>
            <sz val="9"/>
            <rFont val="宋体"/>
            <charset val="134"/>
          </rPr>
          <t xml:space="preserve">
龙丽娟:</t>
        </r>
        <r>
          <rPr>
            <sz val="9"/>
            <rFont val="宋体"/>
            <charset val="134"/>
          </rPr>
          <t xml:space="preserve">
7/8 上通用客供外箱贴纸 40pcs</t>
        </r>
        <r>
          <rPr>
            <b/>
            <sz val="9"/>
            <rFont val="宋体"/>
            <charset val="134"/>
          </rPr>
          <t xml:space="preserve">
龙丽娟:</t>
        </r>
        <r>
          <rPr>
            <sz val="9"/>
            <rFont val="宋体"/>
            <charset val="134"/>
          </rPr>
          <t xml:space="preserve">
7/8 上NJ客供外箱贴纸 40pcs</t>
        </r>
      </text>
    </comment>
    <comment ref="AG670" authorId="2">
      <text>
        <r>
          <rPr>
            <b/>
            <sz val="9"/>
            <rFont val="宋体"/>
            <charset val="0"/>
          </rPr>
          <t>龙丽娟:</t>
        </r>
        <r>
          <rPr>
            <sz val="9"/>
            <rFont val="宋体"/>
            <charset val="0"/>
          </rPr>
          <t xml:space="preserve">
8/8 1001509 272pcs欣泰E5</t>
        </r>
      </text>
    </comment>
    <comment ref="AI670" authorId="2">
      <text>
        <r>
          <rPr>
            <b/>
            <sz val="9"/>
            <rFont val="宋体"/>
            <charset val="134"/>
          </rPr>
          <t>龙丽娟:</t>
        </r>
        <r>
          <rPr>
            <sz val="9"/>
            <rFont val="宋体"/>
            <charset val="134"/>
          </rPr>
          <t xml:space="preserve">
7/6上价格贴纸416pcs上pdq价格贴纸/条码贴纸各174pcs</t>
        </r>
        <r>
          <rPr>
            <b/>
            <sz val="9"/>
            <rFont val="宋体"/>
            <charset val="134"/>
          </rPr>
          <t xml:space="preserve">
龙丽娟:</t>
        </r>
        <r>
          <rPr>
            <sz val="9"/>
            <rFont val="宋体"/>
            <charset val="134"/>
          </rPr>
          <t xml:space="preserve">
7/8 上通用外箱贴纸 17pcs</t>
        </r>
        <r>
          <rPr>
            <b/>
            <sz val="9"/>
            <rFont val="宋体"/>
            <charset val="134"/>
          </rPr>
          <t xml:space="preserve">
龙丽娟:</t>
        </r>
        <r>
          <rPr>
            <sz val="9"/>
            <rFont val="宋体"/>
            <charset val="134"/>
          </rPr>
          <t xml:space="preserve">
7/8 上NV客供外箱贴纸 17pcs</t>
        </r>
      </text>
    </comment>
    <comment ref="AG671" authorId="2">
      <text>
        <r>
          <rPr>
            <b/>
            <sz val="9"/>
            <rFont val="宋体"/>
            <charset val="0"/>
          </rPr>
          <t>龙丽娟:</t>
        </r>
        <r>
          <rPr>
            <sz val="9"/>
            <rFont val="宋体"/>
            <charset val="0"/>
          </rPr>
          <t xml:space="preserve">
8/12 3003820 720pcs欣泰D3</t>
        </r>
      </text>
    </comment>
    <comment ref="AG672" authorId="2">
      <text>
        <r>
          <rPr>
            <b/>
            <sz val="9"/>
            <rFont val="宋体"/>
            <charset val="0"/>
          </rPr>
          <t>龙丽娟:</t>
        </r>
        <r>
          <rPr>
            <sz val="9"/>
            <rFont val="宋体"/>
            <charset val="0"/>
          </rPr>
          <t xml:space="preserve">
8/6 209131 2000pcs钜顺A4</t>
        </r>
      </text>
    </comment>
    <comment ref="AI674" authorId="2">
      <text>
        <r>
          <rPr>
            <b/>
            <sz val="9"/>
            <rFont val="宋体"/>
            <charset val="134"/>
          </rPr>
          <t>龙丽娟:</t>
        </r>
        <r>
          <rPr>
            <sz val="9"/>
            <rFont val="宋体"/>
            <charset val="134"/>
          </rPr>
          <t xml:space="preserve">
7/3上客供RFID贴纸1968pcs</t>
        </r>
      </text>
    </comment>
    <comment ref="AI678" authorId="2">
      <text>
        <r>
          <rPr>
            <b/>
            <sz val="9"/>
            <rFont val="宋体"/>
            <charset val="134"/>
          </rPr>
          <t>龙丽娟:</t>
        </r>
        <r>
          <rPr>
            <sz val="9"/>
            <rFont val="宋体"/>
            <charset val="134"/>
          </rPr>
          <t xml:space="preserve">
7/17上PDQ地址贴纸2516pcs
203946/210400/213523共用</t>
        </r>
      </text>
    </comment>
    <comment ref="AG680" authorId="2">
      <text>
        <r>
          <rPr>
            <b/>
            <sz val="9"/>
            <rFont val="宋体"/>
            <charset val="0"/>
          </rPr>
          <t>龙丽娟:</t>
        </r>
        <r>
          <rPr>
            <sz val="9"/>
            <rFont val="宋体"/>
            <charset val="0"/>
          </rPr>
          <t xml:space="preserve">
8/12 3003812 2144pcs欣泰D6</t>
        </r>
      </text>
    </comment>
    <comment ref="AG681" authorId="2">
      <text>
        <r>
          <rPr>
            <b/>
            <sz val="9"/>
            <rFont val="宋体"/>
            <charset val="0"/>
          </rPr>
          <t>龙丽娟:</t>
        </r>
        <r>
          <rPr>
            <sz val="9"/>
            <rFont val="宋体"/>
            <charset val="0"/>
          </rPr>
          <t xml:space="preserve">
8/12 3003812 1008pcs欣泰D7</t>
        </r>
      </text>
    </comment>
    <comment ref="AG685" authorId="2">
      <text>
        <r>
          <rPr>
            <b/>
            <sz val="9"/>
            <rFont val="宋体"/>
            <charset val="0"/>
          </rPr>
          <t>龙丽娟:</t>
        </r>
        <r>
          <rPr>
            <sz val="9"/>
            <rFont val="宋体"/>
            <charset val="0"/>
          </rPr>
          <t xml:space="preserve">
8/12 3003812 1056pcs欣泰D3</t>
        </r>
      </text>
    </comment>
    <comment ref="AG686" authorId="2">
      <text>
        <r>
          <rPr>
            <b/>
            <sz val="9"/>
            <rFont val="宋体"/>
            <charset val="0"/>
          </rPr>
          <t>龙丽娟:</t>
        </r>
        <r>
          <rPr>
            <sz val="9"/>
            <rFont val="宋体"/>
            <charset val="0"/>
          </rPr>
          <t xml:space="preserve">
8/12 3003812 2752pcs欣泰2A1</t>
        </r>
      </text>
    </comment>
    <comment ref="AG688" authorId="2">
      <text>
        <r>
          <rPr>
            <b/>
            <sz val="9"/>
            <rFont val="宋体"/>
            <charset val="0"/>
          </rPr>
          <t>龙丽娟:</t>
        </r>
        <r>
          <rPr>
            <sz val="9"/>
            <rFont val="宋体"/>
            <charset val="0"/>
          </rPr>
          <t xml:space="preserve">
3003924 8/7 3760pcs欣泰B4</t>
        </r>
      </text>
    </comment>
    <comment ref="AI688" authorId="2">
      <text>
        <r>
          <rPr>
            <b/>
            <sz val="9"/>
            <rFont val="宋体"/>
            <charset val="134"/>
          </rPr>
          <t>龙丽娟:</t>
        </r>
        <r>
          <rPr>
            <sz val="9"/>
            <rFont val="宋体"/>
            <charset val="134"/>
          </rPr>
          <t xml:space="preserve">
7/21上客供亚马逊外箱贴纸235pcs</t>
        </r>
      </text>
    </comment>
    <comment ref="AI689" authorId="2">
      <text>
        <r>
          <rPr>
            <b/>
            <sz val="9"/>
            <rFont val="宋体"/>
            <charset val="134"/>
          </rPr>
          <t>龙丽娟:</t>
        </r>
        <r>
          <rPr>
            <sz val="9"/>
            <rFont val="宋体"/>
            <charset val="134"/>
          </rPr>
          <t xml:space="preserve">
7/21上客供亚马逊外箱贴纸234pcs</t>
        </r>
      </text>
    </comment>
    <comment ref="AI690" authorId="2">
      <text>
        <r>
          <rPr>
            <b/>
            <sz val="9"/>
            <rFont val="宋体"/>
            <charset val="134"/>
          </rPr>
          <t>龙丽娟:</t>
        </r>
        <r>
          <rPr>
            <sz val="9"/>
            <rFont val="宋体"/>
            <charset val="134"/>
          </rPr>
          <t xml:space="preserve">
7/21上客供亚马逊外箱贴纸275pcs</t>
        </r>
      </text>
    </comment>
    <comment ref="AG691" authorId="2">
      <text>
        <r>
          <rPr>
            <b/>
            <sz val="9"/>
            <rFont val="宋体"/>
            <charset val="0"/>
          </rPr>
          <t>龙丽娟:</t>
        </r>
        <r>
          <rPr>
            <sz val="9"/>
            <rFont val="宋体"/>
            <charset val="0"/>
          </rPr>
          <t xml:space="preserve">
8/12 3003820 1552pcs欣泰D3</t>
        </r>
      </text>
    </comment>
    <comment ref="AI691" authorId="2">
      <text>
        <r>
          <rPr>
            <b/>
            <sz val="9"/>
            <rFont val="宋体"/>
            <charset val="134"/>
          </rPr>
          <t>龙丽娟:</t>
        </r>
        <r>
          <rPr>
            <sz val="9"/>
            <rFont val="宋体"/>
            <charset val="134"/>
          </rPr>
          <t xml:space="preserve">
7/21上客供亚马逊外箱贴纸97pcs</t>
        </r>
      </text>
    </comment>
    <comment ref="AI697" authorId="2">
      <text>
        <r>
          <rPr>
            <b/>
            <sz val="9"/>
            <rFont val="宋体"/>
            <charset val="134"/>
          </rPr>
          <t>龙丽娟:</t>
        </r>
        <r>
          <rPr>
            <sz val="9"/>
            <rFont val="宋体"/>
            <charset val="134"/>
          </rPr>
          <t xml:space="preserve">
7/6上客供防盗贴纸1536pcs</t>
        </r>
      </text>
    </comment>
    <comment ref="AI707" authorId="2">
      <text>
        <r>
          <rPr>
            <b/>
            <sz val="9"/>
            <rFont val="宋体"/>
            <charset val="134"/>
          </rPr>
          <t>龙丽娟:</t>
        </r>
        <r>
          <rPr>
            <sz val="9"/>
            <rFont val="宋体"/>
            <charset val="134"/>
          </rPr>
          <t xml:space="preserve">
7/16 收到客供外箱贴纸 29pcs</t>
        </r>
      </text>
    </comment>
    <comment ref="AI709" authorId="2">
      <text>
        <r>
          <rPr>
            <b/>
            <sz val="9"/>
            <rFont val="宋体"/>
            <charset val="134"/>
          </rPr>
          <t>龙丽娟:</t>
        </r>
        <r>
          <rPr>
            <sz val="9"/>
            <rFont val="宋体"/>
            <charset val="134"/>
          </rPr>
          <t xml:space="preserve">
7/16 收到客供外箱贴纸 33pcs</t>
        </r>
      </text>
    </comment>
    <comment ref="AI710" authorId="2">
      <text>
        <r>
          <rPr>
            <b/>
            <sz val="9"/>
            <rFont val="宋体"/>
            <charset val="134"/>
          </rPr>
          <t>龙丽娟:</t>
        </r>
        <r>
          <rPr>
            <sz val="9"/>
            <rFont val="宋体"/>
            <charset val="134"/>
          </rPr>
          <t xml:space="preserve">
7/16 收到客供外箱贴纸 20pcs</t>
        </r>
      </text>
    </comment>
    <comment ref="AI712" authorId="2">
      <text>
        <r>
          <rPr>
            <b/>
            <sz val="9"/>
            <rFont val="宋体"/>
            <charset val="134"/>
          </rPr>
          <t>龙丽娟:</t>
        </r>
        <r>
          <rPr>
            <sz val="9"/>
            <rFont val="宋体"/>
            <charset val="134"/>
          </rPr>
          <t xml:space="preserve">
7/20上进口商贴纸160pcs</t>
        </r>
      </text>
    </comment>
    <comment ref="AI719" authorId="2">
      <text>
        <r>
          <rPr>
            <b/>
            <sz val="9"/>
            <rFont val="宋体"/>
            <charset val="134"/>
          </rPr>
          <t>龙丽娟:</t>
        </r>
        <r>
          <rPr>
            <sz val="9"/>
            <rFont val="宋体"/>
            <charset val="134"/>
          </rPr>
          <t xml:space="preserve">
7/16 上客供芯片码贴纸 6000pcs</t>
        </r>
      </text>
    </comment>
    <comment ref="AF723" authorId="2">
      <text>
        <r>
          <rPr>
            <b/>
            <sz val="9"/>
            <rFont val="宋体"/>
            <charset val="134"/>
          </rPr>
          <t>龙丽娟:</t>
        </r>
        <r>
          <rPr>
            <sz val="9"/>
            <rFont val="宋体"/>
            <charset val="134"/>
          </rPr>
          <t xml:space="preserve">
河源订单转湖南，3L订单备注错1L</t>
        </r>
      </text>
    </comment>
    <comment ref="AI723" authorId="2">
      <text>
        <r>
          <rPr>
            <b/>
            <sz val="9"/>
            <rFont val="宋体"/>
            <charset val="134"/>
          </rPr>
          <t>龙丽娟:</t>
        </r>
        <r>
          <rPr>
            <sz val="9"/>
            <rFont val="宋体"/>
            <charset val="134"/>
          </rPr>
          <t xml:space="preserve">
6/26 上客供价格贴纸  5312pcs</t>
        </r>
      </text>
    </comment>
    <comment ref="AI725" authorId="2">
      <text>
        <r>
          <rPr>
            <b/>
            <sz val="9"/>
            <rFont val="宋体"/>
            <charset val="134"/>
          </rPr>
          <t>龙丽娟:</t>
        </r>
        <r>
          <rPr>
            <sz val="9"/>
            <rFont val="宋体"/>
            <charset val="134"/>
          </rPr>
          <t xml:space="preserve">
6/18上HK客供警语贴纸1240pcs/HK客供警语贴纸贴收藏指南和拆件说明书1239pcs</t>
        </r>
        <r>
          <rPr>
            <b/>
            <sz val="9"/>
            <rFont val="宋体"/>
            <charset val="134"/>
          </rPr>
          <t xml:space="preserve">
龙丽娟:</t>
        </r>
        <r>
          <rPr>
            <sz val="9"/>
            <rFont val="宋体"/>
            <charset val="134"/>
          </rPr>
          <t xml:space="preserve">
6/18上HK客供电池警语贴说明书1242pcs</t>
        </r>
      </text>
    </comment>
    <comment ref="AI739" authorId="2">
      <text>
        <r>
          <rPr>
            <b/>
            <sz val="9"/>
            <rFont val="宋体"/>
            <charset val="134"/>
          </rPr>
          <t>龙丽娟:</t>
        </r>
        <r>
          <rPr>
            <sz val="9"/>
            <rFont val="宋体"/>
            <charset val="134"/>
          </rPr>
          <t xml:space="preserve">
7/20上空白贴纸16800pcs（两个单）</t>
        </r>
      </text>
    </comment>
    <comment ref="AI740" authorId="2">
      <text>
        <r>
          <rPr>
            <b/>
            <sz val="9"/>
            <rFont val="宋体"/>
            <charset val="134"/>
          </rPr>
          <t>龙丽娟:</t>
        </r>
        <r>
          <rPr>
            <sz val="9"/>
            <rFont val="宋体"/>
            <charset val="134"/>
          </rPr>
          <t xml:space="preserve">
7/20上空白贴纸16800pcs（两个单）</t>
        </r>
      </text>
    </comment>
    <comment ref="AI746" authorId="2">
      <text>
        <r>
          <rPr>
            <b/>
            <sz val="9"/>
            <rFont val="宋体"/>
            <charset val="134"/>
          </rPr>
          <t>龙丽娟:</t>
        </r>
        <r>
          <rPr>
            <sz val="9"/>
            <rFont val="宋体"/>
            <charset val="134"/>
          </rPr>
          <t xml:space="preserve">
7/18上价格贴纸8400pcs/外箱条码贴纸1050pcs</t>
        </r>
      </text>
    </comment>
    <comment ref="AI749" authorId="2">
      <text>
        <r>
          <rPr>
            <b/>
            <sz val="9"/>
            <rFont val="宋体"/>
            <charset val="134"/>
          </rPr>
          <t>龙丽娟:</t>
        </r>
        <r>
          <rPr>
            <sz val="9"/>
            <rFont val="宋体"/>
            <charset val="134"/>
          </rPr>
          <t xml:space="preserve">
7/3上客供RFID贴纸2752pcs</t>
        </r>
      </text>
    </comment>
    <comment ref="AI750" authorId="2">
      <text>
        <r>
          <rPr>
            <b/>
            <sz val="9"/>
            <rFont val="宋体"/>
            <charset val="134"/>
          </rPr>
          <t>龙丽娟:</t>
        </r>
        <r>
          <rPr>
            <sz val="9"/>
            <rFont val="宋体"/>
            <charset val="134"/>
          </rPr>
          <t xml:space="preserve">
7/3上客供RFID贴纸1112pcs</t>
        </r>
      </text>
    </comment>
    <comment ref="AI761" authorId="2">
      <text>
        <r>
          <rPr>
            <b/>
            <sz val="9"/>
            <rFont val="宋体"/>
            <charset val="134"/>
          </rPr>
          <t>龙丽娟:</t>
        </r>
        <r>
          <rPr>
            <sz val="9"/>
            <rFont val="宋体"/>
            <charset val="134"/>
          </rPr>
          <t xml:space="preserve">
7/16 上客供芯片码贴纸 6504pcs</t>
        </r>
      </text>
    </comment>
    <comment ref="AI762" authorId="2">
      <text>
        <r>
          <rPr>
            <b/>
            <sz val="9"/>
            <rFont val="宋体"/>
            <charset val="134"/>
          </rPr>
          <t>龙丽娟:</t>
        </r>
        <r>
          <rPr>
            <sz val="9"/>
            <rFont val="宋体"/>
            <charset val="134"/>
          </rPr>
          <t xml:space="preserve">
7/16 上客供芯片码贴纸 22000pcs</t>
        </r>
      </text>
    </comment>
    <comment ref="AI763" authorId="2">
      <text>
        <r>
          <rPr>
            <b/>
            <sz val="9"/>
            <rFont val="宋体"/>
            <charset val="134"/>
          </rPr>
          <t>龙丽娟:</t>
        </r>
        <r>
          <rPr>
            <sz val="9"/>
            <rFont val="宋体"/>
            <charset val="134"/>
          </rPr>
          <t xml:space="preserve">
7/16 上客供芯片码贴纸 22000pcs</t>
        </r>
      </text>
    </comment>
    <comment ref="AI764" authorId="2">
      <text>
        <r>
          <rPr>
            <b/>
            <sz val="9"/>
            <rFont val="宋体"/>
            <charset val="134"/>
          </rPr>
          <t>龙丽娟:</t>
        </r>
        <r>
          <rPr>
            <sz val="9"/>
            <rFont val="宋体"/>
            <charset val="134"/>
          </rPr>
          <t xml:space="preserve">
7/16 上客供芯片码贴纸 5600pcs</t>
        </r>
      </text>
    </comment>
    <comment ref="AI770" authorId="2">
      <text>
        <r>
          <rPr>
            <b/>
            <sz val="9"/>
            <rFont val="宋体"/>
            <charset val="134"/>
          </rPr>
          <t>龙丽娟:</t>
        </r>
        <r>
          <rPr>
            <sz val="9"/>
            <rFont val="宋体"/>
            <charset val="134"/>
          </rPr>
          <t xml:space="preserve">
6/22 上HK客供警语贴纸4950pcs</t>
        </r>
        <r>
          <rPr>
            <b/>
            <sz val="9"/>
            <rFont val="宋体"/>
            <charset val="134"/>
          </rPr>
          <t xml:space="preserve">
龙丽娟:</t>
        </r>
        <r>
          <rPr>
            <sz val="9"/>
            <rFont val="宋体"/>
            <charset val="134"/>
          </rPr>
          <t xml:space="preserve">
6/22上HK客供电池警语4950pcs</t>
        </r>
        <r>
          <rPr>
            <b/>
            <sz val="9"/>
            <rFont val="宋体"/>
            <charset val="134"/>
          </rPr>
          <t xml:space="preserve">
龙丽娟:</t>
        </r>
        <r>
          <rPr>
            <sz val="9"/>
            <rFont val="宋体"/>
            <charset val="134"/>
          </rPr>
          <t xml:space="preserve">
6/22上HK警语贴说明书4950pcs</t>
        </r>
      </text>
    </comment>
    <comment ref="AI780" authorId="2">
      <text>
        <r>
          <rPr>
            <b/>
            <sz val="9"/>
            <rFont val="宋体"/>
            <charset val="134"/>
          </rPr>
          <t>龙丽娟:</t>
        </r>
        <r>
          <rPr>
            <sz val="9"/>
            <rFont val="宋体"/>
            <charset val="134"/>
          </rPr>
          <t xml:space="preserve">
7/14上UPC贴纸4800pcs</t>
        </r>
      </text>
    </comment>
    <comment ref="AI786" authorId="2">
      <text>
        <r>
          <rPr>
            <b/>
            <sz val="9"/>
            <rFont val="宋体"/>
            <charset val="134"/>
          </rPr>
          <t>龙丽娟:</t>
        </r>
        <r>
          <rPr>
            <sz val="9"/>
            <rFont val="宋体"/>
            <charset val="134"/>
          </rPr>
          <t xml:space="preserve">
6/17上PDQ贴纸250pcs</t>
        </r>
      </text>
    </comment>
    <comment ref="AI799" authorId="2">
      <text>
        <r>
          <rPr>
            <b/>
            <sz val="9"/>
            <rFont val="宋体"/>
            <charset val="134"/>
          </rPr>
          <t>龙丽娟:</t>
        </r>
        <r>
          <rPr>
            <sz val="9"/>
            <rFont val="宋体"/>
            <charset val="134"/>
          </rPr>
          <t xml:space="preserve">
7/17上PDQ地址贴纸2516pcs
203946/210400/213523共用</t>
        </r>
      </text>
    </comment>
    <comment ref="AI834" authorId="2">
      <text>
        <r>
          <rPr>
            <b/>
            <sz val="9"/>
            <rFont val="宋体"/>
            <charset val="134"/>
          </rPr>
          <t>龙丽娟:</t>
        </r>
        <r>
          <rPr>
            <sz val="9"/>
            <rFont val="宋体"/>
            <charset val="134"/>
          </rPr>
          <t xml:space="preserve">
7/17上价格贴纸2824pcs
208245/208248共用</t>
        </r>
      </text>
    </comment>
    <comment ref="AI846" authorId="2">
      <text>
        <r>
          <rPr>
            <b/>
            <sz val="9"/>
            <rFont val="宋体"/>
            <charset val="134"/>
          </rPr>
          <t>龙丽娟:</t>
        </r>
        <r>
          <rPr>
            <sz val="9"/>
            <rFont val="宋体"/>
            <charset val="134"/>
          </rPr>
          <t xml:space="preserve">
7/17上价格贴纸2824pcs
208245/208248共用</t>
        </r>
      </text>
    </comment>
  </commentList>
</comments>
</file>

<file path=xl/comments3.xml><?xml version="1.0" encoding="utf-8"?>
<comments xmlns="http://schemas.openxmlformats.org/spreadsheetml/2006/main">
  <authors>
    <author>Administrator</author>
    <author>Unknown User</author>
  </authors>
  <commentList>
    <comment ref="W15" authorId="0">
      <text>
        <r>
          <rPr>
            <b/>
            <sz val="12"/>
            <rFont val="宋体"/>
            <charset val="134"/>
          </rPr>
          <t>Administrator:</t>
        </r>
        <r>
          <rPr>
            <sz val="12"/>
            <rFont val="宋体"/>
            <charset val="134"/>
          </rPr>
          <t xml:space="preserve">
3/10 上锂电池贴纸 11932pcs
      189603/189608/190738/194297/194290/194303/194701 共用
</t>
        </r>
      </text>
    </comment>
    <comment ref="AJ23" authorId="1">
      <text>
        <r>
          <rPr>
            <b/>
            <sz val="9"/>
            <rFont val="宋体"/>
            <charset val="134"/>
          </rPr>
          <t>龙丽娟:</t>
        </r>
        <r>
          <rPr>
            <sz val="9"/>
            <rFont val="宋体"/>
            <charset val="134"/>
          </rPr>
          <t xml:space="preserve">
7/20上8+年龄贴纸28054</t>
        </r>
      </text>
    </comment>
    <comment ref="AJ24" authorId="1">
      <text>
        <r>
          <rPr>
            <b/>
            <sz val="9"/>
            <rFont val="宋体"/>
            <charset val="134"/>
          </rPr>
          <t>龙丽娟:</t>
        </r>
        <r>
          <rPr>
            <sz val="9"/>
            <rFont val="宋体"/>
            <charset val="134"/>
          </rPr>
          <t xml:space="preserve">
7/20上8+年龄贴纸28054</t>
        </r>
      </text>
    </comment>
    <comment ref="AJ25" authorId="1">
      <text>
        <r>
          <rPr>
            <b/>
            <sz val="9"/>
            <rFont val="宋体"/>
            <charset val="134"/>
          </rPr>
          <t>龙丽娟:</t>
        </r>
        <r>
          <rPr>
            <sz val="9"/>
            <rFont val="宋体"/>
            <charset val="134"/>
          </rPr>
          <t xml:space="preserve">
7/20上8+年龄贴纸28054</t>
        </r>
      </text>
    </comment>
    <comment ref="AJ31" authorId="0">
      <text>
        <r>
          <rPr>
            <b/>
            <sz val="12"/>
            <rFont val="宋体"/>
            <charset val="134"/>
          </rPr>
          <t>Administrator:</t>
        </r>
        <r>
          <rPr>
            <sz val="12"/>
            <rFont val="宋体"/>
            <charset val="134"/>
          </rPr>
          <t xml:space="preserve">
4/17 上锂电池标签纸106*106  4011pcs
199055/192526/193910/194882/196674/197095共用</t>
        </r>
      </text>
    </comment>
    <comment ref="AG38" authorId="0">
      <text>
        <r>
          <rPr>
            <b/>
            <sz val="12"/>
            <rFont val="宋体"/>
            <charset val="134"/>
          </rPr>
          <t>Administrator:</t>
        </r>
        <r>
          <rPr>
            <sz val="12"/>
            <rFont val="宋体"/>
            <charset val="134"/>
          </rPr>
          <t xml:space="preserve">
4/9 1405332 248pcs华兴三楼B13</t>
        </r>
      </text>
    </comment>
    <comment ref="AJ38" authorId="0">
      <text>
        <r>
          <rPr>
            <b/>
            <sz val="12"/>
            <rFont val="宋体"/>
            <charset val="134"/>
          </rPr>
          <t>Administrator:</t>
        </r>
        <r>
          <rPr>
            <sz val="12"/>
            <rFont val="宋体"/>
            <charset val="134"/>
          </rPr>
          <t xml:space="preserve">
3/23上Kmart外箱贴纸4*4 31pcs</t>
        </r>
      </text>
    </comment>
    <comment ref="AG56" authorId="1">
      <text>
        <r>
          <rPr>
            <b/>
            <sz val="9"/>
            <rFont val="宋体"/>
            <charset val="134"/>
          </rPr>
          <t>龙丽娟:</t>
        </r>
        <r>
          <rPr>
            <sz val="9"/>
            <rFont val="宋体"/>
            <charset val="134"/>
          </rPr>
          <t xml:space="preserve">
6/13 1000104 1680PCS顶均A11</t>
        </r>
      </text>
    </comment>
    <comment ref="AG57" authorId="1">
      <text>
        <r>
          <rPr>
            <b/>
            <sz val="9"/>
            <rFont val="宋体"/>
            <charset val="134"/>
          </rPr>
          <t>龙丽娟:</t>
        </r>
        <r>
          <rPr>
            <sz val="9"/>
            <rFont val="宋体"/>
            <charset val="134"/>
          </rPr>
          <t xml:space="preserve">
6/13 1000104 720PCS顶均A11</t>
        </r>
      </text>
    </comment>
    <comment ref="AF59" authorId="1">
      <text>
        <r>
          <rPr>
            <b/>
            <sz val="9"/>
            <rFont val="宋体"/>
            <charset val="134"/>
          </rPr>
          <t>龙丽娟:</t>
        </r>
        <r>
          <rPr>
            <sz val="9"/>
            <rFont val="宋体"/>
            <charset val="134"/>
          </rPr>
          <t xml:space="preserve">
2801239 6/12 3000pcs欣泰A3</t>
        </r>
      </text>
    </comment>
    <comment ref="AI68" authorId="1">
      <text>
        <r>
          <rPr>
            <b/>
            <sz val="9"/>
            <rFont val="宋体"/>
            <charset val="134"/>
          </rPr>
          <t>龙丽娟:</t>
        </r>
        <r>
          <rPr>
            <sz val="9"/>
            <rFont val="宋体"/>
            <charset val="134"/>
          </rPr>
          <t xml:space="preserve">
6/23上pdq条码贴纸1404
205686/205699共用</t>
        </r>
      </text>
    </comment>
    <comment ref="AG70" authorId="1">
      <text>
        <r>
          <rPr>
            <b/>
            <sz val="9"/>
            <rFont val="宋体"/>
            <charset val="134"/>
          </rPr>
          <t>龙丽娟:</t>
        </r>
        <r>
          <rPr>
            <sz val="9"/>
            <rFont val="宋体"/>
            <charset val="134"/>
          </rPr>
          <t xml:space="preserve">
6/24 1040pcsb4-a9</t>
        </r>
      </text>
    </comment>
    <comment ref="AG77" authorId="1">
      <text>
        <r>
          <rPr>
            <b/>
            <sz val="9"/>
            <rFont val="宋体"/>
            <charset val="134"/>
          </rPr>
          <t>龙丽娟:</t>
        </r>
        <r>
          <rPr>
            <sz val="9"/>
            <rFont val="宋体"/>
            <charset val="134"/>
          </rPr>
          <t xml:space="preserve">
2500300 6/15 77000PCS欣泰A3A4</t>
        </r>
        <r>
          <rPr>
            <b/>
            <sz val="9"/>
            <rFont val="宋体"/>
            <charset val="134"/>
          </rPr>
          <t xml:space="preserve">
龙丽娟:</t>
        </r>
        <r>
          <rPr>
            <sz val="9"/>
            <rFont val="宋体"/>
            <charset val="134"/>
          </rPr>
          <t xml:space="preserve">
2500303 6/16 23000PCS欣泰c6</t>
        </r>
      </text>
    </comment>
    <comment ref="AJ81" authorId="1">
      <text>
        <r>
          <rPr>
            <b/>
            <sz val="9"/>
            <rFont val="宋体"/>
            <charset val="134"/>
          </rPr>
          <t>龙丽娟:</t>
        </r>
        <r>
          <rPr>
            <sz val="9"/>
            <rFont val="宋体"/>
            <charset val="134"/>
          </rPr>
          <t xml:space="preserve">
6/5上客供亚马逊贴纸65pcs
</t>
        </r>
      </text>
    </comment>
    <comment ref="AJ82" authorId="1">
      <text>
        <r>
          <rPr>
            <b/>
            <sz val="9"/>
            <rFont val="宋体"/>
            <charset val="134"/>
          </rPr>
          <t>龙丽娟:</t>
        </r>
        <r>
          <rPr>
            <sz val="9"/>
            <rFont val="宋体"/>
            <charset val="134"/>
          </rPr>
          <t xml:space="preserve">
6/5上客供亚马逊贴纸65pcs</t>
        </r>
      </text>
    </comment>
    <comment ref="AG83" authorId="1">
      <text>
        <r>
          <rPr>
            <b/>
            <sz val="9"/>
            <rFont val="宋体"/>
            <charset val="134"/>
          </rPr>
          <t>龙丽娟:</t>
        </r>
        <r>
          <rPr>
            <sz val="9"/>
            <rFont val="宋体"/>
            <charset val="134"/>
          </rPr>
          <t xml:space="preserve">
6/17 2201071 1320pcs顶均</t>
        </r>
      </text>
    </comment>
    <comment ref="AJ84" authorId="1">
      <text>
        <r>
          <rPr>
            <b/>
            <sz val="9"/>
            <rFont val="宋体"/>
            <charset val="134"/>
          </rPr>
          <t>龙丽娟:</t>
        </r>
        <r>
          <rPr>
            <sz val="9"/>
            <rFont val="宋体"/>
            <charset val="134"/>
          </rPr>
          <t xml:space="preserve">
6/5上客供亚马逊贴纸356pcs</t>
        </r>
      </text>
    </comment>
    <comment ref="AJ86" authorId="1">
      <text>
        <r>
          <rPr>
            <b/>
            <sz val="9"/>
            <rFont val="宋体"/>
            <charset val="134"/>
          </rPr>
          <t>龙丽娟:</t>
        </r>
        <r>
          <rPr>
            <sz val="9"/>
            <rFont val="宋体"/>
            <charset val="134"/>
          </rPr>
          <t xml:space="preserve">
6/2上客供亚马逊外箱贴纸1pcs</t>
        </r>
      </text>
    </comment>
    <comment ref="AJ87" authorId="1">
      <text>
        <r>
          <rPr>
            <b/>
            <sz val="9"/>
            <rFont val="宋体"/>
            <charset val="134"/>
          </rPr>
          <t>龙丽娟:</t>
        </r>
        <r>
          <rPr>
            <sz val="9"/>
            <rFont val="宋体"/>
            <charset val="134"/>
          </rPr>
          <t xml:space="preserve">
6/2上客供亚马逊外箱贴纸187pcs</t>
        </r>
      </text>
    </comment>
    <comment ref="AJ89" authorId="1">
      <text>
        <r>
          <rPr>
            <b/>
            <sz val="9"/>
            <rFont val="宋体"/>
            <charset val="134"/>
          </rPr>
          <t>龙丽娟:</t>
        </r>
        <r>
          <rPr>
            <sz val="9"/>
            <rFont val="宋体"/>
            <charset val="134"/>
          </rPr>
          <t xml:space="preserve">
6/2上客供亚马逊外箱贴纸352pcs</t>
        </r>
      </text>
    </comment>
    <comment ref="AG90" authorId="1">
      <text>
        <r>
          <rPr>
            <b/>
            <sz val="9"/>
            <rFont val="宋体"/>
            <charset val="134"/>
          </rPr>
          <t>龙丽娟:</t>
        </r>
        <r>
          <rPr>
            <sz val="9"/>
            <rFont val="宋体"/>
            <charset val="134"/>
          </rPr>
          <t xml:space="preserve">
6/9 2801171 23800pcs顶均A12</t>
        </r>
      </text>
    </comment>
    <comment ref="AJ90" authorId="0">
      <text>
        <r>
          <rPr>
            <b/>
            <sz val="12"/>
            <rFont val="宋体"/>
            <charset val="134"/>
          </rPr>
          <t>Administrator:</t>
        </r>
        <r>
          <rPr>
            <sz val="12"/>
            <rFont val="宋体"/>
            <charset val="134"/>
          </rPr>
          <t xml:space="preserve">
5/11 上客供外箱条码贴纸962pcs</t>
        </r>
      </text>
    </comment>
    <comment ref="AG91" authorId="1">
      <text>
        <r>
          <rPr>
            <b/>
            <sz val="9"/>
            <rFont val="宋体"/>
            <charset val="134"/>
          </rPr>
          <t>龙丽娟:</t>
        </r>
        <r>
          <rPr>
            <sz val="9"/>
            <rFont val="宋体"/>
            <charset val="134"/>
          </rPr>
          <t xml:space="preserve">
6/24 16750pcs b4-a8</t>
        </r>
      </text>
    </comment>
    <comment ref="AG92" authorId="1">
      <text>
        <r>
          <rPr>
            <b/>
            <sz val="9"/>
            <rFont val="宋体"/>
            <charset val="134"/>
          </rPr>
          <t>龙丽娟:</t>
        </r>
        <r>
          <rPr>
            <sz val="9"/>
            <rFont val="宋体"/>
            <charset val="134"/>
          </rPr>
          <t xml:space="preserve">
6/24 23775pcs b4-a8</t>
        </r>
      </text>
    </comment>
    <comment ref="AJ94" authorId="1">
      <text>
        <r>
          <rPr>
            <b/>
            <sz val="9"/>
            <rFont val="宋体"/>
            <charset val="134"/>
          </rPr>
          <t>龙丽娟:</t>
        </r>
        <r>
          <rPr>
            <sz val="9"/>
            <rFont val="宋体"/>
            <charset val="134"/>
          </rPr>
          <t xml:space="preserve">
6/10上客供外箱条码贴纸962pcs</t>
        </r>
      </text>
    </comment>
    <comment ref="AJ124" authorId="1">
      <text>
        <r>
          <rPr>
            <b/>
            <sz val="9"/>
            <rFont val="宋体"/>
            <charset val="134"/>
          </rPr>
          <t>龙丽娟:</t>
        </r>
        <r>
          <rPr>
            <sz val="9"/>
            <rFont val="宋体"/>
            <charset val="134"/>
          </rPr>
          <t xml:space="preserve">
6/24收到客供亚马逊贴纸105pcs</t>
        </r>
      </text>
    </comment>
    <comment ref="AJ125" authorId="1">
      <text>
        <r>
          <rPr>
            <b/>
            <sz val="9"/>
            <rFont val="宋体"/>
            <charset val="134"/>
          </rPr>
          <t>龙丽娟:</t>
        </r>
        <r>
          <rPr>
            <sz val="9"/>
            <rFont val="宋体"/>
            <charset val="134"/>
          </rPr>
          <t xml:space="preserve">
6/24收到客供亚马逊贴纸23pcs</t>
        </r>
      </text>
    </comment>
    <comment ref="AJ126" authorId="1">
      <text>
        <r>
          <rPr>
            <b/>
            <sz val="9"/>
            <rFont val="宋体"/>
            <charset val="134"/>
          </rPr>
          <t>龙丽娟:</t>
        </r>
        <r>
          <rPr>
            <sz val="9"/>
            <rFont val="宋体"/>
            <charset val="134"/>
          </rPr>
          <t xml:space="preserve">
6/24收到客供亚马逊贴纸39pcs</t>
        </r>
      </text>
    </comment>
    <comment ref="AJ127" authorId="1">
      <text>
        <r>
          <rPr>
            <b/>
            <sz val="9"/>
            <rFont val="宋体"/>
            <charset val="134"/>
          </rPr>
          <t>龙丽娟:</t>
        </r>
        <r>
          <rPr>
            <sz val="9"/>
            <rFont val="宋体"/>
            <charset val="134"/>
          </rPr>
          <t xml:space="preserve">
6/24收到客供亚马逊贴纸39pcs</t>
        </r>
      </text>
    </comment>
    <comment ref="AJ128" authorId="1">
      <text>
        <r>
          <rPr>
            <b/>
            <sz val="9"/>
            <rFont val="宋体"/>
            <charset val="134"/>
          </rPr>
          <t>龙丽娟:</t>
        </r>
        <r>
          <rPr>
            <sz val="9"/>
            <rFont val="宋体"/>
            <charset val="134"/>
          </rPr>
          <t xml:space="preserve">
6/24收到客供亚马逊贴纸33pcs</t>
        </r>
      </text>
    </comment>
    <comment ref="AJ129" authorId="1">
      <text>
        <r>
          <rPr>
            <b/>
            <sz val="9"/>
            <rFont val="宋体"/>
            <charset val="134"/>
          </rPr>
          <t>龙丽娟:</t>
        </r>
        <r>
          <rPr>
            <sz val="9"/>
            <rFont val="宋体"/>
            <charset val="134"/>
          </rPr>
          <t xml:space="preserve">
6/24收到客供亚马逊贴纸24pcs</t>
        </r>
      </text>
    </comment>
    <comment ref="AJ130" authorId="1">
      <text>
        <r>
          <rPr>
            <b/>
            <sz val="9"/>
            <rFont val="宋体"/>
            <charset val="134"/>
          </rPr>
          <t>龙丽娟:</t>
        </r>
        <r>
          <rPr>
            <sz val="9"/>
            <rFont val="宋体"/>
            <charset val="134"/>
          </rPr>
          <t xml:space="preserve">
6/24收到客供亚马逊贴纸27pcs</t>
        </r>
      </text>
    </comment>
    <comment ref="AJ131" authorId="1">
      <text>
        <r>
          <rPr>
            <b/>
            <sz val="9"/>
            <rFont val="宋体"/>
            <charset val="134"/>
          </rPr>
          <t>龙丽娟:</t>
        </r>
        <r>
          <rPr>
            <sz val="9"/>
            <rFont val="宋体"/>
            <charset val="134"/>
          </rPr>
          <t xml:space="preserve">
6/24收到客供亚马逊贴纸30pcs</t>
        </r>
      </text>
    </comment>
    <comment ref="AJ132" authorId="1">
      <text>
        <r>
          <rPr>
            <b/>
            <sz val="9"/>
            <rFont val="宋体"/>
            <charset val="134"/>
          </rPr>
          <t>龙丽娟:</t>
        </r>
        <r>
          <rPr>
            <sz val="9"/>
            <rFont val="宋体"/>
            <charset val="134"/>
          </rPr>
          <t xml:space="preserve">
6/24收到客供亚马逊贴纸20pcs</t>
        </r>
      </text>
    </comment>
    <comment ref="AG143" authorId="1">
      <text>
        <r>
          <rPr>
            <b/>
            <sz val="9"/>
            <rFont val="宋体"/>
            <charset val="134"/>
          </rPr>
          <t>龙丽娟:</t>
        </r>
        <r>
          <rPr>
            <sz val="9"/>
            <rFont val="宋体"/>
            <charset val="134"/>
          </rPr>
          <t xml:space="preserve">
6/12 2801227 18240pcs欣泰C5</t>
        </r>
      </text>
    </comment>
    <comment ref="AJ143" authorId="0">
      <text>
        <r>
          <rPr>
            <b/>
            <sz val="12"/>
            <rFont val="宋体"/>
            <charset val="134"/>
          </rPr>
          <t>Administrator:</t>
        </r>
        <r>
          <rPr>
            <sz val="12"/>
            <rFont val="宋体"/>
            <charset val="134"/>
          </rPr>
          <t xml:space="preserve">
5/7 上客供RFID贴纸18240pcs</t>
        </r>
      </text>
    </comment>
    <comment ref="AG144" authorId="1">
      <text>
        <r>
          <rPr>
            <b/>
            <sz val="9"/>
            <rFont val="宋体"/>
            <charset val="134"/>
          </rPr>
          <t>龙丽娟:</t>
        </r>
        <r>
          <rPr>
            <sz val="9"/>
            <rFont val="宋体"/>
            <charset val="134"/>
          </rPr>
          <t xml:space="preserve">
6/12 2801227 8640PCS欣泰C6</t>
        </r>
      </text>
    </comment>
    <comment ref="AJ144" authorId="0">
      <text>
        <r>
          <rPr>
            <b/>
            <sz val="12"/>
            <rFont val="宋体"/>
            <charset val="134"/>
          </rPr>
          <t>Administrator:</t>
        </r>
        <r>
          <rPr>
            <sz val="12"/>
            <rFont val="宋体"/>
            <charset val="134"/>
          </rPr>
          <t xml:space="preserve">
5/7 上客供RFID贴纸8640pcs</t>
        </r>
      </text>
    </comment>
    <comment ref="AG145" authorId="1">
      <text>
        <r>
          <rPr>
            <b/>
            <sz val="9"/>
            <rFont val="宋体"/>
            <charset val="134"/>
          </rPr>
          <t>龙丽娟:</t>
        </r>
        <r>
          <rPr>
            <sz val="9"/>
            <rFont val="宋体"/>
            <charset val="134"/>
          </rPr>
          <t xml:space="preserve">
6/5 2801089 14400pcs欣泰</t>
        </r>
      </text>
    </comment>
    <comment ref="AJ145" authorId="0">
      <text>
        <r>
          <rPr>
            <b/>
            <sz val="12"/>
            <rFont val="宋体"/>
            <charset val="134"/>
          </rPr>
          <t>Administrator:</t>
        </r>
        <r>
          <rPr>
            <sz val="12"/>
            <rFont val="宋体"/>
            <charset val="134"/>
          </rPr>
          <t xml:space="preserve">
5/7 上客供RFID贴纸14400pcs</t>
        </r>
      </text>
    </comment>
    <comment ref="AG146" authorId="1">
      <text>
        <r>
          <rPr>
            <b/>
            <sz val="9"/>
            <rFont val="宋体"/>
            <charset val="134"/>
          </rPr>
          <t>龙丽娟:</t>
        </r>
        <r>
          <rPr>
            <sz val="9"/>
            <rFont val="宋体"/>
            <charset val="134"/>
          </rPr>
          <t xml:space="preserve">
6/15 2801258  15360pcs欣泰f6</t>
        </r>
      </text>
    </comment>
    <comment ref="AJ146" authorId="0">
      <text>
        <r>
          <rPr>
            <b/>
            <sz val="12"/>
            <rFont val="宋体"/>
            <charset val="134"/>
          </rPr>
          <t>Administrator:</t>
        </r>
        <r>
          <rPr>
            <sz val="12"/>
            <rFont val="宋体"/>
            <charset val="134"/>
          </rPr>
          <t xml:space="preserve">
5/7 上客供RFID贴纸8640pcs</t>
        </r>
      </text>
    </comment>
    <comment ref="AG147" authorId="1">
      <text>
        <r>
          <rPr>
            <b/>
            <sz val="9"/>
            <rFont val="宋体"/>
            <charset val="134"/>
          </rPr>
          <t>龙丽娟:</t>
        </r>
        <r>
          <rPr>
            <sz val="9"/>
            <rFont val="宋体"/>
            <charset val="134"/>
          </rPr>
          <t xml:space="preserve">
6/13 2801248 13440PCS 顶均A4</t>
        </r>
      </text>
    </comment>
    <comment ref="AJ147" authorId="0">
      <text>
        <r>
          <rPr>
            <b/>
            <sz val="12"/>
            <rFont val="宋体"/>
            <charset val="134"/>
          </rPr>
          <t>Administrator:</t>
        </r>
        <r>
          <rPr>
            <sz val="12"/>
            <rFont val="宋体"/>
            <charset val="134"/>
          </rPr>
          <t xml:space="preserve">
5/7 上客供RFID贴纸8640pcs</t>
        </r>
      </text>
    </comment>
    <comment ref="AG148" authorId="1">
      <text>
        <r>
          <rPr>
            <b/>
            <sz val="9"/>
            <rFont val="宋体"/>
            <charset val="134"/>
          </rPr>
          <t>龙丽娟:</t>
        </r>
        <r>
          <rPr>
            <sz val="9"/>
            <rFont val="宋体"/>
            <charset val="134"/>
          </rPr>
          <t xml:space="preserve">
6/13 2801248 21120PCS 顶均A4</t>
        </r>
      </text>
    </comment>
    <comment ref="AJ148" authorId="0">
      <text>
        <r>
          <rPr>
            <b/>
            <sz val="12"/>
            <rFont val="宋体"/>
            <charset val="134"/>
          </rPr>
          <t>Administrator:</t>
        </r>
        <r>
          <rPr>
            <sz val="12"/>
            <rFont val="宋体"/>
            <charset val="134"/>
          </rPr>
          <t xml:space="preserve">
5/7 上客供RFID贴纸8640pcs</t>
        </r>
      </text>
    </comment>
    <comment ref="AJ149" authorId="0">
      <text>
        <r>
          <rPr>
            <b/>
            <sz val="12"/>
            <rFont val="宋体"/>
            <charset val="134"/>
          </rPr>
          <t>Administrator:</t>
        </r>
        <r>
          <rPr>
            <sz val="12"/>
            <rFont val="宋体"/>
            <charset val="134"/>
          </rPr>
          <t xml:space="preserve">
5/14上客供RFID贴纸14400pcs</t>
        </r>
      </text>
    </comment>
    <comment ref="AJ150" authorId="0">
      <text>
        <r>
          <rPr>
            <b/>
            <sz val="12"/>
            <rFont val="宋体"/>
            <charset val="134"/>
          </rPr>
          <t>Administrator:</t>
        </r>
        <r>
          <rPr>
            <sz val="12"/>
            <rFont val="宋体"/>
            <charset val="134"/>
          </rPr>
          <t xml:space="preserve">
5/14上客供RFID贴纸16320pcs</t>
        </r>
      </text>
    </comment>
    <comment ref="AJ151" authorId="0">
      <text>
        <r>
          <rPr>
            <b/>
            <sz val="12"/>
            <rFont val="宋体"/>
            <charset val="134"/>
          </rPr>
          <t>Administrator:</t>
        </r>
        <r>
          <rPr>
            <sz val="12"/>
            <rFont val="宋体"/>
            <charset val="134"/>
          </rPr>
          <t xml:space="preserve">
5/14上客供RFID贴纸14400pcs</t>
        </r>
      </text>
    </comment>
    <comment ref="AG162" authorId="1">
      <text>
        <r>
          <rPr>
            <b/>
            <sz val="9"/>
            <rFont val="宋体"/>
            <charset val="134"/>
          </rPr>
          <t>龙丽娟:</t>
        </r>
        <r>
          <rPr>
            <sz val="9"/>
            <rFont val="宋体"/>
            <charset val="134"/>
          </rPr>
          <t xml:space="preserve">
6/23 b4b2</t>
        </r>
      </text>
    </comment>
    <comment ref="AG203" authorId="1">
      <text>
        <r>
          <rPr>
            <b/>
            <sz val="9"/>
            <rFont val="宋体"/>
            <charset val="134"/>
          </rPr>
          <t>龙丽娟:</t>
        </r>
        <r>
          <rPr>
            <sz val="9"/>
            <rFont val="宋体"/>
            <charset val="134"/>
          </rPr>
          <t xml:space="preserve">
6/1 2800101 20160pcs新2c5</t>
        </r>
      </text>
    </comment>
    <comment ref="AH213" authorId="1">
      <text>
        <r>
          <rPr>
            <b/>
            <sz val="9"/>
            <rFont val="宋体"/>
            <charset val="134"/>
          </rPr>
          <t>龙丽娟:</t>
        </r>
        <r>
          <rPr>
            <sz val="9"/>
            <rFont val="宋体"/>
            <charset val="134"/>
          </rPr>
          <t xml:space="preserve">
6/5 2801114 3756pcs新2B5</t>
        </r>
      </text>
    </comment>
    <comment ref="AI220" authorId="1">
      <text>
        <r>
          <rPr>
            <b/>
            <sz val="9"/>
            <rFont val="宋体"/>
            <charset val="134"/>
          </rPr>
          <t>龙丽娟:</t>
        </r>
        <r>
          <rPr>
            <sz val="9"/>
            <rFont val="宋体"/>
            <charset val="134"/>
          </rPr>
          <t xml:space="preserve">
7/6 2201228 3008 pcs欣泰c6</t>
        </r>
      </text>
    </comment>
    <comment ref="AK235" authorId="1">
      <text>
        <r>
          <rPr>
            <b/>
            <sz val="9"/>
            <rFont val="宋体"/>
            <charset val="134"/>
          </rPr>
          <t>龙丽娟:</t>
        </r>
        <r>
          <rPr>
            <sz val="9"/>
            <rFont val="宋体"/>
            <charset val="134"/>
          </rPr>
          <t xml:space="preserve">
上德意荷/法国贴纸3308pcs</t>
        </r>
      </text>
    </comment>
    <comment ref="AL237" authorId="1">
      <text>
        <r>
          <rPr>
            <b/>
            <sz val="9"/>
            <rFont val="宋体"/>
            <charset val="134"/>
          </rPr>
          <t>龙丽娟:</t>
        </r>
        <r>
          <rPr>
            <sz val="9"/>
            <rFont val="宋体"/>
            <charset val="134"/>
          </rPr>
          <t xml:space="preserve">
7/15上地址贴纸26416pcs
207585/211476共用</t>
        </r>
      </text>
    </comment>
    <comment ref="AH247" authorId="0">
      <text>
        <r>
          <rPr>
            <b/>
            <sz val="9"/>
            <rFont val="宋体"/>
            <charset val="134"/>
          </rPr>
          <t>Ad</t>
        </r>
        <r>
          <rPr>
            <b/>
            <sz val="12"/>
            <rFont val="宋体"/>
            <charset val="134"/>
          </rPr>
          <t>ministrator:</t>
        </r>
        <r>
          <rPr>
            <sz val="9"/>
            <rFont val="宋体"/>
            <charset val="134"/>
          </rPr>
          <t xml:space="preserve">
</t>
        </r>
        <r>
          <rPr>
            <sz val="12"/>
            <rFont val="宋体"/>
            <charset val="134"/>
          </rPr>
          <t xml:space="preserve">3/19 1405240 5000pcsB栋4楼B7区
</t>
        </r>
      </text>
    </comment>
    <comment ref="AH248" authorId="0">
      <text>
        <r>
          <rPr>
            <b/>
            <sz val="12"/>
            <rFont val="宋体"/>
            <charset val="134"/>
          </rPr>
          <t>Administrator:</t>
        </r>
        <r>
          <rPr>
            <sz val="9"/>
            <rFont val="宋体"/>
            <charset val="134"/>
          </rPr>
          <t xml:space="preserve">
</t>
        </r>
        <r>
          <rPr>
            <sz val="12"/>
            <rFont val="宋体"/>
            <charset val="134"/>
          </rPr>
          <t>3/19  1406106 
组合1 2417pcs
组合2 4992pcs
组合3 4989pcs
组合4 2502PCS
组合5 2496pcs
组合6 2497pcs
组合7 2499pcs
组合10 2292pcs
组合11 3413pcs
组合12 943pcs
吸塑640pcs</t>
        </r>
      </text>
    </comment>
    <comment ref="AL255" authorId="1">
      <text>
        <r>
          <rPr>
            <b/>
            <sz val="9"/>
            <rFont val="宋体"/>
            <charset val="134"/>
          </rPr>
          <t>龙丽娟:</t>
        </r>
        <r>
          <rPr>
            <sz val="9"/>
            <rFont val="宋体"/>
            <charset val="134"/>
          </rPr>
          <t xml:space="preserve">
7/13上地址贴纸5008pcs</t>
        </r>
      </text>
    </comment>
    <comment ref="AE264" authorId="1">
      <text>
        <r>
          <rPr>
            <b/>
            <sz val="9"/>
            <rFont val="宋体"/>
            <charset val="134"/>
          </rPr>
          <t>龙丽娟:</t>
        </r>
        <r>
          <rPr>
            <sz val="9"/>
            <rFont val="宋体"/>
            <charset val="134"/>
          </rPr>
          <t xml:space="preserve">
8/1 3004711 2208pcs欣泰D6</t>
        </r>
      </text>
    </comment>
  </commentList>
</comments>
</file>

<file path=xl/sharedStrings.xml><?xml version="1.0" encoding="utf-8"?>
<sst xmlns="http://schemas.openxmlformats.org/spreadsheetml/2006/main" count="35857" uniqueCount="7924">
  <si>
    <t>香港接单日期</t>
  </si>
  <si>
    <t>第三方客户名称</t>
  </si>
  <si>
    <t>走货国家</t>
  </si>
  <si>
    <t>ZURU PO NO#</t>
  </si>
  <si>
    <t>第三方客户 PO NO#</t>
  </si>
  <si>
    <t>SKU</t>
  </si>
  <si>
    <t>ITEM#</t>
  </si>
  <si>
    <t>货品名称</t>
  </si>
  <si>
    <t>PO数量(只)</t>
  </si>
  <si>
    <t>内箱装箱数量(只)</t>
  </si>
  <si>
    <t>外箱装箱数量(只)</t>
  </si>
  <si>
    <t>总箱数</t>
  </si>
  <si>
    <t>计划出货期</t>
  </si>
  <si>
    <t>计划验货期</t>
  </si>
  <si>
    <t>湖南完成时间</t>
  </si>
  <si>
    <t>第三方客户公证行验货</t>
  </si>
  <si>
    <t>验货结果</t>
  </si>
  <si>
    <t>S/O(截仓期)</t>
  </si>
  <si>
    <t>生产情况</t>
  </si>
  <si>
    <t>已回数量</t>
  </si>
  <si>
    <t>欠数</t>
  </si>
  <si>
    <t>贴纸</t>
  </si>
  <si>
    <t>箱唛
(收到日期)</t>
  </si>
  <si>
    <t>外箱贴纸</t>
  </si>
  <si>
    <t>贴纸资料
(收到日期及订购日期)</t>
  </si>
  <si>
    <t>其他物料</t>
  </si>
  <si>
    <t>额外说明书/保证书</t>
  </si>
  <si>
    <t>样办</t>
  </si>
  <si>
    <t>备注</t>
  </si>
  <si>
    <t>ZURU跟单组员</t>
  </si>
  <si>
    <t>单价USD</t>
  </si>
  <si>
    <t>金额USD</t>
  </si>
  <si>
    <t>发票号</t>
  </si>
  <si>
    <t>系统货号</t>
  </si>
  <si>
    <t>是否入系统</t>
  </si>
  <si>
    <t>下单情况</t>
  </si>
  <si>
    <t>77772 MA版本球数</t>
  </si>
  <si>
    <t>77772 COSTCO球数</t>
  </si>
  <si>
    <t>77772 Target球数</t>
  </si>
  <si>
    <t>收缩膜
1L A版本</t>
  </si>
  <si>
    <t>"收缩膜
1L B版本"</t>
  </si>
  <si>
    <t>收缩膜
3L A版本</t>
  </si>
  <si>
    <t>客版3L无条码收缩膜（美国）</t>
  </si>
  <si>
    <t>客版3L无条码收缩膜（英法西）</t>
  </si>
  <si>
    <t>WM CA客版收缩膜</t>
  </si>
  <si>
    <t>TARGET客版收缩膜</t>
  </si>
  <si>
    <t>收藏指南  5L A版本</t>
  </si>
  <si>
    <t>唱片架组装说明书</t>
  </si>
  <si>
    <t>客版收藏指南（移除21唱片）</t>
  </si>
  <si>
    <t>客版收藏指南（移除21/23唱片）</t>
  </si>
  <si>
    <t>客版收藏指南（移除17款唱片）</t>
  </si>
  <si>
    <t>中文收藏指南</t>
  </si>
  <si>
    <t>中文黑白唱片架组装说明书</t>
  </si>
  <si>
    <t>COSTCO客版收缩膜</t>
  </si>
  <si>
    <t>COSTCO客版收藏指南</t>
  </si>
  <si>
    <t>COSTCO客版说明书</t>
  </si>
  <si>
    <t>COSTCO客版彩盒</t>
  </si>
  <si>
    <t>COSTCO客版托盘</t>
  </si>
  <si>
    <t>Smyths客版收缩膜</t>
  </si>
  <si>
    <t>Smyths客版收藏指南</t>
  </si>
  <si>
    <t>TARGET客版收藏指南</t>
  </si>
  <si>
    <t>MA GQ1 1L 
13pcs</t>
  </si>
  <si>
    <t>MA GQ1 3L 
13pcs</t>
  </si>
  <si>
    <t>MA GQ8 1L 
48pcs</t>
  </si>
  <si>
    <t>MA GQ2 1L 
24/25pcs</t>
  </si>
  <si>
    <t>MA GQ2 3L 
24/25pcs</t>
  </si>
  <si>
    <t>客版GQ1 1L</t>
  </si>
  <si>
    <t>客版GQ2 1L</t>
  </si>
  <si>
    <t>客版GQ3 1L</t>
  </si>
  <si>
    <t>客版GQ3 3L</t>
  </si>
  <si>
    <t>客版GQ4</t>
  </si>
  <si>
    <t>客版GQ5</t>
  </si>
  <si>
    <t>EMC457</t>
  </si>
  <si>
    <t>MEC473</t>
  </si>
  <si>
    <t>MEC426</t>
  </si>
  <si>
    <t>MEC426 TARGET专属</t>
  </si>
  <si>
    <t>MSLD188</t>
  </si>
  <si>
    <t>MSLD182</t>
  </si>
  <si>
    <t>SK-S002</t>
  </si>
  <si>
    <t>SK1-S002</t>
  </si>
  <si>
    <t>GQ2/GQ3 Demo</t>
  </si>
  <si>
    <t>Target-US Demo</t>
  </si>
  <si>
    <t>77772展示架DOEM SK</t>
  </si>
  <si>
    <t>ENDCAP Demo(set)-STD</t>
  </si>
  <si>
    <t>77944彩盒</t>
  </si>
  <si>
    <t>77944托盘UQ1</t>
  </si>
  <si>
    <t>77876圆筒</t>
  </si>
  <si>
    <t>77876彩纸</t>
  </si>
  <si>
    <t>77876贴纸</t>
  </si>
  <si>
    <t>ZMPO260055</t>
  </si>
  <si>
    <t>ZMPO260055-10</t>
  </si>
  <si>
    <t>77772-S001</t>
  </si>
  <si>
    <t>唱片球24 pcs/箱</t>
  </si>
  <si>
    <t>80套散件</t>
  </si>
  <si>
    <t>周转箱</t>
  </si>
  <si>
    <t>无</t>
  </si>
  <si>
    <t>Remark：大货版本/只需要齐全套散件/麻烦用胶袋分装好一套为一袋
备注： 收到样品订单后尽快安排 ，注意样板品质质量要求要高于大货品质要求 ，送货时必须要附带送货单(没有送货单和QC检验合格报告的仓库一律拒绝收货)，请知悉，谢谢！</t>
  </si>
  <si>
    <t>sally Li</t>
  </si>
  <si>
    <t>N/A</t>
  </si>
  <si>
    <t>#</t>
  </si>
  <si>
    <t>ZURU NEW ZEALAND LIMITED</t>
  </si>
  <si>
    <t>新西兰</t>
  </si>
  <si>
    <t>4500190798-10</t>
  </si>
  <si>
    <t>77772GQ2-S002-FS</t>
  </si>
  <si>
    <t>唱片球25 pcs/PDQ/箱</t>
  </si>
  <si>
    <t>试销单</t>
  </si>
  <si>
    <t>PASS</t>
  </si>
  <si>
    <t>有</t>
  </si>
  <si>
    <t>每箱需要增加一张黄色A4贴纸，印“fast start"。</t>
  </si>
  <si>
    <t>日期码格式：ZURU INC(BVI) 标准格式 日期：按实际生产日期
Packaging Info:
Remark: NZ Fast start order, 从PP PO中扣除，每款需要更换UPC贴纸，除常规箱唛外，每箱需要增加一张黄色A4贴纸，印“fast start"。</t>
  </si>
  <si>
    <t>SD92</t>
  </si>
  <si>
    <t>77772GQ2-S002-3L</t>
  </si>
  <si>
    <t>已入</t>
  </si>
  <si>
    <t>系统入单</t>
  </si>
  <si>
    <t>TARGET US</t>
  </si>
  <si>
    <t>美国</t>
  </si>
  <si>
    <t>10001643491-3 890</t>
  </si>
  <si>
    <t>4500189603-10</t>
  </si>
  <si>
    <t>77772GQ5-S001</t>
  </si>
  <si>
    <t>3/16 提货</t>
  </si>
  <si>
    <t>OK</t>
  </si>
  <si>
    <t>1/22寄出</t>
  </si>
  <si>
    <t>日期码格式：ZURU INC(BVI) 标准格式 日期：按实际生产日期
Packaging Info: 7772GQ5：产品包装MA 1L 收缩膜+MA 5L 收藏指南，客版PDQ
Remark: 7772GQ5：
1.77772GQ5-S001-MINI BRANDS-VINYL-SERIES 1-CAPSULE,WITH DEMO,25PCS/GRAVITY PDQ,25PCS/PDQ/CTN；
2.产品包装MA 1L 收缩膜+MA 5L 收藏指南，客版PDQ；
3.产品UPC显示193052090065，Sweet Caroline Neil Diamond是TARGET独家款唱片；
4. 外箱正唛左上角位置粘贴条码箱贴纸，每箱只贴一张，由ZURU订购。来料贴纸上显示的客户DPCI# 086-02-8931, UPC显示10193052090062;
5. 外箱正唛箱唛内容右侧需贴一张EVENT LABEL，内容显示：TOYS SET DATE: 5/31/2026，由工厂自行订购；
6. 产品和包装上印刷 tracking code信息，格式为ZURU常规格式;
7. 出货方式：货代自提</t>
  </si>
  <si>
    <t>Holly Zheng</t>
  </si>
  <si>
    <t>ZB04936-8.17</t>
  </si>
  <si>
    <t>ZMPO260157</t>
  </si>
  <si>
    <t>ZMPO260157-10</t>
  </si>
  <si>
    <t>10套散件</t>
  </si>
  <si>
    <t>Remark：大货最新版本/只需要齐套散件/麻烦用胶袋分装好一套为一袋/箱唛参照邮件附件
备注：  收到订单后请尽快安排，谢谢</t>
  </si>
  <si>
    <t>10001643496-3 890</t>
  </si>
  <si>
    <t>4500189608-10</t>
  </si>
  <si>
    <t>3/23 提货</t>
  </si>
  <si>
    <t>日期码格式：ZURU INC(BVI) 标准格式 日期：按实际生产日期
Packaging Info: 7772GQ5：产品包装MA 1L 收缩膜+MA 5L 收藏指南，客版PDQ
Remark: 7772GQ5：
1.77772GQ5-S001-MINI BRANDS-VINYL-SERIES 1-CAPSULE,WITH DEMO,25PCS/GRAVITY PDQ,25PCS/PDQ/CTN；
2.产品包装MA 1L 收缩膜+MA 5L 收藏指南，客版PDQ；
3.产品UPC显示193052090065，Sweet Caroline Neil Diamond是TARGET独家款唱片；
4. 外箱正唛左上角位置粘贴条码箱贴纸，每箱只贴一张，由ZURU订购。来料贴纸上显示的客户DPCI# 086-02-8931, UPC显示10193052090062;
5. 产品和包装上印刷 tracking code信息，格式为ZURU常规格式;
6. 出货方式：货代自提</t>
  </si>
  <si>
    <t>ZB04934-8.17</t>
  </si>
  <si>
    <t>SMYTHS TOYS HQ UC UK</t>
  </si>
  <si>
    <t>英国</t>
  </si>
  <si>
    <t>4500191960-30</t>
  </si>
  <si>
    <t>77772GQ2-S001-PRODCC</t>
  </si>
  <si>
    <t>唱片球50 pcs/2PDQ/箱</t>
  </si>
  <si>
    <t>3/23 出货</t>
  </si>
  <si>
    <t>移除#21唱片</t>
  </si>
  <si>
    <t>日期码格式：ZURU INC(BVI) 标准格式 日期：按实际生产日期
Packaging Info: 77772GQ2客版5L(英法德意荷)配套包装=MA PDQ (优先多语)+客版3L-5Lwarning收缩膜(翻PO#4500191961)+客版5L收藏指南(翻PO#4500191961)+MA 23L组装说明+MA
复合袋
EAN#4894680051133
77772GQ2必须移除Messy Lola Young (VINYL-S1-021) 这个唱片 ,比例按Una 更新的安排，如未按要求做货被客罚由工厂承担责任。
--------------------------------------------------------------------
Remark: Smyths 英国/爱尔兰
1. 请准时出货，推期会有罚款；
2. 所有产品按符合欧洲标准走货，需要是不含微塑料版本。
3.包装日期码按ZURU格式即可，请确保不迟于外箱日期码，可等于或者早于外箱日期码，必须为法定工作日，印刷前请先检查外箱日期码。
4.请注意检查产品及包装应带UKCA图标（14+产品除外），包装显示ZURU UK LTD/ZURU France地址信息，QC部门请查核，如有问题与跟单确认
5.电子产品需增加一张WEEE声明30L通用黑白说明书(不接受A版本，翻译有误)，区分带电池和不带电池出货版本, 如已做客版说明书可忽略此要求；
6.订单备注显示有分批的（不同仓库/订单号） ，注意分开做货出货，否则会导致罚款 。
7.做货前请先复核包装条码与订单是否一致再安排，对不上的需与ZURU跟单确认再安排。</t>
  </si>
  <si>
    <t>Sherry Lu</t>
  </si>
  <si>
    <t>4500194964-10</t>
  </si>
  <si>
    <t>3/19 出货</t>
  </si>
  <si>
    <t>日期码格式：ZURU INC(BVI) 标准格式 日期：按实际生产日期
Packaging Info:
Remark: NZ Fast start order, 每款需要更换UPC贴纸，除常规箱唛外，每箱需要增加一张黄色A4贴纸，印"fast start"。</t>
  </si>
  <si>
    <t>77772GQ2-S002</t>
  </si>
  <si>
    <t>SMYTHS TOYS EU HQ UNLIMITED COMPANY</t>
  </si>
  <si>
    <t>法国</t>
  </si>
  <si>
    <t>4500191989-10</t>
  </si>
  <si>
    <t>MEC457-77772-S001</t>
  </si>
  <si>
    <t>唱片机+唱片球混装展示架</t>
  </si>
  <si>
    <t>4/6 出货</t>
  </si>
  <si>
    <t>UN3481锂电池运输标签</t>
  </si>
  <si>
    <t>日期码格式：ZURU INC(BVI) 标准格式 日期：按实际生产日期
Packaging Info: MEC457: 客版5L(英法德意荷)展示架[84pcs#77772+48pcs#77794; 所有客版资料翻PO#4500191961]
77772: 客版3L-5Lwarning收缩膜+客版5L收藏指南+MA 23L组装说明+MA复合袋
EAN#4894680051133
77794: 客版3L-5Lwarning纸盒底座+客版3L镭射贴纸+客版3L单铜纸贴纸+MA23L游戏说明书+MA23L warning说明书+1张WEEE声明(带电池)走货欧洲通用29L-C版说明
书
EAN#4894680051430
做货前请先核对条码无误
RECHARGEABLE LITHIUM BATTERY(INCLUDED)
*#77772必须移除Messy Lola Young (VINYL-S1-021) 这个唱片, 比例按PM更新的安排*
*展架上的Demo Box的唱片需要用"A Little Too Much"(VINYL-S1-025)替代原来的"Messy"(VINYL-S1-021)*
*外箱需加一张UN3481锂电池运输标签*
Remark: Smyths 法国
1. 请准时出货，推期会有罚款；
2. 所有产品按符合欧洲标准走货，需要是不含微塑料版本。
3. 电子产品需增加一张WEEE声明30L通用黑白说明书(不接受A版本，翻译有误)，区分带电池和不带电池出货版本, 如已做客版说明书可忽略此要求；
4. 出口法国的产品, 法规规定禁止在包装和共公众用的印刷品中使用矿物油中含有的物质, 包装印刷油墨中含有的MOAH/MOSH的质量浓度不能超过1%, 否则出货到
法国被抽检出现问题, 供应商需要对此负责;
5.订单备注显示有分批的（不同仓库/订单号） ，注意分开做货出货，否则会导致罚款 。
6.包装日期码按ZURU格式即可，请确保不迟于外箱日期码，可等于或者早于外箱日期码，必须为法定工作日。
7.做货前请先复核包装条码与订单是否一致再安排，对不上的需与ZURU跟单确认再安排。</t>
  </si>
  <si>
    <t>MEC457-S001-77772</t>
  </si>
  <si>
    <t>4500191989-20</t>
  </si>
  <si>
    <t>4500191990-50</t>
  </si>
  <si>
    <t>4/7 出货</t>
  </si>
  <si>
    <t>日期码格式：ZURU INC(BVI) 标准格式 日期：按实际生产日期
Packaging Info: 77772GQ2客版5L(英法德意荷)配套包装=MA PDQ (优先多语)+客版3L-5Lwarning收缩膜(翻PO#4500191961)+客版5L收藏指南(翻PO#4500191961)+MA 23L组装说明+MA
复合袋
EAN#4894680051133
77772GQ2必须移除Messy Lola Young (VINYL-S1-021) 这个唱片 ,比例按Una 更新的安排，如未按要求做货被客罚由工厂承担责任。
--------------------------------------------------------------------
Remark: Smyths 法国
1. 请准时出货，推期会有罚款；
2. 所有产品按符合欧洲标准走货，需要是不含微塑料版本。
3. 电子产品需增加一张WEEE声明30L通用黑白说明书(不接受A版本，翻译有误)，区分带电池和不带电池出货版本, 如已做客版说明书可忽略此要求；
4. 出口法国的产品, 法规规定禁止在包装和共公众用的印刷品中使用矿物油中含有的物质, 包装印刷油墨中含有的MOAH/MOSH的质量浓度不能超过1%, 否则出货到
法国被抽检出现问题, 供应商需要对此负责;
5.订单备注显示有分批的（不同仓库/订单号） ，注意分开做货出货，否则会导致罚款 。
6.包装日期码按ZURU格式即可，请确保不迟于外箱日期码，可等于或者早于外箱日期码，必须为法定工作日。
7.做货前请先复核包装条码与订单是否一致再安排，对不上的需与ZURU跟单确认再安排。</t>
  </si>
  <si>
    <t>4500191990-60</t>
  </si>
  <si>
    <t>4500191961-10</t>
  </si>
  <si>
    <t>日期码格式：ZURU INC(BVI) 标准格式 日期：按实际生产日期
Packaging Info: MEC457: 客版5L(英法德意荷)展示架[84pcs#77772+48pcs#77794; 所有客版资料翻PO#4500191961]
77772: 客版3L-5Lwarning收缩膜+客版5L收藏指南+MA 23L组装说明+MA复合袋
EAN#4894680051133
77794: 客版3L-5Lwarning纸盒底座+客版3L镭射贴纸+客版3L单铜纸贴纸+MA23L游戏说明书+MA23L warning说明书+1张WEEE声明(带电池)走货欧洲通用29L-C版说明
书
EAN#4894680051430
做货前请先核对条码无误
RECHARGEABLE LITHIUM BATTERY(INCLUDED)
*#77772必须移除Messy Lola Young (VINYL-S1-021) 这个唱片, 比例按PM更新的安排*
*展架上的Demo Box的唱片需要用"A Little Too Much"(VINYL-S1-025)替代原来的"Messy"(VINYL-S1-021)*
*外箱需加一张UN3481锂电池运输标签*
Remark: Smyths 英国/爱尔兰
1. 请准时出货，推期会有罚款；
2. 所有产品按符合欧洲标准走货，需要是不含微塑料版本。
3.包装日期码按ZURU格式即可，请确保不迟于外箱日期码，可等于或者早于外箱日期码，必须为法定工作日，印刷前请先检查外箱日期码。
4.请注意检查产品及包装应带UKCA图标（14+产品除外），包装显示ZURU UK LTD/ZURU France地址信息，QC部门请查核，如有问题与跟单确认
5.电子产品需增加一张WEEE声明30L通用黑白说明书(不接受A版本，翻译有误)，区分带电池和不带电池出货版本, 如已做客版说明书可忽略此要求；
6.订单备注显示有分批的（不同仓库/订单号） ，注意分开做货出货，否则会导致罚款 。
7.做货前请先复核包装条码与订单是否一致再安排，对不上的需与ZURU跟单确认再安排。</t>
  </si>
  <si>
    <t>SMYTHS TOYS EU HQ UC</t>
  </si>
  <si>
    <t>德国</t>
  </si>
  <si>
    <t>4500191996-50</t>
  </si>
  <si>
    <t>3/24 出货</t>
  </si>
  <si>
    <t>日期码格式：ZURU INC(BVI) 标准格式 日期：按实际生产日期
Packaging Info: 77772GQ2客版5L(英法德意荷)配套包装=MA PDQ (优先多语)+客版3L-5Lwarning收缩膜(翻PO#4500191961)+客版5L收藏指南(翻PO#4500191961)+MA 23L组装说明+MA
复合袋
EAN#4894680051133
77772GQ2必须移除Messy Lola Young (VINYL-S1-021) 这个唱片 ,比例按Una 更新的安排，如未按要求做货被客罚由工厂承担责任。
RECHARGEABLE LITHIUM BATTERY(INCLUDED)
Remark: Smyths 德国
1. 请准时出货，推期会有罚款；
2. 所有产品按符合欧洲标准走货，需要是不含微塑料版本。
3. 所有电子产品身上需要加字唛，为ZURU FRANCE 地址 (如无电子产品，产品布标有此地址，或产品太小无法增加可忽略此信息)，新地址ZURU FRANCE.33 rue Pa
ul Meurice 75020 Paris, France.
4. 电子产品需增加一张WEEE声明30L通用黑白说明书(不接受A版本，翻译有误)，区分带电池和不带电池出货版本, 如已做客版说明书可忽略此要求；
5.所有出往德国市场有关slime和带香味的都需要出无硼无香版本；
6.订单备注显示有分批的（不同仓库/订单号） ，注意分开做货出货，否则会导致罚款 。
7.包装日期码按ZURU格式即可，请确保不迟于外箱日期码，可等于或者早于外箱日期码，必须为法定工作日。
8.做货前请先复核包装条码与订单是否一致再安排，对不上的需与ZURU跟单确认再安排。</t>
  </si>
  <si>
    <t>4500191996-60</t>
  </si>
  <si>
    <t>4500191997-10</t>
  </si>
  <si>
    <t>日期码格式：ZURU INC(BVI) 标准格式 日期：按实际生产日期
Packaging Info: MEC457: 客版5L(英法德意荷)展示架[84pcs#77772+48pcs#77794; 所有客版资料翻PO#4500191961]
77772: 客版3L-5Lwarning收缩膜+客版5L收藏指南+MA 23L组装说明+MA复合袋
EAN#4894680051133
77794: 客版3L-5Lwarning纸盒底座+客版3L镭射贴纸+客版3L单铜纸贴纸+MA23L游戏说明书+MA23L warning说明书+1张WEEE声明(带电池)走货欧洲通用29L-C版说明
书
EAN#4894680051430
做货前请先核对条码无误
RECHARGEABLE LITHIUM BATTERY(INCLUDED)
*#77772必须移除Messy Lola Young (VINYL-S1-021) 这个唱片, 比例按PM更新的安排*
*展架上的Demo Box的唱片需要用"A Little Too Much"(VINYL-S1-025)替代原来的"Messy"(VINYL-S1-021)*
*外箱需加一张UN3481锂电池运输标签*
Remark: Smyths 德国
1. 请准时出货，推期会有罚款；
2. 所有产品按符合欧洲标准走货，需要是不含微塑料版本。
3. 所有电子产品身上需要加字唛，为ZURU FRANCE 地址 (如无电子产品，产品布标有此地址，或产品太小无法增加可忽略此信息)，新地址ZURU FRANCE.33 rue Pa
ul Meurice 75020 Paris, France.
4. 电子产品需增加一张WEEE声明30L通用黑白说明书(不接受A版本，翻译有误)，区分带电池和不带电池出货版本, 如已做客版说明书可忽略此要求；
5.所有出往德国市场有关slime和带香味的都需要出无硼无香版本；
6.订单备注显示有分批的（不同仓库/订单号） ，注意分开做货出货，否则会导致罚款 。
7.包装日期码按ZURU格式即可，请确保不迟于外箱日期码，可等于或者早于外箱日期码，必须为法定工作日。
8.做货前请先复核包装条码与订单是否一致再安排，对不上的需与ZURU跟单确认再安排。</t>
  </si>
  <si>
    <t>4500191997-20</t>
  </si>
  <si>
    <t>UPD, INC.</t>
  </si>
  <si>
    <t>4500192208-10</t>
  </si>
  <si>
    <t>77772GQ1-S001</t>
  </si>
  <si>
    <t>唱片球52pcs/4PDQ/箱</t>
  </si>
  <si>
    <t>3/30 出货</t>
  </si>
  <si>
    <t>日期码格式：ZURU INC(BVI) 标准格式 日期：按实际生产日期
Packaging Info: 1. 包装方式：MA UPC 优先1L 最新包装，出口美国
Remark: 2. 外箱箱唛红色和黑色双色印刷
3. 产品和包装上印刷tracking code信息，格式为ZURU常规</t>
  </si>
  <si>
    <t>Angel Lin</t>
  </si>
  <si>
    <t>ZB04945-8.17</t>
  </si>
  <si>
    <t>ZURU LLC</t>
  </si>
  <si>
    <t>4500193475-30</t>
  </si>
  <si>
    <t>77772GQ2-S001-FS</t>
  </si>
  <si>
    <t>4/4 出货</t>
  </si>
  <si>
    <t>2/12客版UPC贴纸</t>
  </si>
  <si>
    <t>日期码格式：ZURU DGYYYYMMDD CHINA(日期避开周末和法定节假日即可） 日期：按实际生产日期
Packaging Info: 1.产品包装要求：
77772GQ2：MA 1L收缩膜+MA 1L PDQ+MA收藏指南+客版UPC贴纸
2.NO RFID – 不需要RFID
NEW UPC 与STD 不同， 需加贴NEW UPC贴纸。贴前须用黑色笔将原 UPC 码完全涂黑，使其无法扫描，再粘贴新 UPC 贴纸。
Remark: FAST START 项目要求
1.产品包装要求：
77772GQ2：MA 1L收缩膜+MA 1L PDQ+MA收藏指南+客版UPC贴纸
2.NO RFID – 不需要RFID
NEW UPC 与STD 不同， 需加贴NEW UPC贴纸。贴前须用黑色笔将原 UPC 码完全涂黑，使其无法扫描，再粘贴新 UPC 贴纸。
新UPC 如下：
SKU Fast Start SPEC# Description UPC GTIN
77772 77772GQ2-S001-FS MINI BRANDS VINYL S1 193052110282 10193052110289
3.外箱唛参考提供的模版，排版供确认后，才能生产。
4.此MTS订单不需要第三方抽板验货，但是要通过ZURU QC验货PASS后才能出货。 空运到3PL仓库。</t>
  </si>
  <si>
    <t>SD62</t>
  </si>
  <si>
    <t>ZB05281-8.17</t>
  </si>
  <si>
    <t>77772GQ2-S001</t>
  </si>
  <si>
    <t>4500192013-20</t>
  </si>
  <si>
    <t>日期码格式：ZURU INC(BVI) 标准格式 日期：按实际生产日期
Packaging Info: 77772GQ2客版5L(英法德意荷)配套包装=MA PDQ (优先多语)+客版3L-5Lwarning收缩膜(翻PO#4500191961)+客版5L收藏指南(翻PO#4500191961)+MA 23L组装说明+MA
复合袋
EAN#4894680051133
77772GQ2必须移除Messy Lola Young (VINYL-S1-021) 这个唱片 ,比例按Una 更新的安排，如未按要求做货被客罚由工厂承担责任。
Remark: Smyths 英国/爱尔兰
1. 请准时出货，推期会有罚款；
2. 所有产品按符合欧洲标准走货，需要是不含微塑料版本。
3.包装日期码按ZURU格式即可，请确保不迟于外箱日期码，可等于或者早于外箱日期码，必须为法定工作日，印刷前请先检查外箱日期码。
4.请注意检查产品及包装应带UKCA图标（14+产品除外），包装显示ZURU UK LTD/ZURU France地址信息，QC部门请查核，如有问题与跟单确认
5.电子产品需增加一张WEEE声明30L通用黑白说明书(不接受A版本，翻译有误)，区分带电池和不带电池出货版本, 如已做客版说明书可忽略此要求；
6.订单备注显示有分批的（不同仓库/订单号） ，注意分开做货出货，否则会导致罚款 。
7.做货前请先复核包装条码与订单是否一致再安排，对不上的需与ZURU跟单确认再安排。</t>
  </si>
  <si>
    <t>ZURU GERMANY GMBH</t>
  </si>
  <si>
    <t>4500192187-10</t>
  </si>
  <si>
    <t>77772GQ1-S002-MTS</t>
  </si>
  <si>
    <t>唱片球13 pcs/PDQ/箱</t>
  </si>
  <si>
    <t>4/2 出货</t>
  </si>
  <si>
    <t>外箱日期码要晚于或等于产品日期码，不能早于产品的日期码</t>
  </si>
  <si>
    <t>日期码格式：ZURU INC(BVI) 标准格式 日期：按实际生产日期
Packaging Info: 77772GQ1：MA 3L PDQ+MA 3L EAN收缩膜+1*多语警语折叠贴纸+MA 23L拼装说明书+MA 5L收藏指南+MA纸卡/复合袋
Remark: 1.德国内销单，需要通过ZURU 验货结果后才能出货 (工厂需要主动提前同ZURU QC预约验货避免延期出货造成不必要麻烦)；
2.产品如含有化学品（slime 等），需要无硼无香。需要无微塑料版本。
3.所有出口欧洲的产品, 法规规定禁止在包装和共公众用的印刷品中使用矿物油中含有的物质, 包装印刷油墨中含有的MOAH/MOSH的质量浓度不能超过1%, 否则出货
到法国被抽检出现问题, 供应商需要对此负责;
4. date code: 外箱日期码要晚于或等于产品日期码，不能早于产品的日期码；
5. 所有出往德国的电子产品身上需要加字唛，为ZURU FRANCE 地址，需跟包装上的地址一致 (如无电子产品，产品布标有此地址，或产品太小无法增加可忽略此信
息。如产品无法加字唛，需让对应跟单提供产品贴纸资料)
新地址：ZURU France 33 rue Paul Meurice 75020 Paris, France
旧地址：ZURU France 1/3, Rue d'Argenteuil 95210 SAINT-GRATIEN, FRANCE
6.所有出往德国订单的电子产品需增加一张欧洲通用WEEE声明说明书，区分带电池和不带电池版本, 如已做客版说明书可忽略此要求。
7.装柜时需要按照款式号码从小到大一款款依次装,避免终端仓库卸货混乱.若一个柜子涉及到几个不同国家内销单,装柜时需要一个国家装完后再装另一个国家的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8.ratio 同MA
9. 若有特定款有特殊外箱条码要求时,需要明确列出产品款对应的具体外箱条码号码/条码类型 (若无,可以忽略此需求).</t>
  </si>
  <si>
    <t>SD04</t>
  </si>
  <si>
    <t>77772GQ1-S002-3L</t>
  </si>
  <si>
    <t>INDIGO CANADA</t>
  </si>
  <si>
    <t>加拿大</t>
  </si>
  <si>
    <t>4500193076-10</t>
  </si>
  <si>
    <t>日期码格式： 标准格式 日期：按实际生产日期
Packaging Info: 77772GQ2 MA 3L EAN版本+UPC贴纸193052090065
Remark: 出加拿大
有价格贴纸 (Low Tack ,must peel off easily without leaving adhesive residue)
有shipping label (贴4面）
Zuru验货.日期跟踪码：产品外包装及产品本身都必须有日期跟踪码，ZURU标准格式日期码。</t>
  </si>
  <si>
    <t>Bella Tan</t>
  </si>
  <si>
    <t>10001764946-0 581</t>
  </si>
  <si>
    <t>4500194699-10</t>
  </si>
  <si>
    <t>3/13确认</t>
  </si>
  <si>
    <t>3/25寄出</t>
  </si>
  <si>
    <t>日期码格式：ZURU INC(BVI) 标准格式 日期：按实际生产日期
Packaging Info: 产品包装MA 1L 收缩膜+MA 5L 收藏指南+MA 23L 组装说明+客版PDQ；客版PDQ翻单4500189603
Remark: 1.77772GQ5-S001-MINI BRANDS-VINYL-SERIES 1-CAPSULE,WITH DEMO,25PCS/GRAVITY PDQ,25PCS/PDQ/CTN;
2.产品包装MA 1L 收缩膜+MA 5L 收藏指南+MA 23L 组装说明+客版PDQ；客版PDQ翻单4500189603；收缩膜上的UPC显示193052090065;
4 mini vinyls(1 Target US Exclusive),1 accessory;
3. 外箱正唛左上角位置粘贴条码箱贴纸，每箱只贴一张，由ZURU订购。来料贴纸上显示的客户DPCI# 086-02-8931, UPC显示10193052090062;
4. 产品和包装上均要印刷tracking code信息，格式为ZURU常规格式;
5. 需要我司QC验货之后才能安排出货;
6. 出货方式： 货代自提</t>
  </si>
  <si>
    <t>ZB05068-8.17</t>
  </si>
  <si>
    <t>10001661694-3891</t>
  </si>
  <si>
    <t>4500190738-50</t>
  </si>
  <si>
    <t>3/2确认</t>
  </si>
  <si>
    <t>日期码格式：ZURU INC(BVI) 标准格式 日期：按实际生产日期
Packaging Info: 
77772GQ5：产品包装MA 1L 收缩膜+MA 5L 收藏指南+MA 23L 组装说明+客版PDQ；客版PDQ翻单4500189603；收缩膜上的UPC显示193052090065;
77794UQ1：产品包装 MA 1L黑白警告语说明书+MA 1L 彩盒+MA 1L PDQ; 彩盒上的UPC显示193052090409;
Remark: 
77772GQ5：
1.77772GQ5-S001-MINI BRANDS-VINYL-SERIES 1-CAPSULE,WITH DEMO,25PCS/GRAVITY PDQ,25PCS/PDQ/CTN;
2.产品包装MA 1L 收缩膜+MA 5L 收藏指南+MA 23L 组装说明+客版PDQ；客版PDQ翻单4500189603；收缩膜上的UPC显示193052090065;
4 mini vinyls(1 Target US Exclusive),1 accessory;
3. 外箱正唛左上角位置粘贴条码箱贴纸，每箱只贴一张，由ZURU订购。来料贴纸上显示的客户DPCI# 086-02-8931, UPC显示10193052090062;
4. 外箱正唛箱唛内容右侧需贴一张EVENT LABEL，内容显示 7/19 TRANSITION TOYS Set Date 7/19/2026，由工厂自行订购；
以上Items：
1. 产品和包装上均要印刷tracking code信息，格式为ZURU常规格式；
2. 需要我司QC验货之后才能安排出货
3. 出货方式： 货代自提</t>
  </si>
  <si>
    <t>ZB05310-8.17</t>
  </si>
  <si>
    <t>ASIA GOAL LIMITED TAIWAN BRANCH (H.</t>
  </si>
  <si>
    <t>台湾</t>
  </si>
  <si>
    <t>AG250405-TW</t>
  </si>
  <si>
    <t>4500193384-10</t>
  </si>
  <si>
    <t>3/23 警语贴纸</t>
  </si>
  <si>
    <t>日期码格式：ZURU INC(BVI) 标准格式 日期：按实际生产日期
Packaging Info: 此单出TW
77772GQ1/77794UQ1: MA PKG,优先1L + 1张警语贴纸
Remark:</t>
  </si>
  <si>
    <t>Chelsea Luo</t>
  </si>
  <si>
    <t>ASIA GOAL LIMITED</t>
  </si>
  <si>
    <t>AG250404-HK</t>
  </si>
  <si>
    <t>4500193379-10</t>
  </si>
  <si>
    <t>日期码格式：ZURU INC(BVI) 标准格式 日期：按实际生产日期
Packaging Info: 77772GQ1: MA 1L PKG ，PDQ , MA 收藏指南，说明书+HK 客供警语贴纸
Remark: 此单出HK</t>
  </si>
  <si>
    <t>10001764947-0 581</t>
  </si>
  <si>
    <t>4500194700-10</t>
  </si>
  <si>
    <t>3/24外箱条码箱贴纸贴纸，2/10提供EVENT LABEL</t>
  </si>
  <si>
    <t>KANDYTOYS LIMITED</t>
  </si>
  <si>
    <t>AS191225ZUR15
274</t>
  </si>
  <si>
    <t>4500193688-20</t>
  </si>
  <si>
    <t>3/23确认</t>
  </si>
  <si>
    <t>3/25PDQ条码贴纸</t>
  </si>
  <si>
    <t>日期码格式：ZURU INC(BVI) 标准格式 日期：按实际生产日期
Packaging Info:
77772GQ2-S001:MA UPC包装+MA PDQ+一张PDQ条码贴纸(位置:PDQ底部贴一张可扫描的条码贴纸(ZURU 跟单提供模板)
77772GQ2 出UK，配比：4 mini vinyls(去掉 Lola Young vinyl),1 accessory；
其他款配比按MA标准
Remark: 1.订单出英国，请注意检查产品及包装应带UKCA图标，包装需要显示ZURU UK LTD/ZURU France地址信息，QC同事请查核，如有问题与跟单确认。
2.生产日期按实际的（法定工作日），按ZURU标准格式即可 ，并需要在出货前提供每个产品外包上对应的生产日期明细
3.请注意所有订单都需要经过ZURU QC验货并且通过后方可出货
4.一个产品一个条码，单款有多个子件条码的请让跟单提供贴纸覆盖。
5.外箱上的条码请确保清晰可扫描，有PDQ， 需要在PDQ底部贴一张带条码并可扫描的贴纸(ZURU 跟单提供模板）。
6.所有产品按符合欧洲标准走货，微塑料需合规并增加IFUD声明，含电池的需要增加WEEE说明书。</t>
  </si>
  <si>
    <t>Zoe Zhou</t>
  </si>
  <si>
    <t>MINISO DEPOT CA INC.</t>
  </si>
  <si>
    <t>4500194334-60</t>
  </si>
  <si>
    <t>3/13提供PDQUPC 条码贴纸</t>
  </si>
  <si>
    <t>日期码格式：ZURU INC(BVI) 标准格式 日期：按实际生产日期
Packaging Info: 1. 包装方式：MA UPC优先1L最新包装，出口美国；
2. 产品和包装上印刷tracking code信息，格式为ZURU常规；
3. ZURU QC 验货合格后即可出货.
Remark: 
6. 77772GQ2-S002 PDQ上需要贴一张UPC 条码贴纸,UPC显示：193052090065，贴纸AW跟单提供，工厂自行采购;</t>
  </si>
  <si>
    <t>Iris Yuan</t>
  </si>
  <si>
    <t>ZB05283-8.17</t>
  </si>
  <si>
    <t>4500194341-60</t>
  </si>
  <si>
    <t>日期码格式：ZURU INC(BVI) 标准格式 日期：按实际生产日期
Packaging Info: 1. 包装方式：MA UPC优先1L最新包装，出口美国；
2. 产品和包装上印刷tracking code信息，格式为ZURU常规；
3. ZURU QC 验货合格后即可出货.
Remark: 
7. 77772GQ2-S002 PDQ上需要贴一张UPC 条码贴纸,UPC显示：193052090065，贴纸AW跟单提供，工厂自行采购;</t>
  </si>
  <si>
    <t>ZB05205-8.17</t>
  </si>
  <si>
    <t>CRACKER BARREL</t>
  </si>
  <si>
    <t>4500188838-20</t>
  </si>
  <si>
    <t>77772GQ4-S001</t>
  </si>
  <si>
    <t>唱片球6 pcs/PDQ/箱</t>
  </si>
  <si>
    <t>4/3完成25%大货包装第三方抽板测试，4/15完成100%大货</t>
  </si>
  <si>
    <t>3/5 确认</t>
  </si>
  <si>
    <t>3/3客供价格贴纸</t>
  </si>
  <si>
    <t>A.样板抽取12pcs/每款/每色（带包装，大货中抽取）。
B.产品上有涂层的，需额外准备足够的干油墨（每个颜色2个A4尺寸的喷涂样本，涂层喷到同底材，涂满涂厚，至少能刮取30mg的量）。
4. 外箱贴打印常规 4"x6" Standard Label Stock, 只需贴一面(正唛）, 优先贴在纸箱的右上方空白处，不可以盖住外箱上的其他信息及标签，可适当调整位置。
5. 样板需求（77794UQ1 &amp; 77772GQ4）：
1)产前样+Model Store Sample: 请在4/1前寄出每款每色各8pcs大货样（不带PDQ，需贴客版价格贴纸）并寄给深圳跟单Emily Wu/Irene Wang, 我们需寄给客户审
批和拍照。
2)满箱样：请在4/15前寄出各一箱大货满箱样（产品需贴客版价格贴纸，并带大货外箱）寄给深圳跟单Emily Wu/Irene Wang。
Remark：以上所有样板数量不包含在订单数量里，做货需预备样板数量。</t>
  </si>
  <si>
    <t>日期码格式：ZURU INC(BVI) 标准格式 日期：按实际生产日期
Packaging Info: 1.
item#77772GQ4: MA UPC最新版本包装（优先1L) + 客版PDQ + 客版价格贴纸 + 外箱贴；
客版价格贴纸和外箱贴都是跟单提供，工厂自行订购。出口美国。
2. 产品及包装上都要有日期码，日期码是一致的（但不能为周末)，格式为ZURU标准格式。
Remark: 3. 此两款都需在4/2前完成至少25%大货包装，4/3早上进行ITS的25%大货抽样验货。
100%大货可以在4/15前完成。收到PASS的测试报告后，才可安排出货。
25%抽样由客人指定的第三方ITS进行，现场在大货中抽样，具体要求如下所列：
A.样板抽取12pcs/每款/每色（带包装，大货中抽取）。
B.产品上有涂层的，需额外准备足够的干油墨（每个颜色2个A4尺寸的喷涂样本，涂层喷到同底材，涂满涂厚，至少能刮取30mg的量）。
4. 外箱贴打印常规 4"x6" Standard Label Stock, 只需贴一面(正唛）, 优先贴在纸箱的右上方空白处，不可以盖住外箱上的其他信息及标签，可适当调整位置。
5. 样板需求（77794UQ1 &lt;(&gt;&amp;&lt;)&gt; 77772GQ4）：
1)产前样+Model Store Sample: 请在4/1前寄出每款每色各8pcs大货样（不带PDQ，需贴客版价格贴纸）并寄给深圳跟单Emily Wu/Irene Wang, 我们需寄给客户审
批和拍照。
2)满箱样：请在4/15前寄出各一箱大货满箱样（产品需贴客版价格贴纸，并带大货外箱）寄给深圳跟单Emily Wu/Irene Wang。
Remark：以上所有样板数量不包含在订单数量里，做货需预备样板数量。</t>
  </si>
  <si>
    <t>Emily Wu</t>
  </si>
  <si>
    <t>ZB05480-8.17</t>
  </si>
  <si>
    <t>SIDJ JOUECLUB</t>
  </si>
  <si>
    <t>4500195260-10</t>
  </si>
  <si>
    <t>此票无需客户验货，需2套完整大货样球，出货前一周提供给跟单;</t>
  </si>
  <si>
    <t>3/31贴纸(含IT&lt;(&gt;&amp;&lt;)&gt;NL&lt;(&gt;&amp;&lt;)&gt;AR警示语+客户订单信息+意大利回收标+CMIM logo)</t>
  </si>
  <si>
    <t>日期码格式：2041526</t>
  </si>
  <si>
    <t>日期码格式：2041526 日期：
Packaging Info: 77772GQ2-S001:MA3L EAN 吸塑膜+1张贴纸(含IT&lt;(&gt;&amp;&lt;)&gt;NL&lt;(&gt;&amp;&lt;)&gt;AR警示语+客户订单信息+意大利回收标+CMIM logo)+MA配件袋子+MA5L收藏指南+MA23L组装说明书
+MA 3L展示盒
Remark: 1.此票无需客户验货，请多备料1套左右
2.请准备每款5pcs包装备品（客版彩盒），和大货一起出（以备到客户仓库后有破损的包装）
3.所有出口法国的产品, 法规规定禁止在包装和共公众用的印刷品中使用矿物油中含有的物质, 包装印刷油墨中含有的MOAH/MOSH的质量浓度不能超过1%, 否则出货
到法国被抽检出现问题, 供应商需要对此负责;
4.出口法国请确保产品符合EU微塑料法规，包装需显示法国回收logo;</t>
  </si>
  <si>
    <t>Ula Zhao</t>
  </si>
  <si>
    <t>SMYTHS TOYS HQ UC IE</t>
  </si>
  <si>
    <t>爱尔兰</t>
  </si>
  <si>
    <t>4500192014-20</t>
  </si>
  <si>
    <t>AOD</t>
  </si>
  <si>
    <t>ZMPO260373</t>
  </si>
  <si>
    <t>ZMPO260373-10</t>
  </si>
  <si>
    <t>77772GQ2-S002-PRODCC</t>
  </si>
  <si>
    <t>备注：收到样品订单后尽快安排 ，注意样板品质质量要求要高于大货品质要求 ，送货时必须要附带送货单(没有送货单和QC检验合格报告的仓库一律拒绝收货)，请知悉，谢谢！Remark只需要40个成品球，不需要PDQ,不需要光碟</t>
  </si>
  <si>
    <t xml:space="preserve">Angus </t>
  </si>
  <si>
    <t>*</t>
  </si>
  <si>
    <t>4500194415-20</t>
  </si>
  <si>
    <t>3/17 确认</t>
  </si>
  <si>
    <t>ZB05228-8.17</t>
  </si>
  <si>
    <t>ZMPO260330</t>
  </si>
  <si>
    <t>ZMPO260330-10</t>
  </si>
  <si>
    <t>Remark：大货最新版本/款号平均/麻烦按款号装箱/并在外箱上注明款号/大货标准箱装箱/箱唛参照邮件附件
备注：收到样品订单后尽快安排 ，注意样板品质质量要求要高于大货品质要求 ，送货时必须要附带送货单(没有送货单和QC检验合格报告的仓库一律拒绝收货)，请知悉，谢谢！</t>
  </si>
  <si>
    <t>THE ENTERTAINER</t>
  </si>
  <si>
    <t>FB14473</t>
  </si>
  <si>
    <t>4500194581-100</t>
  </si>
  <si>
    <t>77772GQ1-S002-PRODCC</t>
  </si>
  <si>
    <t>新款请在CRD前10天寄出每款2整套大货样到罗湖办公室7B Meyya Liu 收，翻单不用寄。"</t>
  </si>
  <si>
    <t>4/29 出货</t>
  </si>
  <si>
    <t>客户EAN条码贴纸+PDQ数量贴纸</t>
  </si>
  <si>
    <t>日期码格式：ZURU INC(BVI) 标准格式 日期：按实际生产日期
Packaging Info: 
77772GQ1-S002-PRODCC：1L PDQ+MA A版UPC收缩膜
注意，此为去掉LOLA YANG的特殊版本。请不要出错。
Remark: "MA版本按工厂现有最新库存即可，订单出英国，请注意检查产品及包装应带UKCA以及CE图标，包装显示ZURU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*所有产品按符合欧洲标准走货，需要是不含微塑料版本 。
*涉及到硼的，如可选择情况下应使用低硼版本 （slime 类别低硼一般低于300ppm)，无选择的应与跟单复核再安排 。
*如果出运产品属于电子类产品需要在ZURU 包装基础上额外添加一张ZURU 标准30L通用WEEE 电子产品说明书,带电池出货的加带电池出货版本通用30L的说明书，不
带电池出货的产品用不带电池出货版本的说明书.
*根据客人最新的包装要求，所有多个PDQ盒子(TQ,UQ,GQ）入1外箱的都需要在PDQ顶部右上角加上数量贴纸标明里面的数量。最小字体：36pts, 字体：Calibri（bo
ld), 具体要求以及位置见文件.
*订单对应客户PO号 ，备注有显示 ，注意分开做货/验货/装柜 ，混装有罚款。
* 大货样： 新款请在CRD前10天寄出每款2整套大货样到罗湖办公室7B Meyya Liu 收，翻单不用寄。"</t>
  </si>
  <si>
    <t>Meyya Liu</t>
  </si>
  <si>
    <t>77772GQ1-S002</t>
  </si>
  <si>
    <t>DISTRIBUIDORA JUGUETRON S.A. DE C.V</t>
  </si>
  <si>
    <t>墨西哥</t>
  </si>
  <si>
    <t>4500194136-40</t>
  </si>
  <si>
    <t>4/1 进口商贴纸+UPC贴纸+外箱贴纸</t>
  </si>
  <si>
    <t>日期码格式：ZURU INC(BVI) 标准格式 日期：按实际生产日期
Packaging Info: 
77772GQ2:MA 多语包装+进口商贴纸+UPC贴纸+外箱贴纸+箱唛
Remark: 1.此单有第三方监柜，需要每款多备1套完整物料
2.外箱贴纸只要一张，位置是正唛和侧唛的交接处</t>
  </si>
  <si>
    <t>Ava Liang</t>
  </si>
  <si>
    <t>MEIJER DISTRIBUTION, INC.</t>
  </si>
  <si>
    <t>2/28 确认</t>
  </si>
  <si>
    <t>日期码格式：ZURU INC(BVI) 标准格式 日期：
Packaging Info: 1. 产品MA UPC包装（优先1L）出美国
2. 客人指定箱唛排版
3. 77772GQ1-S002 4 mini vinyls,1 accessory
Remark: 出货前 Zuru QC 验货</t>
  </si>
  <si>
    <t>Agnes Zheng</t>
  </si>
  <si>
    <t>ZB05284-8.17</t>
  </si>
  <si>
    <t>4500194435-20</t>
  </si>
  <si>
    <t>10001764956-0
581</t>
  </si>
  <si>
    <t>4500195757-10</t>
  </si>
  <si>
    <t>3/31寄出</t>
  </si>
  <si>
    <t>日期码格式：ZURU INC(BVI) 标准格式 日期：按实际生产日期
Packaging Info: 产品包装MA 1L 收缩膜+MA 5L 收藏指南+MA 23L 组装说明+客版PDQ
Remark: 1.77772GQ5-S001-MINI BRANDS-VINYL-SERIES 1-CAPSULE,WITH DEMO,25PCS/GRAVITY PDQ,25PCS/PDQ/CTN;
2.产品包装MA 1L 收缩膜+MA 5L 收藏指南+MA 23L 组装说明+客版PDQ；客版PDQ翻单4500189603；收缩膜上的UPC显示193052090065;
4 mini vinyls(1 Target US Exclusive),1 accessory;
3. 外箱正唛左上角位置粘贴条码箱贴纸，每箱只贴一张，由ZURU订购。来料贴纸上显示的客户DPCI# 086-02-8931, UPC显示10193052090062;
4. 产品和包装上均要印刷tracking code信息，格式为ZURU常规格式;
5. 需要我司QC验货之后才能安排出货;
6. 出货方式： 货代自提</t>
  </si>
  <si>
    <t>ZB05260/ZB05307</t>
  </si>
  <si>
    <t>CENTRO CUESTA NACIONAL</t>
  </si>
  <si>
    <t>多米尼加共和国</t>
  </si>
  <si>
    <t>26-1073774JDO</t>
  </si>
  <si>
    <t>4500196119-150</t>
  </si>
  <si>
    <t>4/1进口商贴纸+UPC贴纸</t>
  </si>
  <si>
    <t>日期码格式：ZURU INC(BVI) 标准格式 日期：按实际生产日期
Packaging Info: 
其余item：MA 多语包装+进口商贴纸+UPC贴纸+箱唛
Remark: 1.进口商贴纸内容会显示日期码为：2026-04，包装/产品/外箱可按照ZURU标准日期码，无需跟回进口商贴纸上的日期码。
2.所有item包装上的条码必须是UPC，如果已将进口商贴纸和UPC条码合并到一张，则不需再订购UPC贴纸，仅订购一张进口商贴纸即
可。</t>
  </si>
  <si>
    <t>Grace Zhang</t>
  </si>
  <si>
    <t>77772GQ2-S001-3L</t>
  </si>
  <si>
    <t>10001661693-3890</t>
  </si>
  <si>
    <t>4500194297-50</t>
  </si>
  <si>
    <t>日期码格式：ZURU INC(BVI) 标准格式 日期：按实际生产日期
Packaging Info: 
77772GQ5：产品包装MA 1L 收缩膜+MA 5L 收藏指南+MA 23L 组装说明+客版PDQ；客版PDQ翻单4500189603；
Remark: 
77772GQ5：
1.77772GQ5-S001-MINI BRANDS-VINYL-SERIES 1-CAPSULE,WITH DEMO,25PCS/GRAVITY PDQ,25PCS/PDQ/CTN;
2.产品包装MA 1L 收缩膜+MA 5L 收藏指南+MA 23L 组装说明+客版PDQ；客版PDQ翻单4500189603；收缩膜上的UPC显示193052090065;
4 mini vinyls(1 Target US Exclusive),1 accessory;
3. 外箱正唛左上角位置粘贴条码箱贴纸，每箱只贴一张，由ZURU订购。来料贴纸上显示的客户DPCI# 086-02-8931, UPC显示10193052090062;
4. 外箱正唛箱唛内容右侧需贴一张EVENT LABEL，内容显示 7/19 TRANSITION TOYS Set Date 7/19/2026，由工厂自行订购；
以上Items：
1. 产品和包装上均要印刷tracking code信息，格式为ZURU常规格式；
2. 需要我司QC验货之后才能安排出货
3. 出货方式： 货代自提</t>
  </si>
  <si>
    <t>ZB05445-8.17</t>
  </si>
  <si>
    <t>香港</t>
  </si>
  <si>
    <t>AG250500-HK</t>
  </si>
  <si>
    <t>4500195223-10</t>
  </si>
  <si>
    <t>3/24警语贴纸</t>
  </si>
  <si>
    <t>日期码格式：ZURU INC(BVI) 标准格式 日期：按实际生产日期
Packaging Info: 此单出HK
77772GQ1: MA 1L PKG , 1L PDQ , MA 收藏指南，MA 说明书 +HK 客供警语贴纸
(1张客供警语贴纸贴球底部，1张警语贴纸贴收藏指南， 拆件说明书也需贴一张客供警语贴纸（拆件说明书贴纸和收藏指南的贴纸共用），具体参考HK客供贴纸位置图</t>
  </si>
  <si>
    <t>CORPORACION FAVORITA C.A.</t>
  </si>
  <si>
    <t>厄瓜多尔</t>
  </si>
  <si>
    <t>26-1073773JEC</t>
  </si>
  <si>
    <t>4500195950-110</t>
  </si>
  <si>
    <t>JUGUESAL S.A. DE C.V.</t>
  </si>
  <si>
    <t>萨尔瓦多</t>
  </si>
  <si>
    <t>26-1073775JUS</t>
  </si>
  <si>
    <t>4500196056-50</t>
  </si>
  <si>
    <t>FB14535</t>
  </si>
  <si>
    <t>4500194581-70</t>
  </si>
  <si>
    <t>4500193875-40</t>
  </si>
  <si>
    <t>多语警语折叠贴纸</t>
  </si>
  <si>
    <t>日期码格式：ZURU INC(BVI) 标准格式 日期：按实际生产日期
Packaging Info: 
77772GQ1: MA 3L PDQ+MA 3L EAN收缩膜+1*多语警语折叠贴纸
Remark: 1.德国内销单，需要通过ZURU 验货结果后才能出货 (工厂需要主动提前同ZURU QC预约验货避免延期出货造成不必要麻烦)；
2.产品如含有化学品（slime 等），需要无硼无香。需要无微塑料版本。
3.所有出口欧洲的产品, 法规规定禁止在包装和共公众用的印刷品中使用矿物油中含有的物质, 包装印刷油墨中含有的MOAH/MOSH的质量浓度不能超过1%, 否则出货
到法国被抽检出现问题, 供应商需要对此负责;
4. date code: 外箱日期码要晚于或等于产品日期码，不能早于产品的日期码；
5. 所有出往德国的电子产品身上需要加字唛，为ZURU FRANCE 地址，需跟包装上的地址一致 (如无电子产品，产品布标有此地址，或产品太小无法增加可忽略此信
息。如产品无法加字唛，需让对应跟单提供产品贴纸资料)
新地址：ZURU France 33 rue Paul Meurice 75020 Paris, France
旧地址：ZURU France 1/3, Rue d'Argenteuil 95210 SAINT-GRATIEN, FRANCE
6.所有出往德国订单的电子产品需增加一张最新版本的欧洲通用WEEE声明说明书，区分带电池和不带电池版本, 如已做客版说明书可忽略此要求。
7.装柜时需要按照款式号码从小到大一款款依次装,避免终端仓库卸货混乱.若一个柜子涉及到几个不同国家内销单,装柜时需要一个国家装完后再装另一个国家的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8.ratio 同MA
9. 若有特定款有特殊外箱条码要求时,需要明确列出产品款对应的具体外箱条码号码/条码类型 (若无,可以忽略此需求).</t>
  </si>
  <si>
    <t>Niki Chen</t>
  </si>
  <si>
    <t>B&amp;M RETAIL LIMITED</t>
  </si>
  <si>
    <t>02437256/1</t>
  </si>
  <si>
    <t>4500195602-110</t>
  </si>
  <si>
    <t>3/11确认</t>
  </si>
  <si>
    <t>日期码格式：ZURU INC(BVI) 标准格式 日期：按实际生产日期
Packaging Info:
*MA UPC版本按工厂现有最新库存即可，订单出英国，请注意检查产品及包装应带UKCA图标，包装显示ZURU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*条码以订单显示为准 ，请安排生产前先核对 ，有问题请提出。
*所有产品按符合欧洲标准走货，需要是不含微塑料版本 。
*涉及到硼的，如可选择情况下应使用低硼版本 （slime 类别低硼一般低于300ppm)，无选择的应与跟单复核再安排 。
*大货完成后请及时提供shipment images 供客户批复 ，如未提供照片就直接走柜，有问题由工厂负责 。
*最终出货工厂需要按船务要求为集装箱挂网，如不按要求挂网导致罚款由工厂承担 。
Remark: 9548/9574:WEEE_不带电池走货 _ 说明书欧洲EN+29L_C版
25282/9561/77772GQ2:WEEE_带电池走货 _ 说明书欧洲EN+29L_C版
77772GQ2: 72 此客制款需移除Lola Young vinyl，如做错货导致罚款会由工厂负全责
77711GQ2-S002-INT: MA B版 5L EAN版收缩膜+UPC条码贴纸</t>
  </si>
  <si>
    <t>Ann Zhang</t>
  </si>
  <si>
    <t>4500196046-10</t>
  </si>
  <si>
    <t>日期码格式：ZURU INC(BVI) 标准格式 日期：按实际生产日期
Packaging Info: 77772GQ2: MA PDQ (优先多语)+MA 3L-EAN收缩膜+1张含德语callout/德意荷警语/法国sorting label贴纸(本单放稿)
EAN#4894680051133
*必须移除Messy Lola Young (VINYL-S1-021) 这个唱片, 比例按PM更新的安排, 如未按要求做货被客罚由工厂承担责任*
*外箱需加一张UN3481锂电池运输标签*
Remark: Smyths 德国
1. 请准时出货，推期会有罚款；
2. 所有产品按符合欧洲标准走货，需要是不含微塑料版本。
3. 所有电子产品身上需要加字唛，为ZURU FRANCE 地址 (如无电子产品，产品布标有此地址，或产品太小无法增加可忽略此信息)，新地址ZURU FRANCE.33 rue Pa
ul Meurice 75020 Paris, France.
4. 电子产品需增加一张C版WEEE声明29L通用黑白说明书(不接受A版本，翻译有误)，区分带电池和不带电池出货版本, 如已做客版说明书可忽略此要求；如包装备注
上缺少此部分信息，请提醒跟单更新备注。
5.所有出往德国市场有关slime和带香味的都需要出无硼无香版本；
6.订单备注显示有分批的(不同仓库/订单号), 一定要区分客户订单号做货出货，否则会导致罚款 。
7.包装日期码按ZURU格式即可，请确保不迟于外箱日期码，可等于或者早于外箱日期码，必须为法定工作日。
8.做货前请先复核包装条码与订单是否一致再安排，对不上的需与ZURU跟单确认再安排。
9.包装必须含法国回收标(Sorting Label)，如没有，请提醒跟单提供贴纸资料。</t>
  </si>
  <si>
    <t>WALMART INC.</t>
  </si>
  <si>
    <t>0983717904</t>
  </si>
  <si>
    <t>4500195546-10</t>
  </si>
  <si>
    <t>77772SLB-S001</t>
  </si>
  <si>
    <t>唱片球16pcs/PDQ/箱/60箱打卡板</t>
  </si>
  <si>
    <t>4/23抽办1728 pcs</t>
  </si>
  <si>
    <t>每pcs产品上要贴1张RFID贴纸，贴纸由ZURU提供，贴纸位置请严格按照我们签回的签板；</t>
  </si>
  <si>
    <t>日期码格式：ZURU DGYYYYMMDD CHINA(日期避开周末和法定节假日即可） 日期：按实际生产日期
Packaging Info: 77772SLB-S001
1.包装要求：
MA 1L A版收缩膜+MA 5L A版收藏指南+MA 23L A版说明书+MA A版纸袋+客版1L PDQ
每pcs产品上要贴1张RFID贴纸，贴纸由ZURU提供，贴纸位置请严格按照我们签回的签板；
Remark: 77772SLB-S001
1.包装要求：
MA 1L A版收缩膜+MA 5L A版收藏指南+MA 23L A版说明书+MA A版纸袋+客版1L PDQ
每pcs产品上要贴1张RFID贴纸，贴纸由ZURU提供，贴纸位置请严格按照我们签回的签板；
2. 外箱印刷带条码的RFID箱唛：RFID紫色色带+WM Dept.图标+RFID图标+ITF-14条码，四面右下角印刷ZURU logo, ITFF条码只印刷在正唛一面，在加印的时候确保
条形码能扫描出来，外箱侧面任一角落加印："MADE IN CHINA" 字样；
3. 在产品上和包装上要有日期码、以及要有MADE IN CHINA和ZURU字样；
4. 产品如有扎带口要剪平，不能刮手。
5. 此单需要抽板和验货，请多备料，预计抽板时间4/23
6. 此单以Slip sheet出货，16pcs/PDQ/CTN，960pcs/60CTNS/Slip sheet</t>
  </si>
  <si>
    <t>Maggie Xie</t>
  </si>
  <si>
    <t>ZB06039-8.17</t>
  </si>
  <si>
    <t>77772SLB-S001-1L</t>
  </si>
  <si>
    <t>4500196745-60</t>
  </si>
  <si>
    <t>77772GQ2-S001-FS-PRODCC1</t>
  </si>
  <si>
    <t>fast start专用UPC贴纸+贴一张黄色A4纸，印"fast s
tart"内容。（两张贴纸及位置图翻单4500190798)</t>
  </si>
  <si>
    <t>取消21/23号唱片</t>
  </si>
  <si>
    <t>日期码格式：ZURU INC(BVI) 标准格式 日期：按实际生产日期
Packaging Info: 
77772GQ2:MA英语UPC版本包装（收缩膜和说明书, MA首选1L，如无1L可用多语且含英语的配套多语包装) ++两张覆盖PDQ上唱片的贴纸+两张覆盖收藏指南上唱片的贴
纸+一张覆盖PDQ上数字"45"的贴纸+一张覆盖收藏指南上数字"45"的贴纸+ 1张fast start条码贴纸+贴一张印"fast start"内容黄色A4纸，。（两张贴纸及位置图翻
单4500190798)+箱唛
配比信息：4 mini vinyls,1 accessory
Removed了 ""Messy &amp; Delicious""两张唱片
Remark: 1.请务必按时完货，验货。并且按期送货入货代指定仓库，如果晚了导致船期Delay将会有罚金产生或者客户要求空运，所产生的罚金和空运费由工厂承担。
2.外箱材质为ZURU标准；
3.此单需使用KMART封箱胶上下工字型封箱;从2019年6月开始，要用KMART 新版封箱胶带，此单要用"ANKO"封箱胶带
4.此单出口新西兰，请按相应的澳新标准生产；
5.产品和包装上生产批号的显示格式ZURU标准日期码格式
6.外箱信息不可手写，重量和体积需要与实际的一致(不可手写）
7. 实际外箱重量跟印在箱唛上的数据差异不能超3%，尺寸按实际数据印刷
77772CRD4/24需完货并完成ZURU验货可以安排当天交仓</t>
  </si>
  <si>
    <t>Louise Lu</t>
  </si>
  <si>
    <t>10001708292-0
581</t>
  </si>
  <si>
    <t>4500194290-30</t>
  </si>
  <si>
    <t>3/26确认</t>
  </si>
  <si>
    <t>4/2寄出</t>
  </si>
  <si>
    <t>日期码格式：ZURU INC(BVI) 标准格式 日期：按实际生产日期
Packaging Info: 
77772GQ5：产品包装MA 1L 收缩膜+MA 5L 收藏指南+MA 23L 组装说明+客版PDQ；客版PDQ翻单4500189603；
Remark: 
77772GQ5：
1.77772GQ5-S001-MINI BRANDS-VINYL-SERIES 1-CAPSULE,WITH DEMO,25PCS/GRAVITY PDQ,25PCS/PDQ/CTN;
2.产品包装MA 1L 收缩膜+MA 5L 收藏指南+MA 23L 组装说明+客版PDQ；客版PDQ翻单4500189603；收缩膜上的UPC显示193052090065;
4 mini vinyls(1 Target US Exclusive),1 accessory;
3. 外箱正唛左上角位置粘贴条码箱贴纸，每箱只贴一张，由ZURU订购。来料贴纸上显示的客户DPCI# 086-02-8931, UPC显示10193052090062;
以上Items：
1. 产品和包装上均要印刷tracking code信息，格式为ZURU常规格式；
2. 需要我司QC验货之后才能安排出货
3. 出货方式： 货代自提</t>
  </si>
  <si>
    <t>ZB05479-8.17</t>
  </si>
  <si>
    <t>FELYX TOYS</t>
  </si>
  <si>
    <t>保加利亚</t>
  </si>
  <si>
    <t>4500194955-10</t>
  </si>
  <si>
    <t>3/3 确认</t>
  </si>
  <si>
    <t>3/23进口商贴纸+C 版 29L 不带电池走货通用WEEE说明书</t>
  </si>
  <si>
    <t>日期码格式：ZURU INC(BVI) 标准格式 日期：按实际生产日期
Packaging Info: 77772GQ1：A 版1L MA 收缩膜+进口商贴纸；A 版 5L MA 收藏指南/A 版 23L 组装说明书/A 版 MA PDQ/C 版 29L 不带电池走货通用WEEE说明书
Remark: "1、所有item 均用MA UPC 条码，若包装不是UPC 条码的请告知
2、此单出欧洲需满足EU测试标准要求
3、此单LC 货期不可延
3、电池产品需要使用通用版本WEEE说明书"</t>
  </si>
  <si>
    <t>Snowy Wu</t>
  </si>
  <si>
    <t>4500194955-20</t>
  </si>
  <si>
    <t>日期码格式：ZURU INC(BVI) 标准格式 日期：按实际生产日期
Packaging Info:
77772GQ2：A 版1L MA 收缩膜+进口商贴纸；A 版 5L MA 收藏指南/A 版 23L 组装说明书/A 版 MA PDQ/C 版 29L 不带电池走货通用WEEE说明书
Remark: "1、所有item 均用MA UPC 条码，若包装不是UPC 条码的请告知
2、此单出欧洲需满足EU测试标准要求
3、此单LC 货期不可延
3、电池产品需要使用通用版本WEEE说明书"</t>
  </si>
  <si>
    <t>WAL-MART CANADA CORP.</t>
  </si>
  <si>
    <t>4500195369-30</t>
  </si>
  <si>
    <t>77772GQ3-S001</t>
  </si>
  <si>
    <t>唱片球16pcs/PDQ/箱</t>
  </si>
  <si>
    <t>4/27第三方验货，抽办50%</t>
  </si>
  <si>
    <t>日期码格式：ZURU INC(BVI) 标准格式 日期：按实际生产日期
Packaging Info: 
#77772
客版3LPDQ(16装)+客版3L收缩膜(UPC:193052090065)+MA5L收藏指南+MA23L拼装说明书+MA5L复合袋+DEMO纸卡
Remark: 1. 此单有箱唛;
2. UPC贴纸：必须在原来错误的条码上用黑色粗头笔涂黑直至不能扫描，再贴上正确的UPC;
3. 此单有第三方验货，烦请多备包装物料；
4. #77794带锂电池出货，使用英法双语电池，外箱需在正唛空白位置贴一张UN3481锂电池标识贴纸；
5. 需4/17前安排签样，签样要求如下：
#77772：大货样3PCS+3套齐套散件+空PDQ2PCS；
6.需安排4/24抽板测试，抽板要求如下：
#77772：大货4PCS+4套完整散件；
*********************
a. 请确保产品符合1999年版本的加拿大环境保护法(CEPA)和2012年禁止某些有毒物质法规的要求。该产品不含任何在加拿大禁用的化学物质，包括但不限于有毒物
质清单中列出的化学物质，并且在为加拿大沃尔玛生产产品期间没有使用任何禁用化学物质。
Supplier certify that the products comply with the requirements of Canadian Environmental Protection Act, 1999 (CEPA), Prohibition of Certain To
xic Substances Regulations, 2012.
The products do not contain any chemicals that are banned in Canada, including but not limited to those listed in the Toxic Substances List and
no banned chemicals were used during the manufacturing of product for Walmart Canada.
附件列表：
(1) Letter of Guarantee for Canada banned chemicals - (1-5CA)
b. 请确保产品在均质材料中的汞浓度不超过0.1%（按重量计）。
Supplier certify that the WAL-MART vendor products does not have a mercury concentration of more than 0.1% by weight in homogeneous material.
附件列表：
(1) Letter of Guarantee for Mercury COC
c. 请确保产品的塑料材料不含以下物质（SOR 2011-17 27B):
Supplier certify that the plastic materials do not contain the following substances(SOR 2011-17 27B):
(a) carbon tetrachloride or any substance that contains it;
(b) methyl alcohol or any substance thay contains &gt;1.0%;
(c) petroleum distillates or any substance that contains &gt;10% weight to volume of petroleum distillates;
(d) benzene;
(e) turpentine or any substance that contains &gt;10% weight to volume of turpentine;
(f) boric acid or salts of boric acid; or (g) ethyl ether.
附件列表：
(1) Letter of Guarantee for WM CA-Other prohibited substances in plastic(less than 3 years)</t>
  </si>
  <si>
    <t>Fly Song</t>
  </si>
  <si>
    <t>77772GQ3-S001-客版</t>
  </si>
  <si>
    <t>AMAZON.COM SERVICES LLC</t>
  </si>
  <si>
    <t>2DBDSTII</t>
  </si>
  <si>
    <t>4500195252-180</t>
  </si>
  <si>
    <t>77876-S001</t>
  </si>
  <si>
    <t>唱片球2PK圆筒装</t>
  </si>
  <si>
    <t>4/7SSCC Label</t>
  </si>
  <si>
    <t>日期码格式：ZURU INC(BVI) 标准格式 日期：按实际生产日期
Packaging Info: 
#77876:2PK MA 1L UPC版#77772入PVC桶，3L无UPC客版收缩膜，客版收缩膜和3L铜版纸图稿翻单4500192514.（两个球的配比不能重复）。2544PCS由Domestic PO450
0192506转单,6468PCS由Domestic PO4500192514转单。
Remark: 1. Amazon MDDP订单，出口US。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</si>
  <si>
    <t>Kelly Shen/Mia Pan/P</t>
  </si>
  <si>
    <t>ZB05681-8.17</t>
  </si>
  <si>
    <t>1EG43BFL</t>
  </si>
  <si>
    <t>4500195266-190</t>
  </si>
  <si>
    <t>日期码格式：ZURU INC(BVI) 标准格式 日期：按实际生产日期
Packaging Info: 
#77876:2PK MA 1L UPC版#77772入PVC桶，3L无UPC客版收缩膜，客版收缩膜和3L铜版纸图稿翻单4500192514.（两个球的配比不能重复）。7116PCS由Domestic PO450
0192521转单。
Remark: 1. Amazon MDDP订单，出口US。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</si>
  <si>
    <t>ZB05684-8.17</t>
  </si>
  <si>
    <t>5PY83HFO</t>
  </si>
  <si>
    <t>4500195258-170</t>
  </si>
  <si>
    <t>日期码格式：ZURU INC(BVI) 标准格式 日期：按实际生产日期
Packaging Info: 
#77876:2PK MA 1L UPC版#77772入PVC桶，3L无UPC客版收缩膜，客版收缩膜和3L铜版纸图稿翻单4500192514.（两个球的配比不能重复）。 7464PCS由Domestic PO45
00192506转单。
Remark: 1. Amazon MDDP订单，出口US。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</si>
  <si>
    <t>ZB05679-8.17</t>
  </si>
  <si>
    <t>2NHI8Q6O</t>
  </si>
  <si>
    <t>4500195261-170</t>
  </si>
  <si>
    <t>PO4500195261中#77867-9156PCS由Domestic PO4500192514转单</t>
  </si>
  <si>
    <t>日期码格式：ZURU INC(BVI) 标准格式 日期：按实际生产日期
Packaging Info: 
#77876:2PK MA 1L UPC版#77772入PVC桶，3L无UPC客版收缩膜，客版收缩膜和3L铜版纸图稿翻单4500192514.（两个球的配比不能重复）。9156PCS由Domestic PO450
0192514转单。
Remark: 1. Amazon MDDP订单，出口US。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</si>
  <si>
    <t>ZB05699-8.17</t>
  </si>
  <si>
    <t>2XYIKTEU</t>
  </si>
  <si>
    <t>4500195264-160</t>
  </si>
  <si>
    <t>PO4500195264中#77876-4392PCS由Domestic PO4500192514转单，2856PCS由Domestic PO4500192521转单。</t>
  </si>
  <si>
    <t>日期码格式：ZURU INC(BVI) 标准格式 日期：按实际生产日期
Packaging Info: 
#77876:2PK MA 1L UPC版#77772入PVC桶，3L无UPC客版收缩膜，客版收缩膜和3L铜版纸图稿翻单4500192514.（两个球的配比不能重复）。4392PCS由Domestic PO450
0192514转单，2856PCS由Domestic PO4500192521转单。
Remark: 1. Amazon MDDP订单，出口US。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</si>
  <si>
    <t>ZB05700-8.17</t>
  </si>
  <si>
    <t>10001661762-3
891</t>
  </si>
  <si>
    <t>4500194303-30</t>
  </si>
  <si>
    <t>4/2寄出外箱条码箱贴纸贴纸，2/10提供EVENT LABEL</t>
  </si>
  <si>
    <t>日期码格式：ZURU INC(BVI) 标准格式 日期：按实际生产日期
Packaging Info:
77772GQ5：产品包装MA 1L 收缩膜+MA 5L 收藏指南+MA 23L 组装说明+客版PDQ；客版PDQ翻单4500189603；
Remark:
77772GQ5：
1.77772GQ5-S001-MINI BRANDS-VINYL-SERIES 1-CAPSULE,WITH DEMO,25PCS/GRAVITY PDQ,25PCS/PDQ/CTN;
2.产品包装MA 1L 收缩膜+MA 5L 收藏指南+MA 23L 组装说明+客版PDQ；客版PDQ翻单4500189603；收缩膜上的UPC显示193052090065;
4 mini vinyls(1 Target US Exclusive),1 accessory;
3. 外箱正唛左上角位置粘贴条码箱贴纸，每箱只贴一张，由ZURU订购。来料贴纸上显示的客户DPCI# 086-02-8931, UPC显示10193052090062;
以上Items：
1. 产品和包装上均要印刷tracking code信息，格式为ZURU常规格式；
2. 需要我司QC验货之后才能安排出货
3. 出货方式： 货代自提</t>
  </si>
  <si>
    <t>ZB05472/ZB05518</t>
  </si>
  <si>
    <t>SCHEEL'S ALL SPORTS, INC.</t>
  </si>
  <si>
    <t>4500195170-30</t>
  </si>
  <si>
    <t>日期码格式：ZURU INC(BVI) 标准格式 日期：按实际生产日期
Packaging Info: 1. 包装：ZURU MA 1L 最新UPC版本；出口美国&lt;(&gt;&amp;&lt;)&gt;CA；
Remark: 2. 日期跟踪码：产品包装及产品本身都必须有日期跟踪码，并且确保两者的日期跟踪码要一致；ZURU标准格式日期码(请自行调整具体年月日生产期，但不能为周
末）。
3.. 出货配比: Zuru 标版配比。</t>
  </si>
  <si>
    <t>Mila Yao</t>
  </si>
  <si>
    <t>ZB05444-8.17</t>
  </si>
  <si>
    <t>4500194442-10</t>
  </si>
  <si>
    <t>日期码格式：ZURU INC(BVI) 标准格式 日期：
Packaging Info: 1. 通用PDQ, 产品MA UPC包装（优先1L）出美国 其中 92129TQ5为客版pdq翻单4500180920
2. 客人指定箱唛排版
3. 77772GQ1-S002 4 mini vinyls,1 accessory
Remark: 出货前 Zuru QC 验货</t>
  </si>
  <si>
    <t>ZB05585-8.17</t>
  </si>
  <si>
    <t>4500194442-20</t>
  </si>
  <si>
    <t>WONDERLAND TOYS, INC.</t>
  </si>
  <si>
    <t>4500196320-20</t>
  </si>
  <si>
    <t>日期码格式：ZURU,LLC 标准格式 日期：按实际生产日期
Packaging Info: 1. 1. 出口美国MA UPC 版本包装，优先1L。
Remark: 2. ZURU QC 验货即可。</t>
  </si>
  <si>
    <t>Abby Mai,Lluvia Zeng</t>
  </si>
  <si>
    <t>ZB05543-8.17</t>
  </si>
  <si>
    <t>KOTRYNA GROUP, UAB</t>
  </si>
  <si>
    <t>立陶宛</t>
  </si>
  <si>
    <t>4500196085-30</t>
  </si>
  <si>
    <t>4/3进口商贴纸</t>
  </si>
  <si>
    <t>日期码格式：ZURU INC(BVI) 标准格式 日期：按实际生产日期
Packaging Info: 
3.77772GQ1:MA UPC 1L A版收缩膜+23L A版组装说明书+5L A版收藏指南+A版复合袋+ 进口商贴纸，加MA PDQ
Remark: 1、若产品有比例使用ZURU STD 比例
2、所有item 包装上需要有CE logo，均用MA UPC 条码，若包装不是UPC 条码的请告知
3、此单出欧洲需满足EU测试标准要求，另外不能出闪粉（若产品本身不含闪粉则忽略这句话），电池产品（带电池/不带电池走货）需要添加WEEE通用说明书</t>
  </si>
  <si>
    <t>Sharon Zhao</t>
  </si>
  <si>
    <t>TARGET  US</t>
  </si>
  <si>
    <t>10001761481-3
891</t>
  </si>
  <si>
    <t>4500196785-10</t>
  </si>
  <si>
    <t>4/8寄出外箱条码箱贴纸贴纸，2/10提供EVENT LABEL</t>
  </si>
  <si>
    <t>日期码格式：ZURU INC(BVI) 标准格式 日期：按实际生产日期
Packaging Info: 产品包装MA 1L 收缩膜+MA 5L 收藏指南+MA 23L 组装说明+客版PDQ；客版PDQ翻单4500189603
Remark: 1.77772GQ5-S001-MINI BRANDS-VINYL-SERIES 1-CAPSULE,WITH DEMO,25PCS/GRAVITY PDQ,25PCS/PDQ/CTN;
2.产品包装MA 1L 收缩膜+MA 5L 收藏指南+MA 23L 组装说明+客版PDQ；客版PDQ翻单4500189603；收缩膜上的UPC显示193052090065;
4 mini vinyls(1 Target US Exclusive),1 accessory;
3. 外箱正唛左上角位置粘贴条码箱贴纸，每箱只贴一张，由ZURU订购。来料贴纸上显示的客户DPCI# 086-02-8931, UPC显示10193052090062;
4. 产品和包装上均要印刷tracking code信息，格式为ZURU常规格式；
5. 需要我司QC验货之后才能安排出货
6. 出货方式： 货代自提</t>
  </si>
  <si>
    <t>Holly  Zheng</t>
  </si>
  <si>
    <t>ZB05515-8.17</t>
  </si>
  <si>
    <t>JUGUETIBICI, S.A. DE C.V.</t>
  </si>
  <si>
    <t>4500193910-40</t>
  </si>
  <si>
    <t>需要监柜备品</t>
  </si>
  <si>
    <t>4/10UPC条码贴纸+进口商贴纸</t>
  </si>
  <si>
    <t>日期码格式：ZURU INC(BVI) 标准格式 日期：按实际生产日期
Packaging Info: 
4. 77772GQ2：MA 3L EAN包装+UPC条码贴纸+MA 3L PDQ包装+进口商贴纸+箱唛
Remark: 1. 此单有监柜，每款请多备1pc样板用于监装</t>
  </si>
  <si>
    <t>Ever Li</t>
  </si>
  <si>
    <t>OSIRIS INC.</t>
  </si>
  <si>
    <t>4500196293-10</t>
  </si>
  <si>
    <t>4/14UPC贴纸</t>
  </si>
  <si>
    <t>日期码格式：ZURU INC(BVI) 标准格式 日期：按实际生产日期
Packaging Info: 77772GQ2: 收缩膜&lt;(&gt;&amp;&lt;)&gt;PDQ： MA 3L， 收缩膜加UPC贴纸
Remark: 出加拿大
Zuru验货.日期跟踪码：产品外包装及产品本身都必须有日期跟踪码，ZURU标准格式日期码</t>
  </si>
  <si>
    <t xml:space="preserve"> WALMART INC.</t>
  </si>
  <si>
    <t>0983717983</t>
  </si>
  <si>
    <t>4500197250-10</t>
  </si>
  <si>
    <t>5/11第三方验货</t>
  </si>
  <si>
    <t>翻单4500195546</t>
  </si>
  <si>
    <t>RFID贴纸，贴纸由ZURU提供，贴纸位置请严格按照我们签回的签板；</t>
  </si>
  <si>
    <t>日期码格式：ZURU DGYYMMDD CHINA(日期避开周末和法定节假日即可） 日期：按实际生产日期
Packaging Info: 77772SLB-S001
 1.包装要求：
 MA 1L A版收缩膜+MA 5L A版收藏指南+MA 23L A版说明书+MA A版纸袋+客版1L PDQ，翻单：4500195546
每pcs产品上要贴1张RFID贴纸，贴纸由ZURU提供，贴纸位置请严格按照我们签回的签板；
Remark: 77772SLB-S001
 1.包装要求：
 MA 1L A版收缩膜+MA 5L A版收藏指南+MA 23L A版说明书+MA A版纸袋+客版1L PDQ，翻单：4500195546
每pcs产品上要贴1张RFID贴纸，贴纸由ZURU提供，贴纸位置请严格按照我们签回的签板；
 2. 外箱印刷带条码的RFID箱唛：RFID紫色色带+WM Dept.图标+RFID图标+ITF-14条码，四面右下角印刷ZURU logo, ITFF条码只印刷在正唛一面，在加印的时候确保
 条形码能扫描出来，外箱侧面任一角落加印："MADE IN CHINA" 字样；
 3. 每个slip sheet上面贴一张艾利贴纸（不干胶贴纸）和一张普通贴纸（A4纸），slip sheet打印的普通贴纸的尺寸不能比艾利贴纸小，普通贴纸内容见附件；
 4. 在产品上和包装上要有日期码、以及要有MADE IN CHINA和ZURU字样；
 5. 产品如有扎带口要剪平，不能刮手。
 6. 此单需要验货，请多备料
 7. 此单以slip sheet出货，960pcs/60CTNS/Slip sheet</t>
  </si>
  <si>
    <t xml:space="preserve"> Maggie Xie</t>
  </si>
  <si>
    <t>ZB06041-8.17</t>
  </si>
  <si>
    <t>ZMPO260320</t>
  </si>
  <si>
    <t>ZMPO260320-20</t>
  </si>
  <si>
    <t>大货最新版本/款号平均/麻烦按款号装箱/并在外箱上注明款号/大货标准箱装箱/箱唛参照邮件附件备注：收到样品订单后尽快安排 ，注意样板品质质量要求要高于大货品质要求 ，送货时必须要附带送货单(没有送货单和QC检验合格报告的仓库一律拒绝收货)，请知悉，谢谢！</t>
  </si>
  <si>
    <t>CVS PHARMACY INC</t>
  </si>
  <si>
    <t>4500194421-10</t>
  </si>
  <si>
    <t>此单需要在2026/5/8完成首批数量供UL实验室抽板测试</t>
  </si>
  <si>
    <t>3/27 确认</t>
  </si>
  <si>
    <t>测试样:每款预计12pcs成品球(抽板人员从大货中随机抽取12pcs)+额外提前备好每款5套完整散件,大货样：每款4整套(1整套是1个PDQ+ 6PCS球), 具
体寄样要求待后续邮件通知再安排寄出。</t>
  </si>
  <si>
    <t>日期码格式：ZURU INC(BVI) 标准格式 日期：按实际生产日期
Packaging Info: 77772GQ4:ZURU标准MA UPC版本(优先1L)+客版PDQ(AW翻单 PO#4500188838),出口美国。
Remark: 1. 此单需要在2026/5/8完成首批数量供UL实验室抽板测试，剩余数量要求在2026/6/8全部完成。
2. 日期码请按ZURU标准版执行即可。
3. ZURU QC验货。
4. 样板准备：测试样:每款预计12pcs成品球(抽板人员从大货中随机抽取12pcs)+额外提前备好每款5套完整散件,大货样：每款4整套(1整套是1个PDQ+ 6PCS球), 具
体寄样要求待后续邮件通知再安排寄出。</t>
  </si>
  <si>
    <t>Eleven Zhang</t>
  </si>
  <si>
    <t>ZB06238-8.17</t>
  </si>
  <si>
    <t>10001661761-3890</t>
  </si>
  <si>
    <t>4500199055-30</t>
  </si>
  <si>
    <t>4/25SSCC外箱贴纸+锂电池标签纸</t>
  </si>
  <si>
    <t>日期码格式：ZURU INC(BVI) 标准格式 日期：按实际生产日期
Packaging Info: 77673TQ1：产品包装 客版收缩膜(C版)+客版收藏指南+MA说明书+ MA 1L PDQ；客版收缩膜(C版）翻单4500183607；客版收藏指南翻单4500174008；
77858：产品包装 MA 1L 彩盒；
77772GQ5：产品包装MA 1L 收缩膜+MA 5L 收藏指南+MA 23L 组装说明+客版PDQ；客版PDQ翻单4500189603；
77794UQ1：产品包装 MA 1L黑白警告语说明书+MA 1L 彩盒+MA 1L PDQ+锂电池标签纸
Remark: 77673TQ1：
1. 77673TQ1-S001-CC-MINI BRANDS-FILL THE FRIDGE PLAYSET-SERIES 1-SHRINK WRAP,4PCS/PDQ,4PCS/PDQ/CTN;
2. 产品包装 客版收缩膜(C版)+客版收藏指南+MA说明书+ MA 1L PDQ；客版收缩膜上的UPC显示193052079404；客版收缩膜(C版）翻单4500183607；客版收藏指南翻
单4500174008；
3. 外箱正唛左上角位置粘贴条码箱贴纸，每箱只贴一张，由ZURU订购。来料贴纸上显示的客户DPCI# 086-02-3468， UPC显示10193052079401;
77858：
1. 77858-S001-MINI BRANDS-MAGIC COOK KITCHEN PLAYSET-SERIES 1-WINDOW BOX,3PCS/CTN;
2. 产品包装 MA 1L 彩盒，彩盒上的UPC显示193052100238;
3. 外箱正唛左上角位置粘贴条码箱贴纸，每箱只贴一张，由ZURU订购。来料贴纸上显示的客户DPCI: 086-02-5654, UPC显示10193052100235;
77772GQ5：
1.77772GQ5-S001-MINI BRANDS-VINYL-SERIES 1-CAPSULE,WITH DEMO,25PCS/GRAVITY PDQ,25PCS/PDQ/CTN;
2.产品包装MA 1L 收缩膜+MA 5L 收藏指南+MA 23L 组装说明+客版PDQ；客版PDQ翻单4500189603；收缩膜上的UPC显示193052090065;
4 mini vinyls(1 Target US Exclusive),1 accessory;
3. 外箱正唛左上角位置粘贴条码箱贴纸，每箱只贴一张，由ZURU订购。来料贴纸上显示的客户DPCI# 086-02-8931, UPC显示10193052090062;
77794UQ1：
1.77794UQ1-S002-MINI BRANDS-VINYL-PLAYSET-SERIES 1-CUBE,8PCS/PDQ,8PCS/PDQ/CTN;
2. 产品包装 MA 1L黑白警告语说明书+MA 1L 彩盒+MA 1L PDQ+锂电池标签纸; 彩盒上的UPC显示193052090409;
3. 外箱正唛左上角位置粘贴条码箱贴纸，每箱只贴一张，由ZURU订购。来料贴纸上显示的客户DPCI# 086-02-4085, UPC显示10193052090406;
4. 带锂电池出货，需在外箱正面或者侧面合适位置上加贴一张贴锂电池标签纸，由工厂订购
以上Items：
1. 产品和包装上均要印刷tracking code信息，格式为ZURU常规格式；
2. 需要我司QC验货之后才能安排出货
3. 出货方式： 货代自提</t>
  </si>
  <si>
    <t>ZB05793-8.17</t>
  </si>
  <si>
    <t>COSTCO WHOLESALE COORPERATION</t>
  </si>
  <si>
    <t>4500194937-10</t>
  </si>
  <si>
    <t>77896SLT-77772-S001</t>
  </si>
  <si>
    <t>1pcs唱片机+3pcs球混装彩盒</t>
  </si>
  <si>
    <t>2026/4/27安排做10%抽版测试，最晚2026/5/19完成100%大货安排第三方验货</t>
  </si>
  <si>
    <t>已出货</t>
  </si>
  <si>
    <t>首单10%货好时需要安排第三方抽板测试,一般需要7-10 working day 做测试, 当天ITS会在大货抽大货样,测试所需样品以及封样(第三方验货时要用). 大货
样需由工厂寄到深圳office, 由ZURU跟单再转寄美国客户.待工厂100%完货之后需安排第三方验货, 一般是在ZURU QC验完货之后安排第三方验货(需要同时拿到pass
测试报告方可进行).</t>
  </si>
  <si>
    <t>日期码格式：ZURU INC(BVI) 标准格式 日期：按实际生产日期
Packaging Info: 客版包装: 客版彩盒+ 客版PDQ+客版收缩膜+客版收藏指南+客版说明书+客版纸袋 等其他内包材
Remark: 77896SLT:S001-MINI BRANDS-VINYLS-SERIES 1-1PK PLAYSET AND 3PK CAPSULES-COMBO IN COLOR BOX,120PCS/DISPLAY/SLIP SHEET
1. 所有日期码印在彩盒上，产品上也需要印日期码. 按实际生产日期，ZURU 标准版格式的日期码。
2. 客版包装: 客版彩盒+ 客版PDQ+客版收缩膜+客版收藏指南+客版说明书+客版纸袋 等其他内包材
3. 纸箱唛头：纸箱四面，正唛和背面两面都需印刷，其他2面侧面留空,按照箱唛要求排版。
4. 确保展示架在入外箱的时候一定要正面对着有印刷箱唛的那面,不可以装反。
5. 此单是首单出货数量4320pcs, 2026/4/27安排做10%抽版测试，最晚2026/5/19完成100%大货安排第三方验货
6. 大货样板:工厂需预留至少6整套测试样用于抽板+3pcs封样（1pc工厂留底待第三方验货使用+2pc寄深圳办公室，需给客人留底)+ 1pc大货样寄深圳办公室拍照用
7.Costco 会委托 UL对 锂电池电池包做"Lot Code 可追溯性审核". 需要电池供应商,工厂配合提供相关资料和文件(见附件打包文件). 请仔细阅读并要求下游供应
商提供齐所需资料. 注意在UL发出审核要求之后30 天内若资料不全，直接出不合格报告，导致无法出货.
初次审核费USD 400. 如果初次审核文件不齐全,导致fail, UL会直接出fail报告给Costco QA .供应商在客户系统提交CAP 文件, 如果供应商有新文件提供, 需要UL
再次审核, re audit 收取USD 200.所以最好是首次审核全部资料提供齐全, 避免re audit 产生额外费用.
注意: 首单10%货好时需要安排第三方抽板测试,一般需要7-10 working day 做测试, 当天ITS会在大货抽大货样,测试所需样品以及封样(第三方验货时要用). 大货
样需由工厂寄到深圳office, 由ZURU跟单再转寄美国客户.待工厂100%完货之后需安排第三方验货, 一般是在ZURU QC验完货之后安排第三方验货(需要同时拿到pass
测试报告方可进行).</t>
  </si>
  <si>
    <t>Cherish Yao</t>
  </si>
  <si>
    <t>ZB06173-8.17</t>
  </si>
  <si>
    <t>77896SLT-S001</t>
  </si>
  <si>
    <t>COOP FAGHANDEL (NON-FOOD)</t>
  </si>
  <si>
    <t>挪威</t>
  </si>
  <si>
    <t>4500196870-70</t>
  </si>
  <si>
    <t>WEEE 30L 不带电池说明书</t>
  </si>
  <si>
    <t>日期码格式：ZURU INC(BVI) 标准格式 日期：按实际生产日期
Packaging Info: 
 77772GQ1: MA EAN 3L+警语贴纸+MA 收藏指南+WEEE 30L 不带电池说明书
Remark: 1. 产品和包装要求无硼无香，包装不能含有PVC， 成分不能含石棉；
 2. 如有微塑料，必须合规欧洲标准，并增加IFUD说明书
 3. 此订单有第三方验货, 新品需要准备三套大货样用于签样验货和给客户留底；
 4. 所用电池需要符合欧洲电池新规(EU)2023-1542；
 5. ZURU货号-客户货号-外箱条码-彩盒条码
77772GQ1-729436010193052090062-4894680051133</t>
  </si>
  <si>
    <t xml:space="preserve"> ZMPO260306</t>
  </si>
  <si>
    <t xml:space="preserve"> ZMPO260306-20</t>
  </si>
  <si>
    <t>大货最新版本/款号平均/麻烦按款号装箱/并在外箱上注明款号/大货标准箱装箱/箱唛参照邮件附件</t>
  </si>
  <si>
    <t>WALMART  INC.</t>
  </si>
  <si>
    <t>4500196503-10</t>
  </si>
  <si>
    <t>5/14第三方验货</t>
  </si>
  <si>
    <t>日期码格式：ZURU DGMMDD CHINA(日期避开周末和法定节假日即可） 日期：按实际生产日期
Packaging Info: 77772GQ3-S001
1. 包装要求：
77772：MA 1L A版收缩膜+MA 5L A版收藏指南+MA 23L A版说明书+MA A版纸袋+客版1L PDQ，翻单：4500195546
每pcs产品要贴一张RFID贴纸，RFID贴纸由ZURU提供，贴纸位置要严格按照客人签板
Remark: 77772GQ3-S001
1. 包装要求：
77772：MA 1L A版收缩膜+MA 5L A版收藏指南+MA 23L A版说明书+MA A版纸袋+客版1L PDQ，翻单：4500195546
每pcs产品要贴一张RFID贴纸，RFID贴纸由ZURU提供，贴纸位置要严格按照客人签板
2. 外箱印刷带条码的RFID箱唛：RFID紫色色带+WM Dept.图标+RFID图标+ITF-14条码+粉色艾利贴纸（不干胶打印），四面右下角印刷ZURU logo, ITFF条码只印刷在
正唛一面，在加印的时候确保条形码能扫描出来，1张粉红色贴纸贴在正唛对角线，外箱侧面任一角落加印："MADE IN CHINA" 字样；
3. 在产品上和包装上要有日期码、以及要有MADE IN CHINA和ZURU字样；
4. 产品如有扎带口要剪平，不能刮手。
5. 此单需要验货，请多备料
6. 此单以loose carton出货，16pcs/PDQ/CTN</t>
  </si>
  <si>
    <t>Maggie  Xie</t>
  </si>
  <si>
    <t>ZB06047-8.17</t>
  </si>
  <si>
    <t>4500196503-20</t>
  </si>
  <si>
    <t>ZB06046-8.17</t>
  </si>
  <si>
    <t>TARGET AUSTRALIA PTY LTD</t>
  </si>
  <si>
    <t>澳大利亚</t>
  </si>
  <si>
    <t>4500196881-50</t>
  </si>
  <si>
    <t>77772GQ1-S002-PRODCC1</t>
  </si>
  <si>
    <t>4/22外箱条码箱贴纸贴纸，2/10提供EVENT LABEL</t>
  </si>
  <si>
    <t>日期码格式：ZURU INC(BVI) 标准格式 日期：按实际生产日期
Packaging Info:
3. 77772GQ1: MA英语UPC版本包装（收缩膜和说明书, MA首选1L，如无1L可用多语且含英语的配套多语包装) +
两张覆盖PDQ上唱片的贴纸 + 两张覆盖收藏指南上唱片的贴纸 + 一张覆盖PDQ上数字"45"的贴纸 + 一张覆盖收藏指南上数字"45"的贴纸 + 外箱贴纸SSCC Label
配比信息：4 mini vinyls,1 accessory
Remark: 1. 客人要求箱唛不可出现任何手写内容，重量与实际一致且不可手写;
2. 此单去澳大利亚，请按相应澳新标准生产;
3. 取消使用TARGET新版封箱胶封顶，外箱全部使用普通透明封箱胶纸(客版胶纸如还有库存，可先消耗库存)；
4. 外箱需要贴Target SSCC LABEL,客供PDF文档，工厂自行订购。请贴在正唛右下角（一箱一张，贴1面正唛右下角,封箱胶纸不能挡住贴纸内容。)；外箱贴纸距离
外箱边缘应在2cm以上。如果正唛无位置可以贴在侧唛；
5. SSCC LABEL要求：贴纸内容，条形码印刷不完整/不清晰或有划痕/缺失，贴纸脏污、破损、条形码折叠、翘起、重复或者丢失，以及封箱胶盖住贴纸任何位置的
，客户都不能接受，如有发现以上异常，须返工重新贴；
6. 外箱材质为ZURU标准；
7. 产品和包装上要有tracking label信息：格式为Zuru标准格式（可以自行调整具体年月日生产日期,避开节假期日）；
8. SSCC Label 尺寸更新为：4x4 inch。</t>
  </si>
  <si>
    <t>Christine Liao</t>
  </si>
  <si>
    <t>0983718088</t>
  </si>
  <si>
    <t>4500197333-10</t>
  </si>
  <si>
    <t>5/18第三方验货</t>
  </si>
  <si>
    <t>日期码格式：ZURU DGYYMMDD CHINA(日期避开周末和法定节假日即可） 日期：按实际生产日期
Packaging Info: 77772SLB-S001
1.包装要求：
MA 1L A版收缩膜+MA 5L A版收藏指南+MA 23L A版说明书+MA A版纸袋+客版1L PDQ，翻单：4500195546
每pcs产品上要贴1张RFID贴纸，贴纸由ZURU提供，贴纸位置请严格按照我们签回的签板；
Remark: 77772SLB-S001
1.包装要求：
MA 1L A版收缩膜+MA 5L A版收藏指南+MA 23L A版说明书+MA A版纸袋+客版1L PDQ，翻单：4500195546
每pcs产品上要贴1张RFID贴纸，贴纸由ZURU提供，贴纸位置请严格按照我们签回的签板；
2. 外箱印刷带条码的RFID箱唛：RFID紫色色带+WM Dept.图标+RFID图标+ITF-14条码，四面右下角印刷ZURU logo, ITFF条码只印刷在正唛一面，在加印的时候确保
条形码能扫描出来，外箱侧面任一角落加印："MADE IN CHINA" 字样；
3. 每个slip sheet上面贴一张艾利贴纸（不干胶贴纸）和一张普通贴纸（A4纸），slip sheet打印的普通贴纸的尺寸不能比艾利贴纸小，普通贴纸内容见附件；
4. 在产品上和包装上要有日期码、以及要有MADE IN CHINA和ZURU字样；
5. 产品如有扎带口要剪平，不能刮手。
6. 此单需要验货，请多备料
7. 此单以slip sheet出货，960pcs/60CTNS/Slip sheet</t>
  </si>
  <si>
    <t>已打卡板</t>
  </si>
  <si>
    <t>0983718034</t>
  </si>
  <si>
    <t>4500197278-10</t>
  </si>
  <si>
    <t>KMART AUSTRALIA LTD(NEW ZEALAND)</t>
  </si>
  <si>
    <t>4500193541-50</t>
  </si>
  <si>
    <t>3/16外箱贴纸SSCC Label+防盜贴纸位置图翻单PO#4500193539</t>
  </si>
  <si>
    <t>日期码格式：ZURU INC(BVI) 标准格式 日期：按实际生产日期
Packaging Info: 77772GQ1:MA英语UPC版本包装（收缩膜和说明书, MA首选1L，如无1L可用多语且含英语的配套多语包装) +防盜贴纸(贴纸以及防盜贴纸位置图翻单PO#4500193539)+
两张张覆盖PDQ上唱片的贴纸+两张张覆盖收藏指南上唱片的贴纸+一张覆盖PDQ上数字"45"的贴纸+一张覆盖收藏指南上数字"45"的贴纸+箱唛+外箱贴纸SSCC Label
配比信息：4 mini vinyls,1 accessory
Removed了 ""Messy &lt;(&gt;&amp;&lt;)&gt; Delicious""两张唱片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71172实际上为LCL散货出柜，请注意此订单与AU po#4500193539一起合并计算
77772务必赶最晚5/11上午交仓</t>
  </si>
  <si>
    <t>KMART AUSTRALIA LTD</t>
  </si>
  <si>
    <t>4500193539-50</t>
  </si>
  <si>
    <t>日期码格式：ZURU INC(BVI) 标准格式 日期：按实际生产日期
Packaging Info: 77772GQ1:MA英语UPC版本包装（收缩膜和说明书, MA首选1L，如无1L可用多语且含英语的配套多语包装) +防盜贴纸(贴纸以及防盜贴纸位置图翻单PO#4500193539)+
两张张覆盖PDQ上唱片的贴纸+两张张覆盖收藏指南上唱片的贴纸+一张覆盖PDQ上数字"45"的贴纸+一张覆盖收藏指南上数字"45"的贴纸+箱唛+外箱贴纸SSCC Label
配比信息：4 mini vinyls,1 accessory
Removed了 ""Messy &lt;(&gt;&amp;&lt;)&gt; Delicious""两张唱片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71172实际上走LCL散货出柜，请注意此订单与NZ po#4500193541一起合并计算
77772务必赶最晚5/11上午交仓</t>
  </si>
  <si>
    <t>4/14外箱贴纸SSCC Label</t>
  </si>
  <si>
    <t>日期码格式：ZURU INC(BVI) 标准格式 日期：按实际生产日期
Packaging Info: 77772GQ1:MA英语UPC版本包装（收缩膜和说明书, MA首选1L，如无1L可用多语且含英语的配套多语包装) +防盜贴纸(贴纸以及防盜贴纸位置图翻单PO#4500193539)+
两张覆盖PDQ上唱片的贴纸+两张覆盖收藏指南上唱片的贴纸+一张覆盖PDQ上数字"45"的贴纸+一张覆盖收藏指南上数字"45"的贴纸（以上6张贴纸以及贴纸位置图翻单
PO#4500193539)+箱唛+外箱贴纸SSCC Label
配比信息：4 mini vinyls,1 accessory
Removed了 ""Messy &lt;(&gt;&amp;&lt;)&gt; Delicious""两张唱片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请注意此订单与NZ PO#4500195655一起合并计算
77772务必赶最晚5/11上午交仓</t>
  </si>
  <si>
    <t>WM MORRISON SUPERMARKETS LIMITED</t>
  </si>
  <si>
    <t>4500199237-90</t>
  </si>
  <si>
    <t>77772GQ1-S003</t>
  </si>
  <si>
    <t>日期码格式：ZURU INC(BVI) 标准格式 日期：按实际生产日期
"77772GQ1: MA PDQ+最新MA 1L UPC收缩膜+MA收藏指南+MA组装说明书+MA袋子
Ratio: 8 Assortment=1:1:1:1:1:1:1:1
Barcode:
157117A: 193052105844
157117B: 193052105851
157117D: 193052105868
157117E: 193052105875
157117G: 193052105882
157117H: 193052105899
157117J: 193052105905
157117K: 193052105912"
Remark: 1. 请准时出货，推期会有罚款；
2. 所有产品按符合欧洲标准走货，需要是不含微塑料版本。
3.包装日期码按ZURU格式即可，请确保不迟于外箱日期码，可等于或者早于外箱日期码，必须为法定工作日，印刷前请先检查外箱日期码。
4.请注意检查产品及包装应带UKCA图标（14+产品除外），包装显示ZURU UK LTD/ZURU France地址信息，QC部门请查核，如有问题与跟单确认
5.电子产品需增加一张B版WEEE声明30L通用黑白说明书(不接受A版本，翻译有误)，区分带电池和不带电池出货版本, 如已做客版说明书含WEEE信息可忽略此要求；
6.订单备注显示有分批的（不同仓库/订单号） ，注意分开做货出货，否则会导致罚款 。
7.外箱有条码要求，排版时请留意并请确保条码清晰可扫描（封箱胶不要黏到条码上), 否则客人会有罚款。
8.做货前请先复核包装条码与订单是否一致再安排，对不上的需与ZURU跟单确认再安排。
9.最大外箱尺寸和重量 : 600mm x 500mm x 745mm (LxWxH) 以及 G.W. 16 KG，超过的需要客人批准才能出货并且外箱需要印2 man lift标志 。
10.做货前务必核对零售条码是否与订单要求一致 ，对不上到客户仓库需要返工 ，工厂需要承担责任。</t>
  </si>
  <si>
    <t>4500196504-10</t>
  </si>
  <si>
    <t>ZB06045-8.17</t>
  </si>
  <si>
    <t>4500196504-20</t>
  </si>
  <si>
    <t>ZB06044-8.17</t>
  </si>
  <si>
    <t>AMAZON UK</t>
  </si>
  <si>
    <t>5TKIJIXX</t>
  </si>
  <si>
    <t>4500198642-180</t>
  </si>
  <si>
    <t>空白外箱（加印带Zuru字样的最新logo，除了邮包盒直接做外箱的产品） + SSCC LABEL一张, 无箱唛，MADE IN CHINA 外箱只印一正一侧。箱唛资料按照给定的
标准去做即可，无需发回我方再行审批(新标准将另行通知)。</t>
  </si>
  <si>
    <t>4/30外箱贴纸</t>
  </si>
  <si>
    <t>客版3L(3L warning UPC)A彩卡(参考翻单PO#4500198642，新UK地址)</t>
  </si>
  <si>
    <t>日期码格式：ZURU INC(BVI) 标准格式 日期：按实际生产日期
Packaging Info: Amazon UK: 5TKIJIXX/3O77XWME/7N1D8FUG/7H6BABTK/5Z2UXPOL/3UI85QUZ
Amazon UK(77858/77876/77878/157124/157142)
2. 77876: 2pk 77772 VINYL into PVC tube,12tubes/ctn; 77772: 客版 3L(3L warning 无条码收缩膜,翻单Amazon US PO#4500192506)+MA5L A版收藏指南+MA 2
3L warning A组装黑白说明书+MA其它最新配套包装+客版3L(3L warning UPC)彩卡(翻单Amazon US PO#4500192506)+1张贴纸(1张含DE/IT警告语+IT环保标, 贴彩卡)
+不带电池30L B版 WEEE说明书
6.验货时间不迟于2026/5/15.
注意：77858需将邮包盒尺寸图片&lt;(&gt;&amp;&lt;)&gt;重量图片放进验货报告。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,&lt;(&gt;,&lt;)&gt; 此要求只适用Amazon UK/DE
/FR/ES/IT,不适用Amazon GPE，Amazon GPE无SSCC label, 但是有对应箱唛，需印刷到外箱 。
2.出往UK的产品+包装务必打上UKCA logo ，否则客人会退货且当地会有罚款。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
9. 无论是工厂自检还是ZURU验货，验货报告中必须有产品6面图(正面/背面/左面/右面/顶部/底部，不带包装);
10. 按空海运鉴定报告的要求，只要带锂电池出货，都需要加贴UN贴纸；
11. 所有出往GAS市场(德国/奥地利/瑞士)的电子产品身上需要加字唛，为ZURU FRANCE 地址，需跟包装上的地址一致 (如无电子产品，产品布标有此地址，或产品
太小无法增加可忽略此信息。如产品无法加字唛，需让对应跟单提供产品贴纸资料);
12. 所有出往GAS德国 (瑞士，奥地利)。水弹枪系列必须使用EN71版本（电子和非电子水弹枪系列都需要符合); 护目镜需打日期码, 格式跟ZURU标准格式一样; 枪
身上增加ZURU FRANCE公司名和地址。使用贴纸和辐射上去都可以。如果有位置，最好增加ZURU Represented by: (此最好翻译德语，如果位置不允许，那么就只增
加ZURU法国和地址)。使用最新的EN71版包装和说明书）</t>
  </si>
  <si>
    <t>Luna Lin</t>
  </si>
  <si>
    <t>3O77XWME</t>
  </si>
  <si>
    <t>4500198642-190</t>
  </si>
  <si>
    <t>0983717970</t>
  </si>
  <si>
    <t>4500197336-10</t>
  </si>
  <si>
    <t>转自检</t>
  </si>
  <si>
    <t>ZB06037-8.17</t>
  </si>
  <si>
    <t>4500199498-10</t>
  </si>
  <si>
    <t>77876-S001-MTS</t>
  </si>
  <si>
    <t>4/1 更新</t>
  </si>
  <si>
    <t>客版收缩膜和3L铜版纸图稿翻单4500192514</t>
  </si>
  <si>
    <t>日期码格式：ZURU INC(BVI) 标准格式                  日期：按实际生产日期
Packaging Info: #77876:2PK MA 1L UPC版#77772入PVC桶，3L无UPC客版收缩膜，客版收缩膜和3L铜版纸图稿翻单4500192514.（两个球的配比不能重复）。
Remark: 1.TikTok US订单。出口美国。外箱尺寸不能超过26*26*26" ，不符合要求的大货，一律不接受。
2.无第三方验货/测试要求。
3. 日期码使用ZURU标准版本。
4.如果大货有要求入邮包盒，则对应的邮包盒上面要打上日期码。</t>
  </si>
  <si>
    <t>Kelly Shen</t>
  </si>
  <si>
    <t>ZB05682-8.17</t>
  </si>
  <si>
    <t>AMAZON.COM  SERVICES  LLC</t>
  </si>
  <si>
    <t>5A54748W</t>
  </si>
  <si>
    <t>4500198817-10</t>
  </si>
  <si>
    <t>4/28已寄SSCC Label</t>
  </si>
  <si>
    <t>Kelly  Shen</t>
  </si>
  <si>
    <t>ZB05721-8.17</t>
  </si>
  <si>
    <t>8UHJAS7I</t>
  </si>
  <si>
    <t>4500198818-10</t>
  </si>
  <si>
    <t>ZB06211-8.17</t>
  </si>
  <si>
    <t>5T99HRPW</t>
  </si>
  <si>
    <t>4500198819-10</t>
  </si>
  <si>
    <t>ZB05856-8.17</t>
  </si>
  <si>
    <t>3K2YN21R</t>
  </si>
  <si>
    <t>4500198821-10</t>
  </si>
  <si>
    <t>日期码格式：ZURU INC(BVI) 标准格式 日期：按实际生产日期
Packaging Info: #77876:2PK MA 1L UPC版#77772入PVC桶，3L无UPC客版收缩膜，客版收缩膜和3L铜版纸图稿翻单4500192514.（两个球的配比不能重复）。
Remark: 1. Amazon MDDP订单，出口US。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</si>
  <si>
    <t>ZB05723-8.17</t>
  </si>
  <si>
    <t>ZMPO260434</t>
  </si>
  <si>
    <t>ZMPO260434-20</t>
  </si>
  <si>
    <t>Remark；大货最新版本/款号平均/麻烦按款号装箱/并在外箱上注明款号/大货标准箱装箱/箱唛参照邮件附件；备注：收到样品订单后尽快安排 ，注意样板品质质量要求要高于大货品质要求 ，送货时必须要附带送货单(没有送货单和QC检验合格报告的仓库一律拒绝收货)，请知悉，谢谢！</t>
  </si>
  <si>
    <t>WONDERLAND  TOYS,  INC.</t>
  </si>
  <si>
    <t>4500196710-20</t>
  </si>
  <si>
    <t>日期码格式：ZURU INC(BVI) 标准格式 日期：按实际生产日期
Packaging Info: 1. 出口美国MA UPC 版本包装，优先1L。FUGGLER item都可以按工厂实际库存调整装箱比例。
Remark: 8. ZURU QC 验货即可。</t>
  </si>
  <si>
    <t>Abby  Mai</t>
  </si>
  <si>
    <t>ZB05926-8.17</t>
  </si>
  <si>
    <t>ASDA STORES LTD</t>
  </si>
  <si>
    <t>4500196674-20</t>
  </si>
  <si>
    <t>77772SLB-S002</t>
  </si>
  <si>
    <t>唱片球1040pcs/80PDQ/80CTN卡板装</t>
  </si>
  <si>
    <t>Slip Sheet打包好后，需要在正唛、侧唛右下角各贴一张slip sheet贴纸，直接用A4纸打印出来即可，贴纸尺寸160mm width x 140mm high；</t>
  </si>
  <si>
    <t>日期码格式：ZURU INC(BVI) 标准格式 日期：按实际生产日期
Packaging Info: 77772SLB-S002 MA最新UPC版本，条码请核对：193052090065 ，做货时请注意需移除LOLA YOUNG唱片
Slip sheet：77772GQ1-S002-PRODCC 13pcs/PDQ/CTN 20*4H=80CTN/SLB=1040pcs/Slip Sheet;
77794UQ1-S002 产品先入外箱再打SLIP SHEET, 客板PDQ+MA最新UPC包装+29L带电池出货WEEE说明书+加欧洲澳新通用Warning instruction
外箱正唛其中1面右上角贴UN3481贴纸，产品UPC :193052090409，请先检查条码是否正确再安排做货。
Slip sheet77794UQ1-S002 8pcs/PDQ/CTN 16*4H=64CTN/SLB=512pcs/Slip Sheet;
9574-S002 产品先入外箱再打SLIP SHEET, MA最新UPC包装+29L不带电池出货WEEE说明书，UPC :193052098436，请先检查条码是否正确再安排做货。
Slip sheet:9574-S002 1pcs/CTN (Carton Size: 31.7x18x25CM); 18*5H=90PCS/90CTN/SLB
77843GQ1-S002 产品先入外箱再打SLIP SHEET, MA最新UPC包装+29L带电池出货WEEE说明书，UPC :193052099105，请先检查条码是否正确再安排做货。
Slip sheet:77843GQ1-S002 13pcs/PDQ/CTN 15*5H=75CTN/SLB=975pcs/Slip Sheet;
92146TQ3-S001 产品先入外箱再打SLIP SHEET, MA_A_1L-UPC配套包装+客版PDQ，产品UPC :193052100375，请先检查条码是否正确再安排做货。
Slip sheet:92146TQ3-S001:2PCS/PDQ/CTN(Carton Size: 27.5x14.5x24.8CM):27*5H=135cartons=135*2pcs=270pcs/Slip Sheet;
92147-S002 产品先入外箱再打SLIP SHEET,MA_A_1L-UPC配套包装，产品UPC :1930521003825，请先检查条码是否正确再安排做货。
Slip sheet:92147-S002:1PCS/CTN(Carton Size: 25.0x22.0x32.0 CM):20*3H=60cartons=60*1pcs=60pcs/Slip Sheet;
Slip Sheet打包好后，需要在正唛、侧唛右下角各贴一张slip sheet贴纸，直接用A4纸打印出来即可，贴纸尺寸160mm width x 140mm high；
Slip Sheet尺寸限制为100*115*130CM，一旦实际SLIP SHEET尺寸超过这个尺寸，请提前通知ZURU跟单，需同客人确认才能量产和出货.
Remark: 1. 产品及包装需要印UKCA图标，包装需要有ZURU UK LTD/ZURU France地址信息，QC同事请核查，如有问题与跟单确认
2. 产品/包装/外箱都需要打ZURU格式日期码，日期必须为法定工作日。
3. 需要符合欧洲标准不能含有闪粉和微塑料，否则不合法规会有客诉产生""
4.涉及到硼的，如可选择情况下应使用低硼版本 （slime 类别低硼一般低于300ppm)，无选择的应与跟单复核再安排 。
5.如果出运产品属于电子类产品需要在ZURU 包装基础上额外添加一张ZURU 标准29L通用WEEE 电子产品说明书,带电池出货的加带电池出货版本通用29L的说明书，不
带电池出货的产品用不带电池出货版本的说明书
Order</t>
  </si>
  <si>
    <t>1000176495 -0581</t>
  </si>
  <si>
    <t>4500199078-10</t>
  </si>
  <si>
    <t>4/29已寄SSCC外箱贴纸+锂电池标签纸</t>
  </si>
  <si>
    <t>HollyZheng</t>
  </si>
  <si>
    <t>ZB05792-8.17</t>
  </si>
  <si>
    <t>10001761488-3890</t>
  </si>
  <si>
    <t>4500199079-10</t>
  </si>
  <si>
    <t>ZB05857-8.17</t>
  </si>
  <si>
    <t>样板单</t>
  </si>
  <si>
    <t xml:space="preserve"> ZMPO260515</t>
  </si>
  <si>
    <t xml:space="preserve"> ZMPO260515-10</t>
  </si>
  <si>
    <t>唱片球24pcs/箱</t>
  </si>
  <si>
    <t>Remark大货版本/只需要左图中指定5款散件/散件需要加上纸袋装好/麻烦用胶袋分装好一款为一袋备注： 收到样品订单后尽快安排 ，谢谢！</t>
  </si>
  <si>
    <t>ALL BRANDS TOYS PTY LTD</t>
  </si>
  <si>
    <t>4500193524-10</t>
  </si>
  <si>
    <t>77772GQ2-S002-PRODCC1</t>
  </si>
  <si>
    <t>4/25PDQ贴纸</t>
  </si>
  <si>
    <t>日期码格式：ZURU INC(BVI) 标准格式 日期：按实际生产日期
Packaging Info: 77772GQ1:MA英语UPC版本包装（收缩膜和说明书, MA首选1L，如无1L可用多语且含英语的配套多语包装) +两张覆盖PDQ上唱片的贴纸+两张覆盖收藏指南上唱片的贴
纸+一张覆盖PDQ上数字"45"的贴纸+一张覆盖收藏指南上数字"45"的贴纸+1张客人通用进口商贴纸+箱唛
配比信息：4 mini vinyls,1 accessory
Removed了 ""Messy &lt;(&gt;&amp;&lt;)&gt; Delicious""两张唱片
77794UQ1:MA_UPC版本包装（MA首选1L，如无1L可用多语且含英语的配套多语UPC包装）+ 1张客人通用进口商贴纸
9574: MA英语UPC版本包装（收缩膜和说明书, MA首选1L，如无1L可用多语且含英语的配套多语包装) + 客人通用进口商贴纸+ 箱唛 + 外箱SSCC Label
配比信息：2pcs baby capybara: 3pcs baby capybara= 5:1
Remark: 1.按实际生产日期;
2.出澳大利亚，请按照相应标准生产;</t>
  </si>
  <si>
    <t>Zuru Poland Sp. Z o.o.</t>
  </si>
  <si>
    <t>波兰</t>
  </si>
  <si>
    <t>4500198012-10</t>
  </si>
  <si>
    <t>77772GQ2-S002-MTS</t>
  </si>
  <si>
    <t>4/14多语警语折叠贴纸</t>
  </si>
  <si>
    <t>最新C版WEEE不带电通用说明书</t>
  </si>
  <si>
    <t>日期码格式：ZURU INC(BVI) 标准格式 日期：按实际生产日期
Packaging Info: 77772GQ2：MA 3L PDQ+MA 3L EAN收缩膜+1*多语警语折叠贴纸+MA 23L拼装说明书+MA 5L收藏指南+MA纸卡/复合袋+最新C版WEEE不带电通用说明书
Remark: 1.波兰内销单，需要通过ZURU 验货结果后才能出货 (工厂需要主动提前同ZURU QC预约验货避免延期出货造成不必要麻烦)；
2. 产品如含有化学品，需要无硼无香；无微塑料
3. 若有特定款有特殊外箱条码要求时,需要明确列出产品款对应的具体外箱条码号码/条码类型 (若无,可以忽略此需求)；
4.所有出口欧洲的产品, 法规规定禁止在包装和共公众用的印刷品中使用矿物油中含有的物质, 包装印刷油墨中含有的MOAH/MOSH的质量浓度不能超过1%, 否则出货
到法国被抽检出现问题, 供应商需要对此负责;
5. date code: 外箱日期码要晚于或等于产品日期码，不能早于产品的日期码；
6. 所有出往波兰的电子产品身上需要加字唛，为ZURU FRANCE 地址，需跟包装上的地址一致 (如无电子产品，产品布标有此地址，或产品太小无法增加可忽略此信
息。如产品无法加字唛，需让对应跟单提供产品贴纸资料)
新地址：ZURU France 33 rue Paul Meurice 75020 Paris, France
旧地址：ZURU France 1/3, Rue d'Argenteuil 95210 SAINT-GRATIEN, FRANCE
7.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8. 所有出往波兰订单的电子产品需增加一张最新版本的欧洲通用WEEE声明说明书，区分带电池和不带电池版本, 如已做客版说明书可忽略此要求。</t>
  </si>
  <si>
    <t>4500196505-10</t>
  </si>
  <si>
    <t>5/22第三方验货</t>
  </si>
  <si>
    <t>ZB06084-8.17</t>
  </si>
  <si>
    <t>0983718046</t>
  </si>
  <si>
    <t>4500197340-10</t>
  </si>
  <si>
    <t>5/27第三方验货</t>
  </si>
  <si>
    <t>4/8张RFID贴纸，贴纸由ZURU提供，贴纸位置请严格按照我们签回的签板；</t>
  </si>
  <si>
    <t>ZB06042-8.17</t>
  </si>
  <si>
    <t>0983718051</t>
  </si>
  <si>
    <t>4500197343-10</t>
  </si>
  <si>
    <t>5/25第三方验货</t>
  </si>
  <si>
    <t>ZB06043-8.17</t>
  </si>
  <si>
    <t>SUCKOT SAC</t>
  </si>
  <si>
    <t>秘鲁</t>
  </si>
  <si>
    <t/>
  </si>
  <si>
    <t>4500200402-70</t>
  </si>
  <si>
    <t>4/30进口商贴纸+UPC贴纸</t>
  </si>
  <si>
    <t>日期码格式：ZURU INC(BVI) 标准格式 日期：按实际生产日期
Packaging Info: 
其余item：MA多语包装+进口商贴纸+UPC贴纸+箱唛</t>
  </si>
  <si>
    <t>0983718066</t>
  </si>
  <si>
    <t>4500197348-10</t>
  </si>
  <si>
    <t>ZB06036-8.17</t>
  </si>
  <si>
    <t>4500194942-10</t>
  </si>
  <si>
    <t>日期码格式：ZURU INC(BVI) 标准格式 日期：按实际生产日期
Packaging Info:
Remark: 77896SLT:S001-MINI BRANDS-VINYLS-SERIES 1-1PK PLAYSET AND 3PK CAPSULES-COMBO IN COLOR BOX,120PCS/DISPLAY/SLIP SHEET
1. 所有日期码印在彩盒上，产品上也需要印日期码. 按实际生产日期，ZURU 标准版格式的日期码。
2. 客版包装: 客版彩盒+ 客版PDQ+客版收缩膜+客版收藏指南+客版说明书+客版纸袋 等其他内包材
3. 纸箱唛头：纸箱四面，正唛和背面两面都需印刷，其他2面侧面留空,按照箱唛要求排版。
4. 确保展示架在入外箱的时候一定要正面对着有印刷箱唛的那面,不可以装反。</t>
  </si>
  <si>
    <t>ZB06175-8.17</t>
  </si>
  <si>
    <t>4500196563-30</t>
  </si>
  <si>
    <t>日期码格式：ZURU INC(BVI) 标准格式 日期：按实际生产日期
Packaging Info: 
#77772
客版3LPDQ(16装)+客版3L收缩膜(UPC:193052090065)+MA5L收藏指南+MA23L拼装说明书+MA5L复合袋+DEMO纸卡
翻单：4500195369
Remark: 1. 此单有箱唛;
2. UPC贴纸：必须在原来错误的条码上用黑色粗头笔涂黑直至不能扫描，再贴上正确的UPC;
3. 此单有第三方验货，烦请多备包装物料；
*********************
a. 请确保产品符合1999年版本的加拿大环境保护法(CEPA)和2012年禁止某些有毒物质法规的要求。该产品不含任何在加拿大禁用的化学物质，包括但不限于有毒物
质清单中列出的化学物质，并且在为加拿大沃尔玛生产产品期间没有使用任何禁用化学物质。
Supplier certify that the products comply with the requirements of Canadian Environmental Protection Act, 1999 (CEPA), Prohibition of Certain To
xic Substances Regulations, 2012.
The products do not contain any chemicals that are banned in Canada, including but not limited to those listed in the Toxic Substances List and
no banned chemicals were used during the manufacturing of product for Walmart Canada.
附件列表：
(1) Letter of Guarantee for Canada banned chemicals - (1-5CA)
b. 请确保产品在均质材料中的汞浓度不超过0.1%（按重量计）。
Supplier certify that the WAL-MART vendor products does not have a mercury concentration of more than 0.1% by weight in homogeneous material.
附件列表：
(1) Letter of Guarantee for Mercury COC
c. 请确保产品的塑料材料不含以下物质（SOR 2011-17 27B):
Supplier certify that the plastic materials do not contain the following substances(SOR 2011-17 27B):
(a) carbon tetrachloride or any substance that contains it;
(b) methyl alcohol or any substance thay contains &gt;1.0%;
(c) petroleum distillates or any substance that contains &gt;10% weight to volume of petroleum distillates;
(d) benzene;
(e) turpentine or any substance that contains &gt;10% weight to volume of turpentine;
(f) boric acid or salts of boric acid; or (g) ethyl ether.
附件列表：
(1) Letter of Guarantee for WM CA-Other prohibited substances in plastic(less than 3 years)</t>
  </si>
  <si>
    <t>1X29ADRH</t>
  </si>
  <si>
    <t>4500200380-20</t>
  </si>
  <si>
    <t>日期码格式：ZURU INC(BVI) 标准格式                  日期：按实际生产日期
Packaging Info: #15762E: 2pk 15727 固定搭配-15727K + 15727M, MA 5L UPC版本, 产品入window box后再加polybag. 15727原window box上的UPC需要加空白贴纸覆盖。polybag需
印刷warning, polybag size: 35*47*0.005cm. Polybag上需要加产品贴纸显示ASIN, UPC, "Sold as Set do not Separate".。胶袋资料和产品贴纸资料翻EU单4500
158578.
#77876:2PK MA 1L UPC版#77772入PVC桶，3L无UPC客版收缩膜，客版收缩膜和3L铜版纸图稿翻单4500192514.（两个球的配比不能重复）。
Remark: 1. Amazon MDDP订单，出口US。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</si>
  <si>
    <t>ZB05722-8.17</t>
  </si>
  <si>
    <t>19GH9F9A</t>
  </si>
  <si>
    <t>4500200381-40</t>
  </si>
  <si>
    <t>日期码格式：ZURU INC(BVI) 标准格式                  日期：按实际生产日期
Packaging Info: #15762E: 2pk 15727 固定搭配-15727K + 15727M, MA 5L UPC版本, 产品入window box后再加polybag. 15727原window box上的UPC需要加空白贴纸覆盖。polybag需
印刷warning, polybag size: 35*47*0.005cm. Polybag上需要加产品贴纸显示ASIN, UPC, "Sold as Set do not Separate".。胶袋资料和产品贴纸资料翻EU单4500
158578.
#77876:2PK MA 1L UPC版#77772入PVC桶，3L无UPC客版收缩膜，客版收缩膜和3L铜版纸图稿翻单4500192514.（两个球的配比不能重复）。
Remark: 1. Amazon MDDP订单，出口US。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</si>
  <si>
    <t>ZB06212-8.17</t>
  </si>
  <si>
    <t>1S9UFBAX</t>
  </si>
  <si>
    <t>4500200381-30</t>
  </si>
  <si>
    <t>6BNY8Y8B</t>
  </si>
  <si>
    <t>4500200382-30</t>
  </si>
  <si>
    <t>ZB05855-8.17</t>
  </si>
  <si>
    <t>6VERLLQE</t>
  </si>
  <si>
    <t>4500200382-40</t>
  </si>
  <si>
    <t>SIMBA TOYS VN</t>
  </si>
  <si>
    <t>越南</t>
  </si>
  <si>
    <t>4500195981-40</t>
  </si>
  <si>
    <t>日期码格式：ZURU INC(BVI) 标准格式 日期：按实际生产日期
Packaging Info: MA EAN 3L收缩膜 +1L PDQ,其他包材配件使用1L+1张进口商贴纸,待提供贴纸资料
77772GQ2-待更新为20'的单价
Remark: 
77772GQ2-4 mini vinyls,1 accessory</t>
  </si>
  <si>
    <t>Emma Wu</t>
  </si>
  <si>
    <t>4500195655-50</t>
  </si>
  <si>
    <t>4/14外箱贴纸SSCC Label+防盜贴纸位置图翻单PO#4500193539</t>
  </si>
  <si>
    <t>日期码格式：ZURU INC(BVI) 标准格式 日期：按实际生产日期
Packaging Info: 77772GQ1:MA英语UPC版本包装（收缩膜和说明书, MA首选1L，如无1L可用多语且含英语的配套多语包装) +防盜贴纸(贴纸以及防盜贴纸位置图翻单PO#4500193539)+
两张覆盖PDQ上唱片的贴纸+两张覆盖收藏指南上唱片的贴纸+一张覆盖PDQ上数字"45"的贴纸+一张覆盖收藏指南上数字"45"的贴纸（以上6张贴纸以及贴纸位置图翻单
PO#4500193539)+箱唛+外箱贴纸SSCC Label
配比信息：4 mini vinyls,1 accessory
Removed了 ""Messy &lt;(&gt;&amp;&lt;)&gt; Delicious""两张唱片
77794UQ1:MA英语UPC版本包装（收缩膜和说明书, MA首选1L，如无1L可用多语且含英语的配套多语包装) +1张MA锂电池黑白警语书纸 + 1张防盗贴纸 (贴纸以及位置
图翻单PO#4500193539）+ 箱唛 + 外箱SSCC Label
25282: 全套MA英语UPC包装（首选1L，如果无1L可用多语含英语）+ 箱唛 + 外箱SCC Label，包装材质为PET;
9574: MA英语UPC版本包装（收缩膜和说明书, MA首选1L，如无1L可用多语且含英语的配套多语包装) + 1张防盗贴纸 (贴纸以及位置图翻单PO#4500192690）+ 箱唛
+ 外箱SSCC Label
配比信息：2pcs baby capybara: 3pcs baby capybara= 5:1
77770GQ1:MA英语UPC版本包装（收缩膜和说明书, MA首选1L，如无1L可用多语且含英语的配套多语包装) + 1张防盗贴纸+箱唛 + 外箱SSCC Label
(贴纸以及位置图翻单PO#4500173688）
77711GQ1-S002-INT: MA 3L包装（MA收缩膜和说明书） + 一张UPC条码贴+ 防盗贴纸（两款贴纸以及防盗贴纸位置图翻单PO#4500160026）+ 箱唛 + 外箱贴纸SSCC L
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请注意此订单与NZ PO#4500195654一起合并计算
77772务必赶最晚5/11上午交仓</t>
  </si>
  <si>
    <t>4500198007-70</t>
  </si>
  <si>
    <t>防盜贴纸(贴纸以及防盜贴纸位置图翻单PO#4500193539)+
4/14两张张覆盖PDQ上唱片的贴纸+两张张覆盖收藏指南上唱片的贴纸+一张覆盖PDQ上数字"45"的贴纸+一张覆盖收藏指南上数字"45"的贴纸+箱唛+外箱贴纸SSCC Label</t>
  </si>
  <si>
    <t>日期码格式：ZURU INC(BVI) 标准格式 日期：按实际生产日期
Packaging Info: 
77772GQ1:MA英语UPC版本包装（收缩膜和说明书, MA首选1L，如无1L可用多语且含英语的配套多语包装) +防盜贴纸(贴纸以及防盜贴纸位置图翻单PO#4500193539)+
两张覆盖PDQ上唱片的贴纸+两张覆盖收藏指南上唱片的贴纸+一张覆盖PDQ上数字"45"的贴纸+一张覆盖收藏指南上数字"45"的贴纸（以上6张贴纸以及贴纸位置图翻单
PO#4500193539)+箱唛+外箱贴纸SSCC Label
配比信息：4 mini vinyls,1 accessory
Removed了 ""Messy &lt;(&gt;&amp;&lt;)&gt; Delicious""两张唱片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92147实际上是走LCL散货出柜
77772务必赶最晚5/11上午交仓</t>
  </si>
  <si>
    <t>4500196882-40</t>
  </si>
  <si>
    <t>5/13 外箱条码箱贴纸贴纸</t>
  </si>
  <si>
    <t>日期码格式：ZURU INC(BVI) 标准格式 日期：按实际生产日期
Packaging Info: 1. 77772GQ1：MA英语UPC版本包装（收缩膜和说明书, MA首选1L，如无1L可用多语且含英语的配套多语包装) +
两张覆盖PDQ上唱片的贴纸 + 两张覆盖收藏指南上唱片的贴纸 + 一张覆盖PDQ上数字"45"的贴纸 + 一张覆盖收藏指南上数字"45"的贴纸 + 外箱贴纸SSCC Label
配比信息：4 mini vinyls,1 accessory
其他款：MA说明书+1张说明书纽扣电池警告语贴纸+ 1张收缩膜纽扣电池警告语贴纸 (贴纸翻单PO#4500189146)
Rare: 1/48
Common: Equal ratio
Remark: 1. 客人要求箱唛不可出现任何手写内容，重量与实际一致且不可手写;
2. 此单去澳大利亚，请按相应澳新标准生产;
3. 取消使用TARGET新版封箱胶封顶，外箱全部使用普通透明封箱胶纸(客版胶纸如还有库存，可先消耗库存)；
4. 外箱需要贴Target SSCC LABEL,客供PDF文档，工厂自行订购。请贴在正唛右下角（一箱一张，贴1面正唛右下角,封箱胶纸不能挡住贴纸内容。)；外箱贴纸距离
外箱边缘应在2cm以上。如果正唛无位置可以贴在侧唛；
5. SSCC LABEL要求：贴纸内容，条形码印刷不完整/不清晰或有划痕/缺失，贴纸脏污、破损、条形码折叠、翘起、重复或者丢失，以及封箱胶盖住贴纸任何位置的
，客户都不能接受，如有发现以上异常，须返工重新贴；
6. 外箱材质为ZURU标准；
7. 产品和包装上要有tracking label信息：格式为Zuru标准格式（可以自行调整具体年月日生产日期,避开节假期日）；
8. SSCC Label 尺寸更新为：4x4 inch。</t>
  </si>
  <si>
    <t>THE WAREHOUSE LIMITED</t>
  </si>
  <si>
    <t>4500198032-30</t>
  </si>
  <si>
    <t>覆盖45贴纸</t>
  </si>
  <si>
    <t>日期码格式：ZURU INC(BVI) 标准格式 日期：按实际生产日期
Packaging Info: 􏁬 此客人不接受易掉落或者剥落或者可直接触碰的闪粉，可降解也不行，但可以接受符合欧洲微塑料标准的珠光粉或者闪片。
#77772 MA英语UPC版本包装（收缩膜和说明书, MA首选1L，如无1L可用多语且含英语的配套多语包装) +两张覆盖PDQ上唱片的贴纸+两张覆盖收藏指
南上唱片的贴纸+一张"43"数字贴纸覆盖原PDQ上数字"45"+一张"43"贴纸覆盖原收藏指南上数字"45"+箱唛，去掉"Delicious"和"Messy"专辑。
Remark: #77772：4 mini vinyls,1 accessory
#77794：RECHARGEABLE LITHIUM BATTERY(INCLUDED)</t>
  </si>
  <si>
    <t>Ivy Li</t>
  </si>
  <si>
    <t>THE  WAREHOUSE  LIMITED</t>
  </si>
  <si>
    <t>4500197867-30</t>
  </si>
  <si>
    <t>Ivy  Li</t>
  </si>
  <si>
    <t>4500196506-20</t>
  </si>
  <si>
    <t>5/28第三方验货</t>
  </si>
  <si>
    <t>ZB06237-8.17</t>
  </si>
  <si>
    <t>0983717978</t>
  </si>
  <si>
    <t>4500197368-10</t>
  </si>
  <si>
    <t>6/1第三方验货</t>
  </si>
  <si>
    <t>ZB06302-8.17</t>
  </si>
  <si>
    <t>4500198000-110</t>
  </si>
  <si>
    <t>77772GQ1-S
002-PRODCC1</t>
  </si>
  <si>
    <t>4/29外箱贴纸SSCC Label+防盜贴纸位置图翻单PO#4500193539</t>
  </si>
  <si>
    <t>客制收藏指南（PDQ与收藏指南翻单PO#4500197999）</t>
  </si>
  <si>
    <t>日期码格式：ZURU INC(BVI) 标准格式 日期：按实际生产日期
Packaging Info: 77772GQ1:MA英语UPC版本包装（收缩膜和说明书, MA首选1L，如无1L可用多语且含英语的配套多语包装) +一张防盜贴纸(贴纸以及防盜贴纸位置图翻单PO#450019353
9)+客制PDQ+客制收藏指南（PDQ与收藏指南翻单PO#4500197999）+箱唛+外箱贴纸SSCC Label
配比信息：4 mini vinyls,1 accessory
Removed了 ""Messy &lt;(&gt;&amp;&lt;)&gt; Delicious""两张唱片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此单与AU PO#4500197999一起合并计算</t>
  </si>
  <si>
    <t>4500197999-150</t>
  </si>
  <si>
    <t>日期码格式：ZURU INC(BVI) 标准格式 日期：按实际生产日期
Packaging Info: 77772GQ1:MA英语UPC版本包装（收缩膜和说明书, MA首选1L，如无1L可用多语且含英语的配套多语包装) +一张防盜贴纸(贴纸以及防盜贴纸位置图翻单PO#450019353
9)+客制PDQ+客制收藏指南+箱唛+外箱贴纸SSCC Label
配比信息：4 mini vinyls,1 accessory
Removed了 "Messy &lt;(&gt;&amp;&lt;)&gt; Delicious"两张唱片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此单与NZ PO#4500198000一起合并计算</t>
  </si>
  <si>
    <t>4500196506-10</t>
  </si>
  <si>
    <t>ZB06121-8.17</t>
  </si>
  <si>
    <t>4500194943-10</t>
  </si>
  <si>
    <t>ZB06171-8.17</t>
  </si>
  <si>
    <t>0983717997</t>
  </si>
  <si>
    <t>4500197363-10</t>
  </si>
  <si>
    <t>ZB06167-8.17</t>
  </si>
  <si>
    <t>0983718044</t>
  </si>
  <si>
    <t>4500197370-10</t>
  </si>
  <si>
    <t>ZB06122-8.17</t>
  </si>
  <si>
    <t>4500199929-10</t>
  </si>
  <si>
    <t>MEC426-77772-S001</t>
  </si>
  <si>
    <t>5/15外箱SSCC Label，客制收藏指南翻单KMART PO#4500197999</t>
  </si>
  <si>
    <t>日期码格式：ZURU INC(BVI) 标准格式 日期：按实际生产日期
Packaging Info: MEC426：MA 3L 展示架+2张贴纸覆盖唱片数字“45” (展示架左右各一张) + 外箱SSCC Label
84pcs77772(remove Messy and Delicious vinyl minis) +24pcs 77794; With 1 SET Demo/Endcap
77772: 英文MA UPC版本收缩膜 + 客制球以及客制5L 收藏指南 （去除"Messy" and "Delicious" 2张唱片）, 客制收藏指南翻单KMART PO#4500197999;
Remark: 1. 客人要求箱唛不可出现任何手写内容，重量与实际一致且不可手写;
2. 此单去澳大利亚，请按相应澳新标准生产;
3. 取消使用TARGET新版封箱胶封顶，外箱全部使用普通透明封箱胶纸(客版胶纸如还有库存，可先消耗库存)；
4. 外箱需要贴Target SSCC LABEL,客供PDF文档，工厂自行订购。请贴在正唛右下角（一箱一张，贴1面正唛右下角,封箱胶纸不能挡住贴纸内容。)；外箱贴纸距离
外箱边缘应在2cm以上。如果正唛无位置可以贴在侧唛；
5. SSCC LABEL要求：贴纸内容，条形码印刷不完整/不清晰或有划痕/缺失，贴纸脏污、破损、条形码折叠、翘起、重复或者丢失，以及封箱胶盖住贴纸任何位置的
，客户都不能接受，如有发现以上异常，须返工重新贴；
6. 外箱材质为ZURU标准；
7. 产品和包装上要有tracking label信息：格式为Zuru标准格式（可以自行调整具体年月日生产日期,避开节假期日）；
8. SSCC Label 尺寸更新为：4x4 inch。</t>
  </si>
  <si>
    <t>MEC426-77772-S001-1</t>
  </si>
  <si>
    <t>LOBLAWS INC.</t>
  </si>
  <si>
    <t>4500202070-20</t>
  </si>
  <si>
    <t>手工单转实单</t>
  </si>
  <si>
    <t>UPC贴纸翻单4500193076</t>
  </si>
  <si>
    <t>日期码格式：标准格式 日期：按实际生产日期
Packaging Info: 
77772GQ2  MA 3L EAN版本+UPC贴纸193052090065，UPC贴纸翻单4500193076
Remark: 出加拿大
Zuru验货. 日期跟踪码：产品外包装及产品本身都必须有日期跟踪码，ZURU标准格式日期码</t>
  </si>
  <si>
    <t>katrina</t>
  </si>
  <si>
    <t>ZMPO260516</t>
  </si>
  <si>
    <t>ZMPO260516-10</t>
  </si>
  <si>
    <t>Remark只需要成品30PCS备注： 收到样品订单后尽快安排 ，谢谢！</t>
  </si>
  <si>
    <t>KING JOUET LOGISTIQUE</t>
  </si>
  <si>
    <t>4500199651-20</t>
  </si>
  <si>
    <t>5/27 第三方验货 大货样品2套/item，用于客人验货签板。验货后还会抽办1套/item，请多备料</t>
  </si>
  <si>
    <t>已返</t>
  </si>
  <si>
    <t>4/30进口商贴纸（含法国环保标）+一张产品贴纸</t>
  </si>
  <si>
    <t xml:space="preserve">日期码格式：LOT2622 </t>
  </si>
  <si>
    <t>日期码格式：LOT2622                  日期：
Packaging Info: 
 2. 77772：EAN收缩膜+最新MA 5L收藏指南+最新MA 23L说明书+最新MA 3L PDQ+一张进口商贴纸（含法国环保标）+一张产品贴纸
Remark: 1. 大货样品2套/item，用于客人验货签板。验货后还会抽办1套/item，请多备料；
 2. 客版日期码LOT2622, 包装（含收缩膜等）/产品/外箱 请保持一致。
 3. 全部ITEM都用EAN条码, 全部用Mother EAN;
 4. 包装必须含法国回收logo标识, 最新版ZURU logo；
 5. 出法国的产品需无闪粉/不含微塑料；
 6. 所有出口法国的产品, 法规规定禁止在包装和共公众用的印刷品中使用矿物油中含有的物质, 包装印刷油墨中含有的MOAH/MOSH的质量浓度不能超过1%, 否则出
货到法国被抽检出现问题, 供应商需要对此负责;
 7. 所有带电产品请复核跟单是否有提供客人指定内容的WEEE说明书（非通用29L版本）；如果做了客版说明书，则会将weee说明加进客版说明书中
 8. 此客户需要第三方验货，请在约三方验货前必须PASS ZURU验货。</t>
  </si>
  <si>
    <t>Christine He</t>
  </si>
  <si>
    <t>COSTCO  WHOLESALE  UK  LTD</t>
  </si>
  <si>
    <t>199-9541-092</t>
  </si>
  <si>
    <t>4500197499-10</t>
  </si>
  <si>
    <t>77896SLT-77772-S002</t>
  </si>
  <si>
    <t>5/14 抽办10%</t>
  </si>
  <si>
    <t>2026/4/21
199-9541-092：32箱
195-0005-147 ：4箱</t>
  </si>
  <si>
    <t>日期码格式：ZURU INC(BVI) 标准格式 日期：按实际生产日期
Packaging Info: 客版包装: 客版彩盒+ 客版PDQ +客版收缩膜+客版收藏指南+客版说明书+客版纸袋 等其他内包材
注意订单不能包含此唱片：VINYL-S1-021 Messy-Lola Young ，这也是为什么我们新建了Spec
客户把这个订单分成了两个PO ，按以下分PO：
199-9541-092：3840pcs
195-0005-147 ：480pcs
Remark: 1. 所有日期码印在彩盒上，产品上也需要印日期码. 按实际生产日期，ZURU 标准版格式的日期码。
2. 客版包装: 客版彩盒+ 客版PDQ+客版收缩膜+客版收藏指南+客版说明书+客版纸袋 等其他内包材
3. 纸箱唛头：纸箱四面，印刷2个正面，侧唛不印,按照箱唛模板要求排版。请注意箱唛印刷效果要我们确认后才可印刷大货的。
4. 确保展示架在入外箱的时候一定要正面对着有印刷箱唛的那面,不可以装反。
5. 此单是首单出货数量4320pcs, 2026/5/8安排做10%抽版测试（即做好4个slipsheet 的货），最晚2026/5/27完成100%大货安排第三方验货
6. 大货样板:工厂需预留至少6整套测试样用于抽板+3pcs封样（1pc工厂留底待第三方验货使用+2pc寄深圳办公室，需给客人留底)+ 1pc大货样寄深圳办公室拍照用
7.Costco 会委托 UL对 锂电池电池包做"Lot Code 可追溯性审核". 需要电池供应商,工厂配合提供相关资料和文件(见附件打包文件). 请仔细阅读并要求下游供应
商提供齐所需资料. 注意在UL发出审核要求之后30 天内若资料不全，直接出不合格报告，导致无法出货.
初次审核费USD 400. 如果初次审核文件不齐全,导致fail, UL会直接出fail报告给Costco QA .供应商在客户系统提交CAP 文件, 如果供应商有新文件提供, 需要UL
再次审核, re audit 收取USD 200.所以最好是首次审核全部资料提供齐全, 避免re audit 产生额外费用.
注意: 首单10%货好时需要安排第三方抽板测试,一般需要7-10 working day 做测试, 当天ITS会在大货抽大货样,测试所需样品以及封样(第三方验货时要用).
大货样需由工厂寄到深圳office, 由ZURU跟单再转寄客户.待工厂100%完货之后需安排第三方验货, 一般是在ZURU QC验完货OK之后安排第三方验货.</t>
  </si>
  <si>
    <t>Sherry  Lu</t>
  </si>
  <si>
    <t>77896SLT-S002</t>
  </si>
  <si>
    <t>4500199726-10</t>
  </si>
  <si>
    <t>4/30PDQ底部贴一张带条码+WEEE 30L 不带电池说明书</t>
  </si>
  <si>
    <t>日期码格式：ZURU INC(BVI) 标准格式 日期：按实际生产日期
Packaging Info: 77772GQ2: MA UPC 1L+MA PDQ+WEEE 30L 不带电池说明书，配比：4 mini vinyls(remove Lola Young vinyl),1 accessory；
Remark: 1.订单出英国，请注意检查产品及包装应带CE/ UKCA图标，包装需要显示ZURU UKLTD/ZURU France地址信息，QC同事请查核，如有问题与跟单确认。
2.生产日期按实际的（法定工作日），按ZURU标准格式即可，并需要在出货前提供每个产品外包上对应的生产日期明细
3.请注意所有订单都需要经过ZURU QC验货并且通过后方可出货
4.一个产品的条码请允许有一个，混款并每个款不同条码的需要加条码贴纸覆盖
5.外箱上的条码请确保清晰可扫描，有PDQ，需要在PDQ底部贴一张带条码并可扫描的贴纸(ZURU 跟单提供模板）。
6.所有产品按符合欧洲标准走货，微塑料需合规并增加IFUD声明，含电池的需要增
加WEEE说明书。
7.硼限值要低于300ppm</t>
  </si>
  <si>
    <t>4500200163-20</t>
  </si>
  <si>
    <t>已完成</t>
  </si>
  <si>
    <t>展示架+2张贴纸覆盖唱片数字"45" (展示架左右各一张) + 外箱SSCC Label+客人通用进口商贴纸（贴纸跟位置图翻单PO#4500193524）</t>
  </si>
  <si>
    <t>日期码格式：ZURU INC(BVI) 标准格式 日期：按实际生产日期
Packaging Info: MEC473：客版 3L 展示架+2张贴纸覆盖唱片数字"45" (展示架左右各一张) + 外箱SSCC Label
36pcs77772(remove Messy and Delicious vinyl minis) +12pcs 77794; With 1 SET Demo/Endcap
77772: 英文MA UPC版本收缩膜 + 客制球以及客制5L 收藏指南 （去除"Messy" and "Delicious" 2张唱片）+1张客人通用进口商贴纸（贴纸跟位置图翻单PO#450019
3524）
77794: 英文MA包装UPC版本（首选1L，无1L可选多语）+1张MA的锂电池警语书纸+1张客人通用进口商贴纸（贴纸跟位置图翻单PO#4500193524）+覆盖掉PDQ上的"Deli
cious"唱片的唱片贴纸</t>
  </si>
  <si>
    <t>4500200163-10</t>
  </si>
  <si>
    <t>MEC473-77772-S001</t>
  </si>
  <si>
    <t>4500203119-20</t>
  </si>
  <si>
    <t>日期码格式：ZURU INC(BVI) 标准格式                  日期：按实际生产日期
Packaging Info: 
"77772GQ2: MA PDQ (优先多语)+客版5L收缩膜 (翻PO#4500191961) +客版5L收藏指南(翻PO#4500200925)+MA 23L组装说明书+MA内袋
EAN#4894680051133
*必须移除Messy Lola Young (VINYL-S1-021) 这个唱片, 比例按PM更新的安排, 如未按要求做货被客罚由工厂承担责任*
Remark: Smyths 英国/爱尔兰
 1. 请准时出货，推期会有罚款；
 2. 所有产品按符合欧洲标准走货，需要是不含微塑料版本。
3.包装日期码按ZURU格式即可，请确保不迟于外箱日期码，可等于或者早于外箱日期码，必须为法定工作日，印刷前请先检查外箱日期码。
4.请注意检查产品及包装应带UKCA图标（14+产品除外），包装显示ZURU UK LTD/ZURU France地址信息，QC部门请查核，如有问题与跟单确认
5.电子产品需增加一张C版WEEE声明29L通用黑白说明书(不接受A版本，翻译有误)，区分带电池和不带电池出货版本, 如已做客版说明书可忽略此要求；如包装备注
上缺少此部分信息，请提醒跟单更新备注。
6.订单备注显示有分批的(不同仓库/订单号), 一定要区分客户订单号做货出货，否则会导致罚款  。
7.做货前请先复核包装条码与订单是否一致再安排，对不上的需与ZURU跟单确认再安排。
8.包装必须含法国回收标(Sorting Label)，如没有，请提醒跟单提供贴纸资料。</t>
  </si>
  <si>
    <t>AMAZON EU SARL, NDL DEUTSCHLAND</t>
  </si>
  <si>
    <t>5AKNDX6G</t>
  </si>
  <si>
    <t>4500201277-160</t>
  </si>
  <si>
    <t>77876-S001
-PRODCC</t>
  </si>
  <si>
    <t>空白外箱（加印带Zuru字样的最新logo，除了邮包盒直接做外箱的产品）  + SSCC LABEL一张, 无箱唛，MADE IN CHINA 外箱只印一正一侧。箱唛资料按照给定的
标准去做即可，无需发回我方再行审批(新标准将另行通知)。</t>
  </si>
  <si>
    <t>2张贴纸(1张含DE/IT警告语+IT环保标, 贴彩卡; 1张空白贴纸贴收藏指南, 贴纸都翻单PO4500198642)+不带电30L B版WEEE说明书</t>
  </si>
  <si>
    <t>移除#21唱片，客版3L(3L warning UPC)彩卡(翻单Amazon US PO#4500192506)</t>
  </si>
  <si>
    <t>日期码格式：ZURU INC(BVI) 标准格式 日期：按实际生产日期
Packaging Info: Amazon DE:48F4XT2K
 Amazon ES:8SRTRZLX
 Amazon UK:76R8OF5K/5L2NQ1EM/5AKNDX6G/56V56PGC/1W8YE3KG
 9. 77876:2pk 77772 VINYL into PVC tube,12tubes/ctn; 77772: 移除Lola Young vinyl款; 客版 3L(3L warning 无条码收缩膜,翻单Amazon US PO#4500192506)+
 MA5L A版收藏指南+MA 23L warning A组装黑白说明书+MA其它最新配套包装+客版3L(3L warning UPC)彩卡(翻单Amazon US PO#4500192506)+4张贴纸(1张含DE/IT警
 告语+IT环保标, 贴彩卡, 翻单PO4500198642; 1张数字"44"贴纸覆盖"45"贴彩卡, 翻单4500200368; 1张空白贴纸覆盖"Lola Young vinyl款"贴收藏指南; 1张数字"
 44"贴纸覆盖"45"贴收藏指南)+不带电30L B版WEEE说明书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,&lt;(&gt;,&lt;)&gt; 此要求只适用Amazon UK/DE
 /FR/ES/IT,不适用Amazon GPE，Amazon GPE无SSCC label, 但是有对应箱唛，需印刷到外箱 。
 2.出往UK的产品+包装务必打上UKCA logo ，否则客人会退货且当地会有罚款。Amazon GPE（包含UK/FR/ES/DE/IT）的订单也需满足此要求。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故此请严格把关。Amazon GPE（包含UK/FR/ES/DE/IT）的订单也需满足此要求。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
 9. 无论是工厂自检还是ZURU验货，验货报告中必须有产品6面图(正面/背面/左面/右面/顶部/底部，不带包装);
 10. 按空海运鉴定报告的要求，只要带锂电池出货，都需要加贴UN贴纸；
 11. 所有出往GAS市场(德国/奥地利/瑞士)的电子产品身上需要加字唛，为ZURU FRANCE 地址，需跟包装上的地址一致 (如无电子产品，产品布标有此地址，或产品
 太小无法增加可忽略此信息。如产品无法加字唛，需让对应跟单提供产品贴纸资料);（Amazon GPE的订单也需满足此要求）
 12. 所有出往GAS德国 (瑞士，奥地利)。水弹枪系列必须使用EN71版本（电子和非电子水弹枪系列都需要符合); 护目镜需打日期码, 格式跟ZURU标准格式一样; 枪
 身上增加ZURU FRANCE公司名和地址。使用贴纸和辐射上去都可以。如果有位置，最好增加ZURU Represented by: (此最好翻译德语，如果位置不允许，那么就只增
加ZURU法国和地址)。使用最新的EN71版包装和说明书）。Amazon GPE（包含UK/FR/ES/DE/IT）的订单也需满足此要求。</t>
  </si>
  <si>
    <t>ARGOS LIMITED</t>
  </si>
  <si>
    <t>4500200368-100</t>
  </si>
  <si>
    <t>77876-S001-PRODCC</t>
  </si>
  <si>
    <t>4/13确认</t>
  </si>
  <si>
    <t>WEEE说明书+4/30Cat.label+5/8 提供数字贴纸贴彩卡上覆盖掉数字45</t>
  </si>
  <si>
    <t>日期码格式：ZURU INC(BVI) 标准格式 日期：按实际生产日期
Packaging Info: 
77876:2PK 77772 IN PVC TUBE 里面的77772:1L MA UPC收缩膜+空白贴纸贴收缩膜覆盖UPC条码; 客版指南翻4500200925+ 客版3L(3L warning UPC)A彩卡(参考翻单P
O#4500192506，新UK地址, remove lola young)+CAT LABEL贴彩卡上+1张数字贴纸贴彩卡上覆盖掉数字45
2.注意Cat.label （要求易撕类贴纸，但是粘性不能过低），同时此贴纸每个订单都是不相同的（会显示客户对应的订单号），切勿翻旧订单购买。此贴纸由ZURU提
供贴纸图稿和贴纸位置图给工厂后，工厂自行购买。
3.请先检查条码是否正确再安排做，标签上的目录编号数字高度必须至少为5mm （14.17pt）
Remark: 77876：remove lola young
*包装日期码按ZURU格式即可，请确保不迟于外箱日期码，可等于或者早于外箱日期码，必须为法定工作日。
*外箱尺寸任何一条边长度超过75cm或者每箱重量超过10KG，需要在外箱上加三脚架符号，有问题请与ZURU跟单同事核实。
*主拼工厂需要准备密网安排装柜
*出欧洲电子产品需要加WEEE说明书，区分带电池和不带电池两种版本，不是电子产品可忽略。
*订单必须经过ZURU QC验货并且通过后方可出货。
*订单出英国，请注意检查产品及包装应带UKCA图标，包装显示ZURU UK LTD信息，QC同事请查核，如有问题与跟单确认。
*条码扫描会显示客户7位数产品号而不是客户的订单号码。
*标签上的目录编号数字高度必须至少为5mm （14.17pt）。
*所有产品按符合欧洲标准走货，需要是不含微塑料版本 。
*若任何产品涉及到硼的，请使用低硼版本(没有则忽略此要求)
*客户不接受PVC材质包装。
*外箱不得使用带金属夹子或带扣。
*出欧洲的电子产品需要额外增加WEEE电池说明书，区分带电池走货和不带电池走货两种版本，如果不是电子产品可忽略
*主拼工厂需要提前准备密网用于装柜，装柜拉网请务必按照客人要求固定好，避免货物在运输过程中坍塌，不规范的拉网或者漏掉都会导致客人罚款</t>
  </si>
  <si>
    <t>Lena Huang</t>
  </si>
  <si>
    <t>4500194944-10</t>
  </si>
  <si>
    <t>slbslb</t>
  </si>
  <si>
    <t>ZB06172-8.17</t>
  </si>
  <si>
    <t>H-E-B,  LP</t>
  </si>
  <si>
    <t>60X740359</t>
  </si>
  <si>
    <t>4500197095-50</t>
  </si>
  <si>
    <t>77772GQ1验货时间是5月28日</t>
  </si>
  <si>
    <t>需5月6日前需每款寄出3套大货样板（含PDQ），样板须跟大货一模一样（含日期码）。</t>
  </si>
  <si>
    <t>日期码格式：ZURU INC(BVI) 标准格式 日期：按实际生产日期
Packaging Info: 1. 包材：ZURU MA UPC 版本，出口美国；
Remark: 2. 日期跟踪码：ZURU标准格式日期码，产品包装及产品本身都必须有ZURU标准格式日期码，并且确保两者信息保持一致(请自行调整具体年月日生产期，但不能为
周末）。
PS: 毛绒款产品包装和布标上日期码可以不一致，但需提前提供照片给到我们找客户特批出货.
3. 大货样
#77772GQ1,需5月6日前需每款寄出3套大货样板（含PDQ），样板须跟大货一模一样（含日期码）。
样板一套我们将给到美国HEB，两套寄到以下深圳利丰地址，到时利丰会回签一套用于第三方100%大货验货。
回签的样板工厂需要长期保存好，只要产品没更新每次的第三方验货都是用这套样板做参考不再走客户签样流程。
* 每款一套样板（含PDQ）寄到以下地址
深圳雨禾伟业实业有限公司
地址：广东省深圳市罗湖区东门南路1006号文锦渡口岸大厦B栋7楼
收件人：Elsa
电话：0755 6688 1988 Ext3337
*每款2套样板寄到以下地址（含PDQ，带散件产品，散件需寄齐）：
Li Fung　
深圳市福田区绒花路8号深福保大厦附楼3楼。
收件人： Yoland Dai　电话：+0755 8825 3756
4. 验货+ 抽板 （同一天进行）
除了#77772GQ1验货时间是5月28日，这单上剩下的款验货时间是5月26日第三方（利丰）到工厂做100%大货现场验货和抽板，验货需打印EPM出来跟客户回签样板供
第三方验货参考。
PS:EPM是跟单提供。#92104TQ2 毛绒款在华登厂验货。
抽板：
因这款产品的ZURU测试报告上被客户指定实验室发现产品和产品包装上的日期码不一致，所以这款寄样给实验室的是按照利丰验货员现场针对指定款随机抽板6PCS（
须带包装）。
工厂需把抽板寄到以下MTS 地址做测试，测试通过后才能出货；如产品有油漆的工厂需额外准备5G/色的油漆涂在同材质胶件上(面积类似A4纸大小)一并寄出；
实验室收件地址：
东莞现代产品整理服务有限公司（MTS）
广东省东莞市寮步镇新旧围村良平路76号
收件人：Cherry Wang （汪单）
Tel: +86 769- 8112 0818 ext.893
抽板有随样文件TRF（跟单提供），工厂在寄样时打印出来放纸箱内随样寄走。
5. 出货配比：ZURU 标版配比
6. ZURU QA 验货时需拍齐每款角色的产品和产品包装上的日期码照片（供实验室review）</t>
  </si>
  <si>
    <t>Elsa  Zheng</t>
  </si>
  <si>
    <t>ZB06757-8.17</t>
  </si>
  <si>
    <t>系统下单</t>
  </si>
  <si>
    <t>LEKIA AB</t>
  </si>
  <si>
    <t>瑞典</t>
  </si>
  <si>
    <t>4500200037-30</t>
  </si>
  <si>
    <t>警告语和MADE IN CHINA都翻译成丹麦瑞典芬兰挪威爱沙尼亚语做成一张贴纸贴在包装上(贴纸和位置图翻SOK PO#4500196453)</t>
  </si>
  <si>
    <t>日期码格式：ZURU INC(BVI) 标准格式                  日期：按实际生产日期
Packaging Info: 1. 
 3. 77772GQ2: MA A3L EAN包装+警告语和MADE IN CHINA都翻译成丹麦瑞典芬兰挪威爱沙尼亚语做成一张贴纸贴在包装上(贴纸和位置图翻SOK PO#4500196453)+MA 2
 3L组装说明书+MA 5L收藏指南+MA 3L PDQ
 4. 77772SK1: MA A3L EAN包装+警告语和MADE IN CHINA都翻译成丹麦瑞典芬兰挪威爱沙尼亚语做成一张贴纸贴在包装上(贴纸和位置图翻SOK PO#4500196453)+MA 2
 3L组装说明书+MA 5L收藏指南+MA 3L 展示架
77772GQ2-S002:4894680051133
77772SK1-S002:4894680051133</t>
  </si>
  <si>
    <t>Sheba</t>
  </si>
  <si>
    <t>8F3FMX9H</t>
  </si>
  <si>
    <t>4500200093-10</t>
  </si>
  <si>
    <t>4/30已寄SSCC Label</t>
  </si>
  <si>
    <t>日期码格式：ZURU INC(BVI) 标准格式                  日期：按实际生产日期
Packaging Info: #77876:2PK MA 1L UPC版#77772入PVC桶，3L无UPC客版收缩膜，客版收缩膜和3L铜版纸图稿翻单4500192514.（两个球的配比不能重复）。
Remark: 1. Amazon MDDP订单，出口US。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</si>
  <si>
    <t>ZB05854-8.17</t>
  </si>
  <si>
    <t>233F1J9Z</t>
  </si>
  <si>
    <t>4500200093-20</t>
  </si>
  <si>
    <t>5DKLMI5F</t>
  </si>
  <si>
    <t>4500200069-10</t>
  </si>
  <si>
    <t>日期码格式：ZURU INC(BVI) 标准格式                  日期：按实际生产日期
Packaging Info: #77876:2PK MA 1L UPC版#77772入PVC桶，3L无UPC客版收缩膜，客版收缩膜和3L铜版纸图稿翻单4500192514.（两个球的配比不能重复）。
Remark: 1. Amazon MDDP订单，出口US。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</si>
  <si>
    <t>ZB05853-8.17</t>
  </si>
  <si>
    <t>10001792890-3891</t>
  </si>
  <si>
    <t>4500199086-20</t>
  </si>
  <si>
    <t>4/29SSCC外箱贴纸+锂电池标签纸</t>
  </si>
  <si>
    <t>日期码格式：ZURU INC(BVI) 标准格式 日期：按实际生产日期
Packaging Info: 77772GQ5：产品包装MA 1L 收缩膜+MA 5L 收藏指南+MA 23L 组装说明+客版PDQ；客版PDQ翻单4500189603;
77843GQ2：产品包装 MA 1L 收缩膜+MA 5L收藏指南+MA 23L黑白警告语说明书+MA 1L PDQ
Remark: 77772GQ5：
1.77772GQ5-S001-MINI BRANDS-VINYL-SERIES 1-CAPSULE,WITH DEMO,25PCS/GRAVITY PDQ,25PCS/PDQ/CTN;
2.产品包装MA 1L 收缩膜+MA 5L 收藏指南+MA 23L 组装说明+客版PDQ；客版PDQ翻单4500189603；收缩膜上的UPC显示193052090065;
4 mini vinyls(1 Target US Exclusive),1 accessory;
3. 外箱正唛左上角位置粘贴条码箱贴纸，每箱只贴一张，由ZURU订购。来料贴纸上显示的客户DPCI# 086-02-8931, UPC显示10193052090062;
4. 产品和包装上均要印刷tracking code信息，格式为ZURU常规格式；
5. 需要我司QC验货之后才能安排出货
6. 出货方式： 货代自提</t>
  </si>
  <si>
    <t>ZB06034-8.17</t>
  </si>
  <si>
    <t>SUOMEN  OSUUSKAUPPOJEN  KESKUSKUNTA</t>
  </si>
  <si>
    <t>芬兰</t>
  </si>
  <si>
    <t>4500196453-80</t>
  </si>
  <si>
    <t>4/9警告语和MADE IN CHINA都翻译成丹麦瑞典芬兰挪威爱沙尼亚语贴纸+MA 3L
PDQ+WEEE_不带电池走货 _ 说明书欧洲EN+29L_C版</t>
  </si>
  <si>
    <t>92147+92146TQ1+9574+77843GQ1+77794UQ1+77772GQ1+77858 新款: 请在5/15各提供三套大货样给客人留底</t>
  </si>
  <si>
    <t>日期码格式：ZURU INC(BVI) 标准格式 日期：按实际生产日期
Packaging Info:
8. 77772GQ1: MA A3L EAN包装+警告语和MADE IN CHINA都翻译成丹麦瑞典芬兰挪威爱沙尼亚语做成一张贴纸贴在包装上+MA 23L组装说明书+MA 5L收藏指南+MA 3L
PDQ+WEEE_不带电池走货 _ 说明书欧洲EN+29L_C版
Remark: *. 92147+92146TQ1+9574+77843GQ1+77794UQ1+77772GQ1+77858 新款: 请在5/15各提供三套大货样给客人留底
*. 包装如含PVC,请改为PET并第一时间通知跟单
*. 产品/包装要求无硼无香，出欧洲，微塑料需合规。
*.带电池出货的产品所用到的电池需要符合欧洲电池新规(EU) 2023-1542
*.有胶袋的产品：要求产品的胶袋厚度要大于等于0.05mm
*.关于贴纸，如果贴纸位置图的包装版本与大货不一致，请工厂第一时间提前提出。跟单会重新调整确认是否更新贴纸或调整位置图
*.产品/包装不含PFAS and/or Bisfenol成分, 以及不含石棉成分
*.产品条码如下: 请先检查条码是否正确再安排做货，如有问题请告知
ZURU ITEM#&lt;(&gt;&amp;&lt;)&gt;EAN
77772GQ1-S002:4894680051133</t>
  </si>
  <si>
    <t>4500200037-40</t>
  </si>
  <si>
    <t>77772SK1-S002</t>
  </si>
  <si>
    <t>唱片球30 pcs/SK1/箱（带底座）</t>
  </si>
  <si>
    <t>ZMPO260541</t>
  </si>
  <si>
    <t>ZMPO260541-10</t>
  </si>
  <si>
    <t>77869-77772-S001</t>
  </si>
  <si>
    <t>1pcs唱片机+2pcs球混装彩盒</t>
  </si>
  <si>
    <t>Remark；大货版本/；备注： 收到样品订单后尽快安排 ，注意样板品质质量要求要高于大货品质质量 ，送货时必须要附带送货单(没有送货单和QC检验合格报告的仓库一律拒绝收货)，请知悉，谢谢！</t>
  </si>
  <si>
    <t>77869-S001</t>
  </si>
  <si>
    <t>4500193076-30</t>
  </si>
  <si>
    <t>日期码格式： 标准格式 日期：按实际生产日期
Packaging Info: 
77772GQ2 MA 3L EAN版本+UPC贴纸193052090065
Remark: 出加拿大
有价格贴纸 (Low Tack ,must peel off easily without leaving adhesive residue)
有shipping label (贴4面）
Zuru验货.日期跟踪码：产品外包装及产品本身都必须有日期跟踪码，ZURU标准格式日期码。</t>
  </si>
  <si>
    <t>ZURU ITALY SRL</t>
  </si>
  <si>
    <t>意大利</t>
  </si>
  <si>
    <t>4500199947-20</t>
  </si>
  <si>
    <t>多语警语折叠贴纸（含包装丢失的意法西环保标），翻4500193875</t>
  </si>
  <si>
    <t>外箱/产品/包装尽量保持一致</t>
  </si>
  <si>
    <t>日期码格式：ZURU INC(BVI) 标准格式 日期：按实际生产日期
Packaging Info: 2. 77772GQ1: 最新MA 3L EAN收缩膜+最新MA 5L收藏指南+最新MA 23L说明书+最新MA 3L PDQ+多语警语折叠贴纸（含包装丢失的意法西环保标），翻4500193875
 3. 77772SK1: 最新MA 3L EAN收缩膜+最新MA 5L收藏指南+最新MA 23L说明书+最新MA 3L 展示架+多语警语折叠贴纸（含包装丢失的意法西环保标），翻4500193875
Remark: 1.意大利国家内销单，需要通过ZURU 验货结果后才能出货 (工厂需要主动提前同ZURU QC预约验货避免延期出货造成不必要麻烦)；
 2. 本订单所有 具有 baby items / assorted items 的款式，零售包装上都要用 母 EAN;
 3.所有出口欧洲的产品, 法规规定禁止在包装和共公众用的印刷品中使用矿物油中含有的物质, 包装印刷油墨中含有的MOAH/MOSH的质量浓度不能超过1%, 否则出货
 到意大利被抽检出现问题, 供应商需要对此负责;
 4. Date code: 外箱/产品/包装尽量保持一致，完货后提供date code 信息以便我们保存记录做批次管理；若MA物料因提前备料导致和外箱日期码不一致时，可以接
 受出货
 5.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6. 意大利订单包装彩卡请确保含法规要求的环保回收logo。
 7. 所有带电池的产品请基于带/不带电池出货自行订购 "WEEE说明书欧洲EN+29L-C版"
 8. MTS所有订单，SMASHERS 或含Slime产品，所有化合物使用无硼版本出；如有香味产品，出无香版本; BOB系列要符合欧洲要求不含亚硝酸版本; XShot Hyper系列
 ，统一出EN71版本；Slime Mart统一用EUR版本的包装。
 9. 电池产品请确保使用新说明书以及新标识的电池以符合最新(EU) 2023/1542法规 （增加制造商信息，电池种类，制造商地址，电池重量，化学组成，可用的灭
 火器，浓度重量占比&gt;0.1%的关键原材料，二维码），如果电池不含这些信息，也需要确保电池说明书含这些信息。</t>
  </si>
  <si>
    <t>THEFARMERS'TRADINGCOMPANYLIMITE</t>
  </si>
  <si>
    <t>4500201073-20</t>
  </si>
  <si>
    <t>4/24可移动材质的价格贴纸（价格贴纸要切易撕线）+澳新指定说明书</t>
  </si>
  <si>
    <t>日期码格式：ZURU INC(BVI) 标准格式 日期：按实际生产日期 Tracking Code:
Packaging Info: 77794UQ1：客版PDQ（翻单PO#4500197867）+MA英语UPC版本包装（收缩膜和说明书, MA首选1L，如无1L可用多语且含英语的配套多语包装) +(带客人新logo）可移动
材质的价格贴纸（价格贴纸要切易撕线）+1张MA锂电池黑白警语书纸 + 箱唛
 77772GQ1：MA英语UPC版本包装（收缩膜和说明书, MA首选1L，如无1L可用多语且含英语的配套多语包装) +(带客人新logo）可移动材质的价格贴纸（价格贴纸要切
易撕线）+客版PDQ（PDQ翻单PO#4500197999）+客制B版收藏指南（收藏指南翻单PO#4500202802的77869的子件77772 + 箱唛
 配比信息：4 mini vinyls,1 accessory
 Removed了 ""Messy &lt;(&gt;&lt;&lt;)&gt;(&gt;&lt;(&gt;&amp;&lt;)&gt;&lt;(&gt;&lt;&lt;)&gt;)&gt; Delicious""两张唱片
Remark: 1.此单出新西兰
 2.CRD日期基于我司 QC完成验货;
 3.请确保发货100%的订单数量/ sku;
 4.箱唛请按邮件确认的文档
 5.我司验货日期(请联系Mia Yu Mia.yu@zuru.com提前预定验货日期)，预约验货至少需在完货日期前一周申请</t>
  </si>
  <si>
    <t>JessHuang</t>
  </si>
  <si>
    <t>4500199947-30</t>
  </si>
  <si>
    <t>77772SK1-S002-MTS</t>
  </si>
  <si>
    <t>多语警语折叠贴纸（翻单4500193875）+ C版 29L WEEE不带电走货说明书</t>
  </si>
  <si>
    <t>4500194945-10</t>
  </si>
  <si>
    <t>ZB06180-8.17</t>
  </si>
  <si>
    <t>4500194948-10</t>
  </si>
  <si>
    <t>ZB06179-8.17</t>
  </si>
  <si>
    <t>HARVEY WHOLESALE LTD</t>
  </si>
  <si>
    <t>4500193278-40</t>
  </si>
  <si>
    <t>3/12 确认</t>
  </si>
  <si>
    <t>日期码格式：ZURU INC(BVI) 标准格式 日期：按实际生产日期
Packaging Info: 􏁬 MA UPC 英语包装（优先1L英语版本，或者3L/5L含英语都可）</t>
  </si>
  <si>
    <t>4500194947-10</t>
  </si>
  <si>
    <t>ZB06178-8.17</t>
  </si>
  <si>
    <t>4500194953-10</t>
  </si>
  <si>
    <t>ZB06177-8.17</t>
  </si>
  <si>
    <t>4500194954-10</t>
  </si>
  <si>
    <t>ZB06176-8.17</t>
  </si>
  <si>
    <t>4500194957-10</t>
  </si>
  <si>
    <t>ZB06174-8.17</t>
  </si>
  <si>
    <t>4500194951-10</t>
  </si>
  <si>
    <t>7/15 SI</t>
  </si>
  <si>
    <t>ZB06925-8.17</t>
  </si>
  <si>
    <t>4500194956-10</t>
  </si>
  <si>
    <t>7/3 SI</t>
  </si>
  <si>
    <t>ZB06697(REV1)-8.17</t>
  </si>
  <si>
    <t>COSTCO DE MEXICO S.A. DE C.V.</t>
  </si>
  <si>
    <t>4500198838-10</t>
  </si>
  <si>
    <t>6/3 第三方抽办10% 6/15第三方验货
此单需要监柜，工厂需要额外准备1套备品。</t>
  </si>
  <si>
    <t>返工出货</t>
  </si>
  <si>
    <t>5/22墨西哥进口商贴纸</t>
  </si>
  <si>
    <t>大货样板:工厂需预留至少6整套测试样用于抽板+1pcs实验室封样工厂留底待第三方验货使用</t>
  </si>
  <si>
    <t>日期码格式：ZURU INC(BVI) 标准格式                  日期：按实际生产日期
Packaging Info: 客版彩盒+客版收缩膜+客版说明书（墨西哥版本）+客版收藏指南+客版纸袋+客版PDQ+客版组装说明书
+保证书+墨西哥进口商贴纸，产品和包装都需要加一张墨西哥进口商贴纸所有客版包装物料都必须是多语（含西班牙语）
Remark: S001-MINI BRANDS-VINYL-SERIES 1-1PK PLAYSET AND 3PK CAPSULES-COMBO IN COLOR BOX,120PCS/DISPLAY/SLIP SHEET
1.产品/包装上都需要印日期码，按实际生产日期，ZURU 标准版格式的日期码
2.纸箱唛头：纸箱四面，印刷2个正面，侧唛不印, 按照箱唛模板要求排版。外箱上要贴一张锂电池标签贴纸。
3.确保展示架在入外箱的时候一定要正面对着有印刷箱唛的那面,不可以装反。
4.此单是首单出货数量4320pcs, 最晚 2026/5/13安排做10%抽版测试(工厂需要完成最少5座数量,即 600PCS);最晚 2026/05/29完成100%大货安排第三方验货
5.大货样板:工厂需预留至少6整套测试样用于抽板+1pcs实验室封样工厂留底待第三方验货使用
6.此单需要监柜，工厂需要额外准备1套备品。
7.3PK 77772 + 77794 PLAYSET COMBO IN COLOR BOX
   (W3* D6 + W12 *D1 ) *H4=120 PCS
     77772: 4  mini vinyls,1 accessory
     77794: RECHARGEABLE LITHIUM BATTERY(INCLUDED)</t>
  </si>
  <si>
    <t>4500198839-10</t>
  </si>
  <si>
    <t>4.此单是首单出货数量4320pcs, 最晚 2026/5/13安排做10%抽版测试(工厂需要完成最少5座数量,即 600PCS);最晚 2026/05/29完成100%大货安排第三方验货
大货样板:工厂需预留至少6整套测试样用于抽板+1pcs实验室封样工厂留底待第三方验货使用
 6. 此单需要监柜，工厂需要额外准备1套备品。</t>
  </si>
  <si>
    <t>日期码格式：ZURU INC(BVI) 标准格式                  日期：按实际生产日期
Packaging Info: 客版彩盒+客版收缩膜+客版说明书（墨西哥版本）+客版收藏指南+客版纸袋+客版PDQ+客版组装说明书
+保证书+墨西哥进口商贴纸，产品和包装都需要加一张墨西哥进口商贴纸所有客版包装物料都必须是多语（含西班牙语）
Remark: S001-MINI BRANDS-VINYL-SERIES 1-1PK PLAYSET AND 3PK CAPSULES-COMBO IN COLOR BOX,120PCS/DISPLAY/SLIP SHEET
1.产品/包装上都需要印日期码，按实际生产日期，ZURU 标准版格式的日期码
 2. 纸箱唛头：纸箱四面，印刷2个正面，侧唛不印, 按照箱唛模板要求排版。外箱上要贴一张锂电池标签贴纸。
 3. 确保展示架在入外箱的时候一定要正面对着有印刷箱唛的那面,不可以装反。
 5. 大货样板:工厂需预留至少6整套测试样用于抽板+1pcs实验室封样工厂留底待第三方验货使用
 6. 此单需要监柜，工厂需要额外准备1套备品。
7.3PK 77772 + 77794 PLAYSET COMBO IN COLOR BOX
   (W3* D6 + W12 *D1 ) *H4=120 PCS
     77772: 4  mini vinyls,1 accessory
     77794: RECHARGEABLE LITHIUM BATTERY(INCLUDED)</t>
  </si>
  <si>
    <t>TESCO CE</t>
  </si>
  <si>
    <t>斯洛伐克</t>
  </si>
  <si>
    <t>999-77501</t>
  </si>
  <si>
    <t>4500202163-20</t>
  </si>
  <si>
    <t>唱片球26pcs/2PDQ/箱</t>
  </si>
  <si>
    <t>5/8已订四国警告语贴纸</t>
  </si>
  <si>
    <t>日期码格式：ZURU INC(BVI) 标准格式                  日期：按实际生产日期
Packaging Info: "77869: 客版彩卡含UPC条码193052101938 &lt;(&gt;&amp;&lt;)&gt; 含有四国警告语贴纸Czech-Hugarian-Polish-Slova
77772：MA 最新1L收缩膜+1张空白贴纸覆盖原条码
77794：  MA 最新1L UPC包装
2PK 77772 + 77794 PLAYSET COMBO IN COLOR BOX
77772: 4  mini vinyls,1 accessory
77794: RECHARGEABLE LITHIUM BATTERY(INCLUDED)
"77772GQ1：  MA 最新1L收缩膜+1张四国警告语贴纸Czech-Hugarian-Polish-Slovak)，MA 1L PDQ+MA最新23L组装说明书+MA最新5L收藏指南+MA内袋
UPC#193052090065，请先检查包装条码是否正确再安排做货；"
"77794UQ1：  MA 最新1L UPC包装+1张四国警告语贴纸Czech-Hugarian-Polish-Slovak)，MA 1L PDQ+MA最新23L Game &lt;(&gt;&amp;&lt;)&gt; warning说明书+MA最新23L锂电池说明
书+WEEE带电池走货欧洲29语通用黑白说明书
UPC#193052090409，请先检查包装条码是否正确再安排做货；"
Remark: 1.此单出欧洲国家，需满足EU测试标准，微塑料需满足EU法规要求；
2.产品及包装需要印CE &lt;(&gt;&amp;&lt;)&gt; UKCA图标，包装需要有ZURU UK LTD/ZURU France地址信息，QC同事请核查，如有问题与跟单确认；
3.裝櫃必須按TPND順序(TPND的号码由大到小或由小到大) (條形碼貼紙或正嘜必須要朝外向車門外)；
4. 外箱上有条码要求，排版时请留意并请确保条码清晰可扫描（封箱胶不要黏到条码上), 否则客人会有罚款；
5.如含硼的话，  需用低硼版本(小于300ppm),硼含量需要符合欧洲标准,否则客人会退货有罚款产生;
6.标准配比；
7.货物不能用打包带缠绕外箱，否则会影响目的港派送及可能产生额外的拆打包带费用
8.请多备料，需安排2套大货样寄到深圳办公室</t>
  </si>
  <si>
    <t>MaryZhong</t>
  </si>
  <si>
    <t>未转实单</t>
  </si>
  <si>
    <t>MINIBRANDS 手工单</t>
  </si>
  <si>
    <t>已转实单</t>
  </si>
  <si>
    <t>Date code format：ZURU Standard format Date：Manufactory Date
MA UPC 英语包装（优先1L英语版本，或者3L/5L含英语都可）
Remark:.此客人不接受易掉落或者剥落或者可直接触碰的闪粉，可降解也不行，但可以接受符合欧洲微塑料标准的珠光粉或者闪片#77794：RECHARGEABLE LITHIUM BATTERY(INCLUDED)#77772:4 mini vinyls,1 accessory</t>
  </si>
  <si>
    <t>REWE - ZENTRAL GMBH</t>
  </si>
  <si>
    <t>4500200071-20</t>
  </si>
  <si>
    <t>6/2 第三方验货</t>
  </si>
  <si>
    <t>4/29德语警告语贴纸+WEEE带电池走货欧洲29L语D版通用黑白说明书</t>
  </si>
  <si>
    <t>日期码格式：ZURU INC(BVI) 标准格式 日期：按实际生产日期
Packaging Info: 
MEC473: 客版展示架
77772: MA A版3L 包装+德语警告语贴纸+MA 23L组装说明书+MA 5L收藏指南+MA纸袋+WEEE带电池走货欧洲29L语D版通用黑白说明书
Remark: 1, 本订单交期2026年05月28号，请在05月28号内完成ZURU验货，第三方验货预计在05月29号；
2, 标准配比，
15760 EAN条码4894680049031; 外箱条码: 10193052087871，包装/产品/外箱三处，都要打客人的日期码:9540120242026 ；
MEC473：77772 EAN条码4894680051133; 77794 EAN条码4894680051430，外箱条码: tbc，包装/产品/外箱三处，都要打客人的日期码: 9429502242026 ；
3, 客人不接受任何包装包含PVC材质，如果有请更改为PET；
4, 此单走德国，所有物料需满足ZURU 标准的测试要求；
5, 所有出往GAS市场(德国/奥地利/瑞士)订单，化学品需无堋无香版本；
6, 出口欧洲，微塑料需符合法规；
7, 所有出往GAS市场(德国/奥地利/瑞士)的电子产品身上需要加字唛，为ZURU FRANCE 地址 (如无电子产品，产品布标有此地址，或产品太小无法增加可忽略此信息
。如产品无法加字唛，需让对应跟单提供产品贴纸资料) ZURU France 33 rue Paul Meurice 75020 Paris, France；
8, 所有电子产品需增加一张欧洲通用WEEE声明说明书，区分带电池和不带电池版本, 如已做客版说明书可忽略此要求；
9, 客人要求3套大货样，出货前两周提供
10, 客人要求纸箱的底部和顶部加保护卡（需印环保logo），以免被产品被割破；
11, 封箱胶纸用50mm宽OPP透明封箱胶纸，工字形封箱；
12, 客人第三方验货，要求大货完成100%后验尾期；
13, 需提供装柜图片。
14.外箱需要加贴圆形彩色贴纸供客户区分</t>
  </si>
  <si>
    <t>Winnie zhong</t>
  </si>
  <si>
    <t xml:space="preserve">MEC473-77772-S001-3L
</t>
  </si>
  <si>
    <t>SAINSBURY'S SUPERMARKET LTD</t>
  </si>
  <si>
    <t>4500199725-10</t>
  </si>
  <si>
    <t>日期码格式：ZURU INC(BVI) 标准格式 日期：按实际生产日期
Packaging Info: 77772GQ1: MA UPC 1L+MA PDQ+WEEE 30L 不带电池说明书，配比：4 mini vinyls(remove Lola Young vinyl),1 accessory；
Remark: *胶带最少宽度要保证6.0CM,厚度最少0.05毫米,外箱不可以打钉/扎带；以工字型封箱；
*如果重量超过5KGS，箱唛需加黄色警示图标志 ，有疑问请与ZURU跟单同事联系,十分重要！
*订单出英国，请注意检查产品及包装应带UKCA图标，包装需要显示ZURU UK LTD/ZURU France地址信息，QC同事请查核，如有问题与跟单确认。
*生产日期按实际的（法定工作日），按ZURU标准格式即可 ，但是请知悉包装日期码需要早于或者等于外箱日期码 ，不能晚于外箱日期码
*请注意所有订单都需要经过ZURU QC验货并且通过后方可出货
*产品条码以订单显示为准 ，请安排生产前先核对再生产。
*外箱上的条码请确保清晰可扫描 ，左上角的条码格式是UPC-A格式，下面14位数的条码格式是ITF-14格式，否则到目的仓无法扫描入仓由工厂承担责任 。
*所有产品按符合欧洲标准走货，微塑料需合规 。
*涉及到硼的，需要符合欧洲标准
*客户不接受PVC材质</t>
  </si>
  <si>
    <t>PT. STAKOM TRIJAYA ANDALA</t>
  </si>
  <si>
    <t>印度尼西亚</t>
  </si>
  <si>
    <t>4500200184-40</t>
  </si>
  <si>
    <t>5/8NI label</t>
  </si>
  <si>
    <t>日期码格式：ZURU INC(BVI) 标准格式                  日期：按实际生产日期
Packaging Info: 1.MA UPC(优先1L) package+SNI label;贴纸资料待提供;
2.此单是交SZ 普通仓库跟客人其他货一起拼柜,无散货进仓费,是按照整柜的本地费收费标准;
PO先开出厂价,发票请按照出厂价开,如有问题,请在出发票前同我沟通以防后续修改事项;
3.可能会需样板做测试, 也有可能有第三方验货,请等我们进一步通知;
4.玩具订单一般都是第三方视频验货,实际不会有第三方的人到厂验货; 需按照客人要求提供2轮照片;
第一轮是产品包装/纸箱/堆码等情况下的照片;
第二轮是VO number打印出来,站在货物前的照片;待提供VO number,靠近货期才有;
照片标准可参考此客人前期出货的订单,做完货请帮忙同步提供照片;
Remark: 77843GQ1-Ratio: PIZZA: HAMBURGER: PANCAKES: BUBBLE TEA:  Matcha TEA: TACO: SUSHI: DONUT: Charcuterie Board: RAINBOW CAKE(Rare)=10.88%: 10.88%: 1
0.88%: 10.88%: 10.88%: 10.88%: 10.88%: 10.88%: 10.88%: 2.08%=68:68:68:68:68:68:68:68:68:13
77772GQ1-4  mini vinyls,1 accessory</t>
  </si>
  <si>
    <t>4500198149-30</t>
  </si>
  <si>
    <t>5/11外箱贴纸SSCC Label+防盜贴纸位置图翻单PO#4500193539</t>
  </si>
  <si>
    <t>日期码格式：ZURU INC(BVI) 标准格式 日期：按实际生产日期
Packaging Info: 77772GQ1:MA英语UPC版本包装（收缩膜和说明书, MA首选1L，如无1L可用多语且含英语的配套多语包装) +一张防盜贴纸(贴纸以及防盜贴纸位置图翻单PO#450019353
9)+客制PDQ+客制收藏指南（PDQ与收藏指南翻单PO#4500197999）+箱唛+外箱贴纸SSCC Label
配比信息：4 mini vinyls,1 accessory
Removed了 ""Messy &lt;(&gt;&amp;&lt;)&gt; Delicious""两张唱片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此单与AU PO#4500198146一起合并计算</t>
  </si>
  <si>
    <t>4500198146-30</t>
  </si>
  <si>
    <t>日期码格式：ZURU INC(BVI) 标准格式 日期：按实际生产日期
Packaging Info: 77772GQ1:MA英语UPC版本包装（收缩膜和说明书, MA首选1L，如无1L可用多语且含英语的配套多语包装) +一张防盜贴纸(贴纸以及防盜贴纸位置图翻单PO#450019353
9)+客制PDQ+客制收藏指南（PDQ与收藏指南翻单PO#4500197999）+箱唛+外箱贴纸SSCC Label
配比信息：4 mini vinyls,1 accessory
Removed了 "Messy &lt;(&gt;&amp;&lt;)&gt; Delicious"两张唱片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此单与NZ PO#4500198149一起合并计算</t>
  </si>
  <si>
    <t>4500199607-110</t>
  </si>
  <si>
    <t>日期码格式：ZURU INC(BVI) 标准格式                  日期：按实际生产日期
Packaging Info: 1. 包装方式：MA UPC 优先1L 最新包装，出口美国
Remark: 2. 外箱箱唛红色和黑色双色印刷
 3. 产品和包装上印刷tracking code信息，格式为ZURU常规</t>
  </si>
  <si>
    <t>ZB06169-8.17</t>
  </si>
  <si>
    <t>ZURU DENMARK APS</t>
  </si>
  <si>
    <t>丹麦</t>
  </si>
  <si>
    <t>4500202623-40</t>
  </si>
  <si>
    <t>唱片球50pcs/2PDQ/箱</t>
  </si>
  <si>
    <t>日期码格式：ZURU INC(BVI) 标准格式 日期：按实际生产日期
Packaging Info: 
77772SK1：MA 3L EAN 收缩膜+1*多语警语折叠贴纸（翻单4500193875）+MA 23L 组装说明书+MA 5L+23L 收藏指南+MA 纸卡+MA 复合袋+MA 3L SK+1* C版 29L WEE
E不带电走货说明书
77772GQ2：MA 3L EAN 收缩膜+1*多语警语折叠贴纸（翻单4500193875）+MA 23L 组装说明书+MA 5L+23L 收藏指南+MA 纸卡+MA 复合袋+MA 3L PDQ+1* C版 29L WE
EE不带电走货说明书
77772GQ1：MA 3L EAN 收缩膜+1*多语警语折叠贴纸（翻单4500193875）+MA 23L 组装说明书+MA 5L+23L 收藏指南+MA 纸卡+MA 复合袋+MA 3L PDQ+1* C版 29L WE
EE不带电走货说明书
Remark: 1.北欧内销单，需要通过ZURU 验货结果后才能出货 (工厂需要主动提前同ZURU QC预约验货避免延期出货造成不必要麻烦)；
2. 产品如含有化学品，需要无硼无香，
3.包装不能含有PVC，使用PET
4. date code: 外箱日期码要等于或者晚于产品日期码
5.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6.若有特定款有特殊外箱条码要求时,需要明确列出产品款对应的具体外箱条码号码/条码类型 (若无,可以忽略此需求)
7.所有出口欧洲的产品, 法规规定禁止在包装和共公众用的印刷品中使用矿物油中含有的物质, 包装印刷油墨中含有的MOAH/MOSH的质量浓度不能超过1%, 否则出货
到法国被抽检出现问题, 供应商需要对此负责;
8.带电池出货的产品所用到的电池需要符合欧洲电池新规(EU) 2023-1542，并需要加1张WEEE 电池说明书
9.ratio 同MA
10.所有电子产品身上需要加字唛(与包装上的法国地址一致），为ZURU FRANCE 地址 (如无电子产品，或者产品布标有此地址，可忽略此信息)
ZURU FRANCE 33 rue Paul Meurice 75020 Paris, France.；
11.包装上需要有ZURU DANMARK 地址：
Zuru Denmark ApS
Oslo Plads 2, 2100 K benhavn , Denmark</t>
  </si>
  <si>
    <t>Faye Lei,Amy Xiao</t>
  </si>
  <si>
    <t>4500202623-50</t>
  </si>
  <si>
    <t>日期码格式：ZURU INC(BVI) 标准格式 日期：按实际生产日期
Packaging Info: 92147：MA 3L EAN 收缩膜+1*多语警语折叠贴纸+MA 5L+19L 收藏指南+MA 5L+19L 说明书+北欧3L（NO+SE+FI）黑白说明书+MA 吊牌+MA 布标+MA 贴纸+MA 5L+13L
铝箔袋+北欧4L 警贴纸
92146TQ1：MA 3L EAN 收缩膜+1*多语警语折叠贴纸+MA 5L+19L 说明书+北欧3L（NO+SE+FI）黑白说明书+MA 布标+MA 贴纸+MA 5L+13L 铝箔袋+北欧4L 警贴纸+MA 最
新版 PDQ
77772SK1：MA 3L EAN 收缩膜+1*多语警语折叠贴纸（翻单4500193875）+MA 23L 组装说明书+MA 5L+23L 收藏指南+MA 纸卡+MA 复合袋+MA 3L SK+1* C版 29L WEE
E不带电走货说明书
77772GQ2：MA 3L EAN 收缩膜+1*多语警语折叠贴纸（翻单4500193875）+MA 23L 组装说明书+MA 5L+23L 收藏指南+MA 纸卡+MA 复合袋+MA 3L PDQ+1* C版 29L WE
EE不带电走货说明书
77772GQ1：MA 3L EAN 收缩膜+1*多语警语折叠贴纸（翻单4500193875）+MA 23L 组装说明书+MA 5L+23L 收藏指南+MA 纸卡+MA 复合袋+MA 3L PDQ+1* C版 29L WE
EE不带电走货说明书
Remark: 1.北欧内销单，需要通过ZURU 验货结果后才能出货 (工厂需要主动提前同ZURU QC预约验货避免延期出货造成不必要麻烦)；
2. 产品如含有化学品，需要无硼无香，
3.包装不能含有PVC，使用PET
4. date code: 外箱日期码要等于或者晚于产品日期码
5.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6.若有特定款有特殊外箱条码要求时,需要明确列出产品款对应的具体外箱条码号码/条码类型 (若无,可以忽略此需求)
7.所有出口欧洲的产品, 法规规定禁止在包装和共公众用的印刷品中使用矿物油中含有的物质, 包装印刷油墨中含有的MOAH/MOSH的质量浓度不能超过1%, 否则出货
到法国被抽检出现问题, 供应商需要对此负责;
8.带电池出货的产品所用到的电池需要符合欧洲电池新规(EU) 2023-1542，并需要加1张WEEE 电池说明书
9.ratio 同MA
10.所有电子产品身上需要加字唛(与包装上的法国地址一致），为ZURU FRANCE 地址 (如无电子产品，或者产品布标有此地址，可忽略此信息)
ZURU FRANCE 33 rue Paul Meurice 75020 Paris, France.；
11.包装上需要有ZURU DANMARK 地址：
Zuru Denmark ApS
Oslo Plads 2, 2100 K benhavn , Denmark</t>
  </si>
  <si>
    <t>4500202623-30</t>
  </si>
  <si>
    <t>日期码格式：ZURU INC(BVI) 标准格式 日期：按实际生产日期
Packaging Info:
77772SK1：MA 3L EAN 收缩膜+1*多语警语折叠贴纸（翻单4500193875）+MA 23L 组装说明书+MA 5L+23L 收藏指南+MA 纸卡+MA 复合袋+MA 3L SK+1* C版 29L WEE
E不带电走货说明书
77772GQ2：MA 3L EAN 收缩膜+1*多语警语折叠贴纸（翻单4500193875）+MA 23L 组装说明书+MA 5L+23L 收藏指南+MA 纸卡+MA 复合袋+MA 3L PDQ+1* C版 29L WE
EE不带电走货说明书
77772GQ1：MA 3L EAN 收缩膜+1*多语警语折叠贴纸（翻单4500193875）+MA 23L 组装说明书+MA 5L+23L 收藏指南+MA 纸卡+MA 复合袋+MA 3L PDQ+1* C版 29L WE
EE不带电走货说明书
Remark: 1.北欧内销单，需要通过ZURU 验货结果后才能出货 (工厂需要主动提前同ZURU QC预约验货避免延期出货造成不必要麻烦)；
2. 产品如含有化学品，需要无硼无香，
3.包装不能含有PVC，使用PET
4. date code: 外箱日期码要等于或者晚于产品日期码
5.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6.若有特定款有特殊外箱条码要求时,需要明确列出产品款对应的具体外箱条码号码/条码类型 (若无,可以忽略此需求)
7.所有出口欧洲的产品, 法规规定禁止在包装和共公众用的印刷品中使用矿物油中含有的物质, 包装印刷油墨中含有的MOAH/MOSH的质量浓度不能超过1%, 否则出货
到法国被抽检出现问题, 供应商需要对此负责;
8.带电池出货的产品所用到的电池需要符合欧洲电池新规(EU) 2023-1542，并需要加1张WEEE 电池说明书
9.ratio 同MA
10.所有电子产品身上需要加字唛(与包装上的法国地址一致），为ZURU FRANCE 地址 (如无电子产品，或者产品布标有此地址，可忽略此信息)
ZURU FRANCE 33 rue Paul Meurice 75020 Paris, France.；
11.包装上需要有ZURU DANMARK 地址：
Zuru Denmark ApS
Oslo Plads 2, 2100 K benhavn , Denmark</t>
  </si>
  <si>
    <t>ZMPO260640</t>
  </si>
  <si>
    <t>ZMPO260640-20</t>
  </si>
  <si>
    <r>
      <rPr>
        <sz val="12"/>
        <rFont val="宋体"/>
        <charset val="134"/>
      </rPr>
      <t>Remark：要3L版本的</t>
    </r>
    <r>
      <rPr>
        <sz val="12"/>
        <color rgb="FF000000"/>
        <rFont val="宋体"/>
        <charset val="134"/>
      </rPr>
      <t xml:space="preserve">
备注： 收到样品订单后尽快安排 ，谢谢！</t>
    </r>
  </si>
  <si>
    <t>77772-S001-3L</t>
  </si>
  <si>
    <t>ZMPO260639</t>
  </si>
  <si>
    <t>ZMPO260639-10</t>
  </si>
  <si>
    <r>
      <rPr>
        <sz val="12"/>
        <rFont val="宋体"/>
        <charset val="134"/>
      </rPr>
      <t>Remark：5个成品球/指定成品球里面 其中两个CD 是左如图</t>
    </r>
    <r>
      <rPr>
        <sz val="12"/>
        <color rgb="FF000000"/>
        <rFont val="宋体"/>
        <charset val="134"/>
      </rPr>
      <t xml:space="preserve">  ，其它两个随机。
备注： 收到样品订单后尽快安排 ，谢谢！</t>
    </r>
  </si>
  <si>
    <t>ZMPO260639-20</t>
  </si>
  <si>
    <r>
      <rPr>
        <sz val="12"/>
        <rFont val="宋体"/>
        <charset val="134"/>
      </rPr>
      <t>Remark：5个成品球/指定球里面 其中一个CD 是如左图</t>
    </r>
    <r>
      <rPr>
        <sz val="12"/>
        <color rgb="FF000000"/>
        <rFont val="宋体"/>
        <charset val="134"/>
      </rPr>
      <t xml:space="preserve">  ，其它三个随机
备注： 收到样品订单后尽快安排 ，谢谢！</t>
    </r>
  </si>
  <si>
    <t>6PWB1WSF</t>
  </si>
  <si>
    <t>4500198654-960</t>
  </si>
  <si>
    <t>5/4SSCC Label+1张贴纸(含DE/IT警告语+IT环保标, 参考翻单PO#4500198642);</t>
  </si>
  <si>
    <t>日期码格式：ZURU INC(BVI) 标准格式 日期：按实际生产日期
Packaging Info: Amazon UK: 84PMB3SP/2T63S6YQ/1VIWGF4U/2LB2CO1Z/24HNO6WX/1P7MWFCV/1BXYOHCF/8G4Y2JEE/6PWB1WSF/5W6QNENA
Amazon DE: 3EUA8O1Q
Amazon UK(157114A/157124/157140/157142/157143/15780A/15788ABDEH/77876/77878/92146AEH/92147AD)/DE(157124/157143/92146A)
8. 77876: 2pk 77772 VINYL into PVC tube,12tubes/ctn; 77772: 移除Lola Young vinyl款; 客版 3L(3L warning 无条码)收缩膜（翻单PO4500198642)+客版收藏
 指南(移除Lola Young vinyl款)+MA 23L warning A组装黑白说明书+MA其它最新配套包装+客版3L(3L warning UPC)彩卡(新UK地址)+1张贴纸(1张含DE/IT警告语+IT
 环保标, 贴彩卡, 贴纸翻单PO4500198642)+不带电30L B版WEEE说明书;
12.验货时间不迟于2026/6/5.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,&lt;(&gt;,&lt;)&gt; 此要求只适用Amazon UK/DE
/FR/ES/IT,不适用Amazon GPE，Amazon GPE无SSCC label, 但是有对应箱唛，需印刷到外箱 。
2.出往UK的产品+包装务必打上UKCA logo ，否则客人会退货且当地会有罚款。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
9. 无论是工厂自检还是ZURU验货，验货报告中必须有产品6面图(正面/背面/左面/右面/顶部/底部，不带包装);
10. 按空海运鉴定报告的要求，只要带锂电池出货，都需要加贴UN贴纸；
11. 所有出往GAS市场(德国/奥地利/瑞士)的电子产品身上需要加字唛，为ZURU FRANCE 地址，需跟包装上的地址一致 (如无电子产品，产品布标有此地址，或产品
太小无法增加可忽略此信息。如产品无法加字唛，需让对应跟单提供产品贴纸资料);
12. 所有出往GAS德国 (瑞士，奥地利)。水弹枪系列必须使用EN71版本（电子和非电子水弹枪系列都需要符合); 护目镜需打日期码, 格式跟ZURU标准格式一样; 枪
身上增加ZURU FRANCE公司名和地址。使用贴纸和辐射上去都可以。如果有位置，最好增加ZURU Represented by: (此最好翻译德语，如果位置不允许，那么就只增
加ZURU法国和地址)。使用最新的EN71版包装和说明书）。</t>
  </si>
  <si>
    <t>5W6QNENA</t>
  </si>
  <si>
    <t>4500198654-970</t>
  </si>
  <si>
    <t>4500202338-30</t>
  </si>
  <si>
    <t>由4500202342/4500204887/数量挪至4500202338</t>
  </si>
  <si>
    <t>日期码格式：ZURU INC(BVI) 标准格式 日期：按实际生产日期
Packaging Info: #92146
客版PDQ(2装)+MA3L收缩膜+UPC贴纸（193052100375)+MA5L收藏指南+MA复合袋+MA贴纸+MA2L布标
翻单：4500195369
Cat:Raccoon:Deer:Tiger:Pigeon:Owl=1:1:1:1:1:1
#77772---留意剔除有问题的唱片
客版3LPDQ(16装)+MA3L收缩膜+UPC贴纸(UPC:193052118721)+MA5L收藏指南+MA23L拼装说明书+MA5L复合袋+DEMO纸卡
翻单：4500213633
Remark: 1. 此单有箱唛;
2. UPC贴纸：必须在原来错误的条码上用黑色粗头笔涂黑直至不能扫描，再贴上正确的UPC;
3. 此单有第三方验货，烦请多备包装物料；
4. #77794带锂电池出货，使用英法双语电池，外箱需在正唛空白位置贴一张UN3481锂电池标识贴纸；
5.此单#77772与4500213633置换产能
*********************
a. 请确保产品符合1999年版本的加拿大环境保护法(CEPA)和2012年禁止某些有毒物质法规的要求。该产品不含任何在加拿大禁用的化学物质，包括但不限于有毒物
质清单中列出的化学物质，并且在为加拿大沃尔玛生产产品期间没有使用任何禁用化学物质。
Supplier certify that the products comply with the requirements of Canadian Environmental Protection Act, 1999 (CEPA), Prohibition of Certain To
xic Substances Regulations, 2012.
The products do not contain any chemicals that are banned in Canada, including but not limited to those listed in the Toxic Substances List and
no banned chemicals were used during the manufacturing of product for Walmart Canada.
附件列表：
(1) Letter of Guarantee for Canada banned chemicals - (1-5CA)
b. 请确保产品在均质材料中的汞浓度不超过0.1%（按重量计）。
Supplier certify that the WAL-MART vendor products does not have a mercury concentration of more than 0.1% by weight in homogeneous material.
附件列表：
(1) Letter of Guarantee for Mercury COC
c. 请确保产品的塑料材料不含以下物质（SOR 2011-17 27B):
Supplier certify that the plastic materials do not contain the following substances(SOR 2011-17 27B):
(a) carbon tetrachloride or any substance that contains it;
(b) methyl alcohol or any substance thay contains &gt;1.0%;
(c) petroleum distillates or any substance that contains &gt;10% weight to volume of petroleum distillates;
(d) benzene;
(e) turpentine or any substance that contains &gt;10% weight to volume of turpentine;
(f) boric acid or salts of boric acid; or (g) ethyl ether.
附件列表：
(1) Letter of Guarantee for WM CA-Other prohibited substances in plastic(less than 3 years)</t>
  </si>
  <si>
    <t>4500201883-10</t>
  </si>
  <si>
    <t>多语警语折叠贴纸（翻单4500193875）+C版WEEE不带电通用说明书</t>
  </si>
  <si>
    <t>所有出往德国的电子产品身上需要加字唛，为ZURU FRANCE 地址，需跟包装上的地址一致 (如无电子产品，产品布标有此地址，或产品太小无法增加可忽略此信
息。如产品无法加字唛，需让对应跟单提供产品贴纸资料)
新地址：ZURU France 33 rue Paul Meurice 75020 Paris, France</t>
  </si>
  <si>
    <t>日期码格式：ZURU INC(BVI) 标准格式 日期：按实际生产日期
Packaging Info: 77772GQ1: MA 3L PDQ+MA 3L EAN收缩膜+1*多语警语折叠贴纸（翻单4500193875）+C版WEEE不带电通用说明书
Remark: 1.德国内销单，需要通过ZURU 验货结果后才能出货 (工厂需要主动提前同ZURU QC预约验货避免延期出货造成不必要麻烦)；
2.产品如含有化学品（slime 等），需要无硼无香。需要无微塑料版本。
3.所有出口欧洲的产品, 法规规定禁止在包装和共公众用的印刷品中使用矿物油中含有的物质, 包装印刷油墨中含有的MOAH/MOSH的质量浓度不能超过1%, 否则出货
到法国被抽检出现问题, 供应商需要对此负责;
4. date code: 外箱日期码要晚于或等于产品日期码，不能早于产品的日期码；
5. 所有出往德国的电子产品身上需要加字唛，为ZURU FRANCE 地址，需跟包装上的地址一致 (如无电子产品，产品布标有此地址，或产品太小无法增加可忽略此信
息。如产品无法加字唛，需让对应跟单提供产品贴纸资料)
新地址：ZURU France 33 rue Paul Meurice 75020 Paris, France
旧地址：ZURU France 1/3, Rue d'Argenteuil 95210 SAINT-GRATIEN, FRANCE
6.所有出往德国订单的电子产品需增加一张最新版本的欧洲通用WEEE声明说明书，区分带电池和不带电池版本, 如已做客版说明书可忽略此要求。
7.装柜时需要按照款式号码从小到大一款款依次装,避免终端仓库卸货混乱.若一个柜子涉及到几个不同国家内销单,装柜时需要一个国家装完后再装另一个国家的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8.ratio 同MA
9. 若有特定款有特殊外箱条码要求时,需要明确列出产品款对应的具体外箱条码号码/条码类型 (若无,可以忽略此需求).</t>
  </si>
  <si>
    <t>Amy xiao/Niki chen</t>
  </si>
  <si>
    <t>NORWEGIAN TOY IMPORT AS - DOM</t>
  </si>
  <si>
    <t>4500202457-230</t>
  </si>
  <si>
    <t>5/13进口商贴纸+WEEE 30L 不带电池说明书</t>
  </si>
  <si>
    <t>日期码格式：ZURU INC(BVI) 标准格式 日期：按实际生产日期
Packaging Info: 
77772:MA 3L EAN+进口商贴纸+MA说明书+MA 其他包装+MA PDQ+WEEE 30L 不带电池说明书
77772:MA 3L EAN+进口商贴纸+MA说明书+MA 其他包装+MA 展示架+WEEE 30L 不带电池说明书
Remark: 产品和包装要求无硼无香，包装不能含有PVC;
如有微塑料，必须合规欧洲标准，闪粉也是微塑料的一种，目前仅接受三张方式1.去除，2.用可降解材料，和3.永久封印在固体。
带电池出货的产品,电池需要符合欧洲电池新规(EU) 2023-1542.
配比：
77772GQ1-S002:4 mini vinyls,1 accessory
77772SK1-S002:4 mini vinyls,1 accessory</t>
  </si>
  <si>
    <t>4500202457-240</t>
  </si>
  <si>
    <t>5391QI7Z</t>
  </si>
  <si>
    <t>4500200069-20</t>
  </si>
  <si>
    <t>5/27SSCC Label</t>
  </si>
  <si>
    <t>ZB06267-8.17</t>
  </si>
  <si>
    <t>3WETW8HT</t>
  </si>
  <si>
    <t>4500200060-10</t>
  </si>
  <si>
    <t>ZB06213-8.17</t>
  </si>
  <si>
    <t>COSTCO  WHOLESALE  CORPORATION</t>
  </si>
  <si>
    <t>4500201181-10</t>
  </si>
  <si>
    <t>日期码格式：ZURU INC(BVI) 标准格式                  日期：按实际生产日期
Remark: 77896SLT:S001-MINI BRANDS-VINYLS-SERIES 1-1PK PLAYSET AND 3PK CAPSULES-COMBO IN COLOR BOX,120PCS/DISPLAY/SLIP SHEET
1. 所有日期码印在彩盒上，产品上也需要印日期码. 按实际生产日期，ZURU 标准版格式的日期码。
 2. 客版包装: 客版彩盒+ 客版PDQ+客版收缩膜+客版收藏指南+客版说明书+客版纸袋 等其他内包材
 3. 纸箱唛头：纸箱四面，正唛和背面两面都需印刷，其他2面侧面留空,按照箱唛要求排版。
 4. 确保展示架在入外箱的时候一定要正面对着有印刷箱唛的那面,不可以装反。</t>
  </si>
  <si>
    <t>ZB06181-8.17</t>
  </si>
  <si>
    <t>4500201182-10</t>
  </si>
  <si>
    <t>ZB07021-8.17</t>
  </si>
  <si>
    <t>4500202216-30</t>
  </si>
  <si>
    <t>6/10 第三方验货</t>
  </si>
  <si>
    <t>返工单</t>
  </si>
  <si>
    <t>进口商贴纸（含法国环保标）+一张产品贴纸，都翻4500199651</t>
  </si>
  <si>
    <t>客版日期码LOT2623, 包装（含收缩膜等）/产品/外箱 请保持一致。</t>
  </si>
  <si>
    <t>日期码格式：LOT2623                  日期：
Packaging Info: 
3.77772：最新MA 3L EAN收缩膜+最新MA 5L收藏指南+最新MA 23L说明书+最新MA 3L PDQ+一张进口商贴纸（含法国环保标）+一张产品贴纸，都翻4500199651
Remark: 1. 验货后会抽办1套/item，请多备料；
 2. 客版日期码LOT2623, 包装（含收缩膜等）/产品/外箱 请保持一致。
 3. 全部ITEM都用EAN条码, 全部用Mother EAN;
 4. 包装必须含法国回收logo标识, 最新版ZURU logo；
5. 出法国的产品需无闪粉/不含微塑料；
 6. 所有出口法国的产品, 法规规定禁止在包装和共公众用的印刷品中使用矿物油中含有的物质, 包装印刷油墨中含有的MOAH/MOSH的质量浓度不能超过1%, 否则出
货到法国被抽检出现问题, 供应商需要对此负责;
 7. 所有带电产品请复核跟单是否有提供客人指定内容的WEEE说明书（非通用29L版本）；如果做了客版说明书，则会将weee说明加进客版说明书中
 8. 此客户需要第三方验货，请在约三方验货前必须PASS ZURU验货。</t>
  </si>
  <si>
    <t>4500199646-40</t>
  </si>
  <si>
    <t>4/30 一张EAN条码贴纸+一张进口商贴纸（含法国环保标）+一张产品贴纸+最新MA 5L收藏指南+最新MA 23L说明书+一张weeee说明书纸</t>
  </si>
  <si>
    <t>客版日期码LOT2622, 包装（含收缩膜等）/产品/外箱 请保持一致;77869的日期码为LOT2623</t>
  </si>
  <si>
    <t>大货样品2套/item，用于客人验货签板。验货后还会抽办1套/item，请多备料；</t>
  </si>
  <si>
    <t>日期码格式：LOT2622 日期：
Packaging Info: 4. 77869: 客版3L彩盒+一张进口商贴纸（含法国环保标）+一张产品贴纸+最新MA 5L收藏指南+最新MA 23L说明书+一张weeee说明书纸
 77772：最新MA 3L EAN收缩膜+一张空白贴纸（覆盖条码）
 77794：最新MA 3L EAN包装+一张空白贴纸（覆盖条码）+最新MA 23L 62115警语说明书
Remark: 1. 大货样品2套/item，用于客人验货签板。验货后还会抽办1套/item，请多备料；
 2. 客版日期码LOT2622, 包装（含收缩膜等）/产品/外箱 请保持一致;77869的日期码为LOT2623
 3. 全部ITEM都用EAN条码, 全部用Mother EAN;
 4. 包装必须含法国回收logo标识, 最新版ZURU logo；
 5. 出法国的产品需无闪粉/不含微塑料；
 6. 所有出口法国的产品, 法规规定禁止在包装和共公众用的印刷品中使用矿物油中含有的物质, 包装印刷油墨中含有的MOAH/MOSH的质量浓度不能超过1%, 否则出
 货到法国被抽检出现问题, 供应商需要对此负责;
 7. 所有带电产品请复核跟单是否有提供客人指定内容的WEEE说明书（非通用29L版本）；如果做了客版说明书，则会将weee说明加进客版说明书中
 8. 此客户需要第三方验货，请在约三方验货前必须PASS ZURU验货。</t>
  </si>
  <si>
    <t>77869-S001-3L</t>
  </si>
  <si>
    <t>4500194421-40</t>
  </si>
  <si>
    <t>剩余数量要求在2026/6/8全部完成。</t>
  </si>
  <si>
    <t>ZB06239-8.17</t>
  </si>
  <si>
    <t>4500194421-60</t>
  </si>
  <si>
    <t>4500194421-80</t>
  </si>
  <si>
    <t>4500194421-90</t>
  </si>
  <si>
    <t>4500194421-110</t>
  </si>
  <si>
    <t>4500194421-130</t>
  </si>
  <si>
    <t>4500194421-150</t>
  </si>
  <si>
    <t>4500194421-190</t>
  </si>
  <si>
    <t>4500194421-210</t>
  </si>
  <si>
    <t>4500194421-230</t>
  </si>
  <si>
    <t>4500194421-250</t>
  </si>
  <si>
    <t>SMYTHSTOYSEUHQUNLIMITEDCOMPANY</t>
  </si>
  <si>
    <t>4500201090-110</t>
  </si>
  <si>
    <t>日期码格式：ZURUINC(BVI)标准格式日期：按实际生产日期
PackagingInfo:
"77772GQ2:MAPDQ(优先多语)+客版5L收缩膜(翻PO#4500191961)+客版5L收藏指南(翻PO#4500200925)+MA23L组装说明书+MA内袋
EAN#4894680051133
*必须移除MessyLolaYoung(VINYL-S1-021)这个唱片,比例按PM更新的安排,如未按要求做货被客罚由工厂承担责任*
Remark:Smyths法国
1.请准时出货，推期会有罚款；
2.所有产品按符合欧洲标准走货，需要是不含微塑料版本。
3.电子产品需增加一张C版WEEE声明29L通用黑白说明书(不接受A版本，翻译有误)，区分带电池和不带电池出货版本,如已做客版说明书可忽略此要求；如包装备注
上缺少此部分信息，请提醒跟单更新备注。
4.出口法国的产品,法规规定禁止在包装和共公众用的印刷品中使用矿物油中含有的物质,包装印刷油墨中含有的MOAH/MOSH的质量浓度不能超过0.1%,否则出货
到法国被抽检出现问题,供应商需要对此负责;
5.订单备注显示有分批的(不同仓库/订单号),一定要区分客户订单号做货出货，否则会导致罚款。
6.包装日期码按ZURU格式即可，请确保不迟于外箱日期码，可等于或者早于外箱日期码，必须为法定工作日。
7.做货前请先复核包装条码与订单是否一致再安排，对不上的需与ZURU跟单确认再安排。
8.包装必须含法国回收标(SortingLabel)，如没有，请提醒跟单提供贴纸资料。</t>
  </si>
  <si>
    <t>SherryLu</t>
  </si>
  <si>
    <t>4500194421-270</t>
  </si>
  <si>
    <t>SMYTHS  TOYS  EU  HQ  UC</t>
  </si>
  <si>
    <t>4500209826-20</t>
  </si>
  <si>
    <t>由4500200925转单;此票是从PO#4500200925上拆出来的数量，请留意不要重复安排做货</t>
  </si>
  <si>
    <t>4/29 翻单4500200925</t>
  </si>
  <si>
    <t>日期码格式： ZURU INC(BVI) 标准格式 日期：按实际生产日期
Packaging Info: ***空运，此票是从PO#4500200925上拆出来的(扣减4500209829空运出货后的剩余数量)，请工厂留意更新记录，切勿重复安排做货***
***此票客人的空运PO号是4400579150，箱唛按照之前已印刷的4400555639出货，不安排外箱返工***
77772GQ2: MA PDQ (优先多语)+客版5L收缩膜 (翻PO#4500191961) +客版5L收藏指南(翻PO#4500200925-移除Messy唱片)+MA 23L组装说明书+MA内袋
EAN#4894680051133
*必须移除Messy Lola Young (VINYL-S1-021) 这个唱片, 比例按PM更新的安排, 如未按要求做货被客罚由工厂承担责任*
Remark: Smyths 德国
1. 请准时出货，推期会有罚款；
2. 所有产品按符合欧洲标准走货，需要是不含微塑料版本。
3. 所有电子产品身上需要加字唛，为ZURU FRANCE 地址 (如无电子产品，产品布标有此地址，或产品太小无法增加可忽略此信息)，新地址ZURU FRANCE.33 rue Pa
ul Meurice 75020 Paris, France.
4. 包装/说明书(如有)/产品(如有)上的法国地址信息必须保持一致，不可出现包装上是新地址，说明书上是旧地址；如地址信息不一致请通知跟单更新文件；
5. 电子产品需增加一张WEEE声明29L通用黑白说明书，区分带电池(D版)和不带电池(C版)出货版本, 如已做带WEEE声明的客版说明书可忽略此要求；如包装备注上
缺少此部分信息，请提醒跟单更新备注。
6.所有出往德国市场有关slime和带香味的都需要出无硼无香版本；
7.订单备注显示有分批的(不同仓库/订单号), 一定要区分客户订单号做货出货，否则会导致罚款 。8.包装日期码按ZURU格式即可，请确保不迟于外箱日期码，可等于或者早于外箱日期码，必须为法定工作日。
9.做货前请先复核包装条码与订单是否一致再安排，对不上的需与ZURU跟单确认再安排。
10.包装必须含法国回收标(Sorting Label)，如没有，请提醒跟单提供贴纸资料。</t>
  </si>
  <si>
    <t>Mary  Qu</t>
  </si>
  <si>
    <t>4500209829-10</t>
  </si>
  <si>
    <t>由4500200925转单;此票是从PO#4500200925上拆出来走空运的，请留意不要重复安排做货</t>
  </si>
  <si>
    <t>6/8 空运</t>
  </si>
  <si>
    <t>日期码格式：ZURU INC(BVI) 标准格式 日期：按实际生产日期
Packaging Info: ***空运，此票是从PO#4500200925上拆出来走空运的，请工厂留意更新记录，切勿重复安排做货；箱唛已印照出，不安排外箱返工***
77772GQ2: MA PDQ (优先多语)+客版5L收缩膜 (翻PO#4500191961) +客版5L收藏指南(翻PO#4500200925-移除Messy唱片)+MA 23L组装说明书+MA内袋
EAN#4894680051133
*必须移除Messy Lola Young (VINYL-S1-021) 这个唱片, 比例按PM更新的安排, 如未按要求做货被客罚由工厂承担责任*
Remark: Smyths 德国
1. 请准时出货，推期会有罚款；
2. 所有产品按符合欧洲标准走货，需要是不含微塑料版本。
3. 所有电子产品身上需要加字唛，为ZURU FRANCE 地址 (如无电子产品，产品布标有此地址，或产品太小无法增加可忽略此信息)，新地址ZURU FRANCE.33 rue Pa
ul Meurice 75020 Paris, France.
4. 包装/说明书(如有)/产品(如有)上的法国地址信息必须保持一致，不可出现包装上是新地址，说明书上是旧地址；如地址信息不一致请通知跟单更新文件；
5. 电子产品需增加一张WEEE声明29L通用黑白说明书，区分带电池(D版)和不带电池(C版)出货版本, 如已做带WEEE声明的客版说明书可忽略此要求；如包装备注上
缺少此部分信息，请提醒跟单更新备注。
6.所有出往德国市场有关slime和带香味的都需要出无硼无香版本；
7.订单备注显示有分批的(不同仓库/订单号), 一定要区分客户订单号做货出货，否则会导致罚款 。
8.包装日期码按ZURU格式即可，请确保不迟于外箱日期码，可等于或者早于外箱日期码，必须为法定工作日。
9.做货前请先复核包装条码与订单是否一致再安排，对不上的需与ZURU跟单确认再安排。
10.包装必须含法国回收标(Sorting Label)，如没有，请提醒跟单提供贴纸资料。</t>
  </si>
  <si>
    <t>4500201090-120</t>
  </si>
  <si>
    <t>199-9541-098</t>
  </si>
  <si>
    <t>4500197500-10</t>
  </si>
  <si>
    <t>4/21
199-9541-098：34箱
195-0005-148 ：2箱</t>
  </si>
  <si>
    <t>日期码格式：ZURU INC(BVI) 标准格式 日期：按实际生产日期
Packaging Info: 客版包装: 客版彩盒+ 客版PDQ +客版收缩膜+客版收藏指南+客版说明书+客版纸袋 等其他内包材
注意订单不能包含此唱片：VINYL-S1-021 Messy-Lola Young ，这也是为什么我们新建了Spec
客户把这个订单分成了两个PO ，按以下分PO：
199-9541-098：4080pcs
195-0005-148 ：240pcs
Remark: 1. 所有日期码印在彩盒上，产品上也需要印日期码. 按实际生产日期，ZURU 标准版格式的日期码。
2. 客版包装: 客版彩盒+ 客版PDQ+客版收缩膜+客版收藏指南+客版说明书+客版纸袋 等其他内包材
3. 纸箱唛头：纸箱四面，正唛和背面两面都需印刷，其他2面侧面留空,按照箱唛要求排版。
4. 确保展示架在入外箱的时候一定要正面对着有印刷箱唛的那面,不可以装反。</t>
  </si>
  <si>
    <t>4500200925-50</t>
  </si>
  <si>
    <t>4/20 确认</t>
  </si>
  <si>
    <t>日期码格式：ZURU INC(BVI) 标准格式 日期：按实际生产日期
Packaging Info: "
77772GQ2: MA PDQ (优先多语)+客版5L收缩膜 (翻PO#4500191961) +客版5L收藏指南(本单新放稿-移除Messy唱片)+MA 23L组装说明书+MA内袋
EAN#4894680051133
*必须移除Messy Lola Young (VINYL-S1-021) 这个唱片, 比例按PM更新的安排, 如未按要求做货被客罚由工厂承担责任*
Remark: Smyths 德国
 1. 请准时出货，推期会有罚款；
 2. 所有产品按符合欧洲标准走货，需要是不含微塑料版本。
 3. 所有电子产品身上需要加字唛，为ZURU FRANCE 地址 (如无电子产品，产品布标有此地址，或产品太小无法增加可忽略此信息)，新地址ZURU FRANCE.33 rue Pa
 ul Meurice 75020 Paris, France.
 4. 包装/说明书(如有)/产品(如有)上的法国地址信息必须保持一致，不可出现包装上是新地址，说明书上是旧地址；如地址信息不一致请通知跟单更新文件；
 5. 电子产品需增加一张C版WEEE声明29L通用黑白说明书(不接受A版本，翻译有误)，区分带电池和不带电池出货版本, 如已做客版说明书可忽略此要求；如包装备注
上缺少此部分信息，请提醒跟单更新备注。
6.所有出往德国市场有关slime和带香味的都需要出无硼无香版本；
7.订单备注显示有分批的(不同仓库/订单号), 一定要区分客户订单号做货出货，否则会导致罚款  。
8.包装日期码按ZURU格式即可，请确保不迟于外箱日期码，可等于或者早于外箱日期码，必须为法定工作日。
9.做货前请先复核包装条码与订单是否一致再安排，对不上的需与ZURU跟单确认再安排。
10.包装必须含法国回收标(Sorting Label)，如没有，请提醒跟单提供贴纸资料。</t>
  </si>
  <si>
    <t>UNFI WHOLESALE INC</t>
  </si>
  <si>
    <t>R256541
96111826</t>
  </si>
  <si>
    <t>4500198397-10</t>
  </si>
  <si>
    <t>日期码格式：ZURU INC(BVI) 标准格式 日期：按实际生产日期
Packaging Info: 优先ZURU MA 1L包装，显示ZURU UPC条码，出口美国
Remark: 1、无第三方测试和验货；Zuru QC 验货即可出货；
2、如果产品含塑胶袋，厚度小于1/1000 inch（0.0254 毫米），需印警告语</t>
  </si>
  <si>
    <t>R25654291176483</t>
  </si>
  <si>
    <t>4500202661-20</t>
  </si>
  <si>
    <t>日期码格式：ZURU INC(BVI) 标准格式                  日期：按实际生产日期
Packaging Info: 优先ZURU MA 1L包装，显示ZURU UPC条码，出口美国
Remark: 1、无第三方测试和验货；Zuru QC 验货即可出货；
 2、如果产品含塑胶袋，厚度小于1/1000 inch（0.0254 毫米），需印警告语</t>
  </si>
  <si>
    <t>ZB06613-8.17</t>
  </si>
  <si>
    <t>R25654343377912</t>
  </si>
  <si>
    <t>4500202682-20</t>
  </si>
  <si>
    <t>ZB06908-8.17</t>
  </si>
  <si>
    <t>4500202163-10</t>
  </si>
  <si>
    <t>5-8四国警告语贴纸+空白贴纸覆盖原条码</t>
  </si>
  <si>
    <t>4500203556-20</t>
  </si>
  <si>
    <t>多语警语折叠贴纸（翻单4500193875）+C版 29L WEEE不带电走货说明书</t>
  </si>
  <si>
    <t>日期码格式：ZURU INC(BVI) 标准格式                  日期：按实际生产日期
Packaging Info: 
77772GQ1：MA 3L EAN 收缩膜+1*多语警语折叠贴纸（翻单4500193875）+MA 23L 组装说明书+MA 5L+23L 收藏指南+MA 纸卡+MA 复合袋+MA 3L PDQ+1* C版 29L WE
EE不带电走货说明书
Remark: 1.北欧内销单，需要通过ZURU 验货结果后才能出货 (工厂需要主动提前同ZURU QC预约验货避免延期出货造成不必要麻烦)；
 2. 产品如含有化学品，需要无硼无香，
 3.包装不能含有PVC，使用PET
 4. date code: 外箱日期码要等于或者晚于产品日期码
 5.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6.若有特定款有特殊外箱条码要求时,需要明确列出产品款对应的具体外箱条码号码/条码类型 (若无,可以忽略此需求)
7.所有出口欧洲的产品, 法规规定禁止在包装和共公众用的印刷品中使用矿物油中含有的物质, 包装印刷油墨中含有的MOAH/MOSH的质量浓度不能超过1%, 否则出货
到法国被抽检出现问题, 供应商需要对此负责;
8.带电池出货的产品所用到的电池需要符合欧洲电池新规(EU) 2023-1542，并需要加1张WEEE 电池说明书
9.ratio 同MA
10.所有电子产品身上需要加字唛(与包装上的法国地址一致），为ZURU FRANCE 地址 (如无电子产品，或者产品布标有此地址，可忽略此信息)
ZURU FRANCE   33 rue Paul Meurice 75020 Paris, France.；
11.包装上需要有ZURU DANMARK 地址：
Zuru Denmark ApS
Oslo Plads 2, 2100 K benhavn  , Denmark</t>
  </si>
  <si>
    <t>ZMPO260652</t>
  </si>
  <si>
    <t>ZMPO260652-10</t>
  </si>
  <si>
    <t>30套散件</t>
  </si>
  <si>
    <t>Remark：只要77772的唱片散件，不要话筒，奖杯，音响，耳机，唱片夹等其他配件/同款唱片装一个袋子备注： 收到样品订单后尽快安排 ，谢谢！</t>
  </si>
  <si>
    <t>4500201184-10</t>
  </si>
  <si>
    <t>ZB07022-8.17</t>
  </si>
  <si>
    <t>4500201185-10</t>
  </si>
  <si>
    <t>7/4 SI</t>
  </si>
  <si>
    <t>ZB06698(REV1)-8.17</t>
  </si>
  <si>
    <t>0983717682</t>
  </si>
  <si>
    <t>4500202751-60</t>
  </si>
  <si>
    <t>77772GQ3-SLB-S001</t>
  </si>
  <si>
    <t>船期6/15截</t>
  </si>
  <si>
    <t>5/7 寄出RFID贴纸，贴纸由ZURU提供，贴纸位置请严格按照我们签回的签板；</t>
  </si>
  <si>
    <t>日期码格式：ZURU DGYYMMDD CHINA(日期避开周末和法定节假日即可）                   日期：按实际生产日期
Packaging Info: 77772SLB-S001/77794SLB-S001
1.包装要求：
77772：MA 1L A版收缩膜+MA 5L A版收藏指南+MA 23L A版说明书+MA A版纸袋+客版1L PDQ，翻单：4500195546
77794：MA 1L B版callout纸卡+MA 23L 玩法说明书+MA 23L 警告语说明书+MA 1L A版 PDQ
每pcs产品上要贴1张RFID贴纸，贴纸由ZURU提供，贴纸位置请严格按照我们签回的签板；
Remark: 77772SLB-S001/77794SLB-S001
1.包装要求：
77772：MA 1L A版收缩膜+MA 5L A版收藏指南+MA 23L A版说明书+MA A版纸袋+客版1L PDQ，翻单：4500195546
77794：MA 1L B版callout纸卡+MA 23L 玩法说明书+MA 23L 警告语说明书+MA 1L A版 PDQ
每pcs产品上要贴1张RFID贴纸，贴纸由ZURU提供，贴纸位置请严格按照我们签回的签板；
 2. 外箱印刷带条码的RFID箱唛：RFID紫色色带+WM Dept.图标+RFID图标+ITF-14条码，四面右下角印刷ZURU logo, ITFF条码只印刷在正唛一面，在加印的时候确保
条形码能扫描出来，外箱侧面任一角落加印："MADE IN CHINA" 字样，77772箱唛翻单：4500195546，77794箱唛翻单：4500196335
 3. 在产品上和包装上要有日期码、以及要有MADE IN CHINA和ZURU字样；
 4. 产品如有扎带口要剪平，不能刮手。
 5. 此单需要抽板和验货，请多备料，预计抽板时间4/23
 6. 此单以Slip sheet出货，
 77772：960pcs/60CTNS/Slip sheet
 77794：512pcs/64CTN/Slip sheet</t>
  </si>
  <si>
    <t>ZB06353-8.17</t>
  </si>
  <si>
    <t>AMBIENTAL PARAGUAY</t>
  </si>
  <si>
    <t>巴拉圭</t>
  </si>
  <si>
    <t>4500199984-110</t>
  </si>
  <si>
    <t>4/27 确认</t>
  </si>
  <si>
    <t>4/27进口商贴纸+UPC贴纸</t>
  </si>
  <si>
    <t>日期码格式：ZURU INC(BVI) 标准格式                  日期：按实际生产日期
Packaging Info: 
其余item:MA 多语包装+进口商贴纸+UPC贴纸+箱唛</t>
  </si>
  <si>
    <t>77772GQ1-S001-3L</t>
  </si>
  <si>
    <t>MID-STATES DISTRIBUTING, LLC</t>
  </si>
  <si>
    <t>1736153-99</t>
  </si>
  <si>
    <t>4500201308-680</t>
  </si>
  <si>
    <t>日期码格式：ZURU INC(BVI) 标准格式                  日期：按实际生产日期
Packaging Info: 1.使用 MA UPC版本包装，优先1L，出口美国。
157117UQ1：8 Assortment=1:1:1:1:1:1:1:1.
15758SLD：4 Assortments; even ratio.
15783UQ1：7 Assortments; Rare assortment 1/24, others even ratio.
15787：4 Assortments; Even ratio.
15789UQ1：7 Assortments; Rare assortment 1/24, others even ratio.
25257：Duck:Crocodile:Fish=4:4:4.
7153：Mix #7149（2asst)+#7150（2asst).
7154：Mix #7149（8asst)+#7150（4asst).
92119：7 Assortment, Polar bear: Penguin: Walrus: Mammoth: Owl: Seal: Snow man=10:10:10:10:10:8:2. Snow man is the rare item.
92146TQ2：6 Assortment, Cat:Raccoon:Deer:Tiger:Pigeon:Owl=1:1:1:1:1:1.
92147：6 Assortment,Black Cat:Owl:Axolotl:Unicorn:Bat:Bunny=1:1:1:1:1:1.
Remark: 1.产品和包装上印刷tracking code信息，格式为ZURU常规。
2.ZURU QC验货</t>
  </si>
  <si>
    <t>Cara Li</t>
  </si>
  <si>
    <t>ZB06756-8.17</t>
  </si>
  <si>
    <t>1885213-99</t>
  </si>
  <si>
    <t>4500201308-690</t>
  </si>
  <si>
    <t>4500201308-700</t>
  </si>
  <si>
    <t>A000214035</t>
  </si>
  <si>
    <t>4500201308-710</t>
  </si>
  <si>
    <t>CANADIAN TIRE</t>
  </si>
  <si>
    <t>4500200234-20</t>
  </si>
  <si>
    <t>5/18UPC贴纸</t>
  </si>
  <si>
    <t>日期码格式：ZURU INC(BVI) 标准格式                  日期：按实际生产日期
Packaging Info: 77794UQ1: MA 3L 加UPC贴纸
77772GQ2：  MA 3L 加UPC贴纸
第三第4行对应不用的客户PO，  有不同的箱唛内容
Remark: 出加拿大
Zuru验货. 日期跟踪码：产品外包装及产品本身都必须有日期跟踪码，ZURU标准格式日期码</t>
  </si>
  <si>
    <t>4500200234-30</t>
  </si>
  <si>
    <t>4500200234-40</t>
  </si>
  <si>
    <t>32CO8E9E</t>
  </si>
  <si>
    <t>4500204412-80</t>
  </si>
  <si>
    <t>5/29 外箱贴纸</t>
  </si>
  <si>
    <t>日期码格式：ZURU INC(BVI) 标准格式                  日期：按实际生产日期
Packaging Info:
#77876:2PK MA 1L UPC版#77772入PVC桶，3L无UPC客版收缩膜，客版收缩膜和3L铜版纸图稿翻单4500192514.（两个球的配比不能重复）。
Remark: 1. Amazon MDDP订单，出口US。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</si>
  <si>
    <t>ZB06304-8.17</t>
  </si>
  <si>
    <t>218R7TIH</t>
  </si>
  <si>
    <t>4500204412-120</t>
  </si>
  <si>
    <t>日期码格式：ZURU INC(BVI) 标准格式                  日期：按实际生产日期
Packaging Info: 
#77876:2PK MA 1L UPC版#77772入PVC桶，3L无UPC客版收缩膜，客版收缩膜和3L铜版纸图稿翻单4500192514.（两个球的配比不能重复）。
Remark: 1. Amazon MDDP订单，出口US。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</si>
  <si>
    <t>RAMP-S  CORPORATION</t>
  </si>
  <si>
    <t>菲律宾</t>
  </si>
  <si>
    <t>8-26-0018</t>
  </si>
  <si>
    <t>4500197643-10</t>
  </si>
  <si>
    <t>4/1进口商贴纸</t>
  </si>
  <si>
    <r>
      <rPr>
        <sz val="12"/>
        <color rgb="FF010CDD"/>
        <rFont val="宋体"/>
        <charset val="134"/>
      </rPr>
      <t>日期码格式：ZURU  INC(BVI)  标准格式 日期：按实际生产日期
Packaging Info: MA  UPC包装(优先1L)+进口商贴纸,待提供贴纸资料
此单LCL,77794UQ1待更新单价
Remark: 77772GQ2-4    mini  vinyls,1  accessory
Order  Modifiable  Records
Revision  #</t>
    </r>
    <r>
      <rPr>
        <sz val="12"/>
        <color rgb="FF010CDD"/>
        <rFont val="Arial"/>
        <charset val="134"/>
      </rPr>
      <t xml:space="preserve">	</t>
    </r>
    <r>
      <rPr>
        <sz val="12"/>
        <color rgb="FF010CDD"/>
        <rFont val="宋体"/>
        <charset val="134"/>
      </rPr>
      <t>Date:</t>
    </r>
    <r>
      <rPr>
        <sz val="12"/>
        <color rgb="FF010CDD"/>
        <rFont val="Arial"/>
        <charset val="134"/>
      </rPr>
      <t xml:space="preserve">	</t>
    </r>
    <r>
      <rPr>
        <sz val="12"/>
        <color rgb="FF010CDD"/>
        <rFont val="宋体"/>
        <charset val="134"/>
      </rPr>
      <t>Comment:
Special
Requirments</t>
    </r>
    <r>
      <rPr>
        <sz val="12"/>
        <color rgb="FF010CDD"/>
        <rFont val="Arial"/>
        <charset val="134"/>
      </rPr>
      <t xml:space="preserve">	</t>
    </r>
    <r>
      <rPr>
        <sz val="12"/>
        <color rgb="FF010CDD"/>
        <rFont val="宋体"/>
        <charset val="134"/>
      </rPr>
      <t xml:space="preserve">1.Factory  is  required  to  confirm  the  PO  with  all  the  details  within  2  working  days  once  upon  receipt  of  ZURU  PO.  Or  order  will  be  treated  as  accepted.
      贵司收到  ZURU  订单请在2个工作日内确认订单，否则将视为默认接受；
2.Fulfill  US,  EU,  AUS,  NZ  and  CAN  latest  safety  requirements,  such  as  EN71,  ASTM  F963,  AS  /  NZS  ISO8124,  Reach,  requirements  of  EC  directive
2009/48/EC/Phthalates/PAH/lead/cadmium/Azo/Formaldehyde/USP51/USP61/62  and  other  applicative  regulation  in  toys;  EN62115/ROHS/EMC/FCC/ICES-003/RCM/2006/66/EC  for
Electronic  toys.
      产品及大货需要满足US,  EU,  AUS,  NZ  和CAN的最新玩具安全要求以及符合玩具的相关测试标准（例如：EN71,  ASTM  F963,  AS  /  NZS  ISO8124,  Reach,  requirements  of  EC  directive
2009/48/EC/Phthalates/PAH/lead/cadmium/Azo/Formaldehyde/USP51/USP61/62  和其他适用的规定等等;  电子类玩具还需要满足EN62115/ROHS/EMC/FCC/ICES-003/RCM/2006/66/EC等等）；
3.Please  prepare  extra  quantity  for  photography  purpose  sample,  sign-off  sample,  sample  drawing,  testing,  and  inspection  (AQL  standard).
       由于涉及到拍照用途的样品、签样、抽样、测试以及验货（按照AQL标准），请额外备足够的数量；
4.ZURU  carton  standard  should  be  单坑  requirement  for  those  carton  weight  less  than  5KG.  Otherwise,  A=B  requirement  is  required.
      外箱重量低于5kg的标准的外箱材质要求是单坑，否则要求A=B；
5.Factory  is  required  to  reconfirm  order  carton  details  including  dimension,  weight,  pack  size  etc..  Please  inform  ZURU  team  if  any  update.
      要求工厂确认好外箱的信息，例如：尺寸、毛重、净重、装箱数等； 如有任何更新请及时通知；
6.Date  code  is  required  for  product,  retail  packaging  and  master  carton.  If  there's  NO  customer  assigned  date  code  format,  please  use  ZURU    standard  format  and  it
should  be  "GZYYYYMMDD".  (ATTN:  GZ  is  city  code  of  production  factory  (e.g.  Guangzhou  =  GZ),  YYYYMMDD  is  production  year,  month  and  date.).  "©ZURU"  and"Made  in  China"
are  required  to  show  on  the  product.  Please  further  check  with  ZURU  QA  team  if  you  have  any  questions.
      产品，零售包装以及外箱上需要显示生产日期；如果客人没有指定的日期码格式，请用  ZURU  标准日期码格式，如：GZYYYYMMDD（注意：GZ是生产工厂的城市代码缩写，例如："广州"，Gua
ngzhou  =  GZ；YYYYMMDD是生产年、月和日）；产品上需要有"©ZURU"和"Made  inChina"的字样；以上，对此有疑问请联系  ZURU  QA  team；
7.Date  code  on  product  should  be  earlier  or  equal  to  date  on  packaging;  Date  code  on  packaging  should  be  earlier  or  equal  to  master  carton  (Date  code  on  retail
packaging  must  be  readable  without  opening  the  retail  packaging.).
      产品上日期码的日期应早于或等于包装上日期码的日期；包装上日期码的日期应早于或等于外箱上日期码的日期（注意：零售包装上的日期码要在无需拆开包装的前提下可直接看到）；
8.All  the  change  on  production/packaging  must  inform  ZURU  team  and  ask  confirmation  in  advance.
      若产品/大货或包装有任何变更，请务必通知  ZURU  相关团队并提前确认好以免影响订单交付；
9.If  ZURU  re-inspection  is  required  caused  by  factory's  problem,  the  re-inspection  fee  of  CNY  1000  and  travel  expenses  will  be  at  production  factory's  expense.
      若因工厂原因导致的  ZURU  QC重验，工厂需要承担CNY1000重验费以及相关差旅费；
10.ZURU  Final  inspection  application  is  required  to  submit  to  ZURU  OQC  team  7  days  before  inspection  date  with  order  qty  100%  finished.  And  all  shipments  should  be
pass  ZURU  OQC  inspection  before  delivery.
        烦请验货前至少7天与  ZURU  验货团队预约验货，并确保验货当天是100%完成大货；所有出货前要有  ZURU  验货通过的报告；
11.All  barcodes  should  be  scannable  and  readable.
        所有条码确保可扫描以及可读；
12.ZURU  logo  is  required  for  master  carton  as  large  as  possible  in  the  condition  of  NO  impact  shipping  mark  information.
        外箱上需要印有  ZURU  符号并且在不影响箱唛的情况下，ZURU  符号应尽可能放大；
13.Above  are  ZURU    STD  requirements.  If  there  are  customer  or  other  requirements,  please  further  follow  it  as  per  PO  remark  or  email  notification.
        以上均为  ZURU  标准要求，如果有任何客人或其他要求，请查看PO上的备注以及注意邮件通知。
</t>
    </r>
    <r>
      <rPr>
        <sz val="12"/>
        <color rgb="FF010CDD"/>
        <rFont val="Arial"/>
        <charset val="134"/>
      </rPr>
      <t xml:space="preserve">																													</t>
    </r>
    <r>
      <rPr>
        <sz val="12"/>
        <color rgb="FF010CDD"/>
        <rFont val="宋体"/>
        <charset val="134"/>
      </rPr>
      <t xml:space="preserve">
Additional
Clause</t>
    </r>
    <r>
      <rPr>
        <sz val="12"/>
        <color rgb="FF010CDD"/>
        <rFont val="Arial"/>
        <charset val="134"/>
      </rPr>
      <t xml:space="preserve">	</t>
    </r>
    <r>
      <rPr>
        <sz val="12"/>
        <color rgb="FF010CDD"/>
        <rFont val="宋体"/>
        <charset val="134"/>
      </rPr>
      <t>1.As  agreed  above,  ZURU  reserves  the  right  to  claim  the  penalties  of  shipment  delay  which  caused  by  factory  as  following  terms:
         ·Will  charge  5%  of  PO  total  amount  for  1-7  days  (incl.  7days)  of  the  shipment  delay.
         ·Will  charge  7%  of  PO  total  amount  for  7-14  days  (incl.  14days)  of  the  shipment  delay.
         ·Will  charge  10%  of  PO  total  amount  for  over  14  days  of  the  shipment  delay.
         · If  customer  required  to  air  ship  or  penalty  for  shipment  delay,  the  air  cost  and  penalty  will  be  at  factory's  expense.
        如果同意以上交货期到  ZURU  公司但是最后由于供应商原因无法交货，ZURU  公司保留以下的罚款条款：
         *  1-7（含第七天）天内延迟出货罚款为合同总金额的百分之五，
         *  7-14（含第十四天）天内延迟出货罚款为合同总金额的百分之七，
         *  如果超过14天将扣合同金额的百分之十，
         *  如产生客人对  ZURU  公司罚款或产生空运费，罚款金额需供应商全额承担；
    2.Factory  is  required  to  bear  relevant  cost  or  penalty  of  customer  or  3rd  party's  failed  result  which  caused  by  factory.
        如遇到由工厂导致的客人或第三方的验货、测试不过等要求重验或重测以及涉及罚款的，工厂需要承担相关费用；
    3.If  the  quality  cannot  meet  ZURU  standard  or  requirements,  factory  is  required  to  improve  or  rework  till  it  could  meet  ZURU  standard  or  requirements.  All  costs
including  rework  fee,  shipment  delay  fee  or  penalty  are  at  factory's  expense.
        如果因为质量不符合  ZURU  公司要求的标准，供应商必须改进产品以达到标准并支付返工费用及以上出货延迟费用；
    4.Please  be  subject  to  the  final  revision/update  of  PO  and  adjust  the  production  if  needs.
        订单细节会不时进行修改，请以最后一次修改订单为准并及时协调生产；
    5.Please  contact  relevant  merchandiser  within  2  working  days  if  you  have  any  questions  of  the  order.  Or  order  will  be  treated  as  accepted.
        如果对订单细节有任何疑问，请在2个工作日内直接回复给对应跟单；如果没有回复，那么将被认为所有订单细节包括交期在内都被接受；
    6.Factory  is  required  to  provide  the  commodity  inspection  (if  needs),  customs  clearance  documents  and  complete  the  trade  term  responsibilities.  Or  please  further  check
with  ZURU  Company  team  20  days  ahead  of  shipment.  And  the  order  will  be  settled  by  CNY  and  required  factory  to  raise  13%  VAT  invoice  after  confirmation.
        该订单将需要贵司提供相关的商检及报关单证，若贵司不能提供相关单证且需要用到我司单证出货，要求于出货20日前与我司确认，该订单将以人民币结算并需要贵司开出13%税率VAT增值
税发票；
Confirmed  And  Accepted  By:</t>
    </r>
    <r>
      <rPr>
        <sz val="12"/>
        <color rgb="FF010CDD"/>
        <rFont val="Arial"/>
        <charset val="134"/>
      </rPr>
      <t xml:space="preserve">	</t>
    </r>
    <r>
      <rPr>
        <sz val="12"/>
        <color rgb="FF010CDD"/>
        <rFont val="宋体"/>
        <charset val="134"/>
      </rPr>
      <t>Issued  By:
Signature  &amp;  Company  Chop</t>
    </r>
  </si>
  <si>
    <t>Emma  Wu</t>
  </si>
  <si>
    <t>KINGJOUETLOGISTIQUE</t>
  </si>
  <si>
    <t>4500201003-10</t>
  </si>
  <si>
    <t>7/16号完成</t>
  </si>
  <si>
    <t>7/29 SI</t>
  </si>
  <si>
    <t>进口商贴纸+一张产品贴纸+一张weeee说明书纸，都翻4500199646+一张空白贴纸（覆盖条码）</t>
  </si>
  <si>
    <t>客版日期码LOT2624, 包装（含收缩膜等）/产品/外箱 请保持一致。</t>
  </si>
  <si>
    <t>日期码格式：LOT2624 日期：
Packaging Info: 客版3L彩盒（翻4500199646）+一张进口商贴纸+一张产品贴纸+最新MA 5L收藏指南+最新MA 23L说明书+一张weeee说明书纸，都翻4500199646
77772：最新MA 3L EAN收缩膜+一张空白贴纸（覆盖条码）
77794：最新MA 3L EAN包装+一张空白贴纸（覆盖条码）+最新MA 23L 62115警语说明书
Remark: 1. 大货样品2套/item，用于客人验货签板。验货后还会抽办1套/item，请多备料；
2. 客版日期码LOT2624, 包装（含收缩膜等）/产品/外箱 请保持一致。
3. 全部ITEM都用EAN条码, 全部用Mother EAN;
4. 包装必须含法国回收logo标识, 最新版ZURU logo；
5. 出法国的产品需无闪粉/不含微塑料；
6. 所有出口法国的产品, 法规规定禁止在包装和共公众用的印刷品中使用矿物油中含有的物质, 包装印刷油墨中含有的MOAH/MOSH的质量浓度不能超过1%, 否则出
货到法国被抽检出现问题, 供应商需要对此负责;
7. 所有带电产品请复核跟单是否有提供客人指定内容的WEEE说明书（非通用29L版本）；如果做了客版说明书，则会将weee说明加进客版说明书中
8. 此客户需要第三方验货，请在约三方验货前必须PASS ZURU验货。</t>
  </si>
  <si>
    <t>ChristineHe</t>
  </si>
  <si>
    <t>4500201188-10</t>
  </si>
  <si>
    <t>ZB06699(REV1)-8.17</t>
  </si>
  <si>
    <t>4500201195-10</t>
  </si>
  <si>
    <t>ZB06700(REV1)-8.17</t>
  </si>
  <si>
    <t>4500201197-10</t>
  </si>
  <si>
    <t>ZB07023-8.17</t>
  </si>
  <si>
    <t>4500198840-10</t>
  </si>
  <si>
    <t>7/9 出货</t>
  </si>
  <si>
    <t>日期码格式：ZURU INC(BVI) 标准格式                  日期：按实际生产日期
Packaging Info: 客版彩盒+客版收缩膜+客版说明书（墨西哥版本）+客版收藏指南+客版纸袋+客版PDQ+客版组装说明书
+保证书+墨西哥进口商贴纸，产品和包装都需要加一张墨西哥进口商贴纸所有客版包装物料都必须是多语（含西班牙语）
Remark: 1.产品/包装上都需要印日期码，按实际生产日期，ZURU 标准版格式的日期码
2. 纸箱唛头：纸箱四面，印刷2个正面，侧唛不印, 按照箱唛模板要求排版。外箱上要贴一张锂电池标签贴纸。
 3. 确保展示架在入外箱的时候一定要正面对着有印刷箱唛的那面,不可以装反。
 5. 大货样板:工厂需预留至少6整套测试样用于抽板+1pcs实验室封样工厂留底待第三方验货使用
 6. 此单需要监柜，工厂需要额外准备1套备品。
7.3PK 77772 + 77794 PLAYSET COMBO IN COLOR BOX
   (W3* D6 + W12 *D1 ) *H4=120 PCS
     77772: 4  mini vinyls,1 accessory
     77794: RECHARGEABLE LITHIUM BATTERY(INCLUDED)</t>
  </si>
  <si>
    <t>MILLS FLEET FARM</t>
  </si>
  <si>
    <t>4500199572-210</t>
  </si>
  <si>
    <t>日期码格式：ZURU INC(BVI) 标准格式                  日期：按实际生产日期
Packaging Info: 1. 包装：ZURU MA 1L UPC版本最新包装；出口美国;
Remark: 2. 日期跟踪码：产品包装及产品本身都必须有日期跟踪码，并且确保两者的日期跟踪码要一致；ZURU标准格式日期码(请自行调整具体年月日生产期，但不能为周
末）。
3. 出货配比: Zuru 标准 配比</t>
  </si>
  <si>
    <t>ZB06335-8.17</t>
  </si>
  <si>
    <t>ZMPO260606</t>
  </si>
  <si>
    <t>ZMPO260606-10</t>
  </si>
  <si>
    <t>Remark：大货版本/只需要齐全套散件/麻烦用胶袋分装好一套为一袋
备注：收到样品订单后尽快安排，注意样板品质质量要求要高于大货品质要求，送货时必须要附带送货单(没有送货单和QC检验合格报告的仓库一律拒绝收货)，请知悉，谢谢！备注:收到样品订单后尽快安排，注意祥板品质质里要求要高于大货品质要求送货时必须要谢带送货单(没有送货单和QC检验合格报告的仓库一律拒绝收货)请知悉，谢谢</t>
  </si>
  <si>
    <t>4500198150-30</t>
  </si>
  <si>
    <t>5/25外箱贴纸SSCC Label+防盜贴纸(贴纸以及防盜贴纸位置图翻单PO#4500193539)+两张张覆盖PDQ上唱片的贴纸+两张张覆盖收藏指南上唱片的贴纸+一张覆盖PDQ上数字"45"的贴纸+一张覆盖收藏指南上数字"45"的贴纸</t>
  </si>
  <si>
    <t>日期码格式：ZURU INC(BVI) 标准格式 日期：按实际生产日期
Packaging Info: 77772GQ1:MA英语UPC版本包装（收缩膜和说明书, MA首选1L，如无1L可用多语且含英语的配套多语包装) +防盜贴纸(贴纸以及防盜贴纸位置图翻单PO#4500193539)+
两张张覆盖PDQ上唱片的贴纸+两张张覆盖收藏指南上唱片的贴纸+一张覆盖PDQ上数字"45"的贴纸+一张覆盖收藏指南上数字"45"的贴纸+箱唛+外箱贴纸SSCC Label
配比信息：4 mini vinyls,1 accessory
Removed了 ""Messy &lt;(&gt;&amp;&lt;)&gt; Delicious""两张唱片
77794UQ1:客版PDQ+MA英语UPC版本包装（收缩膜和说明书, MA首选1L，如无1L可用多语且含英语的配套多语包装) +1张锂电池黑白警语书纸 + 1张防盗贴纸 (贴纸以
及位置图翻单PO#4500193539）+ 箱唛 + 外箱SSCC Label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此单与NZ PO#4500198152一起合并计算</t>
  </si>
  <si>
    <t>4500198152-30</t>
  </si>
  <si>
    <t>日期码格式：ZURU INC(BVI) 标准格式 日期：按实际生产日期
Packaging Info: 77772GQ1:MA英语UPC版本包装（收缩膜和说明书, MA首选1L，如无1L可用多语且含英语的配套多语包装) +防盜贴纸(贴纸以及防盜贴纸位置图翻单PO#4500193539)+
两张张覆盖PDQ上唱片的贴纸+两张张覆盖收藏指南上唱片的贴纸+一张覆盖PDQ上数字"45"的贴纸+一张覆盖收藏指南上数字"45"的贴纸+箱唛+外箱贴纸SSCC Label
配比信息：4 mini vinyls,1 accessory
Removed了 ""Messy &lt;(&gt;&amp;&lt;)&gt; Delicious""两张唱片
77794UQ1:客版PDQ+MA英语UPC版本包装（收缩膜和说明书, MA首选1L，如无1L可用多语且含英语的配套多语包装) +1张锂电池黑白警语书纸 + 1张防盗贴纸 (贴纸以
及位置图翻单PO#4500193539）+ 箱唛 + 外箱SSCC Label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此单与AU PO#4500198150一起合并计算</t>
  </si>
  <si>
    <t>4500201600-30</t>
  </si>
  <si>
    <t>8/3 SI</t>
  </si>
  <si>
    <t>日期码格式：ZURU INC(BVI) 标准格式                  日期：按实际生产日期
Packaging Info: 1. 出口美国，MA UPC 版本包装，  优先1L。
2.
15785-S001, 4 Assortments;Even ratio
15785A 193052099471
15785B 193052099488
15785D 193052099495
15785E 193052099501
77772GQ1, UPC#193052090065.
Remark: 3. ZURU QC 验货即可。</t>
  </si>
  <si>
    <t>ZB07342-8.17</t>
  </si>
  <si>
    <t>PPTOYS PTE LTD (SG)</t>
  </si>
  <si>
    <t>新加坡</t>
  </si>
  <si>
    <t>ZU26040201SG</t>
  </si>
  <si>
    <t>4500201657-20</t>
  </si>
  <si>
    <t>5/15进口商贴纸</t>
  </si>
  <si>
    <t>日期码格式：ZURU INC(BVI) 标准格式                  日期：按实际生产日期
Packaging Info: MA UPC包装(优先1L)+进口商贴纸
其他items待提供贴纸资料
Remark: 92129-7  assortments, Ratio: Elephant: Toucan: Zebra: Sloth: Giraffe: Tiger: Peacock=10: 10: 10: 10: 10: 8: 2
77772GQ1-4  mini vinyls,1 accessory</t>
  </si>
  <si>
    <t>AG250586-HK</t>
  </si>
  <si>
    <t>4500200747-10</t>
  </si>
  <si>
    <t>已走货</t>
  </si>
  <si>
    <t>4/24HK客供警语贴纸（贴球底部）,1张警语贴纸，1张警语贴纸</t>
  </si>
  <si>
    <t>日期码格式：ZURU INC(BVI) 标准格式                  日期：按实际生产日期
Packaging Info: 此单出HK
77772GQ1: MA PDQ , MA 1L PKG + 1张HK客供警语贴纸（贴球底部）, MA 拆件说明书+ 1张警语贴纸，MA 收藏指南+ 1张警语贴纸</t>
  </si>
  <si>
    <t>COOP DANMARK A/S</t>
  </si>
  <si>
    <t>Shipment 3</t>
  </si>
  <si>
    <t>4500198446-40</t>
  </si>
  <si>
    <t>5/11 彩盒丹麦瑞典挪威爱沙尼亚芬兰警告语/电池信息贴纸+收缩膜丹麦瑞典挪威爱沙尼亚芬兰警告语贴纸+空白贴纸覆盖原条码+WEEE带电池出货说明书D版30L</t>
  </si>
  <si>
    <t>日期码格式：ZURU INC(BVI) 标准格式 日期：按实际生产日期
Packaging Info: "77869: MA EAN 彩盒+丹麦瑞典挪威爱沙尼亚芬兰警告语/电池信息+WEEE带电池出货说明书D版30L
(77772:MA 3L EAN A收缩膜+丹麦瑞典挪威爱沙尼亚芬兰警告语贴纸+空白贴纸覆盖原条码+MA 纸卡+MA 5L A收藏指南,77794:MA 3L EAN 彩盒+丹麦瑞典挪威爱沙尼亚
芬兰警告语/电池信息贴纸+空白贴纸覆盖原条码+MA 纸卡+MA 23L 说明书+MA 锂电池欧洲警告说明书)2PK 77772 + 77794 PLAYSET COMBO IN COLOR BOX"
77772:MA 3L EAN A收缩膜+丹麦瑞典挪威爱沙尼亚芬兰警告语贴纸+MA 展示架+MA 23L组装说明+MA 纸卡+MA 5L A收藏指南+WEEE 不带电池出货D 版30L 说明书
Remark: 1. 包装如含PVC,请改为PET
2. 产品/包装要求无硼无香；
3. 出欧洲，微塑料需合规。
4.带电池出货的产品所用到的电池需要符合欧洲电池新规(EU) 2023-1542
5.关于贴纸，如果贴纸位置图的包装版本与大货不一致，请工厂提前提出。跟单会重新调整确认是否更新贴纸或调整位置图
6.产品/包装不含PFAS成分
7. ITEM-COOP ITEM-EAN-GTIN(TBC)
8.比例：
15784-S003:6 Assortments; Even ratio
15786UQ1-S002:7 Assortments; Rare assortments 1/24, normal assortments 1/6
77869-S001:77772: 4 mini vinyls,1 accessory
77772SK1-S002:4 mini vinyls,1 accessory
9. 验货注意，警告语需要包含丹麦语</t>
  </si>
  <si>
    <t>Joyce Hu</t>
  </si>
  <si>
    <t>TOYZOONA LIMITED</t>
  </si>
  <si>
    <t>肯尼亚</t>
  </si>
  <si>
    <t>4500199112-10</t>
  </si>
  <si>
    <t>7/21未验</t>
  </si>
  <si>
    <t>消耗4500194881 成品 （剩余呆滞：20000pcs-520pcs=19480pcs）</t>
  </si>
  <si>
    <t>日期码格式：ZURU INC(BVI) 标准格式 日期：按实际生产日期
Packaging Info: MA 1L PKG , 1L PDQ, MA 收藏指南，MA 说明书
Remark:</t>
  </si>
  <si>
    <t>4500198446-30</t>
  </si>
  <si>
    <t>4500201200-10</t>
  </si>
  <si>
    <t>ZB07025-8.17</t>
  </si>
  <si>
    <t>4500201201-10</t>
  </si>
  <si>
    <t>ZB06924-8.17</t>
  </si>
  <si>
    <t>4500201198-10</t>
  </si>
  <si>
    <t>7/16 空运</t>
  </si>
  <si>
    <t>ZB07024-8.17</t>
  </si>
  <si>
    <t>4500201202-10</t>
  </si>
  <si>
    <t>ZB07026-8.17</t>
  </si>
  <si>
    <t>02485563/1</t>
  </si>
  <si>
    <t>4500200759-20</t>
  </si>
  <si>
    <t>湖南返OK</t>
  </si>
  <si>
    <t>日期码格式：ZURU INC(BVI) 标准格式                  日期：按实际生产日期
Packaging Info: 
77772GQ2-S002-PRODCC:MA 1L UPC 包装,此客制款需移除Lola Young vinyl
Remark: 1) MA UPC版本。订单出英国，请注意检查产品及包装应带UKCA图标，包装显示ZURU UK LTD信息，QC同事请查核，如有问题与跟单确认。
 2) 生产日期按实际（法定工作日），按ZURU标准格式即可 ，但是请知悉包装日期码需要早于或者等于外箱日期码 ，不能晚于外箱日期码
 3) 请注意所有订单都需要经过ZURU QC验货并且通过后方可出货
 4) 条码以订单显示为准 ，请安排生产前先核对 ，有问题请提出。
 5) 所有产品按符合欧洲标准走货，需要是不含微塑料版本 。涉及到硼的，如可选择情况下应使用低硼版本  （slime 类别低硼一般低于300ppm)，无选择的应与跟单
复核再安排 。
 6) 所有出往欧洲订单的电子产品需增加一张客版WEEE说明书，区分带电池(WEEE 带电池走货 通用29L C 版说明书)和不带电池版本(WEEE 不带电池走货 通用29L
 C版说明书)
 7) 订单若对应多个客户PO，  请分开做货，  不要混装。一个PO一个柜
 8) 大货完成后请及时提供shipment images 供客户批复 ，如未提供照片就直接走柜，有问题由工厂负责  。
 9）  最终出货工厂需要按船务要求为集装箱挂网，如不按要求挂网导致罚款由工厂承担 。
 10）77772 此客制款需移除Lola Young vinyl，如做错货导致罚款会由工厂负全责。</t>
  </si>
  <si>
    <t>Anna Lian</t>
  </si>
  <si>
    <t>02485565/1</t>
  </si>
  <si>
    <t>4500200759-40</t>
  </si>
  <si>
    <t>ENTERTAINMENT EARTH, LLC.</t>
  </si>
  <si>
    <t>4500196353-140</t>
  </si>
  <si>
    <t>日期码格式：ZURU INC(BVI) 标准格式 日期：按实际生产日期
Packaging Info: 1.包材: ZURU MA UPC 版本最新包装，出口美国
Remark: 2、日期跟踪码:ZURU标准格式日期码、产品包装及产品本身都必须有ZURU标准格式日期码，并且确保两者信息保持一致(请自行调整具体年月日生产期，但不能为周
末)。
3.外箱要求
* #157117UQ1的第一箱需贴有packing list的信封。Packing List 装在信封里，再打印一张印有"PACKING LIST ENCLOSED"的纸放在信封外面，漏掉会有罚款（Pac
king List 收到SO 后船务会一起发给工厂）。
4.出货配比: ZURU 标版配比</t>
  </si>
  <si>
    <t>Elsa Zheng</t>
  </si>
  <si>
    <t>ZB06907-8.17</t>
  </si>
  <si>
    <t>4500212732-20</t>
  </si>
  <si>
    <t>由4500203128转单</t>
  </si>
  <si>
    <t>纸箱直接用4500203128的</t>
  </si>
  <si>
    <t>日期码格式：ZURU INC(BVI) 标准格式                  日期：按实际生产日期
Packaging Info: 
77772GQ2: MA PDQ (优先多语)+客版5L收缩膜 (翻PO#4500191961) +客版5L收藏指南(翻PO#4500211227)+MA 23L组装说明书+MA内袋
EAN#4894680051133
*必须移除Messy Lola Young (VINYL-S1-021) 这个唱片, 比例按PM更新的安排, 如未按要求做货被客罚由工厂承担责任*
Remark: Smyths 英国/爱尔兰
 1. 请准时出货，推期会有罚款；
 2. 所有产品按符合欧洲标准走货，需要是不含微塑料版本。
3.包装日期码按ZURU格式即可，请确保不迟于外箱日期码，可等于或者早于外箱日期码，必须为法定工作日，印刷前请先检查外箱日期码。
4.请注意检查产品及包装应带UKCA图标（14+产品除外），包装显示ZURU UK LTD/ZURU France地址信息，QC部门请查核，如有问题与跟单确认
5.电子产品需增加一张WEEE声明29L通用黑白说明书，区分带电池(D版)和不带电池(C版)出货版本, 如已做带WEEE声明的客版说明书可忽略此要求；如包装备注上缺
少此部分信息，请提醒跟单更新备注。
6.订单备注显示有分批的(不同仓库/订单号), 一定要区分客户订单号做货出货，否则会导致罚款  。
7.做货前请先复核包装条码与订单是否一致再安排，对不上的需与ZURU跟单确认再安排。
8.包装必须含法国回收标(Sorting Label)，如没有，请提醒跟单提供贴纸资料。</t>
  </si>
  <si>
    <t>Mary Qu</t>
  </si>
  <si>
    <t>ASMODEE ROMANIA SRL</t>
  </si>
  <si>
    <t>罗马尼亚</t>
  </si>
  <si>
    <t>4500205337-10</t>
  </si>
  <si>
    <t>5/12 进口商贴纸</t>
  </si>
  <si>
    <t>日期码格式：ZURU INC(BVI) 标准格式                  日期：按实际生产日期
Packaging Info: 77772GQ1：A 版1L MA 收缩膜+进口商贴纸；A 版 5L MA 收藏指南/A 版 23L 组装说明书/A 版 MA PDQ/C 版不带电池走货WEEE说明书
Remark: "1、若产品有比例使用ZURU STD 比例
 2、所有item 均用MA UPC 条码，若包装不是UPC 条码的请告知
 3、此单出欧洲需满足EU测试标准要求，另外不能出闪粉（若产品本身不含闪粉则忽略这句话），电池产品（带电池/不带电池走货）需要添加WEEE通用说明书"</t>
  </si>
  <si>
    <t>Snowy</t>
  </si>
  <si>
    <t>DISTRIBUIDORA LIVERPOOL S.A DE C.V.</t>
  </si>
  <si>
    <t>4500202901-130</t>
  </si>
  <si>
    <t>7/21湖南验货</t>
  </si>
  <si>
    <t>8/2 SI</t>
  </si>
  <si>
    <t>5/20 确认</t>
  </si>
  <si>
    <t>6/26进口商贴纸+6/18 寄出价标贴纸</t>
  </si>
  <si>
    <t>日期码格式：ZURU INC(BVI) 标准格式 日期：按实际生产日期
Packaging Info: 
77772GQ2：MA多语包装+进口商贴纸+价标贴纸
Remark: 1.此单价格贴纸（ZURU定购).-无位置图，价标贴纸贴于产品背面右上角空白处（不遮挡西班牙语处），如有特殊情况，请重新确认位置图。
2.此单有第三方监柜，不用额外准备备品，会在大货中每款拆1pc，拆了包装的产品会由监装员用客供胶带封好或在外箱上写上""opened by telescope"
3.如后续进口商贴纸和UPC贴纸合并为一张，请忽略UPC的需求，包装上的条码必须是UPC。</t>
  </si>
  <si>
    <t>需补订贴纸</t>
  </si>
  <si>
    <t>MODELTOYS LTD</t>
  </si>
  <si>
    <t>马耳他</t>
  </si>
  <si>
    <t>4500204707-80</t>
  </si>
  <si>
    <t>5/15进口商贴纸+C 版 29L 不带电池走货WEEE说明书</t>
  </si>
  <si>
    <t>日期码格式：ZURU INC(BVI) 标准格式                  日期：按实际生产日期
Packaging Info: 
77772GQ2：A 版 1L MA 收缩膜+进口商贴纸；A 版 1L MA PDQ/A 版 23L 组装说明书/A 版 5L MA 收藏指南+C 版 29L 不带电池走货WEEE说明书
Remark: "1、若产品有比例使用ZURU STD 比例
 2、所有item 均用MA UPC 条码，若包装不是UPC 条码的请告知
 3、此单出欧洲需满足EU测试标准要求，另外不能出闪粉（若产品本身不含闪粉则忽略这句话），电池产品（带电池/不带电池走货）需要添加WEEE通用说明书"</t>
  </si>
  <si>
    <t>SUPERMERCADOS INTERNACIONALES H.E.B</t>
  </si>
  <si>
    <t>MX-530-JG-Zuru-Xmas26</t>
  </si>
  <si>
    <t>4500201970-60</t>
  </si>
  <si>
    <t>货期待复</t>
  </si>
  <si>
    <t>本次订单的验货将由监柜公司进行开箱检验。订单每个ITEM（包括盲盒款）提前准备一整套完整包装的样品，所有样品必须与大货完全一致。</t>
  </si>
  <si>
    <t>7/1UPC贴纸+进口商贴纸</t>
  </si>
  <si>
    <t>日期码格式：ZURU INC(BVI) 标准格式                  日期：按实际生产日期
Packaging Info: 1. 请确保外箱和产品包装上使用的条码均为UPC。如目前使用的是baby UPC，请务必使用mother UPC覆盖。如有任何不一致之处，请及时告知。谢谢！
 2. 样品需求：本次订单的验货将由监柜公司进行开箱检验。订单每个ITEM（包括盲盒款）提前准备一整套完整包装的样品，所有样品必须与大货完全一致。
3.带电产品需要电池门/说明书贴纸/包装贴进口商贴纸+保证书，若MA说明书上有跟进口商贴纸上的信息，一般不需要说明书贴纸，具体按客人做完测试后提供的资
料。（具体按图稿安排做货）
77772GQ2 MA多语EAN包装+UPC贴纸+MA多语收藏指南+MA 多语 PDQ+进口商贴纸+箱唛
Remark: 71152 2PCS AAA BATTERIES(NOT INCLUDED)
77773GQ2 3PCS AG13 BATTERIES(INCLUDED)
77843GQ2 SUSHI and RAINBOW CAKE(Rare) without batteries, other assortments: 3PCS AG13 BATTERIES(INCLUDED)
77673 3PCS AG13 BATTERIES(INCLUDED)
77794UQ1 RECHARGEABLE LITHIUM BATTERY(INCLUDED)</t>
  </si>
  <si>
    <t>Aimee Huang</t>
  </si>
  <si>
    <t>4500201203-10</t>
  </si>
  <si>
    <t>ZB07027-8.17</t>
  </si>
  <si>
    <t>4500201206-10</t>
  </si>
  <si>
    <t>ZB06741-8.17</t>
  </si>
  <si>
    <t>4500201205-10</t>
  </si>
  <si>
    <t>ZB07028-8.17</t>
  </si>
  <si>
    <t>HOBBY LOBBY STORES, INC.</t>
  </si>
  <si>
    <t>W0766878</t>
  </si>
  <si>
    <t>4500200550-20</t>
  </si>
  <si>
    <t>4/30 确认</t>
  </si>
  <si>
    <t>4/20价格贴纸, 贴在产品包装正面右上角(价格贴纸文档跟单提供)+外箱条码贴纸</t>
  </si>
  <si>
    <t>日期码格式：ZURU INC(BVI) 标准格式                  日期：按实际生产日期
Packaging Info: 1. MA 优先1L UPC版本包装,需要加贴价格贴纸, 贴在产品包装正面右上角(价格贴纸文档跟单提供)，出美国。
 2. 外箱正唛(2面)右下角贴条码贴纸各贴1张(即1面1张共2张),贴纸大小：2.75 x 1.5 inch。(跟单提供文档，工厂采购)
Remark: 1. 产品外包装及产品本身都必须有日期跟踪码，格式为：ZURU 标准日期码。
 2. ZURU QC验货，无测试。
 3. 产品配比按照MA标准配比执行。</t>
  </si>
  <si>
    <t>ZB06923-8.17</t>
  </si>
  <si>
    <t>4500212715-10</t>
  </si>
  <si>
    <t>由4500204054转单</t>
  </si>
  <si>
    <t>纸箱直接用4500204054的</t>
  </si>
  <si>
    <t>日期码格式：ZURU INC(BVI) 标准格式                  日期：按实际生产日期
Packaging Info: 77772GQ2: MA PDQ (优先多语)+客版5L收缩膜 (翻PO#4500191961) +客版5L收藏指南(翻PO#4500211227)+MA 23L组装说明书+MA内袋
EAN#4894680051133
*必须移除Messy Lola Young (VINYL-S1-021) 这个唱片, 比例按PM更新的安排, 如未按要求做货被客罚由工厂承担责任*
Remark: Smyths 法国
 1. 请准时出货，推期会有罚款；
 2. 所有产品按符合欧洲标准走货，需要是不含微塑料版本。
 3. 电子产品需增加一张WEEE声明29L通用黑白说明书，区分带电池(D版)和不带电池(C版)出货版本, 如已做带WEEE声明的客版说明书可忽略此要求；如包装备注上
缺少此部分信息，请提醒跟单更新备注。
4. 出口法国的产品, 法规规定禁止在包装和共公众用的印刷品中使用矿物油中含有的物质, 包装印刷油墨中含有的MOAH/MOSH的质量浓度不能超过0.1%, 否则出货
到法国被抽检出现问题, 供应商需要对此负责;
5.订单备注显示有分批的(不同仓库/订单号), 一定要区分客户订单号做货出货，否则会导致罚款  。
6.包装日期码按ZURU格式即可，请确保不迟于外箱日期码，可等于或者早于外箱日期码，必须为法定工作日。
7.做货前请先复核包装条码与订单是否一致再安排，对不上的需与ZURU跟单确认再安排。
8.包装必须含法国回收标(Sorting Label)，如没有，请提醒跟单提供贴纸资料。</t>
  </si>
  <si>
    <t>ZMPO260693</t>
  </si>
  <si>
    <t>ZMPO260693-10</t>
  </si>
  <si>
    <t>50套散件</t>
  </si>
  <si>
    <t>Remark：大货版本/只需要左图指定7款散件/同款装一袋/并在袋子上注明款号，备注：收到样品订单后尽快安排 ，注意样板品质质量要求要高于大货品质要求 ，送货时必须要附带送货单(没有送货单和QC检验合格报告的仓库一律拒绝收货)，请知悉，谢谢！</t>
  </si>
  <si>
    <t>Angus</t>
  </si>
  <si>
    <t>SIPLEC</t>
  </si>
  <si>
    <t>4500201727-80</t>
  </si>
  <si>
    <t>7/17 第三方验货；</t>
  </si>
  <si>
    <t>8/12截SI</t>
  </si>
  <si>
    <t>5/22客户贴纸(含法国回收标+PT/PL/SI语言+LEC#+客人指定条码+MA5L收藏指南</t>
  </si>
  <si>
    <t>指定日期码1346737-26，带电产品每箱放3包透明颗粒状干燥剂(每包约5g)，包干燥剂的袋子要有"SILICA GEL -DO NOT EAT - DESSICANT - THROW AWAY " 字样；</t>
  </si>
  <si>
    <t>日期码格式：1346737-26 日期：
Packaging Info: 
77772GQ2-S001: MA3L EAN收缩膜+2张客户贴纸(含法国回收标+PT/PL/SI语言+客人指定条码+客人指定日期码1346737-26)+MA5L收藏指南+额外收藏指南贴纸(含PT/PL
/SI语言）+MA小袋子+MA23L组装说明书+MA3L展示盒
Remark: 1.预计6/24第三方验货+抽板测试，71126/71172 每款抽板10-12套左右测试，请多备料；
2.交期前两周前准备好2套大货样给SIPLEC HK OFFICE / 实验室签板；
3.指定日期码1346737-26
4.需在checkpoints上采购外箱贴纸, 跟单会通过邮件发送采购指引；.
5. #71152/71126/71137/9561/71172/9296/9574/77794UQ1/77858/77673TQ1 带电产品每箱放3包透明颗粒状干燥剂(每包约5g)，包干燥剂的袋子要有"SILICA GEL -
DO NOT EAT - DESSICANT - THROW AWAY " 字样；
6. 包装禁止使用PVC塑料；
7. 此票出法国，需符合EU标准及微塑料法规，包装需含法国回收logo；</t>
  </si>
  <si>
    <t>VINYLS
CAPSULE
S1,13PCS/GRAV
ITY PDQ</t>
  </si>
  <si>
    <t>4500196675-20</t>
  </si>
  <si>
    <t>77772GQ1-SLB-S002</t>
  </si>
  <si>
    <t>HOLD</t>
  </si>
  <si>
    <t>7/20 截关</t>
  </si>
  <si>
    <t>东莞返工</t>
  </si>
  <si>
    <t>4/22 确认</t>
  </si>
  <si>
    <t>日期码格式：ZURU INC(BVI) 标准格式 日期：按实际生产日期
Packaging Info: 
"77772SLB-S002 MA最新UPC版本，条码请核对：193052090065 ，做货时请注意需移除LOLA YOUNG唱片
77772GQ1-S002-PRODCC 13pcs/PDQ/CTN 20*4H=80CTN/SLB=1040pcs/Slip Sheet;
Slip Sheet打包好后，需要在正唛、侧唛右下角各贴一张slip sheet贴纸，直接用A4纸打印出来即可，贴纸尺寸160mm width x 140mm high；
Slip Sheet尺寸限制为100*115*130CM，一旦实际SLIP SHEET尺寸超过这个尺寸，请提前通知ZURU跟单，需同客人确认才能量产和出货."
Remark: "1. 产品及包装需要印UKCA图标，包装需要有ZURU UK LTD/ZURU France地址信息，QC同事请核查，如有问题与跟单确认
2. 产品/包装/外箱都需要打ZURU格式日期码，日期必须为法定工作日。
3. 需要符合欧洲标准不能含有闪粉和微塑料，否则不合法规会有客诉产生"</t>
  </si>
  <si>
    <t>Aaron Xia</t>
  </si>
  <si>
    <t>UNIPAM SRL</t>
  </si>
  <si>
    <t>4500196923-80</t>
  </si>
  <si>
    <t>5/14最新MA PDQ一张意大利环保标</t>
  </si>
  <si>
    <t>日期码格式：ZURU INC(BVI) 标准格式 日期：按实际生产日期
Packaging Info: 
8. 77772: 最新MA 3L EAN收缩膜+最新MA 23L说明书+最新MA 5L收藏指南+最新MA PDQ一张意大利环保标
Remark: 1. SMASHERS 或含Slime产品，所有化合物使用无硼版本出意大利。
2. 本订单所有 具有 baby items / assorted items 的款式，零售包装上都要用 母 EAN;
3.所有出口欧洲的产品, 法规规定禁止在包装和共公众用的印刷品中使用矿物油中含有的物质, 包装印刷油墨中含有的MOAH/MOSH的质量浓度不能超过1%, 否则出货
到意大利被抽检出现问题, 供应商需要对此负责;
4. 意大利订单包装彩卡请确保含法规要求的环保回收logo。
5. 所有带电池的产品请基于带/不带电池出货自行订购 "WEEE说明书欧洲EN+29L-D版"</t>
  </si>
  <si>
    <t>CANDIDE IND E COM LTDA</t>
  </si>
  <si>
    <t>巴西</t>
  </si>
  <si>
    <t>4500206011-20</t>
  </si>
  <si>
    <t>6/3进口商贴纸+空白贴纸</t>
  </si>
  <si>
    <t>日期码格式：ZURU INC(BVI) 标准格式                  日期：按实际生产日期
Packaging Info: 
77772GQ2:MA 1L包装+进口商贴纸+空白贴纸+箱唛
Remark: 外箱胶带要用CANDIDE 格式</t>
  </si>
  <si>
    <t>4500201727-130</t>
  </si>
  <si>
    <t>日期码格式：1346737-26 日期：
Packaging Info:
77772SK1-S002：MA3L EAN收缩膜+2张客户贴纸(含法国回收标+PT/PL/SI语言+客人指定条码+客人指定日期码1346737-26)+MA5L收藏指南+额外收藏指南贴纸(含PT/PL
/SI语言）+MA小袋子+MA23L组装说明书+MA3L展示架
Remark: 1.预计6/24第三方验货+抽板测试，71126/71172 每款抽板10-12套左右测试，请多备料；
2.交期前两周前准备好2套大货样给SIPLEC HK OFFICE / 实验室签板；
3.指定日期码1346737-26
4.需在checkpoints上采购外箱贴纸, 跟单会通过邮件发送采购指引；.
5. #71152/71126/71137/9561/71172/9296/9574/77794UQ1/77858/77673TQ1 带电产品每箱放3包透明颗粒状干燥剂(每包约5g)，包干燥剂的袋子要有"SILICA GEL -
DO NOT EAT - DESSICANT - THROW AWAY " 字样；
6. 包装禁止使用PVC塑料；
7. 此票出法国，需符合EU标准及微塑料法规，包装需含法国回收logo；</t>
  </si>
  <si>
    <t>SUCKOTSAC</t>
  </si>
  <si>
    <t>4500200614-70</t>
  </si>
  <si>
    <t>7/20 SI</t>
  </si>
  <si>
    <t>ok</t>
  </si>
  <si>
    <t>进口商贴纸/UPC贴纸翻单PO4500200402</t>
  </si>
  <si>
    <t>日期码格式：ZURU INC(BVI) 标准格式 日期：按实际生产日期
Packaging Info: 77843GQ2/77858/77772GQ2/9565GQ1/9574/9296: MA多语包装+进口商贴纸+UPC贴纸+箱唛，进口商贴纸/UPC贴纸翻单PO4500200402
 Remark: 如某个item的进口商贴纸和UPC贴纸合并为一张，请忽略UPC贴纸的需求，包装上的条码必须是UPC</t>
  </si>
  <si>
    <t>AvaLiang</t>
  </si>
  <si>
    <t>SUBURBIA S DE R. L. DE C. V.</t>
  </si>
  <si>
    <t>4500204956-10</t>
  </si>
  <si>
    <t>此单有第三方监柜，需要每款多备1套完整物料</t>
  </si>
  <si>
    <t>7/26 SI</t>
  </si>
  <si>
    <t>外箱只需要用四面印Zuru LOGO</t>
  </si>
  <si>
    <t>6/5 2张贴纸，1张Hu贴纸（条码贴），1张ASN贴纸客供（尺寸6.5cm*6.3cm,潘通色号2597C）</t>
  </si>
  <si>
    <t>日期码格式：ZURU INC(BVI) 标准格式                  日期：按实际生产日期
Packaging Info: 1. 外箱只需四面印Zuru logo，再加2张贴纸，1张Hu贴纸（条码贴），1张ASN贴纸（尺寸6.5cm*6.3cm,潘通色号2597C），都贴于侧唛，只需贴1面(HU贴纸和ASN贴
纸客供）
 2. 一个外箱对应一个HU’S(条形码),不可以混条码包装
3.带电含有说明书需要增加说明书贴纸,MA 多语包装（含西语）
4.价格贴纸覆盖原有包装的条形码
5. 此单有监柜要求
77772GQ2 MA 多语包装+MA 多语PDQ+进口商贴纸+价格标</t>
  </si>
  <si>
    <t>IMPORTACIONES PICCOLINO - JACOBO WI</t>
  </si>
  <si>
    <t>玻利维亚</t>
  </si>
  <si>
    <t>4500199743-90</t>
  </si>
  <si>
    <t>5/26 确认</t>
  </si>
  <si>
    <t>5/27UPC贴纸</t>
  </si>
  <si>
    <t>日期码格式：ZURU INC(BVI) 标准格式                  日期：按实际生产日期
Packaging Info: 
其余item：MA多语包装+UPC贴纸+箱唛</t>
  </si>
  <si>
    <t>199-9541-099</t>
  </si>
  <si>
    <t>4500197501-10</t>
  </si>
  <si>
    <t>8/17截SI</t>
  </si>
  <si>
    <t>日期码格式：ZURU INC(BVI) 标准格式 日期：按实际生产日期
Packaging Info: 客版包装: 客版彩盒+ 客版PDQ +客版收缩膜+客版收藏指南+客版说明书+客版纸袋 等其他内包材
注意订单不能包含此唱片：VINYL-S1-021 Messy-Lola Young ，这也是为什么我们新建了Spec
Remark: 1. 所有日期码印在彩盒上，产品上也需要印日期码. 按实际生产日期，ZURU 标准版格式的日期码。
2. 客版包装: 客版彩盒+ 客版PDQ+客版收缩膜+客版收藏指南+客版说明书+客版纸袋 等其他内包材
3. 纸箱唛头：纸箱四面，正唛和背面两面都需印刷，其他2面侧面留空,按照箱唛要求排版。
4. 确保展示架在入外箱的时候一定要正面对着有印刷箱唛的那面,不可以装反。</t>
  </si>
  <si>
    <t>COMERCIALIZADORA MEXICO AMERICANA S</t>
  </si>
  <si>
    <t>4500205972-40</t>
  </si>
  <si>
    <t>5/29 UPC 条码+进口商贴纸</t>
  </si>
  <si>
    <t>WM墨西哥防霉的新要求:货物必须在出货主箱和集装箱中按要求放置干燥剂，干燥剂指定品牌干霸
77772GQ2/77794UQ1: 每箱放置6小包干燥剂，每包重2g；
如走柜货等loading plan 确认后再通知集装箱干燥剂数量</t>
  </si>
  <si>
    <t>客版日期码要求：LOT+ZURU标准日期码格式。举例东莞生产的格式：LOTDGYYYYMMDD, DG是东莞拼音首字母，YYYYMMDD是实际的年月日，例如(LOTDG20240920)</t>
  </si>
  <si>
    <t>日期码格式：LOT+ZURU标准日期码格式 日期：按实际生产日期
Packaging Info: 
77772GQ2 MA 3L EAN 包装+UPC 条码+进口商贴纸+3L MAPDQ+箱唛
Remark: A: 客版日期码要求：LOT+ZURU标准日期码格式。举例东莞生产的格式：LOTDGYYYYMMDD, DG是东莞拼音首字母，YYYYMMDD是实际的年月日，例如(LOTDG20240920)
B: 此单有第三方监柜，至少多备一套完整的物料用于监柜，请多备料
C: WM墨西哥防霉的新要求:货物必须在出货主箱和集装箱中按要求放置干燥剂，干燥剂指定品牌干霸
77773GQ2/77843GQ2/9574/77772GQ2/77858/77794UQ1/9565GQ1/15746: 每箱放置6小包干燥剂，每包重2g；
92147: 每箱放置14小包干燥剂，每包重2g
如走柜货等loading plan 确认后再通知集装箱干燥剂数量</t>
  </si>
  <si>
    <t>DISTRIBUIDORA  JUGUETRON  S.A.  DE  C.V</t>
  </si>
  <si>
    <t>4500205025-210</t>
  </si>
  <si>
    <t>日期码格式：ZURU  INC(BVI)  标准格式                                    日期：按实际生产日期
Packaging Info: 
MEC305/MEC426:MA  包装+进口商贴纸+箱唛（无外箱贴纸）--打平包出
Remark: 1.此单有第三方监柜，需要每款多备1套完整物料
2.外箱贴纸只要一张，位置是正唛和侧唛的交接处
3.订单包装上的条码必须是UPC，后续提供的贴纸文档将进口商贴纸和UPC贴纸合并为一张，则可以忽略UPC文档的需求。</t>
  </si>
  <si>
    <t>Ava  Liang</t>
  </si>
  <si>
    <t>WALGREENS CO.</t>
  </si>
  <si>
    <t>MPO10601</t>
  </si>
  <si>
    <t>4500206633- 00050- 20260710, 4500206633- 00060- 20260710, 4500206633- 00070- 20260710, 4500206633- 00080- 20260710, 4500206633- 00090- 20260710</t>
  </si>
  <si>
    <t>MPO10601-10</t>
  </si>
  <si>
    <t>7/2前需送到丹尼</t>
  </si>
  <si>
    <t xml:space="preserve"> WIC贴纸 （WIC # 398093）</t>
  </si>
  <si>
    <t>产品和包装上要有ZURU 标准格式标准格式 tracking code DG20260624，产品和包装的⽇期必须⼀致</t>
  </si>
  <si>
    <t>Remark:
① 2% loss; ② inform us to arrange inspection before delivery
1. 每款需要多备2% 备品。
2. 送货前必需通知我司安排验货
3. MA 包装（出⼝美国，优先1L） + WIC贴纸
ZURU INC
UNIT 1201-01 12/F ENERGY PLAZA 92 GRANVILLE RD TST EAST
Tel:+86 755 6688 1988
Purchase Order
77772 MA收缩膜 + WIC贴纸 （WIC # 398093）
4. 产品和包装上要有ZURU 标准格式标准格式 tracking code DG20260624，产品和包装的⽇期必须⼀致。
5. 此单分2批送货，第⼀批CRD 6/24，6/26前需送到丹尼。第⼆批CRD 7/8，7/10前需送到丹尼。对应PO号4500206633。
6. 所有来料都要测试符合美国联邦法规和州法规后才可以做⼤货，特别是带液体，粉末，⼝⽔㬵的产品，必须保证化学品已经测过并达标才可⽤⽣产。
7. 装箱⽅式需要另外跟PM确认，展⽰架77770 装8pcs，77772装4pcs，15785装6pcs, 需要⼯⼚先分好⽐例，每个展⽰架的球不能重复且⽅便组装⼯⼚直接⼊展⽰架。外箱⽤周
转箱/周转框，出货前需提供装箱清单。送货时周转箱/周转框带卡板加围好围膜，如未按要求送货需要⼯⼚⾃⾏安排⼈⼿卸货。
8. ⼤货样需要77772 8PCS待通知后再寄出。
6/2 修改信息备注：1）第⼀批送货数量更新为5648pc-CRD 6/24；2）第⼆批数量更新为6352PC-CRD7/8.</t>
  </si>
  <si>
    <t>ZB07215-8.17</t>
  </si>
  <si>
    <t>4500206633- 00010- 20260724, 4500206633- 00020- 20260724, 4500206633- 00030- 20260724, 4500206633- 00040- 20260724</t>
  </si>
  <si>
    <t>MPO10601-20</t>
  </si>
  <si>
    <t>7/9前需送到丹尼</t>
  </si>
  <si>
    <t>4500203396-10</t>
  </si>
  <si>
    <t>WEEE 不带电池说明书30L，</t>
  </si>
  <si>
    <t>移除#21唱片，客版收藏指南（翻单4500200925）</t>
  </si>
  <si>
    <t>日期码格式：ZURU INC(BVI) 标准格式                  日期：按实际生产日期
Packaging Info: 77772GQ1: MA UPC 1L+MA PDQ+WEEE 不带电池说明书30L，客版收藏指南（翻单4500200925）
配比：4 mini vinyls(去掉 Lola Young vinyl),1 accessory；
Remark: *胶带最少宽度要保证6.0CM,厚度最少0.05毫米,外箱不可以打钉/扎带；以工字型封箱；
 *如果重量超过5KGS，箱唛需加黄色警示图标志 ，有疑问请与ZURU跟单同事联系,十分重要！
 *订单出英国，请注意检查产品及包装应带CE/UKCA图标，包装需要显示ZURU UK LTD/ZURU France地址信息，QC同事请查核，如有问题与跟单确认。
 *生产日期按实际的（法定工作日），按ZURU标准格式即可 ，但是请知悉包装日期码需要早于或者等于外箱日期码 ，不能晚于外箱日期码
 *请注意所有订单都需要经过ZURU QC验货并且通过后方可出货
 *产品条码以订单显示为准 ，请安排生产前先核对再生产。
 *外箱上的条码请确保清晰可扫描 ，左上角的条码格式是UPC-A格式，下面14位数的条码格式是ITF-14格式，否则到目的仓无法扫描入仓由工厂承担责任 。
 *所有产品按符合欧洲标准走货，微塑料需合规，微塑料增加IFUD声明 。
 *涉及到硼的，需要符合欧洲标准
 *客户不接受PVC材质，不接受石棉用于玩具
 *电动玩具要加WEEE 欧洲 电池说明书</t>
  </si>
  <si>
    <t>AG260025-HK</t>
  </si>
  <si>
    <t>4500204354-10</t>
  </si>
  <si>
    <t>5/13 寄出HK 客供警语贴纸</t>
  </si>
  <si>
    <t>日期码格式：ZURU INC(BVI) 标准格式                  日期：按实际生产日期
Packaging Info: 此单出HK
77772GQ1: MA 1L PKG , 1L PDQ , MA 收藏指南，MA 说明书 +HK 客供警语贴纸
(1张客供警语贴纸贴球底部，1张警语贴纸贴收藏指南，  拆件说明书也需贴一张客供警语贴纸（拆件说明书贴纸和收藏指南的贴纸共用），具体参考HK客供贴纸位置
图</t>
  </si>
  <si>
    <t>4500194426-10</t>
  </si>
  <si>
    <t>日期码格式：ZURU INC(BVI) 标准格式 日期：按实际生产日期
Packaging Info: 77772GQ4:ZURU标准MA UPC版本(优先1L)+客版PDQ(PDQ AW翻单4500194421),出口美国.
Remark: 1. 日期码请按ZURU标准版执行即可。
2. ZURU QC验货</t>
  </si>
  <si>
    <t>ZB06987-8.17</t>
  </si>
  <si>
    <t>4500194426-30</t>
  </si>
  <si>
    <t>ZMPO260691</t>
  </si>
  <si>
    <t>ZMPO260691-10</t>
  </si>
  <si>
    <t>5个满PDQ</t>
  </si>
  <si>
    <t>已回5个满PDQ</t>
  </si>
  <si>
    <t xml:space="preserve">Remark：WM版本
备注：收到样品订单后尽快安排 ，注意样板品质质量要求要高于大货品质要求 ，送货时必须要附带送货单(没有送货单和QC检验合格报告的仓库一律拒绝收货)，请知悉，谢谢！
</t>
  </si>
  <si>
    <t>10001950647-0581</t>
  </si>
  <si>
    <t>4500213227-20</t>
  </si>
  <si>
    <t>由4500200942转单</t>
  </si>
  <si>
    <t>6/25 外箱条码贴</t>
  </si>
  <si>
    <t>日期码格式：ZURU INC(BVI) 标准格式                  日期：按实际生产日期
Packaging Info: 产品包装MA 1L 收缩膜+MA 5L 收藏指南+MA 23L 组装说明+客版PDQ+产品UPC贴纸；客版PDQ翻单4500189603
Remark: 1.77772GQ5-S001-MINI BRANDS-VINYL-SERIES 1-CAPSULE,WITH DEMO,25PCS/GRAVITY PDQ,25PCS/PDQ/CTN;
2.产品包装MA 1L 收缩膜+MA 5L 收藏指南+MA 23L 组装说明+客版PDQ+产品UPC贴纸；客版PDQ翻单4500189603；收缩膜上的UPC显示193052118721
 4  mini vinyls(1 Target US Exclusive),1 accessory;
 3. 外箱正唛左上角位置粘贴条码箱贴纸，每箱只贴一张，由ZURU订购。来料贴纸上显示的客户DPCI# 086-02-7610, UPC显示10193052118728;
 4. 产品和包装上均要印刷tracking code信息，格式为ZURU常规格式；
 5. 需要我司QC验货之后才能安排出货；
 6. 出货方式：  货代自提；
 7. 用旧配比返工(含有18号碟片，不要21号和23号碟片)</t>
  </si>
  <si>
    <t>ZB06614/ZB06634</t>
  </si>
  <si>
    <t>4500203849-10</t>
  </si>
  <si>
    <t>7/8 SI</t>
  </si>
  <si>
    <t>ZB06810-8.17</t>
  </si>
  <si>
    <t>4500203869-10</t>
  </si>
  <si>
    <t>ZB07020-8.17</t>
  </si>
  <si>
    <t>4500203871-10</t>
  </si>
  <si>
    <t>ZB06811-8.17</t>
  </si>
  <si>
    <t>CMS FAMOUS TOYS</t>
  </si>
  <si>
    <t>PO0001828</t>
  </si>
  <si>
    <t>4500200392-10</t>
  </si>
  <si>
    <t>5/25 UPC贴纸加进口商贴纸</t>
  </si>
  <si>
    <t>日期码格式：ZURU INC(BVI) 标准格式                  日期：按实际生产日期
Packaging Info: 77794: MA 3L 加UPC贴纸
77772：  MA 3L 加UPC贴纸
客制展示架
Remark: 出加拿大
每款产品都需要加进口商贴纸
Zuru验货. 日期跟踪码：产品外包装及产品本身都必须有日期跟踪码，ZURU标准格式日期码</t>
  </si>
  <si>
    <t>4500204112-10</t>
  </si>
  <si>
    <t>7/22 SI</t>
  </si>
  <si>
    <t>4/24确认</t>
  </si>
  <si>
    <t>日期码格式：ZURU INC(BVI) 标准格式                  日期：按实际生产日期
Packaging Info: 77772: 英文MA UPC版本收缩膜 + 客制球以及客制5L 收藏指南  （去除"Messy" and "Delicious" 2张唱片）+1张客人通用进口商贴纸（贴纸跟位置图翻单PO#450019
3524）
Remark: 1.按实际生产日期;
2.出澳大利亚，请按照相应标准生产;</t>
  </si>
  <si>
    <t>77772GQ2-S002-FS-PRODCC1</t>
  </si>
  <si>
    <t>4500203872-10</t>
  </si>
  <si>
    <t>ZB07239-8.17</t>
  </si>
  <si>
    <t>4500203878-10</t>
  </si>
  <si>
    <t>7/17 SI</t>
  </si>
  <si>
    <t>新邵</t>
  </si>
  <si>
    <t>ZB06970-8.17</t>
  </si>
  <si>
    <t>4500203893-10</t>
  </si>
  <si>
    <t>7/16 SI</t>
  </si>
  <si>
    <t>ZB06945-8.17</t>
  </si>
  <si>
    <t>4500203895-10</t>
  </si>
  <si>
    <t>7/28 出货</t>
  </si>
  <si>
    <t>ZB07212-8.17</t>
  </si>
  <si>
    <t>4500203900-10</t>
  </si>
  <si>
    <t>ZB06969(REV1)-8.17</t>
  </si>
  <si>
    <t>4500203935-10</t>
  </si>
  <si>
    <t>ZB06971(REV1)-8.17</t>
  </si>
  <si>
    <t>4500201776-10</t>
  </si>
  <si>
    <t>8/11截SI</t>
  </si>
  <si>
    <t>5/22客户贴纸(含法国回收标+PT/PL/SI语言+LEC#+客人指定条码</t>
  </si>
  <si>
    <t>指定日期码1346737-26</t>
  </si>
  <si>
    <t>日期码格式：1346737-26 日期：
Packaging Info: 77772GQ2-S001: MA3L EAN收缩膜+2张客户贴纸(含法国回收标+PT/PL/SI语言+客人指定条码+客人指定日期码1346737-26)+MA5L收藏指南+额外收藏指南贴纸(含PT/PL
/SI语言）+MA小袋子+MA23L组装说明书+MA3L展示盒
Remark: 1.预计6/29第三方验货+抽板测试，此单不需抽板
2.交期前两周准备好2套大货样给SIPLEC HK OFFICE / 实验室签板；
3.指定日期码1346737-26
4.需在checkpoints上采购外箱贴纸, 跟单会通过邮件发送采购指引；.
5. 包装禁止使用PVC塑料；
6. 此票出法国，需符合EU标准及微塑料法规，包装需含法国回收logo；</t>
  </si>
  <si>
    <t>4500201776-20</t>
  </si>
  <si>
    <t>4500201776-30</t>
  </si>
  <si>
    <t>日期码格式：1346737-26 日期：
Packaging Info:
77772SK1-S002：MA3L EAN收缩膜+2张客户贴纸(含法国回收标+PT/PL/SI语言+客人指定条码+客人指定日期码1346737-26)+MA5L收藏指南+额外收藏指南贴纸(含PT/PL
/SI语言）+MA小袋子+MA23L组装说明书+MA3L展示架
Remark: 1.预计6/29第三方验货+抽板测试，此单不需抽板
2.交期前两周准备好2套大货样给SIPLEC HK OFFICE / 实验室签板；
3.指定日期码1346737-26
4.需在checkpoints上采购外箱贴纸, 跟单会通过邮件发送采购指引；.
5. 包装禁止使用PVC塑料；
6. 此票出法国，需符合EU标准及微塑料法规，包装需含法国回收logo；</t>
  </si>
  <si>
    <t>4500198842-10</t>
  </si>
  <si>
    <t>5/15 确认</t>
  </si>
  <si>
    <t>日期码格式：ZURU INC(BVI) 标准格式                  日期：按实际生产日期
Packaging Info: 客版彩盒+客版收缩膜+客版说明书（墨西哥版本）+客版收藏指南+客版纸袋+客版PDQ+客版组装说明书
+保证书+墨西哥进口商贴纸，产品和包装都需要加一张墨西哥进口商贴纸所有客版包装物料都必须是多语（含西班牙语）
Remark: S001-MINI BRANDS-VINYL-SERIES 1-1PK PLAYSET AND 3PK CAPSULES-COMBO IN COLOR BOX,120PCS/DISPLAY/SLIP SHEET
1.产品/包装上都需要印日期码，按实际生产日期，ZURU 标准版格式的日期码
 2. 纸箱唛头：纸箱四面，印刷2个正面，侧唛不印, 按照箱唛模板要求排版。外箱上要贴一张锂电池标签贴纸。
 3. 确保展示架在入外箱的时候一定要正面对着有印刷箱唛的那面,不可以装反。
 4. 此单是首单出货数量4320pcs, 最晚 2026/5/13安排做10%抽版测试(工厂需要完成最少5座数量,即 600PCS);最晚 2026/05/29完成100%大货安排第三方验货
 5. 大货样板:工厂需预留至少6整套测试样用于抽板+1pcs实验室封样工厂留底待第三方验货使用
 6. 此单需要监柜，工厂需要额外准备1套备品。
7.3PK 77772 + 77794 PLAYSET COMBO IN COLOR BOX
   (W3* D6 + W12 *D1 ) *H4=120 PCS
     77772: 4  mini vinyls,1 accessory
     77794: RECHARGEABLE LITHIUM BATTERY(INCLUDED)</t>
  </si>
  <si>
    <t>NUEVOS ALMACENES, S.A.</t>
  </si>
  <si>
    <t>危地马拉</t>
  </si>
  <si>
    <t>4500199849-10</t>
  </si>
  <si>
    <t>5/27 确认</t>
  </si>
  <si>
    <t>UPC贴纸</t>
  </si>
  <si>
    <t>外箱上的箱唛资料显示客户指定日期15-JUL-2026,产品/包装/外箱可以按ZURU 标准日期码打，也可以跟回外箱日期码，工厂自行选择,两者均可接受</t>
  </si>
  <si>
    <t>日期码格式：ZURU INC(BVI) 标准格式                  日期：
Packaging Info: MA 多语包装+UPC贴纸+箱唛，无客户贴纸
Remark: 订单需提交自检报告，客户审核通过才可以出货。
外箱上的箱唛资料显示客户指定日期15-JUL-2026,产品/包装/外箱可以按ZURU 标准日期码打，也可以跟回外箱日期码，工厂自行选择,两者均可接受</t>
  </si>
  <si>
    <t>4500203906-10</t>
  </si>
  <si>
    <t>日期码格式：2041526 日期：
Packaging Info: 77772GQ2-S001:MA3L EAN 吸塑膜+1张贴纸(含IT&lt;(&gt;&amp;&lt;)&gt;NL&lt;(&gt;&amp;&lt;)&gt;AR警示语+客户订单信息+意大利回收标+CMIM logo)+MA配件袋子+MA5L收藏指南+MA23L组装说明书
+MA 3L展示盒
Remark: 1.此票无需客户验货，请多备料1套左右
2.请准备每款5pcs包装备品（客版彩盒），和大货一起出（以备到客户仓库后有破损的包装）
3.所有出口法国的产品, 法规规定禁止在包装和共公众用的印刷品中使用矿物油中含有的物质, 包装印刷油墨中含有的MOAH/MOSH的质量浓度不能超过1%, 否则出货
到法国被抽检出现问题, 供应商需要对此负责;
4.出口法国请确保产品符合EU微塑料法规，包装需显示法国回收logo;414</t>
  </si>
  <si>
    <t>4500203940-10</t>
  </si>
  <si>
    <t>ZB07238-8.17</t>
  </si>
  <si>
    <t>4500203944-10</t>
  </si>
  <si>
    <t>ZB07237-8.17</t>
  </si>
  <si>
    <t>4500203948-10</t>
  </si>
  <si>
    <t>10001950663-0581</t>
  </si>
  <si>
    <t>4500213237-20</t>
  </si>
  <si>
    <t>日期码格式：ZURU INC(BVI) 标准格式                  日期：按实际生产日期
Packaging Info: 产品包装MA 1L 收缩膜+MA 5L 收藏指南+MA 23L 组装说明+客版PDQ+产品UPC贴纸；客版PDQ翻单4500189603
Remark: 1.77772GQ5-S001-MINI BRANDS-VINYL-SERIES 1-CAPSULE,WITH DEMO,25PCS/GRAVITY PDQ,25PCS/PDQ/CTN;
2.产品包装MA 1L 收缩膜+MA 5L 收藏指南+MA 23L 组装说明+客版PDQ+产品UPC贴纸；客版PDQ翻单4500189603；收缩膜上的UPC显示193052118721
 4  mini vinyls(1 Target US Exclusive),1 accessory;
 3. 外箱正唛左上角位置粘贴条码箱贴纸，每箱只贴一张，由ZURU订购。来料贴纸上显示的客户DPCI# 086-02-7610, UPC显示10193052118728;
 4. 产品和包装上均要印刷tracking code信息，格式为ZURU常规格式；
 5. 需要我司QC验货之后才能安排出货；
 6. 出货方式：  货代自提；
 7. 用全新的配比(不要18号、21号、23号碟片)</t>
  </si>
  <si>
    <t>ZB06633-8.17</t>
  </si>
  <si>
    <t>7XD8HJCT</t>
  </si>
  <si>
    <t>4500214290-10</t>
  </si>
  <si>
    <t>由4500204466/4500204514/4500204517/4500204505/4500203137/4500202932合并为一个新PO4500214290，数量不变</t>
  </si>
  <si>
    <t>SSCC外箱贴纸</t>
  </si>
  <si>
    <t>日期码格式：ZURU INC(BVI) 标准格式                  日期：按实际生产日期
Packaging Info: 77876 - 客户新下单PO7XD8HJCT，用于取代返工后的订单4500204466，4500204514，4500204517，4500204505，4500203137，4500202932，返工后的产品需要加UPC
贴纸 (新UPC-193052118752)，覆盖原铜板纸上的旧UPC。外箱的SSCC贴纸需要用笔划掉后重新贴对应新单的SSCC贴纸。
注意：此单走空运，不得延期！
Remark: 1. Amazon MDDP订单，出口US。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</si>
  <si>
    <t>ZB06780/ZB06781/ZB06782-8.17</t>
  </si>
  <si>
    <t>4500198161-30</t>
  </si>
  <si>
    <t>6/8外箱贴纸SSCC Label+一张防盜贴纸(贴纸以及防盜贴纸位置图翻单PO#4500193539</t>
  </si>
  <si>
    <t>两张张覆盖PDQ上唱片的贴纸+两张张覆盖收藏指南上唱片的贴纸+一张覆盖PDQ上数字"45"的贴纸+一张覆盖收藏指南上数字"45"的贴纸</t>
  </si>
  <si>
    <t>日期码格式：ZURU INC(BVI) 标准格式 日期：按实际生产日期
Packaging Info: 77772GQ1:MA英语UPC版本包装（收缩膜和说明书, MA首选1L，如无1L可用多语且含英语的配套多语包装) +一张防盜贴纸(贴纸以及防盜贴纸位置图翻单PO#450019353
9)+客制PDQ+客制收藏指南（PDQ与收藏指南翻单PO#4500197999）+箱唛+外箱贴纸SSCC Label
 配比信息：4 mini vinyls,1 accessory
 Removed了 ""Messy &lt;(&gt;&amp;&lt;)&gt; Delicious""两张唱片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请注意此订单与AU PO#4500198158一起合并计算，但是77785需要与AU PO#4500189480一起合并计算</t>
  </si>
  <si>
    <t>4500198158-30</t>
  </si>
  <si>
    <t>日期码格式：ZURU INC(BVI) 标准格式 日期：按实际生产日期
Packaging Info: 77772GQ1:MA英语UPC版本包装（收缩膜和说明书, MA首选1L，如无1L可用多语且含英语的配套多语包装) +一张防盜贴纸(贴纸以及防盜贴纸位置图翻单PO#450019353
9)+客制PDQ+客制收藏指南（PDQ与收藏指南翻单PO#4500197999）+箱唛+外箱贴纸SSCC Label
配比信息：4 mini vinyls,1 accessory
Removed了 ""Messy &lt;(&gt;&amp;&lt;)&gt; Delicious""两张唱片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此单与NZ PO#4500198161一起合并计算</t>
  </si>
  <si>
    <t>4500202772-100</t>
  </si>
  <si>
    <t>5/6 确认</t>
  </si>
  <si>
    <t>5/25cat label 1张贴PVC圆筒底部+C版WEEE不带电池走货说明书</t>
  </si>
  <si>
    <t>日期码格式：ZURU INC(BVI) 标准格式 日期：按实际生产日期
Packaging Info:
77876:2PK 77772 IN PVC TUBE，remove lola young唱片，
客版 3L(3L warning 无条码)A收缩膜(参考翻单PO#4500198642, 新UK地址)+客版3L(3L warning UPC)A彩卡(参考翻单PO#4500198642，新UK地址)+cat label 1张贴P
VC圆筒底部，客版指南翻4500200925+C版WEEE不带电池走货说明书
2.注意Cat.label （要求易撕类贴纸，但是粘性不能过低），同时此贴纸每个订单都是不相同的（会显示客户对应的订单号），切勿翻旧订单购买。此贴纸由ZURU提
供贴纸图稿和贴纸位置图给工厂后，工厂自行购买。
3.请先检查条码是否正确再安排做，标签上的目录编号数字高度必须至少为5mm （14.17pt）
Remark: *MA包装最新版本
*包装日期码按ZURU格式即可，请确保不迟于外箱日期码，可等于或者早于外箱日期码，必须为法定工作日。
*外箱尺寸任何一条边长度超过75cm或者每箱重量超过10KG，需要在外箱上加三脚架符号，有问题请与ZURU跟单同事核实。
*主拼工厂需要准备密网安排装柜
*出欧洲电子产品需要加WEEE说明书，区分带电池和不带电池两种版本，不是电子产品可忽略。
*订单必须经过ZURU QC验货并且通过后方可出货。
*订单出英国，请注意检查产品及包装应带UKCA图标，包装显示ZURU UK LTD信息，QC同事请查核，如有问题与跟单确认。
*条码扫描会显示客户7位数产品号而不是客户的订单号码。
*标签上的目录编号数字高度必须至少为5mm （14.17pt）。
*所有产品按符合欧洲标准走货，需要是不含微塑料版本 。
*若任何产品涉及到硼的，请使用低硼版本(没有则忽略此要求)
*客户不接受PVC材质包装。
*外箱不得使用带金属夹子或带扣。
*出欧洲的电子产品需要额外增加WEEE电池说明书，区分带电池走货和不带电池走货两种版本，如果不是电子产品可忽略
*主拼工厂需要提前准备密网用于装柜，漏掉会导致客人罚款</t>
  </si>
  <si>
    <t>4500213014-10</t>
  </si>
  <si>
    <t>由4500203953转单</t>
  </si>
  <si>
    <t>空运</t>
  </si>
  <si>
    <t>纸箱直接用4500203953的</t>
  </si>
  <si>
    <t>日期码格式：ZURU INC(BVI) 标准格式                  日期：按实际生产日期
Packaging Info: 77772GQ2: MA PDQ (优先多语)+客版5L收缩膜 (翻PO#4500191961) +客版5L收藏指南(翻PO#4500211227)+MA 23L组装说明书+MA内袋
EAN#4894680051133
*必须移除Messy Lola Young (VINYL-S1-021) 这个唱片, 比例按PM更新的安排, 如未按要求做货被客罚由工厂承担责任*
77794UQ1: 最新MA 3L底座/纸卡/贴纸+MA 23L游戏说明书+MA 23L锂电池说明书+MA 23L警示说明书+MA PDQ (优先多语)
EAN#4894680051430
RECHARGEABLE LITHIUM BATTERY(INCLUDED)
*外箱需加一张UN3481锂电池运输标签*
Remark: Smyths 英国/爱尔兰
 1. 请准时出货，推期会有罚款；
 2. 所有产品按符合欧洲标准走货，需要是不含微塑料版本。
3.包装日期码按ZURU格式即可，请确保不迟于外箱日期码，可等于或者早于外箱日期码，必须为法定工作日，印刷前请先检查外箱日期码。
4.请注意检查产品及包装应带UKCA图标（14+产品除外），包装显示ZURU UK LTD/ZURU France地址信息，QC部门请查核，如有问题与跟单确认
5.电子产品需增加一张WEEE声明29L通用黑白说明书，区分带电池(D版)和不带电池(C版)出货版本, 如已做带WEEE声明的客版说明书可忽略此要求；如包装备注上缺
少此部分信息，请提醒跟单更新备注。
6.订单备注显示有分批的(不同仓库/订单号), 一定要区分客户订单号做货出货，否则会导致罚款  。
7.做货前请先复核包装条码与订单是否一致再安排，对不上的需与ZURU跟单确认再安排。
8.包装必须含法国回收标(Sorting Label)，如没有，请提醒跟单提供贴纸资料。</t>
  </si>
  <si>
    <t>4500207409-20</t>
  </si>
  <si>
    <t>7/9完成</t>
  </si>
  <si>
    <t>7/10 空运</t>
  </si>
  <si>
    <t>7/9空运</t>
  </si>
  <si>
    <t>外箱黄色贴纸“fast start"</t>
  </si>
  <si>
    <t>日期码格式：ZURU INC(BVI) 标准格式                     日期：按实际生产日期
Remark: 77772:MA英语UPC版本包装(收缩膜和说明书，MA首选1L、如无1L可用多语且含英语的配套多语包装)+客制PDQ+客制收藏指南+箱唛+外箱黄色贴纸“fast start"
配比信息:4 mini vinyls,l accessry
Removed "Messy"&lt;(&gt;&lt;&lt;)&gt;(&gt;&lt;(&gt;&amp;&lt;)&gt;&lt;(&gt;&lt;&lt;)&gt;)&gt;"Delicious"两张唱片</t>
  </si>
  <si>
    <t>WALMART CENTRAL AMERICA-GT</t>
  </si>
  <si>
    <t>4500205421-40</t>
  </si>
  <si>
    <t>7/23 SI</t>
  </si>
  <si>
    <t>6/6客户进口商贴纸</t>
  </si>
  <si>
    <t>日期码格式：ZURU INC(BVI) 标准格式                  日期：按实际生产日期
Packaging Info: 
77772GQ2：MA 3L EAN 包装(+ UPC 条码贴纸)+MA 3L PDQ包装+客户进口商贴纸+箱唛
Remark: 1.请注意产品包装条形码必须是UPC
2.无第三方验货</t>
  </si>
  <si>
    <t>WALMART CENTRAL AMERICA</t>
  </si>
  <si>
    <t>4500206746-40</t>
  </si>
  <si>
    <t>7/18 SI</t>
  </si>
  <si>
    <t>所有贴纸翻单P04500205421</t>
  </si>
  <si>
    <t>日期码格式：ZURU INC(BVI) 标准格式                  日期：按实际生产日期
Packaging Info: 
77772GQ2：MA 3L EAN 包装(+ UPC 条码贴纸)+MA 3L PDQ包装+客户进口商贴纸+箱唛
所有贴纸翻单P04500205421
Remark: 1.请注意产品包装条形码必须是UPC
2.无第三方验货</t>
  </si>
  <si>
    <t>WALMART CENTRAL AMERICA-CR</t>
  </si>
  <si>
    <t>哥斯达黎加</t>
  </si>
  <si>
    <t>4500206748-40</t>
  </si>
  <si>
    <t>日期码格式：ZURU INC(BVI) 标准格式                  日期：按实际生产日期
Packaging Info:
77772GQ2：MA 3L EAN 包装(+ UPC 条码贴纸)+MA 3L PDQ包装+客户进口商贴纸+箱唛
所有贴纸翻单P04500205421
Remark: 1.请注意产品包装条形码必须是UPC
2.无第三方验货</t>
  </si>
  <si>
    <t>4500203957-10</t>
  </si>
  <si>
    <t>ZB07013(REV1)-8.17</t>
  </si>
  <si>
    <t>4500203956-10</t>
  </si>
  <si>
    <t>ZB07054-8.17</t>
  </si>
  <si>
    <t>60X790941</t>
  </si>
  <si>
    <t>4500205648-10</t>
  </si>
  <si>
    <t>4. 验货+ 抽板 （同一天进行）7月20日利丰第三方验货，验货时第三方（利丰）到工厂做100%大货现场验货和抽板，验货需打印EPM出来跟客户回签样板供第三方验货参考。
抽板：
利丰验货员现场针对指定款随机抽板6PCS（须带包装）。
工厂需把抽板寄到以下MTS 地址做测试，测试通过后才能出货；如产品有油漆的工厂需额外准备10G/色的油漆涂在同材质胶件上(面积类似A4纸大小)一并寄出；
实验室收件地址：
东莞现代产品整理服务有限公司（MTS）
广东省东莞市寮步镇新旧围村良平路76号
收件人：Cherry Wang （汪单）
Tel: +86 769- 8112 0818 ext.893
抽板有随样文件TRF（跟单提供），工厂在寄样时打印出来放纸箱内随样寄走。
5. 出货配比：ZURU 标版配比
6. ZURU QA 验货时需拍齐每款角色的产品和产品包装上的日期码照片（供实验室review）</t>
  </si>
  <si>
    <t>5/29确认</t>
  </si>
  <si>
    <t>日期码格式：ZURU INC(BVI) 标准格式 日期：按实际生产日期
Packaging Info: 1. 包材：ZURU MA UPC 版本，出口美国；
Remark: 2. 日期跟踪码：ZURU标准格式日期码，产品包装及产品本身都必须有ZURU标准格式日期码，并且确保两者信息保持一致(请自行调整具体年月日生产期，但不能为
周末）。
PS: 毛绒款产品包装和布标上日期码可以不一致，但需提前提供照片给到我们找客户特批出货.
3. 大货样
#77772GQ1 签样同旧单4500197095,但如订单最终出货有物料变更，须提前告知跟单决定是否重新寄签样。
4. 验货+ 抽板 （同一天进行）
预约7月1日利丰第三方验货，验货时第三方（利丰）到工厂做100%大货现场验货和抽板，验货需打印EPM出来跟客户回签样板供第三方验货参考。
PS:EPM是跟单提供。
抽板：
利丰验货员现场针对指定款随机抽板6PCS（须带包装）。
工厂需把抽板寄到以下MTS 地址做测试，测试通过后才能出货；如产品有油漆的工厂需额外准备10G/色的油漆涂在同材质胶件上(面积类似A4纸大小)一并寄出；
实验室收件地址：
东莞现代产品整理服务有限公司（MTS）
广东省东莞市寮步镇新旧围村良平路76号
收件人：Cherry Wang （汪单）
Tel: +86 769- 8112 0818 ext.893
抽板有随样文件TRF（跟单提供），工厂在寄样时打印出来放纸箱内随样寄走。
5. 出货配比：ZURU 标版配比
6. ZURU QA 验货时需拍齐每款角色的产品和产品包装上的日期码照片（供实验室review）</t>
  </si>
  <si>
    <t>ZB07310-8.17</t>
  </si>
  <si>
    <t>4500203952-10</t>
  </si>
  <si>
    <t>7/21出货</t>
  </si>
  <si>
    <t>ZB07055-8.17</t>
  </si>
  <si>
    <t>4500203958-10</t>
  </si>
  <si>
    <t>ZB07305-8.17</t>
  </si>
  <si>
    <t>4500203960-10</t>
  </si>
  <si>
    <t>ZB07306-8.17</t>
  </si>
  <si>
    <t>4500205374-30</t>
  </si>
  <si>
    <t>暂停生产</t>
  </si>
  <si>
    <t>pass</t>
  </si>
  <si>
    <t>请直接消耗4500194882 外箱 ，可接受手动更正外箱的总箱数</t>
  </si>
  <si>
    <t>日期码格式：ZURU INC(BVI) 标准格式 日期：按实际生产日期
Packaging Info: MA PKG， 优先1L , MA 说明书&lt;(&gt;&amp;&lt;)&gt; 收藏指南，MA PDQ 优先1L
此单77772GQ2 请直接消耗呆滞成品4500194881-77772GQ2 ，外箱也无需返工。
此单77794UQ1：2,000pcs, 请直接消耗4500194882 外箱 ，可接受手动更正外箱的总箱数
Remark:</t>
  </si>
  <si>
    <t>10001958370-0581</t>
  </si>
  <si>
    <t>4500214139-10</t>
  </si>
  <si>
    <t>由4500200940转单</t>
  </si>
  <si>
    <t>7/2 确认</t>
  </si>
  <si>
    <t>7/3 上外箱贴纸</t>
  </si>
  <si>
    <t>日期码格式：ZURU  INC(BVI)  标准格式                                    日期：按实际生产日期
Packaging Info: 产品包装MA  1L  收缩膜+MA  5L  收藏指南+MA  23L  组装说明+客版PDQ+产品UPC贴纸；客版PDQ翻单4500189603
Remark: 1.77772GQ5-S001-MINI  BRANDS-VINYL-SERIES  1-CAPSULE,WITH  DEMO,25PCS/GRAVITY  PDQ,25PCS/PDQ/CTN;
2.产品包装MA  1L  收缩膜+MA  5L  收藏指南+MA  23L  组装说明+客版PDQ+产品UPC贴纸；客版PDQ翻单4500189603；收缩膜上的UPC显示193052118721
   4    mini  vinyls(1  Target  US  Exclusive),1  accessory;
   3.  外箱正唛左上角位置粘贴条码箱贴纸，每箱只贴一张，由ZURU订购。来料贴纸上显示的客户DPCI#  086-02-7610,  UPC显示10193052118728;
   4.  产品和包装上均要印刷tracking  code信息，格式为ZURU常规格式；
   5.  需要我司QC验货之后才能安排出货；
   6.  出货方式：     货代自提；
7.  原订单4500200940的删单重下，用旧配比返工(含有18号碟片，不要21号和23号碟片)，外箱需加贴水贴纸覆盖原客人PO号和DPCI号码</t>
  </si>
  <si>
    <t>ZB06777-8.17</t>
  </si>
  <si>
    <t>Royal Regent Products (Asia) Limited</t>
  </si>
  <si>
    <t>ZMPO260746</t>
  </si>
  <si>
    <t>ZMPO260746-10</t>
  </si>
  <si>
    <t>Remark：15个成品球/成品球里面不能含左图中的Messy/Not like us/Delicious唱片
[图片]备注： 收到样品订单后尽快安排 ，谢谢！</t>
  </si>
  <si>
    <t>10001958369-0581</t>
  </si>
  <si>
    <t>4500214141-10</t>
  </si>
  <si>
    <t>日期码格式：ZURU  INC(BVI)  标准格式                                    日期：按实际生产日期
Packaging Info: 产品包装MA  1L  收缩膜+MA  5L  收藏指南+MA  23L  组装说明+客版PDQ+产品UPC贴纸；客版PDQ翻单4500189603
Remark: 1.77772GQ5-S001-MINI  BRANDS-VINYL-SERIES  1-CAPSULE,WITH  DEMO,25PCS/GRAVITY  PDQ,25PCS/PDQ/CTN;
2.产品包装MA  1L  收缩膜+MA  5L  收藏指南+MA  23L  组装说明+客版PDQ+产品UPC贴纸；客版PDQ翻单4500189603；收缩膜上的UPC显示193052118721
  4    mini  vinyls(1  Target  US  Exclusive),1  accessory;
  3.  外箱正唛左上角位置粘贴条码箱贴纸，每箱只贴一张，由ZURU订购。来料贴纸上显示的客户DPCI#  086-02-7610,  UPC显示10193052118728;
  4.  产品和包装上均要印刷tracking  code信息，格式为ZURU常规格式；
  5.  需要我司QC验货之后才能安排出货；
  6.  出货方式：     货代自提；
  7.  16775pcs：原订单4500200933的删单重下，用旧配比返工(含有18号碟片，不要21号和23号碟片)，外箱需加贴水贴纸覆盖原客人PO号和DPCI号码
  8.  64375pcs：原订单4500200932  /  4500211262  /  4500207477  的删单重下，用新配比生产（不要18号、21号、23号碟片），外箱需加贴水贴纸覆盖原客人PO号和DP
  CI号码</t>
  </si>
  <si>
    <t>ZB06776/ZB06797</t>
  </si>
  <si>
    <t>ZMPO260747</t>
  </si>
  <si>
    <t>ZMPO260747-10</t>
  </si>
  <si>
    <t>Remark大货版本/只需要左图指定7款散件/同款装一袋/并在袋子上注明款号备注：收到样品订单后尽快安排 ，注意样板品质质量要求要高于大货品质要求 ，送货时必须要附带送货单(没有送货单和QC检验合格报告的仓库一律拒绝收货)，请知悉，谢谢！</t>
  </si>
  <si>
    <t>6FFPTG1N</t>
  </si>
  <si>
    <t>4500199191-150</t>
  </si>
  <si>
    <t>7/20已出货</t>
  </si>
  <si>
    <t>7/3SSCC Label+1张贴纸(含DE/IT警告语+IT环保标, 参考翻单PO#4500198642);</t>
  </si>
  <si>
    <t>日期码格式：ZURU INC(BVI) 标准格式 日期：按实际生产日期
Packaging Info: Amazon UK: 6FFPTG1N/3WDKG8LJ/7OUSHCDE
Amazon UK(77876/77878/92146BDG)
1. 77876: 2pk 77772 VINYL into PVC tube,12tubes/ctn; 77772: 移除Lola Young vinyl款; 客版 3L(3L warning 无条码,新UK地址,翻单4500198642)收缩膜+客
版收藏指南(移除Lola Young vinyl款,翻单4500198654)+MA 23L warning A组装黑白说明书+MA其它最新配套包装+客版3L(3L warning UPC)彩卡(新UK地址,翻单PO45
00198654)+1张贴纸(1张含DE/IT警告语+IT环保标, 贴彩卡, 贴纸翻单PO4500198642)+不带电30L B版WEEE说明书;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,&lt;(&gt;,&lt;)&gt; 此要求只适用Amazon UK/DE
/FR/ES/IT,不适用Amazon GPE，Amazon GPE无SSCC label, 但是有对应箱唛，需印刷到外箱 。
2.出往UK的产品+包装务必打上UKCA logo ，否则客人会退货且当地会有罚款。Amazon GPE（包含UK/FR/ES/DE/IT）的订单也需满足此要求。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故此请严格把关。Amazon GPE（包含UK/FR/ES/DE/IT）的订单也需满足此要求。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
9. 无论是工厂自检还是ZURU验货，验货报告中必须有产品6面图(正面/背面/左面/右面/顶部/底部，不带包装);
10. 按空海运鉴定报告的要求，只要带锂电池出货，都需要加贴UN贴纸；
11. 所有出往GAS市场(德国/奥地利/瑞士)的电子产品身上需要加字唛，为ZURU FRANCE 地址，需跟包装上的地址一致 (如无电子产品，产品布标有此地址，或产品
太小无法增加可忽略此信息。如产品无法加字唛，需让对应跟单提供产品贴纸资料);（Amazon GPE的订单也需满足此要求）
12. 所有出往GAS德国 (瑞士，奥地利)。水弹枪系列必须使用EN71版本（电子和非电子水弹枪系列都需要符合); 护目镜需打日期码, 格式跟ZURU标准格式一样; 枪
身上增加ZURU FRANCE公司名和地址。使用贴纸和辐射上去都可以。如果有位置，最好增加ZURU Represented by: (此最好翻译德语，如果位置不允许，那么就只增
加ZURU法国和地址)。使用最新的EN71版包装和说明书）。Amazon GPE（包含UK/FR/ES/DE/IT）的订单也需满足此要求。</t>
  </si>
  <si>
    <t>7OUSHCDE</t>
  </si>
  <si>
    <t>4500199191-160</t>
  </si>
  <si>
    <t>CENTROS COMERCIALES CARREFOUR S.A.</t>
  </si>
  <si>
    <t>西班牙</t>
  </si>
  <si>
    <t>43CHT26ESCA1071</t>
  </si>
  <si>
    <t>4500203810-40</t>
  </si>
  <si>
    <t>7/21 SI</t>
  </si>
  <si>
    <t>空白纸箱: 四面印刷+四面ZURU LOGO放顶部: 在正唛（只1面）加多虚线15 x 10.5 cm ( 高x 宽) 距箱左边2cm， 距箱底 3cm，虚线内1张外箱贴纸，要求使用双坑纸箱，外箱尺寸超出7%有350USD的罚款，请注意外箱尺寸变更不能超出7%。下表客人系统外箱尺寸FYI.</t>
  </si>
  <si>
    <t>家乐福网站订购外箱贴纸</t>
  </si>
  <si>
    <t>日期码格式：ZURU INC(BVI) 标准格式                  日期：按实际生产日期
Packaging Info:
77772：  MA3L EAN收缩膜+法国/西班牙回收标贴纸+MA5L收藏指南++MA小袋子+MA23L组装说明书
Remark: 1.大货样品2套，请多备料。
 2. 出口欧洲，所有产品微塑料需符合法规。
 3. 产品、包装、外箱日期码需一致。
 4. 空白纸箱: 在正唛（只1面）加多虚线15 x 10.5 cm ( 高x 宽) 距箱左边2cm，  距箱底 3cm，虚线内1张外箱贴纸（在checkpoint网站上订）Custeomer Service:
 Erica Lun Tel.+852 2995 8399/erica.lun@checkpt.com
 5. 所有包装材料禁止使用PVC，需改用PET材料。
 6. 要求使用双坑纸箱，外箱尺寸超出7%有350USD的罚款，请注意外箱尺寸变更不能超出7%。下表客人系统外箱尺寸FYI.
8.所有出往欧洲市场订单的电子产品需增加一张WEEE声明说明书，区分带电池和不带电池版本, 如已做客版说明书可忽略此要求。</t>
  </si>
  <si>
    <t>Amber Zhang</t>
  </si>
  <si>
    <t>43CHT26ESCA1088</t>
  </si>
  <si>
    <t>4500203934-40</t>
  </si>
  <si>
    <t>日期码格式：ZURU INC(BVI) 标准格式                  日期：按实际生产日期
Packaging Info: 
77772: MA3L EAN收缩膜+法国/西班牙回收标贴纸+MA5L收藏指南++MA小袋子+MA23L组装说明书
Remark: 1.大货样品2套，请多备料。
 2. 出口欧洲，所有产品微塑料需符合法规。
 3. 产品、包装、外箱日期码需一致。
 4. 空白纸箱: 在正唛（只1面）加多虚线15 x 10.5 cm ( 高x 宽) 距箱左边2cm，  距箱底 3cm，虚线内1张外箱贴纸（在checkpoint网站上订）Custeomer Service:
 Erica Lun Tel.+852 2995 8399/erica.lun@checkpt.com
 5. 所有包装材料禁止使用PVC，需改用PET材料。
 6. 要求使用双坑纸箱，外箱尺寸超出7%有350USD的罚款，请注意外箱尺寸变更不能超出7%。下表客人系统外箱尺寸FYI.
8.所有出往欧洲市场订单的电子产品需增加一张WEEE声明说明书，区分带电池和不带电池版本, 如已做客版说明书可忽略此要求。</t>
  </si>
  <si>
    <t>4500203961-10</t>
  </si>
  <si>
    <t>ZB07057-8.17</t>
  </si>
  <si>
    <t>4500203962-10</t>
  </si>
  <si>
    <t>ZB07056-8.17</t>
  </si>
  <si>
    <t>43CHT26ESCA1077</t>
  </si>
  <si>
    <t>4500203860-40</t>
  </si>
  <si>
    <t>日期码格式：ZURU INC(BVI) 标准格式                  日期：按实际生产日期
Packaging Info:
77772:MA3L EAN收缩膜+法国/西班牙回收标贴纸+MA5L收藏指南++MA小袋子+MA23L组装说明书
Remark: 1.大货样品2套，请多备料。
 2. 出口欧洲，所有产品微塑料需符合法规。
 3. 产品、包装、外箱日期码需一致。
 4. 空白纸箱: 在正唛（只1面）加多虚线15 x 10.5 cm ( 高x 宽) 距箱左边2cm，  距箱底 3cm，虚线内1张外箱贴纸（在checkpoint网站上订）Custeomer Service:
 Erica Lun Tel.+852 2995 8399/erica.lun@checkpt.com
 5. 所有包装材料禁止使用PVC，需改用PET材料。
 6. 要求使用双坑纸箱，外箱尺寸超出7%有350USD的罚款，请注意外箱尺寸变更不能超出7%。下表客人系统外箱尺寸FYI.
8.所有出往欧洲市场订单的电子产品需增加一张WEEE声明说明书，区分带电池和不带电池版本, 如已做客版说明书可忽略此要求。</t>
  </si>
  <si>
    <t>43CHT26ESCA1083</t>
  </si>
  <si>
    <t>4500203898-40</t>
  </si>
  <si>
    <t>日期码格式：ZURU INC(BVI) 标准格式                  日期：按实际生产日期
Packaging Info:
77772：MA3L EAN收缩膜+法国/西班牙回收标贴纸+MA5L收藏指南++MA小袋子+MA23L组装说明书
Remark: 1.大货样品2套，请多备料。
 2. 出口欧洲，所有产品微塑料需符合法规。
 3. 产品、包装、外箱日期码需一致。
 4. 空白纸箱: 在正唛（只1面）加多虚线15 x 10.5 cm ( 高x 宽) 距箱左边2cm，  距箱底 3cm，虚线内1张外箱贴纸（在checkpoint网站上订）Custeomer Service:
 Erica Lun Tel.+852 2995 8399/erica.lun@checkpt.com
 5. 所有包装材料禁止使用PVC，需改用PET材料。
 6. 要求使用双坑纸箱，外箱尺寸超出7%有350USD的罚款，请注意外箱尺寸变更不能超出7%。下表客人系统外箱尺寸FYI.
8.所有出往欧洲市场订单的电子产品需增加一张WEEE声明说明书，区分带电池和不带电池版本, 如已做客版说明书可忽略此要求。</t>
  </si>
  <si>
    <t>MTA  TRADE  -  UNITY</t>
  </si>
  <si>
    <t>哈萨克斯坦</t>
  </si>
  <si>
    <t>4500208203-10</t>
  </si>
  <si>
    <t>7/18号完成</t>
  </si>
  <si>
    <t>6/11进口商贴纸+6/2 QR  贴纸</t>
  </si>
  <si>
    <t>日期码格式：ZURU  INC(BVI)  标准格式                                    日期：按实际生产日期
Packaging Info: 77772GQ1：    MA 1L B版  UPC收缩膜+MA 说明书+MA 锂电池说明书+MA PDQ+进口商贴纸+QR code (一物一码)
条码：193052090065
配比：标准配比
Remark: 1.包装：MA  UPC包装+进口商贴纸+QR  贴纸
2.  QR  贴纸要求：     需包含产品型号（item）+  序列号，二维码（QR  code）正方形边长  1.5cm  。
材质与粘性：采用与进口商贴纸一致的材质，强粘性、不易脱落/掉色。
印刷与尺寸：印刷质量不低于  1.5c，整体贴纸尺寸为  3×3cm（正方形）。尺寸要根据产品包装的实际大小调整，保持整体美观，二维码清晰可扫。
   3.  二维码贴纸位置要远离包装上的条码及其他二维码，     贴在背面。
   4.  QR  code贴纸（要求一物一码，每PCS的二维码不一样）;
   5.  QR  code  格式  ：DATA  MATRIX  GS1  ；
   6.  若多个柜子，BY  TRAIN  要求带电池/不带电池不同柜；装柜时同一款必须放在同一个柜子里。
   7.  整张单走EXW。</t>
  </si>
  <si>
    <t>Anna  Lian</t>
  </si>
  <si>
    <t>10001958368-0581</t>
  </si>
  <si>
    <t>4500214143-10</t>
  </si>
  <si>
    <t>由4500207496转单</t>
  </si>
  <si>
    <t>日期码格式：ZURU  INC(BVI)  标准格式                                    日期：按实际生产日期
Packaging Info: 产品包装MA  1L  收缩膜+MA  5L  收藏指南+MA  23L  组装说明+客版PDQ+产品UPC贴纸；客版PDQ翻单4500189603
Remark: 1.77772GQ5-S001-MINI  BRANDS-VINYL-SERIES  1-CAPSULE,WITH  DEMO,25PCS/GRAVITY  PDQ,25PCS/PDQ/CTN;
2.产品包装MA  1L  收缩膜+MA  5L  收藏指南+MA  23L  组装说明+客版PDQ+产品UPC贴纸；客版PDQ翻单4500189603；收缩膜上的UPC显示193052118721
   4    mini  vinyls(1  Target  US  Exclusive),1  accessory;
   3.  外箱正唛左上角位置粘贴条码箱贴纸，每箱只贴一张，由ZURU订购。来料贴纸上显示的客户DPCI#  086-02-7610,  UPC显示10193052118728;
   4.  产品和包装上均要印刷tracking  code信息，格式为ZURU常规格式；
   5.  需要我司QC验货之后才能安排出货；
   6.  出货方式：     货代自提；
7.  原订单4500207496的删单重下，用新配比生产（不要18号、21号、23号碟片），外箱需加贴水贴纸覆盖原客人PO号和DPCI号码</t>
  </si>
  <si>
    <t>ZB06809-8.17</t>
  </si>
  <si>
    <t>JUGUETTOS CENTRAL DE COMPRAS, S.COO</t>
  </si>
  <si>
    <t>4500206705-10</t>
  </si>
  <si>
    <t>客户要求提供3套大货样板&lt;(&gt;&amp;&lt;)&gt; 3个折叠好的空盒子(如含有PDQ的话要寄PDQ)，  在7/3前到深圳办公室 ，需备料</t>
  </si>
  <si>
    <t>5/19西班牙环保标贴纸，WEEE带电池走货欧洲29语通用黑白说明书</t>
  </si>
  <si>
    <t>日期码格式：ZURU INC(BVI) 标准格式 日期：按实际生产日期
Packaging Info: 77772GQ2：MA 最新3L EAN包装+1张西班牙环保标贴纸，MA最新 3L PDQ+MA最新23L Game &lt;(&gt;&amp;&lt;)&gt; warning说明书+MA最新23L锂电池说明书+WEEE带电池走货欧洲29语
 通用黑白说明书
Remark: 1. 此单出西班牙市场，需满足EU测试标准要求，微塑料需符合EU法规。
 2. 需ZURU OQC验货后才可以安排出货，需要给到客户验货图片审批才可以放货
 3. 客户要求提供3套大货样板&lt;(&gt;&amp;&lt;)&gt; 3个折叠好的空盒子(如含有PDQ的话要寄PDQ)， 在7/3前到深圳办公室 ，需备料</t>
  </si>
  <si>
    <t>Mary Zhong</t>
  </si>
  <si>
    <t>4500212578-20</t>
  </si>
  <si>
    <t>多语警语折叠贴纸(翻单4500192187）+23L玩法说明书+23L警语说明书+23L锂电池警语说明书+最新D版WEEE带电说明书</t>
  </si>
  <si>
    <t>日期码格式：ZURU INC(BVI) 标准格式                  日期：按实际生产日期
Packaging Info: 
77772GQ2：MA 3L EAN 收缩膜+1*多语警语折叠贴纸（翻单4500193875）+MA 23L 组装说明书+MA 5L+23L 收藏指南+MA 纸卡+MA 复合袋+MA 3L PDQ+1* C版 29L WE
EE不带电走货说明书
Remark: 1.北欧内销单，需要通过ZURU 验货结果后才能出货 (工厂需要主动提前同ZURU QC预约验货避免延期出货造成不必要麻烦)；
2. 产品如含有化学品，需要无硼无香，如果产品含有Slime、泥、沙子，需要增加一张MTS PO SLIME, DOUGH, SAND 化学品警语多语说明书；产品如含有硅藻泥干燥
剂，需要另外加一张14L干燥剂说明书。
3.包装不能含有PVC，使用PET
 4. date code: 外箱日期码要等于或者晚于产品日期码
 5.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6.若有特定款有特殊外箱条码要求时,需要明确列出产品款对应的具体外箱条码号码/条码类型 (若无,可以忽略此需求)
7.所有出口欧洲的产品, 法规规定禁止在包装和共公众用的印刷品中使用矿物油中含有的物质, 包装印刷油墨中含有的MOAH/MOSH的质量浓度不能超过1%, 否则出货
到法国被抽检出现问题, 供应商需要对此负责;
8.带电池出货的产品所用到的电池需要符合欧洲电池新规(EU) 2023-1542，并需要加1张WEEE 电池说明书
9.ratio 同MA
10.所有电子产品身上需要加字唛(与包装上的法国地址一致），为ZURU FRANCE 地址 (如无电子产品，或者产品布标有此地址，可忽略此信息)
ZURU FRANCE   33 rue Paul Meurice 75020 Paris, France.；
11.包装上需要有ZURU DANMARK 地址：
Zuru Denmark ApS
Oslo Plads 2, 2100 K benhavn  , Denmark</t>
  </si>
  <si>
    <t>4500199242-90</t>
  </si>
  <si>
    <t>日期码格式： ZURU INC(BVI) 标准格式 日期：按实际生产日期
Packaging Info:
"77772GQ1: MA PDQ+最新MA 1L UPC收缩膜+MA收藏指南+MA组装说明书+MA袋子
UPC#193052090065
Ratio: 4 mini vinyls,1 accessory
*需要移除Messy Lola Young (VINYL-S1-021) 这个唱片, 比例按PM更新的安排*
Remark: 1. 请准时出货，推期会有罚款；
2. 所有产品按符合欧洲标准走货，需要是不含微塑料版本。
3.包装日期码按ZURU格式即可，请确保不迟于外箱日期码，可等于或者早于外箱日期码，必须为法定工作日，印刷前请先检查外箱日期码。
4.请注意检查产品及包装应带UKCA图标（14+产品除外）， 包装显示ZURU UK LTD/ZURU France地址信息，QC部门请查核，如有问题与跟单确认
5.电子产品需增加一张B版WEEE声明30L通用黑白说明书(不接受A版本，翻译有误)，区分带电池和不带电池出货版本, 如已做客版说明书含WEEE信息可忽略此要求；
6.订单备注显示有分批的（不同仓库/订单号） ，注意分开做货出货，否则会导致罚款 。
7.外箱有条码要求，排版时请留意并请确保条码清晰可扫描（封箱胶不要黏到条码上), 否则客人会有罚款。
8.做货前请先复核包装条码与订单是否一致再安排，对不上的需与ZURU跟单确认再安排。
9.最大外箱尺寸和重量 : 600mm x 500mm x 745mm (LxWxH) 以及 G.W. 16 KG，超过的需要客人批准才能出货并且外箱需要印2 man lift标志 。
10.做货前务必核对零售条码是否与订单要求一致 ，对不上到客户仓库需要返工 ，工厂需要承担责任。</t>
  </si>
  <si>
    <t>4500203964-10</t>
  </si>
  <si>
    <t>ZB07058-8.17</t>
  </si>
  <si>
    <t>ZURU SPAIN S.L.</t>
  </si>
  <si>
    <t>4500199601-10</t>
  </si>
  <si>
    <t>6/4 确认</t>
  </si>
  <si>
    <t>多语警语折叠贴纸（含法意西环保标）+最新WEEE带电池出货欧洲通用29L说明书</t>
  </si>
  <si>
    <t>外箱/产品/包装 保持一致，完货后提供date code 信息以便我们保存记录做批次管理;</t>
  </si>
  <si>
    <t>一套给Lisa Yang 用于上传西班牙网站, 以下是地址和联系方式，样品相关细节请与Lisa沟通@Lisa Yang - Merchandising &lt;(&gt;&amp;&lt;)&gt; Operations
&lt;(&gt;&lt;&lt;)&gt;Lisa.ywx@zuru.com&gt;.
Lisa.Yang
(+86) 755 6688 1988 – 3327  +86 15012613809
广东省深圳市罗湖区东门南路1006号口岸大楼A座7楼</t>
  </si>
  <si>
    <t>日期码格式：ZURU INC(BVI) 标准格式                  日期：按实际生产日期
Packaging Info: 77772GQ1：最新MA3L EAN收缩膜+ MA23L说明书+MA5L 收藏指南+MA纸卡和袋子 +  MA3L PDQ + 多语警语折叠贴纸（含法意西环保标）
77794UQ1：最新MA 3L EAN彩盒 + MA23L 电池warning说明书+MA23L 电池使用说明书+ MA23L产品使用说明书+ MA3L PDQ + 多语警语折叠贴纸（含意大利环保标）+
最新WEEE带电池出货欧洲通用29L说明书
Remark: 1. 西班牙国家内销单，需要通过ZURU 验货结果后才能出货 (工厂需要主动提前同ZURU QC预约验货避免延期出货造成不必要麻烦)；
 2. 本订单所有 具有 baby items / assorted items 的款式，零售包装上都要用 母 EAN; 所有订单出口西班牙都需要有西班牙环保标和西班牙（ES）/葡萄牙警语
 (PT)的说明书。
 3. 若有特定款有特殊外箱条码要求时,需要明确列出产品款对应的具体外箱条码号码/条码类型 (若无,可以忽略此需求)
 4. 所有出口欧洲的产品, 法规规定禁止在包装和共公众用的印刷品中使用矿物油中含有的物质, 包装印刷油墨中含有的MOAH/MOSH的质量浓度不能超过1%, 否则出
货到法国被抽检出现问题, 供应商需要对此负责;
 5. Date code: 外箱/产品/包装 保持一致，完货后提供date code 信息以便我们保存记录做批次管理;
 6.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7，  带电池产品都需要包含最新29LWEEE黑白说明书(带电池出货/不带电池出货)。
8，MTS所有订单，SMASHERS 或含Slime产品，所有化合物使用无硼版本出；如有香味产品，出无香版本; BOB系列要符合欧洲要求不含亚硝酸版本; XShot Hyper系列
,统一出EN71版本。
9. 电池产品请确保使用新说明书以及新标识的电池以符合最新(EU) 2023/1542法规  （增加制造商信息，电池种类，制造商地址，电池重量，化学组成，可用的灭
火器，浓度重量占比&gt;0.1%的关键原材料，二维码），如果电池不含这些信息，也需要确保电池说明书含这些信息。
10，  请每款寄一套给Lisa Yang 用于上传西班牙网站, 以下是地址和联系方式，样品相关细节请与Lisa沟通@Lisa Yang - Merchandising &lt;(&gt;&amp;&lt;)&gt; Operations
&lt;(&gt;&lt;&lt;)&gt;Lisa.ywx@zuru.com&gt;.
Lisa.Yang
(+86) 755 6688 1988 – 3327  +86 15012613809
广东省深圳市罗湖区东门南路1006号口岸大楼A座7楼</t>
  </si>
  <si>
    <t>SD83</t>
  </si>
  <si>
    <t>PRÉNATAL RETAIL GROUP ASIAPACIFIC</t>
  </si>
  <si>
    <t>4500202542-20</t>
  </si>
  <si>
    <t>7/20号完成</t>
  </si>
  <si>
    <t>4500202542-20拆行，数量不变</t>
  </si>
  <si>
    <t>7/24 截SI</t>
  </si>
  <si>
    <t>6/9进口商贴纸（含意大利环保标）+一张产品贴纸+一张意/希weeee说明书纸</t>
  </si>
  <si>
    <t>一张空白贴纸（覆盖条码）</t>
  </si>
  <si>
    <t>已安排</t>
  </si>
  <si>
    <t>日期码格式：LOT2627 日期：
Packaging Info: 
2. 77869：客版3L彩盒（翻4500199646）+一张进口商贴纸（含意大利环保标）+一张产品贴纸+最新MA 5L收藏指南+最新MA 23L说明书+一张意/希weeee说明书纸
77772：最新MA 3L EAN收缩膜+一张空白贴纸（覆盖条码）
77794：最新MA 3L EAN包装+一张空白贴纸（覆盖条码）+最新MA 23L 62115警语说明书"
Remark: 1.RATIO 同MA 一致。
2.大货样品2套/item，用于客人验货签板。验货后还会抽办1套/item，请多备料。球类请寄3套+一套配件；具体详见邮件通知
3.客人日期码：LOT2627，包装（含收缩膜等）/产品/外箱 请保持一致。
4.产品均符合EU微塑料法规要求：不能含有微塑料/闪粉
5. SMASHERS 或含Slime产品，所有化合物使用无硼或低硼版本出意大利。
6. 本订单所有 具有 baby items / assorted items 的款式，零售包装上都要用 母 EAN;
7. 此客户需要第三方验货，请在约三方验货前必须PASS ZURU验货。
8. 所有带电产品请复核跟单是否有提供客人指定内容的WEEE说明书（非通用29L版本）；如果做了客版说明书，则会将weee说明加进客版说明书中</t>
  </si>
  <si>
    <t>4500202542-50</t>
  </si>
  <si>
    <t>7/22号完成</t>
  </si>
  <si>
    <t>6/9进口商贴纸（含意大利环保标）+一张产品贴纸+最新MA 5L收藏指南+最新MA 23L说明书+一张意/希weeee说明书纸77772：最新MA 3L EAN收缩膜+一张空白贴纸（覆盖条码）</t>
  </si>
  <si>
    <t>客人日期码：LOT2627，包装（含收缩膜等）/产品/外箱 请保持一致。</t>
  </si>
  <si>
    <t>已安排大货样品2套/item，用于客人验货签板。验货后还会抽办1套/item，请多备料。球类请寄3套+一套配件</t>
  </si>
  <si>
    <t>日期码格式：LOT2627                  日期：
Packaging Info: 1. 
 2. 77869：客版3L彩盒（翻4500199646）+一张进口商贴纸（含意大利环保标）+一张产品贴纸+最新MA 5L收藏指南+最新MA 23L说明书+一张意/希weeee说明书纸
 77772：最新MA 3L EAN收缩膜+一张空白贴纸（覆盖条码）
77794：最新MA 3L EAN包装+一张空白贴纸（覆盖条码）+最新MA 23L 62115警语说明书"
Remark: 1.RATIO 同MA 一致。
2.大货样品2套/item，用于客人验货签板。验货后还会抽办1套/item，请多备料。球类请寄3套+一套配件；具体详见邮件通知
3.客人日期码：LOT2627，包装（含收缩膜等）/产品/外箱 请保持一致。
4.产品均符合EU微塑料法规要求：不能含有微塑料/闪粉
 5. SMASHERS 或含Slime产品，所有化合物使用无硼或低硼版本出意大利。
 6. 本订单所有 具有 baby items / assorted items 的款式，零售包装上都要用 母 EAN;
 7. 此客户需要第三方验货，请在约三方验货前必须PASS ZURU验货。
 8. 所有带电产品请复核跟单是否有提供客人指定内容的WEEE说明书（非通用29L版本）；如果做了客版说明书，则会将weee说明加进客版说明书中</t>
  </si>
  <si>
    <t>AS191225ZUR15275</t>
  </si>
  <si>
    <t>4500208771-130</t>
  </si>
  <si>
    <t>7/23号完成</t>
  </si>
  <si>
    <t>请额外准备一套大货样</t>
  </si>
  <si>
    <t>6/13PDQ 底部贴纸+WEEE 29L 不带电池说明书最新版</t>
  </si>
  <si>
    <t>客版收藏指南（翻单4500200925）</t>
  </si>
  <si>
    <t>日期码格式：ZURU INC(BVI) 标准格式 日期：按实际生产日期 Tracking Code:
Packaging Info: 77772GQ2:MA UPC 最新包装-产品条码-193052090065+PDQ 底部贴纸-35063389172320+WEEE 29L 不带电池说明书最新版+客版收藏指南（翻单4500200925）；出UK,
 配比：4 mini vinyls(去掉 Lola Young vinyl),1 accessory；
Remark: 1.订单出英国，请注意检查产品及包装应带CE/UKCA图标，包装需要显示ZURU UKLTD/ZURU France地址信息，QC同事请查核，如有问题与跟单确认。
2.生产日期按实际的（法定工作日），按ZURU标准格式即可，并需要在出货前提供每个产品外包上对应的生产日期明细
 3.请注意所有订单都需要经过ZURU QC验货加提供客版自检报告审核且通过后方可出货
 4.不接受一个款有多个条码，存在这个情况请让ZURU提供条码贴纸
 5.外箱上的条码请确保清晰可扫描，有PDQ，需要在PDQ底部贴一张带条码并可扫描的贴纸(ZURU 跟单提供模板）。
6.所有产品按符合欧洲标准走货，微塑料需合规并增加IFUD声明，含电池的需要增加WEEE说明书。
 7.请额外准备一套大货样</t>
  </si>
  <si>
    <t>77772GQ2-S001-PRODCC-英国</t>
  </si>
  <si>
    <t>4500203968-10</t>
  </si>
  <si>
    <t>4500203966-10</t>
  </si>
  <si>
    <t>7/23号完成，7/26东莞完成</t>
  </si>
  <si>
    <t>7/27 SI</t>
  </si>
  <si>
    <t>ZB07236-8.17</t>
  </si>
  <si>
    <t>4500203972-10</t>
  </si>
  <si>
    <t>7/28 截关</t>
  </si>
  <si>
    <t>ZB07113-8.17</t>
  </si>
  <si>
    <t>4500203976-10</t>
  </si>
  <si>
    <t>ZB07235-8.17</t>
  </si>
  <si>
    <t>4500203982-10</t>
  </si>
  <si>
    <t>7/24号完成，7/27东莞完成</t>
  </si>
  <si>
    <t>ZB07307-8.17</t>
  </si>
  <si>
    <t>4500198843-10</t>
  </si>
  <si>
    <t>7/21完成，7/23东莞完成</t>
  </si>
  <si>
    <t>7/23 兼柜</t>
  </si>
  <si>
    <t>NASA PANAMA</t>
  </si>
  <si>
    <t>巴拿马</t>
  </si>
  <si>
    <t>05712-LNVFALL</t>
  </si>
  <si>
    <t>4500203217-20</t>
  </si>
  <si>
    <t>已在跟客人沟通</t>
  </si>
  <si>
    <t>6/22UPC贴纸</t>
  </si>
  <si>
    <t>日期码格式：ZURU INC(BVI) 标准格式 日期：按实际生产日期
Packaging Info: 1.优先多语 MA UPC或者3L/5L MA EAN 包装
2.请确保包装上的条形码是UPC，如果是babyUPC、需要用mother UPC覆盖，如有不一致，请及时提出。谢谢!
77772GQ2:MA多语EAN包装+UPC贴纸+MA 多语说明书+MA多语收藏指南+MA 多语PDQ +箱唛
Remark:</t>
  </si>
  <si>
    <t>4500213633-10</t>
  </si>
  <si>
    <t>7/6 抽板测试， 完货50%；7/7 BV自检</t>
  </si>
  <si>
    <t>用4500202338/202342/204887置换+水贴纸</t>
  </si>
  <si>
    <t>条码贴纸翻单4500213227</t>
  </si>
  <si>
    <t>日期码格式：ZURU INC(BVI) 标准格式                  日期：按实际生产日期
Packaging Info: 此单产能与4500202338, 4500202342,4500204887产能置换
#77772---留意剔除有问题的唱片
客版3LPDQ(16装)(翻单:4500195369)+MA3L收缩膜+UPC贴纸(UPC:193052118721)(采用Target us的UPC条码文档)+MA5L收藏指南+MA23L拼装说明书+MA5L复合袋+DEMO纸
卡
Remark: 1. 此单有箱唛;
 2. UPC贴纸：必须在原来错误的条码上用黑色粗头笔涂黑直至不能扫描，再贴上正确的UPC;
 3. 此单有第三方验货，烦请多备包装物料；
 4. 需7/1前安排签样，签样要求如下：
 #77772：大货样3PCS+3套齐套散件+空PDQ2PCS；
 5.需安排7/6抽板测试，抽板要求如下：
 #77772：大货4PCS+4套完整散件；
*********************
a. 请确保产品符合1999年版本的加拿大环境保护法(CEPA)和2012年禁止某些有毒物质法规的要求。该产品不含任何在加拿大禁用的化学物质，包括但不限于有毒物
质清单中列出的化学物质，并且在为加拿大沃尔玛生产产品期间没有使用任何禁用化学物质。
Supplier certify that the products comply with the requirements of Canadian Environmental Protection Act, 1999 (CEPA), Prohibition of Certain To
xic Substances Regulations, 2012.
The products do not contain any chemicals that are banned in Canada, including but not limited to those listed in the Toxic Substances List and
no banned chemicals were used during the manufacturing of product for Walmart Canada.
附件列表：
(1) Letter of Guarantee for Canada banned chemicals - (1-5CA)
b. 请确保产品在均质材料中的汞浓度不超过0.1%（按重量计）。
Supplier certify that the WAL-MART vendor products does not have a mercury concentration of more than 0.1% by weight in homogeneous material.
附件列表：
(1) Letter of Guarantee for Mercury COC
c. 请确保产品的塑料材料不含以下物质（SOR 2011-17 27B):
Supplier certify that the plastic materials do not contain the following substances(SOR 2011-17 27B):
(a) carbon tetrachloride or any substance that contains it;
(b) methyl alcohol or any substance thay contains &gt;1.0%;
 (c) petroleum distillates or any substance that contains &gt;10% weight to volume of petroleum distillates;
 (d) benzene;
(e) turpentine or any substance that contains &gt;10% weight to volume of turpentine;
(f) boric acid or salts of boric acid; or (g) ethyl ether.
附件列表：
(1) Letter of Guarantee for WM CA-Other prohibited substances in plastic(less than 3 years)</t>
  </si>
  <si>
    <t>77772GQ3-S001-3L</t>
  </si>
  <si>
    <t>0005061666</t>
  </si>
  <si>
    <t>4500214280-10</t>
  </si>
  <si>
    <t>7/9 BV验货</t>
  </si>
  <si>
    <t>新纸箱PASS</t>
  </si>
  <si>
    <t>MO20260625手工单转实单</t>
  </si>
  <si>
    <t>13号走空运</t>
  </si>
  <si>
    <t>6/30 确认</t>
  </si>
  <si>
    <t>RFID贴纸已发</t>
  </si>
  <si>
    <t>日期码格式：ZURU INC(BVI) 标准格式 日期：按实际生产日期
Packaging Info: 77772GQ3-S001
1.包装要求：
MA 1L A版收缩膜+MA 5L A版收藏指南+MA 23L A版说明书+MA A版纸袋+客版1L PDQ+客版UPC贴纸；
New UPC number:193052118721
每pcs产品需加贴NEW UPC贴纸。贴前须用黑色笔将原 UPC 条码完全涂黑，使其无法扫描，再粘贴新 UPC 贴纸。
每pcs产品上要贴1张RFID贴纸，贴纸由ZURU提供，贴纸位置请严格按照我们签回的签板；
Remark: 77772GQ3-S001
1.包装要求：
MA 1L A版收缩膜+MA 5L A版收藏指南+MA 23L A版说明书+MA A版纸袋+客版1L PDQ+客版UPC贴纸；
New UPC number:193052118721
每pcs产品需加贴NEW UPC贴纸。贴前须用黑色笔将原 UPC 条码完全涂黑，使其无法扫描，再粘贴新 UPC 贴纸。
每pcs产品上要贴1张RFID贴纸，贴纸由ZURU提供，贴纸位置请严格按照我们签回的签板；
2. 外箱印刷带条码的RFID箱唛：RFID紫色色带+WM Dept.图标+RFID图标+ITF-14条码+粉色艾利贴纸（不干胶打印），四面右下角印刷ZURU logo, ITFF条码只印刷在
正唛一面，在加印的时候确保条形码能扫描出来，1张粉红色贴纸贴在正唛对角线，外箱侧面任一角落加印："MADE IN CHINA" 字样；
3. 在产品上和包装上要有日期码、以及要有MADE IN CHINA和ZURU字样；
4. 产品如有扎带口要剪平，不能刮手。
5. 此单需要抽板和验货，请多备料，预计抽板时间7/7
6. 此单走空运以loose carton出货，16pcs/PDQ/CTN</t>
  </si>
  <si>
    <t>ZB06840-8.17</t>
  </si>
  <si>
    <t>0005061650</t>
  </si>
  <si>
    <t>4500214280-30</t>
  </si>
  <si>
    <t>ZB06841-8.17</t>
  </si>
  <si>
    <t>0005061649</t>
  </si>
  <si>
    <t>4500214280-40</t>
  </si>
  <si>
    <t>ZB06842-8.17</t>
  </si>
  <si>
    <t>0005061655</t>
  </si>
  <si>
    <t>4500214280-50</t>
  </si>
  <si>
    <t>ZB06837-8.17</t>
  </si>
  <si>
    <t>0005061660</t>
  </si>
  <si>
    <t>4500214280-70</t>
  </si>
  <si>
    <t>ZB06843-8.17</t>
  </si>
  <si>
    <t>Wal-mart US</t>
  </si>
  <si>
    <t>MO20260625</t>
  </si>
  <si>
    <t>TBA</t>
  </si>
  <si>
    <t>MO20260625-10</t>
  </si>
  <si>
    <t>待转实单</t>
  </si>
  <si>
    <t>翻单4500214386</t>
  </si>
  <si>
    <t>PRODUCT REQUERIMENTSPACKAGING STYLE：
77772SLB-S001
1.包装要求：
MA 1L A版收缩膜+MA 5L A版收藏指南+MA 23L A版说明书+MA A版纸袋+客版1L PDQ+UPC贴纸；
New UPC number:193052118721
每pcs产品需加贴NEW UPC贴纸。贴前须用黑色笔将原 UPC 条码完全涂黑，使其无法扫描，再粘贴新 UPC 贴纸。
每pcs产品上要贴1张RFID贴纸，贴纸由ZURU提供，贴纸位置请严格按照我们签回的签板；
2. 外箱印刷带条码的RFID箱唛：RFID紫色色带+WM Dept.图标+RFID图标+ITF-14条码，四面右下角印刷ZURU logo, ITFF条码只印刷在正唛一面，在加印的时候确保条形码能扫描出来，外箱侧面任一角落加印："MADE IN CHINA" 字样，箱唛条码待提供；
3. 在产品上和包装上要有日期码、以及要有MADE IN CHINA和ZURU字样；
4. 产品如有扎带口要剪平，不能刮手。
5. 此单需要抽板和验货，请多备料，预计抽板时间7/7
6. 此单走空运以loose carton出货，16pcs/PDQ/CTN</t>
  </si>
  <si>
    <t>4500204118-20</t>
  </si>
  <si>
    <t>MSLD182-77772-S001</t>
  </si>
  <si>
    <t>64pcs唱片机+64pcs唱片球混装展示架</t>
  </si>
  <si>
    <t>价格牌贴在展示架上</t>
  </si>
  <si>
    <t xml:space="preserve">日期码格式：ZURU DGYYYYMMDD CHINA(日期避开周末和法定节假日即可） 日期：按实际生产日期
Packaging Info: MSLD182-客版1L展示架+展示架两侧预留77772的价格牌卡槽, 卡槽尺寸务必要大于2"w*1"H
77772-MA 1L A版收缩膜+MA 5L A版收藏指南+MA 23L A版说明书+MA A版纸袋+客版1L PDQ（翻单：4500195546）+客版UPC贴纸，New UPC number: 193052118721
每pcs产品需加贴NEW UPC贴纸。贴前须用黑色笔将原 UPC 条码完全涂黑，使其无法扫描，再粘贴新 UPC 贴纸。
Remark: 1. 包装要求：
MSLD182-客版1L展示架+展示架两侧预留77772的价格牌卡槽, 卡槽尺寸务必要大于2"w*1"H
77772-MA 1L A版收缩膜+MA 5L A版收藏指南+MA 23L A版说明书+MA A版纸袋+客版1L PDQ（翻单：4500195546）+客版UPC贴纸，New UPC number: 193052118721
每pcs产品需加贴NEW UPC贴纸。贴前须用黑色笔将原 UPC 条码完全涂黑，使其无法扫描，再粘贴新 UPC 贴纸。
2.外箱RFID箱唛（四面右下角需印Zuru Logo)+ ITF-14条码；ITF-14条码印刷在外箱主唛左下角，外箱任一侧面角落备注："MADE IN CHINA" 字样，外箱箱唛资料待
提供。
一张锂电池贴纸贴在有条码的正唛上
3. 在产品上和包装上要有日期码、以及要有MADE IN CHINA和ZURU字样；
4. 产品如有扎带口要剪平，不能刮手。
5. 此单需要验货，请自行多备包装物料。
6. 128pcs/Half Pallet/CTN,
77772GQ3: 64PCS/4PDQ/Half Pallet, 16pcs/PDQ
</t>
  </si>
  <si>
    <t>ZB07537/ZB07538/ZB07539/ZB07540</t>
  </si>
  <si>
    <t>MSLD182-S001</t>
  </si>
  <si>
    <t>4500204118-10</t>
  </si>
  <si>
    <t>7/14 BV验货</t>
  </si>
  <si>
    <t>G.T. WHOLESALE LIMITED</t>
  </si>
  <si>
    <t>3014114-00</t>
  </si>
  <si>
    <t>4500203455-20</t>
  </si>
  <si>
    <t>7/22完成</t>
  </si>
  <si>
    <t>CRD前2周寄出大货样2套</t>
  </si>
  <si>
    <t>7/23 装柜</t>
  </si>
  <si>
    <t>日期码格式：ZURU INC(BVI) 标准格式                  日期：按实际生产日期
Packaging Info: 
77772GQ2  MA 3L EAN版本+UPC贴纸193052090065，UPC贴纸翻单4500193076
77794UQ1 MA多语包装 EAN版本+UPC贴纸193052090409，  UPC翻单4500192784
Remark: 出口加拿大，  有 进口商贴纸
CRD前2周寄出大货样2套
Zuru验货  需要单个产品称重的图片和整箱产品称重的图片，还需要产品上made in China的晒字图片，包装上的警告语的清晰图片，以及单个产品的尺寸测量图片
和外箱的尺寸测量图片
日期跟踪码：产品外包装必须有日期跟踪码，ZURU标准格式日期码</t>
  </si>
  <si>
    <t>KATRINA</t>
  </si>
  <si>
    <t>YUG CONTRACT</t>
  </si>
  <si>
    <t>乌克兰</t>
  </si>
  <si>
    <t>4500207810-20</t>
  </si>
  <si>
    <t>7/27完成</t>
  </si>
  <si>
    <t>7/26 送仓</t>
  </si>
  <si>
    <t>6/4 进口商贴纸+乌克兰语警告语贴纸（覆盖收藏指南上的俄罗斯警告语）/客版组装说明书（不含俄罗斯语言）/C 版 28L（无俄语）不带电池走货WEEE说明书</t>
  </si>
  <si>
    <t>客版组装说明书（不含俄罗斯语言）</t>
  </si>
  <si>
    <t>日期码格式：ZURU INC(BVI) 标准格式 日期：按实际生产日期
Packaging Info:
77772GQ1：A 版3L MA 收缩膜+进口商贴纸；A 版 5L MA 收藏指南+乌克兰语警告语贴纸（覆盖收藏指南上的俄罗斯警告语）/客版组装说明书（不含俄罗斯语言）/
C 版 28L（无俄语）不带电池走货WEEE说明书/A 版 3L MA PDQ
Remark: 1、此单出欧洲需满足EU测试标准要求，另外不能出闪粉（若产品本身不含闪粉则忽略这句话），电池产品（带电池/不带电池走货）需要添加WEEE通用说明书(不含
俄罗斯语言版本)
2.若产品有比例请使用标准比例
3.此单客户的包装/说明书/收藏指南/slime polybag上均不可出现俄罗斯语言，若有我遗漏的地方请务必告知
4.包装备注中未添加MA收藏指南/说明书需要的请不要额外添加</t>
  </si>
  <si>
    <t>Daisy Ye</t>
  </si>
  <si>
    <t>4500207810-30</t>
  </si>
  <si>
    <t>日期码格式：ZURU INC(BVI) 标准格式 日期：按实际生产日期
Packaging Info:
77772GQ2：A 版3L MA 收缩膜+进口商贴纸；A 版 5L MA 收藏指南+乌克兰语警告语贴纸（覆盖收藏指南上的俄罗斯警告语）/客版组装说明书（不含俄罗斯语言）/
C 版 28L（无俄语）不带电池走货WEEE说明书/A 版 3L MA PDQ
Remark: 1、此单出欧洲需满足EU测试标准要求，另外不能出闪粉（若产品本身不含闪粉则忽略这句话），电池产品（带电池/不带电池走货）需要添加WEEE通用说明书(不含
俄罗斯语言版本)
2.若产品有比例请使用标准比例
3.此单客户的包装/说明书/收藏指南/slime polybag上均不可出现俄罗斯语言，若有我遗漏的地方请务必告知
4.包装备注中未添加MA收藏指南/说明书需要的请不要额外添加</t>
  </si>
  <si>
    <t>4500207810-40</t>
  </si>
  <si>
    <t>7/26完成，7/29东莞完成</t>
  </si>
  <si>
    <t>日期码格式：ZURU INC(BVI) 标准格式 日期：按实际生产日期
Packaging Info:
MEC473(和All brands PO#4500200163 合并订购)：
77772：A 版3L MA 收缩膜+进口商贴纸；A 版 5L MA 收藏指南+乌克兰语警告语贴纸（覆盖收藏指南上的俄罗斯警告语）/客版组装说明书（不含俄罗斯语言）/C 版
28L（无俄语）不带电池走货WEEE说明书
Remark: 1、此单出欧洲需满足EU测试标准要求，另外不能出闪粉（若产品本身不含闪粉则忽略这句话），电池产品（带电池/不带电池走货）需要添加WEEE通用说明书(不含
俄罗斯语言版本)
2.若产品有比例请使用标准比例
3.此单客户的包装/说明书/收藏指南/slime polybag上均不可出现俄罗斯语言，若有我遗漏的地方请务必告知
4.包装备注中未添加MA收藏指南/说明书需要的请不要额外添加</t>
  </si>
  <si>
    <t>0005061663</t>
  </si>
  <si>
    <t>4500214386-10</t>
  </si>
  <si>
    <t>7/10 BV验货</t>
  </si>
  <si>
    <t>东莞返工改箱PASS</t>
  </si>
  <si>
    <t>日期码格式：ZURU INC(BVI) 标准格式 日期：按实际生产日期
Packaging Info: 77772GQ3-S001
1.包装要求：
MA 1L A版收缩膜+MA 5L A版收藏指南+MA 23L A版说明书+MA A版纸袋+客版1L PDQ+客版UPC贴纸；
New UPC number:193052118721
每pcs产品需加贴NEW UPC贴纸。贴前须用黑色笔将原 UPC 条码完全涂黑，使其无法扫描，再粘贴新 UPC 贴纸。
每pcs产品上要贴1张RFID贴纸，贴纸由ZURU提供，贴纸位置请严格按照我们签回的签板；
Remark: 77772GQ3-S001
1.包装要求：
MA 1L A版收缩膜+MA 5L A版收藏指南+MA 23L A版说明书+MA A版纸袋+客版1L PDQ+客版UPC贴纸；
New UPC number:193052118721
每pcs产品需加贴NEW UPC贴纸。贴前须用黑色笔将原 UPC 条码完全涂黑，使其无法扫描，再粘贴新 UPC 贴纸。
每pcs产品上要贴1张RFID贴纸，贴纸由ZURU提供，贴纸位置请严格按照我们签回的签板；
2. 外箱印刷带条码的RFID箱唛：RFID紫色色带+WM Dept.图标+RFID图标+ITF-14条码，四面右下角印刷ZURU logo, ITFF条码只印刷在
正唛一面，在加印的时候确保条形码能扫描出来，外箱侧面任一角落加印："MADE IN CHINA" 字样；
3. 在产品上和包装上要有日期码、以及要有MADE IN CHINA和ZURU字样；
4. 产品如有扎带口要剪平，不能刮手。
5. 此单需要验货，请多备料
6. 此单以loose carton出货，16pcs/PDQ/CTN</t>
  </si>
  <si>
    <t>ZB07152-8.17</t>
  </si>
  <si>
    <t>4500204119-20</t>
  </si>
  <si>
    <t>湖南改箱PASS</t>
  </si>
  <si>
    <t xml:space="preserve">日期码格式：ZURU DGYYYYMMDD CHINA(日期避开周末和法定节假日即可） 日期：按实际生产日期
Packaging Info: 1. 包装要求：
MSLD182-客版1L展示架+展示架两侧预留77772的价格牌卡槽, 卡槽尺寸务必要大于2"w*1"H
77772-MA 1L A版收缩膜+MA 5L A版收藏指南+MA 23L A版说明书+MA A版纸袋+客版1L PDQ（翻单：4500195546）+客版UPC贴纸，New UPC number: 193052118721
每pcs产品需加贴NEW UPC贴纸。贴前须用黑色笔将原 UPC 条码完全涂黑，使其无法扫描，再粘贴新 UPC 贴纸。
Remark: 1. 包装要求：
MSLD182-客版1L展示架+展示架两侧预留77772的价格牌卡槽, 卡槽尺寸务必要大于2"w*1"H
77772-MA 1L A版收缩膜+MA 5L A版收藏指南+MA 23L A版说明书+MA A版纸袋+客版1L PDQ（翻单：4500195546）+客版UPC贴纸，New UPC number: 193052118721
每pcs产品需加贴NEW UPC贴纸。贴前须用黑色笔将原 UPC 条码完全涂黑，使其无法扫描，再粘贴新 UPC 贴纸。
2.外箱RFID箱唛（四面右下角需印Zuru Logo)+ ITF-14条码；ITF-14条码印刷在外箱主唛左下角，外箱任一侧面角落备注："MADE IN CHINA" 字样，外箱箱唛资料待
提供。
一张锂电池贴纸贴在有条码的正唛上
3. 在产品上和包装上要有日期码、以及要有MADE IN CHINA和ZURU字样；
4. 产品如有扎带口要剪平，不能刮手。
5. 此单需要验货，请自行多备包装物料。
6. 128pcs/Half Pallet/CTN,
77772GQ3: 64PCS/4PDQ/Half Pallet, 16pcs/PDQ
</t>
  </si>
  <si>
    <t>ZB07545/ZB07546/ZB07547/ZB07548</t>
  </si>
  <si>
    <t>0005061668</t>
  </si>
  <si>
    <t>4500214280-60</t>
  </si>
  <si>
    <t>ZB06839-8.17</t>
  </si>
  <si>
    <t>0005061669</t>
  </si>
  <si>
    <t>4500214280-20</t>
  </si>
  <si>
    <t>ZB06838-8.17</t>
  </si>
  <si>
    <t>4500213012-10</t>
  </si>
  <si>
    <t>由4500204025转单</t>
  </si>
  <si>
    <t>纸箱直接4500204025的</t>
  </si>
  <si>
    <t>日期码格式：ZURU INC(BVI) 标准格式                  日期：按实际生产日期
Packaging Info: 77772GQ2: MA PDQ (优先多语)+客版5L收缩膜 (翻PO#4500191961) +客版5L收藏指南(翻PO#4500211227)+MA 23L组装说明书+MA内袋
EAN#4894680051133
*必须移除Messy Lola Young (VINYL-S1-021) 这个唱片, 比例按PM更新的安排, 如未按要求做货被客罚由工厂承担责任*
Remark: Smyths 英国/爱尔兰
 1. 请准时出货，推期会有罚款；
 2. 所有产品按符合欧洲标准走货，需要是不含微塑料版本。
3.包装日期码按ZURU格式即可，请确保不迟于外箱日期码，可等于或者早于外箱日期码，必须为法定工作日，印刷前请先检查外箱日期码。
4.请注意检查产品及包装应带UKCA图标（14+产品除外），包装显示ZURU UK LTD/ZURU France地址信息，QC部门请查核，如有问题与跟单确认
5.电子产品需增加一张WEEE声明29L通用黑白说明书，区分带电池(D版)和不带电池(C版)出货版本, 如已做带WEEE声明的客版说明书可忽略此要求；如包装备注上缺
少此部分信息，请提醒跟单更新备注。
6.订单备注显示有分批的(不同仓库/订单号), 一定要区分客户订单号做货出货，否则会导致罚款  。
7.做货前请先复核包装条码与订单是否一致再安排，对不上的需与ZURU跟单确认再安排。
8.包装必须含法国回收标(Sorting Label)，如没有，请提醒跟单提供贴纸资料。</t>
  </si>
  <si>
    <t>4500204119-10</t>
  </si>
  <si>
    <t>7/6 BV验货+抽办</t>
  </si>
  <si>
    <t>009600512467</t>
  </si>
  <si>
    <t>4500203985-10</t>
  </si>
  <si>
    <t>7/22 出货</t>
  </si>
  <si>
    <t>ZB07059-8.17</t>
  </si>
  <si>
    <t>4500203986-10</t>
  </si>
  <si>
    <t>7/29 截关</t>
  </si>
  <si>
    <t>ZB07112-8.17</t>
  </si>
  <si>
    <t>MULTIHEXA  SDN  BHD</t>
  </si>
  <si>
    <t>马来西亚</t>
  </si>
  <si>
    <t>4500208709-50</t>
  </si>
  <si>
    <t>6/1进口商贴纸</t>
  </si>
  <si>
    <t>日期码格式：ZURU  INC(BVI)  标准格式     日期：按实际生产日期
Packaging Info: MA  UPC包装(优先1L)+进口商贴纸,
Remark:
77772GQ2-4    mini  vinyls,1  accessory</t>
  </si>
  <si>
    <t>0005061942</t>
  </si>
  <si>
    <t>4500214387-10</t>
  </si>
  <si>
    <t>7/21 BV验货</t>
  </si>
  <si>
    <t>7/8 RFID贴纸</t>
  </si>
  <si>
    <t>ZB07153-8.17</t>
  </si>
  <si>
    <t>0005061656</t>
  </si>
  <si>
    <t>4500214387-20</t>
  </si>
  <si>
    <t>ZB07161-8.17</t>
  </si>
  <si>
    <t>T. PLANET SHOPS SL</t>
  </si>
  <si>
    <t>4500209381-10</t>
  </si>
  <si>
    <t>7/29完成</t>
  </si>
  <si>
    <t>准时完货，需安排ZURU OQC验货并要求提供客户格式的自检报告给到客户审批放货</t>
  </si>
  <si>
    <t>6/5客户进口商贴纸</t>
  </si>
  <si>
    <t>日期码格式：202602 ，此单客户指定日期码：产品/包装/外箱保持一致；</t>
  </si>
  <si>
    <t>日期码格式：202602                  日期：
Packaging Info: 77772GQ2/77772SK1:最新MA 3L EAN包装+一张客户进口商贴纸+MA 3L PDQ/KS；
Remark: 1. 此单出西班牙，需满足EU测试标准要求，另外微塑料需符合EU法规；
 2. 标准配比；
3.根据新电池法规（EU）  2023/1542，所有走欧洲市场的电子产品，都需要增加WEEE通用29L说明书（分带电池走货和不带电池走货两种），如工厂没有此文件，可
以找跟单提供；
 4. 准时完货，需安排ZURU OQC验货并要求提供客户格式的自检报告给到客户审批放货。  另外，包装贴纸上面的警告语不可以覆盖西班牙警告语。
 5. 此单需要每款准备3套大货样，请注意备料；
6.注意：  同款产品含PDQ /展示架的外箱条码需要跟item包装条码不一样;
7.此单客户指定日期码：产品/包装/外箱保持一致；</t>
  </si>
  <si>
    <t>CONTINENTE S.A.</t>
  </si>
  <si>
    <t>哥伦比亚</t>
  </si>
  <si>
    <t>4500204389-20</t>
  </si>
  <si>
    <t>7/25 SI</t>
  </si>
  <si>
    <t>5/28 进口商贴纸+UPC贴纸</t>
  </si>
  <si>
    <t>日期码格式：DG20260710</t>
  </si>
  <si>
    <t>日期码格式：DG20260710                  日期：2026/07/10
Packaging Info: 
77772GQ2：  MA 多语包装+进口商贴纸+UPC贴纸+箱唛
Remark: 整单包装/产品/外箱指定日期码：DG20260710</t>
  </si>
  <si>
    <t>CARLOS FEDERSPIEL &amp; CIA. - UNIVERSA</t>
  </si>
  <si>
    <t>4500203841-70</t>
  </si>
  <si>
    <t>8/13截SI</t>
  </si>
  <si>
    <t>6/17 进口商贴纸+UPC贴纸</t>
  </si>
  <si>
    <t>日期码格式：ZURU INC(BVI) 标准格式                  日期：按实际生产日期
Packaging Info:
其余item：MA 多语包装+进口商贴纸+UPC贴纸+箱唛
Remark:</t>
  </si>
  <si>
    <t>4500203988-10</t>
  </si>
  <si>
    <t>ZB07308-8.17</t>
  </si>
  <si>
    <t>4500203991-10</t>
  </si>
  <si>
    <t>ZB07234-8.17</t>
  </si>
  <si>
    <t>OUTLET GROUP AS</t>
  </si>
  <si>
    <t>4500208747-10</t>
  </si>
  <si>
    <t>警告语贴纸贴在包装上(贴纸和位置图翻SOK PO#4500196453)+WEEE_不带电池走货 _ 说明书欧洲EN+29L_新版</t>
  </si>
  <si>
    <t>日期码格式：ZURU INC(BVI) 标准格式 日期：按实际生产日期
Packaging Info: 77772GQ1:MA A3L EAN包装+警告语贴纸贴在包装上(贴纸和位置图翻SOK PO#4500196453)+MA 23L组装说明书+MA 5L收藏指南+MA 3L PDQ+WEEE_不带电池走货 _ 说明
书欧洲EN+29L_新版
Remark: 1.产品和包装要求无硼无香，包装不能含有PVC，玩具成分不能含有石棉
2.如有微塑料，必须合规欧洲标准，并增加微塑料合规IFUD声明在说明书上
3.带电池出货的产品，所用到的电池需要符合欧洲电池新规(EU)2023-1542，并增加对应WEEE 说明书</t>
  </si>
  <si>
    <t>4500209381-20</t>
  </si>
  <si>
    <t>7/28完成，7/31东莞完成</t>
  </si>
  <si>
    <t>PRENATAL RETAIL GROUP SPAIN S.L.</t>
  </si>
  <si>
    <t>4500202549-10</t>
  </si>
  <si>
    <t>7/28完成</t>
  </si>
  <si>
    <t>6/25进口商贴纸（含西班牙环保标）+一张产品贴纸+最新MA 5L收藏指南+最新MA 23L说明书+一张西/葡weeee说明书纸+一张空白贴纸（覆盖条码）</t>
  </si>
  <si>
    <t>客人格式日期码 LOT2628，包装（含收缩膜等）/产品/外箱 请保持一致</t>
  </si>
  <si>
    <t>日期码格式：LOT2628                  日期：
Packaging Info: "客版3L彩盒（翻4500199646）+一张进口商贴纸（含西班牙环保标）+一张产品贴纸+最新MA 5L收藏指南+最新MA 23L说明书+一张西/葡weeee说明书纸
77772：最新MA 3L EAN收缩膜+一张空白贴纸（覆盖条码）
77794：最新MA 3L EAN包装+一张空白贴纸（覆盖条码）+最新MA 23L 62115警语说明书"
Remark: 1. 订单出欧洲国家-西班牙，产品不能含有闪粉/微塑料，请确保所有包装都有西班牙环保标。
 2. 客人格式日期码 LOT2628，包装（含收缩膜等）/产品/外箱 请保持一致。
 3. 新品需提供2套大货样品给客人，客人会签回一套，验货后验货员需要封1套板寄给香港办公室，请多备料，具体样板需求详见后续邮件通知
 4. 需要符合欧洲标准不能含有闪粉和微塑料，否则不合法规会有客诉产生。
 5. 硼含量需要符合欧洲标准，否则不合法规会有客诉产生
 6. 此客户需要第三方验货，请在约三方验货前必须PASS ZURU验货。
 7. 所有带电产品请复核跟单是否有提供客人指定内容的WEEE说明书（非通用30L版本）</t>
  </si>
  <si>
    <t>CARREFOUR FRANCE</t>
  </si>
  <si>
    <t>43CHT26FRCA0822</t>
  </si>
  <si>
    <t>4500201190-10</t>
  </si>
  <si>
    <t>空白纸箱: 在正唛（只1面）加多虚线15 x 10.5 cm ( 高x 宽) 距箱左边2cm，  距箱底 3cm，虚线内1张外箱贴纸（在checkpoint网站上订）Customer Service:</t>
  </si>
  <si>
    <t>家乐福网站订购外箱贴纸+5/27 法国环保LOGO贴纸</t>
  </si>
  <si>
    <t>日期码格式：ZURU INC(BVI) 标准格式 日期：按实际生产日期
Packaging Info: MEC426: MA 3L 展示架
77772: MA 3L EAN (4894680051133)收缩膜+1张法国环保LOGO贴纸，MA内袋，MA 5L收藏指南， MA 23L组装说明
Remark: 1.大货样品2套，请多备料。
2. 出口欧洲，所有产品微塑料需符合法规。
3. 空白纸箱: 在正唛（只1面）加多虚线15 x 10.5 cm ( 高x 宽) 距箱左边2cm， 距箱底 3cm，虚线内1张外箱贴纸（在checkpoint网站上订）Customer Service:
Erica Lun Tel.+852 2995 8399/erica.lun@checkpt.com
4. 所有包装材料禁止使用PVC，需改用PET材料。
5. 要求使用双坑纸箱，外箱尺寸超出7%有350USD的罚款，请注意外箱尺寸变更不能超出7%。
6. 客人系统外箱尺寸: BOX_TY166783 MEC426 61.30 cmx34.80 cmx116.00 cm
7.所有出往欧洲市场订单的电子产品需增加一张WEEE声明说明书，区分带电池和不带电池版本, 如已做客版说明书可忽略此要求。</t>
  </si>
  <si>
    <t>MEC426-77772-S001-3L</t>
  </si>
  <si>
    <t>43CHT26FRCH0827</t>
  </si>
  <si>
    <t>4500201190-20</t>
  </si>
  <si>
    <t>43CHT26FRCA0946</t>
  </si>
  <si>
    <t>4500201190-30</t>
  </si>
  <si>
    <t>43CHT26ESCA1064</t>
  </si>
  <si>
    <t>4500203798-30</t>
  </si>
  <si>
    <t>7/25 交仓</t>
  </si>
  <si>
    <t>家乐福网站订购外箱贴纸+6/3法国/西班牙回收标贴纸</t>
  </si>
  <si>
    <t>日期码格式：ZURU INC(BVI) 标准格式                  日期：按实际生产日期
Packaging Info: 
77772: MA3L EAN收缩膜+法国/西班牙回收标贴纸+MA5L收藏指南++MA小袋子+MA23L组装说明书
Remark: 1.大货样品2套，请多备料。
 2. 出口欧洲，所有产品微塑料需符合法规。
 3. 产品、包装、外箱日期码需一致。
 4. 空白纸箱: 在正唛（只1面）加多虚线15 x 10.5 cm ( 高x 宽) 距箱左边2cm，  距箱底 3cm，虚线内1张外箱贴纸（在checkpoint网站上订）Custeomer Service:
 Erica Lun Tel.+852 2995 8399/erica.lun@checkpt.com
5. 所有包装材料禁止使用PVC，需改用PET材料。
 6. 要求使用双坑纸箱，外箱尺寸超出7%有350USD的罚款，请注意外箱尺寸变更不能超出7%。下表客人系统外箱尺寸FYI.
8.所有出往欧洲市场订单的电子产品需增加一张WEEE声明说明书，区分带电池和不带电池版本, 如已做客版说明书可忽略此要求。</t>
  </si>
  <si>
    <t>43CHT26ESCA1066</t>
  </si>
  <si>
    <t>4500204184-30</t>
  </si>
  <si>
    <t>7/29完成，8/1东莞完成</t>
  </si>
  <si>
    <t>7/26 交仓</t>
  </si>
  <si>
    <t>日期码格式：ZURU INC(BVI) 标准格式                  日期：按实际生产日期
Packaging Info:
77772: MA 3L EAN (4894680051133)收缩膜，法国/西班牙回收标贴纸,，MA内袋，MA 5L收藏指南，  MA 23L组装说明
Remark: 1.大货样品2套，请多备料。
 2. 出口欧洲，所有产品微塑料需符合法规。
 3. 产品、包装、外箱日期码需一致。
 4. 空白纸箱: 在正唛（只1面）加多虚线15 x 10.5 cm ( 高x 宽) 距箱左边2cm，  距箱底 3cm，虚线内1张外箱贴纸（在checkpoint网站上订）Custeomer Service:
 Erica Lun Tel.+852 2995 8399/erica.lun@checkpt.com
 5. 所有包装材料禁止使用PVC，需改用PET材料。
 6. 要求使用双坑纸箱，外箱尺寸超出7%有350USD的罚款，请注意外箱尺寸变更不能超出7%。下表客人系统外箱尺寸FYI.
8.所有出往欧洲市场订单的电子产品需增加一张WEEE声明说明书，区分带电池和不带电池版本, 如已做客版说明书可忽略此要求。</t>
  </si>
  <si>
    <t>CARREFOUR REUNION</t>
  </si>
  <si>
    <t>留尼汪</t>
  </si>
  <si>
    <t>43CHT26REC50833</t>
  </si>
  <si>
    <t>4500204205-10</t>
  </si>
  <si>
    <t>空白纸箱: 四面印刷+四面ZURU LOGO放顶部: 在正唛（只1面）加多虚线15 x 10.5 cm ( 高x 宽) 距箱左边2cm， 距箱底 3cm，虚线内1张外箱贴纸</t>
  </si>
  <si>
    <t>日期码格式：ZURU INC(BVI) 标准格式                  日期：按实际生产日期
Packaging Info: MEC426: MA 3L 展示架
77772: MA 3L EAN (4894680051133)收缩膜，法国/西班牙回收标贴纸,MA内袋，MA 5L收藏指南，  MA 23L组装说明
Remark: 1.大货样品2套，请多备料。
 2. 出口欧洲，所有产品微塑料需符合法规。
 3. 产品、包装、外箱日期码需一致。
 4. 空白纸箱: 在正唛（只1面）加多虚线15 x 10.5 cm ( 高x 宽) 距箱左边2cm，  距箱底 3cm，虚线内1张外箱贴纸（在checkpoint网站上订）Custeomer Service:
 Erica Lun Tel.+852 2995 8399/erica.lun@checkpt.com
 5. 所有包装材料禁止使用PVC，需改用PET材料。
 6. 要求使用双坑纸箱，外箱尺寸超出7%有350USD的罚款，请注意外箱尺寸变更不能超出7%。下表客人系统外箱尺寸FYI.
8.所有出往欧洲市场订单的电子产品需增加一张WEEE声明说明书，区分带电池和不带电池版本, 如已做客版说明书可忽略此要求。</t>
  </si>
  <si>
    <t>43CHT26ESCA1073</t>
  </si>
  <si>
    <t>4500204239-20</t>
  </si>
  <si>
    <t>7/30完成，8/2东莞完成</t>
  </si>
  <si>
    <t>7/29 交仓</t>
  </si>
  <si>
    <t>日期码格式：ZURU INC(BVI) 标准格式                  日期：按实际生产日期
Packaging Info: 
77772: MA 3L EAN (4894680051133)收缩膜，法国/西班牙回收标贴纸，MA内袋，MA 5L收藏指南，  MA 23L组装说明
Remark: 1.大货样品2套，请多备料。
 2. 出口欧洲，所有产品微塑料需符合法规。
 3. 产品、包装、外箱日期码需一致。
 4. 空白纸箱: 在正唛（只1面）加多虚线15 x 10.5 cm ( 高x 宽) 距箱左边2cm，  距箱底 3cm，虚线内1张外箱贴纸（在checkpoint网站上订）Custeomer Service:
 Erica Lun Tel.+852 2995 8399/erica.lun@checkpt.com
 5. 所有包装材料禁止使用PVC，需改用PET材料。
 6. 要求使用双坑纸箱，外箱尺寸超出7%有350USD的罚款，请注意外箱尺寸变更不能超出7%。下表客人系统外箱尺寸FYI.
8.所有出往欧洲市场订单的电子产品需增加一张WEEE声明说明书，区分带电池和不带电池版本, 如已做客版说明书可忽略此要求。</t>
  </si>
  <si>
    <t>43CHT26ESCA1079</t>
  </si>
  <si>
    <t>4500204240-20</t>
  </si>
  <si>
    <t>43CHT26ESCA1085</t>
  </si>
  <si>
    <t>4500204243-20</t>
  </si>
  <si>
    <t>日期码格式：ZURU INC(BVI) 标准格式                  日期：
Packaging Info: 
77772: MA 3L EAN (4894680051133)收缩膜，法国/西班牙回收标贴纸，MA内袋，MA 5L收藏指南，  MA 23L组装说明
Remark: 1.大货样品2套，请多备料。
 2. 出口欧洲，所有产品微塑料需符合法规。
 3. 产品、包装、外箱日期码需一致。
 4. 空白纸箱: 在正唛（只1面）加多虚线15 x 10.5 cm ( 高x 宽) 距箱左边2cm，  距箱底 3cm，虚线内1张外箱贴纸（在checkpoint网站上订）Custeomer Service:
 Erica Lun Tel.+852 2995 8399/erica.lun@checkpt.com
 5. 所有包装材料禁止使用PVC，需改用PET材料。
 6. 要求使用双坑纸箱，外箱尺寸超出7%有350USD的罚款，请注意外箱尺寸变更不能超出7%。下表客人系统外箱尺寸FYI.
8.所有出往欧洲市场订单的电子产品需增加一张WEEE声明说明书，区分带电池和不带电池版本, 如已做客版说明书可忽略此要求。</t>
  </si>
  <si>
    <t>43CHT26ESCA1090</t>
  </si>
  <si>
    <t>4500204245-20</t>
  </si>
  <si>
    <t>CARREFOUR  FRENCH    POLYNESIA</t>
  </si>
  <si>
    <t>43CHT26PFCA1123</t>
  </si>
  <si>
    <t>4500204197-30</t>
  </si>
  <si>
    <t>日期码格式：ZURU INC(BVI) 标准格式 日期：按实际生产日期
Packaging Info: MEC426: MA 3L 展示架
  77772: MA 3L EAN (4894680051133)收缩膜，法国回收标贴纸，进口商贴纸,MA内袋，MA 5L收藏指南， MA 23L组装说明
 Remark: 1.大货样品2套，请多备料。
 2. 出口欧洲，所有产品微塑料需符合法规。
 3. 产品、包装、外箱日期码需一致。
 4. 空白纸箱: 在正唛（只1面）加多虚线15 x 10.5 cm ( 高x 宽) 距箱左边2cm， 距箱底 3cm，虚线内1张外箱贴纸（在checkpoint网站上订）Custeomer Service:
 Erica Lun Tel.+852 2995 8399/erica.lun@checkpt.com
 5. 所有包装材料禁止使用PVC，需改用PET材料。
 6. 要求使用双坑纸箱，外箱尺寸超出7%有350USD的罚款，请注意外箱尺寸变更不能超出7%。下表客人系统外箱尺寸FYI.
 8.所有出往欧洲市场订单的电子产品需增加一张WEEE声明说明书，区分带电池和不带电池版本, 如已做客版说明书可忽略此要求</t>
  </si>
  <si>
    <t>Amber  Zhang</t>
  </si>
  <si>
    <t>43CHT26FRCA0820</t>
  </si>
  <si>
    <t>4500201186-10</t>
  </si>
  <si>
    <t>7/30交仓</t>
  </si>
  <si>
    <t>43CHT26FRCA0940</t>
  </si>
  <si>
    <t>4500201186-20</t>
  </si>
  <si>
    <t>GLOBUS LOGISTIK GMBH AND CO KG</t>
  </si>
  <si>
    <t>4500203158-40</t>
  </si>
  <si>
    <t>5/14DE IT警语贴，C版不带电池走货EU通用29L WEEE说明书</t>
  </si>
  <si>
    <t>日期码格式：ZURU INC(BVI) 标准格式 日期：按实际生产日期
Packaging Info:
77772GQ1：MA 3L EAN收缩膜 + DE IT警语贴纸，MA 23L组装说明书，MA 5L收藏指南，C版不带电池走货EU通用29L WEEE说明书，MA配件袋，MA 3L PDQ
Remark: 1. 此单出德国，需准时出货，微塑料需符合法规；无须客户第三方验货但是需要在6/5提供验货图片(含不良图）。待客人放货后才能安排走货。
2. 外箱正唛需要贴产品图片贴纸
3. 箱唛印4面-2*正唛+2*侧唛
4. 需要在货期前一个月安排样品给客户评估（非测试，包装无要求）
5. 所有出往欧洲订单的电子产品需增加一张通用 29L WEEE声明说明书，区分带电池出货和不带电池出货版本
6. 所有出往GAS市场(德国/奥地利/瑞士)的电子产品身上需要加字唛，为ZURU FRANCE 地址，需跟包装上的地址一致 （如该电子产品无法打上字唛但是可以在产品
上加贴纸，需让对应跟单提供产品贴纸资料。如无电子产品；或产品布标有此地址；或产品太小既无法增加字唛也无法加上贴纸，可忽略此信息。）
新地址：ZURU France 33 rue Paul Meurice 75020 Paris, France
旧地址：ZURU France 1/3, Rue d'Argenteuil 95210 SAINT-GRATIEN, FRANCE
7.所有出往GAS市场(德国/奥地利/瑞士)订单，化学品需无硼无香版本。</t>
  </si>
  <si>
    <t>Nicole Ye</t>
  </si>
  <si>
    <t>0005061654</t>
  </si>
  <si>
    <t>4500214388-10</t>
  </si>
  <si>
    <t>7/15 BV验货</t>
  </si>
  <si>
    <t>已发RFID贴纸</t>
  </si>
  <si>
    <t>ZB07162-8.17</t>
  </si>
  <si>
    <t>0005061652</t>
  </si>
  <si>
    <t>4500214401-10</t>
  </si>
  <si>
    <t>7/17 BV验货</t>
  </si>
  <si>
    <t>7/13 出货</t>
  </si>
  <si>
    <t>日期码格式：ZURU INC(BVI) 标准格式                  日期：按实际生产日期
Packaging Info: 77772GQ3-S001
1.包装要求：
MA 1L A版收缩膜+MA 5L A版收藏指南+MA 23L A版说明书+MA A版纸袋+客版1L PDQ+客版UPC贴纸；
消耗WM US取消订单物料
New UPC number:193052118721
每pcs产品需加贴NEW UPC贴纸。贴前须用黑色笔将原 UPC 条码完全涂黑，使其无法扫描，再粘贴新 UPC 贴纸。
每pcs产品上要贴1张RFID贴纸，贴纸由ZURU提供，贴纸位置请严格按照我们签回的签板；
Remark: 77772GQ3-S001
1.包装要求：
MA 1L A版收缩膜+MA 5L A版收藏指南+MA 23L A版说明书+MA A版纸袋+客版1L PDQ+客版UPC贴纸；消耗WM US取消订单
New UPC number:193052118721
每pcs产品需加贴NEW UPC贴纸。贴前须用黑色笔将原 UPC 条码完全涂黑，使其无法扫描，再粘贴新 UPC 贴纸。
每pcs产品上要贴1张RFID贴纸，贴纸由ZURU提供，贴纸位置请严格按照我们签回的签板；
 2. 外箱印刷带条码的RFID箱唛：RFID紫色色带+WM Dept.图标+RFID图标+ITF-14条码，四面右下角印刷ZURU logo, ITFF条码只印刷在
正唛一面，在加印的时候确保条形码能扫描出来，外箱侧面任一角落加印："MADE IN CHINA" 字样；
 3. 在产品上和包装上要有日期码、以及要有MADE IN CHINA和ZURU字样；
 4. 产品如有扎带口要剪平，不能刮手。
 5. 此单需要验货，请多备料
 6. 此单以loose carton出货，16pcs/PDQ/CTN</t>
  </si>
  <si>
    <t>ZB07159-8.17</t>
  </si>
  <si>
    <t>4500203431-10</t>
  </si>
  <si>
    <t>71/7 出货</t>
  </si>
  <si>
    <t>日期码格式：ZURU INC(BVI) 标准格式                  日期：按实际生产日期
Packaging Info: MA 3L EAN 收缩膜+1*多语警语折叠贴纸（翻单4500193875）+MA 23L 组装说明书+MA 5L+23L 收藏指南+MA 纸卡+MA 复合袋+MA 3L PDQ+1* C版 29L WEEE不带电走货
说明书
Remark: 1.德国内销单，需要通过ZURU 验货结果后才能出货 (工厂需要主动提前同ZURU QC预约验货避免延期出货造成不必要麻烦)；
2.产品如含有化学品（slime 等），需要无硼无香。需要无微塑料版本。
3.所有出口欧洲的产品, 法规规定禁止在包装和共公众用的印刷品中使用矿物油中含有的物质, 包装印刷油墨中含有的MOAH/MOSH的质量浓度不能超过1%, 否则出货
到法国被抽检出现问题, 供应商需要对此负责;
 4. date code: 外箱日期码要晚于或等于产品日期码，不能早于产品的日期码；
 5. 所有出往德国的电子产品身上需要加字唛，为ZURU FRANCE 地址，需跟包装上的地址一致 (如无电子产品，产品布标有此地址，或产品太小无法增加可忽略此信
息。如产品无法加字唛，需让对应跟单提供产品贴纸资料)
新地址：ZURU France 33 rue Paul Meurice 75020 Paris, France
旧地址：ZURU France 1/3, Rue d'Argenteuil 95210 SAINT-GRATIEN, FRANCE
6.所有出往德国订单的电子产品需增加一张最新版本的欧洲通用WEEE声明说明书，区分带电池和不带电池版本, 如已做客版说明书可忽略此要求。
7.装柜时需要按照款式号码从小到大一款款依次装,避免终端仓库卸货混乱.若一个柜子涉及到几个不同国家内销单,装柜时需要一个国家装完后再装另一个国家的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8.ratio 同MA
9. 若有特定款有特殊外箱条码要求时,需要明确列出产品款对应的具体外箱条码号码/条码类型 (若无,可以忽略此需求).</t>
  </si>
  <si>
    <t>79LS7GXX</t>
  </si>
  <si>
    <t>4500214773-10</t>
  </si>
  <si>
    <t>4500204466，4500204514，4500204517，4500204505，4500203137，4500202932剩余的552PCS + Domestic PO-4500195685转21768PCS</t>
  </si>
  <si>
    <t>7/20 交仓</t>
  </si>
  <si>
    <t>7/8 SSCC外箱贴纸</t>
  </si>
  <si>
    <t>日期码格式：ZURU INC(BVI) 标准格式                  日期：按实际生产日期
Packaging Info: 77876 - 客户新下单PO79LS7GXX，用于取代返工后的订单4500204466，4500204514，4500204517，4500204505，4500203137，4500202932 - 剩余数量552pcs + Dome
stic PO-4500195685转21768PCS (剩余1608pcs, 后面还会下新单消耗). 返工后的产品需要加UPC贴纸 (新UPC-193052118752)，覆盖原铜板纸上的旧UPC。外箱的SSC
C贴纸需要用笔划掉后重新贴对应新单的SSCC贴纸。
注意：此单走空运，不得延期！
Remark: 1. Amazon MDDP订单，出口US。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</si>
  <si>
    <t>ZB06989/ZB06990/ZB06991-8.17</t>
  </si>
  <si>
    <t>0005062162</t>
  </si>
  <si>
    <t>4500214401-40</t>
  </si>
  <si>
    <t>ZB07051-8.17</t>
  </si>
  <si>
    <t>0005061921</t>
  </si>
  <si>
    <t>4500214401-50</t>
  </si>
  <si>
    <t>7/9 RFID贴纸</t>
  </si>
  <si>
    <t>ZB07052-8.17</t>
  </si>
  <si>
    <t>0005061662</t>
  </si>
  <si>
    <t>4500214401-20</t>
  </si>
  <si>
    <t>ZB07160-8.17</t>
  </si>
  <si>
    <t>0005061720</t>
  </si>
  <si>
    <t>4500214401-30</t>
  </si>
  <si>
    <t>ZB07154-8.17</t>
  </si>
  <si>
    <t>PO0001969</t>
  </si>
  <si>
    <t>4500208811-20</t>
  </si>
  <si>
    <t>7/30完成</t>
  </si>
  <si>
    <t>8/4截SI</t>
  </si>
  <si>
    <t>7/17 确认</t>
  </si>
  <si>
    <t>UPC贴纸，  贴纸翻单4500200392，5/25 进口商贴纸</t>
  </si>
  <si>
    <t>日期码格式：ZURU INC(BVI) 标准格式                  日期：按实际生产日期
Packaging Info:
77772GQ1: MA 多语加UPC贴纸，  贴纸翻单4500200392
Remark: 出加拿大
每款产品都需要加进口商贴纸
Zuru验货. 日期跟踪码：产品外包装及产品本身都必须有日期跟踪码，ZURU标准格式日期码</t>
  </si>
  <si>
    <t>AIS LTD T/A PLAY-ROOM</t>
  </si>
  <si>
    <t>T-AW26-07</t>
  </si>
  <si>
    <t>4500202966-110</t>
  </si>
  <si>
    <t>日期码格式：ZURU INC(BVI) 标准格式                  日期：按实际生产日期
Packaging Info:
77772GQ2: 最新MA 1L UPC收缩膜+MA组装说明+MA demo纸卡+MA袋子+客版5L收藏指南(不含Messy唱片, 翻PO#4500200925)+MA PDQ
UPC#193052090065
 4  mini vinyls,1 accessory
 *必须移除Messy Lola Young (VINYL-S1-021) 这个唱片, 比例按PM更新的安排, 如未按要求做货被客罚由工厂承担责任*
Remark: *MA版本按工厂现有最新库存即可，订单出英国，请注意检查产品及包装应带UKCA图标，包装显示ZURU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*条码以订单显示为准 ，请安排生产前先核对 ，有问题请提出。
 *所有产品按符合欧洲标准走货，需要是不含微塑料版本 。
 *涉及到硼的，如可选择情况下应使用低硼版本  （slime 类别低硼一般低于300ppm)，无选择的应与跟单复核再安排 。</t>
  </si>
  <si>
    <t>Savannah Liang</t>
  </si>
  <si>
    <t>BARNES &amp; NOBLE PURCHASING, INC.</t>
  </si>
  <si>
    <t>4500202450-40</t>
  </si>
  <si>
    <t>5/15空白贴纸覆盖UPC+ 价格贴纸(价贴金额$19.99, 价贴位于PVC桶铜版纸UPC条形码附近）价贴资料跟单提供工厂采购</t>
  </si>
  <si>
    <t>日期码格式：ZURU INC(BVI) 标准格式                  日期：按实际生产日期
Packaging Info:
#77876：球使用MA 最新1L UPC收缩膜+空白贴纸覆盖UPC+5L 英法版本 收藏指南 + 23L 说明书 + 3L UPC 铜版纸 + 价格贴纸(价贴金额$19.99, 价贴位于PVC桶铜版
纸UPC条形码附近）价贴资料跟单提供工厂采购，出口美国;
Remark: 2. 日期跟踪码：产品包装及产品本身都必须有日期跟踪码，并且确保两者的日期跟踪码要一致；ZURU标准格式日期码(请自行调整具体年月日生产期，但不能为周
末）。
PS: 毛绒布标贴纸日期码可以不保持一致。
 3. 订单外箱：
 *只需在外箱4面的正上方印ZURU LOGO；3面印MADE IN CHINA字样，一面留空贴外箱贴；
 *外箱正面需要额外加贴2张外箱贴（外箱贴客户提供，工厂直接贴）；
*外箱贴位置：shipping label贴于外箱正面左下角；product label 贴于外箱正面右下角，2张贴纸都需距离外箱边缘至少3CM。
 4. 此客户有4个PO:
PO# 02173457 ship to NJ&lt;(&gt;,&lt;)&gt;
PO# 02173458 ship to NV&lt;(&gt;,&lt;)&gt;
PO# 02165957 ship to NJ&lt;(&gt;,&lt;)&gt;
PO# 02165958 ship to NV&lt;(&gt;,&lt;)&gt;
 5. 出货配比：ZURU MA 配比；
 6. 测试样板
77794UQ1-S001&lt;(&gt;&amp;&lt;)&gt;92146-S001&lt;(&gt;&amp;&lt;)&gt;92147-S001&lt;(&gt;&amp;&lt;)&gt;77876-S001请于6/13日前寄出ZURU MA版本每款每色2pcs样板做测试(测试样板可以不带价贴，但需带日
期码) 寄到以下地址做测试：
注：  需打印TRF随样板寄出（TRF由跟单提供）
测试行：BV(必维）
  地址：广东省深圳市深圳市龙华区鸿创科技中心4栋1楼
  收件人：Maggie Yang
  电话: 86 0755 86185331 | VOIP(Internal): 5331</t>
  </si>
  <si>
    <t>ZB07343-8.17</t>
  </si>
  <si>
    <t>4500202450-80</t>
  </si>
  <si>
    <t>日期码格式：ZURU INC(BVI) 标准格式                  日期：按实际生产日期
Packaging Info: 1. 包材：
#77876：球使用MA 最新1L UPC收缩膜+空白贴纸覆盖UPC+5L 英法版本 收藏指南 + 23L 说明书 + 3L UPC 铜版纸 + 价格贴纸(价贴金额$19.99, 价贴位于PVC桶铜版
纸UPC条形码附近）价贴资料跟单提供工厂采购，出口美国;
Remark: 2. 日期跟踪码：产品包装及产品本身都必须有日期跟踪码，并且确保两者的日期跟踪码要一致；ZURU标准格式日期码(请自行调整具体年月日生产期，但不能为周
末）。
PS: 毛绒布标贴纸日期码可以不保持一致。
 3. 订单外箱：
 *只需在外箱4面的正上方印ZURU LOGO；3面印MADE IN CHINA字样，一面留空贴外箱贴；
 *外箱正面需要额外加贴2张外箱贴（外箱贴客户提供，工厂直接贴）；
*外箱贴位置：shipping label贴于外箱正面左下角；product label 贴于外箱正面右下角，2张贴纸都需距离外箱边缘至少3CM。
 4. 此客户有4个PO:
PO# 02173457 ship to NJ&lt;(&gt;,&lt;)&gt;
PO# 02173458 ship to NV&lt;(&gt;,&lt;)&gt;
PO# 02165957 ship to NJ&lt;(&gt;,&lt;)&gt;
PO# 02165958 ship to NV&lt;(&gt;,&lt;)&gt;
 5. 出货配比：ZURU MA 配比；
 6. 测试样板
77794UQ1-S001&lt;(&gt;&amp;&lt;)&gt;92146-S001&lt;(&gt;&amp;&lt;)&gt;92147-S001&lt;(&gt;&amp;&lt;)&gt;77876-S001请于6/13日前寄出ZURU MA版本每款每色2pcs样板做测试(测试样板可以不带价贴，但需带日
期码) 寄到以下地址做测试：
注：  需打印TRF随样板寄出（TRF由跟单提供）
测试行：BV(必维）
  地址：广东省深圳市深圳市龙华区鸿创科技中心4栋1楼
  收件人：Maggie Yang
  电话: 86 0755 86185331 | VOIP(Internal): 5331</t>
  </si>
  <si>
    <t>ZB07213-8.17</t>
  </si>
  <si>
    <t>4500216772-20</t>
  </si>
  <si>
    <t>4500204062转单</t>
  </si>
  <si>
    <t>7/27 交仓</t>
  </si>
  <si>
    <t>4500207585转单</t>
  </si>
  <si>
    <t>WEEE声明29L通用黑白说明书</t>
  </si>
  <si>
    <t>客版5L收缩膜 (翻PO#4500191961) +客版5L收藏指南(不含Messy唱片, 翻PO#4500200925)</t>
  </si>
  <si>
    <t>日期码格式：ZURU INC(BVI) 标准格式                  日期：按实际生产日期
Packaging Info: 
***此票#77772GQ2是从原PO#4500204062拆出来走空运的，请留意更新工厂记录，避免重复安排做货；箱唛上维持原来的客人PO#4400564350即可，不安排外箱返工*
**
如达不到包材MOQ-
77794UQ1: 最新MA 3L底座/纸卡/贴纸+1张含德语callout/德意荷警语贴纸(翻单PO#4500196046)+MA 23L游戏说明书+MA 23L锂电池说明书+MA 23L警示说明书
EAN#4894680051430
RECHARGEABLE LITHIUM BATTERY(INCLUDED)
*外箱需加一张UN3481锂电池运输标签*
"77772GQ2: MA PDQ (优先多语)+客版5L收缩膜 (翻PO#4500191961) +客版5L收藏指南(不含Messy唱片, 翻PO#4500200925)+MA 23L组装说明书+MA内袋+C版WEEE声明
(不带电池)走货欧洲通用29L说明书
EAN#4894680051133
*必须移除Messy Lola Young (VINYL-S1-021) 这个唱片, 比例按PM更新的安排, 如未按要求做货被客罚由工厂承担责任*
Remark: Smyths 德国
 1. 请准时出货，推期会有罚款；
 2. 所有产品按符合欧洲标准走货，需要是不含微塑料版本。
 3. 所有电子产品身上需要加字唛，为ZURU FRANCE 地址 (如无电子产品，产品布标有此地址，或产品太小无法增加可忽略此信息)，新地址ZURU FRANCE.33 rue Pa
 ul Meurice 75020 Paris, France.
 4. 电子产品需增加一张WEEE声明30L通用黑白说明书(不接受A版本，翻译有误)，区分带电池和不带电池出货版本, 如已做客版说明书可忽略此要求；
 5.所有出往德国市场有关slime和带香味的都需要出无硼无香版本；
6.订单备注显示有分批的（不同仓库/订单号）  ，注意分开做货出货，否则会导致罚款  。
7.包装日期码按ZURU格式即可，请确保不迟于外箱日期码，可等于或者早于外箱日期码，必须为法定工作日。
8.做货前请先复核包装条码与订单是否一致再安排，对不上的需与ZURU跟单确认再安排。</t>
  </si>
  <si>
    <t>FIR VENTURES GLOBAL LIMITED</t>
  </si>
  <si>
    <t>FAST START HK</t>
  </si>
  <si>
    <t>4500210152-70</t>
  </si>
  <si>
    <t>77944UQ1-S001-FS</t>
  </si>
  <si>
    <t>唱片盲盒装</t>
  </si>
  <si>
    <t>两套完整的样板给客人</t>
  </si>
  <si>
    <t>产品/彩盒/外箱 日期码一致</t>
  </si>
  <si>
    <t>77944UQ1:客版包装+进口商贴纸
 no batteries, but with electric circuit(EU/UK WEEE IM is required)
 进口商贴纸内容:
 Importer Name: FIR VENTURES GLOBAL LIMITED
 Importer Address: Rm1112, 11/F, Tower A,
 New Mandarin Plaza, 14 Science Museum Rd,
 Tsim Sha Tsui, Kowloon, Hong KongITEM</t>
  </si>
  <si>
    <t>Cathy Chen</t>
  </si>
  <si>
    <t xml:space="preserve"> ZMPO260782</t>
  </si>
  <si>
    <t xml:space="preserve"> ZMPO260782-10</t>
  </si>
  <si>
    <t>MEC426-PK1-EC-S001</t>
  </si>
  <si>
    <t>40个空展示架</t>
  </si>
  <si>
    <t>Remark只需要空展示架/可打平包寄出/一个展示架打一个平包/箱唛参照邮件附件备注： 收到样品订单后尽快安排 ，谢谢！</t>
  </si>
  <si>
    <t>0005061653</t>
  </si>
  <si>
    <t>4500214402-10</t>
  </si>
  <si>
    <t>7/20 BV验货</t>
  </si>
  <si>
    <t>日期码格式：ZURU INC(BVI) 标准格式                  日期：按实际生产日期
Packaging Info: 77772GQ3-S001
1.包装要求：
MA 1L A版收缩膜+MA 5L A版收藏指南+MA 23L A版说明书+MA A版纸袋+客版1L PDQ+客版UPC贴纸；
消耗WM US取消订单物料
New UPC number:193052118721
每pcs产品需加贴NEW UPC贴纸。贴前须用黑色笔将原 UPC 条码完全涂黑，使其无法扫描，再粘贴新 UPC 贴纸。
每pcs产品上要贴1张RFID贴纸，贴纸由ZURU提供，贴纸位置请严格按照我们签回的签板；
Remark: 77772GQ3-S001
1.包装要求：
MA 1L A版收缩膜+MA 5L A版收藏指南+MA 23L A版说明书+MA A版纸袋+客版1L PDQ+客版UPC贴纸；
消耗WM US取消订单物料
New UPC number:193052118721
每pcs产品需加贴NEW UPC贴纸。贴前须用黑色笔将原 UPC 条码完全涂黑，使其无法扫描，再粘贴新 UPC 贴纸。
每pcs产品上要贴1张RFID贴纸，贴纸由ZURU提供，贴纸位置请严格按照我们签回的签板；
2. 外箱印刷带条码的RFID箱唛：RFID紫色色带+WM Dept.图标+RFID图标+ITF-14条码，四面右下角印刷ZURU logo, ITFF条码只印刷在
正唛一面，在加印的时候确保条形码能扫描出来，外箱侧面任一角落加印："MADE IN CHINA" 字样；
3. 在产品上和包装上要有日期码、以及要有MADE IN CHINA和ZURU字样；
 4. 产品如有扎带口要剪平，不能刮手。
 5. 此单需要验货，请多备料
 6. 此单以loose carton出货，16pcs/PDQ/CTN</t>
  </si>
  <si>
    <t>ZB07163-8.17</t>
  </si>
  <si>
    <t>0005061940</t>
  </si>
  <si>
    <t>4500214419-10</t>
  </si>
  <si>
    <t>7/23 BV验货</t>
  </si>
  <si>
    <t>日期码格式：ZURU INC(BVI) 标准格式                  日期：按实际生产日期
Packaging Info: 77772GQ3-S001
1.包装要求：
MA 1L A版本收缩膜+MA 5L A版收藏指南+MA 23L A版说明书+MA A版纸袋+客版1L PDQ+客版UPC贴纸；
消耗WM US取消订单物料
New UPC number:193052118721
每pcs产品需加贴NEW UPC贴纸。贴前须用黑色笔将原 UPC 条码完全涂黑，使其无法扫描，再粘贴新 UPC 贴纸。
每pcs产品上要贴1张RFID贴纸，贴纸由ZURU提供，贴纸位置请严格按照我们签回的签板；
Remark: 77772GQ3-S001
1.包装要求：
MA 1L A版本收缩膜+MA 5L A版收藏指南+MA 23L A版说明书+MA A版纸袋+客版1L PDQ+客版UPC贴纸；
消耗WM US取消订单物料
New UPC number:193052118721
每pcs产品需加贴NEW UPC贴纸。贴前须用黑色笔将原 UPC 条码完全涂黑，使其无法扫描，再粘贴新 UPC 贴纸。
每pcs产品上要贴1张RFID贴纸，贴纸由ZURU提供，贴纸位置请严格按照我们签回的签板；
2. 外箱印刷带条码的RFID箱唛：RFID紫色色带+WM Dept.图标+RFID图标+ITF-14条码，四面右下角印刷ZURU logo, ITFF条码只印刷在正唛一面，在加印的时候确保
条形码能扫描出来，外箱侧面任一角落加印："MADE IN CHINA" 字样；
3. 在产品上和包装上要有日期码、以及要有MADE IN CHINA和ZURU字样；
 4. 产品如有扎带口要剪平，不能刮手。
 5. 此单需要验货，请多备料
 6. 此单以loose carton出货，16pcs/PDQ/CTN</t>
  </si>
  <si>
    <t>ZB07180-8.17</t>
  </si>
  <si>
    <t>MCD BRANDS SAS</t>
  </si>
  <si>
    <t>乌拉圭</t>
  </si>
  <si>
    <t>4500208189-80</t>
  </si>
  <si>
    <t>6/18 确认</t>
  </si>
  <si>
    <t>6/18 进口商贴纸+条码贴纸</t>
  </si>
  <si>
    <t>日期码格式：ZURU INC(BVI) 标准格式                  日期：按实际生产日期
Packaging Info: 
7772GQ1:MA 多语包装+进口商贴纸+条码贴纸+箱唛
Remark: 1.进口商贴纸请多备料5pcs,出货后需要寄给客户留底
2.如后续提供的贴纸文档中进口商贴纸和条码贴纸合并为一张，可忽略条码贴纸的需求</t>
  </si>
  <si>
    <t>TOYCHAMP BELGIUM NV</t>
  </si>
  <si>
    <t>比利时</t>
  </si>
  <si>
    <t>260500030874</t>
  </si>
  <si>
    <t>4500207203-10</t>
  </si>
  <si>
    <t>7/31 SI</t>
  </si>
  <si>
    <t>警告语贴纸翻4500206123</t>
  </si>
  <si>
    <t>日期码格式：ZURU INC(BVI) 标准格式 日期：按实际生产日期
Packaging Info: 77772GQ2:3L MA EAN收缩膜+警告语贴纸翻4500206123 ；MA说明书/指南;MA PDQ+WEEE不带电池走货说明书
Remark: 1. STD配比
2. 出欧洲，微塑料需合规（如item本身不含微塑料 则忽略此要求）</t>
  </si>
  <si>
    <t>0005061658</t>
  </si>
  <si>
    <t>4500214403-20</t>
  </si>
  <si>
    <t>日期码格式：ZURU INC(BVI) 标准格式                  日期：按实际生产日期
Packaging Info: 77772GQ3-S001
1.包装要求：
MA 1L A版收缩膜+MA 5L A版收藏指南+MA 23L A版说明书+MA A版纸袋+客版1L PDQ+客版UPC贴纸；
消耗WM US取消订单物料
New UPC number:193052118721
每pcs产品需加贴NEW UPC贴纸。贴前须用黑色笔将原 UPC 条码完全涂黑，使其无法扫描，再粘贴新 UPC 贴纸。
每pcs产品上要贴1张RFID贴纸，贴纸由ZURU提供，贴纸位置请严格按照我们签回的签板；
Remark: 77772GQ3-S001
1.包装要求：
MA 1L A版收缩膜+MA 5L A版收藏指南+MA 23L A版说明书+MA A版纸袋+客版1L PDQ+客版UPC贴纸；
消耗WM US取消订单物料
New UPC number:193052118721
每pcs产品需加贴NEW UPC贴纸。贴前须用黑色笔将原 UPC 条码完全涂黑，使其无法扫描，再粘贴新 UPC 贴纸。
每pcs产品上要贴1张RFID贴纸，贴纸由ZURU提供，贴纸位置请严格按照我们签回的签板；
 2. 外箱印刷带条码的RFID箱唛：RFID紫色色带+WM Dept.图标+RFID图标+ITF-14条码，四面右下角印刷ZURU logo, ITFF条码只印刷在
正唛一面，在加印的时候确保条形码能扫描出来，外箱侧面任一角落加印："MADE IN CHINA" 字样；
 3. 在产品上和包装上要有日期码、以及要有MADE IN CHINA和ZURU字样；
 4. 产品如有扎带口要剪平，不能刮手。
 5. 此单需要验货，请多备料
 6. 此单以loose carton出货，16pcs/PDQ/CTN</t>
  </si>
  <si>
    <t>ZB07183-8.17</t>
  </si>
  <si>
    <t>0005061657</t>
  </si>
  <si>
    <t>4500214403-10</t>
  </si>
  <si>
    <t>ZB07182-8.17</t>
  </si>
  <si>
    <t>0005061941</t>
  </si>
  <si>
    <t>4500214403-30</t>
  </si>
  <si>
    <t>ZB07184-8.17</t>
  </si>
  <si>
    <t>4500207090-10</t>
  </si>
  <si>
    <t>7/31完成</t>
  </si>
  <si>
    <t>7/28 兼柜</t>
  </si>
  <si>
    <t>6/17外箱贴纸+保证书+进口商贴纸和UPC贴纸翻单PO4500194136，产品/包装都要贴1张进口商贴纸</t>
  </si>
  <si>
    <t>日期码格式：ZURU INC(BVI) 标准格式 日期：按实际生产日期
Packaging Info: 77772GQ1/77711GQ2:MA 多语包装+进口商贴纸+UPC贴纸+外箱贴纸+箱唛,进口商贴纸和UPC贴纸翻单PO4500194136
Remark: 1.此单有第三方监柜，需要每款多备1套完整物料
2.外箱贴纸只要一张，位置是正唛和侧唛的交接处，外箱贴纸上的客户PO号码是客户系统自动生成，会跟45单号的客户PO不一致，确认没问题
3.订单包装上的条码必须是UPC，后续提供的贴纸文档将进口商贴纸和UPC贴纸合并为一张，则可以忽略UPC文档的需求</t>
  </si>
  <si>
    <t>26-1075807JEC</t>
  </si>
  <si>
    <t>4500198815-40</t>
  </si>
  <si>
    <t>6/13进口商贴纸+UPC贴纸(两个贴纸合并）</t>
  </si>
  <si>
    <t>日期码格式：ZURU INC(BVI) 标准格式                  日期：按实际生产日期
Packaging Info: 77773GQ2/77673/77772GQ2:MA 多语EAN包装+进口商贴纸+UPC贴纸(两个贴纸合并）+箱唛
77711GQ1:MA EAN 3L A Version包装+进口商贴纸+UPC贴纸(两个贴纸合并）+箱唛
77794UQ1: MA EAN 3L   B Version包装+进口商贴纸+UPC贴纸(两个贴纸合并）+箱唛
Remark: 1.进口商贴纸内容会显示日期码为：2026-07,  包装/产品/外箱可按照ZURU标准日期码，无需跟回进口商贴纸上的日期码。
2.所有item包装上的条码必须是UPC，如果已将进口商贴纸和UPC条码合并到一张，则不需再订购UPC贴纸，仅订购一张进口商贴纸即可。</t>
  </si>
  <si>
    <t>360 SALES SOLUTIONS INC</t>
  </si>
  <si>
    <t>2026ZURU07</t>
  </si>
  <si>
    <t>4500197988-20</t>
  </si>
  <si>
    <t>7/1UPC贴纸</t>
  </si>
  <si>
    <t>日期码格式：ZURU INC(BVI) 标准格式 日期：按实际生产日期
Packaging Info: 
77772GQ3 MA 3L EAN版本+UPC贴纸193052118721，客版英法PDQ翻单4500195369
Remark: 出加拿大
Zuru验货.日期跟踪码：产品外包装及产品本身都必须有日期跟踪码，ZURU标准格式日期码。（箱唛日期码按跟单提供格式）</t>
  </si>
  <si>
    <t>Katrina</t>
  </si>
  <si>
    <t>ZMPO260712</t>
  </si>
  <si>
    <t>670套</t>
  </si>
  <si>
    <t>Remark左图中77772  所有唱片机下面都有一个数量/唱片机以下面标注的数量全为一套散件每一套装一个袋子;备注： 收到样品订单后尽快安排 ，谢谢！</t>
  </si>
  <si>
    <t>4500201010-10</t>
  </si>
  <si>
    <t>6/2 确认</t>
  </si>
  <si>
    <t>一张进口商贴纸+一张产品贴纸+最新MA 5L收藏指南+最新MA 23L说明书+一张weeee说明书纸，都翻4500199646</t>
  </si>
  <si>
    <t>日期码格式：LOT2629 日期：
Packaging Info: 1. 77869：客版3L彩盒（翻4500199646）+一张进口商贴纸+一张产品贴纸+最新MA 5L收藏指南+最新MA 23L说明书+一张weeee说明书纸，都翻4500199646
77772：最新MA 3L EAN收缩膜+一张空白贴纸（覆盖条码）
77794：最新MA 3L EAN包装+一张空白贴纸（覆盖条码）+最新MA 23L 62115警语说明书
2. 77867：客版彩盒（翻4500194131）+一张进口商贴纸（含法语警语+环保标）+一张产品贴纸+一张EAN条码贴纸+一张WEEE说明书纸，都翻4500199646
77843：最新MA 3L EAN收缩膜+最新MA 5L收藏指南+最新MA 23L说明书
Remark: 1. 大货样品2套/item，用于客人验货签板。验货后还会抽办1套/item，请多备料；
2. 客版日期码LOT2629, 包装（含收缩膜等）/产品/外箱 请保持一致。
3. 全部ITEM都用EAN条码, 全部用Mother EAN;
4. 包装必须含法国回收logo标识, 最新版ZURU logo；
5. 出法国的产品需无闪粉/不含微塑料；
6. 所有出口法国的产品, 法规规定禁止在包装和共公众用的印刷品中使用矿物油中含有的物质, 包装印刷油墨中含有的MOAH/MOSH的质量浓度不能超过1%, 否则出
货到法国被抽检出现问题, 供应商需要对此负责;
7. 所有带电产品请复核跟单是否有提供客人指定内容的WEEE说明书（非通用29L版本）；如果做了客版说明书，则会将weee说明加进客版说明书中
8. 此客户需要第三方验货，请在约三方验货前必须PASS ZURU验货。</t>
  </si>
  <si>
    <t>ZHE</t>
  </si>
  <si>
    <t>BR26164</t>
  </si>
  <si>
    <t>4500206033-10</t>
  </si>
  <si>
    <t>进口商贴纸/空白贴纸翻单PO#4500202915</t>
  </si>
  <si>
    <t>日期码格式：ZURU INC(BVI) 标准格式 日期：按实际生产日期
Packaging Info: 77772GQ2:MA 1L包装+进口商贴纸+空白贴纸+箱唛，进口商贴纸/空白贴纸翻单PO#4500202915
Remark: 外箱胶带要用CANDIDE 格式</t>
  </si>
  <si>
    <t>4500203307-10</t>
  </si>
  <si>
    <t>日期码格式：ZURU INC(BVI) 标准格式                  日期：按实际生产日期
Packaging Info: 77772GQ1：MA 3L EAN 收缩膜+1*多语警语折叠贴纸（翻单4500193875）+MA 23L 组装说明书+MA 5L+23L 收藏指南+MA 纸卡+MA 复合袋+MA 3L PDQ+1* C版 29L WE
EE不带电走货说明书
Remark: 1.波兰内销单，需要通过ZURU 验货结果后才能出货 (工厂需要主动提前同ZURU QC预约验货避免延期出货造成不必要麻烦)；
2. 产品如含有化学品，需要无硼无香；无微塑料
3. 若有特定款有特殊外箱条码要求时,需要明确列出产品款对应的具体外箱条码号码/条码类型 (若无,可以忽略此需求)；
4.所有出口欧洲的产品, 法规规定禁止在包装和共公众用的印刷品中使用矿物油中含有的物质, 包装印刷油墨中含有的MOAH/MOSH的质量浓度不能超过1%, 否则出货
到法国被抽检出现问题, 供应商需要对此负责;
 5. date code: 外箱日期码要晚于或等于产品日期码，不能早于产品的日期码；
 6. 所有出往波兰的电子产品身上需要加字唛，为ZURU FRANCE 地址，需跟包装上的地址一致 (如无电子产品，产品布标有此地址，或产品太小无法增加可忽略此信
息。如产品无法加字唛，需让对应跟单提供产品贴纸资料)
新地址：ZURU France 33 rue Paul Meurice 75020 Paris, France
旧地址：ZURU France 1/3, Rue d'Argenteuil 95210 SAINT-GRATIEN, FRANCE
7.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8. 所有出往波兰订单的电子产品需增加一张最新版本的欧洲通用WEEE声明说明书，区分带电池和不带电池版本, 如已做客版说明书可忽略此要求。</t>
  </si>
  <si>
    <t>4500216768-10</t>
  </si>
  <si>
    <t>4500208855转单</t>
  </si>
  <si>
    <t>日期码格式：ZURU INC(BVI) 标准格式                  日期：按实际生产日期
Packaging Info: ***此票是从原PO#4500208855 拆出来走空运的，请留意更新工厂记录，避免重复安排做货；箱唛上维持原来的客人PO#4400573265不变***
77772GQ2: MA PDQ (优先多语)+客版5L收缩膜 (翻PO#4500191961) +客版5L收藏指南(翻PO#4500200925)+MA 23L组装说明书+MA内袋
EAN#4894680051133
*必须移除Messy Lola Young (VINYL-S1-021) 这个唱片, 比例按PM更新的安排, 如未按要求做货被客罚由工厂承担责任*
如达不到包材MOQ-
77772GQ2: MA PDQ (优先多语)+MA 3L-EAN收缩膜+1张含德语callout/德意荷警语/法国sorting label贴纸(翻单PO#4500196046)+客版5L收藏指南(不含Messy唱片,
翻PO#4500200925)
EAN#4894680051133
*必须移除Messy Lola Young (VINYL-S1-021) 这个唱片, 比例按PM更新的安排, 如未按要求做货被客罚由工厂承担责任*
Remark: Smyths 德国
 1. 请准时出货，推期会有罚款；
 2. 所有产品按符合欧洲标准走货，需要是不含微塑料版本。
 3. 所有电子产品身上需要加字唛，为ZURU FRANCE 地址 (如无电子产品，产品布标有此地址，或产品太小无法增加可忽略此信息)，新地址ZURU FRANCE.33 rue Pa
 ul Meurice 75020 Paris, France.
 4. 包装/说明书(如有)/产品(如有)上的法国地址信息必须保持一致，不可出现包装上是新地址，说明书上是旧地址；如地址信息不一致请通知跟单更新文件；
5. 电子产品需增加一张WEEE声明29L通用黑白说明书，区分带电池(D版)和不带电池(C版)出货版本, 如已做带WEEE声明的客版说明书可忽略此要求；如包装备注上
缺少此部分信息，请提醒跟单更新备注。
6.所有出往德国市场有关slime和带香味的都需要出无硼无香版本；
7.订单备注显示有分批的(不同仓库/订单号), 一定要区分客户订单号做货出货，否则会导致罚款  。
8.包装日期码按ZURU格式即可，请确保不迟于外箱日期码，可等于或者早于外箱日期码，必须为法定工作日。
9.做货前请先复核包装条码与订单是否一致再安排，对不上的需与ZURU跟单确认再安排。
10.包装必须含法国回收标(Sorting Label)，如没有，请提醒跟单提供贴纸资料。</t>
  </si>
  <si>
    <t>43CHT26ESCA1092</t>
  </si>
  <si>
    <t>4500204176-10</t>
  </si>
  <si>
    <t>7/31完成，8/4东莞完成</t>
  </si>
  <si>
    <t>日期码格式：ZURU INC(BVI) 标准格式                  日期：按实际生产日期
Packaging Info: MEC426: MA 3L 展示架
77794: MA 3L EAN (4894680051430)彩盒，  MA 23L说明书,MA最新版WEEE_带电池走货 _ 说明书欧洲EN, 锂电池-欧洲 澳新 23L警语说明书
明书，  MA 3L PDQ
Remark: 1.大货样品2套，请多备料。
 2. 出口欧洲，所有产品微塑料需符合法规。
 3. 产品、包装、外箱日期码需一致。
 4. 空白纸箱: 在正唛（只1面）加多虚线15 x 10.5 cm ( 高x 宽) 距箱左边2cm，  距箱底 3cm，虚线内1张外箱贴纸（在checkpoint网站上订）Custeomer Service:
 Erica Lun Tel.+852 2995 8399/erica.lun@checkpt.com
 5. 所有包装材料禁止使用PVC，需改用PET材料。
 6. 要求使用双坑纸箱，外箱尺寸超出7%有350USD的罚款，请注意外箱尺寸变更不能超出7%。下表客人系统外箱尺寸FYI.
8.所有出往欧洲市场订单的电子产品需增加一张WEEE声明说明书，区分带电池和不带电池版本, 如已做客版说明书可忽略此要求。</t>
  </si>
  <si>
    <t>43CHT26ESCA1075</t>
  </si>
  <si>
    <t>4500204166-20</t>
  </si>
  <si>
    <t>日期码格式：ZURU INC(BVI) 标准格式                  日期：按实际生产日期
Packaging Info: 77673TQ1：  MA 3L EAN收缩膜(4894680042773)，MA 纸袋，MA 5L收藏指南，MA 5L UV 贴纸，  MA 电池+UV胶警告语-23L 说明书+WEEE_带电池走货 _ 说明书欧洲, M
A 3L PDQ
MEC426: MA 3L 展示架
77711GQ2: MA 3L EAN收缩膜(4894680043350)，FR+ES 回收标贴纸，MA 纸袋，  MA 5L UV 贴纸，MA 5L+23L警语收藏指南，  MA 23L警语说明书，MA 5L creative说
明书，  MA 3L PDQ
Remark: 1.大货样品2套，请多备料。
 2. 出口欧洲，所有产品微塑料需符合法规。
 3. 产品、包装、外箱日期码需一致。
 4. 空白纸箱: 在正唛（只1面）加多虚线15 x 10.5 cm ( 高x 宽) 距箱左边2cm，  距箱底 3cm，虚线内1张外箱贴纸（在checkpoint网站上订）Custeomer Service:
 Erica Lun Tel.+852 2995 8399/erica.lun@checkpt.com
 5. 所有包装材料禁止使用PVC，需改用PET材料。
 6. 要求使用双坑纸箱，外箱尺寸超出7%有350USD的罚款，请注意外箱尺寸变更不能超出7%。下表客人系统外箱尺寸FYI.
8.所有出往欧洲市场订单的电子产品需增加一张WEEE声明说明书，区分带电池和不带电池版本, 如已做客版说明书可忽略此要求。</t>
  </si>
  <si>
    <t>4500209403-20</t>
  </si>
  <si>
    <t>7/26完成</t>
  </si>
  <si>
    <t>7/25 截关</t>
  </si>
  <si>
    <t>客人通用进口商贴纸（贴纸跟位置图翻单PO#4500193524）</t>
  </si>
  <si>
    <t>日期码格式：ZURU INC(BVI) 标准格式 日期：按实际生产日期
Packaging Info:
77772GQ2: MA英语UPC版本收缩膜( MA首选1L，如无1L可用多语且含英语的配套多语包装) +客版PDQ（翻单PO#4500200163） +客制B版收藏指南（收藏指南翻单PO#4
500202802的77869的子件77772）+1张客人通用进口商贴纸（贴纸跟位置图翻单PO#4500193524）+箱唛
配比信息：4 mini vinyls,1 accessory
Removed了 ""Messy &lt;(&gt;&amp;&lt;)&gt; Delicious"两张唱片
Remark: 1.按实际生产日期;
2.出澳大利亚，请按照相应标准生产;</t>
  </si>
  <si>
    <t>4500204121-10</t>
  </si>
  <si>
    <t>7/24 SI</t>
  </si>
  <si>
    <t>ZB07543/ZB07544</t>
  </si>
  <si>
    <t>4500204120-10</t>
  </si>
  <si>
    <t>7/16 BV验货</t>
  </si>
  <si>
    <t>ZB07535/ZB07536</t>
  </si>
  <si>
    <t>MANOR AG</t>
  </si>
  <si>
    <t>瑞士</t>
  </si>
  <si>
    <t>P016396444/S</t>
  </si>
  <si>
    <t>4500204979-10</t>
  </si>
  <si>
    <t>5/17款号条码贴纸 + DE IT警语贴纸(翻单4500203158)</t>
  </si>
  <si>
    <t>日期码格式：ZURU INC(BVI) 标准格式                  日期：按实际生产日期
Packaging Info: 77772GQ1：MA 3L EAN收缩膜 + 款号条码贴纸 + DE IT警语贴纸(翻单4500203158)，MA 23L组装说明书，MA 5L收藏指南，C版不带电池走货EU通用29L WEEE说明书，
MA配件袋，MA 3L PDQ
Remark: 1.此单出瑞士，微塑料需符合法规。
2.此单务必准时出货，如有推期会有罚款和空运。
其中推期1至7天扣款5%，推期8至14天扣款10%，推期15至21天扣款20%, 如此类推。
3.此单无须客户第三方验货，但是需要在2026/6/18提供客人格式验货报告，待客人放货后才会放SO安排走货。
4.此单出货前要寄2套大货签办给到客户办公室+1套大货签办到罗湖办公室
5.所有出往欧洲订单的电子产品需增加一张通用29L WEEE声明说明书，区分带电池出货和不带电池出货版本
6. 所有出往GAS市场(德国/奥地利/瑞士)的电子产品身上需要加字唛，为ZURU FRANCE 地址，需跟包装上的地址一致  （如该电子产品无法打上字唛但是可以在产品
上加贴纸，需让对应跟单提供产品贴纸资料。如无电子产品；或产品布标有此地址；或产品太小既无法增加字唛也无法加上贴纸，可忽略此信息。）
新地址：ZURU France 33 rue Paul Meurice 75020 Paris, France
旧地址：ZURU France 1/3, Rue d'Argenteuil 95210 SAINT-GRATIEN, FRANCE
7.所有出往GAS市场(德国/奥地利/瑞士)订单，化学品需无硼无香版本。
8.标准配比</t>
  </si>
  <si>
    <t>WarehouseNo.2</t>
  </si>
  <si>
    <t>4500203215-60</t>
  </si>
  <si>
    <t>7/21完成</t>
  </si>
  <si>
    <t>6/23 UPC 贴纸</t>
  </si>
  <si>
    <t>日期码格式：ZURU INC(BVI) 标准格式                  日期：按实际生产日期
Packaging Info: 1.优先多语 MA UPC或者3L/5L MA EAN 包装,EAN 包装则需加UPC 贴纸，2.请确保包装上的条形码是UPC，  如果是baby UPC，需要用mother UPC覆盖。
3 .MA PDQ 优先用3L,MA 只有1L版本的情况下就用1L PDQ
4.此单MA 3L UPC/EAN 包装（EAN 包装需要用UPC贴纸覆盖）+箱唛
77772GQ2  4  mini vinyls,1 accessory</t>
  </si>
  <si>
    <t>4500204122-10</t>
  </si>
  <si>
    <t xml:space="preserve">日期码格式：ZURU DGYYYYMMDD CHINA(日期避开周末和法定节假日即可） 日期：按实际生产日期
Packaging Info: MSLD182-客版1L展示架+展示架两侧预留77772的价格牌卡槽, 卡槽尺寸务必要大于2"w*1"H
77772-MA 1L A版收缩膜+MA 5L A版收藏指南+MA 23L A版说明书+MA A版纸袋+客版1L PDQ（翻单：4500195546）+客版UPC贴纸，New UPC number: 193052118721
每pcs产品需加贴NEW UPC贴纸。贴前须用黑色笔将原 UPC 条码完全涂黑，使其无法扫描，再粘贴新 UPC 贴纸。
Remark: MSLD182-客版1L展示架+展示架两侧预留77772的价格牌卡槽, 卡槽尺寸务必要大于2"w*1"H
77772-MA 1L A版收缩膜+MA 5L A版收藏指南+MA 23L A版说明书+MA A版纸袋+客版1L PDQ（翻单：4500195546）+客版UPC贴纸，New UPC number: 193052118721
每pcs产品需加贴NEW UPC贴纸。贴前须用黑色笔将原 UPC 条码完全涂黑，使其无法扫描，再粘贴新 UPC 贴纸。
2.外箱RFID箱唛（四面右下角需印Zuru Logo)+ ITF-14条码；ITF-14条码印刷在外箱主唛左下角，外箱任一侧面角落备注："MADE IN CHINA" 字样，外箱箱唛资料待
提供。
一张锂电池贴纸贴在有条码的正唛上
3. 在产品上和包装上要有日期码、以及要有MADE IN CHINA和ZURU字样；
4. 产品如有扎带口要剪平，不能刮手。
5. 此单需要验货，请自行多备包装物料。
6. 128pcs/Half Pallet/CTN,
77772GQ3: 64PCS/4PDQ/Half Pallet, 16pcs/PDQ
</t>
  </si>
  <si>
    <t>ZB07541/ZB07542</t>
  </si>
  <si>
    <t>AMAZON  CA  (VENDOR  CENTER)</t>
  </si>
  <si>
    <t>6AJVEFBH</t>
  </si>
  <si>
    <t>4500214526-10</t>
  </si>
  <si>
    <t>由4500204283/4500202755转单</t>
  </si>
  <si>
    <t>日期码格式：ZURU  INC(BVI)  标准格式                                    日期：按实际生产日期
Packaging Info: #77876:2PK  MA  3L  UPC版#77772入PVC桶，3L无UPC客版收缩膜，客版收缩膜和3L铜版纸图稿翻单4500192506.（两个球的配比不能重复）。77876需要返工移除两款唱
片（具体唱片以SP通知为准），返工后的产品需要加UPC贴纸  (新UPC-193052118752)，覆盖原铜板纸上的旧UPC。取代PO#4500202755,4500204283  总数量不变，如外
箱已贴SSCC贴纸，需要先划掉旧的贴纸，用新的覆盖。
Remark: 1.  Amazon  FOB订单，出口CA。外箱最长边不能超过25"    （超过了，case  pack只能为1），不符合要求的大货，   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 邮包盒上要印刷日期码</t>
  </si>
  <si>
    <t>63WTPN3F</t>
  </si>
  <si>
    <t>4500214526-20</t>
  </si>
  <si>
    <t>2YG52PPN</t>
  </si>
  <si>
    <t>4500214526-30</t>
  </si>
  <si>
    <t>23WMZLMY</t>
  </si>
  <si>
    <t>4500214526-40</t>
  </si>
  <si>
    <t>17ZPOXEH</t>
  </si>
  <si>
    <t>4500214526-50</t>
  </si>
  <si>
    <t>SANBORN  HERMANOS,  S.  A.  DE  C.  V.</t>
  </si>
  <si>
    <t>4500208353-30</t>
  </si>
  <si>
    <t>8/1完成</t>
  </si>
  <si>
    <t>客户有监装要求，每款需要各准备1pc监柜样板</t>
  </si>
  <si>
    <t>(+UPC 条码贴纸)+进口商贴纸+说明书贴纸所有贴纸翻单4500207643</t>
  </si>
  <si>
    <t>日期码格式：ZURU  INC(BVI)  标准格式                                    日期：按实际生产日期
Packaging Info: 
77772GQ2:  MA  3L  PDQ包装+MA  3L  EAN包装(+UPC  条码贴纸)+进口商贴纸+说明书贴纸+箱唛，所有贴纸翻单4500207643
Remark: 客户有监装要求，每款需要多备1pc监柜样板用于监装，监柜样板要和大货一致</t>
  </si>
  <si>
    <t>Ever  Li</t>
  </si>
  <si>
    <t>ZURU  FRANCE</t>
  </si>
  <si>
    <t>4500209965-10</t>
  </si>
  <si>
    <t>6/9 确认</t>
  </si>
  <si>
    <t>"日期码格式：ZURU  INC(BVI)  标准格式                                    日期：按实际生产日期
Packaging Info: 77772GQ1：最新MA3L  EAN收缩膜+  MA23L说明书+MA5L  收藏指南+MA纸卡和袋子  +    MA3L  PDQ  +  多语警语折叠贴纸（含法意西环保标）（翻4500193875）
Remark: 1.  法国国家内销单，需要通过ZURU  验货结果后才能出货  (工厂需要主动提前同ZURU  QC预约验货避免延期出货造成不必要麻烦)；
   2.  本订单所有  具有  baby  items  /  assorted  items  的款式，零售包装上都要用  母  EAN;  所有订单出口西班牙都需要有法国环保标和法国警语。
   3.  若有特定款有特殊外箱条码要求时,需要明确列出产品款对应的具体外箱条码号码/条码类型  (若无,可以忽略此需求)
   4.  所有出口欧洲的产品,  法规规定禁止在包装和共公众用的印刷品中使用矿物油中含有的物质,  包装印刷油墨中含有的MOAH/MOSH的质量浓度不能超过1%,  否则出
货到法国被抽检出现问题,  供应商需要对此负责;
   5.  Date  code:  外箱/产品/包装  保持一致，完货后提供date  code  信息以便我们保存记录做批次管理;  包括DEMO  BOX的产品外箱请都统一增加向上标示，以防倒置
造成产品移位或损坏。
   6.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7，     带电池产品都需要包含最新29LWEEE黑白说明书(带电池出货/不带电池出货)。
8，MTS所有订单，SMASHERS  或含Slime产品，所有化合物使用低硼版本出；BOB系列要符合欧洲要求不含亚硝酸版本;  XShot  Hyper系列，统一出EN71版本;  Slime  M
art统一用EUR版本的包装。
9.  产品出法国，包装或外箱所用的纸板含有超过  50%  的再生材料。
10.  电池产品请确保使用新说明书以及新标识的电池以符合最新(EU)  2023/1542法规    （增加制造商信息，电池种类，制造商地址，电池重量，化学组成，可用的灭
火器，浓度重量占比&gt;0. 1%的关键原材料，二维码），如果电池不含这些信息，也需要确保电池说明书含这些信息。"</t>
  </si>
  <si>
    <t>外箱/产品/包装  保持一致，完货后提供date  code  信息以便我们保存记录做批次管理;  包括DEMO  BOX的产品外箱请都统一增加向上标示，以防倒置
造成产品移位或损坏。</t>
  </si>
  <si>
    <t>日期码格式：ZURU  INC(BVI)  标准格式                                    日期：按实际生产日期
Packaging Info: 77772GQ1：最新MA3L  EAN收缩膜+  MA23L说明书+MA5L  收藏指南+MA纸卡和袋子  +    MA3L  PDQ  +  多语警语折叠贴纸（含法意西环保标）（翻4500193875）
Remark: 1.  法国国家内销单，需要通过ZURU  验货结果后才能出货  (工厂需要主动提前同ZURU  QC预约验货避免延期出货造成不必要麻烦)；
   2.  本订单所有  具有  baby  items  /  assorted  items  的款式，零售包装上都要用  母  EAN;  所有订单出口西班牙都需要有法国环保标和法国警语。
   3.  若有特定款有特殊外箱条码要求时,需要明确列出产品款对应的具体外箱条码号码/条码类型  (若无,可以忽略此需求)
   4.  所有出口欧洲的产品,  法规规定禁止在包装和共公众用的印刷品中使用矿物油中含有的物质,  包装印刷油墨中含有的MOAH/MOSH的质量浓度不能超过1%,  否则出
货到法国被抽检出现问题,  供应商需要对此负责;
   5.  Date  code:  外箱/产品/包装  保持一致，完货后提供date  code  信息以便我们保存记录做批次管理;  包括DEMO  BOX的产品外箱请都统一增加向上标示，以防倒置
造成产品移位或损坏。
   6.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7，     带电池产品都需要包含最新29LWEEE黑白说明书(带电池出货/不带电池出货)。
8，MTS所有订单，SMASHERS  或含Slime产品，所有化合物使用低硼版本出；BOB系列要符合欧洲要求不含亚硝酸版本;  XShot  Hyper系列，统一出EN71版本;  Slime  M
art统一用EUR版本的包装。
9.  产品出法国，包装或外箱所用的纸板含有超过  50%  的再生材料。
10.  电池产品请确保使用新说明书以及新标识的电池以符合最新(EU)  2023/1542法规    （增加制造商信息，电池种类，制造商地址，电池重量，化学组成，可用的灭
火器，浓度重量占比&gt;0. 1%的关键原材料，二维码），如果电池不含这些信息，也需要确保电池说明书含这些信息。</t>
  </si>
  <si>
    <t>GS TIENDAS DEPARTAMENTALES, S.A. DE</t>
  </si>
  <si>
    <t>4500208984-110</t>
  </si>
  <si>
    <t>8/1完成，8/4东莞完成</t>
  </si>
  <si>
    <t>客户有监装要求，每款需要名准备1pc监柜样板</t>
  </si>
  <si>
    <t>(+UPC 条码贴纸)+进口商贴纸，贴纸翻单4500207499</t>
  </si>
  <si>
    <t>日期码格式：ZURU INC(BVI) 标准格式                  日期：按实际生产日期
Packaging Info: 
77772SK1/77843SK1: MA 3L SK包装+MA 3L EAN包装(+UPC 条码贴纸)+进口商贴纸+箱唛，贴纸翻单4500207499
Remark: 客户有监装要求，每款需要名准备1pc监柜样板</t>
  </si>
  <si>
    <t>ZURU FRANCE</t>
  </si>
  <si>
    <t>4500207743-20</t>
  </si>
  <si>
    <t>多语警语折叠贴纸（含法意西环保标）贴纸翻4500199601+ 不带电池出货WEEE 29L通用说明书</t>
  </si>
  <si>
    <t>外箱/产品/包装 保持一致</t>
  </si>
  <si>
    <t>日期码格式：ZURU INC(BVI) 标准格式                  日期：按实际生产日期
Packaging Info: 
77772GQ1：最新MA3L EAN收缩膜+ MA23L说明书+MA5L 收藏指南+MA纸卡和袋子 +  MA3L PDQ + 多语警语折叠贴纸（含法意西环保标）贴纸翻4500199601+ 不带电
池出货WEEE 29L通用说明书
Remark: 1. 法国国家内销单，需要通过ZURU 验货结果后才能出货 (工厂需要主动提前同ZURU QC预约验货避免延期出货造成不必要麻烦)；
 2. 本订单所有 具有 baby items / assorted items 的款式，零售包装上都要用 母 EAN; 所有订单出口西班牙都需要有法国环保标和法国警语。
 3. 若有特定款有特殊外箱条码要求时,需要明确列出产品款对应的具体外箱条码号码/条码类型 (若无,可以忽略此需求)
 4. 所有出口欧洲的产品, 法规规定禁止在包装和共公众用的印刷品中使用矿物油中含有的物质, 包装印刷油墨中含有的MOAH/MOSH的质量浓度不能超过1%, 否则出
货到法国被抽检出现问题, 供应商需要对此负责;
 5. Date code: 外箱/产品/包装 保持一致，完货后提供date code 信息以便我们保存记录做批次管理; 包括DEMO BOX的产品外箱请都统一增加向上标示，以防倒置
造成产品移位或损坏。
 6.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7，  带电池产品都需要包含最新29LWEEE黑白说明书(带电池出货/不带电池出货)。
8，MTS所有订单，SMASHERS 或含Slime产品，所有化合物使用低硼版本出；BOB系列要符合欧洲要求不含亚硝酸版本; XShot Hyper系列，统一出EN71版本; Slime M
art统一用EUR版本的包装。
 9. 产品出法国，包装或外箱所用的纸板含有超过 50% 的再生材料。
 10. 电池产品请确保使用新说明书以及新标识的电池以符合最新(EU) 2023/1542法规  （增加制造商信息，电池种类，制造商地址，电池重量，化学组成，可用的灭
火器，浓度重量占比&gt;0.1%的关键原材料，二维码），如果电池不含这些信息，也需要确保电池说明书含这些信息。</t>
  </si>
  <si>
    <t>Jade Wang</t>
  </si>
  <si>
    <t>4500216239-10</t>
  </si>
  <si>
    <t>由4500207743转单</t>
  </si>
  <si>
    <t>7/28截SI</t>
  </si>
  <si>
    <t>日期码格式：ZURU  INC(BVI)  标准格式                                    日期：按实际生产日期
Packaging Info: 77772GQ1：最新MA3L  EAN收缩膜+  MA23L说明书+MA5L  收藏指南+MA纸卡和袋子  +    MA3L  PDQ  +  多语警语折叠贴纸（含法意西环保标）贴纸翻4500199601+  不带电
池出货WEEE  29L通用说明书
Remark: 1.  法国国家内销单，需要通过ZURU  验货结果后才能出货  (工厂需要主动提前同ZURU  QC预约验货避免延期出货造成不必要麻烦)；
   2.  本订单所有  具有  baby  items  /  assorted  items  的款式，零售包装上都要用  母  EAN;  所有订单出口西班牙都需要有法国环保标和法国警语。
   3.  若有特定款有特殊外箱条码要求时,需要明确列出产品款对应的具体外箱条码号码/条码类型  (若无,可以忽略此需求)
   4.  所有出口欧洲的产品,  法规规定禁止在包装和共公众用的印刷品中使用矿物油中含有的物质,  包装印刷油墨中含有的MOAH/MOSH的质量浓度不能超过1%,  否则出
货到法国被抽检出现问题,  供应商需要对此负责;
   5.  Date  code:  外箱/产品/包装  保持一致，完货后提供date  code  信息以便我们保存记录做批次管理;  包含DEMO或者Demo  BOX的产品外箱请都统一增加向上标示，
以防倒置造成产品移位或损坏，demo  box外箱需要增加‘Contains  Demo  Box.  Non-Saleable  Unit’。
   6.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7，     带电池产品都需要包含最新29LWEEE黑白说明书(带电池出货/不带电池出货)。产品里如果含干燥剂，请附上干燥剂14L说明书。
8，MTS所有订单，SMASHERS  或含Slime产品，所有化合物使用低硼版本出；BOB系列要符合欧洲要求不含亚硝酸版本;  XShot  Hyper系列，统一出EN71版本;  Slime  M
art统一用EUR版本的包装。#17601需要出NS版本。
   9.  产品出法国，包装或外箱所用的纸板含有超过  50%  的再生材料。
   10.  电池产品请确保使用新说明书以及新标识的电池以符合最新(EU)  2023/1542法规    （增加制造商信息，电池种类，制造商地址，电池重量，化学组成，可用的灭
火器，浓度重量占比&gt;0. 1%的关键原材料，二维码），如果电池不含这些信息，也需要确保电池说明书含这些信息。</t>
  </si>
  <si>
    <t>FREDMEYER INC</t>
  </si>
  <si>
    <t>4500209247-30</t>
  </si>
  <si>
    <t>7/17号完成</t>
  </si>
  <si>
    <t>5/28 确认</t>
  </si>
  <si>
    <t>日期码格式：ZURU INC(BVI) 标准格式                  日期：按实际生产日期
1、包装方式：MA UPC优先1L最新版，出口美国
Remark: 2、无测试与第三方验货要求
 3、纸箱4面印ZURU LOGO + 箱唛
 4、日期码请按ZURU标准版执行即可
 5、ZURU QC验货</t>
  </si>
  <si>
    <t>Vicky Wu</t>
  </si>
  <si>
    <t>ZB07227-8.17</t>
  </si>
  <si>
    <t>MIGROS-GENOSSENSCHAFTS-BUND</t>
  </si>
  <si>
    <t>4500202459-40</t>
  </si>
  <si>
    <t>5/14德语警告语贴纸</t>
  </si>
  <si>
    <t>欠价格贴纸</t>
  </si>
  <si>
    <t>日期码格式：ZURU INC(BVI) 标准格式 日期：按实际生产日期
Packaging Info: 
77772: MA A版3L 包装+德语警告语贴纸+MA 23L组装说明书+MA 5L收藏指南+MA纸袋
Remark: "1. 价格贴纸要求为可移动贴纸（包装备注有则需要满足要求，没有则忽略）
2.一套大货样品/item，请多备料。
3.延期出货会有罚款，请务必按时完货。
4.客人要求飞机孔的尺寸为3.0-3.2 cm（包装备注有则需要满足要求，没有则忽略）
5.所有包装材料禁止使用PVC，需改用PET材料
 6. 出口欧洲 微塑料需合规
 7. 请确保产品不含任何俄罗斯生产，或从俄罗斯进口的钢铁材料
8.所有出往欧洲订单的电子产品需增加一张客版WEEE声明说明书，区分带电池(WEEE 带电池走货 通用30L 说明书)和不带电池版本(WEEE 不带电池走货 通用30L 说
明书)
9.所有出往GAS市场(德国/奥地利/瑞士)的电子产品身上需要加字唛，为ZURU FRANCE 地址，需跟包装上的地址一致 (如无电子产品，产品布标有此地址，或产品太
小无法增加可忽略此信息。如产品无法加字唛，需让对应跟单提供产品贴纸资料)
新地址：ZURU France 33 rue Paul Meurice 75020 Paris, France
旧地址：ZURU France 1/3, Rue d'Argenteuil 95210 SAINT-GRATIEN, FRANCE"</t>
  </si>
  <si>
    <t>JUGUETES PASTOR S.L.</t>
  </si>
  <si>
    <t>4500206343-90</t>
  </si>
  <si>
    <t>8/3完成</t>
  </si>
  <si>
    <t>此单需要准备两套MA样板，需要在5/30前寄出；</t>
  </si>
  <si>
    <t>6/8 确认</t>
  </si>
  <si>
    <t>6/18西班牙环保标贴纸，WEEE带电池走货欧洲29语通用黑白说明书</t>
  </si>
  <si>
    <t>日期码格式：ZURU INC(BVI) 标准格式                  日期：按实际生产日期
Packaging Info: 9.77772GQ1：MA 3L EAN包装+一张西班牙环保标贴纸+MA 3L PDQ；
Remark: 1. 此单出西班牙，需满足EU测试标准要求，另外微塑料需符合EU法规；
 2. 标准配比；
3.根据新电池法规（EU）  2023/1542，所有走欧洲市场的电子产品，都需要增加WEEE通用29L说明书（分带电池走货和不带电池走货两种），如工厂没有此文件，可
以找跟单提供；
4. 产品及包装需要印CE logo图标，包装需含有西班牙环保标 和care@zuru.com 邮箱地址，  另外，贴纸不可以覆盖西班牙警告语。QC同事请核查，如有问题需和
跟单确认
5.毛绒玩具需要西班牙语言的洗涤说明；
6.此单需要准备两套MA样板，需要在5/30前寄出；</t>
  </si>
  <si>
    <t>JUGATOYS S.L.</t>
  </si>
  <si>
    <t>4500209231-240</t>
  </si>
  <si>
    <t>8/4完成</t>
  </si>
  <si>
    <t>6/6 确认</t>
  </si>
  <si>
    <t>6/11 PDQ贴纸含EAN条码+客户进口商贴纸（含西班牙环保标）+WEEE带电池走货欧洲29L通用黑白说明书；</t>
  </si>
  <si>
    <r>
      <rPr>
        <sz val="12"/>
        <color rgb="FF010CDD"/>
        <rFont val="宋体"/>
        <charset val="134"/>
      </rPr>
      <t>日期码格式：ZURU INC(BVI) 标准格式 日期：按实际生产日期 Tracking Code:
Packaging Info: 77772GQ1： MA 3L EAN包装+一张客户进口商贴纸（含西班牙环保标）+WEEE带电池走货欧洲29L通用黑白说明书；最新【MA 3L PDQ +1张PDQ贴纸含EAN条码(注意： P
 DQ贴纸位置是贴在PDQ的底部)】
 Remark: 1. 此单出西班牙，需满足EU测试标准要求，另外微塑料需符合EU法规；
 2. 标准配比；
 3.根据新电池法规（EU） 2023/1542，所有走欧洲市场的电子产品，都需要增加WEEE通用29L说明书（分带电池走货和不带电池走货两种），如工厂没有此文件，可
 以找跟单提供；
 4. 产品及包装需要印CE logo图标，包装需含有西班牙环保标 和</t>
    </r>
    <r>
      <rPr>
        <sz val="12"/>
        <color rgb="FF000000"/>
        <rFont val="宋体"/>
        <charset val="134"/>
      </rPr>
      <t xml:space="preserve">care@zuru.com </t>
    </r>
    <r>
      <rPr>
        <sz val="12"/>
        <color rgb="FF010CDD"/>
        <rFont val="宋体"/>
        <charset val="134"/>
      </rPr>
      <t>邮箱地址， 另外，贴纸不可以覆盖西班牙警告语。QC同事请核查，如有问题需和
 跟单确认
 5.毛绒玩具需要西班牙语言的洗涤说明；
 6.有关PDQ/展示架的贴纸位置图，客户要求我们贴在PDQ/展示架的底部，这样客户在打开外箱的时候不需要取出产品，即可以扫描条码，在做大货前需帮忙复查下设
 计提供的贴纸位置图是否都贴到了底部，避免客诉发生；
 7.此单需要准备2套大货样寄到深圳办公室，请注意备料；</t>
    </r>
  </si>
  <si>
    <t>4500209231-120</t>
  </si>
  <si>
    <t>8/3完成，8/6东莞完成</t>
  </si>
  <si>
    <t>4500209231拆行数量不变</t>
  </si>
  <si>
    <r>
      <rPr>
        <sz val="12"/>
        <color rgb="FF010CDD"/>
        <rFont val="宋体"/>
        <charset val="134"/>
      </rPr>
      <t>日期码格式：ZURU INC(BVI) 标准格式 日期：按实际生产日期 Tracking Code:
Packaging Info: 77772SK1： 最新MA 3L EAN包装+一张客户进口商贴纸+MA 收藏指南/拼装说明书+WEEE带电池走货欧洲29L通用黑白说明书; MA最新3L展示架+一张展示架贴纸含EAN条码
 Remark: 1. 此单出西班牙，需满足EU测试标准要求，另外微塑料需符合EU法规；
 2. 标准配比；
 3.根据新电池法规（EU） 2023/1542，所有走欧洲市场的电子产品，都需要增加WEEE通用29L说明书（分带电池走货和不带电池走货两种），如工厂没有此文件，可
 以找跟单提供；
 4. 产品及包装需要印CE logo图标，包装需含有西班牙环保标 和</t>
    </r>
    <r>
      <rPr>
        <sz val="12"/>
        <color rgb="FF000000"/>
        <rFont val="宋体"/>
        <charset val="134"/>
      </rPr>
      <t xml:space="preserve">care@zuru.com </t>
    </r>
    <r>
      <rPr>
        <sz val="12"/>
        <color rgb="FF010CDD"/>
        <rFont val="宋体"/>
        <charset val="134"/>
      </rPr>
      <t>邮箱地址， 另外，贴纸不可以覆盖西班牙警告语。QC同事请核查，如有问题需和
 跟单确认
 5.毛绒玩具需要西班牙语言的洗涤说明；
 6.有关PDQ/展示架的贴纸位置图，客户要求我们贴在PDQ/展示架的底部，这样客户在打开外箱的时候不需要取出产品，即可以扫描条码，在做大货前需帮忙复查下设
 计提供的贴纸位置图是否都贴到了底部，避免客诉发生；
 7.此单需要准备2套大货样寄到深圳办公室，请注意备料；</t>
    </r>
  </si>
  <si>
    <t>VEDES GROSSHANDEL GMBH</t>
  </si>
  <si>
    <t>4500197193-20</t>
  </si>
  <si>
    <t>从订单4500194401挪至此单</t>
  </si>
  <si>
    <t>PDQ条码贴纸+德语警语贴纸+欧洲通用30L B版或 29L WEEE说明书(不带电池)</t>
  </si>
  <si>
    <t>产品，包装，外箱Batch code: 191728/06/2026,</t>
  </si>
  <si>
    <t>日期码格式： 191729/07/2026 日期：
Packaging Info: 最新MA 3L+23L警语EAN包装+5L+9L警语说明书+欧洲通用30L B版或29L C版WEEE说明书(不带电池)+Top 10 2026 logo(翻单#4500194401)
77772GQ1: 最新MA3L PDQ+PDQ条码贴纸+3L EAN包装+德语警语贴纸+5L+23L警语收藏指南+23L说明书+欧洲通用30L B版或 29L WEEE说明书(不带电池)
Remark: 1. 出口欧洲，微塑料需符合法规。
2. 产品，包装，外箱Batch code: 191729/07/2026, 布标按MA日期码即可。77772GQ1日期码: 191728/06/2026
3. 外箱上需加隔板，以保护开箱时不被划破产品。外箱不可打釘及打帶。 每箱不得超过5立方英尺，重量不得超过15公斤。
4. 封箱胶带不能为PVC材质，需为PP 或者 OPP胶或者non-phthalate材料
5. 此单出货前需要提供3套大货样品给客人确认放货，需准时寄出避免影响出货。
6. 此单需准时出货，推期会有罚款
7. 任何彩盒及陳列盒一定要用文書膠紙貼於開口的位置 , 不能使用封箱膠紙. (如常规包装中彩盒和陈列盒无封口需求的，则无需再额外加胶纸)
8. 外箱不可打釘及打帶
9. 所有出往GAS市场(德国/奥地利/瑞士)的电子产品身上需要加字唛，为ZURU FRANCE 地址，需跟包装上的地址一致 (如无电子产品，产品布标有此地址，或产品太
小无法增加可忽略此信息。如产品无法加字唛，需让对应跟单提供产品贴纸资料)新地址：ZURU France 33 rue Paul Meurice 75020 Paris, France
旧地址：ZURU France 1/3, Rue d'Argenteuil 95210 SAINT-GRATIEN, FRANCE
10. 所有出往GAS市场(德国/奥地利/瑞士)的电子产品需增加一张欧洲通用WEEE声明说明书，区分带电池和不带电池版本, 如已做客版说明书可忽略此要求。
11. 所有出往GAS市场(德国/奥地利/瑞士)订单，化学品需无堋无香版本
12. 标准配比</t>
  </si>
  <si>
    <t>Shirley Zhou</t>
  </si>
  <si>
    <t>199-9541-101</t>
  </si>
  <si>
    <t>4500197502-10</t>
  </si>
  <si>
    <r>
      <rPr>
        <sz val="12"/>
        <color rgb="FF010CDD"/>
        <rFont val="宋体"/>
        <charset val="134"/>
      </rPr>
      <t>日期码格式：ZURU  INC(BVI)  标准格式 日期：按实际生产日期
Packaging Info: 客版包装:  客版彩盒+  客版PDQ  +客版收缩膜+客版收藏指南+客版说明书+客版纸袋  等其他内包材
注意订单不能包含此唱片：VINYL-S1-021  Messy-Lola  Young  ，这也是为什么我们新建了Spec
Remark: 1.  所有日期码印在彩盒上，产品上也需要印日期码.  按实际生产日期，ZURU  标准版格式的日期码。
   2.  客版包装:  客版彩盒+  客版PDQ+客版收缩膜+客版收藏指南+客版说明书+客版纸袋  等其他内包材</t>
    </r>
    <r>
      <rPr>
        <sz val="12"/>
        <color rgb="FF010CDD"/>
        <rFont val="Arial"/>
        <charset val="134"/>
      </rPr>
      <t xml:space="preserve">	</t>
    </r>
    <r>
      <rPr>
        <sz val="12"/>
        <color rgb="FF010CDD"/>
        <rFont val="宋体"/>
        <charset val="134"/>
      </rPr>
      <t xml:space="preserve">
3.  纸箱唛头：纸箱四面，正唛和背面两面都需印刷，其他2面侧面留空,按照箱唛要求排版。
   4.  确保展示架在入外箱的时候一定要正面对着有印刷箱唛的那面,不可以装反。
Order  Modifiable  Records
Revision  #</t>
    </r>
    <r>
      <rPr>
        <sz val="12"/>
        <color rgb="FF010CDD"/>
        <rFont val="Arial"/>
        <charset val="134"/>
      </rPr>
      <t xml:space="preserve">	</t>
    </r>
    <r>
      <rPr>
        <sz val="12"/>
        <color rgb="FF010CDD"/>
        <rFont val="宋体"/>
        <charset val="134"/>
      </rPr>
      <t>Date:</t>
    </r>
    <r>
      <rPr>
        <sz val="12"/>
        <color rgb="FF010CDD"/>
        <rFont val="Arial"/>
        <charset val="134"/>
      </rPr>
      <t xml:space="preserve">	</t>
    </r>
    <r>
      <rPr>
        <sz val="12"/>
        <color rgb="FF010CDD"/>
        <rFont val="宋体"/>
        <charset val="134"/>
      </rPr>
      <t>Comment:
Special
Requirments</t>
    </r>
    <r>
      <rPr>
        <sz val="12"/>
        <color rgb="FF010CDD"/>
        <rFont val="Arial"/>
        <charset val="134"/>
      </rPr>
      <t xml:space="preserve">	</t>
    </r>
    <r>
      <rPr>
        <sz val="12"/>
        <color rgb="FF010CDD"/>
        <rFont val="宋体"/>
        <charset val="134"/>
      </rPr>
      <t xml:space="preserve">1.Factory  is  required  to  confirm  the  PO  with  all  the  details  within  2  working  days  once  upon  receipt  of  ZURU  PO.  Or  order  will  be  treated  as  accepted.
       贵司收到  ZURU  订单请在2个工作日内确认订单，否则将视为默认接受；
2.Fulfill  US,  EU,  AUS,  NZ  and  CAN  latest  safety  requirements,  such  as  EN71,  ASTM  F963,  AS  /  NZS  ISO8124,  Reach,  requirements  of  EC  directive
2009/48/EC/Phthalates/PAH/lead/cadmium/Azo/Formaldehyde/USP51/USP61/62  and  other  applicative  regulation  in  toys;  EN62115/ROHS/EMC/FCC/ICES-003/RCM/2006/66/EC  for
Electronic  toys.
       产品及大货需要满足US,  EU,  AUS,  NZ  和CAN的最新玩具安全要求以及符合玩具的相关测试标准（例如：EN71,  ASTM  F963,  AS  /  NZS  ISO8124,  Reach,  requirements  of  EC  directive
2009/48/EC/Phthalates/PAH/lead/cadmium/Azo/Formaldehyde/USP51/USP61/62  和其他适用的规定等等;  电子类玩具还需要满足EN62115/ROHS/EMC/FCC/ICES-003/RCM/2006/66/EC等等）；
3.Please  prepare  extra  quantity  for  photography  purpose  sample,  sign-off  sample,  sample  drawing,  testing,  and  inspection  (AQL  standard).
       由于涉及到拍照用途的样品、签样、抽样、测试以及验货（按照AQL标准），请额外备足够的数量；
4.ZURU  carton  standard  should  be  单坑  requirement  for  those  carton  weight  less  than  5KG.  Otherwise,  A=B  requirement  is  required.
       外箱重量低于5kg的标准的外箱材质要求是单坑，否则要求A=B；
5.Factory  is  required  to  reconfirm  order  carton  details  including  dimension,  weight,  pack  size  etc..  Please  inform  ZURU  team  if  any  update.
       要求工厂确认好外箱的信息，例如：尺寸、毛重、净重、装箱数等； 如有任何更新请及时通知；
6.Date  code  is  required  for  product,  retail  packaging  and  master  carton.  If  there's  NO  customer  assigned  date  code  format,  please  use  ZURU    standard  format  and  it
should  be  "GZYYYYMMDD".  (ATTN:  GZ  is  city  code  of  production  factory  (e.g.  Guangzhou  =  GZ),  YYYYMMDD  is  production  year,  month  and  date.).  "©ZURU"  and"Made  in  China"
are  required  to  show  on  the  product.  Please  further  check  with  ZURU  QA  team  if  you  have  any  questions.
       产品，零售包装以及外箱上需要显示生产日期；如果客人没有指定的日期码格式，请用  ZURU  标准日期码格式，如：GZYYYYMMDD（注意：GZ是生产工厂的城市代码缩写，例如："广州"，Gua
ngzhou  =  GZ；YYYYMMDD是生产年、月和日）；产品上需要有"©ZURU"和"Made  inChina"的字样；以上，对此有疑问请联系  ZURU  QA  team；
7.Date  code  on  product  should  be  earlier  or  equal  to  date  on  packaging;  Date  code  on  packaging  should  be  earlier  or  equal  to  master  carton  (Date  code  on  retail
packaging  must  be  readable  without  opening  the  retail  packaging.).
       产品上日期码的日期应早于或等于包装上日期码的日期；包装上日期码的日期应早于或等于外箱上日期码的日期（注意：零售包装上的日期码要在无需拆开包装的前提下可直接看到）；
8.All  the  change  on  production/packaging  must  inform  ZURU  team  and  ask  confirmation  in  advance.
       若产品/大货或包装有任何变更，请务必通知  ZURU  相关团队并提前确认好以免影响订单交付；
9.If  ZURU  re-inspection  is  required  caused  by  factory's  problem,  the  re-inspection  fee  of  CNY  1000  and  travel  expenses  will  be  at  production  factory's  expense.
       若因工厂原因导致的  ZURU  QC重验，工厂需要承担CNY1000重验费以及相关差旅费；
10.ZURU  Final  inspection  application  is  required  to  submit  to  ZURU  OQC  team  7  days  before  inspection  date  with  order  qty  100%  finished.  And  all  shipments  should  be
pass  ZURU  OQC  inspection  before  delivery.
         烦请验货前至少7天与  ZURU  验货团队预约验货，并确保验货当天是100%完成大货；所有出货前要有  ZURU  验货通过的报告；
11.All  barcodes  should  be  scannable  and  readable.
         所有条码确保可扫描以及可读；
12.ZURU  logo  is  required  for  master  carton  as  large  as  possible  in  the  condition  of  NO  impact  shipping  mark  information.
         外箱上需要印有  ZURU  符号并且在不影响箱唛的情况下，ZURU  符号应尽可能放大；
13.Above  are  ZURU    STD  requirements.  If  there  are  customer  or  other  requirements,  please  further  follow  it  as  per  PO  remark  or  email  notification.
         以上均为  ZURU  标准要求，如果有任何客人或其他要求，请查看PO上的备注以及注意邮件通知。
</t>
    </r>
    <r>
      <rPr>
        <sz val="12"/>
        <color rgb="FF010CDD"/>
        <rFont val="Arial"/>
        <charset val="134"/>
      </rPr>
      <t xml:space="preserve">																													</t>
    </r>
    <r>
      <rPr>
        <sz val="12"/>
        <color rgb="FF010CDD"/>
        <rFont val="宋体"/>
        <charset val="134"/>
      </rPr>
      <t xml:space="preserve">
Additional
Clause</t>
    </r>
    <r>
      <rPr>
        <sz val="12"/>
        <color rgb="FF010CDD"/>
        <rFont val="Arial"/>
        <charset val="134"/>
      </rPr>
      <t xml:space="preserve">	</t>
    </r>
    <r>
      <rPr>
        <sz val="12"/>
        <color rgb="FF010CDD"/>
        <rFont val="宋体"/>
        <charset val="134"/>
      </rPr>
      <t>1.As  agreed  above,  ZURU  reserves  the  right  to  claim  the  penalties  of  shipment  delay  which  caused  by  factory  as  following  terms:
         ·Will  charge  5%  of  PO  total  amount  for  1-7  days  (incl.  7days)  of  the  shipment  delay.
         ·Will  charge  7%  of  PO  total  amount  for  7-14  days  (incl.  14days)  of  the  shipment  delay.
         ·Will  charge  10%  of  PO  total  amount  for  over  14  days  of  the  shipment  delay.
         · If  customer  required  to  air  ship  or  penalty  for  shipment  delay,  the  air  cost  and  penalty  will  be  at  factory's  expense.
        如果同意以上交货期到  ZURU  公司但是最后由于供应商原因无法交货，ZURU  公司保留以下的罚款条款：
          *  1-7（含第七天）天内延迟出货罚款为合同总金额的百分之五，
          *  7-14（含第十四天）天内延迟出货罚款为合同总金额的百分之七，
          *  如果超过14天将扣合同金额的百分之十，
          *  如产生客人对  ZURU  公司罚款或产生空运费，罚款金额需供应商全额承担；
    2.Factory  is  required  to  bear  relevant  cost  or  penalty  of  customer  or  3rd  party's  failed  result  which  caused  by  factory.
        如遇到由工厂导致的客人或第三方的验货、测试不过等要求重验或重测以及涉及罚款的，工厂需要承担相关费用；
    3.If  the  quality  cannot  meet  ZURU  standard  or  requirements,  factory  is  required  to  improve  or  rework  till  it  could  meet  ZURU  standard  or  requirements.  All  costs
including  rework  fee,  shipment  delay  fee  or  penalty  are  at  factory's  expense.
        如果因为质量不符合  ZURU  公司要求的标准，供应商必须改进产品以达到标准并支付返工费用及以上出货延迟费用；
    4.Please  be  subject  to  the  final  revision/update  of  PO  and  adjust  the  production  if  needs.
        订单细节会不时进行修改，请以最后一次修改订单为准并及时协调生产；
    5.Please  contact  relevant  merchandiser  within  2  working  days  if  you  have  any  questions  of  the  order.  Or  order  will  be  treated  as  accepted.
        如果对订单细节有任何疑问，请在2个工作日内直接回复给对应跟单；如果没有回复，那么将被认为所有订单细节包括交期在内都被接受；
    6.Factory  is  required  to  provide  the  commodity  inspection  (if  needs),  customs  clearance  documents  and  complete  the  trade  term  responsibilities.  Or  please  further  check
with  ZURU  Company  team  20  days  ahead  of  shipment.  And  the  order  will  be  settled  by  CNY  and  required  factory  to  raise  13%  VAT  invoice  after  confirmation.
        该订单将需要贵司提供相关的商检及报关单证，若贵司不能提供相关单证且需要用到我司单证出货，要求于出货20日前与我司确认，该订单将以人民币结算并需要贵司开出13%税率VAT增值
税发票；
Confirmed  And  Accepted  By:</t>
    </r>
    <r>
      <rPr>
        <sz val="12"/>
        <color rgb="FF010CDD"/>
        <rFont val="Arial"/>
        <charset val="134"/>
      </rPr>
      <t xml:space="preserve">	</t>
    </r>
    <r>
      <rPr>
        <sz val="12"/>
        <color rgb="FF010CDD"/>
        <rFont val="宋体"/>
        <charset val="134"/>
      </rPr>
      <t>Issued  By:
Signature  &amp;  Company  Chop</t>
    </r>
  </si>
  <si>
    <t>BAMASIA SARL</t>
  </si>
  <si>
    <t>4500203754-30</t>
  </si>
  <si>
    <t>7/31 截关</t>
  </si>
  <si>
    <t>6/91张法国回收logo贴纸</t>
  </si>
  <si>
    <t xml:space="preserve">日期码格式：ZURU INC(BVI) 标准格式                  日期：按实际生产日期
Packaging Info: 
77772GQ2: MA 3L EAN 收缩膜+1张法国回收logo贴纸 +MA 23L组装说明书+MA 5L收藏指南+MA袋子+ MA 3L最新版 PDQ
Remark: 1. 此票需通过ZURU OQC验货；
 2. 此票出法国，请确保产品符合EU标准，包装含有法国回收logo，符合EU微塑料法规；
3. 此票全部用EAN条码
 4. 所有出口法国的产品, 法规规定禁止在包装和公众用的印刷品中使用矿物油中含有的物质, 包装印刷油墨中含有的MOAH/MOSH的质量浓度不能超过1%, 否则出货
到法国被抽检出现问题, 供应商需要对此负责;                   </t>
  </si>
  <si>
    <t>ZMPO260770</t>
  </si>
  <si>
    <t>ZMPO260770-20</t>
  </si>
  <si>
    <t>Remark大货最新版本/款号平均/麻烦按款号装箱/并在外箱上注明款号/大货标准箱装箱/箱唛参照邮件附件备注：收到样品订单后尽快安排 ，注意样板品质质量要求要高于大货品质要求 ，送货时必须要附带送货单(没有送货单和QC检验合格报告的仓库一律拒绝收货)，请知悉，谢谢！</t>
  </si>
  <si>
    <t>PC26103</t>
  </si>
  <si>
    <t>4500211344-80</t>
  </si>
  <si>
    <t>8/2完成</t>
  </si>
  <si>
    <t>7/3西班牙环保标贴纸</t>
  </si>
  <si>
    <r>
      <rPr>
        <sz val="12"/>
        <color rgb="FF010CDD"/>
        <rFont val="宋体"/>
        <charset val="134"/>
      </rPr>
      <t>日期码格式：ZURU INC(BVI) 标准格式 日期：按实际生产日期
Packaging Info: 
8.77772GQ2： 最新MA 3L EAN包装+一张西班牙环保标贴纸；MA收藏指南/说明书+MA 3L PDQ；
Remark: 1. 此单出西班牙，需满足EU测试标准要求，另外微塑料需符合EU法规；
2. 标准配比。
3.根据新电池法规（EU） 2023/1542，所有走欧洲市场的电子产品，都需要增加WEEE通用29L说明书（分带电池走货 跟不带电池走货两种），如工厂没有此文件，可
以找跟单提供。
4. 产品及包装需要印CE logo图标，包装需含有西班牙环保标 和</t>
    </r>
    <r>
      <rPr>
        <sz val="12"/>
        <color rgb="FF000000"/>
        <rFont val="宋体"/>
        <charset val="134"/>
      </rPr>
      <t xml:space="preserve">care@zuru.com </t>
    </r>
    <r>
      <rPr>
        <sz val="12"/>
        <color rgb="FF010CDD"/>
        <rFont val="宋体"/>
        <charset val="134"/>
      </rPr>
      <t>邮箱地址， 另外，包装贴纸上面的警告语不可以覆盖西班牙警告语。QC同事请核
查，如有问题需和跟单确认。
5.纯毛绒玩具需要西班牙语言的洗涤说明；
6.需ZURU OQC验货后给到客户验货图片审批通过才可以放货，请工厂按时完货并及时验货；</t>
    </r>
  </si>
  <si>
    <t>4500204372-10</t>
  </si>
  <si>
    <t>箱唛PO4500199984</t>
  </si>
  <si>
    <t>进口商贴纸翻单PO4500199984</t>
  </si>
  <si>
    <t>日期码格式：ZURU INC(BVI) 标准格式                  日期：按实际生产日期
Packaging Info: MA 多语包装+进口商贴纸+箱唛，进口商贴纸翻单/箱唛PO4500199984
Remark:</t>
  </si>
  <si>
    <t>4500203459-10</t>
  </si>
  <si>
    <t>5/28 客版价格贴纸+SSCC label 外箱贴</t>
  </si>
  <si>
    <t>日期码格式：ZURU INC(BVI) 标准格式                  日期：按实际生产日期
Packaging Info: MA UPC 最新版本包装( 优先1L）+ 客版PDQ+客版价格贴纸+SSCC label 外箱贴，客版PDQ AW翻单PO#4500188838
客版价格贴纸AW和SSCC label 外箱贴资料都是跟单提供，由工厂自行订购。
Remark: 1. SSCC label 外箱贴打印常规 4"x6" Standard Label Stock, 只需贴一面(正唛）, 优先贴在纸箱的右上方空白处，不可以盖住外箱上的其他信息及标签，可适当
调整位置。
 2. 产品及包装上都要有日期码，日期码是一致的（但不能为周末)，格式为ZURU标准格式
 3.ZURU QC验货</t>
  </si>
  <si>
    <t>Emily  Wu</t>
  </si>
  <si>
    <t>ZB07226-8.17</t>
  </si>
  <si>
    <t>BR26170</t>
  </si>
  <si>
    <t>4500202915-10</t>
  </si>
  <si>
    <t xml:space="preserve">进口商贴纸+客户条码贴纸翻单4500202915 </t>
  </si>
  <si>
    <t>外箱胶带要用CADIDE的格式</t>
  </si>
  <si>
    <t>日期码格式：ZURU INC(BVI) 标准格式                  日期：按实际生产日期
Packaging Info: MA 1L包装+进口商贴纸+客户条码贴纸+箱唛
Remark: 外箱胶带要用CADIDE的格式</t>
  </si>
  <si>
    <t>4500202915-30</t>
  </si>
  <si>
    <t>8/2完成，8/5东莞完成</t>
  </si>
  <si>
    <t>JUGUETES PANRE S.L.</t>
  </si>
  <si>
    <t>4500209512-80</t>
  </si>
  <si>
    <t>6/17进口商贴纸+WEEE通用29L说明书（不带电池走货）</t>
  </si>
  <si>
    <t>日期码格式：ZURU INC(BVI) 标准格式                  日期：按实际生产日期
Packaging Info: 
77772SK1：最新MA 3L EAN包装+一张进口商贴纸+MA收藏指南/说明书+MA 3L SK；
Remark: 1. 此单出西班牙，需满足EU测试标准要求，另外微塑料需符合EU法规；
 2. 标准配比；
3.根据新电池法规（EU）  2023/1542，所有走欧洲市场的电子产品，都需要增加WEEE通用29L说明书（分带电池走货和不带电池走货两种），如工厂没有此文件，可
以找跟单提供；
4. 产品及包装需要印CE logo图标，包装需含有西班牙环保标 和care@zuru.com 邮箱地址，  另外，贴纸不可以覆盖西班牙警告语。QC同事请核查，如有问题需和
跟单确认
5.毛绒玩具需要西班牙语言的洗涤说明；</t>
  </si>
  <si>
    <t>AG260072-TW</t>
  </si>
  <si>
    <t>4500209258-10</t>
  </si>
  <si>
    <t>6/4警语贴纸（贴球底部）</t>
  </si>
  <si>
    <t>日期码格式：ZURU INC(BVI) 标准格式                  日期：按实际生产日期
Packaging Info: 此单出TW，
  77772GQ1：MA PKG , 优先1L + 1张警语贴纸（贴球底部）
Remark：</t>
  </si>
  <si>
    <t>ANSALDO  CHILE</t>
  </si>
  <si>
    <t>智利</t>
  </si>
  <si>
    <t>4500210745-20</t>
  </si>
  <si>
    <t>6/13进口商贴纸+UPC贴纸</t>
  </si>
  <si>
    <t>日期码格式：ZURU  INC(BVI)  标准格式                                    日期：按实际生产日期
Remark: MA多语包装+进口商贴纸+UPC贴纸+箱唛</t>
  </si>
  <si>
    <t>4  KIDZ  SP  Z  O.O.</t>
  </si>
  <si>
    <t>CarrefourAW2026</t>
  </si>
  <si>
    <t>4500207393-90</t>
  </si>
  <si>
    <t>请备多1套大货样品</t>
  </si>
  <si>
    <t>6/25进口商贴纸</t>
  </si>
  <si>
    <t>日期码格式：ZURU INC(BVI) 标准格式 日期：按实际生产日期
Packaging Info: 
8. 77772GQ2:MA 1L UPC收缩膜+1张进口商贴纸+MA5L收藏指南+MA23L说明书+MA1LPDQ
条码参考：
Remark: 1. 请备多1套大货样品；
2. 此票大货需符合EU市场法规；
3. 此票使用UPC条码;</t>
  </si>
  <si>
    <t>Ula  Zhao</t>
  </si>
  <si>
    <t>0005061667</t>
  </si>
  <si>
    <t>4500214404-10</t>
  </si>
  <si>
    <t>7/24 BV验货</t>
  </si>
  <si>
    <t>7/10 RFID贴纸</t>
  </si>
  <si>
    <t>ZB07341-8.17</t>
  </si>
  <si>
    <t>0005061651</t>
  </si>
  <si>
    <t>4500214405-10</t>
  </si>
  <si>
    <t>ZB07181-8.17</t>
  </si>
  <si>
    <t>4500204873-10</t>
  </si>
  <si>
    <t>MSLD188-77772-S001</t>
  </si>
  <si>
    <t>48pcs唱片机+64pcs唱片球混装展示架</t>
  </si>
  <si>
    <t>7/21完成，7/25东莞完成</t>
  </si>
  <si>
    <t>7/22 BV验货</t>
  </si>
  <si>
    <t>日期码格式：ZURU INC(BVI) 标准格式 日期：按实际生产日期
Packaging Info: MSLD188-S001:
客版英法双语展示架
+#77772---留意剔除有问题的唱片
客版3LPDQ(16装)+MA3L收缩膜+UPC贴纸(UPC:193052118721)+MA5L收藏指南+MA23L拼装说明书+MA5L复合袋+DEMO纸卡
翻单：4500213633
Remark: 1. 此单有箱唛, #77794带锂电池出货，使用英法双语电池，外箱需在正唛空白位置贴一张UN3481锂电池标识贴纸(带电话号码);
2. UPC贴纸：必须在原来错误的条码上用黑色粗头笔涂黑直至不能扫描，再贴上正确的UPC;
3. 此单有第三方验货，烦请多备包装物料；
4. 此单需另备一座空展示架样品用于签样；
5. 此单展架需要带纸滑托出货；
*********************
a. 请确保产品符合1999年版本的加拿大环境保护法(CEPA)和2012年禁止某些有毒物质法规的要求。该产品不含任何在加拿大禁用的化学物质，包括但不限于有毒物
质清单中列出的化学物质，并且在为加拿大沃尔玛生产产品期间没有使用任何禁用化学物质。
Supplier certify that the products comply with the requirements of Canadian Environmental Protection Act, 1999 (CEPA), Prohibition of Certain To
xic Substances Regulations, 2012.
The products do not contain any chemicals that are banned in Canada, including but not limited to those listed in the Toxic Substances List and
no banned chemicals were used during the manufacturing of product for Walmart Canada.
附件列表：
(1) Letter of Guarantee for Canada banned chemicals - (1-5CA)
b. 请确保产品在均质材料中的汞浓度不超过0.1%（按重量计）。
Supplier certify that the WAL-MART vendor products does not have a mercury concentration of more than 0.1% by weight in homogeneous material.
附件列表：
(1) Letter of Guarantee for Mercury COC
c. 请确保产品的塑料材料不含以下物质（SOR 2011-17 27B):
Supplier certify that the plastic materials do not contain the following substances(SOR 2011-17 27B):
(a) carbon tetrachloride or any substance that contains it;
(b) methyl alcohol or any substance thay contains &gt;1.0%;
(c) petroleum distillates or any substance that contains &gt;10% weight to volume of petroleum distillates;
(d) benzene;
(e) turpentine or any substance that contains &gt;10% weight to volume of turpentine;
(f) boric acid or salts of boric acid; or (g) ethyl ether.
附件列表：
(1) Letter of Guarantee for WM CA-Other prohibited substances in plastic(less than 3 years)</t>
  </si>
  <si>
    <t>MSLD188-S001</t>
  </si>
  <si>
    <t>4500206878-10</t>
  </si>
  <si>
    <t>7/25号完成，7/28东莞完成</t>
  </si>
  <si>
    <t>8/6 SI</t>
  </si>
  <si>
    <t>4500206706-70</t>
  </si>
  <si>
    <t>7/22 截关</t>
  </si>
  <si>
    <t>警告语和MADE IN CHINA都翻译成丹麦瑞典芬兰挪威爱沙尼亚语做成一张贴纸贴在包装上(贴纸和位置图翻SOK PO#4500196453)+WEEE_不带电池走货 _ 说明书欧洲EN+29L_C版</t>
  </si>
  <si>
    <t>日期码格式：ZURU INC(BVI) 标准格式 日期：按实际生产日期
Packaging Info: 6.77772GQ2-S002:MA A3L EAN包装+警告语和MADE IN CHINA都翻译成丹麦瑞典芬兰挪威爱沙尼亚语做成一张贴纸贴在包装上(贴纸和位置图翻SOK PO#4500196453)+MA
 23L组装说明书+MA 5L收藏指南+MA 3L PDQ+WEEE_不带电池走货 _ 说明书欧洲EN+29L_C版
Remark: 1. 包装如含PVC,请改为PET
 2. 产品/包装要求无硼无香；
 3. 出欧洲，微塑料需合规。
 4.带电池出货的产品所用到的电池需要符合欧洲电池新规(EU) 2023-1542
 5.产品/包装不含PFAS and/or Bisfenol成分, 以及不含石棉成分
 6. 产品条码如下: 请先检查条码是否正确再安排做货，如有问题请告知:
 77772GQ2-S002:4894680051133</t>
  </si>
  <si>
    <t>Sheba Ye</t>
  </si>
  <si>
    <t>10001958372-0581</t>
  </si>
  <si>
    <t>4500214199-10</t>
  </si>
  <si>
    <t>由4500207482转单</t>
  </si>
  <si>
    <t>7/23 客上柜</t>
  </si>
  <si>
    <t>日期码格式：ZURU  INC(BVI)  标准格式                                    日期：按实际生产日期
Packaging Info: 产品包装MA  1L  收缩膜+MA  5L  收藏指南+MA  23L  组装说明+客版PDQ+产品UPC贴纸；客版PDQ翻单4500189603
Remark: 1.77772GQ5-S001-MINI  BRANDS-VINYL-SERIES  1-CAPSULE,WITH  DEMO,25PCS/GRAVITY  PDQ,25PCS/PDQ/CTN;
2.产品包装MA  1L  收缩膜+MA  5L  收藏指南+MA  23L  组装说明+客版PDQ+产品UPC贴纸；客版PDQ翻单4500189603；收缩膜上的UPC显示193052118721
   4    mini  vinyls(1  Target  US  Exclusive),1  accessory;
   3.  外箱正唛左上角位置粘贴条码箱贴纸，每箱只贴一张，由ZURU订购。来料贴纸上显示的客户DPCI#  086-02-7610,  UPC显示10193052118728;
   4.  产品和包装上均要印刷tracking  code信息，格式为ZURU常规格式；
   5.  需要我司QC验货之后才能安排出货；
   6.  出货方式：     货代自提；
7.  原订单4500207482的删单重下，用新配比生产（不要18号、21号、23号碟片）</t>
  </si>
  <si>
    <t>ZB07111-8.17</t>
  </si>
  <si>
    <t>BOSCOV'S DEPARTMENT STORE,LLC</t>
  </si>
  <si>
    <t>4500209005-40</t>
  </si>
  <si>
    <t>6/26价格贴纸(价贴位于产品包装背面右下角，跟单提供价贴资料，工厂采购）+UCC LABEL,贴纸尺寸4''*6</t>
  </si>
  <si>
    <t>日期码格式：ZURU INC(BVI) 标准格式                  日期：按实际生产日期
Packaging Info: 1.包装：ZURU MA UPC 最新版本包装+价格贴纸(价贴位于产品包装背面右下角，跟单提供价贴资料，工厂采购）；出口美国 , 优先1L，可接受多语 。
Remark: 2. 日期跟踪码：产品包装及产品本身都必须有日期跟踪码，并且确保两者的日期跟踪码要一致；ZURU标准格式日期码(请自行调整具体年月日生产期，但不能为周末)。
3.外箱贴纸：  每个外箱除了印刷箱唛信息外，还需加贴一张UCC LABEL,贴纸尺寸4''*6''；  垂直貼在外箱一面正唛(箱子最長的那面)的右下角并与箱边保持距离约3
CM。UCC Label 由跟单提供，工厂直接贴，每一张UCC Label都是唯一且有不同流水及条码的,没有损耗,绝对不可以贴错.
4.出货配比：
#77772GQ2-S001-MINI BRANDS-VINYL-SERIES 1-CAPSULE,WITH DEMO,25PCS/GRAVITY PDQ,50PCS/2PDQ/CTN
Ratio---4  mini vinyls,1 accessory</t>
  </si>
  <si>
    <t>Summer Mo</t>
  </si>
  <si>
    <t>ZB07126-8.17</t>
  </si>
  <si>
    <t>4500206833-10</t>
  </si>
  <si>
    <t>所有出往波兰的电子产品身上需要加字唛，为ZURU FRANCE 地址，需跟包装上的地址一致 (如无电子产品，产品布标有此地址，或产品太小无法增加可忽略此信
息。如产品无法加字唛，需让对应跟单提供产品贴纸资料)
新地址：ZURU France 33 rue Paul Meurice 75020 Paris, France</t>
  </si>
  <si>
    <t>日期码格式：ZURU INC(BVI) 标准格式                  日期：按实际生产日期
Packaging Info: 77772GQ1：MA 3L EAN 收缩膜+1*多语警语折叠贴纸（翻单4500193875）+MA 23L 组装说明书+MA 5L+23L 收藏指南+MA 纸卡+MA 复合袋+MA 3L PDQ+1* C版 29L WE
EE不带电走货说明书
Remark: 1.波兰内销单，需要通过ZURU 验货结果后才能出货 (工厂需要主动提前同ZURU QC预约验货避免延期出货造成不必要麻烦)；
 2. 产品如含有化学品，需要无硼无香；无微塑料，如果产品含有Slime、泥、沙子，需要增加一张MTS PO SLIME, DOUGH, SAND 化学品警语多语说明书；
 3. 若有特定款有特殊外箱条码要求时,需要明确列出产品款对应的具体外箱条码号码/条码类型 (若无,可以忽略此需求)；
4.所有出口欧洲的产品, 法规规定禁止在包装和共公众用的印刷品中使用矿物油中含有的物质, 包装印刷油墨中含有的MOAH/MOSH的质量浓度不能超过1%, 否则出货
到法国被抽检出现问题, 供应商需要对此负责;
 5. date code: 外箱日期码要晚于或等于产品日期码，不能早于产品的日期码；
 6. 所有出往波兰的电子产品身上需要加字唛，为ZURU FRANCE 地址，需跟包装上的地址一致 (如无电子产品，产品布标有此地址，或产品太小无法增加可忽略此信
息。如产品无法加字唛，需让对应跟单提供产品贴纸资料)
新地址：ZURU France 33 rue Paul Meurice 75020 Paris, France
旧地址：ZURU France 1/3, Rue d'Argenteuil 95210 SAINT-GRATIEN, FRANCE
 7.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8. 所有出往波兰订单的电子产品需增加一张最新版本的欧洲通用WEEE声明说明书，区分带电池和不带电池版本, 如已做客版说明书可忽略此要求。</t>
  </si>
  <si>
    <t>4500204111-10</t>
  </si>
  <si>
    <t>7/27 截关</t>
  </si>
  <si>
    <t>5/13 确认</t>
  </si>
  <si>
    <t>29L不带电池出货C版WEEE说明书</t>
  </si>
  <si>
    <t>日期码格式：ZURU INC(BVI) 标准格式 日期：按实际生产日期
Packaging Info: 77772:MA 1L UPC包装+29L不带电池出货C版WEEE说明书，条码请核对：193052090065 ，做货时请注意需移除LOLA YOUNG唱片+配套的收藏指南(翻单PO#4500198654)
，PDQ需要加贴纸改45为44. 贴纸翻单4500196675
77772GQ1-S002-PRODCC 13pcs/PDQ/CTN 20*4H=80CTN/SLB=1040pcs/Slip Sheet
Remark: 1. 产品及包装需要印UKCA图标，包装需要有ZURU UK LTD/ZURU France地址信息，QC同事请核查，如有问题与跟单确认
2. 产品/包装/外箱都需要打ZURU格式日期码，日期必须为法定工作日。
3. 需要符合欧洲标准不能含有闪粉和微塑料，否则不合法规会有客诉产生"
4.涉及到硼的，如可选择情况下应使用低硼版本 （slime 类别低硼一般低于300ppm)，无选择的应与跟单复核再安排 。
5.如果出运产品属于电子类产品需要在ZURU 包装基础上额外添加一张ZURU 标准29L通用WEEE 电子产品说明书,带电池出货的加带电池出货版本通用29L的说明书，不
带电池出货的产品用不带电池出货版本的说明书</t>
  </si>
  <si>
    <t>4500206706-80</t>
  </si>
  <si>
    <t>日期码格式：ZURU INC(BVI) 标准格式 日期：按实际生产日期
Packaging Info: 7.77772SK1-S002:MA A3L EAN包装+警告语和MADE IN CHINA都翻译成丹麦瑞典芬兰挪威爱沙尼亚语做成一张贴纸贴在包装上(贴纸和位置图翻SOK PO#4500196453)+MA
 23L组装说明书+MA 5L收藏指南+MA 3L 展示架+WEEE_不带电池走货 _ 说明书欧洲EN+29L_C版
8.92106-S001-NB:MA_A_3L(warning 23L)_EAN收缩膜+MA A3L Tag+MA_A_5L(warning 9L)收藏指南+MA Accessories bags/Hair Accessories bags+丹麦瑞典芬兰挪威
爱沙尼亚警告语贴纸贴在袋子上(贴纸和位置图翻PO#4500166233)+MA Slime polybag_MA_A_5L(warning 9L)+瑞典芬兰挪威警告语贴纸贴在slime polybag上(贴纸和
 位置图翻PO#4500200006)+MA布标
Remark: 1. 包装如含PVC,请改为PET
 2. 产品/包装要求无硼无香；
 3. 出欧洲，微塑料需合规。
 4.带电池出货的产品所用到的电池需要符合欧洲电池新规(EU) 2023-1542
 5.产品/包装不含PFAS and/or Bisfenol成分, 以及不含石棉成分
 6. 产品条码如下: 请先检查条码是否正确再安排做货，如有问题请告知:
  77772SK1-S002:4894680051133</t>
  </si>
  <si>
    <t>SALLING GROUP A/S</t>
  </si>
  <si>
    <t>4500207039-90</t>
  </si>
  <si>
    <t>7/28 SI</t>
  </si>
  <si>
    <t>日期码格式：ZURU INC(BVI) 标准格式                  日期：按实际生产日期
Packaging Info: 9.77772GQ2-S002:MA A3L EAN包装+警告语和MADE IN CHINA都翻译成丹麦瑞典芬兰挪威爱沙尼亚语做成一张贴纸贴在包装上(贴纸和位置图翻SOK PO#4500196453)+MA
23L组装说明书+MA 5L收藏指南+MA 3L PDQ+WEEE_不带电池走货 _ 说明书欧洲EN+29L_C版
Remark: * 请准备1个40尺平柜的安全网，客人要求所有柜货需要加安全网出货，漏拉网会有罚款产生
 * 7149+7150是新品，请在6/25寄两套大货样给客人留底
 1. 包装如含PVC,请改为PET
 2. 产品/包装要求无硼无香；
 3. 出欧洲，微塑料需合规。
4.带电池出货的产品所用到的电池需要符合欧洲电池新规(EU) 2023-1542
5.产品/包装不含PFAS and/or Bisfenol成分, 以及不含石棉成分
6. 产品条码如下: 请先检查条码是否正确再安排做货，如有问题请告知:
77772GQ2-S002:4894680051133
77794UQ1-S002:4894680051430</t>
  </si>
  <si>
    <t>WAVE DISTRIBUTION GMBH</t>
  </si>
  <si>
    <t>4500202230-50</t>
  </si>
  <si>
    <t>6/3 确认</t>
  </si>
  <si>
    <t>德语警语贴纸(翻单#4500161168)+Kinderherz 2025 logo贴纸(翻单4500166480)+4/21 EAN条码贴纸</t>
  </si>
  <si>
    <t>日期码格式：ZURU INC(BVI) 标准格式 日期：按实际生产日期
Packaging Info: 
77876: 客版3L UPC包装(翻单#4500198642)+德语警语贴纸+EAN条码贴纸；77846里面的77772：最新MA 3L EAN包装+德语警语贴纸(覆盖条码)+5L+23L警语收藏指南+2
3L说明书
Remark: 1. 需要满足Zuru Standard欧洲标准测试要求,微塑料需符合法规；；
2. 请准时出货，推期会有罚款；
3. 所有出往GAS市场(德国/奥地利/瑞士)的电子产品身上需要加字唛，为ZURU FRANCE 地址 (如无电子产品，产品布标有此地址，或产品太小无法增加可忽略此信息
。如产品无法加字唛，需让对应跟单提供产品贴纸资料)
ZURU France 33 rue Paul Meurice 75020 Paris, France
4. 所有出往GAS市场(德国/奥地利/瑞士)的电子产品需增加一张欧洲通用WEEE声明说明书，区分带电池和不带电池版本, 如已做客版说明书可忽略此要求。
5. 所有出往GAS市场(德国/奥地利/瑞士)订单，化学品需无堋无香版本
6. 标准配比
7. 大货样品3套，请多备料</t>
  </si>
  <si>
    <t>4500207960-10</t>
  </si>
  <si>
    <t>多语警语折叠贴纸（翻单4500193875）+1* C版 29L WEEE不带电走货说明书</t>
  </si>
  <si>
    <t>日期码格式：ZURU INC(BVI) 标准格式                  日期：按实际生产日期
Packaging Info: 77772GQ1：MA 3L EAN 收缩膜+1*多语警语折叠贴纸（翻单4500193875）+MA 23L 组装说明书+MA 5L+23L 收藏指南+MA 纸卡+MA 复合袋+MA 3L PDQ+1* C版 29L WE
EE不带电走货说明书
77772SK1：MA 3L EAN 收缩膜+1*多语警语折叠贴纸（翻单4500193875）+MA 23L 组装说明书+MA 5L+23L 收藏指南+MA 纸卡+MA 复合袋+MA 3L SK+1* C版 29L WEE
E不带电走货说明书
Remark: 1.北欧内销单，需要通过ZURU 验货结果后才能出货 (工厂需要主动提前同ZURU QC预约验货避免延期出货造成不必要麻烦)；
 2. 产品如含有化学品，需要无硼无香，如果产品含有Slime、泥、沙子，需要增加一张MTS PO SLIME, DOUGH, SAND 化学品警语多语说明书；
 3.包装不能含有PVC，使用PET
 4. date code: 外箱日期码要等于或者晚于产品日期码
 5.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6.若有特定款有特殊外箱条码要求时,需要明确列出产品款对应的具体外箱条码号码/条码类型 (若无,可以忽略此需求)
7.所有出口欧洲的产品, 法规规定禁止在包装和共公众用的印刷品中使用矿物油中含有的物质, 包装印刷油墨中含有的MOAH/MOSH的质量浓度不能超过1%, 否则出货
到法国被抽检出现问题, 供应商需要对此负责;
8.带电池出货的产品所用到的电池需要符合欧洲电池新规(EU) 2023-1542，并需要加1张WEEE 电池说明书
9.ratio 同MA
10.所有电子产品身上需要加字唛(与包装上的法国地址一致），为ZURU FRANCE 地址 (如无电子产品，或者产品布标有此地址，可忽略此信息)
ZURU FRANCE   33 rue Paul Meurice 75020 Paris, France.；
11.包装上需要有ZURU DANMARK 地址：
Zuru Denmark ApS
Oslo Plads 2, 2100 K benhavn  , Denmark</t>
  </si>
  <si>
    <t>4500207960-20</t>
  </si>
  <si>
    <t>7/21号完成，7/23东莞完成</t>
  </si>
  <si>
    <t>MINISO  DEPOT  CA  INC.</t>
  </si>
  <si>
    <t>4500213471-10</t>
  </si>
  <si>
    <t>由4500205699转单</t>
  </si>
  <si>
    <t>PDQ上需要贴一张UPC 条码贴纸,UPC显示：193052090065，贴纸AW直接翻单4500194334</t>
  </si>
  <si>
    <t>日期码格式：ZURU  INC(BVI)  标准格式                                    日期：按实际生产日期
Packaging Info: 1.  77772GQ2  PDQ上需要贴一张UPC  条码贴纸,UPC显示：193052090065，贴纸AW直接翻单4500194334，工厂自行采购.
Remark: 1.  包装方式：MA  UPC优先1L最新包装，出口美国；
    2.  产品和包装上印刷tracking  code信息，格式为ZURU常规；
    3.  ZURU  QC  验货合格后即可出货.</t>
  </si>
  <si>
    <t>Iris  Yuan</t>
  </si>
  <si>
    <t>ZB07312-8.17</t>
  </si>
  <si>
    <t>4500213478-10</t>
  </si>
  <si>
    <t>由4500205686 转单</t>
  </si>
  <si>
    <t>日期码格式：ZURU  INC(BVI)  标准格式                                    日期：按实际生产日期
Packaging Info: 1.  77772GQ2  PDQ上需要贴一张UPC  条码贴纸,UPC显示：193052090065，贴纸AW直接翻单4500194334，工厂自行采购.
Remark: 1.  包装方式：MA  UPC优先1L最新包装，出口美国；
   2.  产品和包装上印刷tracking  code信息，格式为ZURU常规；
   3.  ZURU  QC  验货合格后即可出货</t>
  </si>
  <si>
    <t>ZB07311-8.17</t>
  </si>
  <si>
    <t>SANBORN HERMANOS, S. A. DE C. V.</t>
  </si>
  <si>
    <t>4500207643-50</t>
  </si>
  <si>
    <t>7/25号完成</t>
  </si>
  <si>
    <t>6/30(+UPC 条码贴纸)+进口商贴纸</t>
  </si>
  <si>
    <t>日期码格式：ZURU INC(BVI) 标准格式                  日期：按实际生产日期
Packaging Info:
77772GQ2: MA 3L PDQ包装+MA 3L EAN包装(+UPC 条码贴纸)+进口商贴纸+箱唛
Remark: 客户有监装要求，每款需要多备1pc监柜样板用于监装，监柜样板要和大货一致</t>
  </si>
  <si>
    <t>0005061648</t>
  </si>
  <si>
    <t>4500214407-10</t>
  </si>
  <si>
    <t>7/30 BV验货</t>
  </si>
  <si>
    <t>ZB07316-8.17</t>
  </si>
  <si>
    <t>4500202800-10</t>
  </si>
  <si>
    <t>7/24 交仓</t>
  </si>
  <si>
    <t>6/24外箱贴纸SSCC Label+一张防盜贴纸(贴纸以及防盜贴纸位置图翻单PO#4500193539</t>
  </si>
  <si>
    <t>日期码格式：ZURU INC(BVI) 标准格式                  日期：按实际生产日期
Packaging Info: 77772GQ1:MA英语UPC版本包装（收缩膜和说明书, MA首选1L，如无1L可用多语且含英语的配套多语包装) +防盜贴纸+两张张覆盖PDQ上唱片的贴纸+两张张覆盖收藏指
南上唱片的贴纸+一张覆盖PDQ上数字""45""的贴纸+一张覆盖收藏指南上数字""45""的贴纸(贴纸以及防盜贴纸位置图翻单PO#4500193539)+箱唛+外箱贴纸SSCC Label
配比信息：4  mini vinyls,1 accessory
Removed了 ""Messy &lt;(&gt;&amp;&lt;)&gt; Delicious""两张唱片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此单与NZ PO#4500202801一起合并计算</t>
  </si>
  <si>
    <t>4500202801-10</t>
  </si>
  <si>
    <t>日期码格式：ZURU INC(BVI) 标准格式                  日期：按实际生产日期
Packaging Info: 77772GQ1:MA英语UPC版本包装（收缩膜和说明书, MA首选1L，如无1L可用多语且含英语的配套多语包装) +防盜贴纸+两张张覆盖PDQ上唱片的贴纸+两张张覆盖收藏指
南上唱片的贴纸+一张覆盖PDQ上数字""45""的贴纸+一张覆盖收藏指南上数字""45""的贴纸(贴纸以及防盜贴纸位置图翻单PO#4500193539)+箱唛+外箱贴纸SSCC Label
配比信息：4  mini vinyls,1 accessory
Removed了 ""Messy &lt;(&gt;&amp;&lt;)&gt; Delicious""两张唱片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请注意此单与 AU PO#4500202800一起合并计算</t>
  </si>
  <si>
    <t>TOY KINGDOM (PTY) LTD</t>
  </si>
  <si>
    <t>南非</t>
  </si>
  <si>
    <t>4500202236-20</t>
  </si>
  <si>
    <t>消耗Toyzonna 取消订单PO#4500194881 成品， 外箱需加水贴纸返工，需重做</t>
  </si>
  <si>
    <t>8/13截 SI</t>
  </si>
  <si>
    <t>日期码格式：ZURU INC(BVI) 标准格式 日期：按实际生产日期
Packaging Info: 此单77772GQ2直接消耗Toyzonna 取消订单PO#4500194881 成品， 外箱需加水贴纸返工。
此单77794UQ1外箱直接消耗Toyzonna 取消订单PO#4500194882，需加水贴纸返工。
77772GQ2:,MA PKG , 优先1L ，MA 收藏指南, MA 1L PDQ
Remark:</t>
  </si>
  <si>
    <t>4500207054-10</t>
  </si>
  <si>
    <t>7/28 交仓</t>
  </si>
  <si>
    <t>6/10 确认</t>
  </si>
  <si>
    <t>日期码格式：ZURU INC(BVI) 标准格式                  日期：按实际生产日期
Packaging Info: 1. 77772GQ2: MA A3L EAN包装+警告语和MADE IN CHINA都翻译成丹麦瑞典芬兰挪威爱沙尼亚语做成一张贴纸贴在包装上(贴纸和位置图翻SOK PO#4500196453)+MA 2
 3L组装说明书+MA 5L收藏指南+MA 3L PDQ+WEEE_不带电池走货 _ 说明书欧洲EN+29L_C版
Remark: 1. 包装如含PVC,请改为PET
 2. 产品/包装要求无硼无香；
 3. 出欧洲，微塑料需合规。
4.带电池出货的产品所用到的电池需要符合欧洲电池新规(EU) 2023-1542
5.产品/包装不含PFAS and/or Bisfenol成分, 以及不含石棉成分
6. 产品条码如下: 请先检查条码是否正确再安排做货，如有问题请告知:
77772GQ2-S002:4894680051133
 77794UQ1-S002:4894680051430</t>
  </si>
  <si>
    <t>4500201886-10</t>
  </si>
  <si>
    <t>7/27装柜</t>
  </si>
  <si>
    <t>多语警语折叠贴纸（翻单4500193875），WEEE不带电电池说明书</t>
  </si>
  <si>
    <t>日期码格式：ZURU INC(BVI) 标准格式 日期：按实际生产日期
Packaging Info: MA展示架+子件：
77772: MA 3L EAN收缩膜+1*多语警语折叠贴纸（翻单4500193875）+WEEE带电电池说明书
Remark: 1.德国内销单，需要通过ZURU 验货结果后才能出货 (工厂需要主动提前同ZURU QC预约验货避免延期出货造成不必要麻烦)；
2.产品如含有化学品（slime 等），需要无硼无香。需要无微塑料版本。
3.所有出口欧洲的产品, 法规规定禁止在包装和共公众用的印刷品中使用矿物油中含有的物质, 包装印刷油墨中含有的MOAH/MOSH的质量浓度不能超过1%, 否则出货
到法国被抽检出现问题, 供应商需要对此负责;
4. date code: 外箱日期码要晚于或等于产品日期码，不能早于产品的日期码；
5. 所有出往德国的电子产品身上需要加字唛，为ZURU FRANCE 地址，需跟包装上的地址一致 (如无电子产品，产品布标有此地址，或产品太小无法增加可忽略此信
息。如产品无法加字唛，需让对应跟单提供产品贴纸资料)
新地址：ZURU France 33 rue Paul Meurice 75020 Paris, France
旧地址：ZURU France 1/3, Rue d'Argenteuil 95210 SAINT-GRATIEN, FRANCE
6.所有出往德国订单的电子产品需增加一张最新版本的欧洲通用WEEE声明说明书，区分带电池和不带电池版本, 如已做客版说明书可忽略此要求。
7.装柜时需要按照款式号码从小到大一款款依次装,避免终端仓库卸货混乱.若一个柜子涉及到几个不同国家内销单,装柜时需要一个国家装完后再装另一个国家的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8.ratio 同MA
9. 若有特定款有特殊外箱条码要求时,需要明确列出产品款对应的具体外箱条码号码/条码类型 (若无,可以忽略此需求).</t>
  </si>
  <si>
    <t>MODELO CONTINENTE HIPERMERCADOS, S.</t>
  </si>
  <si>
    <t>葡萄牙</t>
  </si>
  <si>
    <t>4500212499-30</t>
  </si>
  <si>
    <t>7/29前完成ZURU OQC验货， 需提供所有款ZURU OQC验货图片给客户审批放货</t>
  </si>
  <si>
    <t>客户进口商贴纸，+MA最新23L Game &lt;(&gt;&amp;&lt;)&gt; warning说明书+MA最新23L锂电池说明书+WEEE带电池走货欧洲29语通用黑白说明书</t>
  </si>
  <si>
    <t>日期码格式：ZURU INC(BVI) 标准格式 日期：按实际生产日期
Packaging Info: 
"MEC426：MA展示架
77772：MA 最新3L EAN包装+1张客户进口商贴纸，+MA最新23L Game &lt;(&gt;&amp;&lt;)&gt; warning说明书+MA最新23L锂电池说明书+WEEE带电池走货欧洲29语通用黑白说明书
Remark: 1.此单有第三方验货，请多备料。
2. 此单出葡萄牙，需满足EU测试标准，微塑料需符合法规。
product 产品上的标识：重要
从现在起，所有订单中的玩具都必须带有 CE 和 CMIM 标志。对于电动/电子玩具，除了 CE 和 CMIM 标志外，还必须带有 WEEE 标志。
所有这些标志都必须直接刻在或印在产品上（不接受贴纸形式）。
包装材料：重要
1. 包装材料中禁止使用 PVC 和 PS/EPS；
2. 不允许使用多材料包装（如金属和塑料袋），并且艺术品的纸张不得有塑料涂层或贴膜；
3. 只有在没有其他选择的情况下才允许使用 ABS、TPU 和尼龙，且仅限于小针扣或绳子；
Polybag：如果订单中的任何物品用Polybag包装，请确保袋子上有含如下PT 警告语。
EN ：WARNING: Plastic bags can be dangerous! To avoid danger of suffocation, keep this plastic bag away from babies and children!
PT ：ATEN O: Os sacos de plástico podem ser perigosos! Para evitar o risco de asfixia mantenha este saco de plástico fora do alcance de bebé
s e crian as!</t>
  </si>
  <si>
    <t>4500212499-20</t>
  </si>
  <si>
    <t>客人漏排；7/29前完成ZURU OQC验货， 需提供所有款ZURU OQC验货图片给客户审批放货</t>
  </si>
  <si>
    <t>8/5 SI</t>
  </si>
  <si>
    <t>7/84客户进口商贴纸，+MA最新23L Game &lt;(&gt;&amp;&lt;)&gt; warning说明书+MA最新23L锂电池说明书+WEEE带电池走货欧洲29语通用黑白说明书</t>
  </si>
  <si>
    <t>日期码格式：ZURU INC(BVI) 标准格式 日期：按实际生产日期
Packaging Info:
77772GQ2：MA 最新3L EAN包装+1张客户进口商贴纸+1张EAN条码贴纸（4894680069640），MA最新 3L PDQ+MA最新23L Game &lt;(&gt;&amp;&lt;)&gt; warning说明书+MA最新23L锂电
池说明书+WEEE带电池走货欧洲29语通用黑白说明书
Remark: 1.此单有第三方验货，请多备料。
2. 此单出葡萄牙，需满足EU测试标准，微塑料需符合法规。
product 产品上的标识：重要
从现在起，所有订单中的玩具都必须带有 CE 和 CMIM 标志。对于电动/电子玩具，除了 CE 和 CMIM 标志外，还必须带有 WEEE 标志。
所有这些标志都必须直接刻在或印在产品上（不接受贴纸形式）。
包装材料：重要
1. 包装材料中禁止使用 PVC 和 PS/EPS；
2. 不允许使用多材料包装（如金属和塑料袋），并且艺术品的纸张不得有塑料涂层或贴膜；
3. 只有在没有其他选择的情况下才允许使用 ABS、TPU 和尼龙，且仅限于小针扣或绳子；
Polybag：如果订单中的任何物品用Polybag包装，请确保袋子上有含如下PT 警告语。
EN ：WARNING: Plastic bags can be dangerous! To avoid danger of suffocation, keep this plastic bag away from babies and children!
PT ：ATEN O: Os sacos de plástico podem ser perigosos! Para evitar o risco de asfixia mantenha este saco de plástico fora do alcance de bebé
s e crian as!</t>
  </si>
  <si>
    <t>GULLSKÓGAR EHF - DOM</t>
  </si>
  <si>
    <t>冰岛</t>
  </si>
  <si>
    <t>4500209865-50</t>
  </si>
  <si>
    <t>8/5完成</t>
  </si>
  <si>
    <t>WEEE_不带电池走货 _ 说明书欧洲EN+29L_C版</t>
  </si>
  <si>
    <t>日期码格式：ZURU INC(BVI) 标准格式                  日期：按实际生产日期
Packaging Info: 
77772GQ1:MA A3L EAN包装+MA 23L组装说明书+MA 5L收藏指南+MA 3L PDQ+WEEE_不带电池走货 _ 说明书欧洲EN+29L_C版
Remark: 1.产品和包装要求无硼无香，包装不能含有PVC，玩具成分不能含有石棉
2.如有微塑料，必须合规欧洲标准，并增加微塑料合规IFUD声明在说明书上
3.带电池出货的产品，所用到的电池需要符合欧洲电池新规(EU)2023-1542，并增加
对应WEEE 说明书</t>
  </si>
  <si>
    <t>BLAIN SUPPLY, INC</t>
  </si>
  <si>
    <t>V126705-3</t>
  </si>
  <si>
    <t>4500202935-70</t>
  </si>
  <si>
    <t>8/1 SI</t>
  </si>
  <si>
    <t>5/18 确认</t>
  </si>
  <si>
    <t>日期码格式：ZURU INC(BVI) 标准格式                  日期：按实际生产日期
Packaging Info: 1. 包材：ZURU MA 1L UPC最新包装；出口美国
Remark: 2. 日期跟踪码：产品外包装及产品本身都必须有日期跟踪码；ZURU标准格式日期码(请自行调整具体年月日生产期，但不能为周末）。
3. 出货配比：ZURU MA 配比</t>
  </si>
  <si>
    <t>ZB07549-8.17</t>
  </si>
  <si>
    <t>DISTRIBUIDORA  LIVERPOOL  S.A  DE  C.V.</t>
  </si>
  <si>
    <t>4500208339-10</t>
  </si>
  <si>
    <t>8/7 SI</t>
  </si>
  <si>
    <t>进口商贴纸和UPC贴纸翻单PO4500202901+7/11客供价标贴纸</t>
  </si>
  <si>
    <t>日期码格式：ZURU  INC(BVI)  标准格式                                    日期：按实际生产日期
Packaging Info: 77772GQ2:MA  多语包装+UPC贴纸+进口商贴纸+价标贴纸+箱唛,进口商贴纸和UPC贴纸翻单PO4500202901
Remark: 1.此单价格贴纸（ZURU定购).-无位置图，价标贴纸贴于产品背面右上角空白处（不遮挡西班牙语处），如有特殊情况，请重新确认位置图。
2.此单有第三方监柜，不用额外准备备品，会在大货中每款拆1pc，拆了包装的产品会由监装员用客供胶带封好或在外箱上写上""opened  by  telescope”</t>
  </si>
  <si>
    <t>JOUETS  BROZE  FILS  S.A.</t>
  </si>
  <si>
    <t>ZURZUR1120260
407</t>
  </si>
  <si>
    <t>4500206123-20</t>
  </si>
  <si>
    <t>6/9 警告语贴纸+C版WEEE不带电池走货说明书</t>
  </si>
  <si>
    <t>日期码格式： ZURU INC(BVI) 标准格式 日期：按实际生产日期
Packaging Info: 77772GQ2:3L MA EAN收缩膜+警告语贴纸; MA说明书/指南+C版WEEE不带电池走货说明书;MA PDQ
Remark: 1. STD配比
2. 出欧洲，微塑料需合规（如item本身不含微塑料 则忽略此要求）</t>
  </si>
  <si>
    <t>Lena  Huang</t>
  </si>
  <si>
    <t>4500206881-10</t>
  </si>
  <si>
    <t>7/26号完成，7/29东莞完成</t>
  </si>
  <si>
    <t>ZB07232-8.17</t>
  </si>
  <si>
    <t>4500206880-10</t>
  </si>
  <si>
    <t>4500206882-10</t>
  </si>
  <si>
    <t>7/27完成，7/30东莞完成</t>
  </si>
  <si>
    <t>ZB07233-8.17</t>
  </si>
  <si>
    <t>04070BOD-03-FALL</t>
  </si>
  <si>
    <t>4500203228-20</t>
  </si>
  <si>
    <t>8/1 库有拼柜</t>
  </si>
  <si>
    <t>6/22 确认</t>
  </si>
  <si>
    <t>6/29UPC贴纸</t>
  </si>
  <si>
    <t>日期码格式：ZURU INC(BVI) 标准格式 日期：按实际生产日期
Packaging Info: 1.优先多语 MA UPC或者3L/5L MA EAN 包装
2.请确保包装上的条形码是UPC，如果是babyUPC、需要用mother UPC覆盖，如有不一致，请及时提出。谢谢!
 77794UQ1 MA多语EAN包装+UPC贴纸+MA 多语说明书+MA多语收藏指南+MA 多语PDQ +箱唛
 77772GQ2:MA多语EAN包装+UPC贴纸+MA 多语说明书+MA多语收藏指南+MA 多语PDQ +箱唛
 77843GQ2 MA多语EAN包装+UPC贴纸+MA 多语说明书+MA多语收藏指南+MA 多语PDQ +箱唛
 9574 MA 多语EAN 包装+UPC贴纸+MA 多语收藏指南+箱唛
 15760UQ1 MA多语UPC+mother UPC:193052087874贴纸+MA 多语PDQ+箱唛
Remark: 77794UQ1 RECHARGEABLE LITHIUM BATTERY(INCLUDED)
 77772GQ2 N/A but with electric circuit(EU/UK WEEE IM is required) 4 mini vinyls,1 accessory
 77843GQ2 SUSHI and RAINBOW CAKE(Rare) without batteries, other assortments: 3PCS AG13 BATTERIES(INCLUDED) Ratio: PIZZA: HAMBURGER: PANCAKES: BUB
 BLE TEA: Matcha TEA: TACO: SUSHI: DONUT: Charcuterie Board: RAINBOW CAKE(Rare)=10.88%: 10.88%: 10.88%: 10.88%: 10.88%: 10.88%: 10.88%: 10.88%:
 10.88%: 2.08%=68:68:68:68:68:68:68:68:68:13
 9574 3PCS AAA BATTERIES(NOT INCLUDED) 2pcs baby capybara: 3pcs baby capybara= 5:1
 15760UQ1 old ratio: 10 Assortment even ratio; new ratio(CRD:2026/7/10, remove 15760G &lt;(&gt;&amp;&lt;)&gt; 15760L) 8 assortments=A: B: D: E: H: J: K: M=12.5
%:12.5%:12.5%:12.5%:12.5%:12.5%:12.5%:12.5%</t>
  </si>
  <si>
    <t>4500206887-10</t>
  </si>
  <si>
    <t>7/28号完成，7/31东莞完成</t>
  </si>
  <si>
    <t>4500211229-50</t>
  </si>
  <si>
    <t>8/8完成</t>
  </si>
  <si>
    <t>客版5L收缩膜 (翻PO#4500191961) +客版5L收藏指南(翻PO#4500211227)</t>
  </si>
  <si>
    <t>日期码格式： ZURU INC(BVI) 标准格式 日期：按实际生产日期
Packaging Info:
77772GQ2: MA PDQ (优先多语)+客版5L收缩膜 (翻PO#4500191961) +客版5L收藏指南(4500211227)+MA 23L组装说明书+MA内袋
EAN#4894680051133
*必须移除Messy Lola Young (VINYL-S1-021) 这个唱片, 比例按PM更新的安排, 如未按要求做货被客罚由工厂承担责任*
*外箱需加一张UN3481锂电池运输标签*
Remark: Smyths 法国
1. 请准时出货，推期会有罚款；
2. 所有产品按符合欧洲标准走货，需要是不含微塑料版本。
3. 电子产品需增加一张WEEE声明29L通用黑白说明书，区分带电池(D版)和不带电池(C版)出货版本, 如已做带WEEE声明的客版说明书可忽略此要求；如包装备注上
缺少此部分信息，请提醒跟单更新备注。
4. 出口法国的产品, 法规规定禁止在包装和共公众用的印刷品中使用矿物油中含有的物质, 包装印刷油墨中含有的MOAH/MOSH的质量浓度不能超过0.1%, 否则出货
到法国被抽检出现问题, 供应商需要对此负责;
5.订单备注显示有分批的(不同仓库/订单号), 一定要区分客户订单号做货出货，否则会导致罚款 。
6.包装日期码按ZURU格式即可，请确保不迟于外箱日期码，可等于或者早于外箱日期码，必须为法定工作日。
7.做货前请先复核包装条码与订单是否一致再安排，对不上的需与ZURU跟单确认再安排。8.包装必须含法国回收标(Sorting Label)，如没有，请提醒跟单提供贴纸资料。</t>
  </si>
  <si>
    <t>4500211229-70</t>
  </si>
  <si>
    <t>4500203225-20</t>
  </si>
  <si>
    <t>6/23 确认</t>
  </si>
  <si>
    <t xml:space="preserve">日期码格式：ZURU INC(BVI) 标准格式 日期：按实际生产日期
Packaging Info: 1.优先多语 MA UPC或者3L/5L MA EAN 包装
2.请确保包装上的条形码是UPC，如果是babyUPC、需要用mother UPC覆盖，如有不一致，请及时提出。谢谢!
77772GQ2:MA多语EAN包装+UPC贴纸+MA 多语说明书+MA多语收藏指南+MA 多语PDQ +箱唛
Remark: </t>
  </si>
  <si>
    <t>04197-BOD-12-FALL</t>
  </si>
  <si>
    <t>4500203233-90</t>
  </si>
  <si>
    <t>6/22(+UPC 条码贴纸)</t>
  </si>
  <si>
    <t>日期码格式：ZURU INC(BVI) 标准格式 日期：按实际生产日期
Packaging Info: 1.优先多语 MA UPC或者3L/5L MA EAN 包装
2.请确保包装上的条形码是UPC，如果是babyUPC、需要用mother UPC覆盖，如有不一致，请及时提出。谢谢!
 3 .MA PDQ 优先用3L,MA 只有1L版本的情况下就用1L PDQ
 4.此单MA 3L UPC/EAN 包装（EAN 包装需要用UPC贴纸覆盖）+箱唛
 77794UQ1 MA多语EAN包装+UPC贴纸+MA 多语说明书+MA多语收藏指南+MA 多语PDQ +箱唛
Remark: 77794UQ1 RECHARGEABLE LITHIUM BATTERY(INCLUDED)</t>
  </si>
  <si>
    <t>4500213635-10</t>
  </si>
  <si>
    <t>7/27 空运</t>
  </si>
  <si>
    <t>日期码格式：ZURU INC(BVI) 标准格式                  日期：按实际生产日期
Packaging Info: #77772---留意剔除有问题的唱片
客版3LPDQ(16装)+MA3L收缩膜+UPC贴纸(UPC:193052118721)+MA5L收藏指南+MA23L拼装说明书+MA5L复合袋+DEMO纸卡
翻单：4500213633
Remark: 1. 此单有箱唛;
 2. UPC贴纸：必须在原来错误的条码上用黑色粗头笔涂黑直至不能扫描，再贴上正确的UPC;
 3. 此单有第三方验货，烦请多备包装物料；
 *********************
a. 请确保产品符合1999年版本的加拿大环境保护法(CEPA)和2012年禁止某些有毒物质法规的要求。该产品不含任何在加拿大禁用的化学物质，包括但不限于有毒物
质清单中列出的化学物质，并且在为加拿大沃尔玛生产产品期间没有使用任何禁用化学物质。
Supplier certify that the products comply with the requirements of Canadian Environmental Protection Act, 1999 (CEPA), Prohibition of Certain To
xic Substances Regulations, 2012.
The products do not contain any chemicals that are banned in Canada, including but not limited to those listed in the Toxic Substances List and
no banned chemicals were used during the manufacturing of product for Walmart Canada.
附件列表：
(1) Letter of Guarantee for Canada banned chemicals - (1-5CA)
b. 请确保产品在均质材料中的汞浓度不超过0.1%（按重量计）。
Supplier certify that the WAL-MART vendor products does not have a mercury concentration of more than 0.1% by weight in homogeneous material.
附件列表：
(1) Letter of Guarantee for Mercury COC
c. 请确保产品的塑料材料不含以下物质（SOR 2011-17 27B):
Supplier certify that the plastic materials do not contain the following substances(SOR 2011-17 27B):
(a) carbon tetrachloride or any substance that contains it;
(b) methyl alcohol or any substance thay contains &gt;1.0%;
 (c) petroleum distillates or any substance that contains &gt;10% weight to volume of petroleum distillates;
 (d) benzene;
(e) turpentine or any substance that contains &gt;10% weight to volume of turpentine;
(f) boric acid or salts of boric acid; or (g) ethyl ether.
附件列表：
(1) Letter of Guarantee for WM CA-Other prohibited substances in plastic(less than 3 years)</t>
  </si>
  <si>
    <t>ZURU  CANADA  INC.</t>
  </si>
  <si>
    <t>4500207370-40</t>
  </si>
  <si>
    <t>UPC贴纸 (新UPC-193052118752)</t>
  </si>
  <si>
    <t>客版收缩膜和3L铜版纸图稿翻单4500192506.（两个球的配比不能重复）。</t>
  </si>
  <si>
    <t>日期码格式：ZURU INC(BVI) 标准格式 日期：按实际生产日期 Tracking Code:
Packaging Info: #77876:2PK MA 3L UPC版#77772入PVC桶，3L无UPC客版收缩膜，客版收缩膜和3L铜版纸图稿翻单4500192506.（两个球的配比不能重复）。77876需要返工移除两款唱
 片（具体唱片以SP通知为准），返工后的产品需要加UPC贴纸 (新UPC-193052118752)，覆盖原铜板纸上的旧UPC。 由于库位变更，52单需要取消重下，导致52单号有
 变更。 52订单号变更为5200011153，11单#1100038175；需要加水贴纸覆盖原箱唛上的5200010095。
Remark: 1.Amazon domestic 订单。出口加拿大。外箱最长边不能超过25" （超过了，case pack只能为1），不符合要求的大货，一律不接受。
 2.无第三方验货/测试要求。
 3.日期码使用ZURU标准版本。
 4.如果大货有要求入邮包盒，则对应的邮包盒上面要打上日期码。</t>
  </si>
  <si>
    <t>SD24</t>
  </si>
  <si>
    <t>77876-S001-3L</t>
  </si>
  <si>
    <t>THE KROGER CO.</t>
  </si>
  <si>
    <t>700-69855</t>
  </si>
  <si>
    <t>4500208194-90</t>
  </si>
  <si>
    <t>日期码格式：ZURU INC(BVI) 标准格式                  日期：按实际生产日期
Packaging Info: 包装方式: 
其他items: MA UPC优先1L最新版，出口美国
Remark: 2、无测试无验货要求
 3、纸箱4面印ZURU LOGO + 箱唛
 4、日期码请按ZURU标准版执行即可
 5、ZURU QC验货</t>
  </si>
  <si>
    <t>ZB07155-8.17</t>
  </si>
  <si>
    <t>500-15449</t>
  </si>
  <si>
    <t>4500208194-160</t>
  </si>
  <si>
    <t>700-69882</t>
  </si>
  <si>
    <t>4500208194-20</t>
  </si>
  <si>
    <t>0005061661</t>
  </si>
  <si>
    <t>4500214408-20</t>
  </si>
  <si>
    <t>8/8截SI</t>
  </si>
  <si>
    <t>日期码格式：ZURU INC(BVI) 标准格式                  日期：按实际生产日期
Packaging Info:
1.包装要求：
MA 1L A版收缩膜+MA 5L A版收藏指南+MA 23L A版说明书+MA A版纸袋+客版1L PDQ+客版UPC贴纸；
消耗WM US取消订单物料
New UPC number:193052118721
每pcs产品需加贴NEW UPC贴纸。贴前须用黑色笔将原 UPC 条码完全涂黑，使其无法扫描，再粘贴新 UPC 贴纸。
每pcs产品上要贴1张RFID贴纸，贴纸由ZURU提供，贴纸位置请严格按照我们签回的签板；
Remark:
1.包装要求：
MA 1L A版收缩膜+MA 5L A版收藏指南+MA 23L A版说明书+MA A版纸袋+客版1L PDQ+客版UPC贴纸；
消耗WM US取消订单物料
New UPC number:193052118721
每pcs产品需加贴NEW UPC贴纸。贴前须用黑色笔将原 UPC 条码完全涂黑，使其无法扫描，再粘贴新 UPC 贴纸。
每pcs产品上要贴1张RFID贴纸，贴纸由ZURU提供，贴纸位置请严格按照我们签回的签板；
 2. 外箱印刷带条码的RFID箱唛：RFID紫色色带+WM Dept.图标+RFID图标+ITF-14条码，四面右下角印刷ZURU logo, ITFF条码只印刷在正唛一面，在加印的时候确保
条形码能扫描出来，外箱侧面任一角落加印："MADE IN CHINA" 字样；
 4. 在产品上和包装上要有日期码、以及要有MADE IN CHINA和ZURU字样；
 5. 产品如有扎带口要剪平，不能刮手。
 6. 此单需要验货，请多备料
 7. 此单以Slip sheet出货，960pcs/60CTNS/Slip sheet</t>
  </si>
  <si>
    <t>ZB07469-8.17</t>
  </si>
  <si>
    <t>0005061664</t>
  </si>
  <si>
    <t>4500214409-10</t>
  </si>
  <si>
    <t>日期码格式：ZURU INC(BVI) 标准格式                  日期：按实际生产日期
Packaging Info: 77772GQ3-S001
1.包装要求：
MA 1L A版收缩膜+MA 5L A版收藏指南+MA 23L A版说明书+MA A版纸袋+客版1L PDQ+客版UPC贴纸；
消耗WM US取消订单物料
New UPC number:193052118721
每pcs产品需加贴NEW UPC贴纸。贴前须用黑色笔将原 UPC 条码完全涂黑，使其无法扫描，再粘贴新 UPC 贴纸。
每pcs产品上要贴1张RFID贴纸，贴纸由ZURU提供，贴纸位置请严格按照我们签回的签板；
Remark: 77772GQ3-S001
1.包装要求：
MA 1L A版收缩膜+MA 5L A版收藏指南+MA 23L A版说明书+MA A版纸袋+客版1L PDQ+客版UPC贴纸；
消耗WM US取消订单物料
New UPC number:193052118721
每pcs产品需加贴NEW UPC贴纸。贴前须用黑色笔将原 UPC 条码完全涂黑，使其无法扫描，再粘贴新 UPC 贴纸。
每pcs产品上要贴1张RFID贴纸，贴纸由ZURU提供，贴纸位置请严格按照我们签回的签板；
2. 外箱印刷带条码的RFID箱唛：RFID紫色色带+WM Dept.图标+RFID图标+ITF-14条码，四面右下角印刷ZURU logo, ITFF条码只印刷在正唛一面，在加印的时候确保
条形码能扫描出来，外箱侧面任一角落加印："MADE IN CHINA" 字样；
3. 在产品上和包装上要有日期码、以及要有MADE IN CHINA和ZURU字样；
 4. 产品如有扎带口要剪平，不能刮手。
 5. 此单需要验货，请多备料
 6. 此单以loose carton出货，16pcs/PDQ/CTN</t>
  </si>
  <si>
    <t>ZB07317-8.17</t>
  </si>
  <si>
    <t>AG260056-HK</t>
  </si>
  <si>
    <t>4500209026-10</t>
  </si>
  <si>
    <t>7/30 送丹尼</t>
  </si>
  <si>
    <t>6/1HK 客供警语贴纸</t>
  </si>
  <si>
    <t>RANY</t>
  </si>
  <si>
    <t>4500210632-50</t>
  </si>
  <si>
    <t>预计需要1套大货样</t>
  </si>
  <si>
    <t>6/24法国回收logo贴纸</t>
  </si>
  <si>
    <r>
      <rPr>
        <sz val="12"/>
        <color rgb="FF010CDD"/>
        <rFont val="宋体"/>
        <charset val="134"/>
      </rPr>
      <t>日期码格式：ZURU</t>
    </r>
    <r>
      <rPr>
        <sz val="12"/>
        <color rgb="FF010CDD"/>
        <rFont val="宋体"/>
        <charset val="0"/>
      </rPr>
      <t xml:space="preserve">  INC(BVI)  标准格式                                    日期：按实际生产日期
Packaging Info: 
77772GQ1：MA3L  EAN收缩膜+1张法国回收logo贴纸+MA23L说明书+MA5L收藏指南+MA3LPDQ
Remark: 1.  此票无需第三方验货，通过ZURU  OQC验货即可；
   2.  此票出法国，请确保包装需含有两个法国回收logo，产品符合EU标准；
   3.  此票全部用EAN条码,  assortment产品需用mother  EAN条码；
   4.  预计需要1套大货样，请多备料；</t>
    </r>
  </si>
  <si>
    <t>10001958373-0581</t>
  </si>
  <si>
    <t>4500214215-10</t>
  </si>
  <si>
    <t>由4500207830，4500207834转单</t>
  </si>
  <si>
    <t>7/28 客上柜 空运</t>
  </si>
  <si>
    <t>日期码格式：ZURU  INC(BVI)  标准格式                                    日期：按实际生产日期
Packaging Info: 产品包装客版收缩膜+MA  5L  收藏指南+MA  23L  组装说明+客版PDQ；客版PDQ翻单4500189603
Remark: 1.77772GQ5-S001-MINI  BRANDS-VINYL-SERIES  1-CAPSULE,WITH  DEMO,25PCS/GRAVITY  PDQ,25PCS/PDQ/CTN;
2.产品包装客版收缩膜+MA  5L  收藏指南+MA  23L  组装说明+客版PDQ；客版PDQ翻单4500189603；收缩膜上的UPC显示193052118721
   4    mini  vinyls(1  Target  US  Exclusive),1  accessory;
   3.  外箱正唛左上角位置粘贴条码箱贴纸，每箱只贴一张，由ZURU订购。来料贴纸上显示的客户DPCI#  086-02-7610,  UPC显示10193052118728;
   4.  产品和包装上均要印刷tracking  code信息，格式为ZURU常规格式；
   5.  需要我司QC验货之后才能安排出货；
   6.  出货方式：     货代自提；
7.  原订单4500207830和4500207834的删单重下，   用新配比生产（不要18号、21号、23号碟片）</t>
  </si>
  <si>
    <t>ZB07229-8.17</t>
  </si>
  <si>
    <t>4500216435-20</t>
  </si>
  <si>
    <t>4500207581转PO4500216435</t>
  </si>
  <si>
    <t>5/19 确认</t>
  </si>
  <si>
    <t>日期码格式：ZURU INC(BVI) 标准格式                  日期：按实际生产日期
Packaging Info:
"77772GQ2: MA PDQ (优先多语)+客版5L收缩膜 (翻PO#4500191961) +客版5L收藏指南(翻PO#4500211227)+MA 23L组装说明书+MA内袋
EAN#4894680051133
*必须移除Messy Lola Young (VINYL-S1-021) 这个唱片, 比例按PM更新的安排, 如未按要求做货被客罚由工厂承担责任*
如达不到包材MOQ-
77772GQ2: MA PDQ (优先多语)+MA 3L-EAN收缩膜+1张含德语callout/德意荷警语/法国sorting label贴纸(翻单PO#4500196046)+客版5L收藏指南(不含Messy唱片,
翻PO#4500211227)
EAN#4894680051133
*必须移除Messy Lola Young (VINYL-S1-021) 这个唱片, 比例按PM更新的安排, 如未按要求做货被客罚由工厂承担责任*"
Remark: "Smyths 英国/爱尔兰
 1. 请准时出货，推期会有罚款；
 2. 所有产品按符合欧洲标准走货，需要是不含微塑料版本。
3.包装日期码按ZURU格式即可，请确保不迟于外箱日期码，可等于或者早于外箱日期码，必须为法定工作日，印刷前请先检查外箱日期码。
4.请注意检查产品及包装应带UKCA图标（14+产品除外），包装显示ZURU UK LTD/ZURU France地址信息，QC部门请查核，如有问题与跟单确认
5.电子产品需增加一张WEEE声明29L通用黑白说明书，区分带电池(D版)和不带电池(C版)出货版本, 如已做带WEEE声明的客版说明书可忽略此要求；如包装备注上缺
少此部分信息，请提醒跟单更新备注。
6.订单备注显示有分批的(不同仓库/订单号), 一定要区分客户订单号做货出货，否则会导致罚款  。
7.做货前请先复核包装条码与订单是否一致再安排，对不上的需与ZURU跟单确认再安排。
8.包装必须含法国回收标(Sorting Label)，如没有，请提醒跟单提供贴纸资料。"</t>
  </si>
  <si>
    <t>4500207499-60</t>
  </si>
  <si>
    <t>日期码格式：ZURU INC(BVI) 标准格式                  日期：按实际生产日期
Packaging Info: 77772SK1: MA 3L SK包装+MA 3L EAN包装(+UPC 条码贴纸)+进口商贴纸+箱唛
Remark: 客户有监装要求，每款需要各准备1pc监柜样板</t>
  </si>
  <si>
    <t>4500208673-30</t>
  </si>
  <si>
    <t>7/31 BV验货</t>
  </si>
  <si>
    <t>7/1 更新</t>
  </si>
  <si>
    <t>UPC贴纸(UPC:193052118721)翻单target贴纸</t>
  </si>
  <si>
    <t>日期码格式：ZURU INC(BVI) 标准格式 日期：按实际生产日期
Packaging Info: 
#77772---留意剔除有问题的唱片
客版3LPDQ(16装)+MA3L收缩膜+UPC贴纸(UPC:193052118721)+MA5L收藏指南+MA23L拼装说明书+MA5L复合袋+DEMO纸卡
翻单：4500213633
Remark: 1. 此单有箱唛;
2. UPC贴纸：必须在原来错误的条码上用黑色粗头笔涂黑直至不能扫描，再贴上正确的UPC;
3. 此单有第三方验货，烦请多备包装物料；
4. #77794带锂电池出货，使用英法双语电池，外箱需在正唛空白位置贴一张UN3481锂电池标识贴纸(带电话号码)；
*********************
a. 请确保产品符合1999年版本的加拿大环境保护法(CEPA)和2012年禁止某些有毒物质法规的要求。该产品不含任何在加拿大禁用的化学物质，包括但不限于有毒物
质清单中列出的化学物质，并且在为加拿大沃尔玛生产产品期间没有使用任何禁用化学物质。
Supplier certify that the products comply with the requirements of Canadian Environmental Protection Act, 1999 (CEPA), Prohibition of Certain To
xic Substances Regulations, 2012.
The products do not contain any chemicals that are banned in Canada, including but not limited to those listed in the Toxic Substances List and
no banned chemicals were used during the manufacturing of product for Walmart Canada.
附件列表：
(1) Letter of Guarantee for Canada banned chemicals - (1-5CA)
b. 请确保产品在均质材料中的汞浓度不超过0.1%（按重量计）。
Supplier certify that the WAL-MART vendor products does not have a mercury concentration of more than 0.1% by weight in homogeneous material.
附件列表：
(1) Letter of Guarantee for Mercury COC
c. 请确保产品的塑料材料不含以下物质（SOR 2011-17 27B):
Supplier certify that the plastic materials do not contain the following substances(SOR 2011-17 27B):
(a) carbon tetrachloride or any substance that contains it;
(b) methyl alcohol or any substance thay contains &gt;1.0%;
(c) petroleum distillates or any substance that contains &gt;10% weight to volume of petroleum distillates;
(d) benzene;
(e) turpentine or any substance that contains &gt;10% weight to volume of turpentine;
(f) boric acid or salts of boric acid; or (g) ethyl ether.
附件列表：
(1) Letter of Guarantee for WM CA-Other prohibited substances in plastic(less than 3 years)</t>
  </si>
  <si>
    <t>4500211792-30</t>
  </si>
  <si>
    <t>8/5截SI</t>
  </si>
  <si>
    <t>进口商贴纸+UPC贴纸翻单PO#4500200402</t>
  </si>
  <si>
    <t>日期码格式：ZURU INC(BVI) 标准格式                  日期：按实际生产日期
Packaging Info:
77772GQ2 MA 多语包装+进口商贴纸+UPC贴纸+箱唛
Remark:</t>
  </si>
  <si>
    <t>MAGGIO 3 SRL</t>
  </si>
  <si>
    <t>4500207257-30</t>
  </si>
  <si>
    <t>8/6截SI</t>
  </si>
  <si>
    <t>6/24进口商贴纸+PDQ贴纸+WEEE欧洲通用29L不带电说明书</t>
  </si>
  <si>
    <t>日期码格式：ZURU INC(BVI) 标准格式                  日期：按实际生产日期
Packaging Info: 
77772GQ1：最新MA3L EAN收缩膜+ MA23L说明书+MA5L 收藏指南+MA纸卡和袋子 +  MA3L PDQ+ 进口商贴纸+PDQ贴纸
Remark: 1. 此单出意大利，需要满足EU标准，通过ZURU验货, 并提供客户照片确认后才可放货。
 2. 产品均符合EU微塑料法规要求：不能含有微塑料/闪粉符合欧规，BOB系列要符合欧洲要求不含亚硝酸版本; XShot Hyper系列，统一出EN71版本。
 3,  SMASHERS 或含Slime产品，所有化合物使用无硼或低硼版本出意大利。
4, 带电池产品需要带上最新WEEE欧洲通用29L电池回收说明书。
5, 意大利订单包装彩卡请确保含法规要求的环保回收logo和意大利语警语，如果说明书有使用方式，需要有意大利语使用说明。
6, 电池产品请确保使用新说明书以及新标识的电池以符合最新(EU) 2023/1542法规  （增加制造商信息，电池种类，制造商地址，电池重量，化学组成，可用的灭
火器，浓度重量占比&gt;0.1%的关键原材料，二维码），如果电池不含这些信息，也需要确保电池说明书含这些信息。</t>
  </si>
  <si>
    <t>GIOCHI PREZIOSI EĞITIMARAÇLARI TIC</t>
  </si>
  <si>
    <t>土耳其</t>
  </si>
  <si>
    <t>4500204227-20</t>
  </si>
  <si>
    <t>6/1 需备2套大货版寄出</t>
  </si>
  <si>
    <t>WEEE声明（带电池走货版本的通用30L说明书）</t>
  </si>
  <si>
    <t>工厂日期码 产品/包装/外箱请保持一致。
客户日期码: ZUR6166 包装/外箱请保持一致。</t>
  </si>
  <si>
    <t xml:space="preserve">日期码格式：ZUR6166 日期：
Packaging Info:
需要增加一张WEEE声明（带电池走货版本的通用30L说明书）
77772GQ2:MA 1L 收缩膜+进口商贴纸（含客户条码）+5L收藏指南+袋子；1L PDQ
工厂日期码 产品/包装/外箱请保持一致。
客户日期码: ZUR6166 包装/外箱请保持一致。
以下数量大货版请寄到如下地址：
2.77772GQ2: 2套大货版带PDQ
Attn: Sylvia Li
Company name: GP Services HK Limited
Company address: Suite 1502, 15th Floor, Chinachem Golden Plaza, 77 Mody Road, TST East, Kowloon, Hong Kong
Company address (Chinese): 香港九龍尖沙咀東部麼地道77號華懋廣場1502室
Contact Tel: +852 2739 5363
Remark: 77843GQ2:Ratio: PIZZA: HAMBURGER: PANCAKES: BUBBLE TEA: Matcha TEA: TACO: SUSHI: DONUT: Charcuterie Board: RAINBOW CAKE(Rare)=10.88%: 10.88%: 1
0.88%: 10.88%: 10.88%: 10.88%: 10.88%: 10.88%: 10.88%: 2.08%=68:68:68:68:68:68:68:68:68:13
77772GQ2:WITH 4PCS DEMO/PDQ
</t>
  </si>
  <si>
    <t>Doris Shou</t>
  </si>
  <si>
    <t>10001958371-0581</t>
  </si>
  <si>
    <t>4500214216-10</t>
  </si>
  <si>
    <t>8/10完成</t>
  </si>
  <si>
    <t>由4500209510转单</t>
  </si>
  <si>
    <t>7/29 客上柜 空运</t>
  </si>
  <si>
    <t>7/13外箱条码箱贴纸贴纸</t>
  </si>
  <si>
    <t>日期码格式：ZURU  INC(BVI)  标准格式                                    日期：按实际生产日期
Packaging Info: 产品包装客版收缩膜+MA  5L  收藏指南+MA  23L  组装说明+客版PDQ；客版PDQ翻单4500189603；客版收缩膜翻单4500214215
Remark: 1.77772GQ5-S001-MINI  BRANDS-VINYL-SERIES  1-CAPSULE,WITH  DEMO,25PCS/GRAVITY  PDQ,25PCS/PDQ/CTN;
2.产品包装客版收缩膜+MA  5L  收藏指南+MA  23L  组装说明+客版PDQ；客版PDQ翻单4500189603；客版收缩膜翻单4500214215；收缩膜上的UPC显示193052118721
   4    mini  vinyls(1  Target  US  Exclusive),1  accessory;
   3.  外箱正唛左上角位置粘贴条码箱贴纸，每箱只贴一张，由ZURU订购。来料贴纸上显示的客户DPCI#  086-02-7610,  UPC显示10193052118728;
   4.  产品和包装上均要印刷tracking  code信息，格式为ZURU常规格式；
   5.  需要我司QC验货之后才能安排出货；
   6.  出货方式：     货代自提；
7.  原订单4500209510的删单重下，用新配比生产（不要18号、21号、23号碟片）</t>
  </si>
  <si>
    <t>ZB07230-8.17</t>
  </si>
  <si>
    <t>4500209236-40</t>
  </si>
  <si>
    <t>移除#21唱片（收藏指南翻单：PO#4500198654)</t>
  </si>
  <si>
    <t>日期码格式：ZURU INC(BVI) 标准格式 日期：按实际生产日期
Packaging Info:
77772GQ1:MA A版1L PDQ+MA 1L UPC收缩膜+移除了LOLA YOUNG唱片的配套收藏指南
配套的收藏指南(翻单PO#4500198654)，PDQ上面加贴纸改45为44，（贴纸翻单：4500196675）UPC :193052090065，请先检查条码是否正确再安排做货，移除LOLA YO
UANG Messy唱片+ C版不带电池出货WEEE说明书
Slip Sheet:77772GQ1-S002-PRODCC 13pcs/PDQ/CTN 20*4H=80CTN/SLB=1040pcs/Slip Sheet;
Remark: 1. 产品及包装需要印UKCA图标，包装需要有ZURU UK LTD/ZURU France地址信息，QC同事请核查，如有问题与跟单确认
2. 产品/包装/外箱都需要打ZURU格式日期码，日期必须为法定工作日。
3. 需要符合欧洲标准不能含有闪粉和微塑料，否则不合法规会有客诉产生"
4.涉及到硼的，如可选择情况下应使用低硼版本 （slime 类别低硼一般低于300ppm)，无选择的应与跟单复核再安排 。
5.如果出运产品属于电子类产品需要在ZURU 包装基础上额外添加一张ZURU通用WEEE 电子产品说明书,带电池出货的加带电池出货版本通用D版29L的说明书，不带电
池出货的产品用C版29L不带电池出货版本的说明书</t>
  </si>
  <si>
    <t>RED APPLE STORES INC.</t>
  </si>
  <si>
    <t>2942830-00</t>
  </si>
  <si>
    <t>4500199159-10</t>
  </si>
  <si>
    <t>8/4截仓</t>
  </si>
  <si>
    <t>日期码格式：  标准格式                  日期：按实际生产日期
Packaging Info: 77772GQ1 MA 3L EAN版本+UPC贴纸193052090065。  UPC贴纸翻单4500193076
Remark: 出加拿大
日期跟踪码：产品外包装及产品本身都必须有日期跟踪码，并且确保两者的日期跟踪码要一致；ZURU标准格式日期码(请自行调整具体年月日生产期，但不能为周末
)</t>
  </si>
  <si>
    <t>ALBERTSONS LLC</t>
  </si>
  <si>
    <t>4500207002-20</t>
  </si>
  <si>
    <t>8/3抽版测试（须至少完成总数量的50%以上货好入箱，需每一客户PO都有完成入箱的数量）8/19 BV验货</t>
  </si>
  <si>
    <t>日期码格式： ZURU INC(BVI) 标准格式 日期：按实际生产日期
Packaging Info: 1. 包装方式：MA UPC优先1L，出口美国
2. 产品和包装上面要有ZURU格式tracking code
3. ZURU标准日期码格式
Remark: 1. 7/28抽版测试（须至少完成总数量的50%以上货好入箱，需每一客户PO都有完成入箱的数量）2. ZURU QC验货OK + 客户QC验货OK + 抽板测试报告OK后方可出货
3. 产品和包装不能含有PFAS物质
4. 产品和包装须符合俄勒冈州HPCCCH测试要求
5. 所有产品或材料不得来自新疆维吾尔自治区
6. 产品和包装不能含有1,4-二氧六环</t>
  </si>
  <si>
    <t>4500207002-40</t>
  </si>
  <si>
    <t>4500207002-70</t>
  </si>
  <si>
    <t>4500207002-90</t>
  </si>
  <si>
    <t>4500207002-110</t>
  </si>
  <si>
    <t>GAMESTOP</t>
  </si>
  <si>
    <t>4500206279-30</t>
  </si>
  <si>
    <t>日期码格式：ZURU INC(BVI) 标准格式                  日期：按实际生产日期
Packaging Info: 1. 出口美国，MA UPC 版本包装，优先1L。
2
77772GQ1, UPC:193052090065
Remark: 3. ZURU QC 验货即可。</t>
  </si>
  <si>
    <t>Abby Mai</t>
  </si>
  <si>
    <t>10001958375-0581</t>
  </si>
  <si>
    <t>4500214218-10</t>
  </si>
  <si>
    <t>由4500211294转单</t>
  </si>
  <si>
    <t>7/30 客上柜 空运</t>
  </si>
  <si>
    <t>日期码格式：ZURU  INC(BVI)  标准格式                                    日期：按实际生产日期
Packaging Info: 产品包装客版收缩膜+MA  5L  收藏指南+MA  23L  组装说明+客版PDQ；客版PDQ翻单4500189603；客版收缩膜翻单4500214215
Remark: 1.77772GQ5-S001-MINI  BRANDS-VINYL-SERIES  1-CAPSULE,WITH  DEMO,25PCS/GRAVITY  PDQ,25PCS/PDQ/CTN;
2.产品包装客版收缩膜+MA  5L  收藏指南+MA  23L  组装说明+客版PDQ；客版PDQ翻单4500189603；客版收缩膜翻单4500214215；收缩膜上的UPC显示193052118721
   4    mini  vinyls(1  Target  US  Exclusive),1  accessory;
   3.  外箱正唛左上角位置粘贴条码箱贴纸，每箱只贴一张，由ZURU订购。来料贴纸上显示的客户DPCI#  086-02-7610,  UPC显示10193052118728;
   4.  产品和包装上均要印刷tracking  code信息，格式为ZURU常规格式；
   5.  需要我司QC验货之后才能安排出货；
   6.  出货方式：     货代自提；
7.  原订单4500211294的删单重下，用新配比生产（不要18号、21号、23号碟片）</t>
  </si>
  <si>
    <t>ZB07231-8.17</t>
  </si>
  <si>
    <t>CLAIRE’S ESSENTIALS, LLC</t>
  </si>
  <si>
    <t>4500204310-10</t>
  </si>
  <si>
    <t>每款寄一套给到SZ办公室（PDQ的话就寄一整个PDQ），样板上加客供价格贴纸覆盖掉原来的EAN再寄过来</t>
  </si>
  <si>
    <t>5/11 收到客供价格贴纸</t>
  </si>
  <si>
    <t>日期码格式：ZURU INC(BVI) 标准格式 日期：按实际生产日期
Packaging Info: 1.Claire's 这个客户在US+CA出售，所有的产品图稿包括配件必须是多语（务必要有英法语），无硼版本，符合加拿大市场要求，包装MA 2L/3L +客户价格贴纸（覆
盖掉原来的EAN#条形码）
2. 客人指定箱唛排版
3.要加客供价格贴纸，务必覆盖掉原本的EAN
4. 77772GQ1-S002 4 mini vinyls,1 accessory
Remark: 1.出货前 Zuru QC 验货
2.价格贴纸需覆盖收缩膜上的EAN,贴大货之前先贴一个给跟单确认位置图
3. 每款寄一套给到SZ办公室（PDQ的话就寄一整个PDQ），样板上加客供价格贴纸覆盖掉原来的EAN再寄过来</t>
  </si>
  <si>
    <t>ZB07228-8.17</t>
  </si>
  <si>
    <t>4884219863 32</t>
  </si>
  <si>
    <t>4500203173-10</t>
  </si>
  <si>
    <t>8/5完成，8/8东莞完成</t>
  </si>
  <si>
    <t>日期码格式：ZURU INC(BVI) 标准格式                  日期：按实际生产日期
Packaging Info: MEC473 客版英法展示架-77772 MA 3L EAN版本+UPC贴纸193052090065，UPC贴纸翻单4500193076。77794  MA多语包装 EAN版本+UPC贴纸193052090409，  UPC翻单450
0192784。
Remark: 出加拿大
Zuru验货. 日期跟踪码：产品外包装及产品本身都必须有日期跟踪码，ZURU标准格式日期码</t>
  </si>
  <si>
    <t>0005061659</t>
  </si>
  <si>
    <t>4500214410-10</t>
  </si>
  <si>
    <t>8/5 BV验货</t>
  </si>
  <si>
    <t>日期码格式：ZURU INC(BVI) 标准格式                  日期：按实际生产日期
Packaging Info: 77772GQ3-S001
1.包装要求：
客版 1L new UPC 收缩膜+MA 5L A版收藏指南+MA 23L A版说明书+MA A版纸袋+客版1L PDQ；
消耗WM US取消订单物料
New UPC number:193052118721
每pcs产品上要贴1张RFID贴纸，贴纸由ZURU提供，贴纸位置请严格按照我们签回的签板；
Remark: 77772GQ3-S001
1.包装要求：
客版 1L new UPC 收缩膜+MA 5L A版收藏指南+MA 23L A版说明书+MA A版纸袋+客版1L PDQ；
消耗WM US取消订单物料
New UPC number:193052118721
每pcs产品上要贴1张RFID贴纸，贴纸由ZURU提供，贴纸位置请严格按照我们签回的签板；
 2. 外箱印刷带条码的RFID箱唛：RFID紫色色带+WM Dept.图标+RFID图标+ITF-14条码，四面右下角印刷ZURU logo, ITFF条码只印刷在正唛一面，在加印的时候确保
条形码能扫描出来，外箱侧面任一角落加印："MADE IN CHINA" 字样；
 3. 在产品上和包装上要有日期码、以及要有MADE IN CHINA和ZURU字样；
 4. 产品如有扎带口要剪平，不能刮手。
 5. 此单需要验货，请多备料
 6. 此单以loose carton出货，16pcs/PDQ/CTN</t>
  </si>
  <si>
    <t>PO0001903</t>
  </si>
  <si>
    <t>4500207265-70</t>
  </si>
  <si>
    <t>7/1确认</t>
  </si>
  <si>
    <t>UPC贴纸，贴纸翻单4500207214</t>
  </si>
  <si>
    <t>日期码格式：ZURU INC(BVI) 标准格式                  日期：按实际生产日期
Packaging Info: 
77772GQ1：  MA 3L，加UPC贴纸，贴纸翻单4500207214
Remark: 出加拿大
每款产品都需要加进口商贴纸
Zuru验货. 日期跟踪码：产品外包装及产品本身都必须有日期跟踪码，ZURU标准格式日期码</t>
  </si>
  <si>
    <t>0005061665</t>
  </si>
  <si>
    <t>4500214410-20</t>
  </si>
  <si>
    <t>8/6 BV验货</t>
  </si>
  <si>
    <t>ASIA  GOAL  LIMITED</t>
  </si>
  <si>
    <t>AG260087-HK</t>
  </si>
  <si>
    <t>4500210772-10</t>
  </si>
  <si>
    <t>8/3 送外厂</t>
  </si>
  <si>
    <t>6/15 (1张客供警语贴纸贴球底部，1张警语贴纸贴收藏指南， 拆件说明书也需贴一张客供警语贴纸（拆件说明书贴纸和收藏指南的贴纸共用）</t>
  </si>
  <si>
    <t>日期码格式：ZURU INC(BVI) 标准格式 日期：按实际生产日期
Packaging Info: 此单出HK
77772GQ1: MA 1L PKG , 1L PDQ , MA 收藏指南，MA 说明书 +HK 客供警语贴纸
(1张客供警语贴纸贴球底部，1张警语贴纸贴收藏指南， 拆件说明书也需贴一张客供警语贴纸（拆件说明书贴纸和收藏指南的贴纸共用），具体参考HK客供贴纸位置图
Remark:</t>
  </si>
  <si>
    <t>Chelsea  Luo</t>
  </si>
  <si>
    <t>KOHL'S,  INC.</t>
  </si>
  <si>
    <t>4500208215-30</t>
  </si>
  <si>
    <t>77772GQ8-S002</t>
  </si>
  <si>
    <t>8/6完成</t>
  </si>
  <si>
    <t>K0511H 手工单转实单</t>
  </si>
  <si>
    <t>8/9截SI</t>
  </si>
  <si>
    <t>外箱印刷  ZURU  LOGO  +  MADE  IN  CHINA  +  定位框，尺寸4"x6"  (用于黏贴外箱贴）</t>
  </si>
  <si>
    <t>6/29价格贴纸    （覆盖产品UPC  条码，不能覆盖到made  in  China  字样）+  7/22客供外箱贴纸    （外箱贴条码不可被覆盖</t>
  </si>
  <si>
    <t>日期码格式：ZURU  INC(BVI)  标准格式                                    日期：按实际生产日期
Packaging Info: 1.  此为Kohl's  ECOM  订单，    MA  UPC  包装  (首选1L)+  客供外箱贴纸（外箱贴条码不可被覆盖）
手工单  K0511H
Remark: 2.  外箱印刷  ZURU  LOGO  +  MADE  IN  CHINA  +  定位框，尺寸4"x6"  (用于黏贴外箱贴）
    3.  无箱唛但需提供每款实际外箱尺寸排版确认定位框，ECOM  订单的定位框位置要在：箱子的最大面积朝上后，定位框在最小面的右下角，距离箱子右边3英寸，
    距离底部1.25英寸，贴纸要按要求贴，位置与方向贴不对会有客户罚款，由工厂承担
外箱贴落在封箱面的：贴纸的条码是不可以落在箱子开口处以及折角处的，     这样都是会影响客人扫描导致罚款。    若有这样的情况需要和跟单沟通后再粘贴
    4.  外箱毛重超过35LB/15.88KG  外箱四面需要加黄色超重  Team  Lift  贴
    5.  产品入箱后，外箱的每个面都需要是平整，不能有鼓起
    6.  收到外箱贴纸需要扫描上传ICE系统（出货前必须完成），上传的条码信息必须跟实际出货一致，贴纸备品不需要扫描。如有不同产生的罚款由工厂承担。
    7.  需经ZURU验货通过后才可出货。
8.  客户有严格要求，若由工厂导致的罚款ZURU  都会向工厂收回。</t>
  </si>
  <si>
    <t>Jessi  Xu</t>
  </si>
  <si>
    <t>4500208214-30</t>
  </si>
  <si>
    <t>7/3价格贴纸    （覆盖产品UPC  条码，不能覆盖到made  in  China  字样）+  客供外箱贴纸    （外箱贴条码不可被覆盖</t>
  </si>
  <si>
    <t>日期码格式：ZURU  INC(BVI)  标准格式                                    日期：按实际生产日期
Packaging Info: 1.  此为Kohl's  store  订单,  MA  UPC包装(首选1L)  +  价格贴纸    （覆盖产品UPC  条码，不能覆盖到made  in  China  字样）+  客供外箱贴纸    （外箱贴条码不可被覆盖
)
手工单  K0511H
Remark: 2.  外箱印刷  ZURU  LOGO  +  MADE  IN  CHINA  +  定位框，尺寸4"x6"  (用于黏贴外箱贴）
   3.  无箱唛但需提供每款实际外箱尺寸排版确认定位框，store  订单的定位框位置要在：箱子的最大面朝上后，定位框在箱子的第二大面的右下角，距离箱子右边3
英寸，距离底部1.25英寸,  贴纸要按要求贴，位置与方向贴不对会有客户罚款，由工厂承担
外箱贴落在封箱面的：贴纸的条码是不可以落在箱子开口处以及折角处的，     这样都是会影响客人扫描导致罚款。    若有这样的情况需要和跟单沟通后再粘贴
   4.  产品入箱后，外箱的每个面都需要是平整，不能有鼓起
   5.  外箱毛重超过35LB/15.88KG  外箱四面需要加黄色超重  Team  Lift  贴
   6.  收到外箱贴纸需要扫描上传ICE系统（出货前必须完成），上传的条码信息必须跟实际出货一致，贴纸备品不需要扫描。如有不同产生的罚款由工厂承担。
7.  需经ZURU验货通过后才可出货。
    8.  客户有严格要求，若由工厂导致的罚款ZURU都会向工厂收回。</t>
  </si>
  <si>
    <t>4500209239-20</t>
  </si>
  <si>
    <t>8/7完成</t>
  </si>
  <si>
    <t>日期码格式： ZURU INC(BVI) 标准格式 日期：按实际生产日期
Packaging Info: 
77772GQ2: MA英语UPC版本收缩膜( MA首选1L，如无1L可用多语且含英语的配套多语包装) +客版PDQ（翻单PO#4500200163） +客制B版收藏指南（收藏指南翻单PO#4
500202802的77869的子件77772）+1张客人通用进口商贴纸（贴纸跟位置图翻单PO#4500193524）+箱唛
配比信息：4 mini vinyls,1 accessory
Removed了 ""Messy &lt;(&gt;&amp;&lt;)&gt; Delicious"两张唱片
Remark: 1.按实际生产日期;
2.出澳大利亚，请按照相应标准生产;</t>
  </si>
  <si>
    <t>4500210567-10</t>
  </si>
  <si>
    <t>欠外箱贴纸SSCC Label</t>
  </si>
  <si>
    <t>Removed了 ""Messy &lt;(&gt;&amp;&lt;)&gt; Delicious""两张唱片</t>
  </si>
  <si>
    <t>日期码格式：ZURU INC(BVI) 标准格式                  日期：按实际生产日期
Packaging Info: 77772GQ1：MA英语UPC版本包装（收缩膜和说明书, MA首选1L，如无1L可用多语且含英语的配套多语包装) +客制PDQ +客制收藏指南（PDQ与收藏指南翻单PO#450019
7999）+外箱贴纸SSCC Label
配比信息：4 mini vinyls,1 accessory
Removed了 ""Messy &lt;(&gt;&amp;&lt;)&gt; Delicious""两张唱片
Remark: 1. 客人要求箱唛不可出现任何手写内容，重量与实际一致且不可手写;
 2. 此单去澳大利亚，请按相应澳新标准生产;
 3. 取消使用TARGET新版封箱胶封顶，外箱全部使用普通透明封箱胶纸(客版胶纸如还有库存，可先消耗库存)；
 4. 外箱需要贴Target SSCC LABEL,客供PDF文档，工厂自行订购。请贴在正唛右下角（一箱一张，贴1面正唛右下角,封箱胶纸不能挡住贴纸内容。)；外箱贴纸距离
外箱边缘应在2cm以上。如果正唛无位置可以贴在侧唛；
 5. SSCC LABEL要求：贴纸内容，条形码印刷不完整/不清晰或有划痕/缺失，贴纸脏污、破损、条形码折叠、翘起、重复或者丢失，以及封箱胶盖住贴纸任何位置的
 ,客户都不能接受，如有发现以上异常，须返工重新贴；
 6. 外箱材质为ZURU标准；
 7. 产品和包装上要有tracking label信息：格式为Zuru标准格式（可以自行调整具体年月日生产日期,避开节假期日）；
 8. SSCC Label 尺寸更新为：4x4 inch。</t>
  </si>
  <si>
    <t>77772GQ1-S002-PRODCC1-3L</t>
  </si>
  <si>
    <t>4500212222-10</t>
  </si>
  <si>
    <t>7/22外箱贴纸SSCC Label</t>
  </si>
  <si>
    <t>客制PDQ +客制收藏指南（PDQ与收藏指南翻单PO#4500197999）+外箱贴纸SSCC Label</t>
  </si>
  <si>
    <t>日期码格式：ZURU INC(BVI) 标准格式                  日期：按实际生产日期
Packaging Info: 77772GQ1：MA英语UPC版本包装（收缩膜和说明书, MA首选1L，如无1L可用多语且含英语的配套多语包装) +客制PDQ +客制收藏指南（PDQ与收藏指南翻单PO#450019
7999）+外箱贴纸SSCC Label
配比信息：4 mini vinyls,1 accessory
Removed了 ""Messy &lt;(&gt;&amp;&lt;)&gt; Delicious""两张唱片
Remark: 1. 客人要求箱唛不可出现任何手写内容，重量与实际一致且不可手写;
 2. 此单去澳大利亚，请按相应澳新标准生产; 如产品含纽扣电池出货, 包装前面和说明书上需加纽扣电池警语贴纸
 3. 取消使用TARGET新版封箱胶封顶，外箱全部使用普通透明封箱胶纸(客版胶纸如还有库存，可先消耗库存)；
 4. 外箱需要贴Target SSCC LABEL,客供PDF文档，工厂自行订购。请贴在正唛右下角（一箱一张，贴1面正唛右下角,封箱胶纸不能挡住贴纸内容。)；外箱贴纸距离
外箱边缘应在2cm以上。如果正唛无位置可以贴在侧唛；
 5. SSCC LABEL要求：贴纸内容，条形码印刷不完整/不清晰或有划痕/缺失，贴纸脏污、破损、条形码折叠、翘起、重复或者丢失，以及封箱胶盖住贴纸任何位置的
 ,客户都不能接受，如有发现以上异常，须返工重新贴；
 6. 外箱材质为ZURU标准；
 7. 产品和包装上要有tracking label信息：格式为Zuru标准格式（可以自行调整具体年月日生产日期,避开节假期日）；
 8. SSCC Label 尺寸更新为：4x4 inch。</t>
  </si>
  <si>
    <t>4500207828-30</t>
  </si>
  <si>
    <t>8/9完成</t>
  </si>
  <si>
    <t>8/6空运</t>
  </si>
  <si>
    <t>7/7 更新确认</t>
  </si>
  <si>
    <t>6/26UPC贴纸</t>
  </si>
  <si>
    <t>日期码格式：ZURU INC(BVI) 标准格式 日期：
Packaging Info: 1. 产品MA UPC包装（优先1L）出美国
2. 客人指定箱唛排版
3. 配比4 mini vinyls,1 accessory
4. 要加UPC贴纸，覆盖原来的产品UPC，UPC贴纸的UPC为193052118721
5. 此单走空运，请确保在CRD8/3这天，货好+完成验货，验货通过。
Remark: 出货前 Zuru QC 验货</t>
  </si>
  <si>
    <t>ZB06834-8.17</t>
  </si>
  <si>
    <t>4500207828-40</t>
  </si>
  <si>
    <t>ZB06835-8.17</t>
  </si>
  <si>
    <t>4500202803-10</t>
  </si>
  <si>
    <t>7/14外箱贴纸SSCC Label+一张防盜贴纸(贴纸以及防盜贴纸位置图翻单PO#4500193539</t>
  </si>
  <si>
    <t>客制收藏指南（PDQ与收藏指南翻单PO#4500197999</t>
  </si>
  <si>
    <t>日期码格式：ZURU INC(BVI) 标准格式 日期：按实际生产日期
Packaging Info: 77772GQ1:MA英语UPC版本包装（收缩膜和说明书, MA首选1L，如无1L可用多语且含英语的配套多语包装) +一张防盜贴纸(贴纸以及防盜贴纸位置图翻单PO#450019353
9)+客制PDQ+客制收藏指南（PDQ与收藏指南翻单PO#4500197999）+箱唛+外箱贴纸SSCC Label
 配比信息：4 mini vinyls,1 accessory
 Removed了 ""Messy &lt;(&gt;&amp;&lt;)&gt; Delicious""两张唱片
 77869：客制 3L UPC 彩盒包装 + 箱唛 + 外箱贴纸SSCC Label
 子件77772: MA英语UPC版本包装（收缩膜和说明书, MA首选1L，如无1L可用多语且含英语的配套多语包装) +B版客制收藏指南（收藏指南翻单PO#4500202802）
 子件77794: MA英语UPC版本包装（收缩膜和说明书, MA首选1L，如无1L可用多语且含英语的配套多语包装) +1张MA锂电池黑白警语书纸（书纸翻单PO#4500193539）
 2PK 77772( remove Messy &lt;(&gt;&amp;&lt;)&gt; Delicious vinyl minis) + 77794 PLAYSET COMBO IN COLOR BOX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请注意此订单与AU PO#4500202802一起合并计算</t>
  </si>
  <si>
    <t>4500202802-10</t>
  </si>
  <si>
    <t>日期码格式：ZURU INC(BVI) 标准格式 日期：按实际生产日期
Packaging Info: 77772GQ1:MA英语UPC版本包装（收缩膜和说明书, MA首选1L，如无1L可用多语且含英语的配套多语包装) +一张防盜贴纸(贴纸以及防盜贴纸位置图翻单PO#450019353
9)+客制PDQ+客制收藏指南（PDQ与收藏指南翻单PO#4500197999）+箱唛+外箱贴纸SSCC Label
 配比信息：4 mini vinyls,1 accessory
 Removed了 ""Messy &lt;(&gt;&amp;&lt;)&gt; Delicious""两张唱片
 77869：客制 3L UPC 彩盒包装 + 箱唛 + 外箱贴纸SSCC Label
 子件77772: MA英语UPC版本包装（收缩膜和说明书, MA首选1L，如无1L可用多语且含英语的配套多语包装) +B版客制收藏指南（收藏指南翻单PO#4500202802）
 子件77794: MA英语UPC版本包装（收缩膜和说明书, MA首选1L，如无1L可用多语且含英语的配套多语包装) +1张MA锂电池黑白警语书纸（书纸翻单PO#4500193539）
 2PK 77772( remove Messy &lt;(&gt;&amp;&lt;)&gt; Delicious vinyl minis) + 77794 PLAYSET COMBO IN COLOR BOX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请注意此订单与NZ PO#4500202803一起合并计算</t>
  </si>
  <si>
    <t>KMART  AUSTRALIA  LTD(NEW  ZEALAND)</t>
  </si>
  <si>
    <t>4500209731-10</t>
  </si>
  <si>
    <t>一张防盜贴纸(贴纸以及防盜贴纸位置图翻单PO#450019353+7/13外箱贴纸SSCC  Label</t>
  </si>
  <si>
    <t>B版客制收藏指南（收藏指南翻单PO#4500202802）</t>
  </si>
  <si>
    <t>日期码格式：ZURU INC(BVI) 标准格式 日期：按实际生产日期
Packaging Info: 77772GQ1:MA英语UPC版本包装（收缩膜和说明书, MA首选1L，如无1L可用多语且含英语的配套多语包装) +一张防盜贴纸(贴纸以及防盜贴纸位置图翻单PO#450019353
9)+客制PDQ（PDQ翻单PO#4500197999）+客制B版收藏指南（收藏指南翻单PO#4500202802的77869的子件77772）+箱唛+外箱贴纸SSCC Label
配比信息：4 mini vinyls,1 accessory
Removed了 """"Messy &lt;(&gt;&amp;&lt;)&gt; Delicious""""两张唱片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10.所有带纽扣电池的产品都需要在产品包装以及说明书上贴纽扣电池警告语贴纸
此单需要与AU PO#4500209728一起合并计算</t>
  </si>
  <si>
    <t>Louise  Lu</t>
  </si>
  <si>
    <t>KMART  AUSTRALIA  LTD</t>
  </si>
  <si>
    <t>4500209728-10</t>
  </si>
  <si>
    <t>日期码格式：ZURU INC(BVI) 标准格式 日期：按实际生产日期
Packaging Info: 77772GQ1:MA英语UPC版本包装（收缩膜和说明书, MA首选1L，如无1L可用多语且含英语的配套多语包装) +一张防盜贴纸(贴纸以及防盜贴纸位置图翻单PO#450019353
9)+客制PDQ（PDQ翻单PO#4500197999）+客制B版收藏指南（收藏指南翻单PO#4500202802的77869的子件77772）+箱唛+外箱贴纸SSCC Label
配比信息：4 mini vinyls,1 accessory
Removed了 """"Messy &lt;(&gt;&amp;&lt;)&gt; Delicious""""两张唱片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10.所有带纽扣电池的产品都需要在产品包装以及说明书上贴纽扣电池警告语贴纸
此单需要与NZ PO#4500209731一起合并计算</t>
  </si>
  <si>
    <t>COSTCO WHOLESALE CANADA LTD</t>
  </si>
  <si>
    <t>4500200043-10</t>
  </si>
  <si>
    <t>7/22号完成，7/25东莞完成</t>
  </si>
  <si>
    <t>2026/8/11第三方验货,2026/7/29抽板测试10%,</t>
  </si>
  <si>
    <t>日期码格式：ZURU INC(BVI) 标准格式 日期：按实际生产日期
Packaging Info: 客版包装: 客版彩盒+ 客版PDQ+客版收缩膜+客版收藏指南+客版说明书+客版纸袋 等其他内包材
Remark: 77896SLT:S001-MINI BRANDS-VINYLS-SERIES 1-1PK PLAYSET AND 3PK CAPSULES-COMBO IN COLOR BOX,120PCS/DISPLAY/SLIP SHEET
1. 所有日期码印在彩盒上，产品上也需要印日期码. 按实际生产日期，ZURU 标准版格式的日期码。
2. 客版包装: 客版彩盒+ 客版PDQ+客版收缩膜+客版收藏指南+客版说明书+客版纸袋 等其他内包材
3. 纸箱唛头：纸箱四面，正唛和背面两面都需印刷，其他2面侧面留空,按照箱唛要求排版。
4. 确保展示架在入外箱的时候一定要正面对着有印刷箱唛的那面,不可以装反。
5. 此单是首单出货数量4320pcs, 2026/7/22安排做10%抽版测试，最晚2026/8/5完成100%大货安排第三方验货
6. 大货样板:工厂需预留至少6整套测试样用于抽板+3pcs封样（1pc工厂留底待第三方验货使用+2pc寄深圳办公室，需给客人留底)+ 1pc大货样寄深圳办公室拍照用
注意: 首单10%货好时需要安排第三方抽板测试,一般需要7-10 working day 做测试, 当天ITS会在大货抽大货样,测试所需样品以及封样(第三方验货时要用). 大货
样需由工厂寄到深圳office, 由ZURU跟单再转寄客户.待工厂100%完货之后需安排第三方验货, 一般是在ZURU QC验完货之后安排第三方验货(需要同时拿到pass 测
试报告方可进行).</t>
  </si>
  <si>
    <t>RIALTO  SPA</t>
  </si>
  <si>
    <t>4500212105-40</t>
  </si>
  <si>
    <t>7/6进口商贴纸（含意大利环保标）</t>
  </si>
  <si>
    <t>日期码格式：ZURU  INC(BVI)  标准格式                                    日期：按实际生产日期
Packaging Info: 
【行项目310】
77772GQ2：最新MA3L  EAN收缩膜+  MA23L说明书+MA5L  收藏指南  +    MA3L  PDQ+  进口商贴纸（含意大利环保标）
Remark: 1.  此单出意大利，需要满足EU标准，通过ZURU验货即可；
   2.  产品均符合EU微塑料法规要求：不能含有微塑料/闪粉符合欧规，BOB系列要符合欧洲要求不含亚硝酸版本;  XShot  Hyper系列，统一出EN71版本。
   3,    SMASHERS  或含Slime产品，所有化合物使用无硼或者低硼版本出意大利。#17601需要出NS版本。
4,  带电池产品需要带上最新WEEE29L欧洲通用电池回收说明书。产品里如果含干燥剂，请附上干燥剂14L说明书。
5,  意大利订单包装彩卡请确保含法规要求的环保回收logo和意大利语警语，如果说明书有文字使用说明，需要有意大利语使用说明。
6，电池产品请确保使用新说明书以及新标识的电池以符合最新(EU)  2023/1542法规    （增加制造商信息，电池种类，制造商地址，电池重量，化学组成，可用的灭
火器，浓度重量占比&gt;0. 1%的关键原材料，二维码），如果电池不含这些信息，也需要确保电池说明书含这些信息。</t>
  </si>
  <si>
    <t>Jade  Wang</t>
  </si>
  <si>
    <t>0005606733</t>
  </si>
  <si>
    <t>4500214817-50</t>
  </si>
  <si>
    <t>湖南改箱</t>
  </si>
  <si>
    <t>8/12 BV验货</t>
  </si>
  <si>
    <t>日期码格式：ZURU INC(BVI) 标准格式                  日期：按实际生产日期
Packaging Info: 77772GQ3-S001
1.包装要求：
客版 1L new UPC 收缩膜+MA 5L A版收藏指南+MA 23L A版说明书+MA A版纸袋+客版1L PDQ，翻单：4500214410
消耗WM US取消订单物料
New UPC number:193052118721
每pcs产品上要贴1张RFID贴纸，贴纸由ZURU提供，贴纸位置请严格按照我们签回的签板；
Remark: 77772GQ3-S001
1.包装要求：
客版 1L new UPC 收缩膜+MA 5L A版收藏指南+MA 23L A版说明书+MA A版纸袋+客版1L PDQ，翻单：4500214410
消耗WM US取消订单物料
New UPC number:193052118721
每pcs产品上要贴1张RFID贴纸，贴纸由ZURU提供，贴纸位置请严格按照我们签回的签板；
 2. 外箱印刷带条码的RFID箱唛：RFID紫色色带+WM Dept.图标+RFID图标+ITF-14条码，四面右下角印刷ZURU logo, ITFF条码只印刷在正唛一面，在加印的时候确保
条形码能扫描出来，外箱侧面任一角落加印："MADE IN CHINA" 字样；
 3. 在产品上和包装上要有日期码、以及要有MADE IN CHINA和ZURU字样；
 4. 产品如有扎带口要剪平，不能刮手。
 5. 此单需要验货，请多备料
 6. 此单以loose carton出货，16pcs/PDQ/CTN</t>
  </si>
  <si>
    <t>0005606747</t>
  </si>
  <si>
    <t>4500214817-70</t>
  </si>
  <si>
    <t>0005606742</t>
  </si>
  <si>
    <t>4500214817-60</t>
  </si>
  <si>
    <t>0005606727</t>
  </si>
  <si>
    <t>4500214817-80</t>
  </si>
  <si>
    <t>4500200090-10</t>
  </si>
  <si>
    <t>4500208745-30</t>
  </si>
  <si>
    <t>12唱片机+36唱片球混装展示架</t>
  </si>
  <si>
    <t>8/19截SI</t>
  </si>
  <si>
    <t>5/28 颜色标签+6/26加UPC贴纸</t>
  </si>
  <si>
    <t>日期码格式：ZURU INC(BVI) 标准格式 日期：
Packaging Info: 1. 客版展示架，可以跟其他客户合并订购物料，展示架AW翻单号4500200392，产品MA UPC包装（优先1L）出美国
2. 客人指定箱唛排版
3. ratio: 77772: 4 mini vinyls,1 accessory
4.Loading: W3 * D3 *H4= 36 pcs 77772 capsule
W2 * D3 * H 2= 12pcs 77794 playset
5.外箱要加颜色标签，标签只贴两面正唛，不要遮挡住其他唛头内容，谢谢。
6.77772需要加UPC贴纸，UPC条码应该为193052118721，覆盖原来的产品UPC，贴纸跟单提供
Remark: 出货前 Zuru QC 验货</t>
  </si>
  <si>
    <t>0005606748</t>
  </si>
  <si>
    <t>4500214828-10</t>
  </si>
  <si>
    <t>8/11 BV验货</t>
  </si>
  <si>
    <t>日期码格式：ZURU INC(BVI) 标准格式 日期：按实际生产日期 Tracking Code:
Packaging Info: 1.包装要求：
 客版 1L new UPC 收缩膜+MA 5L A版收藏指南+MA 23L A版说明书+MA A版纸袋+客版1L PDQ，翻单：4500214410
 消耗WM US取消订单物料
 New UPC number:193052118721
每pcs产品上要贴1张RFID贴纸，贴纸由ZURU提供，贴纸位置请严格按照我们签回的签板；
Remark: 1.包装要求：
 客版 1L new UPC 收缩膜+MA 5L A版收藏指南+MA 23L A版说明书+MA A版纸袋+客版1L PDQ，翻单：4500214410
 消耗WM US取消订单物料
 New UPC number:193052118721
每pcs产品上要贴1张RFID贴纸，贴纸由ZURU提供，贴纸位置请严格按照我们签回的签板；
 2. 外箱印刷带条码的RFID箱唛：RFID紫色色带+WM Dept.图标+RFID图标+ITF-14条码，四面右下角印刷ZURU logo, ITFF条码只印刷在正唛一面，在加印的时候确保
 条形码能扫描出来，外箱侧面任一角落加印："MADE IN CHINA" 字样；
 3. 每个slip sheet上面贴一张艾利贴纸（不干胶贴纸）和一张普通贴纸（A4纸），slip sheet打印的普通贴纸的尺寸不能比艾利贴纸小，普通贴纸内容见附件；
 3. 在产品上和包装上要有日期码、以及要有MADE IN CHINA和ZURU字样；
 4. 产品如有扎带口要剪平，不能刮手。
 5. 此单需要验货，请多备料
 6. 此单以slip sheet出货，960pcs/60CTNS/Slip sheet
 WM PO#0005606732/0005606723/0005606722/0005606735因为出空运改走loose carton，16pcs/PDQ/CTN</t>
  </si>
  <si>
    <t>ZB07563-8.17</t>
  </si>
  <si>
    <t>0005606719</t>
  </si>
  <si>
    <t>4500214828-20</t>
  </si>
  <si>
    <t>4500201519-20</t>
  </si>
  <si>
    <t>翻单4500195260</t>
  </si>
  <si>
    <t>防盜贴纸+两张张覆盖PDQ上唱片的贴纸+两张张覆盖收藏指南上唱片的贴纸+一张覆盖PDQ上数字""45""的贴纸+一张覆盖收藏指南上数字""45""的贴纸(贴纸以及防盜贴纸位置图翻单PO#4500193539)+箱唛+外箱贴纸SSCC Label</t>
  </si>
  <si>
    <t>外箱日期码2081326</t>
  </si>
  <si>
    <t>日期码格式：2081326 日期： Tracking Code:
Packaging Info:  77772GQ2:MA3L EAN 吸塑膜+1张贴纸( 翻PO4500195260)+1张法国回收logo贴纸+MA配件袋子+MA5L收藏指南+MA23L组装说明书+MA 3L展示盒
Remark: 1.此票无需客户验货
 2.所有出口法国的产品, 法规规定禁止在包装和共公众用的印刷品中使用矿物油中含有的物质, 包装印刷油墨中含有的MOAH/MOSH的质量浓度不能超过1%, 否则出货
 到法国被抽检出现问题, 供应商需要对此负责;
3.出口法国请确保产品符合EU微塑料法规，包装需显示法国回收logo;</t>
  </si>
  <si>
    <t>FALL</t>
  </si>
  <si>
    <t>4500203219-60</t>
  </si>
  <si>
    <t>6/23UPC 贴纸</t>
  </si>
  <si>
    <t xml:space="preserve">日期码格式：ZURU INC(BVI) 标准格式                  日期：按实际生产日期
Packaging Info: 1.优先多语 MA UPC或者3L/5L MA EAN 包装
2.请确保包装上的条形码是UPC，如果是babyUPC、需要用mother UPC覆盖，如有不一致，请及时提出。谢谢!
77794UQ1 MA多语EAN包装+UPC贴纸+MA 多语说明书+MA多语收藏指南+MA 多语PDQ +进口商贴纸+箱唛
3 .MA PDQ 优先用3L,MA 只有1L版本的情况下就用1L PDQ
4.此单MA 3L UPC/EAN 包装（EAN 包装需要用UPC贴纸覆盖）+箱唛
Remark: 
77772GQ2  4  mini vinyls,1 accessory
</t>
  </si>
  <si>
    <t>4500203225-120</t>
  </si>
  <si>
    <t>8/4完成，8/7东莞完成</t>
  </si>
  <si>
    <t>6/16 UPC 贴纸</t>
  </si>
  <si>
    <t>日期码格式：ZURU INC(BVI) 标准格式                  日期：按实际生产日期
Packaging Info: 1.优先多语 MA UPC或者3L/5L MA EAN 包装
2.请确保包装上的条形码是UPC，如果是babyUPC、需要用mother UPC覆盖，如有不一致，请及时提出。谢谢!
77772 MA 多语EAN 包装+UPC 贴纸+MA 多语说明书/+MA 多语收藏指南+箱唛
Remark:
MEC426 77794: RECHARGEABLE LITHIUM BATTERY(INCLUDED) 77772: 4  mini vinyls,1 accessory
 77772 N/A but with electric circuit(EU/UK WEEE IM is required) 4  mini vinyls,1 accessory
 77794 RECHARGEABLE LITHIUM BATTERY(INCLUDED)</t>
  </si>
  <si>
    <t>05754-BOD-07FALL</t>
  </si>
  <si>
    <t>4500203222-10</t>
  </si>
  <si>
    <t>8/6 交仓</t>
  </si>
  <si>
    <t>日期码格式：ZURU INC(BVI) 标准格式 日期：按实际生产日期
Packaging Info: 1.优先多语 MA UPC或者3L/5L MA EAN 包装
2.请确保包装上的条形码是UPC，如果是babyUPC、需要用mother UPC覆盖，如有不一致，请及时提出。谢谢!
 3 .MA PDQ 优先用3L,MA 只有1L版本的情况下就用1L PDQ
 4.此单MA 3L UPC/EAN 包装（EAN 包装需要用UPC贴纸覆盖）+箱唛
 MEC426:MA多语EAN包装+mother UPC 193052101600 贴纸+MA 多语说明书+MA多语收藏指南+箱唛
Remark:
 77794: RECHARGEABLE LITHIUM BATTERY(INCLUDED)
 77773GQ2 3PCS AG13 BATTERIES(INCLUDED) "Rare: 1/48
 Common: Equal ratio"
 77843GQ2 SUSHI and RAINBOW CAKE(Rare) without batteries, other assortments: 3PCS AG13 BATTERIES(INCLUDED) Ratio: PIZZA: HAMBURGER: PANCAKES: BUB
 BLE TEA: Matcha TEA: TACO: SUSHI: DONUT: Charcuterie Board: RAINBOW CAKE(Rare)=10.88%: 10.88%: 10.88%: 10.88%: 10.88%: 10.88%: 10.88%: 10.88%:
 10.88%: 2.08%=68:68:68:68:68:68:68:68:68:13
 77673 3PCS AG13 BATTERIES(INCLUDED) Fixed Collection
 9574 3PCS AAA BATTERIES(NOT INCLUDED) 2pcs baby capybara: 3pcs baby capybara= 5:1
 15789UQ1 7 Assortments; Rare assortment 1/24, others even ratio, others even ratio</t>
  </si>
  <si>
    <t>4500205047-20</t>
  </si>
  <si>
    <t>2.此单有第三方监柜，不用额外准备备品，会在大货中每款拆1pc，拆了包装的产品会由监装员用客供胶带封好或在外箱上写上""opened by telescope"</t>
  </si>
  <si>
    <t>7/22进口商贴纸+7/10 寄出价标贴纸+保证书+箱唛，包装/说明书都需要贴一张贴纸，客版彩盒翻单PO4500199646</t>
  </si>
  <si>
    <t>日期码格式：ZURU INC(BVI) 标准格式                  日期：按实际生产日期
Packaging Info: 
77869:客版彩盒+进口商贴纸+价标贴纸+保证书+箱唛，包装/说明书都需要贴一张贴纸，客版彩盒翻单PO4500199646
Remark: 1.此单价格贴纸（ZURU定购).-无位置图，价标贴纸贴于产品背面右上角空白处（不遮挡西班牙语处），如有特殊情况，请重新确认位置图。
2.此单有第三方监柜，不用额外准备备品，会在大货中每款拆1pc，拆了包装的产品会由监装员用客供胶带封好或在外箱上写上""opened by telescope"
3.如进口商贴纸和UPC贴纸合并为一张，请忽略UPC贴纸文档的需求</t>
  </si>
  <si>
    <t>CRG</t>
  </si>
  <si>
    <t>ZU04-26</t>
  </si>
  <si>
    <t>4500210679-10</t>
  </si>
  <si>
    <t>6/25进口商贴纸+UPC贴纸</t>
  </si>
  <si>
    <t>日期码格式：ZURU  INC(BVI)  标准格式                                    日期：按实际生产日期
Packaging Info: 77772GQ2/77794UQ1:MA  多语包装+进口商贴纸+UPC贴纸+箱唛</t>
  </si>
  <si>
    <t xml:space="preserve"> ZMPO260853</t>
  </si>
  <si>
    <t xml:space="preserve"> ZMPO260853-10</t>
  </si>
  <si>
    <t>25套散件</t>
  </si>
  <si>
    <t>Remark;大货版本/只需要左图中指定3款散件/麻烦用胶袋分装好一款为一袋;备注： 收到样品订单后尽快安排 ，谢谢！</t>
  </si>
  <si>
    <t>4500206879-10</t>
  </si>
  <si>
    <t>ZMPO260684</t>
  </si>
  <si>
    <t>ZMPO260684-10</t>
  </si>
  <si>
    <t>Remark
只需要成品40PCS
备注： 收到样品订单后尽快安排 ，谢谢！</t>
  </si>
  <si>
    <t>Sally LI</t>
  </si>
  <si>
    <t>JUGUETIBICI,  S.A.  DE  C.V.</t>
  </si>
  <si>
    <t>4500209903-60</t>
  </si>
  <si>
    <t>此单有监柜，每款请多备1pc样板用于监装</t>
  </si>
  <si>
    <t>8/7截 SI</t>
  </si>
  <si>
    <t>7/3UPC  贴纸+进口商贴纸+保证书</t>
  </si>
  <si>
    <t>日期码格式：ZURU INC(BVI) 标准格式 日期：按实际生产日期
Packaging Info: 
77772GQ2：MA 3L PDQ包装+MA 3L EAN包装+ UPC 贴纸+进口商贴纸+箱唛
Remark: 1. 此单有监柜，每款请多备1pc样板用于监装</t>
  </si>
  <si>
    <t>ZHUYU(SHENZHEN)TRADING  CO.,LTD.</t>
  </si>
  <si>
    <t>中国</t>
  </si>
  <si>
    <t>4500206065-20</t>
  </si>
  <si>
    <t>77772GQ1-S004-PKC</t>
  </si>
  <si>
    <t>唱片球中文单</t>
  </si>
  <si>
    <t>欠3C证书，货期待复</t>
  </si>
  <si>
    <t>货期待定</t>
  </si>
  <si>
    <t>7/14双坑纸箱</t>
  </si>
  <si>
    <t>8+年龄贴纸+防窜贴</t>
  </si>
  <si>
    <t>日期码格式：ZURU INC(BVI) 标准格式 日期：按实际生产日期 Tracking Code:
Packaging Info: 物料要求：
 1.77772GQ1:MA+MA PDQ+中文收藏指南（外挂）+中文组装说明书+8+年龄贴纸+防窜贴
 UPC:193052090065
 77772/77794UQ1 首单 请提供8套大货样
Remark: 2.外箱材质如下：
 1）毛重小于5kg 外箱纸质 K=B 爆破:1000Kpa 边压:4400N/M;
 2）毛重大于5kg 外箱纸质 K636K 爆破:1400Kpa 边压:6300N/M;
 3. 产品/销售包装/外箱日期码要一致，
 4.此产品务必满足国内6P 测试标准，因为可能会被市场监督局抽查，如有问题产生，工厂要负全责
 5. 这张订单做出厂价，我司自行安排车辆去贵司提货，贵司需要配合提供出口报关
 6. 此单所有产品启用防窜码贴纸</t>
  </si>
  <si>
    <t>Dona  Tang</t>
  </si>
  <si>
    <t>77772GQ1-S004-PKC-中文</t>
  </si>
  <si>
    <t>4500206065-10</t>
  </si>
  <si>
    <t>4500204906-10</t>
  </si>
  <si>
    <t xml:space="preserve"> 进口商贴纸/UPC贴纸翻单PO#4500200402</t>
  </si>
  <si>
    <t>日期码格式：ZURU INC(BVI) 标准格式 日期：按实际生产日期
Packaging Info: 77772GQ2: MA 多语包装+进口商贴纸+UPC贴纸+箱唛, 进口商贴纸/UPC贴纸翻单PO#4500200402
Remark:</t>
  </si>
  <si>
    <t>RAMP-S CORPORATION</t>
  </si>
  <si>
    <t>10-26-0020</t>
  </si>
  <si>
    <t>4500204814-10</t>
  </si>
  <si>
    <t>5/9 确认</t>
  </si>
  <si>
    <t>进口商贴纸,贴纸图稿和位置图翻单4500197643</t>
  </si>
  <si>
    <t>日期码格式：ZURU INC(BVI) 标准格式                  日期：按实际生产日期
Packaging Info: MA UPC包装(优先1L)+进口商贴纸,贴纸图稿和位置图翻单4500197643
Remark: 77772GQ2-4  mini vinyls,1 accessory</t>
  </si>
  <si>
    <t>4500206884-10</t>
  </si>
  <si>
    <t>AMAZON  EU  SARL,  NDL  DEUTSCHLAND</t>
  </si>
  <si>
    <t>2CVBPWEN</t>
  </si>
  <si>
    <t>4500208529-10</t>
  </si>
  <si>
    <t>空白外箱（加印带Zuru字样的最新logo，除了邮包盒直接做外箱的产品）+SSCC LABEL一张,无箱唛</t>
  </si>
  <si>
    <t>7/3 SSCC LABEL</t>
  </si>
  <si>
    <t>移除#21唱片，客版3L(3L warning UPC)A彩卡(参考翻单PO#4500198642，新UK地址)</t>
  </si>
  <si>
    <t>日期码格式：ZURU INC(BVI) 标准格式 日期：按实际生产日期
Packaging Info: Amazon DE: 2CVBPWEN
Amazon DE(77876)
1. 77876: 2pk 77772 VINYL into PVC tube,12tubes/ctn; 77772: 移除Lola Young vinyl款; 客版 3L(3L warning 无条码,新UK地址,翻单4500198654)收缩膜+客
版收藏指南(移除Lola Young vinyl款,更新歌手名字)+MA 23L warning A组装黑白说明书+MA其它最新配套包装+客版3L(3L warning UPC)彩卡(新UK地址,翻单450019
8654)+1张贴纸(1张含DE/IT警告语+IT环保标, 贴彩卡, 贴纸翻单PO4500198642)+不带电WEEE C版29L 说明书
2. 验货时间不迟于2026/07/27.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,&lt;(&gt;,&lt;)&gt; 此要求只适用Amazon UK/DE
/FR/ES/IT,不适用Amazon GPE，Amazon GPE无SSCC label, 但是有对应箱唛，需印刷到外箱 。
2.出往UK的产品+包装务必打上UKCA logo ，否则客人会退货且当地会有罚款。Amazon GPE（包含UK/FR/ES/DE/IT）的订单也需满足此要求。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故此请严格把关。Amazon GPE（包含UK/FR/ES/DE/IT）的订单也需满足此要求。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
9. 无论是工厂自检还是ZURU验货，验货报告中必须有产品6面图(正面/背面/左面/右面/顶部/底部，不带包装);
10. 按空海运鉴定报告的要求，只要带锂电池出货，都需要加贴UN贴纸；
11. 所有出往GAS市场(德国/奥地利/瑞士)的电子产品身上需要加字唛，为ZURU FRANCE 地址，需跟包装上的地址一致 (如无电子产品，产品布标有此地址，或产品
太小无法增加可忽略此信息。如产品无法加字唛，需让对应跟单提供产品贴纸资料);（Amazon GPE的订单也需满足此要求）
12. 所有出往GAS德国 (瑞士，奥地利)。水弹枪系列必须使用EN71版本（电子和非电子水弹枪系列都需要符合); 护目镜需打日期码, 格式跟ZURU标准格式一样; 枪
身上增加ZURU FRANCE公司名和地址。使用贴纸和辐射上去都可以。如果有位置，最好增加ZURU Represented by: (此最好翻译德语，如果位置不允许，那么就只增
加ZURU法国和地址)。使用最新的EN71版包装和说明书）。Amazon GPE（包含UK/FR/ES/DE/IT）的订单也需满足此要求。</t>
  </si>
  <si>
    <t>Luna  Lin</t>
  </si>
  <si>
    <t>4500206888-10</t>
  </si>
  <si>
    <t>4500206886-10</t>
  </si>
  <si>
    <t>7/27号完成，7/30东莞完成</t>
  </si>
  <si>
    <t>FB14582</t>
  </si>
  <si>
    <t>4500210400-100</t>
  </si>
  <si>
    <t>C版29L 不含电池出货WEEE说明书</t>
  </si>
  <si>
    <t>移除#21唱片，收藏指南(翻单PO#4500198654)</t>
  </si>
  <si>
    <t>日期码格式：ZURU INC(BVI) 标准格式 日期：按实际生产日期
Packaging Info: 77772GQ1-S002-PRODCC 1L PDQ+MA B版UPC收缩膜+C版29L 不含电池出货WEEE说明书
,移除LOLA YOUNG的MESSY唱片+配套的收藏指南(翻单PO#4500198654)+PDQ需要加贴纸改45为44. 贴纸翻单4500196675+地址贴纸
Remark: "MA版本按工厂现有最新库存即可，订单出英国，请注意检查产品及包装应带UKCA以及CE图标，包装显示ZURU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*所有产品按符合欧洲标准走货，需要是不含微塑料版本 。
*涉及到硼的，如可选择情况下应使用低硼版本 （slime 类别低硼一般低于300ppm)，无选择的应与跟单复核再安排 。
*如果出运产品属于电子类产品需要在ZURU 包装基础上额外添加一张ZURU 标准29L通用WEEE 电子产品说明书,带电池出货的加带电池出货版本通用29L的说明书，不
带电池出货的产品用不带电池出货版本的说明书.
*根据客人最新的包装要求，所有多个PDQ盒子(TQ,UQ,GQ）入1外箱的都需要在PDQ顶部右上角加上数量贴纸标明里面的数量。最小字体：36pts, 字体：Calibri（bo
ld), 具体要求以及位置见文件.
*订单对应客户PO号 ，备注有显示 ，注意分开做货/验货/装柜 ，混装有罚款。
* 大货样： 新款请在CRD前10天寄出每款2整套大货样到罗湖办公室7B Meyya Liu 收，翻单不用寄。"</t>
  </si>
  <si>
    <t>4500206889-10</t>
  </si>
  <si>
    <t>7/29号完成，8/1东莞完成</t>
  </si>
  <si>
    <t>AMAZON  FR</t>
  </si>
  <si>
    <t>3D2O7K5P</t>
  </si>
  <si>
    <t>4500210816-10</t>
  </si>
  <si>
    <t>8/3 交仓</t>
  </si>
  <si>
    <t>空白外箱（加印带Zuru字样的最新logo，除了邮包盒直接做外箱的产品）    +  SSCC  LABEL一张,  无箱唛，MADE  IN  CHINA  外箱只印一正一侧。箱唛资料按照给定的
标准去做即可，无需发回我方再行审批(新标准将另行通知)。</t>
  </si>
  <si>
    <t>6/25外箱贴纸SSCC Label+不带电池C版WEEE说明书</t>
  </si>
  <si>
    <t>日期码格式：ZURU INC(BVI) 标准格式 日期：按实际生产日期
Packaging Info: Amazon FR: 3D2O7K5P
Amazon IT: 77HO2XQA
Amazon FR(77876)/IT(77876)
1.77876: 2pk 77772 VINYL into PVC tube,12tubes/ctn; 77772: 移除Lola Young vinyl款; 客版 3L(3L warning 无条码,新UK地址,翻单4500198654)收缩膜+客版
收藏指南(移除Lola Young vinyl款,更新歌手名字，翻单4500208529)+MA 23L warning A组装黑白说明书+MA其它最新配套包装+客版3L(3L warning UPC)彩卡(新UK
地址,翻单4500198654)+1张贴纸(1张含DE/IT警告语+IT环保标, 贴彩卡, 贴纸翻单PO4500198642)+不带电WEEE C版29L 说明书
2. 验货时间不迟于2026/07/27.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,&lt;(&gt;,&lt;)&gt; 此要求只适用Amazon UK/DE
/FR/ES/IT,不适用Amazon GPE，Amazon GPE无SSCC label, 但是有对应箱唛，需印刷到外箱 。
2.出往UK的产品+包装务必打上UKCA logo ，否则客人会退货且当地会有罚款。Amazon GPE（包含UK/FR/ES/DE/IT）的订单也需满足此要求。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故此请严格把关。Amazon GPE（包含UK/FR/ES/DE/IT）的订单也需满足此要求。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
9. 无论是工厂自检还是ZURU验货，验货报告中必须有产品6面图(正面/背面/左面/右面/顶部/底部，不带包装);
10. 按空海运鉴定报告的要求，只要带锂电池出货，都需要加贴UN贴纸；
11. 所有出往GAS市场(德国/奥地利/瑞士)的电子产品身上需要加字唛，为ZURU FRANCE 地址，需跟包装上的地址一致 (如无电子产品，产品布标有此地址，或产品
太小无法增加可忽略此信息。如产品无法加字唛，需让对应跟单提供产品贴纸资料);（Amazon GPE的订单也需满足此要求）
12. 所有出往GAS德国 (瑞士，奥地利)。水弹枪系列必须使用EN71版本（电子和非电子水弹枪系列都需要符合); 护目镜需打日期码, 格式跟ZURU标准格式一样; 枪
身上增加ZURU FRANCE公司名和地址。使用贴纸和辐射上去都可以。如果有位置，最好增加ZURU Represented by: (此最好翻译德语，如果位置不允许，那么就只增
加ZURU法国和地址)。使用最新的EN71版包装和说明书）。Amazon GPE（包含UK/FR/ES/DE/IT）的订单也需满足此要求。</t>
  </si>
  <si>
    <t>Aria  Zhou</t>
  </si>
  <si>
    <t>77HO2XQA</t>
  </si>
  <si>
    <t>4500210816-20</t>
  </si>
  <si>
    <t>7/3外箱贴纸SSCC Label+不带电池C版WEEE说明书</t>
  </si>
  <si>
    <t>COSTCO WHOLESALE AUSTRALIA</t>
  </si>
  <si>
    <t>4500216779-10</t>
  </si>
  <si>
    <t>77896SLT-77772-S003</t>
  </si>
  <si>
    <t>ITS 10%产中抽板时间：7/24+第三方验货：8/10，原PO#4500209282更新了PO号为4500216779，</t>
  </si>
  <si>
    <t>日期码格式：ZURU INC(BVI) 标准格式                  日期：按实际生产日期
Packaging Info: 77896SLT-S003: S003-MINI BRANDS-VINYL-SERIES 1-1PK PLAYSET AND 3PK CAPSULES(Remove 2minis)-COMBO IN COLOR BOX,120PCS/DISPLAY/SLIP SHEET
1.客版包装: 客版PDQ+球客版收缩膜+球组装说明+客版唱片机玩法说明书+箱唛+MA纸袋 等其他内包材（翻单COSTCO US#4500209267）+客版5L电池说明书+77896客版
Remark: 1. 日期码印在购物车彩盒包装上，以及所有化学品内包材打日期码(色粉,胶件不打)，按实际生产日期，ZURU标准版格式的日期码；
 2. 纸箱唛头：纸箱四面，正唛和背面两面都需印刷，其他2面侧面留空；按照箱唛要求排版，请注意箱唛印刷效果要我们确认后才可印刷大货；
 3. 确保Display在入外箱时一定要正面对着有印刷箱唛的那面，不可以装反；
 4. 此单出澳大利亚，请按澳洲标准生产并满足当地法规要求；如产品含纽扣电池出货, 包装前面和说明书上需加纽扣电池警语信息；</t>
  </si>
  <si>
    <t>77896SLT-S003</t>
  </si>
  <si>
    <t>4500209281-10</t>
  </si>
  <si>
    <t>抽板时间按7/24, 第三方验货8/10</t>
  </si>
  <si>
    <r>
      <rPr>
        <sz val="12"/>
        <color rgb="FF000000"/>
        <rFont val="宋体"/>
        <charset val="134"/>
      </rPr>
      <t>日期码格式： ZURU INC(BVI) 标准格式 日期：按实际生产日期
Packaging Info: 77896SLT-S003:S003-MINI BRANDS-VINYL-SERIES 1-1PK PLAYSET AND 3PK CAPSULES</t>
    </r>
    <r>
      <rPr>
        <sz val="12"/>
        <color rgb="FFFF0000"/>
        <rFont val="宋体"/>
        <charset val="134"/>
      </rPr>
      <t>(Remove 2minis</t>
    </r>
    <r>
      <rPr>
        <sz val="12"/>
        <color rgb="FF000000"/>
        <rFont val="宋体"/>
        <charset val="134"/>
      </rPr>
      <t>)-COMBO IN COLOR BOX,120PCS/DISPLAY/SLIP SHEET
1.</t>
    </r>
    <r>
      <rPr>
        <sz val="12"/>
        <color rgb="FFFF0000"/>
        <rFont val="宋体"/>
        <charset val="134"/>
      </rPr>
      <t>客版包装: 客版PDQ+球客版收缩膜+球组装说明+客版唱片机玩法说明书+箱唛+MA纸袋 等其他内包材（翻单COSTCO US#4500209267)+客版5L电池说明书+77896客版彩盒（新资料）+77772客版收藏指南（新资料）(注意：彩盒+收藏指南等包装信息上显示为"43"张唱片)</t>
    </r>
    <r>
      <rPr>
        <sz val="12"/>
        <color rgb="FF000000"/>
        <rFont val="宋体"/>
        <charset val="134"/>
      </rPr>
      <t xml:space="preserve">
2.配比信息：77772: 4 mini vinyls(except Messy +Delicious vinyl minis),1 accessory
3.移除了 ""Messy 和 Delicious""两张唱片
Remark: 1. 所有日期码印在彩盒上，产品上也需要印日期码. 按实际生产日期，ZURU 标准版格式的日期码。
2. 纸箱唛头：纸箱四面，正唛和背面两面都需印刷，其他2面侧面留空,按照箱唛要求排版。外箱需要加贴UN3481贴纸
3. 确保展示架在入外箱的时候一定要正面对着有印刷箱唛的那面,不可以装反。
4.AU电商和AU Ecom(PO#4500209281)+NZ(PO#4500209282)拼柜
货：4,320 pcs=AU:3960units+ AU E-com: 120 Units + NZ: 240 Units ,All ship to AU together as 1*40HQ
</t>
    </r>
    <r>
      <rPr>
        <sz val="12"/>
        <color rgb="FFFF0000"/>
        <rFont val="宋体"/>
        <charset val="134"/>
      </rPr>
      <t>5.需要ITS 10%产中抽板时间：7/24+第三方验货：8/10</t>
    </r>
  </si>
  <si>
    <t>4500193076-50</t>
  </si>
  <si>
    <t>8/7 截关</t>
  </si>
  <si>
    <t>6/30 更新UPC贴纸</t>
  </si>
  <si>
    <t>日期码格式： 标准格式 日期：按实际生产日期
Packaging Info:
77772GQ2 MA 3L EAN版本+UPC贴纸193052090065
Remark: 出加拿大
有价格贴纸 (Low Tack ,must peel off easily without leaving adhesive residue)
有shipping label (贴4面）
Zuru验货.日期跟踪码：产品外包装及产品本身都必须有日期跟踪码，ZURU标准格式日期码。</t>
  </si>
  <si>
    <t>INTERTOYS B.V.</t>
  </si>
  <si>
    <t>荷兰</t>
  </si>
  <si>
    <t>4500203837-10</t>
  </si>
  <si>
    <t>6/11款号条码贴纸+警告语贴纸+C版WEEE不带电池走货说明书;</t>
  </si>
  <si>
    <t>日期码格式：ZURU INC(BVI) 标准格式 日期：按实际生产日期
Packaging Info: 77772GQ2:3L MA EAN收缩膜+款号条码贴纸+警告语贴纸+C版WEEE不带电池走货说明书; MA说明书/指南;MA PDQ
Remark: 1. STD配比
2. 出欧洲，微塑料需合规（如item本身不含微塑料 则忽略此要求）</t>
  </si>
  <si>
    <t>4500208804-10</t>
  </si>
  <si>
    <t>8/16截SI</t>
  </si>
  <si>
    <t>PDQ底部贴纸-35063389172320+WEEE 29L 不带电池说明书</t>
  </si>
  <si>
    <t>日期码格式：ZURU INC(BVI) 标准格式                  日期：按实际生产日期
Packaging Info: 77772GQ2: MA UPC 最新包装-产品条码-193052090065+PDQ 底部贴纸-35063389172320+WEEE 29L 不带电池说明书最新版+客版收藏指南（翻单4500200925）;配比：4
 mini vinyls(remove Lola Young vinyl),1 accessory；
cessory；
Remark: 1.订单出英国，请注意检查产品及包装应带CE/UKCA图标，包装需要显示ZURU UKLTD/ZURU France地址信息，QC同事请查核，如有问题与跟单确认。
2.生产日期按实际的（法定工作日），按ZURU标准格式即可，并需要在出货前提供每个产品外包上对应的生产日期明细
3.请注意所有订单都需要经过ZURU QC验货加提供客版自检报告审核且通过后方可出货
4.不接受一个款有多个条码，存在这个情况请让ZURU提供条码贴纸
5.外箱上的条码请确保清晰可扫描，有PDQ，需要在PDQ底部贴一张带条码并可扫描的贴纸(ZURU 跟单提供模板）。
6.所有产品按符合欧洲标准走货，微塑料需合规并增加IFUD声明，含电池的需要增加WEEE说明书。
7.请额外准备一套大货样</t>
  </si>
  <si>
    <t>288R3L5G</t>
  </si>
  <si>
    <t>4500216420-10</t>
  </si>
  <si>
    <t>Domestic PO#4500195685 - 转剩余的1608pcs.
 4500200679 - 1896pcs.
 4500200682 - 2508pcs.
 4500200707 - 7392pcs.
 4500204396 - 1188pcs.
 4500205973 -  1176pcs.
 4500205996 - 1560pcs.
以上订单转单后，新单4500216420还差 2352pcs.</t>
  </si>
  <si>
    <t>SSCC贴纸</t>
  </si>
  <si>
    <t>日期码格式：ZURU INC(BVI) 标准格式 日期：按实际生产日期
Packaging Info: 77876 - 客户新下单PO288R3L5G，用于取代返工后的如下订单。返工后的产品需要加UPC贴纸 (新UPC-193052118752)，覆盖原铜板纸上的旧UPC。外箱的SSCC贴纸需
要用笔划掉后重新贴对应新单的SSCC贴纸。UPC贴纸资料翻单4500214290
Domestic PO#4500195685 - 转剩余的1608pcs.
4500200679 - 1896pcs.
4500200682 - 2508pcs.
4500200707 - 7392pcs.
4500204396 - 1188pcs.
4500205973 - 1176pcs.
4500205996 - 1560pcs.
以上订单转单后，新单4500216420还差 2352pcs.
注意：此单走空运，不得延期！
Remark: 1. Amazon MDDP订单，出口US。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</si>
  <si>
    <t>ZB07401/ZB07417/ZB07418-8.17</t>
  </si>
  <si>
    <t>89ZXRAWU</t>
  </si>
  <si>
    <t>4500214522-10</t>
  </si>
  <si>
    <t>由4500204288-（10-80）-（270-350）转单4500214522</t>
  </si>
  <si>
    <t>8/4交仓</t>
  </si>
  <si>
    <t>日期码格式：ZURU  INC(BVI)  标准格式                                    日期：按实际生产日期
Packaging Info: #77876:2PK  MA  3L  UPC版#77772入PVC桶，3L无UPC客版收缩膜，客版收缩膜和3L铜版纸图稿翻单4500192506.（两个球的配比不能重复）。77876需要返工移除两款唱
片（具体唱片以SP通知为准），返工后的产品需要加UPC贴纸  (新UPC-193052118752)，覆盖原铜板纸上的旧UPC。取代PO#4500204288  原订单的行项目，总数量不变
。
Remark: 1.  Amazon  FOB订单，出口CA。外箱最长边不能超过25"    （超过了，case  pack只能为1），不符合要求的大货，   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 邮包盒上要印刷日期码</t>
  </si>
  <si>
    <t>7N8NXR9J</t>
  </si>
  <si>
    <t>4500214522-20</t>
  </si>
  <si>
    <t>7GLM9Z1H</t>
  </si>
  <si>
    <t>4500214522-30</t>
  </si>
  <si>
    <t>2PCRI9PQ</t>
  </si>
  <si>
    <t>4500214522-40</t>
  </si>
  <si>
    <t>2636QHXQ</t>
  </si>
  <si>
    <t>4500214522-50</t>
  </si>
  <si>
    <t>BJ'S WHOLESALE CLUB, INC.</t>
  </si>
  <si>
    <t>4500208952-10</t>
  </si>
  <si>
    <t>77869TQ1-77772-S001</t>
  </si>
  <si>
    <t>1pcs唱片机+2pcs球混装彩盒（托盘）</t>
  </si>
  <si>
    <t>7/13 第三方 抽办A. 抽板数量：由客人指定第三方实验室在大货中预计会随机抽取每款/每色各6套大货样(带包装)，现场进行密封后送去测试；
B. 如产品是盲盒款，还需额外准备光身办小公仔每款/每色 各3pcs + 足够的干油办同抽板样一并寄出；
备注：  抽完大货样板后 工厂需自行补充抽取的大货数量；另外，还需要再备多3套大货样板到时候寄给客户。所需的样板数量不包含在订单数量里，做货请预备好
这些样板数量。</t>
  </si>
  <si>
    <t>5/25 提供，外箱需做双坑，外箱顶部需印有Box Certificate Stamp纸箱质量保证章，纸箱需满足最低强度要求为 200磅耐破强度或 32 ECT 边压强度等级。具体见箱唛资料</t>
  </si>
  <si>
    <t>日期码格式：ZURU INC(BVI) 标准格式                  日期：按实际生产日期
Packaging Info: 1L 客版UPC版本包装 + 客版PDQ
外箱需做双坑，外箱顶部需印有Box Certificate Stamp纸箱质量保证章，纸箱需满足最低强度要求为 200磅耐破强度或 32 ECT 边压强度等级。具体见箱唛资料
Remark: 1. 此款需在7/8前完成至少10%大货包装，7/9早上进行第三方实验室(暂定SGS)现场在大货中抽样去做测试
A. 抽板数量：由客人指定第三方实验室在大货中预计会随机抽取每款/每色各6套大货样(带包装)，现场进行密封后送去测试；
B. 如产品是盲盒款，还需额外准备光身办小公仔每款/每色 各3pcs + 足够的干油办同抽板样一并寄出；
备注：  抽完大货样板后 工厂需自行补充抽取的大货数量；另外，还需要再备多3套大货样板到时候寄给客户。所需的样板数量不包含在订单数量里，做货请预备好
这些样板数量。
 2. 此单需一个40GP装完，但需超过客户要求的最少立方数，40GP最少要50CBM，箱唛上体积数和实际要相符，如体积数和PO上有不一致，客人会有罚款。
 3. 产品和包装上的日期按照ZURU标准格式。
 4. 产品不含以下物质：
a. 不含任何的美国优先化学品priority chemicals；
b. 不含或者不超过美国缅因州的高度关注化学品Chemicals of High Concern清单中的最低水平(100mg/kg)；
c. 不含化学阻燃剂：TDCPP，TCEP，Antimony trioxide，HBCD，TBPH，TBB，SCCP，TCPP，Penta-BDE，Octa-BDE，TBBPA等。</t>
  </si>
  <si>
    <t>77869TQ1-S001</t>
  </si>
  <si>
    <t>ZMPO260810</t>
  </si>
  <si>
    <t>ZMPO260810-10</t>
  </si>
  <si>
    <t>60套</t>
  </si>
  <si>
    <t>Remark；左图中77772  所有唱片机下面都有一个数量/唱片机以下面标注的数量全为一套散件每一套装一个袋子；备注： 收到样品订单后尽快安排 ，谢谢！</t>
  </si>
  <si>
    <t>3FXCD4CO</t>
  </si>
  <si>
    <t>4500210819-20</t>
  </si>
  <si>
    <t>7/6外箱贴纸SSCC Label+不带电池C版WEEE说明书</t>
  </si>
  <si>
    <t>日期码格式：ZURU INC(BVI) 标准格式 日期：按实际生产日期
Packaging Info: Amazon DE: 3FXCD4CO
Amazon UK: 2XMQVPUY
Amazon IT: 8L95S2FN
Amazon DE(77794/77876)/UK(77794)/IT(77794/77876)
2. 77876: 2pk 77772 VINYL into PVC tube,12tubes/ctn; 77772: 移除Lola Young vinyl款; 客版 3L(3L warning 无条码,新UK地址,翻单4500198654)收缩膜+客
版收藏指南(移除Lola Young vinyl款,更新歌手名字，翻单4500208529)+MA 23L warning A组装黑白说明书+MA其它最新配套包装+客版3L(3L warning UPC)彩卡(新U
K地址,翻单4500198654)+1张贴纸(1张含DE/IT警告语+IT环保标, 贴彩卡, 贴纸翻单PO4500198642)+不带电WEEE C版29L 说明书
3. 验货时间不迟于2026/07/31.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,&lt;(&gt;,&lt;)&gt; 此要求只适用Amazon UK/DE
/FR/ES/IT,不适用Amazon GPE，Amazon GPE无SSCC label, 但是有对应箱唛，需印刷到外箱 。
2.出往UK的产品+包装务必打上UKCA logo ，否则客人会退货且当地会有罚款。Amazon GPE（包含UK/FR/ES/DE/IT）的订单也需满足此要求。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故此请严格把关。Amazon GPE（包含UK/FR/ES/DE/IT）的订单也需满足此要求。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
9. 无论是工厂自检还是ZURU验货，验货报告中必须有产品6面图(正面/背面/左面/右面/顶部/底部，不带包装);
10. 按空海运鉴定报告的要求，只要带锂电池出货，都需要加贴UN贴纸；
11. 所有出往GAS市场(德国/奥地利/瑞士)的电子产品身上需要加字唛，为ZURU FRANCE 地址，需跟包装上的地址一致 (如无电子产品，产品布标有此地址，或产品
太小无法增加可忽略此信息。如产品无法加字唛，需让对应跟单提供产品贴纸资料);（Amazon GPE的订单也需满足此要求）
12. 所有出往GAS德国 (瑞士，奥地利)。水弹枪系列必须使用EN71版本（电子和非电子水弹枪系列都需要符合); 护目镜需打日期码, 格式跟ZURU标准格式一样; 枪
身上增加ZURU FRANCE公司名和地址。使用贴纸和辐射上去都可以。如果有位置，最好增加ZURU Represented by: (此最好翻译德语，如果位置不允许，那么就只增
加ZURU法国和地址)。使用最新的EN71版包装和说明书）。Amazon GPE（包含UK/FR/ES/DE/IT）的订单也需满足此要求。</t>
  </si>
  <si>
    <t>8L95S2FN</t>
  </si>
  <si>
    <t>4500210819-50</t>
  </si>
  <si>
    <t>LONDON  SUPPLY  GROUP  SA</t>
  </si>
  <si>
    <t>4500212151-250</t>
  </si>
  <si>
    <t>8/7 截SI</t>
  </si>
  <si>
    <t>UPC贴纸翻单PO4500199743</t>
  </si>
  <si>
    <t>日期码格式：ZURU  INC(BVI)  标准格式                                    日期：按实际生产日期
Packaging Info: 77772GQ2/MA 多语UPC包装+UPC贴纸+箱唛，无客户贴纸（包装上的条码必须是UPC），UPC贴纸翻单PO4500199743
Remark：</t>
  </si>
  <si>
    <t>4500204601-10</t>
  </si>
  <si>
    <t>多语警语折叠贴纸（翻4500193875）；77772需加不带电池出货的29L通用weee说明书纸</t>
  </si>
  <si>
    <t>日期码格式：ZURU INC(BVI) 标准格式                  日期：按实际生产日期
Packaging Info: 1. 77772：最新MA 3L EAN收缩膜+最新MA 5L收藏指南+最新MA 23L说明书+最新MA 3L PDQ+多语警语折叠贴纸（翻4500193875）；77772需加不带电池出货的29L通用
 weee说明书纸
Remark: 1.意大利国家内销单，需要通过ZURU 验货结果后才能出货 (工厂需要主动提前同ZURU QC预约验货避免延期出货造成不必要麻烦)；
2. 本订单所有 具有 baby items / assorted items 的款式，零售包装上都要用 母 EAN;
3.所有出口欧洲的产品, 法规规定禁止在包装和共公众用的印刷品中使用矿物油中含有的物质, 包装印刷油墨中含有的MOAH/MOSH的质量浓度不能超过1%, 否则出货
到意大利被抽检出现问题, 供应商需要对此负责;
 4. Date code: 外箱/产品/包装尽量保持一致，完货后提供date code 信息以便我们保存记录做批次管理；若MA物料因提前备料导致和外箱日期码不一致时，可以接
受出货
 5.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6. 意大利订单包装彩卡请确保含法规要求的环保回收logo。
7. 所有带电池的产品请基于带/不带电池出货自行订购 "WEEE说明书欧洲EN+29L-D版"
 8. MTS所有订单，SMASHERS 或含Slime产品，所有化合物使用无硼或低硼版本出；  BOB系列要符合欧洲要求不含亚硝酸版本; XShot Hyper系列，统一出EN71版本；S
 lime Mart统一用EUR版本的包装。
 9. 电池产品请确保使用新说明书以及新标识的电池以符合最新(EU) 2023/1542法规  （增加制造商信息，电池种类，制造商地址，电池重量，化学组成，可用的灭
火器，浓度重量占比&gt;0.1%的关键原材料，二维码），如果电池不含这些信息，也需要确保电池说明书含这些信息。</t>
  </si>
  <si>
    <t>4500206890-10</t>
  </si>
  <si>
    <t>8/6 空运</t>
  </si>
  <si>
    <t>NAVY EXCHANGE SERVICE COMMAND</t>
  </si>
  <si>
    <t>4500201833-110</t>
  </si>
  <si>
    <t>外箱Packing Slip</t>
  </si>
  <si>
    <t>每款产品第一箱的外箱都需在1面正唛右上角处贴上Packing Slip（跟单提供资料；工厂用A4纸打印）,见箱唛资料详细内容。</t>
  </si>
  <si>
    <t>日期码格式：ZURU INC(BVI) 标准格式                  日期：按实际生产日期
Packaging Info: 1. 包装：ZURU MA 1L UPC版本最新包装；出口美国;
Remark: 2. 日期跟踪码：产品外包装及产品本身都必须有日期跟踪码；ZURU标准格式日期码 (请自行调整具体年月日生产期，但不能为周末）
3. 外箱贴纸：
外箱除了需要印刷箱唛外，还需额外加贴Packing Slip一张
Packing Slip: 每款产品第一箱的外箱都需在1面正唛右上角处贴上Packing Slip（跟单提供资料；工厂用A4纸打印）,见箱唛资料详细内容。
4. 出货配比：ZURU 标版配比</t>
  </si>
  <si>
    <t>ZB07534-8.17</t>
  </si>
  <si>
    <t>4500201833-120</t>
  </si>
  <si>
    <t>4500208684-30</t>
  </si>
  <si>
    <t>8/10 BV验货</t>
  </si>
  <si>
    <t>日期码格式：ZURU INC(BVI) 标准格式 日期：按实际生产日期
Packaging Info: #92146
客版PDQ(2装)+MA3L收缩膜+UPC贴纸（193052100375)+MA5L收藏指南+MA复合袋+MA贴纸+MA2L布标
翻单：4500195369
Cat:Raccoon:Deer:Tiger:Pigeon:Owl=1:1:1:1:1:1
#9574
MA3L彩盒+UPC贴纸+MA5L说明书
UPC：193052098436
翻单：4500195369
2pcs baby capybara: 3pcs baby capybara= 5:1
#77772---留意剔除有问题的唱片
客版3LPDQ(16装)+MA3L收缩膜+UPC贴纸(UPC:193052118721)+MA5L收藏指南+MA23L拼装说明书+MA5L复合袋+DEMO纸卡
翻单：4500213633
Remark: 1. 此单有箱唛;
2. UPC贴纸：必须在原来错误的条码上用黑色粗头笔涂黑直至不能扫描，再贴上正确的UPC;
3. 此单有第三方验货，烦请多备包装物料；
4. #77794带锂电池出货，使用英法双语电池，外箱需在正唛空白位置贴一张UN3481锂电池标识贴纸(带电话号码)；
*********************
a. 请确保产品符合1999年版本的加拿大环境保护法(CEPA)和2012年禁止某些有毒物质法规的要求。该产品不含任何在加拿大禁用的化学物质，包括但不限于有毒物
质清单中列出的化学物质，并且在为加拿大沃尔玛生产产品期间没有使用任何禁用化学物质。
Supplier certify that the products comply with the requirements of Canadian Environmental Protection Act, 1999 (CEPA), Prohibition of Certain To
xic Substances Regulations, 2012.
The products do not contain any chemicals that are banned in Canada, including but not limited to those listed in the Toxic Substances List and
no banned chemicals were used during the manufacturing of product for Walmart Canada.
附件列表：
(1) Letter of Guarantee for Canada banned chemicals - (1-5CA)
b. 请确保产品在均质材料中的汞浓度不超过0.1%（按重量计）。
Supplier certify that the WAL-MART vendor products does not have a mercury concentration of more than 0.1% by weight in homogeneous material.
附件列表：
(1) Letter of Guarantee for Mercury COC
c. 请确保产品的塑料材料不含以下物质（SOR 2011-17 27B):
Supplier certify that the plastic materials do not contain the following substances(SOR 2011-17 27B):
(a) carbon tetrachloride or any substance that contains it;
(b) methyl alcohol or any substance thay contains &gt;1.0%;
(c) petroleum distillates or any substance that contains &gt;10% weight to volume of petroleum distillates;
(d) benzene;
(e) turpentine or any substance that contains &gt;10% weight to volume of turpentine;
(f) boric acid or salts of boric acid; or (g) ethyl ether.
附件列表：
(1) Letter of Guarantee for WM CA-Other prohibited substances in plastic(less than 3 years)</t>
  </si>
  <si>
    <t>4500209267-10</t>
  </si>
  <si>
    <t>4500206891-10</t>
  </si>
  <si>
    <t>OTTO  SIMON  B.V.</t>
  </si>
  <si>
    <t>IO-2601069</t>
  </si>
  <si>
    <t>4500208595-90</t>
  </si>
  <si>
    <t>6/1客人款号带EAN （4894680051133）条码贴纸+NL警语贴纸，不带电WEEE声明说明书</t>
  </si>
  <si>
    <t>日期码和批次号都要打在产品和包装上，日期码按ZURU标准格式，批次号是IO-2601069（客人PO#，     其中IO是大写英文字母）</t>
  </si>
  <si>
    <t>日期码格式：ZURU  INC(BVI)  标准格式                                    日期：按实际生产日期
Packaging Info:
77772GQ2:  MA  最新版3LEAN收缩膜+1张客人款号带EAN    （4894680051133）条码贴纸+NL警语贴纸，MA  最新版5L收藏指南，MA  最新版23L组装说明，MA内袋，最新版
WEE说明书，MA最新版3LPDQ
Remark: 1.所有产品按符合欧洲标准走货，微塑料需合规。
2.所有包装材料都不允许PVC,  请用PET代替
3.样板需求：     每个item  需要寄出1  PC  大货样，请多备料
4. 日期码和批次号都要打在产品和包装上，日期码按ZURU标准格式，批次号是IO-2601069（客人PO#，     其中IO是大写英文字母）
5.所有出往欧洲市场订单的电子产品需增加一张WEEE声明说明书，区分带电池和不带电池版本,  如已做客版说明书可忽略此要求。
6.  客人款号:
861-1133    77772GQ2</t>
  </si>
  <si>
    <t>SHERWOOD  MEDIA,  S.L.</t>
  </si>
  <si>
    <t>4500210889-100</t>
  </si>
  <si>
    <t>6/24进口商西班牙环保标贴纸+1张产品贴纸贴球壳内+WEEE带电池走货欧洲29语通用黑白说明书</t>
  </si>
  <si>
    <r>
      <rPr>
        <sz val="12"/>
        <color rgb="FF0000FF"/>
        <rFont val="宋体"/>
        <charset val="134"/>
      </rPr>
      <t>日期码格式：ZURU INC(BVI) 标准格式 日期：按实际生产日期
Packaging Info: 
77772GQ2：MA 最新3L EAN包装+1张进口商西班牙环保标贴纸+1张产品贴纸贴球壳内，MA最新 3L PDQ+MA最新23L Game warning说明书+MA最新23L锂电池说明书+WEE
E带电池走货 欧洲29语通用黑白说明书
Remark: 1. 此单出西班牙，需满足EU测试标准要求，另外微塑料需符合EU法规；
2. 标准配比；
3.根据新电池法规（EU） 2023/1542，所有走欧洲市场的电子产品，都需要增加WEEE通用29L说明书（分带电池走货和不带电池走货两种），如工厂没有此文件，可
以找跟单提供；
4. 产品及包装需要印CE logo图标，包装需含有西班牙环保标 和</t>
    </r>
    <r>
      <rPr>
        <sz val="12"/>
        <color rgb="FF000000"/>
        <rFont val="宋体"/>
        <charset val="134"/>
      </rPr>
      <t xml:space="preserve">care@zuru.com </t>
    </r>
    <r>
      <rPr>
        <sz val="12"/>
        <color rgb="FF0000FF"/>
        <rFont val="宋体"/>
        <charset val="134"/>
      </rPr>
      <t>邮箱地址， 另外，包装贴纸上面的警告语不可以覆盖西班牙警告语。QC同事请核
查，如有问题需和跟单确认
5.毛绒玩具需要西班牙语言的洗涤说明；
6.此单需要准备两套大货样，在CRD前安排寄出；</t>
    </r>
  </si>
  <si>
    <t>Mary  Zhong</t>
  </si>
  <si>
    <t>FB14545</t>
  </si>
  <si>
    <t>4500211844-110</t>
  </si>
  <si>
    <t>8/10截SI</t>
  </si>
  <si>
    <t>日期码格式：ZURU INC(BVI) 标准格式 日期：按实际生产日期
Packaging Info: 77772GQ1-S002-PRODCC 1L PDQ+MA B版UPC收缩膜+C版29L 不含电池出货WEEE说明书
,移除LOLA YOUNG的MESSY唱片+配套的收藏指南(翻单PO#4500198654)+PDQ需要加贴纸改45为44. 贴纸翻单4500196675+地址贴纸，翻单：4500210400
Remark: "MA版本按工厂现有最新库存即可，订单出英国，请注意检查产品及包装应带UKCA以及CE图标，包装显示ZURU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*所有产品按符合欧洲标准走货，需要是不含微塑料版本 。
*涉及到硼的，如可选择情况下应使用低硼版本 （slime 类别低硼一般低于300ppm)，无选择的应与跟单复核再安排 。
*如果出运产品属于电子类产品需要在ZURU 包装基础上额外添加一张ZURU 标准29L通用WEEE 电子产品说明书,带电池出货的加带电池出货版本通用29L的说明书，不
带电池出货的产品用不带电池出货版本的说明书.
*根据客人最新的包装要求，所有多个PDQ盒子(TQ,UQ,GQ）入1外箱的都需要在PDQ顶部右上角加上数量贴纸标明里面的数量。最小字体：36pts, 字体：Calibri（bo
ld), 具体要求以及位置见文件.
*订单对应客户PO号 ，备注有显示 ，注意分开做货/验货/装柜 ，混装有罚款。
* 大货样： 新款请在CRD前10天寄出每款2整套大货样到罗湖办公室7B Meyya Liu 收，翻单不用寄。"</t>
  </si>
  <si>
    <t>4500206279-50</t>
  </si>
  <si>
    <t>日期码格式：ZURU INC(BVI) 标准格式                  日期：按实际生产日期
Packaging Info: 1. 出口美国，MA UPC 版本包装，优先1L。
2.
77772GQ1, UPC:193052090065
Remark: 3. ZURU QC 验货即可。</t>
  </si>
  <si>
    <t>7CA53GMI</t>
  </si>
  <si>
    <t>4500211827-20</t>
  </si>
  <si>
    <t>日期码格式：ZURU INC(BVI) 标准格式 日期：按实际生产日期
Packaging Info: Amazon DE:7CA53GMI/1N5WS9CJ
Amazon ES:6ZLILVLI
Amazon FR:1FANRX6Y/11Q8F7PF
Amazon IT:45M4YLRZ/1MOP7DLG
Amazon UK:37GIGEWW
DE(77794/77876)/ES(77794/77876)/FR(77794/77876)/IT(77794/77876)/UK(77794)
1. 77876:2pk 77772 VINYL into PVC tube,12tubes/ctn; 77772: 移除Lola Young vinyl款; 客版 3L(3L warning 无条码,新UK地址,翻单4500198654)收缩膜+客版
收藏指南(移除Lola Young vinyl款,更新歌手名字，翻单4500208529)+MA 23L warning A组装黑白说明书+MA其它最新配套包装+客版3L(3L warning UPC)彩卡(新UK
地址,翻单4500198654)+1张贴纸(1张含DE/IT警告语+IT环保标, 贴彩卡, 贴纸翻单PO4500198642)+不带电WEEE C版29L 说明书
3. 最晚验货时间8/3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,&lt;(&gt;,&lt;)&gt; 此要求只适用Amazon UK/DE
/FR/ES/IT,不适用Amazon GPE，Amazon GPE无SSCC label, 但是有对应箱唛，需印刷到外箱 。
2.出往UK的产品+包装务必打上UKCA logo ，否则客人会退货且当地会有罚款。Amazon GPE（包含UK/FR/ES/DE/IT）的订单也需满足此要求。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故此请严格把关。Amazon GPE（包含UK/FR/ES/DE/IT）的订单也需满足此要求。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
9. 无论是工厂自检还是ZURU验货，验货报告中必须有产品6面图(正面/背面/左面/右面/顶部/底部，不带包装);
10. 按空海运鉴定报告的要求，只要带锂电池出货，都需要加贴UN贴纸；
11. 所有出往GAS市场(德国/奥地利/瑞士)的电子产品身上需要加字唛，为ZURU FRANCE 地址，需跟包装上的地址一致 (如无电子产品，产品布标有此地址，或产品
太小无法增加可忽略此信息。如产品无法加字唛，需让对应跟单提供产品贴纸资料);（Amazon GPE的订单也需满足此要求）
12. 所有出往GAS德国 (瑞士，奥地利)。水弹枪系列必须使用EN71版本（电子和非电子水弹枪系列都需要符合); 护目镜需打日期码, 格式跟ZURU标准格式一样; 枪
身上增加ZURU FRANCE公司名和地址。使用贴纸和辐射上去都可以。如果有位置，最好增加ZURU Represented by: (此最好翻译德语，如果位置不允许，那么就只增
加ZURU法国和地址)。使用最新的EN71版包装和说明书）。Amazon GPE（包含UK/FR/ES/DE/IT）的订单也需满足此要求。</t>
  </si>
  <si>
    <t>Aria Zhou</t>
  </si>
  <si>
    <t>1N5WS9CJ</t>
  </si>
  <si>
    <t>4500211827-40</t>
  </si>
  <si>
    <t>6ZLILVLI</t>
  </si>
  <si>
    <t>4500211827-60</t>
  </si>
  <si>
    <t>11Q8F7PF</t>
  </si>
  <si>
    <t>4500211827-90</t>
  </si>
  <si>
    <t>45M4YLRZ</t>
  </si>
  <si>
    <t>4500211827-120</t>
  </si>
  <si>
    <t>1MOP7DLG</t>
  </si>
  <si>
    <t>4500211827-140</t>
  </si>
  <si>
    <t>4500206065-30</t>
  </si>
  <si>
    <t>KANDYTOYS  LIMITED</t>
  </si>
  <si>
    <t>PH100626ZUR15514</t>
  </si>
  <si>
    <t>6/26 PDQ  底部贴纸-35063389172320(Batch#15514+外箱地址贴</t>
  </si>
  <si>
    <t>日期码格式：ZURU INC(BVI) 标准格式 日期：按实际生产日期
Packaging Info: 77772GQ2:MA UPC 最新包装-产品条码-193052090065+PDQ 底部贴纸-35063389172320(Batch#15514)+制造商PDQ/展示架通用贴纸+WEEE 29L 不带电池说明书最新版+
客版收藏指南（翻单4500200925）;配比：4 mini vinyls(remove Lola Young vinyl),1 accessory；
Remark: 1.订单出英国，请注意检查产品及包装应带CE/UKCA图标，包装需要显示ZURU UKLTD/ZURU France地址信息，QC同事请查核，如有问题与跟单确认。
2.生产日期按实际的（法定工作日），按ZURU标准格式即可，并需要在出货前提供每个产品外包上对应的生产日期明细
3.请注意所有订单都需要经过ZURU QC验货加提供客版自检报告审核且通过后方可出货
4.不接受一个款有多个条码，存在这个情况请让ZURU提供条码贴纸
5.外箱上的条码请确保清晰可扫描，有PDQ，需要在PDQ底部贴一张带条码并可扫描的贴纸(ZURU 跟单提供模板）。
6. 根据欧盟最新的法规要求，需要在PDQ/展示架/外箱上增加ZURU 信息如下:
外箱：
ZURU FRANCE. 33 rue Paul Meurice 75020 Paris, France.
care@zuru.com
针对于含有展示架/PDQ的款:（附上通用贴纸):
ZURU INC. ROOM 1202, ENERGY PLAZA, NO.92 GRANVILLE ROAD, TSIM SHA TSUI EAST, KOWLOON, HONG KONG. / ZURU UK LIMITED. Ground Floor, Templeback, 10
Temple Back, Bristol, United Kingdom, BS16FL. / ZURU FRANCE. 33 rue Paul Meurice 75020 Paris, France. / ZURU DENMARK APS. OSLO PLADS 2, 2100 K
BENHAVN , DENMARK.
care@zuru.com
7.所有产品按符合欧洲标准走货，微塑料需合规并增加IFUD声明，含电池的需要增加WEEE说明书。
8.请额外准备一套大货样</t>
  </si>
  <si>
    <t>Zoe  Zhou</t>
  </si>
  <si>
    <t>4500213229-30</t>
  </si>
  <si>
    <t>77772GQ2-S001-PRODCC1</t>
  </si>
  <si>
    <t>7/7确认</t>
  </si>
  <si>
    <t xml:space="preserve">日期码格式：ZURU INC(BVI) 标准格式                  日期：按实际生产日期
Packaging Info: MA UPC 英语包装（优先1L英语版本，或者3L/5L含英语都可）
#77772GQ2:MA英语UPC版本包装(收缩膜和说明书，MA首选1L、如无1L可用多语且含英语的配套多语包装)+客制PDQ+客制收藏指南+箱唛
Removed "Messy"&lt;(&gt;&amp;&lt;)&gt;"Delicious"两张唱片
Remark: 此单出口澳大利亚/新西兰, 请按澳新标准生产. 如产品含纽扣电池出货, 包装前面和说明书上需加纽扣电池警语贴纸。
#77772GQ1：4  mini vinyls(except Messy &lt;(&gt;&amp;&lt;)&gt; Delicious vinyl minis),1 accessory，N/A but with electric circuit(EU/UK WEEE IM is required),AW
翻单PO#4500193278
</t>
  </si>
  <si>
    <t>77772GQ2-S001-PRODCC1-新西兰</t>
  </si>
  <si>
    <t>4500213229-40</t>
  </si>
  <si>
    <t>77772SK-S002-PRODCC1</t>
  </si>
  <si>
    <t>唱片球60 pcs/SK1/箱（带底座）</t>
  </si>
  <si>
    <t>8/9完成，8/11东莞完成</t>
  </si>
  <si>
    <t>日期码格式：ZURU INC(BVI) 标准格式 日期：按实际生产日期
Packaging Info: MA UPC 英语包装（优先1L英语版本，或者3L/5L含英语都可）
#77772Sk:使用标版SK,Removed "Messy"&lt;(&gt;&amp;&lt;)&gt;"Delicious"两张唱片的球
Remark: 此单出口澳大利亚/新西兰, 请按澳新标准生产. 如产品含纽扣电池出货, 包装前面和说明书上需加纽扣电池警语贴纸。
#77772SK:4 mini vinyls(except Messy &lt;(&gt;&amp;&lt;)&gt; Delicious vinyl minis),1 accessory,N/A but with electric circuit(EU/UK WEEE IM is required)</t>
  </si>
  <si>
    <t>TOYS  "R"  US   –  JAPAN,  LTD</t>
  </si>
  <si>
    <t>日本</t>
  </si>
  <si>
    <t>47:0003202248</t>
  </si>
  <si>
    <t>4500206930-10</t>
  </si>
  <si>
    <t>新款需测试：请每款安排寄3  套成品到SGS  实验室安排测试，测试pass  后才能出货。大货样需严格跟到测试样。</t>
  </si>
  <si>
    <t>8/7 交仓</t>
  </si>
  <si>
    <t>7/21日语警语贴纸</t>
  </si>
  <si>
    <t>请多备几个外箱出货，避免外箱到仓库后出现破损情况</t>
  </si>
  <si>
    <r>
      <rPr>
        <sz val="12"/>
        <color rgb="FF000000"/>
        <rFont val="宋体"/>
        <charset val="134"/>
      </rPr>
      <t>日期码格式：ZURU INC(BVI) 标准格式 日期：按实际生产日期
Packaging Info: 77772GQ2：MA UPC PKG+1张日语警语贴纸</t>
    </r>
    <r>
      <rPr>
        <sz val="12"/>
        <color rgb="FFFF0000"/>
        <rFont val="宋体"/>
        <charset val="134"/>
      </rPr>
      <t>(遮住收缩膜上的年龄信息)+各1张年龄贴纸6+覆盖说明书跟收藏指南上的年龄</t>
    </r>
    <r>
      <rPr>
        <sz val="12"/>
        <color rgb="FF000000"/>
        <rFont val="宋体"/>
        <charset val="134"/>
      </rPr>
      <t xml:space="preserve">
外箱需贴正方形防火贴纸(一箱贴一张)
Remark: 1.新款需测试：请每款安排寄3 套成品到SGS 实验室安排测试，测试pass 后才能出货。大货样需严格跟到测试样。
2. 请多备几个外箱出货，避免外箱到仓库后出现破损情况。
3. 此单出日本，需符合日本市场测试要求
77772GQ2:4 mini vinyls,1 accessory</t>
    </r>
  </si>
  <si>
    <t>Lillian  Li</t>
  </si>
  <si>
    <t>4FR81SGO</t>
  </si>
  <si>
    <t>4500211828-40</t>
  </si>
  <si>
    <t>日期码格式：ZURU INC(BVI) 标准格式 日期：按实际生产日期
Packaging Info: Amazon UK:7PTKZ6NS
Amazon DE:4FR81SGO
UK(9543E/77555)/DE(77876)
3. 77876:2pk 77772 VINYL into PVC tube,12tubes/ctn; 77772: 移除Lola Young vinyl款; 客版 3L(3L warning 无条码,新UK地址,翻单4500198654)收缩膜+客版
收藏指南(移除Lola Young vinyl款,更新歌手名字，翻单4500208529)+MA 23L warning A组装黑白说明书+MA其它最新配套包装+客版3L(3L warning UPC)彩卡(新UK
地址,翻单4500198654)+1张贴纸(1张含DE/IT警告语+IT环保标, 贴彩卡, 贴纸翻单PO4500198642)+不带电WEEE C版29L 说明书
4. 最晚验货时间8/4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,&lt;(&gt;,&lt;)&gt; 此要求只适用Amazon UK/DE
/FR/ES/IT,不适用Amazon GPE，Amazon GPE无SSCC label, 但是有对应箱唛，需印刷到外箱 。
2.出往UK的产品+包装务必打上UKCA logo ，否则客人会退货且当地会有罚款。Amazon GPE（包含UK/FR/ES/DE/IT）的订单也需满足此要求。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故此请严格把关。Amazon GPE（包含UK/FR/ES/DE/IT）的订单也需满足此要求。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
9. 无论是工厂自检还是ZURU验货，验货报告中必须有产品6面图(正面/背面/左面/右面/顶部/底部，不带包装);
10. 按空海运鉴定报告的要求，只要带锂电池出货，都需要加贴UN贴纸；
11. 所有出往GAS市场(德国/奥地利/瑞士)的电子产品身上需要加字唛，为ZURU FRANCE 地址，需跟包装上的地址一致 (如无电子产品，产品布标有此地址，或产品
太小无法增加可忽略此信息。如产品无法加字唛，需让对应跟单提供产品贴纸资料);（Amazon GPE的订单也需满足此要求）
12. 所有出往GAS德国 (瑞士，奥地利)。水弹枪系列必须使用EN71版本（电子和非电子水弹枪系列都需要符合); 护目镜需打日期码, 格式跟ZURU标准格式一样; 枪
身上增加ZURU FRANCE公司名和地址。使用贴纸和辐射上去都可以。如果有位置，最好增加ZURU Represented by: (此最好翻译德语，如果位置不允许，那么就只增
加ZURU法国和地址)。使用最新的EN71版包装和说明书）。Amazon GPE（包含UK/FR/ES/DE/IT）的订单也需满足此要求。</t>
  </si>
  <si>
    <t>W0775982</t>
  </si>
  <si>
    <t>4500212900-20</t>
  </si>
  <si>
    <t>8/20截SI</t>
  </si>
  <si>
    <t>7/3价格贴纸+外箱条码贴纸*2</t>
  </si>
  <si>
    <t>Joy Huang</t>
  </si>
  <si>
    <t>10001964589-0581</t>
  </si>
  <si>
    <t>4500214707-10</t>
  </si>
  <si>
    <t>由4500211708转单</t>
  </si>
  <si>
    <t>7/8 确认</t>
  </si>
  <si>
    <t>7/15外箱条码箱贴纸贴纸</t>
  </si>
  <si>
    <t>日期码格式：ZURU INC(BVI) 标准格式                  日期：按实际生产日期
Packaging Info: 产品包装客版收缩膜+MA 5L 收藏指南+MA 23L 组装说明+客版PDQ；客版PDQ翻单4500189603；客版收缩膜翻单4500214215
Remark: 1.77772GQ5-S001-MINI BRANDS-VINYL-SERIES 1-CAPSULE,WITH DEMO,25PCS/GRAVITY PDQ,25PCS/PDQ/CTN;
2.产品包装客版收缩膜+MA 5L 收藏指南+MA 23L 组装说明+客版PDQ；客版PDQ翻单4500189603；客版收缩膜翻单4500214215；收缩膜上的UPC显示193052118721
 4  mini vinyls(1 Target US Exclusive),1 accessory;
 3. 外箱正唛左上角位置粘贴条码箱贴纸，每箱只贴一张，由ZURU订购。来料贴纸上显示的客户DPCI# 086-02-7610, UPC显示10193052118728;
 4. 产品和包装上均要印刷tracking code信息，格式为ZURU常规格式；
 5. 需要我司QC验货之后才能安排出货；
 6. 出货方式：  货代自提；
 7. 用新ratio生产（不要18号、21号、23号碟片）</t>
  </si>
  <si>
    <t>4500199243-80</t>
  </si>
  <si>
    <t>移除#21/23唱片</t>
  </si>
  <si>
    <t>日期码格式： ZURU INC(BVI) 标准格式 日期：按实际生产日期
Packaging Info: 
"77772GQ1: MA PDQ+最新MA 1L UPC收缩膜+MA收藏指南+MA组装说明书+MA袋子
UPC#193052090065
Ratio: 4 mini vinyls,1 accessory
*需要移除Messy Lola Young (VINYL-S1-021) 这个唱片, 比例按PM更新的安排*
Remark: 1. 请准时出货，推期会有罚款；
2. 所有产品按符合欧洲标准走货，需要是不含微塑料版本。
3.包装日期码按ZURU格式即可，请确保不迟于外箱日期码，可等于或者早于外箱日期码，必须为法定工作日，印刷前请先检查外箱日期码。
4.请注意检查产品及包装应带UKCA图标（14+产品除外）， 包装显示ZURU UK LTD/ZURU France地址信息，QC部门请查核，如有问题与跟单确认
5.电子产品需增加一张B版WEEE声明30L通用黑白说明书(不接受A版本，翻译有误)，区分带电池和不带电池出货版本, 如已做客版说明书含WEEE信息可忽略此要求；
6.订单备注显示有分批的（不同仓库/订单号） ，注意分开做货出货，否则会导致罚款 。
7.外箱有条码要求，排版时请留意并请确保条码清晰可扫描（封箱胶不要黏到条码上), 否则客人会有罚款。
8.做货前请先复核包装条码与订单是否一致再安排，对不上的需与ZURU跟单确认再安排。
9.最大外箱尺寸和重量 : 600mm x 500mm x 745mm (LxWxH) 以及 G.W. 16 KG，超过的需要客人批准才能出货并且外箱需要印2 man lift标志 。10.做货前务必核对零售条码是否与订单要求一致 ，对不上到客户仓库需要返工 ，工厂需要承担责任。</t>
  </si>
  <si>
    <t>4500210994-50</t>
  </si>
  <si>
    <t>日期码格式：ZURU INC(BVI) 标准格式                  日期：按实际生产日期
Packaging Info: 
5.77772GQ2-S002:MA A3L EAN包装+警告语和MADE IN CHINA都翻译成丹麦瑞典芬兰挪威爱沙尼亚语做成一张贴纸贴在包装上(贴纸和位置图翻SOK PO#4500196453)+MA
23L组装说明书+MA 5L收藏指南+MA 3L PDQ+WEEE_不带电池走货 _ 说明书欧洲EN+29L_C版
Remark: * 请准备1个20尺柜的安全网，客人要求所有柜货需要加安全网出货，漏拉网会有罚款产生
 1. 包装如含PVC,请改为PET
 2. 产品/包装要求无硼无香；
 3. 出欧洲，微塑料需合规。
4.带电池出货的产品所用到的电池需要符合欧洲电池新规(EU) 2023-1542
5.关于贴纸，如果贴纸位置图的包装版本与大货不一致，请工厂提前提出, 跟单会重新调整确认是否更新贴纸或调整位置图
6.产品/包装不含PFAS and/or Bisfenol成分,以及不含石棉成分
7. 产品条码如下: 请先检查条码是否正确再安排做货，如有问题请告知:
71152-S001:4894680042742
9561-S001:4894680042520
9565GQ1-S002:4894680046511
77794UQ1-S002:4894680051430
77772GQ2-S002:4894680051133</t>
  </si>
  <si>
    <t>THE NORTH WEST COMPANY LP</t>
  </si>
  <si>
    <t>4500205055-120</t>
  </si>
  <si>
    <t>UPC贴纸193052090065，UPC贴纸翻单4500193076</t>
  </si>
  <si>
    <t>日期码格式：  标准格式                  日期：按实际生产日期
Packaging Info: 
77772GQ2  MA 3L EAN版本+UPC贴纸193052090065，UPC贴纸翻单4500193076
Remark: 出加拿大
Zuru验货. 日期跟踪码：产品外包装及产品本身都必须有日期跟踪码，ZURU标准格式日期码</t>
  </si>
  <si>
    <t>Katrina Xie</t>
  </si>
  <si>
    <t>1FANRX6Y</t>
  </si>
  <si>
    <t>4500211821-20</t>
  </si>
  <si>
    <t>日期码格式：ZURU INC(BVI) 标准格式 日期：按实际生产日期
Packaging Info: Amazon DE:5181CKIJ
Amazon FR:1FANRX6Y
DE(77876)/FR(77876)
1. 77876:2pk 77772 VINYL into PVC tube,12tubes/ctn; 77772: 移除Lola Young vinyl款; 客版 3L(3L warning 无条码,新UK地址,翻单4500198654)收缩膜+客版
收藏指南(移除Lola Young vinyl款,更新歌手名字，翻单4500208529)+MA 23L warning A组装黑白说明书+MA其它最新配套包装+客版3L(3L warning UPC)彩卡(新UK
地址,翻单4500198654)+1张贴纸(1张含DE/IT警告语+IT环保标, 贴彩卡, 贴纸翻单PO4500198642)+不带电WEEE C版29L 说明书
2. 最晚验货时间7/29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,&lt;(&gt;,&lt;)&gt; 此要求只适用Amazon UK/DE
/FR/ES/IT,不适用Amazon GPE，Amazon GPE无SSCC label, 但是有对应箱唛，需印刷到外箱 。
2.出往UK的产品+包装务必打上UKCA logo ，否则客人会退货且当地会有罚款。Amazon GPE（包含UK/FR/ES/DE/IT）的订单也需满足此要求。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故此请严格把关。Amazon GPE（包含UK/FR/ES/DE/IT）的订单也需满足此要求。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
9. 无论是工厂自检还是ZURU验货，验货报告中必须有产品6面图(正面/背面/左面/右面/顶部/底部，不带包装);
10. 按空海运鉴定报告的要求，只要带锂电池出货，都需要加贴UN贴纸；
11. 所有出往GAS市场(德国/奥地利/瑞士)的电子产品身上需要加字唛，为ZURU FRANCE 地址，需跟包装上的地址一致 (如无电子产品，产品布标有此地址，或产品
太小无法增加可忽略此信息。如产品无法加字唛，需让对应跟单提供产品贴纸资料);（Amazon GPE的订单也需满足此要求）
12. 所有出往GAS德国 (瑞士，奥地利)。水弹枪系列必须使用EN71版本（电子和非电子水弹枪系列都需要符合); 护目镜需打日期码, 格式跟ZURU标准格式一样; 枪
身上增加ZURU FRANCE公司名和地址。使用贴纸和辐射上去都可以。如果有位置，最好增加ZURU Represented by: (此最好翻译德语，如果位置不允许，那么就只增
加ZURU法国和地址)。使用最新的EN71版包装和说明书）。Amazon GPE（包含UK/FR/ES/DE/IT）的订单也需满足此要求。</t>
  </si>
  <si>
    <t>5181CKIJ</t>
  </si>
  <si>
    <t>4500211821-10</t>
  </si>
  <si>
    <t>SHIRRA PANWEST</t>
  </si>
  <si>
    <t>MPO 8158.</t>
  </si>
  <si>
    <t>4500199133-30</t>
  </si>
  <si>
    <t>日期码格式： 标准格式 日期：按实际生产日期
Packaging Info: 
77772GQ2 MA 3L EAN版本+UPC贴纸193052090065，UPC贴纸翻单4500193076
Remark: 出加拿大
日期跟踪码：产品外包装及产品本身都必须有日期跟踪码，ZURU标准格式日期码.
不晚于6/20号提供大货图片， 大货图片要包含外箱，箱唛， 产品带包装/不带包装图片， 尺寸测量， 称重等，请注意 客人看了大货图片才会放SO。</t>
  </si>
  <si>
    <t>COSTCO WHOLESALE JAPAN</t>
  </si>
  <si>
    <t>4500209374-10</t>
  </si>
  <si>
    <t>抽板安排在8月5日</t>
  </si>
  <si>
    <t>7/15 确认</t>
  </si>
  <si>
    <t>日期码格式：ZURU INC(BVI) 标准格式 日期：按实际生产日期 Tracking Code:
Packaging Info: 1. 所有日期码印在彩盒上，产品上也需要印日期码. 按实际生产日期，ZURU 标准版格式的日期码。
 2. 纸箱唛头：纸箱四面，正唛和背面两面都需印刷，其他2面侧面留空,按照箱唛要求排版。
 3. 确保展示架在入外箱的时候一定要正面对着有印刷箱唛的那面,不可以装反。
 4.77896SLT-S001:产中10%抽板测试:预计抽板时间:2026/8/5 + 第三方验货时间TBC
Remark: 77896SLT-S001:S001-MINI BRANDS-VINYLS-SERIES 1-1PK PLAYSET AND 3PK CAPSULES-COMBO IN COLOR BOX,120PCS/DISPLAY/SLIP SHEET
 客版包装: 客版彩盒+ 客版PDQ+日语客版收缩膜+日语组装说明+日语唱片机安装指南+日语客版收藏指南+日语客版说明书+日语锂电池警告语贴纸+客版纸袋 等其他
 内包材+（箱唛参考Costco US PO#4500206891)</t>
  </si>
  <si>
    <t>Lillian Li</t>
  </si>
  <si>
    <t>4500209374-40</t>
  </si>
  <si>
    <t>TJX CANADA</t>
  </si>
  <si>
    <t>4500208841-70</t>
  </si>
  <si>
    <t>空白贴纸</t>
  </si>
  <si>
    <t>客版彩纸翻单4500198654</t>
  </si>
  <si>
    <t>日期码格式：  标准格式                  日期：按实际生产日期
Packaging Info:
77876 英法铜版纸UPC版本193052102485。  77772 MA 3L EAN版本+空白贴纸。
Remark: 出加拿大
有客供价格贴
每行对应不同的客户PO，唛头要一一对应，  放唛头时跟单会提供清单
Zuru验货. 日期跟踪码：产品外包装及产品本身都必须有日期跟踪码，ZURU标准格式
日期码</t>
  </si>
  <si>
    <t>KATRINA XIE</t>
  </si>
  <si>
    <t>4500208841-80</t>
  </si>
  <si>
    <t>日期码格式：  标准格式                  日期：按实际生产日期
Packaging Info: 
77876 英法铜版纸UPC版本193052102485。  77772 MA 3L EAN版本+空白贴纸。
Remark: 出加拿大
有客供价格贴
每行对应不同的客户PO，唛头要一一对应，  放唛头时跟单会提供清单
Zuru验货. 日期跟踪码：产品外包装及产品本身都必须有日期跟踪码，ZURU标准格式
日期码</t>
  </si>
  <si>
    <t>4500208821-220</t>
  </si>
  <si>
    <t>日期码格式：  标准格式                  日期：按实际生产日期
Packaging Info: 
77876 英法铜版纸UPC版本193052102485。  77772 MA 3L EAN版本+空白贴纸。
Remark: 出加拿大
每行对应不同的客户PO，唛头要一一对应，  放唛头时跟单会提供清单
Zuru验货. 日期跟踪码：产品外包装及产品本身都必须有日期跟踪码，ZURU标准格式
日期码</t>
  </si>
  <si>
    <t>3019227-00</t>
  </si>
  <si>
    <t>4500209291-20</t>
  </si>
  <si>
    <t>UPC贴纸和进口商贴纸翻单4500203455</t>
  </si>
  <si>
    <t>日期码格式：  标准格式                  日期：按实际生产日期
Packaging Info:
77772GQ2  MA 3L EAN版本+UPC贴纸193052090065，UPC贴纸和进口商贴纸翻单4500203455
Remark: 出口加拿大，  有 进口商贴纸
CRD前2周寄出大货样2套
Zuru验货  需要单个产品称重的图片和整箱产品称重的图片，还需要产品上made in China的晒字图片，包装上的警告语的清晰图片，以及单个产品的尺寸测量图片
和外箱的尺寸测量图片
日期跟踪码：产品外包装必须有日期跟踪码，ZURU标准格式日期码</t>
  </si>
  <si>
    <t>ASPEKTO  SP.  Z  O.O.</t>
  </si>
  <si>
    <t>4500209410-10</t>
  </si>
  <si>
    <t>6/21 PL警示语（含客户进口商信息）贴纸+WEEE29LC版欧洲通用说明书(不带电池出货版)</t>
  </si>
  <si>
    <t>日期码格式： ZURU INC(BVI) 标准格式 日期：按实际生产日期
Packaging Info: 77772GQ2:MA 3L EAN 收缩膜+1张PL警示语（含客户进口商信息）贴纸+MA 23L组装说明书+MA 5L收藏指南+MA袋子+ MA 3L最新版 PDQ+WEEE29LC版欧洲通用说明书(不
带电池出货版)
Remark: 1. 此票需通过ZURU OQC验货；
2. 请备多2套大货样品；
3. 此票出波兰，请确保产品符合EU标准，产品请确保符合EU微塑料法规，大货需符合EU市场法规；
4. 此票全部用EAN条码</t>
  </si>
  <si>
    <t>4500210043-60</t>
  </si>
  <si>
    <t>8/7 第三方验货</t>
  </si>
  <si>
    <t>6/26进口商贴纸（含葡萄牙警语+西班牙环保标）+一张产品贴纸</t>
  </si>
  <si>
    <t>客人格式日期码 LOT2632，包装（含收缩膜等）/产品/外箱 请保持一致。</t>
  </si>
  <si>
    <t>西/葡weee说明书纸</t>
  </si>
  <si>
    <t>日期码格式：LOT2632 日期：
Packaging Info: 
7. 77772：最新MA 3L EAN收缩膜+最新MA 5L收藏指南+最新MA 23L说明书+最新MA 3L PDQ+一张进口商贴纸（含葡萄牙警语+西班牙环保标）+一张产品贴纸+一张西/
葡weee说明书纸
Remark: 1. 订单出欧洲国家-西班牙，产品不能含有闪粉/微塑料，请确保所有包装都有西班牙环保标。
2. 客人格式日期码 LOT2632，包装（含收缩膜等）/产品/外箱 请保持一致。
3. 验货后会抽办1套/item，请多备料。大货样品2套/item，用于客人验货签板，具体以邮件通知为准
4. 需要符合欧洲标准不能含有闪粉和微塑料，否则不合法规会有客诉产生。
5. 硼含量需要符合欧洲标准，否则不合法规会有客诉产生
6. 此客户需要第三方验货，请在约三方验货前必须PASS ZURU验货。
7. 所有带电产品请复核跟单是否有提供客人指定内容的WEEE说明书（不是通用29L版本）
8.带干燥剂的产品需要加一张"干燥剂说明书14L”</t>
  </si>
  <si>
    <t>G.N MOUSTAKAS SA</t>
  </si>
  <si>
    <t>希腊</t>
  </si>
  <si>
    <t>4500211559-20</t>
  </si>
  <si>
    <t>8/14 SI</t>
  </si>
  <si>
    <t>7/3希腊警语贴纸（含进口商信息）+一张不带电池出货29Lweee说明书纸</t>
  </si>
  <si>
    <t>日期码格式：ZURU INC(BVI) 标准格式                  日期：按实际生产日期
Packaging Info: 
 2. 77772GQ2: 最新MA 3L EAN收缩膜+最新MA 5L收藏指南+最新MA 23L说明书+最新MA 3L PDQ+一张希腊警语贴纸（含进口商信息）+一张不带电池出货29Lweee说明书
纸
Remark: 1. 此单出希腊，需要满足EU标准；  产品均符合EU微塑料法规要求：不能含有微塑料闪粉
 2. 本订单所有 具有 baby items / assorted items 的款式，零售包装上都要用 母 EAN;
 3. 带电产品请根据是否带电池出货，自行订购“WEEE_不带/带电池走货 _ 欧洲通用说明书EN+29L-D版”说明书纸
 4.带干燥剂的产品需要加一张“干燥剂说明书14L”
5. 所有PDQ/SIDEKICK/ENDCAP需要贴一张ZURU信息的贴纸</t>
  </si>
  <si>
    <t>4500209159-20</t>
  </si>
  <si>
    <t>8/10 第三方验货</t>
  </si>
  <si>
    <t>7/10 确认</t>
  </si>
  <si>
    <t>7/7UPC贴纸</t>
  </si>
  <si>
    <t>外箱上的箱唛资料显示客户指定日期20-AUG-2026，产品/包装/外箱可以按ZURU 标准日期码打，也可以跟回外箱日期码，工厂自行选择，两者均可接受</t>
  </si>
  <si>
    <t>日期码格式：ZURU INC(BVI) 标准格式                  日期：按实际生产日期
Packaging Info: 
77772GQ2/77794UQ1：MA 3L PDQ包装+MA 多语 EAN包装+UPC贴纸+箱唛，无客户贴纸
Remark: 需QIMA 验货，无客户签板，请多备料
外箱上的箱唛资料显示客户指定日期20-AUG-2026，产品/包装/外箱可以按ZURU 标准日期码打，也可以跟回外箱日期码，工厂自行选择，两者均可接受</t>
  </si>
  <si>
    <t>4500202803-30</t>
  </si>
  <si>
    <t>77869-77772-S001-PRODCC1</t>
  </si>
  <si>
    <t>7/6外箱贴纸SSCC Label+一张防盜贴纸(贴纸以及防盜贴纸位置图翻单PO#4500193539</t>
  </si>
  <si>
    <t>日期码格式： ZURU INC(BVI) 标准格式 日期：按实际生产日期
Packaging Info: 
77794UQ1:客版PDQ（翻单PO#4500197867） + MA英语UPC版本包装（收缩膜和说明书, MA首选1L，如无1L可用多语且含英语的配套多语包装) +1张锂电池黑白警语书
纸 + 1张防盗贴纸 (贴纸以及位置图翻单PO#4500193539）+ 箱唛 + 外箱SSCC Label
77869：客制 3L UPC 彩盒包装 (彩盒翻单PO#4500202802)+ 箱唛 + 外箱贴纸SSCC Label
子件77772: MA英语UPC版本包装（收缩膜和说明书, MA首选1L，如无1L可用多语且含英语的配套多语包装) +B版客制收藏指南（收藏指南翻单PO#4500202802）
子件77794: MA英语UPC版本包装（收缩膜和说明书, MA首选1L，如无1L可用多语且含英语的配套多语包装) +1张MA锂电池黑白警语书纸（书纸翻单PO#4500193539）
2PK 77772( remove Messy &lt;(&gt;&amp;&lt;)&gt; Delicious vinyl minis) + 77794 PLAYSET COMBO IN COLOR BOX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请注意此订单与AU PO#4500202802一起合并计算</t>
  </si>
  <si>
    <t>77869-S001-PRODCC1</t>
  </si>
  <si>
    <t>4500202802-30</t>
  </si>
  <si>
    <t>客版收藏指南新资料</t>
  </si>
  <si>
    <t>日期码格式：ZURU INC(BVI) 标准格式 日期：按实际生产日期
Packaging Info: 
77869：客制 3L UPC 彩盒包装 + 箱唛 + 外箱贴纸SSCC Label
子件77772: MA英语UPC版本包装（收缩膜和说明书, MA首选1L，如无1L可用多语且含英语的配套多语包装) +B版客制收藏指南
子件77794: MA英语UPC版本包装（收缩膜和说明书, MA首选1L，如无1L可用多语且含英语的配套多语包装) +1张MA锂电池黑白警语书纸（书纸翻单PO#4500193539）
2PK 77772( remove Messy &lt;(&gt;&amp;&lt;)&gt; Delicious vinyl minis) + 77794 PLAYSET COMBO IN COLOR BOX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请注意此订单与NZ PO#4500202803一起合并计算</t>
  </si>
  <si>
    <t>8WX462WO</t>
  </si>
  <si>
    <t>4500199193-120</t>
  </si>
  <si>
    <t>7/16 订购SSCC Label+1张贴纸(含DE/IT警告语+IT环保标, 参考翻单PO#4500198642);</t>
  </si>
  <si>
    <t>日期码格式：ZURU INC(BVI) 标准格式 日期：按实际生产日期
Packaging Info: Amazon UK: 8WX462WO/6MTFVO4E/795E945F
Amazon UK(15780BD/71172/77876/77878/92146BG)
4. 77876: 2pk 77772 VINYL into PVC tube,12tubes/ctn; 77772: 移除Lola Young vinyl款; 客版 3L(3L warning 无条码,新UK地址,翻单4500198654)收缩膜+客
版收藏指南(移除Lola Young vinyl款,翻单4500198654)+MA 23L warning A组装黑白说明书+MA其它最新配套包装+客版3L(3L warning UPC)彩卡(新UK地址,翻单4500
198654)+1张贴纸(1张含DE/IT警告语+IT环保标, 贴彩卡, 贴纸翻单PO4500198642)+不带电30L B版WEEE说明书;
6. 验货时间不迟于2026/8/7.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,&lt;(&gt;,&lt;)&gt; 此要求只适用Amazon UK/DE
/FR/ES/IT,不适用Amazon GPE，Amazon GPE无SSCC label, 但是有对应箱唛，需印刷到外箱 。
2.出往UK的产品+包装务必打上UKCA logo ，否则客人会退货且当地会有罚款。Amazon GPE（包含UK/FR/ES/DE/IT）的订单也需满足此要求。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故此请严格把关。Amazon GPE（包含UK/FR/ES/DE/IT）的订单也需满足此要求。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
9. 无论是工厂自检还是ZURU验货，验货报告中必须有产品6面图(正面/背面/左面/右面/顶部/底部，不带包装);
10. 按空海运鉴定报告的要求，只要带锂电池出货，都需要加贴UN贴纸；
11. 所有出往GAS市场(德国/奥地利/瑞士)的电子产品身上需要加字唛，为ZURU FRANCE 地址，需跟包装上的地址一致 (如无电子产品，产品布标有此地址，或产品
太小无法增加可忽略此信息。如产品无法加字唛，需让对应跟单提供产品贴纸资料);（Amazon GPE的订单也需满足此要求）
12. 所有出往GAS德国 (瑞士，奥地利)。水弹枪系列必须使用EN71版本（电子和非电子水弹枪系列都需要符合); 护目镜需打日期码, 格式跟ZURU标准格式一样; 枪
身上增加ZURU FRANCE公司名和地址。使用贴纸和辐射上去都可以。如果有位置，最好增加ZURU Represented by: (此最好翻译德语，如果位置不允许，那么就只增
加ZURU法国和地址)。使用最新的EN71版包装和说明书）。Amazon GPE（包含UK/FR/ES/DE/IT）的订单也需满足此要求。</t>
  </si>
  <si>
    <t>795E945F</t>
  </si>
  <si>
    <t>4500199193-130</t>
  </si>
  <si>
    <t>723E1LJK</t>
  </si>
  <si>
    <t>4500213130-30</t>
  </si>
  <si>
    <t>7/16SSCC LABEL+不带电池WEEE C版29L 说明书</t>
  </si>
  <si>
    <t>日期码格式：ZURU INC(BVI) 标准格式 日期：按实际生产日期 
Packaging Info: Amazon DE: 723E1LJK/1GQC28AP
 Amazon DE(15780BD/77794/77876/77878)
 3. 77876: 2pk 77772 VINYL into PVC tube,12tubes/ctn; 77772: 移除Lola Young vinyl款; 客版 3L(3L warning 无条码,新UK地址,翻单4500198654)收缩膜+客
 版收藏指南(移除Lola Young vinyl款,更新歌手名字，翻单4500208529)+MA 23L warning A组装黑白说明书+MA其它最新配套包装+客版3L(3L warning UPC)彩卡(新U
K地址,翻单4500198654)+1张贴纸(1张含DE/IT警告语+IT环保标, 贴彩卡, 贴纸翻单PO4500198642)+不带电池WEEE C版29L 说明书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,&lt;(&gt;,&lt;)&gt; 此要求只适用Amazon UK/DE
 /FR/ES/IT,不适用Amazon GPE，Amazon GPE无SSCC label, 但是有对应箱唛，需印刷到外箱 。
 2.出往UK的产品+包装务必打上UKCA logo ，否则客人会退货且当地会有罚款。Amazon GPE（包含UK/FR/ES/DE/IT）的订单也需满足此要求。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故此请严格把关。Amazon GPE（包含UK/FR/ES/DE/IT）的订单也需满足此要求。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
 9. 无论是工厂自检还是ZURU验货，验货报告中必须有产品6面图(正面/背面/左面/右面/顶部/底部，不带包装);
 10. 按空海运鉴定报告的要求，只要带锂电池出货，都需要加贴UN贴纸；
 11. 所有出往GAS市场(德国/奥地利/瑞士)的电子产品身上需要加字唛，为ZURU FRANCE 地址，需跟包装上的地址一致 (如无电子产品，产品布标有此地址，或产品
 太小无法增加可忽略此信息。如产品无法加字唛，需让对应跟单提供产品贴纸资料);（Amazon GPE的订单也需满足此要求）
 12. 所有出往GAS德国 (瑞士，奥地利)。水弹枪系列必须使用EN71版本（电子和非电子水弹枪系列都需要符合); 护目镜需打日期码, 格式跟ZURU标准格式一样; 枪
 身上增加ZURU FRANCE公司名和地址。使用贴纸和辐射上去都可以。如果有位置，最好增加ZURU Represented by: (此最好翻译德语，如果位置不允许，那么就只增
加ZURU法国和地址)。使用最新的EN71版包装和说明书）。Amazon GPE（包含UK/FR/ES/DE/IT）的订单也需满足此要求。</t>
  </si>
  <si>
    <t>1GQC28AP</t>
  </si>
  <si>
    <t>4500213130-60</t>
  </si>
  <si>
    <t>4500208841-280</t>
  </si>
  <si>
    <t>日期码格式：  标准格式                  日期：按实际生产日期
Packaging Info: 
77876 英法铜版纸UPC版本193052102485。  77772 MA 3L EAN版本+空白贴纸。翻单4500198654
Remark: 出加拿大
有客供价格贴
每行对应不同的客户PO，唛头要一一对应，  放唛头时跟单会提供清单
Zuru验货. 日期跟踪码：产品外包装及产品本身都必须有日期跟踪码，ZURU标准格式
日期码</t>
  </si>
  <si>
    <t>4500208841-410</t>
  </si>
  <si>
    <t>4500208821-230</t>
  </si>
  <si>
    <t>4500206065-40</t>
  </si>
  <si>
    <t>4500212175-10</t>
  </si>
  <si>
    <t>进口商贴纸翻单4500200402+UPC贴纸</t>
  </si>
  <si>
    <t>日期码格式：ZURU INC(BVI) 标准格式 日期：按实际生产日期 Tracking Code:
Packaging Info: 77772GQ2：MA 多语包装+进口商贴纸+UPC贴纸+箱唛，进口商贴纸翻单PO#4500200402
Remark:</t>
  </si>
  <si>
    <t>WEGMANS FOOD MARKETS INC.</t>
  </si>
  <si>
    <t>4500208146-10</t>
  </si>
  <si>
    <t>日期码格式：ZURU INC(BVI) 标准格式                  日期：按实际生产日期
Packaging Info: 1：ZURU MA UPC 版 (首选1L/ 多语可以接受)
Remark: 2：箱唛需要印ZURU 最新 LOGO, 内容需要清晰可见，若有模糊的需要加贴纸覆盖。
3：产品和包装印刷tracking code信息，格式为ZURU常规格式。
4：需ZURU QC 验货合格后方可出货</t>
  </si>
  <si>
    <t>Jessi Xu</t>
  </si>
  <si>
    <t>ZURU  GERMANY  GMBH</t>
  </si>
  <si>
    <t>4500213100-10</t>
  </si>
  <si>
    <t>拆行，总数不变</t>
  </si>
  <si>
    <t>8/14截SI</t>
  </si>
  <si>
    <t>多语警语折叠贴纸（翻单4500193875）+1*  C版  29L  WEEE不带电走货说明书</t>
  </si>
  <si>
    <t>日期码格式：ZURU  INC(BVI)  标准格式                                    日期：按实际生产日期
Packaging Info: 77772GQ1：MA  3L  EAN  收缩膜+1*多语警语折叠贴纸（翻单4500193875）+MA  23L  组装说明书+MA  5L+23L  收藏指南+MA  纸卡+MA  复合袋+MA  3L  PDQ+1*  C版  29L  WE
EE不带电走货说明书
13,000 pc 海运
12,012 pc 空运
Remark: 1.德国内销单，需要通过ZURU  验货结果后才能出货  (工厂需要主动提前同ZURU  QC预约验货避免延期出货造成不必要麻烦)；
2.产品如含有化学品（slime  等），需要无硼无香。需要无微塑料版本。产品如含有硅藻泥干燥剂，需要另外加一张14L干燥剂说明书。
3.所有出口欧洲的产品,  法规规定禁止在包装和共公众用的印刷品中使用矿物油中含有的物质,  包装印刷油墨中含有的MOAH/MOSH的质量浓度不能超过1%,  否则出货
到法国被抽检出现问题,  供应商需要对此负责;
   4.  date  code:  外箱日期码要晚于或等于产品日期码，不能早于产品的日期码；
   5.  所有出往德国的电子产品身上需要加字唛，为ZURU  FRANCE  地址，需跟包装上的地址一致  (如无电子产品，产品布标有此地址，或产品太小无法增加可忽略此信
息。如产品无法加字唛，需让对应跟单提供产品贴纸资料)
新地址：ZURU  France  33  rue  Paul  Meurice  75020  Paris,  France
旧地址：ZURU  France  1/3,  Rue  d'Argenteuil  95210  SAINT-GRATIEN,  FRANCE
6.所有出往德国订单的电子产品需增加一张最新版本的欧洲通用WEEE声明说明书，区分带电池和不带电池版本,  如已做客版说明书可忽略此要求。
7.装柜时需要按照款式号码从小到大一款款依次装,避免终端仓库卸货混乱.若一个柜子涉及到几个不同国家内销单,装柜时需要一个国家装完后再装另一个国家的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8.ratio  同MA
9.  若有特定款有特殊外箱条码要求时,需要明确列出产品款对应的具体外箱条码号码/条码类型  (若无,可以忽略此需求).</t>
  </si>
  <si>
    <t>Faye  Lei,Amy  Xiao</t>
  </si>
  <si>
    <t>10001964591-0581</t>
  </si>
  <si>
    <t>4500214709-10</t>
  </si>
  <si>
    <t>由4500211709转单</t>
  </si>
  <si>
    <t>4500218194-10</t>
  </si>
  <si>
    <t>由4500217456转单</t>
  </si>
  <si>
    <t>日期码格式：ZURU INC(BVI) 标准格式 日期：按实际生产日期 Tracking Code:
Packaging Info: "#77772：4 mini vinyls,1 accessory
 MA英语UPC版本包装（收缩膜和说明书, MA首选1L，如无1L可用多语且含英语的配套多语包装) +两张覆盖PDQ上唱片的贴纸+两张覆盖收藏指南上唱片的贴纸+一张""
43""数字贴纸覆盖原PDQ上数字""45""+一张""43""贴纸覆盖原收藏指南上数字""45""+箱唛，去掉""Delicious""和""Messy""专辑。
 翻单PO#4500198032"
Remark: 此客人不接受易掉落或者剥落或者可直接触碰的闪粉，可降解也不行，但可以接受符合欧洲微塑料标准的珠光粉或者闪片。
 此单出口澳大利亚/新西兰, 请按澳新标准生产. 如产品含纽扣电池出货, 包装前面和说明书上需加纽扣电池警语贴纸。</t>
  </si>
  <si>
    <t>4500218194-20</t>
  </si>
  <si>
    <t>4500211476-10</t>
  </si>
  <si>
    <t>客版5L收藏指南(翻PO#4500200925)</t>
  </si>
  <si>
    <t>日期码格式：ZURU INC(BVI) 标准格式                  日期：按实际生产日期
Packaging Info: "77772GQ2: MA PDQ (优先多语)+客版5L收缩膜 (翻PO#4500191961) +客版5L收藏指南(不含Messy唱片, 翻PO#4500211227)+MA 23L组装说明书+MA内袋+C版WEEE声明
(不带电池)走货欧洲通用29L说明书
EAN#4894680051133
*必须移除Messy Lola Young (VINYL-S1-021) 这个唱片, 比例按PM更新的安排, 如未按要求做货被客罚由工厂承担责任*"
Remark: Smyths 德国
 1. 请准时出货，推期会有罚款；
 2. 所有产品按符合欧洲标准走货，需要是不含微塑料版本。
 3. 所有电子产品身上需要加字唛，为ZURU FRANCE 地址 (如无电子产品，产品布标有此地址，或产品太小无法增加可忽略此信息)，新地址ZURU FRANCE.33 rue Pa
 ul Meurice 75020 Paris, France.
 4. 包装/说明书(如有)/产品(如有)上的法国地址信息必须保持一致，不可出现包装上是新地址，说明书上是旧地址；如地址信息不一致请通知跟单更新文件；
 5. 电子产品需增加一张WEEE声明29L通用黑白说明书，区分带电池(D版)和不带电池(C版)出货版本, 如已做带WEEE声明的客版说明书可忽略此要求；如包装备注上
缺少此部分信息，请提醒跟单更新备注。
6.所有出往德国市场有关slime和带香味的都需要出无硼无香版本；
7.订单备注显示有分批的(不同仓库/订单号), 一定要区分客户订单号做货出货，否则会导致罚款  。
8.包装日期码按ZURU格式即可，请确保不迟于外箱日期码，可等于或者早于外箱日期码，必须为法定工作日。
9.做货前请先复核包装条码与订单是否一致再安排，对不上的需与ZURU跟单确认再安排。
10.包装必须含法国回收标(Sorting Label)，如没有，请提醒跟单提供贴纸资料。</t>
  </si>
  <si>
    <t>GAMELIFE</t>
  </si>
  <si>
    <t>4500211395-10</t>
  </si>
  <si>
    <t>7/3意大利警语贴纸（含意大利环保标）+不带电池出货通用29Lweee说明书纸</t>
  </si>
  <si>
    <t>日期码格式：ZURU INC(BVI) 标准格式                  日期：按实际生产日期
Packaging Info: 1. 77772：最新MA 3L EAN收缩膜+最新MA 5L收藏指南+最新MA 23L说明书+最新MA 3L PDQ+一张意大利警语贴纸（含意大利环保标）+不带电池出货通用29Lweee说明
书纸
Remark: 1. SMASHERS 或含Slime产品，所有化合物使用无硼版本出意大利。
 2. 本订单所有 具有 baby items / assorted items 的款式，零售包装上都要用 母 EAN;
3.所有出口欧洲的产品, 法规规定禁止在包装和共公众用的印刷品中使用矿物油中含有的物质, 包装印刷油墨中含有的MOAH/MOSH的质量浓度不能超过1%, 否则出货
到意大利被抽检出现问题, 供应商需要对此负责;
 4. 意大利订单包装彩卡请确保含法规要求的环保回收logo。
 5. 所有带电池的产品请基于带/不带电池出货自行订购最新的 "WEEE说明书欧洲EN+29L"</t>
  </si>
  <si>
    <t>4500211538-40</t>
  </si>
  <si>
    <t>日期码格式：ZURU INC(BVI) 标准格式                  日期：按实际生产日期
Packaging Info: 
77772GQ2  MA 3L EAN版本+UPC贴纸193052090065，UPC贴纸翻单4500193076
Remark: 出加拿大
Zuru验货. 日期跟踪码：产品外包装及产品本身都必须有日期跟踪码，ZURU标准格式日期码</t>
  </si>
  <si>
    <t>4500209975-60</t>
  </si>
  <si>
    <t>4500216475-30</t>
  </si>
  <si>
    <t>4500211227转PO4500216475</t>
  </si>
  <si>
    <t>日期码格式：ZURU INC(BVI) 标准格式                  日期：按实际生产日期
Packaging Info: "77772GQ2: MA PDQ (优先多语)+客版5L收缩膜 (翻PO#4500191961) +客版5L收藏指南(翻PO#4500211227)+MA 23L组装说明书+MA内袋
EAN#4894680051133
*必须移除Messy Lola Young (VINYL-S1-021) 这个唱片, 比例按PM更新的安排, 如未按要求做货被客罚由工厂承担责任*
如达不到包材MOQ-
77772GQ2: MA PDQ (优先多语)+MA 3L-EAN收缩膜+1张含德语callout/德意荷警语/法国sorting label贴纸(翻单PO#4500196046)+客版5L收藏指南(不含Messy唱片,
翻PO#4500211227)
EAN#4894680051133
*必须移除Messy Lola Young (VINYL-S1-021) 这个唱片, 比例按PM更新的安排, 如未按要求做货被客罚由工厂承担责任*"
Remark: "Smyths 英国/爱尔兰
 1. 请准时出货，推期会有罚款；
 2. 所有产品按符合欧洲标准走货，需要是不含微塑料版本。
3.包装日期码按ZURU格式即可，请确保不迟于外箱日期码，可等于或者早于外箱日期码，必须为法定工作日，印刷前请先检查外箱日期码。
4.请注意检查产品及包装应带UKCA图标（14+产品除外），包装显示ZURU UK LTD/ZURU France地址信息，QC部门请查核，如有问题与跟单确认
5.电子产品需增加一张WEEE声明29L通用黑白说明书，区分带电池(D版)和不带电池(C版)出货版本, 如已做带WEEE声明的客版说明书可忽略此要求；如包装备注上缺
少此部分信息，请提醒跟单更新备注。
6.订单备注显示有分批的(不同仓库/订单号), 一定要区分客户订单号做货出货，否则会导致罚款  。
7.做货前请先复核包装条码与订单是否一致再安排，对不上的需与ZURU跟单确认再安排。
8.包装必须含法国回收标(Sorting Label)，如没有，请提醒跟单提供贴纸资料。"</t>
  </si>
  <si>
    <t>4500210963-10</t>
  </si>
  <si>
    <t>WEEE C版不带电说明书，6/29进口商贴纸</t>
  </si>
  <si>
    <t>日期码格式：ZURU INC(BVI) 标准格式                  日期：按实际生产日期
Packaging Info: 77772GQ1-S001:MA A版3L UPC  收缩膜+A版23L组装说明书+B版 5L收藏指南+WEEE C版不带电说明书，MA A版3L PDQ，加进口商贴纸
PDQ，加进口商贴纸
Remark: 1、若产品有比例使用ZURU STD 比例；
 2、所有item的包装需要有CE logo，均用MA UPC 条码，若包装不是UPC 条码的请告知；
 3、此单出欧洲需满足EU测试标准要求。含有闪粉类的产品，闪粉必须符合欧盟要求且可降解；电池产品（带电池/不带电池走货）需要添加WEEE通用说明书；
 4、电池产品请确保使用新说明书以及新标识的电池以符合最新(EU) 2023/1542法规  （增加制造商信息，电池种类，制造商地址，电池重量，化学组成，可用的灭
火器，浓度重量占比&gt;0.1%的关键原材料，二维码），如果电池不含这些信息，也需要确保电池说明书含这些信息。</t>
  </si>
  <si>
    <t>4500212561-10</t>
  </si>
  <si>
    <t>6/23 客户价格贴纸（覆盖掉原来的EAN#条形码）</t>
  </si>
  <si>
    <t>日期码格式：ZURU INC(BVI) 标准格式                  日期：按实际生产日期
Packaging Info: 1.Claire's 这个客户在US+CA出售，所有的产品图稿包括配件必须是多语（务必要有英法语），无硼版本，符合加拿大市场要求，包装MA 2L/3L +客户价格贴纸（覆
盖掉原来的EAN#条形码）
2. 客人指定箱唛排版
3.要加客供价格贴纸，务必覆盖掉原本的EAN
4. 77772GQ1-S002    4  mini vinyls,1 accessory
Remark: 1.出货前 Zuru QC 验货
2.价格贴纸需覆盖收缩膜上的EAN,贴大货之前先贴一个给跟单确认位置图</t>
  </si>
  <si>
    <t>ZB07533-8.17</t>
  </si>
  <si>
    <t>4500213100-20</t>
  </si>
  <si>
    <t>日期码格式：ZURU INC(BVI) 标准格式 日期：按实际生产日期
Packaging Info: 77772GQ1：MA 3L EAN 收缩膜+1*多语警语折叠贴纸（翻单4500193875）+MA 23L 组装说明书+MA 5L+23L 收藏指南+MA 纸卡+MA 复合袋+MA 3L PDQ+1* C版 29L WE
EE不带电走货说明书
13,000 pc 海运
12,012 pc 空运
Remark: 1.德国内销单，需要通过ZURU 验货结果后才能出货 (工厂需要主动提前同ZURU QC预约验货避免延期出货造成不必要麻烦)；
2.产品如含有化学品（slime 等），需要无硼无香。需要无微塑料版本。产品如含有硅藻泥干燥剂，需要另外加一张14L干燥剂说明书。
3.所有出口欧洲的产品, 法规规定禁止在包装和共公众用的印刷品中使用矿物油中含有的物质, 包装印刷油墨中含有的MOAH/MOSH的质量浓度不能超过1%, 否则出货
到法国被抽检出现问题, 供应商需要对此负责;
4. date code: 外箱日期码要晚于或等于产品日期码，不能早于产品的日期码；
5. 所有出往德国的电子产品身上需要加字唛，为ZURU FRANCE 地址，需跟包装上的地址一致 (如无电子产品，产品布标有此地址，或产品太小无法增加可忽略此信
息。如产品无法加字唛，需让对应跟单提供产品贴纸资料)
新地址：ZURU France 33 rue Paul Meurice 75020 Paris, France
旧地址：ZURU France 1/3, Rue d'Argenteuil 95210 SAINT-GRATIEN, FRANCE
6.所有出往德国订单的电子产品需增加一张最新版本的欧洲通用WEEE声明说明书，区分带电池和不带电池版本, 如已做客版说明书可忽略此要求。
7.装柜时需要按照款式号码从小到大一款款依次装,避免终端仓库卸货混乱.若一个柜子涉及到几个不同国家内销单,装柜时需要一个国家装完后再装另一个国家的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8.ratio 同MA
9. 若有特定款有特殊外箱条码要求时,需要明确列出产品款对应的具体外箱条码号码/条码类型 (若无,可以忽略此需求).</t>
  </si>
  <si>
    <t>4500208745-40</t>
  </si>
  <si>
    <r>
      <rPr>
        <sz val="12"/>
        <color rgb="FF000000"/>
        <rFont val="宋体"/>
        <charset val="134"/>
      </rPr>
      <t>日期码格式：ZURU INC(BVI) 标准格式 日期：
Packaging Info: 1. 客版展示架，可以跟其他客户合并订购物料，</t>
    </r>
    <r>
      <rPr>
        <sz val="12"/>
        <color rgb="FFFF0000"/>
        <rFont val="宋体"/>
        <charset val="134"/>
      </rPr>
      <t>展示架AW翻单号4500200392，产品MA UPC包装（优先1L）出美国</t>
    </r>
    <r>
      <rPr>
        <sz val="12"/>
        <color rgb="FF000000"/>
        <rFont val="宋体"/>
        <charset val="134"/>
      </rPr>
      <t xml:space="preserve">
2. 客人指定箱唛排版
3. ratio: 77772: 4 mini vinyls,1 accessory
4.Loading: W3 * D3 *H4= 36 pcs 77772 capsule
W2 * D3 * H 2= 12pcs 77794 playset
5.外箱要加颜色标签，标签只贴两面正唛，不要遮挡住其他唛头内容，谢谢。
6.77772需要加UPC贴纸，UPC条码应该为193052118721，覆盖原来的产品UPC，贴纸跟单提供
Remark: 出货前 Zuru QC 验货</t>
    </r>
  </si>
  <si>
    <t>0005606736</t>
  </si>
  <si>
    <t>4500214828-30</t>
  </si>
  <si>
    <t>0005606721</t>
  </si>
  <si>
    <t>4500214828-50</t>
  </si>
  <si>
    <t>0005606751</t>
  </si>
  <si>
    <t>4500214828-60</t>
  </si>
  <si>
    <t>0005606720</t>
  </si>
  <si>
    <t>4500214828-70</t>
  </si>
  <si>
    <t>7/16RFID贴纸</t>
  </si>
  <si>
    <t>0005606726</t>
  </si>
  <si>
    <t>4500214828-80</t>
  </si>
  <si>
    <t>0005606718</t>
  </si>
  <si>
    <t>4500214828-90</t>
  </si>
  <si>
    <t>0005606741</t>
  </si>
  <si>
    <t>4500214828-120</t>
  </si>
  <si>
    <t>4500211400-30</t>
  </si>
  <si>
    <t>8/21截SI</t>
  </si>
  <si>
    <t>7/8进口商贴纸（含希腊警语+意大利环保标）+一张产品贴纸+一张意/希weee说明书纸</t>
  </si>
  <si>
    <t>客人日期码：LOT2632，包装（含收缩膜等）/产品/外箱 请保持一致。</t>
  </si>
  <si>
    <t>日期码格式：LOT2632                  日期：
Packaging Info: 
 3. 77772: 最新MA 3L EAN收缩膜+最新MA 5L收藏指南+最新MA 23L说明书+最新MA 3L PDQ+一张进口商贴纸（含希腊警语+意大利环保标）+一张产品贴纸+一张意/希
 weee说明书纸
Remark: 1.RATIO 同MA 一致。
2.验货后会抽办1套/item，请多备料。大货样品2套/item，用于客人验货签板，具体以邮件通知为准
3.客人日期码：LOT2632，包装（含收缩膜等）/产品/外箱 请保持一致。
4.产品均符合EU微塑料法规要求：不能含有微塑料/闪粉
 5. SMASHERS 或含Slime产品，所有化合物使用无硼或低硼版本出意大利。
 6. 本订单所有 具有 baby items / assorted items 的款式，零售包装上都要用 母 EAN;
 7. 此客户需要第三方验货，请在约三方验货前必须PASS ZURU验货。
 8. 所有带电产品请复核跟单是否有提供客人指定内容的WEEE说明书（不是通用29L版本）；如果做了客版说明书，则会将weee说明加进客版说明书中
 9.带干燥剂的产品需要加一张"干燥剂说明书14L"</t>
  </si>
  <si>
    <t>AMAZON ES</t>
  </si>
  <si>
    <t>3UKUBOGG</t>
  </si>
  <si>
    <t>4500211830-20</t>
  </si>
  <si>
    <t>7/16外箱贴纸SSCC Label+不带电池C版WEEE说明书</t>
  </si>
  <si>
    <t>日期码格式：ZURU INC(BVI) 标准格式 日期：按实际生产日期
Packaging Info: Amazon ES:3UKUBOGG
Amazon UK:113SVEVX
ES(77794/77876)/UK(77794)
1. 77876:2pk 77772 VINYL into PVC tube,12tubes/ctn; 77772: 移除Lola Young vinyl款; 客版 3L(3L warning 无条码,新UK地址,翻单4500198654)收缩膜+客版
收藏指南(移除Lola Young vinyl款,更新歌手名字，翻单4500208529)+MA 23L warning A组装黑白说明书+MA其它最新配套包装+客版3L(3L warning UPC)彩卡(新UK
地址,翻单4500198654)+1张贴纸(1张含DE/IT警告语+IT环保标, 贴彩卡, 贴纸翻单PO4500198642)+不带电WEEE C版29L 说明书
3. 最晚验货时间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,&lt;(&gt;,&lt;)&gt; 此要求只适用Amazon UK/DE
/FR/ES/IT,不适用Amazon GPE，Amazon GPE无SSCC label, 但是有对应箱唛，需印刷到外箱 。
2.出往UK的产品+包装务必打上UKCA logo ，否则客人会退货且当地会有罚款。Amazon GPE（包含UK/FR/ES/DE/IT）的订单也需满足此要求。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故此请严格把关。Amazon GPE（包含UK/FR/ES/DE/IT）的订单也需满足此要求。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
9. 无论是工厂自检还是ZURU验货，验货报告中必须有产品6面图(正面/背面/左面/右面/顶部/底部，不带包装);
10. 按空海运鉴定报告的要求，只要带锂电池出货，都需要加贴UN贴纸；
11. 所有出往GAS市场(德国/奥地利/瑞士)的电子产品身上需要加字唛，为ZURU FRANCE 地址，需跟包装上的地址一致 (如无电子产品，产品布标有此地址，或产品
太小无法增加可忽略此信息。如产品无法加字唛，需让对应跟单提供产品贴纸资料);（Amazon GPE的订单也需满足此要求）
12. 所有出往GAS德国 (瑞士，奥地利)。水弹枪系列必须使用EN71版本（电子和非电子水弹枪系列都需要符合); 护目镜需打日期码, 格式跟ZURU标准格式一样; 枪
身上增加ZURU FRANCE公司名和地址。使用贴纸和辐射上去都可以。如果有位置，最好增加ZURU Represented by: (此最好翻译德语，如果位置不允许，那么就只增
加ZURU法国和地址)。使用最新的EN71版包装和说明书）。Amazon GPE（包含UK/FR/ES/DE/IT）的订单也需满足此要求。</t>
  </si>
  <si>
    <t>0005606735</t>
  </si>
  <si>
    <t>4500214828-170</t>
  </si>
  <si>
    <t>0005606723</t>
  </si>
  <si>
    <t>4500214828-150</t>
  </si>
  <si>
    <t>0005606722</t>
  </si>
  <si>
    <t>4500214828-160</t>
  </si>
  <si>
    <t>0005606732</t>
  </si>
  <si>
    <t>4500214828-140</t>
  </si>
  <si>
    <t>新纸箱</t>
  </si>
  <si>
    <r>
      <rPr>
        <sz val="12"/>
        <color rgb="FF000000"/>
        <rFont val="宋体"/>
        <charset val="134"/>
      </rPr>
      <t xml:space="preserve">日期码格式：ZURU INC(BVI) 标准格式 日期：按实际生产日期 Tracking Code:
Packaging Info: 1.包装要求：
 客版 1L new UPC 收缩膜+MA 5L A版收藏指南+MA 23L A版说明书+MA A版纸袋+客版1L PDQ，翻单：4500214410
 消耗WM US取消订单物料
 New UPC number:193052118721
每pcs产品上要贴1张RFID贴纸，贴纸由ZURU提供，贴纸位置请严格按照我们签回的签板；
Remark: 1.包装要求：
 客版 1L new UPC 收缩膜+MA 5L A版收藏指南+MA 23L A版说明书+MA A版纸袋+客版1L PDQ，翻单：4500214410
 消耗WM US取消订单物料
 New UPC number:193052118721
每pcs产品上要贴1张RFID贴纸，贴纸由ZURU提供，贴纸位置请严格按照我们签回的签板；
 2. 外箱印刷带条码的RFID箱唛：RFID紫色色带+WM Dept.图标+RFID图标+ITF-14条码，四面右下角印刷ZURU logo, ITFF条码只印刷在正唛一面，在加印的时候确保
 条形码能扫描出来，外箱侧面任一角落加印："MADE IN CHINA" 字样；
</t>
    </r>
    <r>
      <rPr>
        <sz val="12"/>
        <color rgb="FFFF0000"/>
        <rFont val="宋体"/>
        <charset val="134"/>
      </rPr>
      <t xml:space="preserve"> 3. 每个slip sheet上面贴一张艾利贴纸（不干胶贴纸）和一张普通贴纸（A4纸），slip sheet打印的普通贴纸的尺寸不能比艾利贴纸小，普通贴纸内容见附件；</t>
    </r>
    <r>
      <rPr>
        <sz val="12"/>
        <color rgb="FF000000"/>
        <rFont val="宋体"/>
        <charset val="134"/>
      </rPr>
      <t xml:space="preserve">
 3. 在产品上和包装上要有日期码、以及要有MADE IN CHINA和ZURU字样；
 4. 产品如有扎带口要剪平，不能刮手。
 5. 此单需要验货，请多备料
 6. 此单以</t>
    </r>
    <r>
      <rPr>
        <sz val="12"/>
        <color rgb="FFFF0000"/>
        <rFont val="宋体"/>
        <charset val="134"/>
      </rPr>
      <t>slip sheet出货，960pcs/60CTNS/Slip sheet
 WM PO#0005606732/0005606723/0005606722/0005606735因为出空运改走loose carton，16pcs/PDQ/CTN</t>
    </r>
  </si>
  <si>
    <t>4500207489-10</t>
  </si>
  <si>
    <t>7/20外箱贴纸SSCC Label+一张防盜贴纸(贴纸以及防盜贴纸位置图翻单PO#4500193539+空白贴纸挡住UPC条码</t>
  </si>
  <si>
    <t>日期码格式：ZURU INC(BVI) 标准格式 日期：按实际生产日期 Tracking Code:
Packaging Info: 77869：客制 3L UPC 彩盒包装（彩盒翻单PO#4500202802） + 箱唛 + 外箱贴纸SSCC Label
 子件77772: MA英语UPC版本包装（收缩膜和说明书, MA首选1L，如无1L可用多语且含英语的配套多语包装) +1张空白贴纸挡住UPC条码+B版客制收藏指南（收藏指南
 翻单PO#4500202802）
 子件77794: MA英语UPC版本包装（收缩膜和说明书, MA首选1L，如无1L可用多语且含英语的配套多语包装) +1张MA锂电池黑白警语书纸（书纸翻单PO#4500193539）
 2PK 77772( remove Messy &lt;(&gt;&amp;&lt;)&gt; Delicious vinyl minis) + 77794 PLAYSET COMBO IN COLOR BOX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此单需要与NZ PO#4500207492一起合并计算</t>
  </si>
  <si>
    <t>4500207489-20</t>
  </si>
  <si>
    <t>4500216477-20</t>
  </si>
  <si>
    <t>4500211354转PO4500216477</t>
  </si>
  <si>
    <t>日期码格式：ZURU INC(BVI) 标准格式                  日期：按实际生产日期
Packaging Info: 
"77772GQ2: MA PDQ (优先多语)+客版5L收缩膜 (翻PO#4500191961) +客版5L收藏指南(翻PO#4500211227)+MA 23L组装说明书+MA内袋
EAN#4894680051133
*必须移除Messy Lola Young (VINYL-S1-021) 这个唱片, 比例按PM更新的安排, 如未按要求做货被客罚由工厂承担责任*
如达不到包材MOQ-
77772GQ2: MA PDQ (优先多语)+MA 3L-EAN收缩膜+1张含德语callout/德意荷警语/法国sorting label贴纸(翻单PO#4500196046)+客版5L收藏指南(不含Messy唱片,
翻PO#4500211227)
EAN#4894680051133
*必须移除Messy Lola Young (VINYL-S1-021) 这个唱片, 比例按PM更新的安排, 如未按要求做货被客罚由工厂承担责任*"
Remark: "Smyths 英国/爱尔兰
 1. 请准时出货，推期会有罚款；
 2. 所有产品按符合欧洲标准走货，需要是不含微塑料版本。
3.包装日期码按ZURU格式即可，请确保不迟于外箱日期码，可等于或者早于外箱日期码，必须为法定工作日，印刷前请先检查外箱日期码。
4.请注意检查产品及包装应带UKCA图标（14+产品除外），包装显示ZURU UK LTD/ZURU France地址信息，QC部门请查核，如有问题与跟单确认
5.电子产品需增加一张WEEE声明29L通用黑白说明书，区分带电池(D版)和不带电池(C版)出货版本, 如已做带WEEE声明的客版说明书可忽略此要求；如包装备注上缺
少此部分信息，请提醒跟单更新备注。
6.订单备注显示有分批的(不同仓库/订单号), 一定要区分客户订单号做货出货，否则会导致罚款  。
7.做货前请先复核包装条码与订单是否一致再安排，对不上的需与ZURU跟单确认再安排。
8.包装必须含法国回收标(Sorting Label)，如没有，请提醒跟单提供贴纸资料。"</t>
  </si>
  <si>
    <t>4500211942-50</t>
  </si>
  <si>
    <t>客版5L收缩膜 (翻PO#4500191961) +客版5L收藏指南(翻PO#4500211229)</t>
  </si>
  <si>
    <t>日期码格式：ZURU INC(BVI) 标准格式                  日期：按实际生产日期
Packaging Info: 
77772GQ2: MA PDQ (优先多语)+客版5L收缩膜 (翻PO#4500191961) +客版5L收藏指南(翻PO#4500211229)+MA 23L组装说明书+MA内袋
EAN#4894680051133
*必须移除Messy Lola Young (VINYL-S1-021) 这个唱片, 比例按PM更新的安排, 如未按要求做货被客罚由工厂承担责任*
Remark: Smyths 法国
 1. 请准时出货，推期会有罚款；
 2. 所有产品按符合欧洲标准走货，需要是不含微塑料版本。
 3. 电子产品需增加一张WEEE声明29L通用黑白说明书，区分带电池(D版)和不带电池(C版)出货版本, 如已做带WEEE声明的客版说明书可忽略此要求；如包装备注上
缺少此部分信息，请提醒跟单更新备注。
 4. 出口法国的产品, 法规规定禁止在包装和共公众用的印刷品中使用矿物油中含有的物质, 包装印刷油墨中含有的MOAH/MOSH的质量浓度不能超过0.1%, 否则出货
到法国被抽检出现问题, 供应商需要对此负责;
5.订单备注显示有分批的(不同仓库/订单号), 一定要区分客户订单号做货出货，否则会导致罚款  。
6.包装日期码按ZURU格式即可，请确保不迟于外箱日期码，可等于或者早于外箱日期码，必须为法定工作日。
7.做货前请先复核包装条码与订单是否一致再安排，对不上的需与ZURU跟单确认再安排。
8.包装必须含法国回收标(Sorting Label)，如没有，请提醒跟单提供贴纸资料。</t>
  </si>
  <si>
    <t>4500211942-60</t>
  </si>
  <si>
    <t>4500211942-70</t>
  </si>
  <si>
    <t>4500211942-80</t>
  </si>
  <si>
    <t>8/24截SI</t>
  </si>
  <si>
    <t>4500210792-10</t>
  </si>
  <si>
    <t>7/20外箱贴纸SSCC Label+一张防盜贴纸(贴纸以及防盜贴纸位置图翻单PO#4500193539</t>
  </si>
  <si>
    <t>客制PDQ +客制收藏指南（PDQ与收藏指南翻单PO#4500197999）</t>
  </si>
  <si>
    <t>ZURU CANADA INC.</t>
  </si>
  <si>
    <t>4500211804-20</t>
  </si>
  <si>
    <t>覆盖原铜板纸上的旧UPC贴纸</t>
  </si>
  <si>
    <t>3L无UPC客版收缩膜，客版收缩膜和3L铜版纸图稿翻单4500192506</t>
  </si>
  <si>
    <t>日期码格式：ZURU INC(BVI) 标准格式 日期：按实际生产日期
Packaging Info: 
#77876:2PK MA 3L UPC版#77772入PVC桶，3L无UPC客版收缩膜，客版收缩膜和3L铜版纸图稿翻单4500192506.（两个球的配比不能重复）。77876需要返工移除两款唱
片（具体唱片以SP通知为准），返工后的产品需要加UPC贴纸 (新UPC-193052118752)，覆盖原铜板纸上的旧UPC。
Remark: 1.Amazon domestic 订单。出口加拿大。外箱最长边不能超过25" （超过了，case pack只能为1），不符合要求的大货，一律不接受。
2.无第三方验货/测试要求。
3.日期码使用ZURU标准版本。
4.如果大货有要求入邮包盒，则对应的邮包盒上面要打上日期码。</t>
  </si>
  <si>
    <t>7GKBYZ7L</t>
  </si>
  <si>
    <t>4500213132-10</t>
  </si>
  <si>
    <t>7/16SSCC LABEL</t>
  </si>
  <si>
    <t>日期码格式：ZURU INC(BVI) 标准格式 日期：按实际生产日期 Tracking Code:
Packaging Info: Amazon UK:7GKBYZ7L
 Amazon UK(77876)
 1. 77876: 2pk 77772 VINYL into PVC tube,12tubes/ctn; 77772: 移除Lola Young vinyl款; 客版 3L(3L warning 无条码,新UK地址,翻单4500198654)收缩膜+客
 版收藏指南(移除Lola Young vinyl款,更新歌手名字，翻单4500208529)+MA 23L warning A组装黑白说明书+MA其它最新配套包装+客版3L(3L warning UPC)彩卡(新U
K地址,翻单4500198654)+1张贴纸(1张含DE/IT警告语+IT环保标, 贴彩卡, 贴纸翻单PO4500198642)+不带电池WEEE 29L C版说明书
 2. 验货时间不迟于2026/08/11.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,&lt;(&gt;,&lt;)&gt; 此要求只适用Amazon UK/DE
 /FR/ES/IT,不适用Amazon GPE，Amazon GPE无SSCC label, 但是有对应箱唛，需印刷到外箱 。
 2.出往UK的产品+包装务必打上UKCA logo ，否则客人会退货且当地会有罚款。Amazon GPE（包含UK/FR/ES/DE/IT）的订单也需满足此要求。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故此请严格把关。Amazon GPE（包含UK/FR/ES/DE/IT）的订单也需满足此要求。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
 9. 无论是工厂自检还是ZURU验货，验货报告中必须有产品6面图(正面/背面/左面/右面/顶部/底部，不带包装);
 10. 按空海运鉴定报告的要求，只要带锂电池出货，都需要加贴UN贴纸；
 11. 所有出往GAS市场(德国/奥地利/瑞士)的电子产品身上需要加字唛，为ZURU FRANCE 地址，需跟包装上的地址一致 (如无电子产品，产品布标有此地址，或产品
 太小无法增加可忽略此信息。如产品无法加字唛，需让对应跟单提供产品贴纸资料);（Amazon GPE的订单也需满足此要求）
 12. 所有出往GAS德国 (瑞士，奥地利)。水弹枪系列必须使用EN71版本（电子和非电子水弹枪系列都需要符合); 护目镜需打日期码, 格式跟ZURU标准格式一样; 枪
 身上增加ZURU FRANCE公司名和地址。使用贴纸和辐射上去都可以。如果有位置，最好增加ZURU Represented by: (此最好翻译德语，如果位置不允许，那么就只增
加ZURU法国和地址)。使用最新的EN71版包装和说明书）。Amazon GPE（包含UK/FR/ES/DE/IT）的订单也需满足此要求。</t>
  </si>
  <si>
    <t>4500207492-30</t>
  </si>
  <si>
    <t>日期码格式：ZURU  INC(BVI)  标准格式                                    日期：按实际生产日期
Packaging Info: 
77772GQ1:MA英语UPC版本包装（收缩膜和说明书,  MA首选1L，如无1L可用多语且含英语的配套多语包装)  +一张防盜贴纸(贴纸以及防盜贴纸位置图翻单PO#450019353
9)+客制PDQ（PDQ翻单PO#4500197999）+客制B版收藏指南（收藏指南翻单PO#4500202802的77869的子件77772）+箱唛+外箱贴纸SSCC  Label
配比信息：4    mini  vinyls,1  accessory
Removed了  """"Messy  &lt;(&gt;&amp;&lt;)&gt;  Delicious""""两张唱片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 13,10-16kg  超重logo
   2）CBM超过0. 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此单需要与AU  PO#4500207489一起合并计算</t>
  </si>
  <si>
    <t>4500207489-30</t>
  </si>
  <si>
    <t>日期码格式：ZURU INC(BVI) 标准格式 日期：按实际生产日期 Tracking Code:
Packaging Info: 77869：客制 3L UPC 彩盒包装 + 箱唛 + 外箱贴纸SSCC Label
 子件77772: MA英语UPC版本包装（收缩膜和说明书, MA首选1L，如无1L可用多语且含英语的配套多语包装) +B版客制收藏指南（收藏指南翻单PO#4500202802）
 子件77794: MA英语UPC版本包装（收缩膜和说明书, MA首选1L，如无1L可用多语且含英语的配套多语包装) +1张MA锂电池黑白警语书纸（书纸翻单PO#4500193539）
 2PK 77772( remove Messy &lt;(&gt;&amp;&lt;)&gt; Delicious vinyl minis) + 77794 PLAYSET COMBO IN COLOR BOX
 77772GQ1:MA英语UPC版本包装（收缩膜和说明书, MA首选1L，如无1L可用多语且含英语的配套多语包装) +一张防盜贴纸(贴纸以及防盜贴纸位置图翻单PO#450019353
9)+客制PDQ（PDQ翻单PO#4500197999）+客制B版收藏指南（收藏指南翻单PO#4500202802的77869的子件77772）+箱唛+外箱贴纸SSCC Label
 配比信息：4 mini vinyls,1 accessory
 Removed了 """"Messy &lt;(&gt;&amp;&lt;)&gt; Delicious""""两张唱片
77794UQ1:客版PDQ（翻单PO#4500197867） + MA英语UPC版本包装（收缩膜和说明书, MA首选1L，如无1L可用多语且含英语的配套多语包装) +1张锂电池黑白警语书
 纸 + 1张防盗贴纸 (贴纸以及位置图翻单PO#4500193539）+ 箱唛 + 外箱SSCC Label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此单需要与NZ PO#4500207492一起合并计算</t>
  </si>
  <si>
    <t>Auchan  AW2026</t>
  </si>
  <si>
    <t>4500210831-10</t>
  </si>
  <si>
    <t>6/29进口商贴纸</t>
  </si>
  <si>
    <t>日期码格式：ZURU INC(BVI) 标准格式 日期：按实际生产日期
Packaging Info: 77772SK1:MA 1L UPC收缩膜+1张进口商贴纸+MA5L收藏指南+MA23L说明书+MA3L展示架
Remark: 1. 请备多1套大货样品；
2. 此票大货需符合EU市场法规；
3. 此票使用UPC条码;</t>
  </si>
  <si>
    <t>77772SK1-S002-1L</t>
  </si>
  <si>
    <t>SWATOW PUERTO RICO CORP.</t>
  </si>
  <si>
    <t>4500210980-30</t>
  </si>
  <si>
    <t>手工单 PO#K33013X转单</t>
  </si>
  <si>
    <t>日期码格式：ZURU INC(BVI) 标准格式                  日期：按实际生产日期
Packaging Info: 77772GQ2/77794UQ1 - ZURU MA  （首选多语UPC/1L可以接受）UPC包装
手工单 PO#K33013X
Remark: 2. 产品和包装上印刷tracking code信息，格式为ZURU常规
 3. 外箱需要印ZURU LOGO, 箱唛资料由跟单提供
 4. ZURU 验货通过后便可出货</t>
  </si>
  <si>
    <t>ZB07564-8.17</t>
  </si>
  <si>
    <t>4500211476-40</t>
  </si>
  <si>
    <t>6/12 确认</t>
  </si>
  <si>
    <t>客版5L收藏指南(不含Messy唱片, 翻PO#4500211227)</t>
  </si>
  <si>
    <t>日期码格式：ZURU INC(BVI) 标准格式                  日期：按实际生产日期
Packaging Info: "77772GQ2: MA PDQ (优先多语)+客版5L收缩膜 (翻PO#4500191961) +客版5L收藏指南(不含Messy唱片, 翻PO#4500211227)+MA 23L组装说明书+MA内袋+C版WEEE声明
(不带电池)走货欧洲通用29L说明书
EAN#4894680051133
*必须移除Messy Lola Young (VINYL-S1-021) 这个唱片, 比例按PM更新的安排, 如未按要求做货被客罚由工厂承担责任*"
Remark: Smyths 德国
 1. 请准时出货，推期会有罚款；
 2. 所有产品按符合欧洲标准走货，需要是不含微塑料版本。
 3. 所有电子产品身上需要加字唛，为ZURU FRANCE 地址 (如无电子产品，产品布标有此地址，或产品太小无法增加可忽略此信息)，新地址ZURU FRANCE.33 rue Pa
 ul Meurice 75020 Paris, France.
 4. 包装/说明书(如有)/产品(如有)上的法国地址信息必须保持一致，不可出现包装上是新地址，说明书上是旧地址；如地址信息不一致请通知跟单更新文件；
 5. 电子产品需增加一张WEEE声明29L通用黑白说明书，区分带电池(D版)和不带电池(C版)出货版本, 如已做带WEEE声明的客版说明书可忽略此要求；如包装备注上
缺少此部分信息，请提醒跟单更新备注。
6.所有出往德国市场有关slime和带香味的都需要出无硼无香版本；
7.订单备注显示有分批的(不同仓库/订单号), 一定要区分客户订单号做货出货，否则会导致罚款  。
8.包装日期码按ZURU格式即可，请确保不迟于外箱日期码，可等于或者早于外箱日期码，必须为法定工作日。
9.做货前请先复核包装条码与订单是否一致再安排，对不上的需与ZURU跟单确认再安排。
10.包装必须含法国回收标(Sorting Label)，如没有，请提醒跟单提供贴纸资料。</t>
  </si>
  <si>
    <t>TIENDAS CHEDRAUI, S.A. DE C.V.</t>
  </si>
  <si>
    <t>4500213351-50</t>
  </si>
  <si>
    <t>此单客户需要监柜，多备样品</t>
  </si>
  <si>
    <t>8/10 出货</t>
  </si>
  <si>
    <t>7/14UPC 贴纸+MA 多语说明书+包装进口商贴纸</t>
  </si>
  <si>
    <t>客版说明书+保证书</t>
  </si>
  <si>
    <t>日期码格式：ZURU INC(BVI) 标准格式 日期：按实际生产日期
Packaging Info: 1. 进口商贴纸贴的位置不可以挡住西语信息
2. 请确保包装上的条形码是UPC，如果是babyUPC、需要用motherUPC覆盖，如有不一致，请及时提出。谢谢
3.带电产品会有两个贴纸，分别贴到产品电池门+包装，外加客版说明书+一张保证书
77772GQ2 MA 3L EAN 包装+UPC 贴纸+MA 多语说明书+MA 多语PDQ+包装进口商贴纸+箱唛
Remark:
77772GQ2 N/A but with electric circuit(EU/UK WEEE IM is required) 4 mini vinyls,1 accessory</t>
  </si>
  <si>
    <t>ZURU  SPAIN  S.L.</t>
  </si>
  <si>
    <t>4500210497-40</t>
  </si>
  <si>
    <t>多语警语折叠贴纸（含法意西环保标）（翻4500193875）</t>
  </si>
  <si>
    <t>外箱/产品/包装  保持一致，完货后提供date  code  信息以便我们保存记录做批次管理;  包括DEMO  BOX的产品外箱请都统一增加向上标示，以防倒置造成产品移位或损坏。</t>
  </si>
  <si>
    <t>日期码格式：ZURU  INC(BVI)  标准格式                                    日期：按实际生产日期
Packaging Info:77772GQ1：最新MA3L  EAN收缩膜+  MA23L说明书+MA5L  收藏指南+MA纸卡和袋子  +    MA3L  PDQ  +  多语警语折叠贴纸（含法意西环保标）（翻4500193875）
Remark: 1.  西班牙国家内销单，需要通过ZURU  验货结果后才能出货  (工厂需要主动提前同ZURU  QC预约验货避免延期出货造成不必要麻烦)；
   2.  本订单所有  具有  baby  items  /  assorted  items  的款式，零售包装上都要用  母  EAN;  所有订单出口西班牙都需要有西班牙环保标和西班牙（ES）/葡萄牙警语
   (PT)的说明书。
   3.  若有特定款有特殊外箱条码要求时,需要明确列出产品款对应的具体外箱条码号码/条码类型  (若无,可以忽略此需求)
   4.  所有出口欧洲的产品,  法规规定禁止在包装和共公众用的印刷品中使用矿物油中含有的物质,  包装印刷油墨中含有的MOAH/MOSH的质量浓度不能超过1%,  否则出
货到法国被抽检出现问题,  供应商需要对此负责;
   5.  Date  code:  外箱/产品/包装  保持一致，完货后提供date  code  信息以便我们保存记录做批次管理;  包括DEMO  BOX的产品外箱请都统一增加向上标示，以防倒置
造成产品移位或损坏。
   6.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7，     带电池产品都需要包含最新29LWEEE黑白说明书(带电池出货/不带电池出货)。产品里如果含干燥剂，请附上干燥剂14L说明书。
8，MTS所有订单，SMASHERS  或含Slime产品，所有化合物使用低硼版本出；    BOB系列要符合欧洲要求不含亚硝酸版本;  XShot  Hyper系列，统一出EN71版本;  Slime  M
art统一用EUR版本的包装。#17601需要出NS版本。
9.  电池产品请确保使用新说明书以及新标识的电池以符合最新(EU)  2023/1542法规    （增加制造商信息，电池种类，制造商地址，电池重量，化学组成，可用的灭
火器，浓度重量占比&gt;0. 1%的关键原材料，二维码），如果电池不含这些信息，也需要确保电池说明书含这些信息。</t>
  </si>
  <si>
    <t>4500200094-10</t>
  </si>
  <si>
    <t>4500200092-10</t>
  </si>
  <si>
    <t>1IA2HFAC</t>
  </si>
  <si>
    <t>4500213137-10</t>
  </si>
  <si>
    <r>
      <rPr>
        <sz val="12"/>
        <color rgb="FF000000"/>
        <rFont val="宋体"/>
        <charset val="134"/>
      </rPr>
      <t>日期码格式：ZURU INC(BVI) 标准格式 日期：按实际生产日期 
Packaging Info: Amazon UK: 1IA2HFAC
 Amazon ES: 2QV5RIDJ
 Amazon FR: 63YBP63B
 Amazon IT: 5W9612PJ
 Amazon UK(77876)/ES(15780BD)/FR(15780BD)/IT(15780D)
 1. 77876: 2pk 77772 VINYL into PVC tube,12tubes/ctn; 77772: 移除Lola Young vinyl款; 客版 3L(3L warning 无条码,新UK地址,翻单4500198654)收缩膜+客
 版收藏指南(移除Lola Young vinyl款,更新歌手名字，翻单4500208529)+MA 23L warning A组装黑白说明书+MA其它最新配套包装+客版3L(3L warning UPC)彩卡(新U
K地址,翻单4500198654)+1张贴纸(1张含DE/IT警告语+IT环保标, 贴彩卡, 贴纸翻单PO4500198642)+</t>
    </r>
    <r>
      <rPr>
        <sz val="12"/>
        <color rgb="FFFF0000"/>
        <rFont val="宋体"/>
        <charset val="134"/>
      </rPr>
      <t>不带电池WEEE 29L C版说明书</t>
    </r>
    <r>
      <rPr>
        <sz val="12"/>
        <color rgb="FF000000"/>
        <rFont val="宋体"/>
        <charset val="134"/>
      </rPr>
      <t xml:space="preserve">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,&lt;(&gt;,&lt;)&gt; 此要求只适用Amazon UK/DE
 /FR/ES/IT,不适用Amazon GPE，Amazon GPE无SSCC label, 但是有对应箱唛，需印刷到外箱 。
 2.出往UK的产品+包装务必打上UKCA logo ，否则客人会退货且当地会有罚款。Amazon GPE（包含UK/FR/ES/DE/IT）的订单也需满足此要求。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故此请严格把关。Amazon GPE（包含UK/FR/ES/DE/IT）的订单也需满足此要求。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
 9. 无论是工厂自检还是ZURU验货，验货报告中必须有产品6面图(正面/背面/左面/右面/顶部/底部，不带包装);
 10. 按空海运鉴定报告的要求，只要带锂电池出货，都需要加贴UN贴纸；
 11. 所有出往GAS市场(德国/奥地利/瑞士)的电子产品身上需要加字唛，为ZURU FRANCE 地址，需跟包装上的地址一致 (如无电子产品，产品布标有此地址，或产品
 太小无法增加可忽略此信息。如产品无法加字唛，需让对应跟单提供产品贴纸资料);（Amazon GPE的订单也需满足此要求）
 12. 所有出往GAS德国 (瑞士，奥地利)。水弹枪系列必须使用EN71版本（电子和非电子水弹枪系列都需要符合); 护目镜需打日期码, 格式跟ZURU标准格式一样; 枪
 身上增加ZURU FRANCE公司名和地址。使用贴纸和辐射上去都可以。如果有位置，最好增加ZURU Represented by: (此最好翻译德语，如果位置不允许，那么就只增
加ZURU法国和地址)。使用最新的EN71版包装和说明书）。Amazon GPE（包含UK/FR/ES/DE/IT）的订单也需满足此要求。</t>
    </r>
  </si>
  <si>
    <t>IMPORTADORA SUDAMERICANA &amp;</t>
  </si>
  <si>
    <t>阿根廷</t>
  </si>
  <si>
    <t>LEGAJO4839</t>
  </si>
  <si>
    <t>4500209354-30</t>
  </si>
  <si>
    <t>8/15截SI</t>
  </si>
  <si>
    <t>6/9UPC 贴纸+进口商贴</t>
  </si>
  <si>
    <t xml:space="preserve">日期码格式：ZURU INC(BVI) 标准格式                  日期：按实际生产日期
Packaging Info: 请确保包装上的条形码是UPC，如果是babyUPC，需要用mother UPC覆盖，如有不一致，请及时提出。谢谢!
77772GQ1 MA 多语 EAN 包装+UPC 贴纸+MA 多语说明书/MA 多语收藏指南+MA多语PDQ+进口商贴纸+箱唛
Remark: 
77772GQ1 N/A but with electric circuit(EU/UK WEEE IM is required) 4  mini vinyls,1 accessory
</t>
  </si>
  <si>
    <t>COSTCO  WHOLESALE  SPAIN,  S.L.U.</t>
  </si>
  <si>
    <t>4500208451-10</t>
  </si>
  <si>
    <t>消耗4500197501的数量1920</t>
  </si>
  <si>
    <t>消耗4500197501的物料和外箱（注意水贴纸更新PO和箱号）</t>
  </si>
  <si>
    <t>7/17外箱地址贴</t>
  </si>
  <si>
    <r>
      <rPr>
        <sz val="12"/>
        <color rgb="FF000000"/>
        <rFont val="宋体"/>
        <charset val="134"/>
      </rPr>
      <t>日期码格式：ZURU INC(BVI) 标准格式 日期：按实际生产日期
Packaging Info: 客版包装: 4500208451客版彩盒 (新稿）+EU客版收缩膜(翻4500197499）+4500208451客版收藏指南(新稿）+EU客版说明书(翻4500197499）+EU 客版锂电池警语书(
翻4500197499）+EU游戏说明书(翻4500197499）+EU组装说明书(翻4500197499）+客版纸袋(翻4500197499）+ 客版PDQ 等其他内包材(翻4500197499）</t>
    </r>
    <r>
      <rPr>
        <sz val="12"/>
        <color rgb="FFFF0000"/>
        <rFont val="宋体"/>
        <charset val="134"/>
      </rPr>
      <t>+展示架贴纸</t>
    </r>
    <r>
      <rPr>
        <sz val="12"/>
        <color rgb="FF000000"/>
        <rFont val="宋体"/>
        <charset val="134"/>
      </rPr>
      <t xml:space="preserve">
注意订单不能包含此唱片：VINYL-S1-021 Messy-Lola Young ，这也是为什么我们新建了Spec
产品条码：193052107930
Customer PO ORDER QTY PO# (45#)
5510075778 1920 4500208451-1
5510075779 1920 4500208451-2
Remark: 1. 所有日期码印在彩盒上，产品上也需要印日期码. 按实际生产日期，ZURU 标准版格式的日期码。
2. 纸箱唛头：纸箱四面，印刷2个正面，侧唛不印,按照箱唛模板要求排版。请注意箱唛印刷效果要我们确认后才可印刷大货的。
3. 确保展示架在入外箱的时候一定要正面对着有印刷箱唛的那面,不可以装反。
4. </t>
    </r>
    <r>
      <rPr>
        <sz val="12"/>
        <color rgb="FFFF0000"/>
        <rFont val="宋体"/>
        <charset val="134"/>
      </rPr>
      <t>样板</t>
    </r>
    <r>
      <rPr>
        <sz val="12"/>
        <color rgb="FF000000"/>
        <rFont val="宋体"/>
        <charset val="134"/>
      </rPr>
      <t>：工厂需预留至少6整套测试样用于抽板+2套寄深圳办公室，需寄给客人留底</t>
    </r>
  </si>
  <si>
    <t>ZMPO260932</t>
  </si>
  <si>
    <t>ZMPO260932-20</t>
  </si>
  <si>
    <t>3套Demo</t>
  </si>
  <si>
    <t>Remark:大货版本/只需要展示架Demo+盒子 备注：收到样品订单后尽快安排 ，注意样板品质质量要求要高于大货品质要求 ，送货时必须要附带送货单(没有送货单和QC检验合格报告的仓库一律拒绝收货)，请知悉，谢谢！</t>
  </si>
  <si>
    <r>
      <rPr>
        <sz val="12"/>
        <color rgb="FF000000"/>
        <rFont val="宋体"/>
        <charset val="134"/>
      </rPr>
      <t>Angus</t>
    </r>
    <r>
      <rPr>
        <sz val="11"/>
        <color rgb="FF000000"/>
        <rFont val="宋体"/>
        <charset val="134"/>
        <scheme val="minor"/>
      </rPr>
      <t xml:space="preserve"> </t>
    </r>
  </si>
  <si>
    <r>
      <rPr>
        <sz val="12"/>
        <rFont val="宋体"/>
        <charset val="134"/>
      </rPr>
      <t xml:space="preserve"> </t>
    </r>
    <r>
      <rPr>
        <sz val="12"/>
        <color rgb="FF000000"/>
        <rFont val="宋体"/>
        <charset val="134"/>
      </rPr>
      <t>ZMPO260865</t>
    </r>
  </si>
  <si>
    <t xml:space="preserve"> ZMPO260865-10</t>
  </si>
  <si>
    <t>Remark：大货版本/只需要齐全套散件/麻烦用胶袋分装好一套为一袋，备注： 收到样品订单后尽快安排 ，注意样板品质质量要求要高于大货品质要求 ，送货时必须要附带送货单(没有送货单和QC检验合格报告的仓库一律拒绝收货)，请知悉，谢谢！</t>
  </si>
  <si>
    <r>
      <rPr>
        <sz val="12"/>
        <rFont val="宋体"/>
        <charset val="134"/>
      </rPr>
      <t>Angus</t>
    </r>
    <r>
      <rPr>
        <sz val="12"/>
        <color rgb="FF000000"/>
        <rFont val="宋体"/>
        <charset val="134"/>
      </rPr>
      <t xml:space="preserve"> </t>
    </r>
  </si>
  <si>
    <t>4500210722-30</t>
  </si>
  <si>
    <t>8/17 BV验货</t>
  </si>
  <si>
    <t>8/31截SI</t>
  </si>
  <si>
    <r>
      <rPr>
        <sz val="12"/>
        <color rgb="FF000000"/>
        <rFont val="宋体"/>
        <charset val="134"/>
      </rPr>
      <t>日期码格式：ZURU INC(BVI) 标准格式 日期：按实际生产日期
Packaging Info: 
#77772--</t>
    </r>
    <r>
      <rPr>
        <sz val="12"/>
        <color rgb="FFFF0000"/>
        <rFont val="宋体"/>
        <charset val="134"/>
      </rPr>
      <t>-留意剔除有问题的唱片
客版3LPDQ(16装)+MA3L收缩膜+UPC贴纸(UPC:193052118721)+MA5L收藏指南+MA23L拼装说明书+MA5L复合袋+DEMO纸卡
翻单：4500213633</t>
    </r>
    <r>
      <rPr>
        <sz val="12"/>
        <color rgb="FF000000"/>
        <rFont val="宋体"/>
        <charset val="134"/>
      </rPr>
      <t xml:space="preserve">
Ratio: PIZZA: HAMBURGER: PANCAKES: BUBBLE TEA: Matcha TEA: TACO: SUSHI: DONUT: Charcuterie Board: RAINBOW CAKE(Rare)=10.88%: 10.88%: 10.88%: 10
.88%: 10.88%: 10.88%: 10.88%: 10.88%: 10.88%: 2.08%=68:68:68:68:68:68:68:68:68:13
Remark: 1. 此单有箱唛;
2. UPC贴纸：必须在原来错误的条码上用黑色粗头笔涂黑直至不能扫描，再贴上正确的UPC;
3. 此单有第三方验货，烦请多备包装物料；
4. #77794带锂电池出货，使用英法双语电池，外箱需在正唛空白位置贴一张UN3481锂电池标识贴纸(带电话号码)；
*********************
a. 请确保产品符合1999年版本的加拿大环境保护法(CEPA)和2012年禁止某些有毒物质法规的要求。该产品不含任何在加拿大禁用的化学物质，包括但不限于有毒物
质清单中列出的化学物质，并且在为加拿大沃尔玛生产产品期间没有使用任何禁用化学物质。
Supplier certify that the products comply with the requirements of Canadian Environmental Protection Act, 1999 (CEPA), Prohibition of Certain To
xic Substances Regulations, 2012.
The products do not contain any chemicals that are banned in Canada, including but not limited to those listed in the Toxic Substances List and
no banned chemicals were used during the manufacturing of product for Walmart Canada.
附件列表：
(1) Letter of Guarantee for Canada banned chemicals - (1-5CA)
b. 请确保产品在均质材料中的汞浓度不超过0.1%（按重量计）。
Supplier certify that the WAL-MART vendor products does not have a mercury concentration of more than 0.1% by weight in homogeneous material.
附件列表：
(1) Letter of Guarantee for Mercury COC
c. 请确保产品的塑料材料不含以下物质（SOR 2011-17 27B):
Supplier certify that the plastic materials do not contain the following substances(SOR 2011-17 27B):
(a) carbon tetrachloride or any substance that contains it;
(b) methyl alcohol or any substance thay contains &gt;1.0%;
(c) petroleum distillates or any substance that contains &gt;10% weight to volume of petroleum distillates;
(d) benzene;
(e) turpentine or any substance that contains &gt;10% weight to volume of turpentine;
(f) boric acid or salts of boric acid; or (g) ethyl ether.
附件列表：
(1) Letter of Guarantee for WM CA-Other prohibited substances in plastic(less than 3 years)</t>
    </r>
  </si>
  <si>
    <t>7DPCB28R</t>
  </si>
  <si>
    <t>4500207323-120</t>
  </si>
  <si>
    <t>7/30SSCC Label+1张贴纸(含DE/IT警告语+IT环保标, 参考翻单PO#4500198642);</t>
  </si>
  <si>
    <r>
      <rPr>
        <sz val="12"/>
        <color rgb="FF000000"/>
        <rFont val="宋体"/>
        <charset val="134"/>
      </rPr>
      <t xml:space="preserve">日期码格式： ZURU INC(BVI) 标准格式 日期：按实际生产日期
Packaging Info: 
</t>
    </r>
    <r>
      <rPr>
        <sz val="12"/>
        <color rgb="FFFF0000"/>
        <rFont val="宋体"/>
        <charset val="134"/>
      </rPr>
      <t>#77876:2PK MA 1L UPC版#77772入PVC桶，3L无UPC客版收缩膜，客版收缩膜和3L铜版纸图稿翻单4500192514.（两个球的配比不能重复）。</t>
    </r>
    <r>
      <rPr>
        <sz val="12"/>
        <color rgb="FF000000"/>
        <rFont val="宋体"/>
        <charset val="134"/>
      </rPr>
      <t xml:space="preserve">
Remark: 1. Amazon MDDP订单，出口US。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r>
  </si>
  <si>
    <t>10001964592-0581</t>
  </si>
  <si>
    <t>4500214710-10</t>
  </si>
  <si>
    <t>由4500212072转单</t>
  </si>
  <si>
    <t>7/16 确认</t>
  </si>
  <si>
    <t>7/21外箱条码箱贴纸贴纸</t>
  </si>
  <si>
    <t>4500216477-30</t>
  </si>
  <si>
    <t>4500207492-20</t>
  </si>
  <si>
    <t>日期码格式：ZURU INC(BVI) 标准格式 日期：按实际生产日期 Tracking Code:
Packaging Info: 77869：客制 3L UPC 彩盒包装（彩盒翻单PO#4500202802） + 箱唛 + 外箱贴纸SSCC Label
 子件77772: MA英语UPC版本包装（收缩膜和说明书, MA首选1L，如无1L可用多语且含英语的配套多语包装) +一张空白贴纸挡住UPC条码+B版客制收藏指南（收藏指南
 翻单PO#4500202802）
 子件77794: MA英语UPC版本包装（收缩膜和说明书, MA首选1L，如无1L可用多语且含英语的配套多语包装) +1张MA锂电池黑白警语书纸（书纸翻单PO#4500193539）
 2PK 77772( remove Messy &lt;(&gt;&amp;&lt;)&gt; Delicious vinyl minis) + 77794 PLAYSET COMBO IN COLOR BOX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此单需要与AU PO#4500207489一起合并计算</t>
  </si>
  <si>
    <t>4500207492-10</t>
  </si>
  <si>
    <t>3XNX1QDB</t>
  </si>
  <si>
    <t>4500211856-20</t>
  </si>
  <si>
    <r>
      <rPr>
        <sz val="12"/>
        <color rgb="FF000000"/>
        <rFont val="宋体"/>
        <charset val="134"/>
      </rPr>
      <t>日期码格式：ZURU INC(BVI) 标准格式 日期：按实际生产日期
Packaging Info: Amazon DE：3XNX1QDB/19KM6AYO
Amazon ES:43LPCLEQ
Amazon FR:4HMSFT2A
Amazon IT:1GYNKQEW
Amazon UK:11PSAL9R
DE(77878/77876)/ES(77794/77876)/FR(77878/77876)/IT(77876)/UK(77878/77794)
2. 77876:2pk 77772 VINYL into PVC tube,12tubes/ctn; 77772: 移除Lola Young vinyl款; 客版 3L(3L warning 无条码,新UK地址,翻单4500198654)收缩膜+客版
收藏指南(移除Lola Young vinyl款,更新歌手名字，翻单4500208529)+MA 23L warning A组装黑白说明书+MA其它最新配套包装+客版3L(3L warning UPC)彩卡(新UK
地址,翻单4500198654)+1张贴纸(1张含DE/IT警告语+IT环保标, 贴彩卡, 贴纸翻单PO4500198642)</t>
    </r>
    <r>
      <rPr>
        <sz val="12"/>
        <color rgb="FFFF0000"/>
        <rFont val="宋体"/>
        <charset val="134"/>
      </rPr>
      <t>+不带电WEEE C版29L 说明书</t>
    </r>
    <r>
      <rPr>
        <sz val="12"/>
        <color rgb="FF000000"/>
        <rFont val="宋体"/>
        <charset val="134"/>
      </rPr>
      <t xml:space="preserve">
4. 最晚验货时间8/14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,&lt;(&gt;,&lt;)&gt; 此要求只适用Amazon UK/DE
/FR/ES/IT,不适用Amazon GPE，Amazon GPE无SSCC label, 但是有对应箱唛，需印刷到外箱 。
2.出往UK的产品+包装务必打上UKCA logo ，否则客人会退货且当地会有罚款。Amazon GPE（包含UK/FR/ES/DE/IT）的订单也需满足此要求。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故此请严格把关。Amazon GPE（包含UK/FR/ES/DE/IT）的订单也需满足此要求。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
9. 无论是工厂自检还是ZURU验货，验货报告中必须有产品6面图(正面/背面/左面/右面/顶部/底部，不带包装);
10. 按空海运鉴定报告的要求，只要带锂电池出货，都需要加贴UN贴纸；
11. 所有出往GAS市场(德国/奥地利/瑞士)的电子产品身上需要加字唛，为ZURU FRANCE 地址，需跟包装上的地址一致 (如无电子产品，产品布标有此地址，或产品
太小无法增加可忽略此信息。如产品无法加字唛，需让对应跟单提供产品贴纸资料);（Amazon GPE的订单也需满足此要求）
12. 所有出往GAS德国 (瑞士，奥地利)。水弹枪系列必须使用EN71版本（电子和非电子水弹枪系列都需要符合); 护目镜需打日期码, 格式跟ZURU标准格式一样; 枪
身上增加ZURU FRANCE公司名和地址。使用贴纸和辐射上去都可以。如果有位置，最好增加ZURU Represented by: (此最好翻译德语，如果位置不允许，那么就只增
加ZURU法国和地址)。使用最新的EN71版包装和说明书）。Amazon GPE（包含UK/FR/ES/DE/IT）的订单也需满足此要求。</t>
    </r>
  </si>
  <si>
    <t>19KM6AYO</t>
  </si>
  <si>
    <t>4500211856-30</t>
  </si>
  <si>
    <t>43LPCLEQ</t>
  </si>
  <si>
    <t>4500211856-50</t>
  </si>
  <si>
    <t>4HMSFT2A</t>
  </si>
  <si>
    <t>4500211856-70</t>
  </si>
  <si>
    <t>1GYNKQEW</t>
  </si>
  <si>
    <t>4500211856-100</t>
  </si>
  <si>
    <t>4500212942-10</t>
  </si>
  <si>
    <t>通用进口商贴纸（贴纸跟位置图翻单PO#4500193524）</t>
  </si>
  <si>
    <t>客版PDQ（翻单PO#4500200163）  +客制B版收藏指南（收藏指南翻单PO#4500202802的77869的子件77772）</t>
  </si>
  <si>
    <t>日期码格式：ZURU INC(BVI) 标准格式                  日期：按实际生产日期
Packaging Info: 77772GQ2: MA英语UPC版本收缩膜( MA首选1L，如无1L可用多语且含英语的配套多语包装) +客版PDQ（翻单PO#4500200163）  +客制B版收藏指南（收藏指南翻单PO#4
500202802的77869的子件77772）+1张客人通用进口商贴纸（贴纸跟位置图翻单PO#4500193524）+箱唛
配比信息：4  mini vinyls,1 accessory
Removed了 ""Messy &lt;(&gt;&amp;&lt;)&gt; Delicious"两张唱片
Remark: 1.按实际生产日期;
2.出澳大利亚，请按照相应标准生产;
3.所有带纽扣电池的产品都需要在产品包装以及说明书上贴纽扣电池警告语贴纸</t>
  </si>
  <si>
    <t>10001964593-0581</t>
  </si>
  <si>
    <t>4500214711-10</t>
  </si>
  <si>
    <t>由4500212069转单</t>
  </si>
  <si>
    <t>4500206065-50</t>
  </si>
  <si>
    <t>4500206065-60</t>
  </si>
  <si>
    <t>4500206065-70</t>
  </si>
  <si>
    <t>4500206065-80</t>
  </si>
  <si>
    <t>ROYAL REGENT PRODUCTS(ASIA) LIMITED</t>
  </si>
  <si>
    <t>MPO10682</t>
  </si>
  <si>
    <t>450020897400010-20260821</t>
  </si>
  <si>
    <t>MPO10682-10</t>
  </si>
  <si>
    <t>77772-PRODCC1</t>
  </si>
  <si>
    <t>唱片球22pcs/箱</t>
  </si>
  <si>
    <t>送货到泰亨，可用周转箱送货并在外箱上备注与泰亨PO-4500208974-#MSLD156-S001组装</t>
  </si>
  <si>
    <t>防盗貼纸(贴纸以及防盗贴纸位置图翻单PO#4500193539)+客制收藏指南(翻单PO#4500197999)+球Removed了"Messy&amp;Delicious“两张唱片2.日期码格式为ZURU标准格式,无指定要求的日期时间。</t>
  </si>
  <si>
    <t>Remark:
① 2% loss; ② inform us to arrange inspection before delivery
1. 1. 77772:MA英语UPC版本包装（收缩膜, MA⾸选1L，如⽆1L可⽤多语且含英语的配套多语包装) +⼀张防盜贴纸(贴纸以及防盜贴纸位置图翻单PO#4500193539)+客制B版
收藏指南（收藏指南翻单PO#4500202802的77869的⼦件77772）+
ZURU INC
UNIT 1201-01 12/F ENERGY PLAZA 92 GRANVILLE RD TST EAST
Tel:+86 755 6688 1988
Purchase Order
球Removed了 ""Messy &lt;(&gt;&amp;&lt;)&gt; Delicious""两张唱⽚
2. ⽇期码格式为 ZURU 标准格式, ⽆指定要求的⽇期时间。
3. 送货到泰亨，可⽤周转箱送货并在外箱上备注与泰亨PO- 4500208974 -# MSLD156-S001 组装
4. 此单出⼝澳⼤利亚，请按相应的澳新标准⽣产</t>
  </si>
  <si>
    <t>Alex Huo, Louise Lu</t>
  </si>
  <si>
    <t>MO20260615</t>
  </si>
  <si>
    <t>MO20260615-10</t>
  </si>
  <si>
    <t>欠RFID贴纸</t>
  </si>
  <si>
    <t xml:space="preserve">PRODUCT REQUERIMENTSPACKAGING STYLE，
77772GQ3-SLB-S001
1.包装要求：
MA 1L A版收缩膜+MA 5L A版收藏指南+MA 23L A版说明书+MA A版纸袋+客版1L PDQ，翻单：4500195546
每pcs产品上要贴1张RFID贴纸，贴纸由ZURU提供，贴纸位置请严格按照我们签回的签板；
2. 外箱印刷带条码的RFID箱唛：RFID紫色色带+WM Dept.图标+RFID图标+ITF-14条码，四面右下角印刷ZURU logo, ITFF条码只印刷在正唛一面，在加印的时候确保条形码能扫描出来，外箱侧面任一角落加印："MADE IN CHINA" 字样；箱唛翻单：4500195546
3. 在产品上和包装上要有日期码、以及要有MADE IN CHINA和ZURU字样；
4. 产品如有扎带口要剪平，不能刮手。
5. 此单需要验货，请多备料
6. 此单以Slip sheet出货，960pcs/60CTNS/Slip sheet
</t>
  </si>
  <si>
    <t>4500217456-10</t>
  </si>
  <si>
    <t>7/24确认</t>
  </si>
  <si>
    <t>取消21/23号 客制球以及客制5L  收藏指南    （去除"Messy"  and  "Delicious"  2张唱片）, 客制收藏指南翻单PO#4500213229;</t>
  </si>
  <si>
    <t>日期码格式：ZURU  INC(BVI) 标准格式                                    日期：按实际生产日期
Packaging Info: #77772:MA英语UPC版本包装(收缩膜和说明书，MA首选1L、如无1L可用多语且含英语的配套多语包装)+客制PDQ+客制收藏指南+箱唛
Removed  "Messy"&lt;(&gt;&amp;&lt;)&gt;"Delicious"两张唱片
Remark: 此客人不接受易掉落或者剥落或者可直接触碰的闪粉，可降解也不行，但可以接受符合欧洲微塑料标准的珠光粉或者闪片。
#77772：  N/A  but with  electric circuit(EU/UK WEEE  IM  is required)，4  mini vinyls,l accessory</t>
  </si>
  <si>
    <t>4500200104-10</t>
  </si>
  <si>
    <t>4500200098-10</t>
  </si>
  <si>
    <t>4500200103-10</t>
  </si>
  <si>
    <t>0005606746</t>
  </si>
  <si>
    <t>4500215859-10</t>
  </si>
  <si>
    <t>日期码格式：ZURU INC(BVI) 标准格式 日期：按实际生产日期 Tracking Code:
Packaging Info: 1.包装要求：
 客版 1L new UPC 收缩膜+MA 5L A版收藏指南+MA 23L A版说明书+MA A版纸袋+客版1L PDQ，翻单：4500214410
 消耗WM US取消订单物料
 New UPC number:193052118721
每pcs产品上要贴1张RFID贴纸，贴纸由ZURU提供，贴纸位置请严格按照我们签回的签板；
Remark: 1.包装要求：
 客版 1L new UPC 收缩膜+MA 5L A版收藏指南+MA 23L A版说明书+MA A版纸袋+客版1L PDQ，翻单：4500214410
 消耗WM US取消订单物料
 New UPC number:193052118721
每pcs产品上要贴1张RFID贴纸，贴纸由ZURU提供，贴纸位置请严格按照我们签回的签板；
 2. 外箱印刷带条码的RFID箱唛：RFID紫色色带+WM Dept.图标+RFID图标+ITF-14条码，四面右下角印刷ZURU logo, ITFF条码只印刷在正唛一面，在加印的时候确保
 条形码能扫描出来，外箱侧面任一角落加印："MADE IN CHINA" 字样；
 3. 每个slip sheet上面贴一张艾利贴纸（不干胶贴纸）和一张普通贴纸（A4纸），slip sheet打印的普通贴纸的尺寸不能比艾利贴纸小，普通贴纸内容见附件；
 3. 在产品上和包装上要有日期码、以及要有MADE IN CHINA和ZURU字样；
 4. 产品如有扎带口要剪平，不能刮手。
 5. 此单需要验货，请多备料
 6. 此单以此单以slip sheet出货，960PCS/60CTNS/Slip sheet
 WM PO#0005606743 改loose carton出货，16pcs/PDQ/CTN</t>
  </si>
  <si>
    <t>0005606724</t>
  </si>
  <si>
    <t>4500215859-20</t>
  </si>
  <si>
    <t>0005606750</t>
  </si>
  <si>
    <t>4500215859-30</t>
  </si>
  <si>
    <t>0005606743</t>
  </si>
  <si>
    <t>4500215859-60</t>
  </si>
  <si>
    <t>0005606745</t>
  </si>
  <si>
    <t>4500215859-50</t>
  </si>
  <si>
    <t>4500210803-30</t>
  </si>
  <si>
    <t>UPC贴纸+进口商贴纸翻单4500207499</t>
  </si>
  <si>
    <r>
      <rPr>
        <sz val="12"/>
        <color rgb="FF000000"/>
        <rFont val="宋体"/>
        <charset val="134"/>
      </rPr>
      <t>日期码格式：ZURU INC(BVI) 标准格式 日期：按实际生产日期
Packaging Info: 77772SK1：MA 3L SK包装+MA 3L EAN包装+UPC 贴纸+进口商贴纸+箱唛，</t>
    </r>
    <r>
      <rPr>
        <sz val="12"/>
        <color rgb="FFFF0000"/>
        <rFont val="宋体"/>
        <charset val="134"/>
      </rPr>
      <t>贴纸翻单4500207499</t>
    </r>
    <r>
      <rPr>
        <sz val="12"/>
        <color rgb="FF000000"/>
        <rFont val="宋体"/>
        <charset val="134"/>
      </rPr>
      <t xml:space="preserve">
Remark: 客户有监装要求，每款需要名准备1pc监柜样板</t>
    </r>
  </si>
  <si>
    <t>4500209131-10</t>
  </si>
  <si>
    <t>日期码格式：ZURU INC(BVI) 标准格式 日期：按实际生产日期
Packaging Info: 1. 包装：ZURU MA 最新1L UPC版本；出口美国，CA；
Remark: 2. 日期跟踪码：产品包装及产品本身都必须有日期跟踪码，并且确保两者的日期跟踪码要一致；ZURU标准格式日期码(请自行调整具体年月日生产期，但不能为周
末）。
3. .出货配比: Zuru 标版配比。</t>
  </si>
  <si>
    <t>FB15043</t>
  </si>
  <si>
    <t>4500211844-120</t>
  </si>
  <si>
    <t>确认不带18/21号唱片出货</t>
  </si>
  <si>
    <t>6/15 确认</t>
  </si>
  <si>
    <t>FB15046</t>
  </si>
  <si>
    <t>4500211844-130</t>
  </si>
  <si>
    <t>4500202450-120</t>
  </si>
  <si>
    <t>ZB07213/ZB07343</t>
  </si>
  <si>
    <t>4500202450-100</t>
  </si>
  <si>
    <t>77876-S001请于6/13日前寄出ZURU MA版本每款每色2pcs样板做测试(测试样板可以不带价贴，但需带日
期码) 寄到以下地址做测试：
注：  需打印TRF随样板寄出（TRF由跟单提供）
测试行：BV(必维）
  地址：广东省深圳市深圳市龙华区鸿创科技中心4栋1楼
  收件人：Maggie Yang
  电话: 86 0755 86185331 | VOIP(Internal): 5331</t>
  </si>
  <si>
    <t>ZB07213/ZB07343-8.17</t>
  </si>
  <si>
    <t>4500202450-140</t>
  </si>
  <si>
    <t>日期码格式：ZURU INC(BVI) 标准格式                  日期：按实际生产日期
Packaging Info: 1. 包材：
#77876：球使用MA 最新1L UPC收缩膜+空白贴纸覆盖UPC+5L 英法版本 收藏指南 + 23L 说明书 + 3L UPC 铜版纸 + 价格贴纸(价贴金额$19.99, 价贴位于PVC桶铜版
纸UPC条形码附近）价贴资料跟单提供工厂采购，出口美国;
Remark: 2. 日期跟踪码：产品包装及产品本身都必须有日期跟踪码，并且确保两者的日期跟踪码要一致；ZURU标准格式日期码(请自行调整具体年月日生产期，但不能为周
末）。
PS: 毛绒布标贴纸日期码可以不保持一致。
 3. 订单外箱：
 *只需在外箱4面的正上方印ZURU LOGO；3面印MADE IN CHINA字样，一面留空贴外箱贴；
 *外箱正面需要额外加贴2张外箱贴（外箱贴客户提供，工厂直接贴）；
 *外箱贴位置：shipping label贴于外箱正面左下角；product label 贴于外箱正面右下角，2张贴纸都需距离外箱边缘至少3CM。
 4. 此客户有4个PO:
PO# 02173457 ship to NJ&lt;(&gt;,&lt;)&gt;
PO# 02173458 ship to NV&lt;(&gt;,&lt;)&gt;
PO# 02165957 ship to NJ&lt;(&gt;,&lt;)&gt;
PO# 02165958 ship to NV&lt;(&gt;,&lt;)&gt;
 5. 出货配比：ZURU MA 配比；
 6. 测试样板
77794UQ1-S001&lt;(&gt;&amp;&lt;)&gt;92146-S001&lt;(&gt;&amp;&lt;)&gt;92147-S001&lt;(&gt;&amp;&lt;)&gt;77876-S001请于6/13日前寄出ZURU MA版本每款每色2pcs样板做测试(测试样板可以不带价贴，但需带日
期码) 寄到以下地址做测试：
注：  需打印TRF随样板寄出（TRF由跟单提供）
测试行：BV(必维）
  地址：广东省深圳市深圳市龙华区鸿创科技中心4栋1楼
  收件人：Maggie Yang
  电话: 86 0755 86185331 | VOIP(Internal): 5331</t>
  </si>
  <si>
    <t>4500202450-160</t>
  </si>
  <si>
    <t>4YGJG5ZZ</t>
  </si>
  <si>
    <t>4500212614-10</t>
  </si>
  <si>
    <t>8/4 空运</t>
  </si>
  <si>
    <t>欠SSCC label</t>
  </si>
  <si>
    <t>日期码格式：ZURU INC(BVI) 标准格式                  日期：按实际生产日期
Packaging Info: #77876:2PK MA 1L UPC版#77772入PVC桶，3L无UPC客版收缩膜，客版收缩膜和3L铜版纸图稿翻单4500192506.（两个球的配比不能重复）。Domestic PO#4500211453
转FOB单。
Remark: 1. Amazon MDDP订单，出口US。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</si>
  <si>
    <t>ZB07465</t>
  </si>
  <si>
    <t>1G3L3ECG</t>
  </si>
  <si>
    <t>4500212614-50</t>
  </si>
  <si>
    <t>1张ZB发票均无此货号(应不填)</t>
  </si>
  <si>
    <t>19GJEM4E</t>
  </si>
  <si>
    <t>4500212614-60</t>
  </si>
  <si>
    <t>Aug. shipment</t>
  </si>
  <si>
    <t>4500210828-10</t>
  </si>
  <si>
    <t>进口商贴纸, 贴纸图稿和位置图翻单4500197643</t>
  </si>
  <si>
    <t>日期码格式：ZURU INC(BVI) 标准格式                  日期：按实际生产日期
Packaging Info: MA UPC包装(优先1L)+进口商贴纸, 贴纸图稿和位置图翻单4500197643
Remark: 77772GQ2-4  mini vinyls,1 accessory</t>
  </si>
  <si>
    <t>ZMPO260895</t>
  </si>
  <si>
    <t>ZMPO260895-20</t>
  </si>
  <si>
    <t>ZMPO260899</t>
  </si>
  <si>
    <t>ZMPO260899-20</t>
  </si>
  <si>
    <t>60个空PDQ</t>
  </si>
  <si>
    <t>Remark;大货最新版本/只需要空PDQ（包含PDQ上的Demo+吸塑盒）/PDQ可打平包寄出;备注：收到样品订单后尽快安排 ，注意样板品质质量要求要高于大货品质要求 ，送货时必须要附带送货单(没有送货单和QC检验合格报告的仓库一律拒绝收货)，请知悉，谢谢！</t>
  </si>
  <si>
    <t>ZMPO260899-30</t>
  </si>
  <si>
    <t>ZMPO260899-40</t>
  </si>
  <si>
    <t>Remark;大货版本/只需要齐全套散件/麻烦用胶袋分装好一套为一袋;备注：收到样品订单后尽快安排 ，注意样板品质质量要求要高于大货品质要求 ，送货时必须要附带送货单(没有送货单和QC检验合格报告的仓库一律拒绝收货)，请知悉，谢谢！</t>
  </si>
  <si>
    <t>ARCHIBRAND, S.A. DE C.V.</t>
  </si>
  <si>
    <t>4500210228-40</t>
  </si>
  <si>
    <t>7/24UPC贴纸+进口商贴纸</t>
  </si>
  <si>
    <t>日期码格式：ZURU INC(BVI) 标准格式 日期：按实际生产日期 Tracking Code:
Packaging Info: 77711GQ2/77772GQ2：MA 3L PDQ包装+MA 3L EAN包装+UPC 贴纸+进口商贴纸+箱唛，贴纸翻单PO4500210225
Remark:</t>
  </si>
  <si>
    <t>4500210231-40</t>
  </si>
  <si>
    <t>UPC贴纸+进口商贴纸翻单PO4500210225</t>
  </si>
  <si>
    <t>日期码格式：ZURU INC(BVI) 标准格式 日期：按实际生产日期 Tracking Code:
Packaging Info: 
 77711GQ2/77772GQ2：MA 3L PDQ包装+MA 3L EAN包装+UPC 贴纸+进口商贴纸+箱唛，贴纸翻单PO4500210225
Remark:</t>
  </si>
  <si>
    <t>4500210225-40</t>
  </si>
  <si>
    <t>日期码格式：ZURU INC(BVI) 标准格式                  日期：按实际生产日期
Packaging Info: 77711GQ2/77772GQ2：MA 3L PDQ包装+MA 3L EAN包装+UPC 贴纸+进口商贴纸+箱唛
Remark：</t>
  </si>
  <si>
    <t>4500206045-10</t>
  </si>
  <si>
    <t>7/15 订购 进口商贴纸</t>
  </si>
  <si>
    <t>日期码格式：ZURU INC(BVI) 标准格式 日期：按实际生产日期
Packaging Info: MA 多语包装+进口商贴纸+箱唛
Remark:</t>
  </si>
  <si>
    <t>TARGET  AUSTRALIA  PTY  LTD</t>
  </si>
  <si>
    <t>4500213385-10</t>
  </si>
  <si>
    <t>8/5SSCC LABEL</t>
  </si>
  <si>
    <t>日期码格式：ZURU  INC(BVI)  标准格式                                    日期：按实际生产日期
Packaging Info: 77772GQ1：MA英语UPC版本包装（收缩膜和说明书,  MA首选1L，如无1L可用多语且含英语的配套多语包装)  +客制PDQ  +客制收藏指南（PDQ与收藏指南翻单PO#450019
7999）+外箱贴纸SSCC  Label
配比信息：4  mini  vinyls,1  accessory
Removed了  ""Messy  &lt;(&gt;&amp;&lt;)&gt;  Delicious""两张唱片
Remark: 1.  客人要求箱唛不可出现任何手写内容，重量与实际一致且不可手写;
   2.  此单去澳大利亚，请按相应澳新标准生产;  如产品含纽扣电池出货,  包装前面和说明书上需加纽扣电池警语贴纸
   3.  取消使用TARGET新版封箱胶封顶，外箱全部使用普通透明封箱胶纸(客版胶纸如还有库存，可先消耗库存)；
   4.  外箱需要贴Target  SSCC  LABEL,客供PDF文档，工厂自行订购。请贴在正唛右下角（一箱一张，贴1面正唛右下角,封箱胶纸不能挡住贴纸内容。)；外箱贴纸距离
外箱边缘应在2cm以上。如果正唛无位置可以贴在侧唛；
   5.  SSCC  LABEL要求：贴纸内容，条形码印刷不完整/不清晰或有划痕/缺失，贴纸脏污、破损、条形码折叠、翘起、重复或者丢失，以及封箱胶盖住贴纸任何位置的
   ,客户都不能接受，如有发现以上异常，须返工重新贴；
   6.  外箱材质为ZURU标准；
   7.  产品和包装上要有tracking  label信息：格式为Zuru标准格式（可以自行调整具体年月日生产日期,避开节假期日）；
   8.  SSCC  Label  尺寸更新为：4x4  inch。</t>
  </si>
  <si>
    <t>Christine  Liao</t>
  </si>
  <si>
    <t>4500204102-10</t>
  </si>
  <si>
    <t>多语警语折叠贴纸（翻单4500193875） C版 29L WEEE不带电走货说明书</t>
  </si>
  <si>
    <t>日期码格式：ZURU INC(BVI) 标准格式                  日期：按实际生产日期
Packaging Info: 77772GQ1: MA 3L EAN 收缩膜+1*多语警语折叠贴纸（翻单4500193875）+MA 23L 组装说明书+MA 5L+23L 收藏指南+MA 纸卡+MA 复合袋+MA 3L PDQ+1* C版 29L WE
EE不带电走货说明书
Remark: 1.德国内销单，需要通过ZURU 验货结果后才能出货 (工厂需要主动提前同ZURU QC预约验货避免延期出货造成不必要麻烦)；
2.产品如含有化学品（slime 等），需要无硼无香。需要无微塑料版本。
3.所有出口欧洲的产品, 法规规定禁止在包装和共公众用的印刷品中使用矿物油中含有的物质, 包装印刷油墨中含有的MOAH/MOSH的质量浓度不能超过1%, 否则出货
到法国被抽检出现问题, 供应商需要对此负责;
 4. date code: 外箱日期码要晚于或等于产品日期码，不能早于产品的日期码；
 5. 所有出往德国的电子产品身上需要加字唛，为ZURU FRANCE 地址，需跟包装上的地址一致 (如无电子产品，产品布标有此地址，或产品太小无法增加可忽略此信
息。如产品无法加字唛，需让对应跟单提供产品贴纸资料)
新地址：ZURU France 33 rue Paul Meurice 75020 Paris, France
旧地址：ZURU France 1/3, Rue d'Argenteuil 95210 SAINT-GRATIEN, FRANCE
6.所有出往德国订单的电子产品需增加一张最新版本的欧洲通用WEEE声明说明书，区分带电池和不带电池版本, 如已做客版说明书可忽略此要求。
7.装柜时需要按照款式号码从小到大一款款依次装,避免终端仓库卸货混乱.若一个柜子涉及到几个不同国家内销单,装柜时需要一个国家装完后再装另一个国家的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8.ratio 同MA
9. 若有特定款有特殊外箱条码要求时,需要明确列出产品款对应的具体外箱条码号码/条码类型 (若无,可以忽略此需求).</t>
  </si>
  <si>
    <t>4500200105-10</t>
  </si>
  <si>
    <t>7/8确认</t>
  </si>
  <si>
    <t>4500210229-50</t>
  </si>
  <si>
    <t>日期码格式：ZURU INC(BVI) 标准格式 日期：按实际生产日期 Tracking Code:
Packaging Info:
77711/77772/92119A/92119B/92125A/92125H/92125G/92147B/92147E/92147A：MA 3L EAN包装+UPC 贴纸+进口商贴纸+箱唛
Remark:</t>
  </si>
  <si>
    <t>AMAZON  UK</t>
  </si>
  <si>
    <t>42EB435K</t>
  </si>
  <si>
    <t>4500213970-10</t>
  </si>
  <si>
    <t>7/28 SSCC LABEL+DE/IT警告语+IT环保标,  贴彩卡,  贴纸翻单PO4500198642)</t>
  </si>
  <si>
    <t>日期码格式：ZURU  INC(BVI)  标准格式                                    日期：按实际生产日期
Packaging Info: Amazon  UK:  42EB435K
Amazon  UK(77876)
   1.  77876:  2pk  77772  VINYL  into  PVC  tube,12tubes/ctn;  77772:  移除Lola  Young  vinyl款;  客版  3L(3L  warning  无条码,新UK地址,翻单4500198654)收缩膜+客
版收藏指南(移除Lola  Young  vinyl款,更新歌手名字，翻单4500208529)+MA  23L  warning  A组装黑白说明书+MA其它最新配套包装+客版3L(3L  warning  UPC)彩卡(新U
   K地址,翻单4500198654)+1张贴纸(1张含DE/IT警告语+IT环保标,  贴彩卡,  贴纸翻单PO4500198642)+不带电池WEEE  C版说明书
   2.    验货时间不迟于2026/08/18.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,&lt;(&gt;,&lt;)&gt;  此要求只适用Amazon  UK/DE
/FR/ES/IT,不适用Amazon  GPE，Amazon  GPE无SSCC  label,  但是有对应箱唛，需印刷到外箱  。
2. 出往UK的产品+包装务必打上UKCA  logo  ，否则客人会退货且当地会有罚款。Amazon  GPE（包含UK/FR/ES/DE/IT）的订单也需满足此要求。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故此请严格把关。Am~azon  GPE（包含UK/FR/ES/DE/IT）的订单也需满足此要求。
-油墨物质""""由1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 邮包盒及外箱封箱必须是工字型封箱方式；
  8.5  Surprise  or  Mini  Brands涉及包装是2个及2个以上的球入PVC桶包装时，单个球上若有UPC#或者EAN#，请用空白贴纸覆盖住，贴纸尺寸自行测量能覆盖原条码即
可；
  9.  无论是工厂自检还是ZURU验货，验货报告中必须有产品6面图(正面/背面/左面/右面/顶部/底部，不带包装);
   10.  按空海运鉴定报告的要求，只要带锂电池出货，都需要加贴UN贴纸；
   11.  所有出往GAS市场(德国/奥地利/瑞士)的电子产品身上需要加字唛，为ZURU  FRANCE  地址，需跟包装上的地址一致  (如无电子产品，产品布标有此地址，或产品
太小无法增加可忽略此信息。如产品无法加字唛，需让对应跟单提供产品贴纸资料);（Amazon  GPE的订单也需满足此要求）
   12.  所有出往GAS德国  (瑞士，奥地利)。水弹枪系列必须使用EN71版本（电子和非电子水弹枪系列都需要符合);  护目镜需打日期码,  格式跟ZURU标准格式一样;  枪
身上增加ZURU  FRANCE公司名和地址。使用贴纸和辐射上去都可以。如果有位置，最好增加ZURU  Represented  by:  (此最好翻译德语，如果位置不允许，那么就只增
加ZURU法国和地址)。使用最新的EN71版包装和说明书）。Amazon  GPE（包含UK/FR/ES/DE/IT）的订单也需满足此要求。</t>
  </si>
  <si>
    <t>4500211620-10</t>
  </si>
  <si>
    <t>77772GQ1-SLB-S002（PRODCC-PRODUCT)</t>
  </si>
  <si>
    <t>正唛、侧唛右下角各贴一张slip sheet贴纸，直接用A4纸打印出来即可，贴纸尺寸160mm width x 140mm high；+WEEE 不带电说明书</t>
  </si>
  <si>
    <t>日期码格式：ZURU INC(BVI) 标准格式 日期：按实际生产日期
Packaging Info: 77772GQ1:MA A版1L PDQ+MA 1L UPC收缩膜+C版29L不带电池出货的WEEE说明书+移除LOLA YOUNG的MESSY唱片+配套的收藏指南(翻单PO#4500198654)+PDQ需要加贴纸
改45为44. 贴纸翻单4500196675+PDQ地址贴纸
UPC :193052090065，请先检查条码是否正确再安排做货。
UK订单不包含VINYL-S1-021 Messy-Lola Young
Slip Sheet:77772GQ1-S002-PRODCC 13pcs/PDQ/CTN 20*4H=80CTN/SLB=1040pcs/Slip Sheet;
Slip Sheet打包好后，需要在正唛、侧唛右下角各贴一张slip sheet贴纸，直接用A4纸打印出来即可，贴纸尺寸160mm width x 140mm high；
Slip Sheet尺寸限制为100*115*130CM，一旦实际SLIP SHEET尺寸超过这个尺寸，请提前通知ZURU跟单，需同客人确认才能量产和出货.
Remark: 1. 产品及包装需要印UKCA图标，包装需要有ZURU UK LTD/ZURU France地址信息，QC同事请核查，如有问题与跟单确认
2. 产品/包装/外箱都需要打ZURU格式日期码，日期必须为法定工作日。
3. 需要符合欧洲标准不能含有闪粉和微塑料，否则不合法规会有客诉产生"
4.涉及到硼的，如可选择情况下应使用低硼版本 （slime 类别低硼一般低于300ppm)，无选择的应与跟单复核再安排 。
5.如果出运产品属于电子类产品需要在ZURU 包装基础上额外添加一张ZURU通用WEEE 电子产品说明书,带电池出货的加带电池出货版本通用D版29L的说明书，不带电
池出货的产品用C版29L不带电池出货版本的说明书</t>
  </si>
  <si>
    <t xml:space="preserve">77772GQ1-SLB-S002
</t>
  </si>
  <si>
    <t>4500211620-20</t>
  </si>
  <si>
    <t>SMYTHS  TOYS  HQ  UC  IE</t>
  </si>
  <si>
    <t>4500219369-10</t>
  </si>
  <si>
    <t xml:space="preserve">4500216475转新po4500219369海运出货
</t>
  </si>
  <si>
    <t>8/21装柜</t>
  </si>
  <si>
    <t>欠</t>
  </si>
  <si>
    <t>日期码格式：ZURU  INC(BVI)  标准格式                                    日期：按实际生产日期
Packaging Info: 77772GQ2:  MA  PDQ  (优先多语)+客版5L收缩膜  (翻PO#4500191961)  +客版5L收藏指南(翻PO#4500211227)+MA  23L组装说明书+MA内袋
EAN#4894680051133
*必须移除Messy  Lola  Young  (VINYL-S1-021)  这个唱片,  比例按PM更新的安排,  如未按要求做货被客罚由工厂承担责任*
Remark: Smyths  英国/爱尔兰
   1.  请准时出货，推期会有罚款；
   2.  所有产品按符合欧洲标准走货，需要是不含微塑料版本。
3.包装日期码按ZURU格式即可，请确保不迟于外箱日期码，可等于或者早于外箱日期码，必须为法定工作日，印刷前请先检查外箱日期码。
4.请注意检查产品及包装应带UKCA图标（14+产品除外），包装显示ZURU  UK  LTD/ZURU  France地址信息，QC部门请查核，如有问题与跟单确认
5. 电子产品需增加一张WEEE声明29L通用黑白说明书，区分带电池(D版)和不带电池(C版)出货版本,  如已做带WEEE声明的客版说明书可忽略此要求；如包装备注上缺
少此部分信息，请提醒跟单更新备注。
6.订单备注显示有分批的(不同仓库/订单号),  一定要区分客户订单号做货出货，否则会导致罚款    。
7.做货前请先复核包装条码与订单是否一致再安排，对不上的需与ZURU跟单确认再安排。
8.包装必须含法国回收标(Sorting  Label)，如没有，请提醒跟单提供贴纸资料。</t>
  </si>
  <si>
    <r>
      <rPr>
        <sz val="12"/>
        <color rgb="FF000000"/>
        <rFont val="宋体"/>
        <charset val="134"/>
      </rPr>
      <t>Mary</t>
    </r>
    <r>
      <rPr>
        <sz val="11"/>
        <color rgb="FF000000"/>
        <rFont val="宋体"/>
        <charset val="134"/>
        <scheme val="minor"/>
      </rPr>
      <t xml:space="preserve">  </t>
    </r>
    <r>
      <rPr>
        <sz val="11"/>
        <color rgb="FF000000"/>
        <rFont val="宋体"/>
        <charset val="134"/>
        <scheme val="minor"/>
      </rPr>
      <t>Qu</t>
    </r>
  </si>
  <si>
    <t>10001955798-0581</t>
  </si>
  <si>
    <t>4500211962-20</t>
  </si>
  <si>
    <t>展示架左右两侧各一个客版价格牌+7/6 背身UPC贴纸+外箱锂电池标签纸</t>
  </si>
  <si>
    <r>
      <rPr>
        <sz val="12"/>
        <color rgb="FF000000"/>
        <rFont val="宋体"/>
        <charset val="134"/>
      </rPr>
      <t xml:space="preserve">日期码格式：ZURU INC(BVI) 标准格式 日期：按实际生产日期
Packaging Info: </t>
    </r>
    <r>
      <rPr>
        <sz val="12"/>
        <color rgb="FFFF0000"/>
        <rFont val="宋体"/>
        <charset val="134"/>
      </rPr>
      <t>77772: 产品包装 客版收缩膜；
77794: 产品包装 MA 1L彩盒；
客版展示架+展示架左右两侧各一个客版价格牌+背身UPC贴纸+外箱锂电池标签纸</t>
    </r>
    <r>
      <rPr>
        <sz val="12"/>
        <color rgb="FF000000"/>
        <rFont val="宋体"/>
        <charset val="134"/>
      </rPr>
      <t xml:space="preserve">
Remark: 1. MEC426-S002-DISPC-MINI BRANDS-VINYL-SERIES 1-PLAYSET AND CAPSULE MIXED IN ENDCAP,108PCS/ENDCAP,1ENDCAP/CTN;
</t>
    </r>
    <r>
      <rPr>
        <sz val="12"/>
        <color rgb="FFFF0000"/>
        <rFont val="宋体"/>
        <charset val="134"/>
      </rPr>
      <t>include 84pcs 77772+24pcs 77794</t>
    </r>
    <r>
      <rPr>
        <sz val="12"/>
        <color rgb="FF000000"/>
        <rFont val="宋体"/>
        <charset val="134"/>
      </rPr>
      <t xml:space="preserve">
</t>
    </r>
    <r>
      <rPr>
        <sz val="12"/>
        <color rgb="FFFF0000"/>
        <rFont val="宋体"/>
        <charset val="134"/>
      </rPr>
      <t>2. 77772: MINI BRANDS-VINYL-SERIES 1-CAPSULE；产品包装 客版收缩膜，收缩膜上的UPC显示#193052118721；
77794: MINI BRANDS-VINYLS MINI BRANDS PLAYSET-SERIES 1-CUBE；产品包装 MA 1L彩盒，彩盒上的UPC显示#193052090409；
客版展示架+展示架左右两侧各一个客版价格牌+背身UPC贴纸+外箱锂电池标签纸；展示架背身UPC贴纸显示客户的DPCI 及UPC，对应内容如下：DPCI# 086-02-2915，
UPC#193052118523；
3. 外箱正唛信息左上方位置粘贴条码箱贴纸，每箱只贴一张，由ZURU向艾利自行订购；对应的外箱贴DPCI# 086-02-5713, UPC# 193052118974，来料贴纸的UPC显
示193052118974；
4. 外箱正唛箱唛内容右侧需贴一张Event label，内容显示：Q4 PLAY Nov wk 2 Pallets Set Date: 11/7/2026. 由工厂自行安排订购；
5. 产品和包装上印刷 tracking code信息，格式为ZURU常规格式;
6. 出货方式：货代自提</t>
    </r>
  </si>
  <si>
    <t>FAMILY DOLLAR SERVICES, LLC.</t>
  </si>
  <si>
    <t>4500212804-10</t>
  </si>
  <si>
    <t>8/26截SI</t>
  </si>
  <si>
    <t>6/26客版可移动不粘胶价格贴$10+外箱箱唛正侧相邻两面粘贴产品彩色贴纸</t>
  </si>
  <si>
    <t>产前样5套：产前样5套要求在 2026/06/29前寄给深圳办公室跟单Jenny Liu，需转寄给美国客户确认，客户确认了产前样之后，会寄回一套给工厂，工厂需按照已确
认的产前样安 排大货生产。做产前样前需和跟单确认产品包装日期码和产品上日期码的打码位置+格式，要求是和大货一样的日期码，指定大货日期码为：DG20260
804）。此单客版包材PDQ,可移动不粘胶价格贴需等客户确认产前样后才可以开始大货印刷。
大货样3套：大货样3套需在大货物料到厂后开始上线第一天寄出给深圳办公室；大货样需要同大货一个产线，  所有东西完全同大货一样（大货样外箱没有要求）, 1
套我们需转寄客人审批出货；1套跟单需留样（请尽量安排早点寄出以便客人早点批出货！）
一套样品=1套满PDQ的产品（6pcs*球入一个客版PDQ，每个球里面包含4个唱片+1个小配件）  +一套光身样散件(共45款唱片)
注意：产品包装上需要带价格贴和指定日期码。PDQ上需要印刷价格标。</t>
  </si>
  <si>
    <r>
      <rPr>
        <sz val="12"/>
        <color rgb="FF000000"/>
        <rFont val="宋体"/>
        <charset val="134"/>
      </rPr>
      <t>日期码格式：ZURU INC(BVI) 标准格式 日期：2026-08-04
Packaging Info: 1)最新版ZURU MA UPC包装(优先1L)，出口美国。如有说明书请使用ZURU MA说明书，优先放1L英 语。6PCS/PDQ/CTN
2) 客版PDQ， PDQ印刷价格标
2）客版可移动不粘胶价格贴$10（需要贴在收缩膜上，每个贴1张），可移动价格贴以及具体位置，待跟单提供。
3)ZURU标准日期码格式：工厂城市缩写+生产年月日。此单指定日期码：DG20260804。
4)外箱箱唛正侧相邻两面粘贴产品彩色贴纸，每箱两张彩色贴纸, 彩色产品贴纸待跟单提供。如侧唛位置放不下彩贴和唛头信息，可改为放两个正唛。无论是正唛+
侧唛或者是两个正唛，唛头信息和彩贴需放在同一个面。需要工厂根据外箱尺寸建议预估的彩贴尺寸给跟单。箱唛需排版给跟单确认。
Remark:</t>
    </r>
    <r>
      <rPr>
        <sz val="12"/>
        <color rgb="FFFF0000"/>
        <rFont val="宋体"/>
        <charset val="134"/>
      </rPr>
      <t xml:space="preserve"> 客户PO# 62700611</t>
    </r>
    <r>
      <rPr>
        <sz val="12"/>
        <color rgb="FF000000"/>
        <rFont val="宋体"/>
        <charset val="134"/>
      </rPr>
      <t xml:space="preserve">
</t>
    </r>
    <r>
      <rPr>
        <sz val="12"/>
        <color rgb="FFFF0000"/>
        <rFont val="宋体"/>
        <charset val="134"/>
      </rPr>
      <t>客户SKU# 1004273</t>
    </r>
    <r>
      <rPr>
        <sz val="12"/>
        <color rgb="FF000000"/>
        <rFont val="宋体"/>
        <charset val="134"/>
      </rPr>
      <t xml:space="preserve">
1）Item#77772GQ4-S001
2) 样品
产前样5套：产前样5套要求在 2026/06/29前寄给深圳办公室跟单Jenny Liu，需转寄给美国客户确认，客户确认了产前样之后，会寄回一套给工厂，工厂需按照已确
认的产前样安 排大货生产。做产前样前需和跟单确认产品包装日期码和产品上日期码的打码位置+格式，要求是和大货一样的日期码，指定大货日期码为：DG20260
804）。此单客版包材PDQ,可移动不粘胶价格贴需等客户确认产前样后才可以开始大货印刷。
大货样3套：大货样3套需在大货物料到厂后开始上线第一天寄出给深圳办公室；大货样需要同大货一个产线， 所有东西完全同大货一样（大货样外箱没有要求）, 1
套我们需转寄客人审批出货；1套跟单需留样（请尽量安排早点寄出以便客人早点批出货！）
一套样品=1套满PDQ的产品（6pcs*球入一个客版PDQ，每个球里面包含4个唱片+1个小配件） +一套光身样散件(共45款唱片)
注意：产品包装上需要带价格贴和指定日期码。PDQ上需要印刷价格标。
3) 此单无第三方验货+抽样测试，ZURU QC验货PASS后，跟单得到客户的approval之后方可安排出货
4) 大货外箱材积绝对不可大于下述数据，材积只接受3%的变小；重量正负不得超过以下列出数据的5%，接受外箱以印章方式印上实际毛重。
大货外箱尺寸请保持：21.5*13.0*30.0 cm (即8.46*5.12*11.81 inch)，材积必须不能大于0.2966 CubeFeet（即0.0084CBM); 外箱毛重 1.5LBS（即0.69 KGS）
5) 大货配比：
Item#77772GQ4-S001
S001-MINI BRANDS-VINYL-SERIES 1-CAPSULE,1FACING6PCS/GRAVITY PDQ,6PCS/PDQ/CTN
UPC: 193052090065
1FACING6PCS/GRAVITY PDQ,6PCS/PDQ/CTN; 1W*2D*3H=6pcs/PDQ
每个球里面包含4个唱片+1个小配件）, 一共45款唱片。
每个PDQ的6个球里面的东西都要求不一样。
6) 客户Family Dollar不允许少数出货，必须按照PO上的数量出货，也不允许延期，否则会有罚款
7) 客户要求:"产品和包装不能含有PFAS 物质以及1,4 dioxane",请确保产品可以过美国标准测试。
8) 任何产品包装和日期码的变更，在收到ZURU的订单后，不管是MA包装还是客版包装，都需要及时告知跟单并在生产前与跟单确认是否需要重新签板留样。ZURU验
货员验货以Family Dollar跟单寄给工厂的签板为准。如因工厂不及时告知变更而导致的无法出货，客诉或者罚款等，将保留对工厂追责的权利。请工厂务必重视和
配合，避免任何额外 费用的产生。</t>
    </r>
  </si>
  <si>
    <t>Jenny Liu/Shirley</t>
  </si>
  <si>
    <t>4500212711-30</t>
  </si>
  <si>
    <t>日期码格式：ZURU INC(BVI) 标准格式                  日期：按实际生产日期
Packaging Info: 
3.77772GQ2: MA A3L EAN包装+警告语和MADE IN CHINA都翻译成丹麦瑞典芬兰挪威爱沙尼亚语做成一张贴纸贴在包装上(贴纸和位置图翻SOK PO#4500196453)+MA 23L
组装说明书+MA 5L收藏指南+MA 3L PDQ+一张ZURU地址_PDQ-展示架通用贴纸贴在PDQ上(位置图贴在PDQ侧面下方的空白处即可，若侧面没位置则贴在背面下方空白处)+WEEE_不带电池走货 _ 说明书欧洲EN+29L_C版
Remark: 1. 包装如含PVC,请改为PET
 2. 产品/包装要求无硼无香；
 3. 出欧洲，微塑料需合规。
4.带电池出货的产品所用到的电池需要符合欧洲电池新规(EU) 2023-1542
5.产品/包装不含PFAS and/or Bisfenol成分, 以及不含石棉成分
6. 产品条码如下: 请先检查条码是否正确再安排做货，如有问题请告知:
77772GQ2-S002:4894680051133</t>
  </si>
  <si>
    <t>EL  CORTE  INGLES,S.A</t>
  </si>
  <si>
    <t>4500214935-30</t>
  </si>
  <si>
    <t>8/21 第三方验货</t>
  </si>
  <si>
    <t>7/22确认</t>
  </si>
  <si>
    <t>客供RFID贴纸+外箱+2pcs  条码贴（此贴纸客供）</t>
  </si>
  <si>
    <t>日期码格式：ZURU  INC(BVI)  标准格式                                    日期：按实际生产日期
Packaging Info: 
77772GQ2：最新MA  3L  EAN包装+一张客供RFID贴纸+MA收藏指南/说明书+MA  3L  PDQ；
Remark: 1.  此单出西班牙，需满足EU测试标准要求，另外微塑料需符合EU法规；
   2.  标准配比；
3.根据新电池法规（EU）    2023/1542，所有走欧洲市场的电子产品，都需要增加WEEE通用29L说明书（分带电池走货和不带电池走货两种），如工厂没有此文件，可
以找跟单提供；
4.  产品及包装需要印CE  logo图标和care@zuru.com  邮箱地址
5.外箱+2pcs  条码贴（此贴纸客供）
6.订单出两个港口Madrid和Barcelona，出不同港口的外箱不同
6.订单需要签办及第三方验货，请按时完工。
7.大货样品3套/item，请多备料。</t>
  </si>
  <si>
    <t>4500214935-70</t>
  </si>
  <si>
    <t>4500213639-30</t>
  </si>
  <si>
    <t>7/2 更新</t>
  </si>
  <si>
    <t>日期码格式：ZURU INC(BVI) 标准格式                  日期：
Packaging Info: 1.   产品MA UPC包装（优先1L）出美国
  2.  客人指定箱唛排版
  3. 要加UPC贴纸，用于覆盖原来产品上的upc, UPC贴纸上的UPC应该为193052118721
  4.配比4  mini vinyls,1 accessory
Remark: 出货前 Zuru QC 验货</t>
  </si>
  <si>
    <t>4500213639-40</t>
  </si>
  <si>
    <t>4500215347-60</t>
  </si>
  <si>
    <t>通用进口商贴纸,贴纸图稿和位置图翻单如下
77794UQ1/77772GQ8-4500208709</t>
  </si>
  <si>
    <r>
      <rPr>
        <sz val="12"/>
        <color rgb="FF000000"/>
        <rFont val="宋体"/>
        <charset val="134"/>
      </rPr>
      <t>日期码格式：ZURU INC(BVI) 标准格式 日期：按实际生产日期
Packaging Info: 7</t>
    </r>
    <r>
      <rPr>
        <sz val="12"/>
        <color rgb="FFFF0000"/>
        <rFont val="宋体"/>
        <charset val="134"/>
      </rPr>
      <t>7673/77794UQ1/77772GQ2-MA UPC包装</t>
    </r>
    <r>
      <rPr>
        <sz val="12"/>
        <color rgb="FF000000"/>
        <rFont val="宋体"/>
        <charset val="134"/>
      </rPr>
      <t xml:space="preserve">(优先1L)+1张通用进口商贴纸,贴纸图稿和位置图翻单如下
Remark: </t>
    </r>
    <r>
      <rPr>
        <sz val="12"/>
        <color rgb="FFFF0000"/>
        <rFont val="宋体"/>
        <charset val="134"/>
      </rPr>
      <t>77772GQ2</t>
    </r>
    <r>
      <rPr>
        <sz val="12"/>
        <color rgb="FF000000"/>
        <rFont val="宋体"/>
        <charset val="134"/>
      </rPr>
      <t>-4 mini vinyls,1 accessory</t>
    </r>
  </si>
  <si>
    <t>AMERICAN WHOLESALE BOOK CO. ,INC.</t>
  </si>
  <si>
    <t>4500213779-40</t>
  </si>
  <si>
    <t>7/7 确认</t>
  </si>
  <si>
    <t>7/16 可移价格贴纸</t>
  </si>
  <si>
    <t>日期码格式：ZURU INC(BVI) 标准格式                  日期：按实际生产日期
Packaging Info: 1. MA, UPC版包装，优先1L + 可移价格贴纸. 出口美国。
Remark: 2.产品和包装上需要印刷tracking code信息, 为ZURU常规格式。
3.ZURU QC 验货。</t>
  </si>
  <si>
    <t>ZB07371</t>
  </si>
  <si>
    <t>5B8ZF83Y</t>
  </si>
  <si>
    <t>4500207515-70</t>
  </si>
  <si>
    <t>7/30 SSCC Label+1张贴纸(含DE/IT警告语+IT环保标, 参考翻单PO#4500198642);</t>
  </si>
  <si>
    <t>日期码格式：ZURU INC(BVI) 标准格式                  日期：按实际生产日期
Packaging Info: 
#77876:2PK MA 1L UPC版#77772入PVC桶，3L无UPC客版收缩膜，客版收缩膜和3L铜版纸图稿翻单4500192514.（两个球的配比不能重复）。
Remark: 1. Amazon MDDP订单，出口US。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</si>
  <si>
    <t>4500213824-10</t>
  </si>
  <si>
    <t>8/19走货</t>
  </si>
  <si>
    <t>日期码格式：ZURU INC(BVI) 标准格式                  日期：按实际生产日期
Packaging Info: 77772GQ2: MA英语UPC版本收缩膜( MA首选1L，如无1L可用多语且含英语的配套多语包装) +客版PDQ（翻单PO#4500200163）  +客制B版收藏指南（收藏指南翻单PO#4
500202802的77869的子件77772）+1张客人通用进口商贴纸（贴纸跟位置图翻单PO#4500193524）+箱唛
配比信息：4  mini vinyls,1 accessory
Removed了 ""Messy &lt;(&gt;&amp;&lt;)&gt; Delicious""两张唱片
Remark: 1.按实际生产日期;
2.出澳大利亚，请按照相应标准生产;
3.所有带纽扣电池的产品都需要在产品包装以及说明书上贴纽扣电池警告语贴纸</t>
  </si>
  <si>
    <t>PO0001904</t>
  </si>
  <si>
    <t>4500207214-50</t>
  </si>
  <si>
    <t>7/22UPC贴纸+进口商贴纸翻单4500210024</t>
  </si>
  <si>
    <t>日期码格式：ZURU INC(BVI) 标准格式 日期：按实际生产日期
Packaging Info:
77772GQ1： MA 3L，加UPC贴纸
Remark: 出加拿大
每款产品都需要加进口商贴纸,进口商贴纸翻单4500210024
Zuru验货.日期跟踪码：产品外包装及产品本身都必须有日期跟踪码，ZURU标准格式日期码</t>
  </si>
  <si>
    <t>BARGAIN MAX LTD</t>
  </si>
  <si>
    <t>ZURPO6479B</t>
  </si>
  <si>
    <t>4500204040-10</t>
  </si>
  <si>
    <t>77772-S001-PRODCC</t>
  </si>
  <si>
    <t>8/25截SI</t>
  </si>
  <si>
    <t>29L带电池出货D版WEEE说明书+加欧洲澳新通用Warning instruction
外箱正面其中1面右上角贴UN3481贴纸</t>
  </si>
  <si>
    <t>日期码格式：ZURU INC(BVI) 标准格式 日期：按实际生产日期
Packaging Info: 77772:MA 1L UPC包装+29L不带电池出货C版WEEE说明书+移除LOLA YOUNG的MESSY唱片+配套的收藏指南(翻单PO#4500198654)
Remark: MA版本按工厂现有最新库存即可，订单出英国，请注意检查产品及包装应带UKCA以及CE图标，包装显示ZURU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*所有产品按符合欧洲标准走货，需要是不含微塑料版本 。
*涉及到硼的，如可选择情况下应使用低硼版本 （slime 类别低硼一般低于300ppm)，无选择的应与跟单复核再安排 。
*如果出运产品属于电子类产品需要在ZURU 包装基础上额外添加一张ZURU 标准29L通用WEEE 电子产品说明书,带电池出货的加带电池出货版本通用29L的说明书，不
带电池出货的产品用不带电池出货版本的说明书.</t>
  </si>
  <si>
    <t>ARMY &amp; AIR FORCE EXCHANGE SERVICE</t>
  </si>
  <si>
    <t>0092641607</t>
  </si>
  <si>
    <t>4500215867-10</t>
  </si>
  <si>
    <t>AAFES02手工单转实单</t>
  </si>
  <si>
    <t>7/14UCC 贴纸，只需贴一面（UCC贴纸为客供贴纸）</t>
  </si>
  <si>
    <t>日期码格式：ZURU INC(BVI) 标准格式                  日期：按实际生产日期
Packaging Info: 1. MA+UPC版包裝,优先1L，出口美国
108PCS/CTN
include 84pcs 77772 capsule + 24pcs 77794 playset
Remark: 2. PO# 0092641607, 0092641609, 0092641610, 这3个订单外箱需要贴4x6"UCC 贴纸，只需贴一面（UCC贴纸为客供贴纸）。PO# 0092641608,  0092641611 这2个订
单外箱不需要UCC贴纸。
 3. ZURU QC 验货。
 4. 产品和包裝上需印刷tracking code信息，格式为ZURU常规。
 5. 展示架上需粘贴 mother UPC 贴纸  （UPC：  10193052101607）</t>
  </si>
  <si>
    <t>0092641608</t>
  </si>
  <si>
    <t>4500215867-20</t>
  </si>
  <si>
    <t>0092641609</t>
  </si>
  <si>
    <t>4500215867-30</t>
  </si>
  <si>
    <t>0092641610</t>
  </si>
  <si>
    <t>4500215867-40</t>
  </si>
  <si>
    <t>0092641611</t>
  </si>
  <si>
    <t>4500215867-50</t>
  </si>
  <si>
    <t>ECOPLAY SA</t>
  </si>
  <si>
    <t>4500212758-150</t>
  </si>
  <si>
    <t>7/10进口商贴纸+WEEE带电池走货欧洲29L通用黑白说明书；</t>
  </si>
  <si>
    <r>
      <rPr>
        <sz val="12"/>
        <color rgb="FF000000"/>
        <rFont val="宋体"/>
        <charset val="134"/>
      </rPr>
      <t>日期码格式：ZURU INC(BVI) 标准格式 日期：按实际生产日期
Packaging Info:
77772SK1:最新MA 3L EAN包装+一张进口商贴纸+MA收藏指南/说明书+【MA 3L SK+</t>
    </r>
    <r>
      <rPr>
        <sz val="12"/>
        <color rgb="FFFF0000"/>
        <rFont val="宋体"/>
        <charset val="134"/>
      </rPr>
      <t>一张ZURU 通用地址贴纸</t>
    </r>
    <r>
      <rPr>
        <sz val="12"/>
        <color rgb="FF000000"/>
        <rFont val="宋体"/>
        <charset val="134"/>
      </rPr>
      <t xml:space="preserve">】+WEEE带电池走货欧洲29L通用黑白说明书；
Remark: 1. 此单出葡萄牙，需满足EU测试标准要求，另外微塑料需符合EU法规；
2. 标准配比；
3.根据新电池法规（EU） 2023/1542，所有走欧洲市场的电子产品，都需要增加WEEE通用29L说明书（分带电池走货和不带电池走货两种），如工厂没有此文件，可
以找跟单提供；
4. 产品及包装需要印CE logo图标和care@zuru.com 邮箱地址
5.此单是新客户首单，需要准备2套大货样寄给客户作为评估样，请注意备料；
</t>
    </r>
    <r>
      <rPr>
        <sz val="12"/>
        <color rgb="FFFF0000"/>
        <rFont val="宋体"/>
        <charset val="134"/>
      </rPr>
      <t>6. 根据欧盟发布《包装和包装废弃物法规》（EU）2025/40（PPWR）新法规：需在PDQ /展示架 以及外箱上增加制造商地址和邮箱地址（见如下内容）
运输包装：外箱上印刷：
ZURU FRANCE. 33 rue Paul Meurice 75020 Paris, France.
care@zuru.com
PDQ，SK展示架，ENDCAP （含有二个欧盟地址，法国地址需下划线）
ZURU INC. ROOM 1202, ENERGY PLAZA, NO.92 GRANVILLE ROAD, TSIM SHA TSUI EAST, KOWLOON, HONG KONG. / ZURU UK LIMITED. Ground Floor, Templeback, 10
Temple Back, Bristol, United Kingdom, BS1 6FL. / ZURU FRANCE. 33 rue Paul Meurice 75020 Paris, France. / ZURU DENMARK APS. OSLO PLADS 2, 2100 K
BENHAVN , DENMARK.
care@zuru.com</t>
    </r>
  </si>
  <si>
    <t>4500212758-130</t>
  </si>
  <si>
    <r>
      <rPr>
        <sz val="12"/>
        <color rgb="FF0000FF"/>
        <rFont val="宋体"/>
        <charset val="134"/>
      </rPr>
      <t>日期码格式：ZURU INC(BVI) 标准格式 日期：按实际生产日期
Packaging Info: 
77772GQ1:MA 3L EAN包装+一张进口商贴纸+【MA 3L PDQ+一张ZURU 通用地址贴纸】+MA组装说明书/收藏指南+WEEE带电池走货欧洲29L通用黑白说明书；
Remark: 1. 此单出葡萄牙，需满足EU测试标准要求，另外微塑料需符合EU法规；
2. 标准配比；
3.根据新电池法规（EU） 2023/1542，所有走欧洲市场的电子产品，都需要增加WEEE通用29L说明书（分带电池走货和不带电池走货两种），如工厂没有此文件，可
以找跟单提供；
4. 产品及包装需要印CE logo图标和</t>
    </r>
    <r>
      <rPr>
        <sz val="12"/>
        <color rgb="FF000000"/>
        <rFont val="宋体"/>
        <charset val="134"/>
      </rPr>
      <t xml:space="preserve">care@zuru.com </t>
    </r>
    <r>
      <rPr>
        <sz val="12"/>
        <color rgb="FF0000FF"/>
        <rFont val="宋体"/>
        <charset val="134"/>
      </rPr>
      <t>邮箱地址
5.此单是新客户首单，需要准备2套大货样寄给客户作为评估样，请注意备料；
6. 根据欧盟发布《包装和包装废弃物法规》（EU）2025/40（PPWR）新法规：需在PDQ /展示架 以及外箱上增加制造商地址和邮箱地址（见如下内容）
运输包装：外箱上印刷：
ZURU FRANCE. 33 rue Paul Meurice 75020 Paris, France.
care@zuru.com
PDQ，SK展示架，ENDCAP （含有二个欧盟地址，法国地址需下划线）
ZURU INC. ROOM 1202, ENERGY PLAZA, NO.92 GRANVILLE ROAD, TSIM SHA TSUI EAST, KOWLOON, HONG KONG. / ZURU UK LIMITED. Ground Floor, Templeback, 10
Temple Back, Bristol, United Kingdom, BS1 6FL. / ZURU FRANCE. 33 rue Paul Meurice 75020 Paris, France. / ZURU DENMARK APS. OSLO PLADS 2, 2100 K
BENHAVN , DENMARK.
care@zuru.com</t>
    </r>
  </si>
  <si>
    <t>4500212758-140</t>
  </si>
  <si>
    <r>
      <rPr>
        <sz val="12"/>
        <color rgb="FF0000FF"/>
        <rFont val="宋体"/>
        <charset val="134"/>
      </rPr>
      <t>日期码格式：ZURU INC(BVI) 标准格式 日期：按实际生产日期
Packaging Info:
77772GQ2:最新MA 3L EAN包装+一张客户警语贴纸+MA收藏指南/说明书+【MA 3L PDQ+一张ZURU 通用地址贴纸】+WEEE带电池走货欧洲29L通用黑白说明书；
Remark: 1. 此单出葡萄牙，需满足EU测试标准要求，另外微塑料需符合EU法规；
2. 标准配比；
3.根据新电池法规（EU） 2023/1542，所有走欧洲市场的电子产品，都需要增加WEEE通用29L说明书（分带电池走货和不带电池走货两种），如工厂没有此文件，可
以找跟单提供；
4. 产品及包装需要印CE logo图标和</t>
    </r>
    <r>
      <rPr>
        <sz val="12"/>
        <color rgb="FF000000"/>
        <rFont val="宋体"/>
        <charset val="134"/>
      </rPr>
      <t xml:space="preserve">care@zuru.com </t>
    </r>
    <r>
      <rPr>
        <sz val="12"/>
        <color rgb="FF0000FF"/>
        <rFont val="宋体"/>
        <charset val="134"/>
      </rPr>
      <t>邮箱地址
5.此单是新客户首单，需要准备2套大货样寄给客户作为评估样，请注意备料；
6. 根据欧盟发布《包装和包装废弃物法规》（EU）2025/40（PPWR）新法规：需在PDQ /展示架 以及外箱上增加制造商地址和邮箱地址（见如下内容）
运输包装：外箱上印刷：
ZURU FRANCE. 33 rue Paul Meurice 75020 Paris, France.
care@zuru.com
PDQ，SK展示架，ENDCAP （含有二个欧盟地址，法国地址需下划线）
ZURU INC. ROOM 1202, ENERGY PLAZA, NO.92 GRANVILLE ROAD, TSIM SHA TSUI EAST, KOWLOON, HONG KONG. / ZURU UK LIMITED. Ground Floor, Templeback, 10
Temple Back, Bristol, United Kingdom, BS1 6FL. / ZURU FRANCE. 33 rue Paul Meurice 75020 Paris, France. / ZURU DENMARK APS. OSLO PLADS 2, 2100 K
BENHAVN , DENMARK.
care@zuru.com</t>
    </r>
  </si>
  <si>
    <t>SMYK  SP  Z  O.O.</t>
  </si>
  <si>
    <t>4500213979-20</t>
  </si>
  <si>
    <t>7/15进口商贴纸；C  版  29L  不带电池走货WEEE说明书货WEEE通用说明书</t>
  </si>
  <si>
    <t>日期码格式：ZURU INC(BVI) 标准格式 日期：按实际生产日期
Packaging Info:77772：A 版 3L MA EAN收缩膜+1张空白贴纸覆盖原条码；B 版 5L MA 收藏指南/A 版 23L 组装说明书/C 版 29L 不带电池走货WEEE说明书
77772GQ2：A 版 3L MA EAN收缩膜+进口商贴纸+EAN条码贴纸（含客户款号）；B 版 5L MA 收藏指南/A 版 3L MA PDQ/A 版 23L 组装说明书/C 版 29L 不带电池
走货WEEE说明书
Remark: 1、若产品有比例使用ZURU STD 比例
2、所有item 均用MA EAN条码，若包装上的EAN 条码与PO 不一致的请告知
3、此单出欧洲需满足EU测试标准要求，含有闪粉类的产品，闪粉必须符合欧盟要求且可降解;电池产品（带电池/不带电池走货）需要添加WEEE通用说明书
4、此单LC 货期不可延
5、订单中的Vinyl Capsule 需要移除Last Friday Night &lt;(&gt;&amp;&lt;)&gt; Delicious &lt;(&gt;&amp;&lt;)&gt; Messy 3款唱片</t>
  </si>
  <si>
    <t>PACIFIC OPTICS NZ</t>
  </si>
  <si>
    <t>4500215733-20</t>
  </si>
  <si>
    <t>确认不带18号唱片出货</t>
  </si>
  <si>
    <t>移除21/23。客版PDQ（翻单PO#4500200163）    +客制B版收藏指南（收藏指南翻单PO#4500202802的77869的子件77772）</t>
  </si>
  <si>
    <t>日期码格式：ZURU INC(BVI) 标准格式                  日期：按实际生产日期
Packaging Info: 1. MA UPC 英语包装（优先1L英语版本,或者3L/5L含英语即可）
** 77772GQ1：MA英语UPC版本包装（收缩膜和说明书, MA首选1L，如无1L可用多语且含英语的配套多语包装)
易撕线）+客版PDQ（PDQ翻单PO#4500197999）+客制B版收藏指南（收藏指南翻单PO#4500202802的77869的子件77772
2. 包装配比：
Remark: 1.订单出新西兰
2.CRD日期基于我司 QC完成验货;
3.请确保发货100%的订单数量/ sku;
 4. 我司验货日期(请联系Mia Yu Mia.yu@zuru.com提前预定验货日期)，预约验货至少需在完货日期前一周申请;
 5, 箱唛: 按照邮件确认的文档
 6. 产品/彩盒/外箱上日期码请保持一致
 7. 产品UPC ,外箱GTIN#
77772GQ1-S002-PRODCC1: UPC#193052090065  /GTIN#10193052090062</t>
  </si>
  <si>
    <t>Jess Huang</t>
  </si>
  <si>
    <t>THE  FARMERS'  TRADING  COMPANY  LIMITE</t>
  </si>
  <si>
    <t>4500210838-30</t>
  </si>
  <si>
    <t>6/29可移动材质的价格贴纸（价格贴纸要切易撕线）</t>
  </si>
  <si>
    <t>客制B版收藏指南（收藏指南翻单PO#4500202802的77869的子件77772</t>
  </si>
  <si>
    <t>日期码格式：ZURU  INC(BVI)  标准格式                                    日期：按实际生产日期
Packaging Info: 
77772GQ1：MA英语UPC版本包装（收缩膜和说明书,  MA首选1L，如无1L可用多语且含英语的配套多语包装)  +(带客人新logo）可移动材质的价格贴纸（价格贴纸要切
易撕线）+客版PDQ（PDQ翻单PO#4500197999）+客制B版收藏指南（收藏指南翻单PO#4500202802的77869的子件77772  +  箱唛
配比信息：4  mini  vinyls,1  accessory
Removed了  ""Messy  &lt;(&gt;&lt;&lt;)&gt;(&gt;&lt;(&gt;&amp;&lt;)&gt;&lt;(&gt;&lt;&lt;)&gt;)&gt;  Delicious""两张唱片
Remark: 1.此单出新西兰
2.CRD日期基于我司  QC完成验货;
3.请确保发货100%的订单数量/  sku;
4.箱唛请按邮件确认的文档
5.我司验货日期(请联系Mia  Yu  Mia.yu@zuru.com提前预定验货日期)，预约验货至少需在完货日期前一周申请</t>
  </si>
  <si>
    <t>Jess  Huang</t>
  </si>
  <si>
    <t>ZURU PTY LIMITED</t>
  </si>
  <si>
    <t>手工单</t>
  </si>
  <si>
    <t>日期码格式：ZURU EDGE LIMITED 标准格式 日期：按实际生产日期
Packaging Info:
1. 77794UQ1：客版PDQ（翻单PO#4500197867）+MA英语UPC版本包装（收缩膜和说明书, MA首选1L，如无1L可用多语且含英语的配套多语包装) +1张MA锂电池黑白警语书纸 + 箱唛 2. 77772GQ1：MA英语UPC版本包装（收缩膜和说明书, MA首选1L，如无1L可用多语且含英语的配套多语包装) +客版PDQ（PDQ翻单PO#4500197999）+客制B版收藏指南（收藏指南翻单PO#4500202802的77869的子件77772） + 箱唛 配比信息：4 mini vinyls,1 accessory Removed了 ""Messy &lt;(&gt;&lt;&lt;)&gt;(&gt;&lt;(&gt;&amp;&lt;)&gt;&lt;(&gt;&lt;&lt;)&gt;)&gt; Delicious""两张唱片
Remark:1.此单出新西兰（如产品含纽扣电池出货, 包装前面和说明书上需加纽扣电池警语贴纸） 2.CRD日期基于我司 QC完成验货; 3.请确保发货100%的订单数量/ sku; 4.箱唛请按邮件确认的文档 5.我司验货日期(请联系Mia Yu Mia.yu@zuru.com提前预定验货日期)，预约验货至少需在完货日期前一周申请</t>
  </si>
  <si>
    <t>10001964594-0581</t>
  </si>
  <si>
    <t>4500214714-10</t>
  </si>
  <si>
    <t>7/21确认</t>
  </si>
  <si>
    <t>7/31外箱条码箱贴纸</t>
  </si>
  <si>
    <t>MO20260615-20</t>
  </si>
  <si>
    <t>JUGUETTOS  CENTRAL  DE  COMPRAS,  S.COO</t>
  </si>
  <si>
    <t>4500214563-10</t>
  </si>
  <si>
    <t>西班牙环保标贴纸翻单4500211344</t>
  </si>
  <si>
    <t>需要准备每款2套大货样</t>
  </si>
  <si>
    <r>
      <rPr>
        <sz val="12"/>
        <color rgb="FF000000"/>
        <rFont val="宋体"/>
        <charset val="134"/>
      </rPr>
      <t>日期码格式：ZURU INC(BVI) 标准格式 日期：按实际生产日期 Tracking Code:
Packaging Info: 77772GQ2： 最新MA 3L EAN包装+一张西班牙环保标贴纸翻单4500211344；MA收藏指南/说明书+MA 3L PDQ</t>
    </r>
    <r>
      <rPr>
        <sz val="12"/>
        <color rgb="FFFF0000"/>
        <rFont val="宋体"/>
        <charset val="134"/>
      </rPr>
      <t>+1张PPWR地址贴纸；</t>
    </r>
    <r>
      <rPr>
        <sz val="12"/>
        <color rgb="FF000000"/>
        <rFont val="宋体"/>
        <charset val="134"/>
      </rPr>
      <t xml:space="preserve">
Remark: 1. 此单出西班牙，需满足EU测试标准要求，另外微塑料需符合EU法规；
 2. 标准配比。
 3.根据新电池法规（EU） 2023/1542，所有走欧洲市场的电子产品，都需要增加WEEE通用29L说明书（分带电池走货 跟不带电池走货两种），如工厂没有此文件，可
 以找跟单提供。
 4. 产品及包装需要印CE logo图标，包装需含有西班牙环保标 和</t>
    </r>
    <r>
      <rPr>
        <sz val="12"/>
        <color rgb="FF000000"/>
        <rFont val="宋体"/>
        <charset val="134"/>
      </rPr>
      <t xml:space="preserve">care@zuru.com </t>
    </r>
    <r>
      <rPr>
        <sz val="12"/>
        <color rgb="FF000000"/>
        <rFont val="宋体"/>
        <charset val="134"/>
      </rPr>
      <t xml:space="preserve">邮箱地址， 另外，包装贴纸上面的警告语不可以覆盖西班牙警告语。QC同事请核
 查，如有问题需和跟单确认。
 5.纯毛绒玩具需要西班牙语言的洗涤说明；
 6.需ZURU OQC验货后给到客户验货图片审批通过才可以放货，请工厂按时完货并及时验货；
 </t>
    </r>
    <r>
      <rPr>
        <sz val="12"/>
        <color rgb="FFFF0000"/>
        <rFont val="宋体"/>
        <charset val="134"/>
      </rPr>
      <t>7.欧盟发布了《包装和包装废弃物法规》（EU）2025/40（PPWR）于2026-8-12开始实施，并废除了欧盟包装指令94/62/EC， 需要在含有PDQ，外箱， 展示架上增加
 制造商地址和邮箱地址，内容如下：
 运输包装：外箱、卡通箱 （只有一个欧盟地址，可以不用下划线）
 ZURU FRANCE. 33 rue Paul Meurice 75020 Paris, France.
 care@zuru.com
 组合包装：PDQ，SK展示架，ENDCAP （含有二个欧盟地址，法国地址需下划线）
 ZURU INC. ROOM 1202, ENERGY PLAZA, NO.92 GRANVILLE ROAD, TSIM SHA TSUI EAST, KOWLOON, HONG KONG. / ZURU UK LIMITED. Ground Floor, Templeback, 10
 Temple Back, Bristol, United Kingdom, BS1 6FL. / ZURU FRANCE. 33 rue Paul Meurice 75020 Paris, France. / ZURU DENMARK APS. OSLO PLADS 2, 2100 K
 BENHAVN , DENMARK.
 care@zuru.com</t>
    </r>
    <r>
      <rPr>
        <sz val="12"/>
        <color rgb="FF000000"/>
        <rFont val="宋体"/>
        <charset val="134"/>
      </rPr>
      <t xml:space="preserve">
 7.需要准备每款2套大货样，请注意备料。</t>
    </r>
  </si>
  <si>
    <t>BASILE GIOCATTOLI SRL</t>
  </si>
  <si>
    <t>4500211316-10</t>
  </si>
  <si>
    <t>7/20进口商贴纸（含意大利环保标）+WEEE不带电说明书</t>
  </si>
  <si>
    <t>日期码格式：ZURU INC(BVI) 标准格式                  日期：按实际生产日期
Packaging Info: 77772GQ2：最新MA3L EAN收缩膜+ MA23L说明书+MA5L 收藏指南 +  MA3L PDQ+ 进口商贴纸（含意大利环保标）
Remark: 1. 此单出意大利，需要满足EU标准，通过ZURU验货即可；
 2. 产品均符合EU微塑料法规要求：不能含有微塑料/闪粉符合欧规，BOB系列要符合欧洲要求不含亚硝酸版本; XShot Hyper系列，统一出EN71版本。
 3,  SMASHERS 或含Slime产品，所有化合物使用无硼或者低硼版本出意大利。#17601需要出NS版本。
4, 带电池产品需要带上最新WEEE29L欧洲通用电池回收说明书。产品里如果含干燥剂，请附上干燥剂14L说明书。
5, 意大利订单包装彩卡请确保含法规要求的环保回收logo和意大利语警语，如果说明书有文字使用说明，需要有意大利语使用说明。
6，电池产品请确保使用新说明书以及新标识的电池以符合最新(EU) 2023/1542法规  （增加制造商信息，电池种类，制造商地址，电池重量，化学组成，可用的灭
火器，浓度重量占比&gt;0.1%的关键原材料，二维码），如果电池不含这些信息，也需要确保电池说明书含这些信息。</t>
  </si>
  <si>
    <t>THE  ENTERTAINER</t>
  </si>
  <si>
    <t>FB15077</t>
  </si>
  <si>
    <t>4500214102-10</t>
  </si>
  <si>
    <t>77869-77772-S001-PRODCC</t>
  </si>
  <si>
    <t>空白贴纸+29L不带电池出货C版WEEE说明书</t>
  </si>
  <si>
    <r>
      <rPr>
        <sz val="12"/>
        <color rgb="FF000000"/>
        <rFont val="宋体"/>
        <charset val="134"/>
      </rPr>
      <t>日期码格式：ZURU INC(BVI) 标准格式 日期：按实际生产日期
Packaging Info: 77869:客板彩盒</t>
    </r>
    <r>
      <rPr>
        <sz val="12"/>
        <color rgb="FFFF0000"/>
        <rFont val="宋体"/>
        <charset val="134"/>
      </rPr>
      <t>（翻单4500211844）+D版带电池出货版本WEEE说明书+球用MA B版UP收缩膜+空白贴纸覆盖收缩膜上面的原条码，77772要移除LOLA YANG唱片，要用配
套的收藏指南(翻单PO#4500198654)</t>
    </r>
    <r>
      <rPr>
        <sz val="12"/>
        <color rgb="FF000000"/>
        <rFont val="宋体"/>
        <charset val="134"/>
      </rPr>
      <t xml:space="preserve">
--------------------
Remark: MA版本按工厂现有最新库存即可，订单出英国，请注意检查产品及包装应带UKCA以及CE图标，包装显示ZURU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*所有产品按符合欧洲标准走货，需要是不含微塑料版本 。
*涉及到硼的，如可选择情况下应使用低硼版本 （slime 类别低硼一般低于300ppm)，无选择的应与跟单复核再安排 。
*如果出运产品属于电子类产品需要在ZURU 包装基础上额外添加一张ZURU 标准29L通用WEEE 电子产品说明书,带电池出货的加带电池出货版本通用29L的说明书，不
带电池出货的产品用不带电池出货版本的说明书.
*根据客人最新的包装要求，所有多个PDQ盒子(TQ,UQ,GQ）入1外箱的都需要在PDQ顶部右上角加上数量贴纸标明里面的数量。最小字体：36pts, 字体：Calibri（bo
ld), 具体要求以及位置见文件.
*订单对应客户PO号 ，备注有显示 ，注意分开做货/验货/装柜 ，混装有罚款。
* 大货样： 新款请在CRD前10天寄出每款2整套大货样到罗湖办公室21B Meyya Liu 收，翻单不用寄。</t>
    </r>
  </si>
  <si>
    <t>Meyya  Liu</t>
  </si>
  <si>
    <t>0005606738</t>
  </si>
  <si>
    <t>4500215861-20</t>
  </si>
  <si>
    <t>8/24 BV验货</t>
  </si>
  <si>
    <t>0005606740</t>
  </si>
  <si>
    <t>4500215861-40</t>
  </si>
  <si>
    <t>7/20RFID贴纸</t>
  </si>
  <si>
    <t>0005606728</t>
  </si>
  <si>
    <t>4500215861-50</t>
  </si>
  <si>
    <t>0005606729</t>
  </si>
  <si>
    <t>4500215861-70</t>
  </si>
  <si>
    <t>0005606744</t>
  </si>
  <si>
    <t>4500215861-80</t>
  </si>
  <si>
    <t>7/24RFID贴纸</t>
  </si>
  <si>
    <t>0005606749</t>
  </si>
  <si>
    <t>4500215861-90</t>
  </si>
  <si>
    <t>8/26走货</t>
  </si>
  <si>
    <t>4500213080-30</t>
  </si>
  <si>
    <t>8/27截SI</t>
  </si>
  <si>
    <t>6/24 确认</t>
  </si>
  <si>
    <t>日期码格式：ZURU INC(BVI) 标准格式                  日期：按实际生产日期
Packaging Info: 1、包装方式: MA UPC优先1L最新版，出口美国
Remark: 2、无第三方测试验货要求
3、纸箱4面印ZURU LOGO + 箱唛
 4、日期码请按ZURU标准版执行即可
 5、ZURU QC验货</t>
  </si>
  <si>
    <t>4500214846-30</t>
  </si>
  <si>
    <r>
      <rPr>
        <sz val="12"/>
        <color rgb="FF000000"/>
        <rFont val="宋体"/>
        <charset val="134"/>
      </rPr>
      <t xml:space="preserve">日期码格式：ZURU INC(BVI) 标准格式 日期：按实际生产日期
Packaging Info:
</t>
    </r>
    <r>
      <rPr>
        <sz val="12"/>
        <color rgb="FFFF0000"/>
        <rFont val="宋体"/>
        <charset val="134"/>
      </rPr>
      <t>77876 :MA收藏指南， 客版 3L(3L warning 无条码,新UK地址,翻单4500198654)收缩膜+客版3L(3L warning UPC)彩卡(新UK地址,翻单4500198654)
77876唱片remove "Messy" 和 “ Delicious"vinyl minis</t>
    </r>
    <r>
      <rPr>
        <sz val="12"/>
        <color rgb="FF000000"/>
        <rFont val="宋体"/>
        <charset val="134"/>
      </rPr>
      <t xml:space="preserve">
Remark:</t>
    </r>
  </si>
  <si>
    <t>4500214846-20</t>
  </si>
  <si>
    <r>
      <rPr>
        <sz val="12"/>
        <color rgb="FF000000"/>
        <rFont val="宋体"/>
        <charset val="134"/>
      </rPr>
      <t xml:space="preserve">日期码格式：ZURU INC(BVI) 标准格式 日期：按实际生产日期
Packaging Info:
</t>
    </r>
    <r>
      <rPr>
        <sz val="12"/>
        <color rgb="FFFF0000"/>
        <rFont val="宋体"/>
        <charset val="134"/>
      </rPr>
      <t>77869: 客制3L彩盒(彩盒翻单PO#4500202802），MA 说明书和收藏指南
子件77772: MA英语UPC版本包装（收缩膜和说明书, MA首选1L，如无1L可用多语且含英语的配套多语包装) +MA客制收藏指南
子件77794: MA英语UPC版本包装（收缩膜和说明书, MA首选1L，如无1L可用多语且含英语的配套多语包装)
2PK 77772( remove Messy &lt;(&gt;&amp;&lt;)&gt; Delicious vinyl minis) + 77794 PLAYSET COMBO IN COLOR BOX"</t>
    </r>
    <r>
      <rPr>
        <sz val="12"/>
        <color rgb="FF000000"/>
        <rFont val="宋体"/>
        <charset val="134"/>
      </rPr>
      <t xml:space="preserve">
Remark:</t>
    </r>
  </si>
  <si>
    <t>TOY  KINGDOM  (PTY)  LTD</t>
  </si>
  <si>
    <t>4500214857-70</t>
  </si>
  <si>
    <t>日期码格式：ZURU INC(BVI) 标准格式 日期：按实际生产日期
Packaging Info: MA PKG , 优先1L
Remark:</t>
  </si>
  <si>
    <t>4500216448-50</t>
  </si>
  <si>
    <t>4500211924转PO4500216448</t>
  </si>
  <si>
    <t>4500216463-10</t>
  </si>
  <si>
    <t>UPC条码贴纸和进口商贴纸翻单4500205972</t>
  </si>
  <si>
    <t>每箱放置6小包干燥剂，每包重2-3g；</t>
  </si>
  <si>
    <t>日期码格式：LOT+ZURU标准日期码格式                  日期：按实际生产日期
Packaging Info: 77772GQ2 MA 3L EAN 包装+UPC 条码+进口商贴纸+3L MAPDQ+箱唛，UPC条码贴纸和进口商贴纸翻单4500205972
Remark: 1. 客版日期码要求：LOT+ZURU标准日期码格式。举例东莞生产的格式：LOTDGYYYYMMDD, DG是东莞拼音首字母，YYYYMMDD是实际的年月日，例如(LOTDG20240920)
 2. 此单有第三方监柜，至少多备一套完整的物料用于监柜，请多备料
 3. WM墨西哥防霉的新要求:货物必须在出货主箱和集装箱中按要求放置干燥剂，干燥剂指定品牌干霸
 4. 77772GQ2/77858/77794UQ1：  每箱放置6小包干燥剂，每包重2-3g；
 5. 如走柜货等loading plan 确认后再通知集装箱干燥剂数量</t>
  </si>
  <si>
    <t>4500216454-10</t>
  </si>
  <si>
    <t>4500211904转PO4500216454</t>
  </si>
  <si>
    <t>日期码格式：ZURU INC(BVI) 标准格式                  日期：按实际生产日期
Packaging Info: "77772GQ2: MA PDQ (优先多语)+客版5L收缩膜 (翻PO#4500191961) +客版5L收藏指南(翻PO#4500211227)+MA 23L组装说明书+MA内袋
EAN#4894680051133
*必须移除Messy Lola Young (VINYL-S1-021) 这个唱片, 比例按PM更新的安排, 如未按要求做货被客罚由工厂承担责任*
如达不到包材MOQ-
77772GQ2: MA PDQ (优先多语)+MA 3L-EAN收缩膜+1张含德语callout/德意荷警语/法国sorting label贴纸(翻单PO#4500196046)+客版5L收藏指南(不含Messy唱片,
翻PO#4500211227)
EAN#4894680051133
*必须移除Messy Lola Young (VINYL-S1-021) 这个唱片, 比例按PM更新的安排, 如未按要求做货被客罚由工厂承担责任*"
Remark: "Smyths 英国/爱尔兰
 1. 请准时出货，推期会有罚款；
 2. 所有产品按符合欧洲标准走货，需要是不含微塑料版本。
3.包装日期码按ZURU格式即可，请确保不迟于外箱日期码，可等于或者早于外箱日期码，必须为法定工作日，印刷前请先检查外箱日期码。
4.请注意检查产品及包装应带UKCA图标（14+产品除外），包装显示ZURU UK LTD/ZURU France地址信息，QC部门请查核，如有问题与跟单确认
5.电子产品需增加一张WEEE声明29L通用黑白说明书，区分带电池(D版)和不带电池(C版)出货版本, 如已做带WEEE声明的客版说明书可忽略此要求；如包装备注上缺
少此部分信息，请提醒跟单更新备注。
6.订单备注显示有分批的(不同仓库/订单号), 一定要区分客户订单号做货出货，否则会导致罚款  。
7.做货前请先复核包装条码与订单是否一致再安排，对不上的需与ZURU跟单确认再安排。
8.包装必须含法国回收标(Sorting Label)，如没有，请提醒跟单提供贴纸资料。"</t>
  </si>
  <si>
    <t>PSICHOGIOS PUBLICATIONS SA</t>
  </si>
  <si>
    <t>4500213304-10</t>
  </si>
  <si>
    <t>8/29截SI</t>
  </si>
  <si>
    <t>7/22进口商贴纸（含希腊警语）+不带电池出货29Lweee说明书纸</t>
  </si>
  <si>
    <t>日期码格式：ZURU INC(BVI) 标准格式                  日期：按实际生产日期
Packaging Info: 77772: 最新MA 3L EAN收缩膜+最新MA 5L收藏指南+最新MA 23L说明书+最新MA 3L PDQ+一张进口商贴纸（含希腊警语）+不带电池出货29Lweee说明书纸
Remark: 1. 此单出希腊，需要满足EU标准；  产品均符合EU微塑料法规要求：不能含有微塑料闪粉
 2. 本订单所有 具有 baby items / assorted items 的款式，零售包装上都要用 母 EAN;
 3. 带电产品请根据是否带电池出货，自行订购“WEEE_不带/带电池走货 _ 欧洲通用说明书EN+29L-D版”说明书纸
 4.带干燥剂的产品需要加一张“干燥剂说明书14L”
5.所有PDQ/SIDEKICK/ENDCAP都需要加上ZURU信息的贴纸；若MA AW已有可忽略。具体内容如下：
ZURU INC. ROOM 1202, ENERGY PLAZA, NO.92 GRANVILLE ROAD, TSIM SHA TSUI EAST, KOWLOON, HONG KONG. / ZURU UK LIMITED. Ground Floor, Templeback, 10
Temple Back, Bristol, United Kingdom, BS1 6FL. / ZURU FRANCE. 33 rue Paul Meurice 75020 Paris, France. / ZURU DENMARK APS. OSLO PLADS 2, 2100 K
BENHAVN , DENMARK.
care@zuru.com</t>
  </si>
  <si>
    <t>4500213979-10</t>
  </si>
  <si>
    <t>客版彩卡含UPC条码193052101938(翻4500198446)+7/15进口商贴纸+EAN条码覆盖原条码</t>
  </si>
  <si>
    <t>日期码格式：ZURU  INC(BVI)  标准格式                                    日期：按实际生产日期
Packaging Info: 77869    （2PK  77772  +  77794  PLAYSET  COMBO  IN  COLOR  BOX）:  客版彩卡含UPC条码193052101938(翻4500198446)+进口商贴纸+EAN条码覆盖原条码；外箱一面添加
锂电池贴纸
               77772：A  版  3L  MA  EAN收缩膜+1张空白贴纸覆盖原条码；B  版  5L  MA  收藏指南/A  版  23L  组装说明书/C  版  29L  不带电池走货WEEE说明书
               77794：    B  版3L  MA  EAN  包装；A  版  23L  警告语说明书/A  版  23L  唱片机说明书/A  版  23L  锂电池警告语说明书/D  版  29L  带电池走货WEEE通用说明书
Remark: 1、若产品有比例使用ZURU  STD  比例
   2、所有item  均用MA  EAN条码，若包装上的EAN  条码与PO  不一致的请告知
   3、此单出欧洲需满足EU测试标准要求，含有闪粉类的产品，闪粉必须符合欧盟要求且可降解;电池产品（带电池/不带电池走货）需要添加WEEE通用说明书
   4、此单LC  货期不可延
   5、订单中的Vinyl  Capsule  需要移除Last  Friday  Night  &lt;(&gt;&amp;&lt;)&gt;  Delicious  &lt;(&gt;&amp;&lt;)&gt;  Messy  3款唱片</t>
  </si>
  <si>
    <t>0005606730</t>
  </si>
  <si>
    <t>4500215861-60</t>
  </si>
  <si>
    <t>8/26 BV验货</t>
  </si>
  <si>
    <t>0005606731</t>
  </si>
  <si>
    <t>4500215861-30</t>
  </si>
  <si>
    <t>0005606737</t>
  </si>
  <si>
    <t>4500215861-10</t>
  </si>
  <si>
    <t>4500208584-60</t>
  </si>
  <si>
    <t>77772GQ1-S002-INT-PRODCC1</t>
  </si>
  <si>
    <t>8/3外箱贴纸SSCC Label+一张防盜贴纸(贴纸以及防盜贴纸位置图翻单PO#4500193539</t>
  </si>
  <si>
    <t>日期码格式：ZURU INC(BVI) 标准格式                  日期：按实际生产日期
Packaging Info:
77772GQ1:MA英语UPC版本包装（收缩膜和说明书, MA首选1L，如无1L可用多语且含英语的配套多语包装) +一张防盜贴纸(贴纸以及防盜贴纸位置图翻单PO#450019353
9)+客制PDQ（PDQ翻单PO#4500197999）+客制B版收藏指南（收藏指南翻单PO#4500202802的77869的子件77772）+箱唛+外箱贴纸SSCC Label
配比信息：4  mini vinyls,1 accessory
Removed了 ""Messy &lt;(&gt;&amp;&lt;)&gt; Delicious""两张唱片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10.所有带纽扣电池的产品都需要在产品包装以及说明书上贴纽扣电池警告语贴纸
此单需要与AU PO#4500208581一起合并计算</t>
  </si>
  <si>
    <r>
      <rPr>
        <sz val="12"/>
        <rFont val="宋体"/>
        <charset val="134"/>
      </rPr>
      <t>KMART</t>
    </r>
    <r>
      <rPr>
        <sz val="12"/>
        <color rgb="FF000000"/>
        <rFont val="宋体"/>
        <charset val="134"/>
      </rPr>
      <t xml:space="preserve">  AUSTRALIA  LTD(NEW  ZEALAND)</t>
    </r>
  </si>
  <si>
    <t>4500208584-20</t>
  </si>
  <si>
    <t>防盜贴纸(贴纸以及防盜贴纸位置图翻单PO#4500193539)+客制PDQ（PDQ翻单PO#4500197999）+客制B版收藏指南+8/3外箱贴纸SSCC  Label</t>
  </si>
  <si>
    <r>
      <rPr>
        <sz val="12"/>
        <color rgb="FF000000"/>
        <rFont val="宋体"/>
        <charset val="134"/>
      </rPr>
      <t xml:space="preserve">日期码格式：ZURU INC(BVI) 标准格式 日期：按实际生产日期
Packaging Info: 
77772GQ1:MA英语UPC版本包装（收缩膜和说明书, MA首选1L，如无1L可用多语且含英语的配套多语包装) +一张防盜贴纸(贴纸以及防盜贴纸位置图翻单PO#450019353
9)+客制PDQ（PDQ翻单PO#4500197999）+客制B版收藏指南（收藏指南翻单PO#4500202802的77869的子件77772）+箱唛+外箱贴纸SSCC Label
配比信息：4 mini vinyls,1 accessory
Removed了 ""Messy &lt;(&gt;&amp;&lt;)&gt; Delicious""两张唱片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t>
    </r>
    <r>
      <rPr>
        <sz val="12"/>
        <color rgb="FFFF0000"/>
        <rFont val="宋体"/>
        <charset val="134"/>
      </rPr>
      <t>10.所有带纽扣电池的产品都需要在产品包装以及说明书上贴纽扣电池警告语贴纸</t>
    </r>
    <r>
      <rPr>
        <sz val="12"/>
        <color rgb="FF000000"/>
        <rFont val="宋体"/>
        <charset val="134"/>
      </rPr>
      <t xml:space="preserve">
此单需要与AU PO#4500208581一起合并计算</t>
    </r>
  </si>
  <si>
    <r>
      <rPr>
        <sz val="12"/>
        <rFont val="宋体"/>
        <charset val="134"/>
      </rPr>
      <t>Louise</t>
    </r>
    <r>
      <rPr>
        <sz val="12"/>
        <color rgb="FF000000"/>
        <rFont val="宋体"/>
        <charset val="134"/>
      </rPr>
      <t xml:space="preserve">  Lu</t>
    </r>
  </si>
  <si>
    <r>
      <rPr>
        <sz val="12"/>
        <rFont val="宋体"/>
        <charset val="134"/>
      </rPr>
      <t>KMART</t>
    </r>
    <r>
      <rPr>
        <sz val="12"/>
        <color rgb="FF000000"/>
        <rFont val="宋体"/>
        <charset val="134"/>
      </rPr>
      <t xml:space="preserve">  AUSTRALIA  LTD</t>
    </r>
  </si>
  <si>
    <t>4500208581-20</t>
  </si>
  <si>
    <r>
      <rPr>
        <sz val="12"/>
        <color rgb="FF000000"/>
        <rFont val="宋体"/>
        <charset val="134"/>
      </rPr>
      <t xml:space="preserve">日期码格式：ZURU INC(BVI) 标准格式 日期：按实际生产日期
Packaging Info: 
77772GQ1:MA英语UPC版本包装（收缩膜和说明书, MA首选1L，如无1L可用多语且含英语的配套多语包装) +一张防盜贴纸(贴纸以及防盜贴纸位置图翻单PO#450019353
9)+客制PDQ（PDQ翻单PO#4500197999）+客制B版收藏指南（收藏指南翻单PO#4500202802的77869的子件77772）+箱唛+外箱贴纸SSCC Label
配比信息：4 mini vinyls,1 accessory
Removed了 ""Messy &lt;(&gt;&amp;&lt;)&gt; Delicious"两张唱片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t>
    </r>
    <r>
      <rPr>
        <sz val="12"/>
        <color rgb="FFFF0000"/>
        <rFont val="宋体"/>
        <charset val="134"/>
      </rPr>
      <t>10.所有带纽扣电池的产品都需要在产品包装以及说明书上贴纽扣电池警告语贴纸</t>
    </r>
    <r>
      <rPr>
        <sz val="12"/>
        <color rgb="FF000000"/>
        <rFont val="宋体"/>
        <charset val="134"/>
      </rPr>
      <t xml:space="preserve">
此单需要与NZ PO#4500208584一起合并计算</t>
    </r>
  </si>
  <si>
    <t>4500208584-10</t>
  </si>
  <si>
    <t>77869-77772-S001-INT-PRODCC1</t>
  </si>
  <si>
    <r>
      <rPr>
        <sz val="12"/>
        <color rgb="FF000000"/>
        <rFont val="宋体"/>
        <charset val="134"/>
      </rPr>
      <t xml:space="preserve">日期码格式：ZURU INC(BVI) 标准格式 日期：按实际生产日期 Tracking Code:
Packaging Info: 77869：客制 3L UPC 彩盒包装 (彩盒翻单PO#4500202802)+ 箱唛 + 外箱贴纸SSCC Label
 子件77772: </t>
    </r>
    <r>
      <rPr>
        <sz val="12"/>
        <color rgb="FFFF0000"/>
        <rFont val="宋体"/>
        <charset val="134"/>
      </rPr>
      <t>1L 客版英语无条码收缩膜（翻单PO#4500208581）</t>
    </r>
    <r>
      <rPr>
        <sz val="12"/>
        <color rgb="FF000000"/>
        <rFont val="宋体"/>
        <charset val="134"/>
      </rPr>
      <t>+B版客制收藏指南</t>
    </r>
    <r>
      <rPr>
        <sz val="12"/>
        <color rgb="FFFF0000"/>
        <rFont val="宋体"/>
        <charset val="134"/>
      </rPr>
      <t>-删除两张唱片""Messy &lt;(&gt;&amp;&lt;)&gt; Delicious""</t>
    </r>
    <r>
      <rPr>
        <sz val="12"/>
        <color rgb="FF000000"/>
        <rFont val="宋体"/>
        <charset val="134"/>
      </rPr>
      <t>（收藏指南翻单PO#4500202802）
 子件77794: MA英语UPC版本包装（收缩膜和说明书, MA首选1L，如无1L可用多语且含英语的配套多语包装) +1张MA锂电池黑白警语书纸（书纸翻单PO#4500193539）
 2PK 77772( remove Messy &lt;(&gt;&amp;&lt;)&gt; Delicious vinyl minis) + 77794 PLAYSET COMBO IN COLOR BOX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10.所有带纽扣电池的产品都需要在产品包装以及说明书上贴纽扣电池警告语贴纸
 此单需要与AU PO#4500208581一起合并计算</t>
    </r>
  </si>
  <si>
    <t>4500208581-10</t>
  </si>
  <si>
    <r>
      <rPr>
        <sz val="12"/>
        <color rgb="FF000000"/>
        <rFont val="宋体"/>
        <charset val="134"/>
      </rPr>
      <t xml:space="preserve">日期码格式：ZURU INC(BVI) 标准格式 日期：按实际生产日期 Tracking Code:
Packaging Info: 77869：客制 3L UPC 彩盒包装 (彩盒翻单PO#4500202802)+ 箱唛 + 外箱贴纸SSCC Label
 子件77772: </t>
    </r>
    <r>
      <rPr>
        <sz val="12"/>
        <color rgb="FFFF0000"/>
        <rFont val="宋体"/>
        <charset val="134"/>
      </rPr>
      <t>1L 客版英语无条码收缩膜+</t>
    </r>
    <r>
      <rPr>
        <sz val="12"/>
        <color rgb="FF000000"/>
        <rFont val="宋体"/>
        <charset val="134"/>
      </rPr>
      <t>B版客制收藏指南</t>
    </r>
    <r>
      <rPr>
        <sz val="12"/>
        <color rgb="FFFF0000"/>
        <rFont val="宋体"/>
        <charset val="134"/>
      </rPr>
      <t>-删除两张唱片""Messy &lt;(&gt;&amp;&lt;)&gt; Delicious""</t>
    </r>
    <r>
      <rPr>
        <sz val="12"/>
        <color rgb="FF000000"/>
        <rFont val="宋体"/>
        <charset val="134"/>
      </rPr>
      <t>（收藏指南翻单PO#4500202802）
 子件77794: MA英语UPC版本包装（收缩膜和说明书, MA首选1L，如无1L可用多语且含英语的配套多语包装) +1张MA锂电池黑白警语书纸（书纸翻单PO#4500193539）
 2PK 77772( remove Messy &lt;(&gt;&amp;&lt;)&gt; Delicious vinyl minis) + 77794 PLAYSET COMBO IN COLOR BO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10.所有带纽扣电池的产品都需要在产品包装以及说明书上贴纽扣电池警告语贴纸
 此单需要与NZ PO#4500208584一起合并计算</t>
    </r>
  </si>
  <si>
    <t>4500217254-10</t>
  </si>
  <si>
    <t>7/28 确认</t>
  </si>
  <si>
    <t>日期码格式：ZURU  INC(BVI) 标准格式                                    日期：按实际生产日期
Packaging Info:77772: 英文MA UPC版本收缩膜  +  客制球以及客制5L  收藏指南    （去除"Messy"  and  "Delicious"  2张唱片）, 客制收藏指南翻单PO#4500213229;
Remark: 此单出口澳大利亚/新西兰, 请按澳新标准生产. 如产品含纽扣电池出货,  包装前面和说明书上需加纽扣电池警语贴纸。</t>
  </si>
  <si>
    <r>
      <rPr>
        <sz val="12"/>
        <rFont val="宋体"/>
        <charset val="134"/>
      </rPr>
      <t>Ivy</t>
    </r>
    <r>
      <rPr>
        <sz val="12"/>
        <color rgb="FF000000"/>
        <rFont val="宋体"/>
        <charset val="134"/>
      </rPr>
      <t xml:space="preserve">  Li</t>
    </r>
  </si>
  <si>
    <t>M&amp;Z SP. Z O.O.</t>
  </si>
  <si>
    <t>4500214321-10</t>
  </si>
  <si>
    <t>7/22 订购进口商贴纸(含波兰语警语)</t>
  </si>
  <si>
    <t>WEEE不带电池出货声明书</t>
  </si>
  <si>
    <t>1套大货样品</t>
  </si>
  <si>
    <r>
      <rPr>
        <sz val="12"/>
        <color rgb="FF000000"/>
        <rFont val="宋体"/>
        <charset val="134"/>
      </rPr>
      <t>日期码格式：ZURU INC(BVI) 标准格式 日期：按实际生产日期
Packaging Info: 77772GQ2：MA3L EAN收缩膜+1张进口商贴纸(含波兰语警语)+MA5L收藏指南</t>
    </r>
    <r>
      <rPr>
        <sz val="12"/>
        <color rgb="FFFF0000"/>
        <rFont val="宋体"/>
        <charset val="134"/>
      </rPr>
      <t>+1张WEEE不带电池走货声明书+MA3LPDQ+1张欧盟地址贴纸</t>
    </r>
    <r>
      <rPr>
        <sz val="12"/>
        <color rgb="FF000000"/>
        <rFont val="宋体"/>
        <charset val="134"/>
      </rPr>
      <t xml:space="preserve">
Remark: 1. 请备多1套大货样品；
2. 此票出波兰，无需客验，通过ZURU验货即可出货，请确保大货符合EU市场法规；
3. 此票使用EAN条码；
</t>
    </r>
    <r>
      <rPr>
        <sz val="12"/>
        <color rgb="FFFF0000"/>
        <rFont val="宋体"/>
        <charset val="134"/>
      </rPr>
      <t>4. PDQ都需要增加1张欧盟地址贴纸(贴PDQ背面空白处即可)</t>
    </r>
  </si>
  <si>
    <t>4500212096-10</t>
  </si>
  <si>
    <t>8/28截SI</t>
  </si>
  <si>
    <t>UPC贴纸193052090065,  UPC贴纸和价格贴纸翻单4500193076，6/29shipping label (贴4面）</t>
  </si>
  <si>
    <r>
      <rPr>
        <sz val="12"/>
        <color rgb="FF000000"/>
        <rFont val="宋体"/>
        <charset val="134"/>
      </rPr>
      <t xml:space="preserve">日期码格式：ZURU INC(BVI) 标准格式 日期：按实际生产日期
Packaging Info: 77772GQ2 MA 3L EAN版本+UPC贴纸193052090065, </t>
    </r>
    <r>
      <rPr>
        <sz val="12"/>
        <color rgb="FFFF0000"/>
        <rFont val="宋体"/>
        <charset val="134"/>
      </rPr>
      <t>UPC贴纸翻单4500193076, 价格贴纸和贴纸位置图翻单4500215789</t>
    </r>
    <r>
      <rPr>
        <sz val="12"/>
        <color rgb="FF000000"/>
        <rFont val="宋体"/>
        <charset val="134"/>
      </rPr>
      <t xml:space="preserve">
Remark: 出加拿大
有价格贴纸 (Low Tack ,must peel off easily without leaving adhesive residue)
有shipping label (贴4面）
Zuru验货.日期跟踪码：产品外包装及产品本身都必须有日期跟踪码，ZURU标准格式日期码。</t>
    </r>
  </si>
  <si>
    <t>TOYS CENTRE SL</t>
  </si>
  <si>
    <t>4500211485-70</t>
  </si>
  <si>
    <t>日期码格式：ZURU INC(BVI) 标准格式                  日期：按实际生产日期
Packaging Info: 
77772GQ2：最新MA 3L EAN包装+MA收藏指南/说明书+MA 3L PDQ；
Remark: 1. 此单出西班牙，需满足EU测试标准要求，另外微塑料需符合EU法规；
 2. 标准配比。
3.根据新电池法规（EU）  2023/1542，所有走欧洲市场的电子产品，都需要增加WEEE通用29L说明书（分带电池走货 跟不带电池走货两种），如工厂没有此文件，可
以找跟单提供。
4. 产品及包装需要印CE logo图标，包装需含有西班牙环保标 和care@zuru.com 邮箱地址，  另外，包装贴纸上面的警告语不可以覆盖西班牙警告语。QC同事请核
查，如有问题需和跟单确认。
5.纯毛绒玩具需要西班牙语言的洗涤说明；
6.请工厂按时完货并及时验货；
7.需要准备每款2套大货样，请注意备料。</t>
  </si>
  <si>
    <t>DB-LINE  SRL</t>
  </si>
  <si>
    <t>4500215223-10</t>
  </si>
  <si>
    <t>7/27进口商贴纸（含意大利警语+环保标）</t>
  </si>
  <si>
    <t>不带电池出货的29Lweee说明书纸</t>
  </si>
  <si>
    <t>日期码格式：ZURU INC(BVI) 标准格式 日期：按实际生产日期
Packaging Info: 77772GQ2: 最新MA 3L EAN收缩膜+最新MA 5L收藏指南+最新MA 23L说明书+最新MA 3L PDQ+一张进口商贴纸（含意大利警语+环保标）+不带电池出货的29Lweee说明
书纸
Remark: 1. SMASHERS 或含Slime产品，所有化合物使用无硼版本出意大利。
2. 本订单所有 具有 baby items / assorted items 的款式，零售包装上都要用 母 EAN;
3.所有出口欧洲的产品, 法规规定禁止在包装和共公众用的印刷品中使用矿物油中含有的物质, 包装印刷油墨中含有的MOAH/MOSH的质量浓度不能超过1%, 否则出货
到意大利被抽检出现问题, 供应商需要对此负责;
4. 意大利订单包装彩卡请确保含法规要求的环保回收logo。
5. 所有带电池的产品请基于带/不带电池出货自行订购 "WEEE说明书欧洲EN+29L-D版"
6. 带干燥剂的产品需要加一张“干燥剂说明书14L”</t>
  </si>
  <si>
    <t>Christine  He</t>
  </si>
  <si>
    <t>CANDIDE  IND  E  COM  LTDA</t>
  </si>
  <si>
    <t>BR26171</t>
  </si>
  <si>
    <t>4500213536-10</t>
  </si>
  <si>
    <t>7/21客户条码贴纸+进口商贴纸翻单PO4500202915</t>
  </si>
  <si>
    <r>
      <rPr>
        <sz val="12"/>
        <color rgb="FF000000"/>
        <rFont val="宋体"/>
        <charset val="134"/>
      </rPr>
      <t>日期码格式：ZURU INC(BVI) 标准格式 日期：按实际生产日期
Packaging Info: MA 1L包装+进口商贴纸+客户条码贴纸+空白贴纸+箱唛，</t>
    </r>
    <r>
      <rPr>
        <sz val="12"/>
        <color rgb="FFFF0000"/>
        <rFont val="宋体"/>
        <charset val="134"/>
      </rPr>
      <t>进口商贴纸+空白贴纸</t>
    </r>
    <r>
      <rPr>
        <sz val="12"/>
        <color rgb="FF000000"/>
        <rFont val="宋体"/>
        <charset val="134"/>
      </rPr>
      <t>翻单PO4500202915
Remark: 外箱胶带要用CADIDE的格式</t>
    </r>
  </si>
  <si>
    <t>4500213536-30</t>
  </si>
  <si>
    <t>4500210723-20</t>
  </si>
  <si>
    <t>8/28 BV验货</t>
  </si>
  <si>
    <r>
      <rPr>
        <sz val="12"/>
        <color rgb="FF000000"/>
        <rFont val="宋体"/>
        <charset val="134"/>
      </rPr>
      <t>日期码格式：ZURU INC(BVI) 标准格式 日期：按实际生产日期
Packaging Info:
#77772-</t>
    </r>
    <r>
      <rPr>
        <sz val="12"/>
        <color rgb="FFFF0000"/>
        <rFont val="宋体"/>
        <charset val="134"/>
      </rPr>
      <t>--留意剔除有问题的唱片
客版3LPDQ(16装)+MA3L收缩膜+UPC贴纸(UPC:193052118721)+MA5L收藏指南+MA23L拼装说明书+MA5L复合袋+DEMO纸卡
翻单：4500213633</t>
    </r>
    <r>
      <rPr>
        <sz val="12"/>
        <color rgb="FF000000"/>
        <rFont val="宋体"/>
        <charset val="134"/>
      </rPr>
      <t xml:space="preserve">
Ratio: PIZZA: HAMBURGER: PANCAKES: BUBBLE TEA: Matcha TEA: TACO: SUSHI: DONUT: Charcuterie Board: RAINBOW CAKE(Rare)=10.88%: 10.88%: 10.88%: 10
.88%: 10.88%: 10.88%: 10.88%: 10.88%: 10.88%: 2.08%=68:68:68:68:68:68:68:68:68:13
Remark: 1. 此单有箱唛;
2. UPC贴纸：必须在原来错误的条码上用黑色粗头笔涂黑直至不能扫描，再贴上正确的UPC;
3. 此单有第三方验货，烦请多备包装物料；
4. #77794带锂电池出货，使用英法双语电池，外箱需在正唛空白位置贴一张UN3481锂电池标识贴纸(带电话号码)；
*********************
a. 请确保产品符合1999年版本的加拿大环境保护法(CEPA)和2012年禁止某些有毒物质法规的要求。该产品不含任何在加拿大禁用的化学物质，包括但不限于有毒物
质清单中列出的化学物质，并且在为加拿大沃尔玛生产产品期间没有使用任何禁用化学物质。
Supplier certify that the products comply with the requirements of Canadian Environmental Protection Act, 1999 (CEPA), Prohibition of Certain To
xic Substances Regulations, 2012.
The products do not contain any chemicals that are banned in Canada, including but not limited to those listed in the Toxic Substances List and
no banned chemicals were used during the manufacturing of product for Walmart Canada.
附件列表：
(1) Letter of Guarantee for Canada banned chemicals - (1-5CA)
b. 请确保产品在均质材料中的汞浓度不超过0.1%（按重量计）。
Supplier certify that the WAL-MART vendor products does not have a mercury concentration of more than 0.1% by weight in homogeneous material.
附件列表：
(1) Letter of Guarantee for Mercury COC
c. 请确保产品的塑料材料不含以下物质（SOR 2011-17 27B):
Supplier certify that the plastic materials do not contain the following substances(SOR 2011-17 27B):
(a) carbon tetrachloride or any substance that contains it;
(b) methyl alcohol or any substance thay contains &gt;1.0%;
(c) petroleum distillates or any substance that contains &gt;10% weight to volume of petroleum distillates;
(d) benzene;
(e) turpentine or any substance that contains &gt;10% weight to volume of turpentine;
(f) boric acid or salts of boric acid; or (g) ethyl ether.
附件列表：
(1) Letter of Guarantee for WM CA-Other prohibited substances in plastic(less than 3 years)</t>
    </r>
  </si>
  <si>
    <t>10001958374-0581</t>
  </si>
  <si>
    <t>4500214411-10</t>
  </si>
  <si>
    <t>7/29 确认</t>
  </si>
  <si>
    <t>7/13外箱条码箱贴纸</t>
  </si>
  <si>
    <t>日期码格式：ZURU INC(BVI) 标准格式                  日期：按实际生产日期
Packaging Info: 产品包装客版收缩膜+MA 5L 收藏指南+MA 23L 组装说明+客版PDQ；客版PDQ翻单4500189603；客版收缩膜翻单4500214215
Remark: 1.77772GQ5-S001-MINI BRANDS-VINYL-SERIES 1-CAPSULE,WITH DEMO,25PCS/GRAVITY PDQ,25PCS/PDQ/CTN;
2.产品包装客版收缩膜+MA 5L 收藏指南+MA 23L 组装说明+客版PDQ；客版PDQ翻单4500189603；客版收缩膜翻单4500214215；收缩膜上的UPC显示193052118721
 4  mini vinyls(1 Target US Exclusive),1 accessory;
 3. 外箱正唛左上角位置粘贴条码箱贴纸，每箱只贴一张，由ZURU订购。来料贴纸上显示的客户DPCI# 086-02-7610, UPC显示10193052118728;
 4. 产品和包装上均要印刷tracking code信息，格式为ZURU常规格式；
 5. 需要我司QC验货之后才能安排出货；
 6. 出货方式：  货代自提；
 7. 用新配比生产（不要18号、21号、23号碟片）</t>
  </si>
  <si>
    <t>4500212812-10</t>
  </si>
  <si>
    <t>6/26 客版可移动不粘胶价格贴$10（需要贴在收缩膜上，每个贴1张）</t>
  </si>
  <si>
    <r>
      <rPr>
        <sz val="12"/>
        <color rgb="FF000000"/>
        <rFont val="宋体"/>
        <charset val="134"/>
      </rPr>
      <t>日期码格式：ZURU INC(BVI) 标准格式</t>
    </r>
    <r>
      <rPr>
        <sz val="12"/>
        <color rgb="FF000000"/>
        <rFont val="宋体"/>
        <charset val="0"/>
      </rPr>
      <t xml:space="preserve">                  日期：2026-08-14
Packaging Info: 1)最新版ZURU MA UPC包装(优先1L)，出口美国。如有说明书请使用ZURU MA说明书，优先放1L英  语。6PCS/PDQ/CTN
 2) 客版PDQ，  PDQ印刷价格标
 2）客版可移动不粘胶价格贴$10（需要贴在收缩膜上，每个贴1张），可移动价格贴以及具体位置，待跟单提供。
 3)ZURU标准日期码格式：工厂城市缩写+生产年月日。此单指定日期码：DG20260814。
 4)外箱箱唛正侧相邻两面粘贴产品彩色贴纸，每箱两张彩色贴纸, 彩色产品贴纸待跟单提供。如侧唛位置放不下彩贴和唛头信息，可改为放两个正唛。无论是正唛+
侧唛或者是两个正唛，唛头信息和彩贴需放在同一个面。需要工厂根据外箱尺寸建议预估的彩贴尺寸给跟单。箱唛需排版给跟单确认。
Remark: 客户PO# 62700623
客户SKU# 1004273
1）Item#77772GQ4-S001
 2) 此单无第三方验货+抽样测试，ZURU QC验货PASS后，跟单得到客户的approval之后方可安排出货
 3) 大货外箱材积绝对不可大于下述数据，材积只接受3%的变小；重量正负不得超过以下列出数据的5%，接受外箱以印章方式印上实际毛重。
大货外箱尺寸请保持：21.5*13.0*30.0 cm (即8.46*5.12*11.81 inch)，材积必须不能大于0.2966 CubeFeet（即0.0084CBM); 外箱毛重 1.5LBS（即0.69 KGS）
4) 大货配比：
Item#77772GQ4-S001
S001-MINI BRANDS-VINYL-SERIES 1-CAPSULE,1FACING6PCS/GRAVITY PDQ,6PCS/PDQ/CTN
UPC: 193052090065
1FACING6PCS/GRAVITY PDQ,6PCS/PDQ/CTN; 1W*2D*3H=6pcs/PDQ
每个球里面包含4个唱片+1个小配件）, 一共45款唱片。
每个PDQ的6个球里面的东西都要求不一样。
 5) 客户Family Dollar不允许少数出货，必须按照PO上的数量出货，也不允许延期，否则会有罚款
 6) 客户要求:"产品和包装不能含有PFAS 物质以及1,4 dioxane",请确保产品可以过美国标准测试。
 7) 任何产品包装和日期码的变更，在收到ZURU的订单后，不管是MA包装还是客版包装，都需要及时告知跟单并在生产前与跟单确认是否需要重新签板留样。ZURU验
货员验货以Family Dollar跟单寄给工厂的签板为准。如因工厂不及时告知变更而导致的无法出货，客诉或者罚款等，将保留对工厂追责的权利。请工厂务必重视和
配合，避免任何额外 费用的产生。</t>
    </r>
  </si>
  <si>
    <t>FB15094</t>
  </si>
  <si>
    <t>4500214762-50</t>
  </si>
  <si>
    <t>7/14 确认</t>
  </si>
  <si>
    <r>
      <rPr>
        <sz val="12"/>
        <color rgb="FF000000"/>
        <rFont val="宋体"/>
        <charset val="134"/>
      </rPr>
      <t xml:space="preserve">日期码格式：ZURU INC(BVI) 标准格式 日期：按实际生产日期
Packaging Info: 【行项目10】
77772GQ1:1L PDQ+MA B版UPC收缩膜+C版29L 不含电池出货WEEE说明书+移除LOLA YOUNG的MESSY唱片+配套的收藏指南(翻单PO#4500198654) </t>
    </r>
    <r>
      <rPr>
        <sz val="12"/>
        <color rgb="FFFF0000"/>
        <rFont val="宋体"/>
        <charset val="134"/>
      </rPr>
      <t>+PDQ上需用用44PCS数量
贴纸覆盖原45PCS（贴纸翻单:4500196675) 且要加上地址贴纸 （如已经收到更新的PDQ AW请用更新的AW文件做货，无需另外加数字和地址贴纸）</t>
    </r>
    <r>
      <rPr>
        <sz val="12"/>
        <color rgb="FF000000"/>
        <rFont val="宋体"/>
        <charset val="134"/>
      </rPr>
      <t xml:space="preserve">
--------------------
【行项目10】
77772GQ1:1L PDQ+MA B版UPC收缩膜+C版29L 不含电池出货WEEE说明书+移除LOLA YOUNG的MESSY唱片+配套的收藏指南(翻单PO#4500198654)
--------------------
【行项目10】
77772GQ1:1L PDQ+MA B版UPC收缩膜+C版29L 不含电池出货WEEE说明书+移除LOLA YOUNG的MESSY唱片+配套的收藏指南(翻单PO#4500198654)
--------------------
Remark: MA版本按工厂现有最新库存即可，订单出英国，请注意检查产品及包装应带UKCA以及CE图标，包装显示ZURU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*所有产品按符合欧洲标准走货，需要是不含微塑料版本 。
*涉及到硼的，如可选择情况下应使用低硼版本 （slime 类别低硼一般低于300ppm)，无选择的应与跟单复核再安排 。
*如果出运产品属于电子类产品需要在ZURU 包装基础上额外添加一张ZURU 标准29L通用WEEE 电子产品说明书,带电池出货的加带电池出货版本通用29L的说明书，不
带电池出货的产品用不带电池出货版本的说明书.
*根据客人最新的包装要求，所有多个PDQ盒子(TQ,UQ,GQ）入1外箱的都需要在PDQ顶部右上角加上数量贴纸标明里面的数量。最小字体：36pts, 字体：Calibri（bo
ld), 具体要求以及位置见文件.
*订单对应客户PO号 ，备注有显示 ，注意分开做货/验货/装柜 ，混装有罚款。
* 大货样： 新款请在CRD前10天寄出每款2整套大货样到罗湖办公室14B Meyya Liu 收，翻单不用寄。</t>
    </r>
  </si>
  <si>
    <t>ASIA  GOAL  LIMITED  TAIWAN  BRANCH  (H.</t>
  </si>
  <si>
    <t>AG260110-TW</t>
  </si>
  <si>
    <t>4500210777-10</t>
  </si>
  <si>
    <t>6/30张警语贴纸（ 贴球底部）</t>
  </si>
  <si>
    <t>日期码格式：ZURU INC(BVI) 标准格式 日期：按实际生产日期
Packaging Info: 此单出TW
77772GQ1： MA PKG , 优先1L , MA 说明书，+ 1张警语贴纸（ 贴球底部）
Remark:</t>
  </si>
  <si>
    <t>AG260109-HK</t>
  </si>
  <si>
    <t>4500210776-10</t>
  </si>
  <si>
    <t>9/7截SI</t>
  </si>
  <si>
    <t>6/18HK 客供警语贴纸</t>
  </si>
  <si>
    <t>4500200110-10</t>
  </si>
  <si>
    <t>FB15057</t>
  </si>
  <si>
    <t>4500211844-140</t>
  </si>
  <si>
    <r>
      <rPr>
        <sz val="12"/>
        <color rgb="FF000000"/>
        <rFont val="宋体"/>
        <charset val="134"/>
      </rPr>
      <t>日期码格式：ZURU INC(BVI) 标准格式 日期：按实际生产日期
Packaging Info: 
77869-S001-PRODCC 客板彩盒+</t>
    </r>
    <r>
      <rPr>
        <sz val="12"/>
        <color rgb="FFFF0000"/>
        <rFont val="宋体"/>
        <charset val="134"/>
      </rPr>
      <t>D版带电池出货版本WEEE说明书+球用MA B版UP收缩膜+空白贴纸覆盖收缩膜上面的原条码，77772要移除LOLA YANG唱片，要用配套的
收藏指南(翻单PO#4500198654)（此单需提供大货样）</t>
    </r>
    <r>
      <rPr>
        <sz val="12"/>
        <color rgb="FF000000"/>
        <rFont val="宋体"/>
        <charset val="134"/>
      </rPr>
      <t xml:space="preserve">
Remark: "MA版本按工厂现有最新库存即可，订单出英国，请注意检查产品及包装应带UKCA以及CE图标，包装显示ZURU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*所有产品按符合欧洲标准走货，需要是不含微塑料版本 。
*涉及到硼的，如可选择情况下应使用低硼版本 （slime 类别低硼一般低于300ppm)，无选择的应与跟单复核再安排 。
*如果出运产品属于电子类产品需要在ZURU 包装基础上额外添加一张ZURU 标准29L通用WEEE 电子产品说明书,带电池出货的加带电池出货版本通用29L的说明书，不
带电池出货的产品用不带电池出货版本的说明书.
*根据客人最新的包装要求，所有多个PDQ盒子(TQ,UQ,GQ）入1外箱的都需要在PDQ顶部右上角加上数量贴纸标明里面的数量。最小字体：36pts, 字体：Calibri（bo
ld), 具体要求以及位置见文件.
*订单对应客户PO号 ，备注有显示 ，注意分开做货/验货/装柜 ，混装有罚款。
* 大货样： 新款请在CRD前10天寄出每款2整套大货样到罗湖办公室7B Meyya Liu 收，翻单不用寄。"</t>
    </r>
  </si>
  <si>
    <t>FB15058</t>
  </si>
  <si>
    <t>4500211844-150</t>
  </si>
  <si>
    <t>4500218402-20</t>
  </si>
  <si>
    <t>4500212131-90行转空运</t>
  </si>
  <si>
    <t>客版5L收藏指南(翻PO#4500211227)</t>
  </si>
  <si>
    <t>日期码格式：ZURU  INC(BVI) 标准格式                                    日期：按实际生产日期
Packaging Info: 此票是从PO#4500212131转出来的空运订单新PO号，请留意更新记录，不要重复安排大货生产；箱唛资料按原来的无影响；
"77772GQ2: MA PDQ  (优先多语)+客版5L收缩膜  (翻PO#4500191961) +客版5L收藏指南(不含Messy唱片, 翻PO#4500211227)+MA 23L组装说明书+MA内袋+C版WEEE声明
(不带电池)走货欧洲通用29L说明书
EAN#4894680051133
*必须移除Messy Lola  Young  (VINYL-S1-021) 这个唱片, 比例按PM更新的安排, 如未按要求做货被客罚由工厂承担责任*"
Remark: Smyths 德国
1. 请准时出货，推期会有罚款；
  2. 所有产品按符合欧洲标准走货，需要是不含微塑料版本。
  3. 所有电子产品身上需要加字唛，为ZURU FRANCE 地址  (如无电子产品，产品布标有此地址，或产品太小无法增加可忽略此信息)，新地址ZURU  FRANCE.33 rue Pa
  ul Meurice  75020  Paris, France.
  4. 包装/说明书(如有)/产品(如有)上的法国地址信息必须保持一致，不可出现包装上是新地址，说明书上是旧地址；如地址信息不一致请通知跟单更新文件；
  5.  电子产品需增加一张WEEE声明29L通用黑白说明书，区分带电池(D版)和不带电池(C版)出货版本, 如已做带WEEE声明的客版说明书可忽略此要求；如包装备注上
缺少此部分信息，请提醒跟单更新备注。
  6.所有出往德国市场有关slime和带香味的都需要出无硼无香版本；
  7 .订单备注显示有分批的(不同仓库/订单号), 一定要区分客户订单号做货出货，否则会导致罚款    。
  8.包装日期码按ZURU格式即可，请确保不迟于外箱日期码，可等于或者早于外箱日期码，必须为法定工作日。
  9.做货前请先复核包装条码与订单是否一致再安排，对不上的需与Z URU跟单确认再安排。
  10.包装必须含法国回收标(Sorting  Label)，如没有，请提醒跟单提供贴纸资料。</t>
  </si>
  <si>
    <t>HY-VEE, INC.</t>
  </si>
  <si>
    <t>4500212828-10</t>
  </si>
  <si>
    <t>77772GQ1-S005-PKC</t>
  </si>
  <si>
    <t>唱片球52 pcs/4PDQ/箱(胶袋装)</t>
  </si>
  <si>
    <t>8/3polybag 贴纸</t>
  </si>
  <si>
    <t>带Polybag 的items, polybag 需要印刷警告语和打孔，  跟单提供警告语内容，警告语字体和polybag 大小工厂根据PDQ 尺寸去安排，polybag 需要用胶纸封口
避免产品滑落。</t>
  </si>
  <si>
    <t>日期码格式：ZURU INC(BVI) 标准格式                  日期：按实际生产日期
Packaging Info: 1. MA (首选1L UPC/ 多语 UPC) 包装 + polybag + polybag 贴纸（贴polybag warning的正下方）
item77794UQ1（手工单PO# K303257X ）增加了polybag
Remark: 2. 带Polybag 的items, polybag 需要印刷警告语和打孔，  跟单提供警告语内容，警告语字体和polybag 大小工厂根据PDQ 尺寸去安排，polybag 需要用胶纸封口
避免产品滑落。
 3. 产品和包装上印刷tracking code信息，格式为ZURU常规。
 4. 需ZURU QC 验货合格后方可出货</t>
  </si>
  <si>
    <t>4500211685-10</t>
  </si>
  <si>
    <t>9/1 BV验货</t>
  </si>
  <si>
    <t>UPC贴纸(UPC:193052090409)翻单：4500195369</t>
  </si>
  <si>
    <r>
      <rPr>
        <sz val="12"/>
        <color rgb="FF000000"/>
        <rFont val="宋体"/>
        <charset val="134"/>
      </rPr>
      <t>日期码格式：ZURU INC(BVI) 标准格式 日期：按实际生产日期
Packaging Info: MSLD188-S001:
客版英法双语展示架（翻单：4500204873）
+#77772--</t>
    </r>
    <r>
      <rPr>
        <sz val="12"/>
        <color rgb="FFFF0000"/>
        <rFont val="宋体"/>
        <charset val="134"/>
      </rPr>
      <t>-留意剔除有问题的唱片</t>
    </r>
    <r>
      <rPr>
        <sz val="12"/>
        <color rgb="FF000000"/>
        <rFont val="宋体"/>
        <charset val="134"/>
      </rPr>
      <t xml:space="preserve">
客版3LPDQ(16装)+</t>
    </r>
    <r>
      <rPr>
        <sz val="12"/>
        <color rgb="FFFF0000"/>
        <rFont val="宋体"/>
        <charset val="134"/>
      </rPr>
      <t>MA3L收缩膜+UPC贴纸(UPC:193052118721)+MA5L收藏指南+MA23L拼装说明书+MA5L复合袋+DEMO纸卡
翻单：4500213633</t>
    </r>
    <r>
      <rPr>
        <sz val="12"/>
        <color rgb="FF000000"/>
        <rFont val="宋体"/>
        <charset val="134"/>
      </rPr>
      <t xml:space="preserve">
Remark: 1. 此单有箱唛, #77794带锂电池出货，使用英法双语电池，外箱需在正唛空白位置贴一张UN3481锂电池标识贴纸(带电话号码);
2. UPC贴纸：必须在原来错误的条码上用黑色粗头笔涂黑直至不能扫描，再贴上正确的UPC;
3. 此单有第三方验货，烦请多备包装物料；
4. 此单展架需要带纸滑托出货；
*********************
a. 请确保产品符合1999年版本的加拿大环境保护法(CEPA)和2012年禁止某些有毒物质法规的要求。该产品不含任何在加拿大禁用的化学物质，包括但不限于有毒物
质清单中列出的化学物质，并且在为加拿大沃尔玛生产产品期间没有使用任何禁用化学物质。
Supplier certify that the products comply with the requirements of Canadian Environmental Protection Act, 1999 (CEPA), Prohibition of Certain To
xic Substances Regulations, 2012.
The products do not contain any chemicals that are banned in Canada, including but not limited to those listed in the Toxic Substances List and
no banned chemicals were used during the manufacturing of product for Walmart Canada.
附件列表：
(1) Letter of Guarantee for Canada banned chemicals - (1-5CA)
b. 请确保产品在均质材料中的汞浓度不超过0.1%（按重量计）。
Supplier certify that the WAL-MART vendor products does not have a mercury concentration of more than 0.1% by weight in homogeneous material.
附件列表：
(1) Letter of Guarantee for Mercury COC
c. 请确保产品的塑料材料不含以下物质（SOR 2011-17 27B):
Supplier certify that the plastic materials do not contain the following substances(SOR 2011-17 27B):
(a) carbon tetrachloride or any substance that contains it;
(b) methyl alcohol or any substance thay contains &gt;1.0%;
(c) petroleum distillates or any substance that contains &gt;10% weight to volume of petroleum distillates;
(d) benzene;
(e) turpentine or any substance that contains &gt;10% weight to volume of turpentine;
(f) boric acid or salts of boric acid; or (g) ethyl ether.
附件列表：
(1) Letter of Guarantee for WM CA-Other prohibited substances in plastic(less than 3 years)</t>
    </r>
  </si>
  <si>
    <t>4500214680-10</t>
  </si>
  <si>
    <t>7/29进口商贴纸+QR 贴纸（一物一码）</t>
  </si>
  <si>
    <t>日期码格式：ZURU INC(BVI) 标准格式 日期：按实际生产日期
Packaging Info: 【行项目10】
最新MA UPC包装+进口商贴纸+QR 贴纸（一物一码）
若出独立款必须用独立款的条码，不可以用混装的条码,条码以订单显示为准
Remark: 1.包装：MA UPC包装+进口商贴纸+QR 贴纸
2. 条码以订单显示为准 ，请安排生产前先核对 ，有问题请提出。
3. QR 贴纸要求： 需包含产品型号（item）+ 序列号，二维码（QR code）正方形边长 1.5cm 。
材质与粘性：采用与进口商贴纸一致的材质，强粘性、不易脱落/掉色。
印刷与尺寸：印刷质量不低于 1.5c，整体贴纸尺寸为 3×3cm（正方形）。尺寸要根据产品包装的实际大小调整，保持整体美观，二维码清晰可扫。
4. 二维码贴纸位置要远离包装上的条码及其他二维码， 贴在背面。
5. QR code贴纸（要求一物一码，每PCS的二维码不一样）;
6. QR code 格式 ：DATA MATRIX GS1 ；
7. 若多个柜子，BY TRAIN 要求带电池/不带电池不同柜；装柜时同一款必须放在同一个柜子里。
8. 整张单走EXW。</t>
  </si>
  <si>
    <t>0005606739</t>
  </si>
  <si>
    <t>4500215862-10</t>
  </si>
  <si>
    <t>9/2 BV验货</t>
  </si>
  <si>
    <t>0005606725</t>
  </si>
  <si>
    <t>4500215862-20</t>
  </si>
  <si>
    <t>0005607042</t>
  </si>
  <si>
    <t>4500215862-30</t>
  </si>
  <si>
    <t>0005606734</t>
  </si>
  <si>
    <t>4500215862-40</t>
  </si>
  <si>
    <t>4500211275-20</t>
  </si>
  <si>
    <t>8/31 交仓</t>
  </si>
  <si>
    <t>防盜贴纸(贴纸以及防盜贴纸位置图翻单PO#4500193539)+客制PDQ（PDQ翻单PO#4500197999）+客制B版收藏指南+8/10 外箱贴纸SSCC  Label</t>
  </si>
  <si>
    <r>
      <rPr>
        <sz val="12"/>
        <color rgb="FF000000"/>
        <rFont val="宋体"/>
        <charset val="134"/>
      </rPr>
      <t xml:space="preserve">日期码格式：ZURU INC(BVI) 标准格式 日期：按实际生产日期
Packaging Info: 
77772GQ1:MA英语UPC版本包装（收缩膜和说明书, MA首选1L，如无1L可用多语且含英语的配套多语包装) +一张防盜贴纸(贴纸以及防盜贴纸位置图翻单PO#450019353
9)+客制PDQ（PDQ翻单PO#4500197999）+客制B版收藏指南（收藏指南翻单PO#4500202802的77869的子件77772）+箱唛+外箱贴纸SSCC Label
配比信息：4 mini vinyls,1 accessory
Removed了 """"Messy &lt;(&gt;&amp;&lt;)&gt; Delicious""""两张唱片"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10.所有带纽扣电池的产品都需要在产品包装以及说明书上贴纽扣电池警告语贴纸
此单需要与AU PO#4500211272一起合并计算
</t>
    </r>
    <r>
      <rPr>
        <sz val="12"/>
        <color rgb="FFFF0000"/>
        <rFont val="宋体"/>
        <charset val="134"/>
      </rPr>
      <t>Item#77794请务必赶最晚8/31上午内交仓</t>
    </r>
  </si>
  <si>
    <t>4500211272-20</t>
  </si>
  <si>
    <t>8/29 交仓</t>
  </si>
  <si>
    <r>
      <rPr>
        <sz val="12"/>
        <color rgb="FF000000"/>
        <rFont val="宋体"/>
        <charset val="134"/>
      </rPr>
      <t xml:space="preserve">日期码格式：ZURU INC(BVI) 标准格式 日期：按实际生产日期
Packaging Info: 
77772GQ1:MA英语UPC版本包装（收缩膜和说明书, MA首选1L，如无1L可用多语且含英语的配套多语包装) +一张防盜贴纸(贴纸以及防盜贴纸位置图翻单PO#450019353
9)+客制PDQ（PDQ翻单PO#4500197999）+客制B版收藏指南（收藏指南翻单PO#4500202802的77869的子件77772）+箱唛+外箱贴纸SSCC Label
配比信息：4 mini vinyls,1 accessory
Removed了 """"Messy &lt;(&gt;&amp;&lt;)&gt; Delicious""""两张唱片"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10.所有带纽扣电池的产品都需要在产品包装以及说明书上贴纽扣电池警告语贴纸
此单需要与NZ PO#4500211275一起合并计算
</t>
    </r>
    <r>
      <rPr>
        <sz val="12"/>
        <color rgb="FFFF0000"/>
        <rFont val="宋体"/>
        <charset val="134"/>
      </rPr>
      <t>Item#77794请务必赶最晚8/31上午内交仓</t>
    </r>
  </si>
  <si>
    <t>TOYNOVA  GMBH</t>
  </si>
  <si>
    <t>BEZUR2606</t>
  </si>
  <si>
    <t>4500210578-10</t>
  </si>
  <si>
    <t>德语警告语贴纸（翻单:4500200071）+WEEE带电池走货欧洲29L  D版通用黑白说明书</t>
  </si>
  <si>
    <t>新地址：ZURU  France  33  rue  Paul  Meurice  75020  Paris,  France</t>
  </si>
  <si>
    <t>日期码格式：ZURU  INC(BVI)  标准格式                                    日期：按实际生产日期
Packaging Info: 77772:MA  A版3L  包装+EAN条码贴纸(含客户款号)+德语警告语贴纸（翻单:4500200071）+MA  23L组装说明书+MA  5L收藏指南+MA纸袋+WEEE带电池走货欧洲29L  D版通
用黑白说明书
Remark: 1.  出口欧洲，微塑料需符合法规；
   2.  所有出往GAS市场(德国/奥地利/瑞士)的电子产品身上需要加字唛，为ZURU  FRANCE  地址，需跟包装上的地址一致  (如无电子产品，产品布标有此地址，或产品太
小无法增加可忽略此信息。如产品无法加字唛，需让对应跟单提供产品贴纸资料)
新地址：ZURU  France  33  rue  Paul  Meurice  75020  Paris,  France
旧地址：ZURU  France  1/3,  Rue  d'Argenteuil  95210  SAINT-GRATIEN,  FRANCE
   4.  此单需要在CRD前一天预约ZURU  QC验货,验货ok才能出货
   5.  需准时完成生产，推期出货会有罚款。
6.INNER  需要四面印刷产品条码</t>
  </si>
  <si>
    <t>Winnie  Zhong</t>
  </si>
  <si>
    <t>ZU05-26</t>
  </si>
  <si>
    <t>4500212421-10</t>
  </si>
  <si>
    <t>8/7进口商贴纸+UPC贴纸</t>
  </si>
  <si>
    <t>日期码格式：ZURU INC(BVI) 标准格式                  日期：按实际生产日期
Packaging Info: MA 多语包装+进口商贴纸+UPC贴纸+箱唛
Remark:</t>
  </si>
  <si>
    <t>4500209231-310</t>
  </si>
  <si>
    <t>9/9截SI</t>
  </si>
  <si>
    <t>6/11 客户进口商贴纸+展示架贴纸含EAN条码+WEEE带电池走货欧洲29L通用黑白说明书;</t>
  </si>
  <si>
    <t>日期码格式：ZURU INC(BVI) 标准格式                  日期：按实际生产日期
Packaging Info:
77772SK1：  最新MA 3L EAN包装+一张客户进口商贴纸+MA 收藏指南/拼装说明书+WEEE带电池走货欧洲29L通用黑白说明书; MA最新3L展示架+一张展示架贴纸含EAN条
码
Remark: 1. 此单出西班牙，需满足EU测试标准要求，另外微塑料需符合EU法规；
 2. 标准配比；
3.根据新电池法规（EU）  2023/1542，所有走欧洲市场的电子产品，都需要增加WEEE通用29L说明书（分带电池走货和不带电池走货两种），如工厂没有此文件，可
以找跟单提供；
4. 产品及包装需要印CE logo图标，包装需含有西班牙环保标 和care@zuru.com 邮箱地址，  另外，贴纸不可以覆盖西班牙警告语。QC同事请核查，如有问题需和
跟单确认
5.毛绒玩具需要西班牙语言的洗涤说明；
6.有关PDQ/展示架的贴纸位置图，客户要求我们贴在PDQ/展示架的底部，这样客户在打开外箱的时候不需要取出产品，即可以扫描条码，在做大货前需帮忙复查下设
计提供的贴纸位置图是否都贴到了底部，避免客诉发生；
7.此单需要准备2套大货样寄到深圳办公室，请注意备料；</t>
  </si>
  <si>
    <t>AMSLER  SPIELWAREN  AG</t>
  </si>
  <si>
    <t>4500214248-10</t>
  </si>
  <si>
    <t>DE  IT警语贴纸（翻单4500203158），C版不带电池走货EU通用29L  WEEE说明书</t>
  </si>
  <si>
    <r>
      <rPr>
        <sz val="12"/>
        <color rgb="FF000000"/>
        <rFont val="宋体"/>
        <charset val="134"/>
      </rPr>
      <t xml:space="preserve">日期码格式：ZURU INC(BVI) 标准格式 日期：按实际生产日期 Tracking Code:
Packaging Info: 77772GQ1：MA 3L EAN收缩膜 + DE IT警语贴纸（翻单4500203158），MA 23L组装说明书，MA 5L收藏指南，C版不带电池走货EU通用29L WEEE说明书，MA配件袋，MA
 3L PDQ </t>
    </r>
    <r>
      <rPr>
        <sz val="12"/>
        <color rgb="FFFF0000"/>
        <rFont val="宋体"/>
        <charset val="134"/>
      </rPr>
      <t>+ ZURU 地址贴纸</t>
    </r>
    <r>
      <rPr>
        <sz val="12"/>
        <color rgb="FF000000"/>
        <rFont val="宋体"/>
        <charset val="134"/>
      </rPr>
      <t xml:space="preserve">
Remark: 1.此单出瑞士，包装及说明书需要包含德语，法语，意大利语警语
 2.微塑料需符合法规；化学品无硼无香；电池符合欧洲法规要求(如有)。
 3.所有出往欧洲订单的电子产品需增加一张通用29L WEEE声明说明书，区分带电池出货和不带电池出货版本，如已做客版说明书可忽略此要求
 4. 所有出往GAS市场(德国/奥地利/瑞士)的电子产品身上需要加字唛，为ZURU FRANCE 地址，需跟包装上的地址一致 （如该电子产品无法打上字唛但是可以在产品
 上加贴纸，需让对应跟单提供产品贴纸资料。如无电子产品；或产品布标有此地址；或产品太小既无法增加字唛也无法加上贴纸，可忽略此信息。）
 新地址：ZURU France 33 rue Paul Meurice 75020 Paris, France
 旧地址：ZURU France 1/3, Rue d'Argenteuil 95210 SAINT-GRATIEN, FRANCE
 5.对于欧洲带电池的玩具，使用新标识的电池以及新说明书
 6.标准配比</t>
    </r>
  </si>
  <si>
    <t>Nicole  Ye</t>
  </si>
  <si>
    <r>
      <rPr>
        <sz val="12"/>
        <rFont val="宋体"/>
        <charset val="134"/>
      </rPr>
      <t>AMAZON MEXICO, S. DE RL</t>
    </r>
    <r>
      <rPr>
        <sz val="12"/>
        <color rgb="FF000000"/>
        <rFont val="宋体"/>
        <charset val="134"/>
      </rPr>
      <t xml:space="preserve">  DE CV</t>
    </r>
  </si>
  <si>
    <t>2FMBI91G</t>
  </si>
  <si>
    <t>4500217358-240</t>
  </si>
  <si>
    <t>空白外箱加印ZURU Logo+MADE IN CHINA</t>
  </si>
  <si>
    <t>欠SSCC  lable+进口商贴纸</t>
  </si>
  <si>
    <t>日期码格式：ZURU  INC(BVI) 标准格式                                    日期：按实际生产日期
Packaging Info:
  #77876:2PK MA  1L UPC版#77772入PVC桶，3L无UPC客版收缩膜，客版收缩膜和3L铜版纸图稿翻单4500192514.（两个球的配比不能重复）; SSCC  lable+进口商贴纸
Remark: Amazon FOB订单，出口Mexico，外箱最长边不能超过25"    （超过了，casepack只能为1），不符合要求的大货，  一律不接受。
  1.空白外箱加印ZURU Logo+MADE IN CHINA+SSCC LABEL(客供贴纸），无shippingmark,日期使用ZURU 标准版本。SSCC Label显示的是客人自己的item#，  SSCC  Label
贴在外箱正面的正中间，贴一面即可，跟单订购，贴纸离外箱距必须至少3cm,每一张SSCC  Label都是唯一且有不同流水及条码的，没有损耗，绝对不可贴错，否则贴
错或损坏一张会导致全部都错，千万要注意！
  2. 日期码使用ZURU标准版</t>
  </si>
  <si>
    <t>Candy Liu</t>
  </si>
  <si>
    <t>122VGARJ</t>
  </si>
  <si>
    <t>4500217358-250</t>
  </si>
  <si>
    <t>日期码格式：ZURU  INC(BVI) 标准格式                                    日期：按实际生产日期
Packaging Info: 
  #77876:2PK MA  1L UPC版#77772入PVC桶，3L无UPC客版收缩膜，客版收缩膜和3L铜版纸图稿翻单4500192514.（两个球的配比不能重复）; SSCC  lable+进口商贴纸
Remark: Amazon FOB订单，出口Mexico，外箱最长边不能超过25"    （超过了，casepack只能为1），不符合要求的大货，  一律不接受。
  1.空白外箱加印ZURU Logo+MADE IN CHINA+SSCC LABEL(客供贴纸），无shippingmark,日期使用ZURU 标准版本。SSCC Label显示的是客人自己的item#，  SSCC  Label
贴在外箱正面的正中间，贴一面即可，跟单订购，贴纸离外箱距必须至少3cm,每一张SSCC  Label都是唯一且有不同流水及条码的，没有损耗，绝对不可贴错，否则贴
错或损坏一张会导致全部都错，千万要注意！
  2. 日期码使用ZURU标准版</t>
  </si>
  <si>
    <t>ESAL ENTERPRISES FZC</t>
  </si>
  <si>
    <t>沙特</t>
  </si>
  <si>
    <t>4500204723-240</t>
  </si>
  <si>
    <t>77772GQ2-S001-PRODCC2（客制）</t>
  </si>
  <si>
    <t>货期代付，预计10月</t>
  </si>
  <si>
    <t>客制版本</t>
  </si>
  <si>
    <t>取消17款唱片</t>
  </si>
  <si>
    <r>
      <rPr>
        <sz val="12"/>
        <color rgb="FF000000"/>
        <rFont val="宋体"/>
        <charset val="134"/>
      </rPr>
      <t xml:space="preserve">日期码格式：ZURU INC(BVI) 标准格式 日期：按实际生产日期
Packaging Info: 出KSA 包装不能有希伯来语，
所有RBC的产品（内外）包装上不能有彩虹。
</t>
    </r>
    <r>
      <rPr>
        <sz val="12"/>
        <color rgb="FFFF0000"/>
        <rFont val="宋体"/>
        <charset val="134"/>
      </rPr>
      <t>77772GQ2:客版收缩膜+客版PDQ+AR说明书 翻单4500204716
客人箱唛排版，印4面</t>
    </r>
    <r>
      <rPr>
        <sz val="12"/>
        <color rgb="FF000000"/>
        <rFont val="宋体"/>
        <charset val="134"/>
      </rPr>
      <t xml:space="preserve">
Remark: 77772GQ2-S001-PRODCC2:
WITH 4PCS DEMO/PDQ; Remove ？？ mini vinyls(squabble up/Low Down/Brick House/Last Friday Night (T.G.I.F.)/Not Like Us/Woah/Messy/Delicious/Good
Luck, Babe!/Pink Pony Club/Super Freak/Man! I Feel Like a Woman!/Thunder( rainbow)/Shake your Groove Thing" ( Kissing)/Sweet Home Alabama ( Rai
nbow) and ？？)</t>
    </r>
  </si>
  <si>
    <t>卡塔尔</t>
  </si>
  <si>
    <t>4500204719-240</t>
  </si>
  <si>
    <t>不取消，后续转新PO</t>
  </si>
  <si>
    <t>日期码格式：ZURU INC(BVI) 标准格式 日期：按实际生产日期
Packaging Info: 出QATAR, 包装不能有希伯来语
所有RBC的产品（内外）包装上不能有彩虹。
77772GQ2:客版收缩膜+客版PDQ+AR说明书，AW翻单4500204716
客人箱唛排版，印4面
（移除歌曲待确认）
Remark: 77772GQ2-S001-PRODCC2:
WITH 4PCS DEMO/PDQ; Remove 15 mini vinyls(squabble up/Low Down/Brick House/Last Friday Night (T.G.I.F.)/Not Like Us/Woah/Messy/Delicious/Good Lu
ck, Babe!/Pink Pony Club/Super Freak/Man! I Feel Like a Woman!/Thunder( rainbow)/Shake your Groove Thing" ( Kissing)/Sweet Home Alabama ( Rainb
ow))</t>
  </si>
  <si>
    <t>ESAL TRADING L.L.C.</t>
  </si>
  <si>
    <t>阿联酋</t>
  </si>
  <si>
    <t>4500204716-40</t>
  </si>
  <si>
    <t xml:space="preserve"> 需备两套大货版寄出到SZ办公室;不取消，后续下新PO</t>
  </si>
  <si>
    <t>日期码格式：ZURU INC(BVI) 标准格式 日期：按实际生产日期
Packaging Info: 出UAE, 包装不能有希伯来语
所有RBC的产品（内外）包装上不能有彩虹。
77772GQ2: MA 1L 收缩膜+1张进口商贴纸+客版PDQ+客版收藏指南+AR说明书
客人箱唛排版，印4面
需备两套大货版寄出到SZ办公室
Remark: 77772GQ2-S001-PRODCC2:
WITH 4PCS DEMO/PDQ; Remove 16 mini vinyls(squabble up/Low Down/Brick House/Last Friday Night (T.G.I.F.)/Not Like Us/Woah/Messy/Delicious/Good Lu
ck, Babe!/Pink Pony Club/Super Freak/Man! I Feel Like a Woman!/Thunder/Shake your Groove Thing/Sweet Home Alabama/Beautiful Things</t>
  </si>
  <si>
    <t>4500216448-60</t>
  </si>
  <si>
    <t>4500216448-80</t>
  </si>
  <si>
    <t>10001964604-0581</t>
  </si>
  <si>
    <t>4500216871-10</t>
  </si>
  <si>
    <t>欠外箱条码箱贴纸</t>
  </si>
  <si>
    <t>MPO10951</t>
  </si>
  <si>
    <t>4500212843-
00010-
20260910</t>
  </si>
  <si>
    <t>MPO10951-10</t>
  </si>
  <si>
    <t xml:space="preserve">UPC贴纸(UPC:193052118721)（翻单：4500213633）
</t>
  </si>
  <si>
    <t>（展示唱片机*1+ 32号唱片袋*1+黑色唱片支架*1）338套</t>
  </si>
  <si>
    <t>Remark:
① 订单的所有测试与样品要求以跟单的要求为准，且为了避免QC验货拆货来不及补货，请准备适量的贴纸和产品备品。此订单数量只作为⼤货⽣产，不包含样板与备品。 ② 关
于混装展⽰架，各⼯⼚交⼦件到最终⺟件⼯⼚时，务必要 "带卡板出+围好围膜"。 如果没按要求的，请各⼯⼚⾃⾏安排⼈⼿卸货。 ③ 请贵司确保交货数量准确，与收货⽅交收清
楚，如收货⽅提出任何异常，请⽴即安排处理解决。
-CRD:2026/9/3
ZURU INC
UNIT 1201-01 12/F ENERGY PLAZA 92 GRANVILLE RD TST EAST
Tel:+86 755 6688 1988
Purchase Order
-包装需求：MA3L收缩膜+UPC贴纸(UPC:193052118721)+MA5L收藏指南+MA23L拼装说明书+MA5L复合袋+DEMO纸卡（翻单：4500213633）
-⺟件订单需第三⽅验货，需提前备好数量供后续补数
-送货时需要同时送338pcs 展架Demo给到组装⼚</t>
  </si>
  <si>
    <t>Nicole Yao/Fly Song</t>
  </si>
  <si>
    <t>FB15047</t>
  </si>
  <si>
    <t>4500213523-30</t>
  </si>
  <si>
    <t>C版29L  不含电池出货WEEE说明书</t>
  </si>
  <si>
    <r>
      <rPr>
        <sz val="12"/>
        <color rgb="FF000000"/>
        <rFont val="宋体"/>
        <charset val="134"/>
      </rPr>
      <t>日期码格式：ZURU INC(BVI) 标准格式 日期：按实际生产日期
Packaging Info: 77772GQ1
1L PDQ+MA B版UPC收缩膜+C版29L 不含电池出货WEEE说明书+移除LOLA YANG 唱片+配套的收藏指南(翻单PO#4500198654)+PDQ需要加贴纸改45为44. 贴纸翻单4500196
675</t>
    </r>
    <r>
      <rPr>
        <sz val="12"/>
        <color rgb="FFFF0000"/>
        <rFont val="宋体"/>
        <charset val="134"/>
      </rPr>
      <t>+地址贴纸，翻单：4500210400</t>
    </r>
    <r>
      <rPr>
        <sz val="12"/>
        <color rgb="FF000000"/>
        <rFont val="宋体"/>
        <charset val="134"/>
      </rPr>
      <t xml:space="preserve">
Remark: MA版本按工厂现有最新库存即可，订单出英国，请注意检查产品及包装应带UKCA以及CE图标，包装显示ZURU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*所有产品按符合欧洲标准走货，需要是不含微塑料版本 。
*涉及到硼的，如可选择情况下应使用低硼版本 （slime 类别低硼一般低于300ppm)，无选择的应与跟单复核再安排 。
*如果出运产品属于电子类产品需要在ZURU 包装基础上额外添加一张ZURU 标准29L通用WEEE 电子产品说明书,带电池出货的加带电池出货版本通用29L的说明书，不
带电池出货的产品用不带电池出货版本的说明书.
*根据客人最新的包装要求，所有多个PDQ盒子(TQ,UQ,GQ）入1外箱的都需要在PDQ顶部右上角加上数量贴纸标明里面的数量。最小字体：36pts, 字体：Calibri（bo
ld), 具体要求以及位置见文件.
*订单对应客户PO号 ，备注有显示 ，注意分开做货/验货/装柜 ，混装有罚款。
* 大货样： 新款请在CRD前10天寄出每款2整套大货样到罗湖办公室7B Meyya Liu 收，翻单不用寄。</t>
    </r>
  </si>
  <si>
    <t>4500217254-20</t>
  </si>
  <si>
    <t>7/29 2张贴纸"43"覆盖唱片数字"45"  (展示架左右各一张)</t>
  </si>
  <si>
    <t>日期码格式：ZURU  INC(BVI) 标准格式                                    日期：按实际生产日期
Packaging Info: MEC426：MA 3L 展示架+2张贴纸"43"覆盖唱片数字"45"  (展示架左右各一张) 84pcs77772(remove Messy  and  Delicious vinyl minis) +24pcs 77794; With  1  SET
Demo/Endcap（Demo Box AW呈现参考附件）+外箱加锂电池贴纸，N/A but with  electric circuit(EU/UK WEEE  IM  is required)
  77772: 英文MA UPC版本收缩膜  +  客制球以及客制5L  收藏指南    （去除"Messy"  and  "Delicious"  2张唱片）, 客制收藏指南翻单PO#4500213229;
  77794: 英文MA包装UPC版本（首选1L，无1L可选多语）+  1张欧洲澳新通用warning  instruction;
Remark: 此单出口澳大利亚/新西兰, 请按澳新标准生产. 如产品含纽扣电池出货,  包装前面和说明书上需加纽扣电池警语贴纸。</t>
  </si>
  <si>
    <t>10001964615-0581</t>
  </si>
  <si>
    <t>4500216875-10</t>
  </si>
  <si>
    <t>10001964606-0581</t>
  </si>
  <si>
    <t>4500216876-10</t>
  </si>
  <si>
    <t>BR26321</t>
  </si>
  <si>
    <t>4500213781-10</t>
  </si>
  <si>
    <t>欠客户条码贴纸+进口商贴纸翻单PO4500202915</t>
  </si>
  <si>
    <t>日期码格式：ZURU INC(BVI) 标准格式                  日期：按实际生产日期
Packaging Info: MA 1L包装+进口商贴纸+客户条码贴纸+箱唛，进口商贴纸翻单PO4500202915
Remark: 外箱胶带要用CADIDE的格式</t>
  </si>
  <si>
    <t>4500213781-20</t>
  </si>
  <si>
    <t>AG260174-TW</t>
  </si>
  <si>
    <t>4500216652-10</t>
  </si>
  <si>
    <t>7/16确认</t>
  </si>
  <si>
    <t>7/17 警语贴纸（ 贴球底部）</t>
  </si>
  <si>
    <t>日期码格式：ZURU INC(BVI) 标准格式                  日期：按实际生产日期
Packaging Info: 此单出TW
77772GQ1：  MA PKG , 优先1L , MA 说明书，+ 1张警语贴纸（ 贴球底部）
Remark：</t>
  </si>
  <si>
    <t>4500200113-10</t>
  </si>
  <si>
    <t>4500200114-10</t>
  </si>
  <si>
    <t>DREAM BLOSSOM LTD</t>
  </si>
  <si>
    <t>PO041(Hakata)</t>
  </si>
  <si>
    <t>4500217107-10</t>
  </si>
  <si>
    <t>8/4日语年龄贴纸</t>
  </si>
  <si>
    <t>日期码格式：ZURU  INC(BVI) 标准格式                                    日期：按实际生产日期
Packaging Info: MA UPC  1L PKG+Sticker, 日语贴纸，    年龄贴纸,  待提供贴纸资料;
所有款客人改成6+出货,所有体现年龄信息的包材均需增加年龄贴纸更新为6+,请同时复核包装,哪些需要加年龄贴纸;
  1 .出日本，按日本要求生产
  2 .需提供装柜图片。
  3.待客户确认是否需寄板做QC  check, 请多备料。装柜前需填回QC  check form  给客户approval 后才能出货。
Remark: 77772GQ2-4    mini vinyls,1  accessory</t>
  </si>
  <si>
    <t>FB15104</t>
  </si>
  <si>
    <t>4500214102-50</t>
  </si>
  <si>
    <r>
      <rPr>
        <sz val="12"/>
        <color rgb="FF000000"/>
        <rFont val="宋体"/>
        <charset val="134"/>
      </rPr>
      <t>日期码格式：ZURU INC(BVI) 标准格式 日期：按实际生产日期
Packaging Info: 
7772GQ1:1L PDQ+MA B版UPC收缩膜+C版29L 不含电池出货WEEE说明书+移除LOLA YANG 唱片+</t>
    </r>
    <r>
      <rPr>
        <sz val="12"/>
        <color rgb="FFFF0000"/>
        <rFont val="宋体"/>
        <charset val="134"/>
      </rPr>
      <t>要用配套的收藏指南(翻单PO#4500198654)</t>
    </r>
    <r>
      <rPr>
        <sz val="12"/>
        <color rgb="FF000000"/>
        <rFont val="宋体"/>
        <charset val="134"/>
      </rPr>
      <t xml:space="preserve">
------------------
Remark: MA版本按工厂现有最新库存即可，订单出英国，请注意检查产品及包装应带UKCA以及CE图标，包装显示ZURU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*所有产品按符合欧洲标准走货，需要是不含微塑料版本 。
*涉及到硼的，如可选择情况下应使用低硼版本 （slime 类别低硼一般低于300ppm)，无选择的应与跟单复核再安排 。
*如果出运产品属于电子类产品需要在ZURU 包装基础上额外添加一张ZURU 标准29L通用WEEE 电子产品说明书,带电池出货的加带电池出货版本通用29L的说明书，不
带电池出货的产品用不带电池出货版本的说明书.
*根据客人最新的包装要求，所有多个PDQ盒子(TQ,UQ,GQ）入1外箱的都需要在PDQ顶部右上角加上数量贴纸标明里面的数量。最小字体：36pts, 字体：Calibri（bo
ld), 具体要求以及位置见文件.
*订单对应客户PO号 ，备注有显示 ，注意分开做货/验货/装柜 ，混装有罚款。
* 大货样： 新款请在CRD前10天寄出每款2整套大货样到罗湖办公室21B Meyya Liu 收，翻单不用寄。</t>
    </r>
  </si>
  <si>
    <t>4500200117-10</t>
  </si>
  <si>
    <t>4500212482-10</t>
  </si>
  <si>
    <t>欠SSCC LABEL</t>
  </si>
  <si>
    <t>4500211288-10</t>
  </si>
  <si>
    <t>防盜贴纸(贴纸以及防盜贴纸位置图翻单PO#4500193539)+客制PDQ（PDQ翻单PO#4500197999）+客制B版收藏指南+8/17外箱贴纸SSCC  Label</t>
  </si>
  <si>
    <r>
      <rPr>
        <sz val="12"/>
        <color rgb="FF000000"/>
        <rFont val="宋体"/>
        <charset val="134"/>
      </rPr>
      <t xml:space="preserve">日期码格式：ZURU INC(BVI) 标准格式 日期：按实际生产日期 Tracking Code:
Packaging Info: 77869：客制 3L UPC 彩盒包装 (彩盒翻单PO#4500202802)+ 箱唛 + 外箱贴纸SSCC Label
 子件77772: </t>
    </r>
    <r>
      <rPr>
        <sz val="12"/>
        <color rgb="FFFF0000"/>
        <rFont val="宋体"/>
        <charset val="134"/>
      </rPr>
      <t>1L 客版英语无条码收缩膜（翻单PO#4500208581）</t>
    </r>
    <r>
      <rPr>
        <sz val="12"/>
        <color rgb="FF000000"/>
        <rFont val="宋体"/>
        <charset val="134"/>
      </rPr>
      <t>+B版客制收藏指南</t>
    </r>
    <r>
      <rPr>
        <sz val="12"/>
        <color rgb="FFFF0000"/>
        <rFont val="宋体"/>
        <charset val="134"/>
      </rPr>
      <t>-删除两张唱片""Messy &lt;(&gt;&amp;&lt;)&gt; Delicious""</t>
    </r>
    <r>
      <rPr>
        <sz val="12"/>
        <color rgb="FF000000"/>
        <rFont val="宋体"/>
        <charset val="134"/>
      </rPr>
      <t>（收藏指南翻单PO#4500202802）
 子件77794: MA英语UPC版本包装（收缩膜和说明书, MA首选1L，如无1L可用多语且含英语的配套多语包装) +1张MA锂电池黑白警语书纸（书纸翻单PO#4500193539）
 2PK 77772( remove Messy &lt;(&gt;&amp;&lt;)&gt; Delicious vinyl minis) + 77794 PLAYSET COMBO IN COLOR BOX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10.所有带纽扣电池的产品都需要在产品包装以及说明书上贴纽扣电池警告语贴纸
 此单需要与NZ PO#4500211292一起合并计算</t>
    </r>
  </si>
  <si>
    <t>4500211288-20</t>
  </si>
  <si>
    <t>4500211288-40</t>
  </si>
  <si>
    <r>
      <rPr>
        <sz val="12"/>
        <rFont val="宋体"/>
        <charset val="134"/>
      </rPr>
      <t>日期码格式：ZURU INC(BVI) 标准格式</t>
    </r>
    <r>
      <rPr>
        <sz val="12"/>
        <color rgb="FF000000"/>
        <rFont val="宋体"/>
        <charset val="134"/>
      </rPr>
      <t xml:space="preserve">                  日期：按实际生产日期
Packaging Info:
77772GQ1:MA英语UPC版本包装（收缩膜和说明书, MA首选1L，如无1L可用多语且含英语的配套多语包装) +一张防盜贴纸(贴纸以及防盜贴纸位置图翻单PO#450019353
9)+客制PDQ（PDQ翻单PO#4500197999）+客制B版收藏指南（收藏指南翻单PO#4500202802的77869的子件77772）+箱唛+外箱贴纸SSCC Label
配比信息：4  mini vinyls,1 accessory
Removed了 """"Messy &lt;(&gt;&amp;&lt;)&gt; Delicious""""两张唱片"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10.所有带纽扣电池的产品都需要在产品包装以及说明书上贴纽扣电池警告语贴纸
此单需要与NZ PO#4500211292一起合并计算</t>
    </r>
  </si>
  <si>
    <t>4500211288-60</t>
  </si>
  <si>
    <t>4500211292-10</t>
  </si>
  <si>
    <r>
      <rPr>
        <sz val="12"/>
        <color rgb="FF000000"/>
        <rFont val="宋体"/>
        <charset val="134"/>
      </rPr>
      <t>日期码格式：ZURU INC(BVI) 标准格式 日期：按实际生产日期 Tracking Code:
Packaging Info: 77869：客制 3L UPC 彩盒包装 (彩盒翻单PO#4500202802)+ 箱唛 + 外箱贴纸SSCC Label
 子件77772:</t>
    </r>
    <r>
      <rPr>
        <sz val="12"/>
        <color rgb="FFFF0000"/>
        <rFont val="宋体"/>
        <charset val="134"/>
      </rPr>
      <t xml:space="preserve"> 1L 客版英语无条码收缩膜（翻单PO#4500208581）</t>
    </r>
    <r>
      <rPr>
        <sz val="12"/>
        <color rgb="FF000000"/>
        <rFont val="宋体"/>
        <charset val="134"/>
      </rPr>
      <t>+B版客制收藏指南</t>
    </r>
    <r>
      <rPr>
        <sz val="12"/>
        <color rgb="FFFF0000"/>
        <rFont val="宋体"/>
        <charset val="134"/>
      </rPr>
      <t>-删除两张唱片""Messy &lt;(&gt;&amp;&lt;)&gt; Delicious""</t>
    </r>
    <r>
      <rPr>
        <sz val="12"/>
        <color rgb="FF000000"/>
        <rFont val="宋体"/>
        <charset val="134"/>
      </rPr>
      <t>（收藏指南翻单PO#4500202802）
 子件77794: MA英语UPC版本包装（收缩膜和说明书, MA首选1L，如无1L可用多语且含英语的配套多语包装) +1张MA锂电池黑白警语书纸（书纸翻单PO#4500193539）
 2PK 77772( remove Messy &lt;(&gt;&amp;&lt;)&gt; Delicious vinyl minis) + 77794 PLAYSET COMBO IN COLOR BOX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10.所有带纽扣电池的产品都需要在产品包装以及说明书上贴纽扣电池警告语贴纸
 此单需要与AU PO#4500211288一起合并计算</t>
    </r>
  </si>
  <si>
    <t>4500211292-20</t>
  </si>
  <si>
    <t>4500211292-40</t>
  </si>
  <si>
    <r>
      <rPr>
        <sz val="12"/>
        <rFont val="宋体"/>
        <charset val="134"/>
      </rPr>
      <t>日期码格式：ZURU INC(BVI) 标准格式</t>
    </r>
    <r>
      <rPr>
        <sz val="12"/>
        <color rgb="FF000000"/>
        <rFont val="宋体"/>
        <charset val="134"/>
      </rPr>
      <t xml:space="preserve">                  日期：按实际生产日期
Packaging Info: 
77772GQ1:MA英语UPC版本包装（收缩膜和说明书, MA首选1L，如无1L可用多语且含英语的配套多语包装) +一张防盜贴纸(贴纸以及防盜贴纸位置图翻单PO#450019353
9)+客制PDQ（PDQ翻单PO#4500197999）+客制B版收藏指南（收藏指南翻单PO#4500202802的77869的子件77772）+箱唛+外箱贴纸SSCC Label
配比信息：4  mini vinyls,1 accessory
Removed了 """"Messy &lt;(&gt;&amp;&lt;)&gt; Delicious""""两张唱片"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10.所有带纽扣电池的产品都需要在产品包装以及说明书上贴纽扣电池警告语贴纸
此单需要与AU PO#4500211288一起合并计算</t>
    </r>
  </si>
  <si>
    <t>4500211292-60</t>
  </si>
  <si>
    <t>4500211288-110</t>
  </si>
  <si>
    <t>取消21/23号唱片，客制PDQ（PDQ翻单PO#4500197999）+客制B版收藏指南（收藏指南翻单PO#4500202802的77869的子件77772）</t>
  </si>
  <si>
    <t>日期码格式：ZURU  INC(BVI) 标准格式                                    日期：按实际生产日期
Packaging Info: 
77772GQ1:MA英语UPC版本包装（收缩膜和说明书, MA首选1L，如无1L可用多语且含英语的配套多语包装) +一张防盜贴纸(贴纸以及防盜贴纸位置图翻单PO#450019353
9)+客制PDQ（PDQ翻单PO#4500197999）+客制B版收藏指南（收藏指南翻单PO#4500202802的77869的子件77772）+箱唛+外箱贴纸SSCC  Label
配比信息：4    mini vinyls,1  accessory
Removed了  """"Messy &lt;(&gt;&amp;&lt;)&gt;  Delicious""""两张唱片"
Remark: 1 .请务必按时完货，验货。并且按期送货入货代指定仓库，如果晚了导致船期Delay将会有罚金产生或者客户要求空运，所产生的罚金和空运费由工厂承担。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 .此单出口澳大利亚，请按相应的澳新标准生产；
  6.产品和包装上生产批号的显示格式ZURU标准日期码格式
  7 .外箱信息不可手写，重量和体积需要与实际的一致(不可手写）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10.所有带纽扣电池的产品都需要在产品包装以及说明书上贴纽扣电池警告语贴纸
此单需要与NZ  PO#4500211292一起合并计算</t>
  </si>
  <si>
    <t>4500211292-110</t>
  </si>
  <si>
    <t>日期码格式：ZURU  INC(BVI) 标准格式                                    日期：按实际生产日期
Packaging Info: 77869：客制  3L UPC  彩盒包装    （彩盒翻单PO#4500202802）+  箱唛  +  外箱贴纸SSCC  Label
子件77772: MA英语UPC版本包装（收缩膜和说明书, MA首选1L，如无1L可用多语且含英语的配套多语包装) +B版客制收藏指南（收藏指南翻单PO#4500202802）
子件77794: MA英语UPC版本包装（收缩膜和说明书, MA首选1L，如无1L可用多语且含英语的配套多语包装) +1张MA锂电池黑白警语书纸（书纸翻单PO#4500193539）
2PK  77772( remove Messy &lt;(&gt;&amp;&lt;)&gt;  Delicious vinyl minis) +  77794 PLAYSET COMBO IN COLOR BOX
77794UQ1:客版PDQ（翻单PO#4500197867）    + MA英语UPC版本包装（收缩膜和说明书, MA首选1L，如无1L可用多语且含英语的配套多语包装) +1张锂电池黑白警语书
纸  +  1张防盗贴纸  (贴纸以及位置图翻单PO#4500193539）+  箱唛  +  外箱SSCC  Label
77772GQ1:MA英语UPC版本包装（收缩膜和说明书, MA首选1L，如无1L可用多语且含英语的配套多语包装) +一张防盜贴纸(贴纸以及防盜贴纸位置图翻单PO#450019353
9)+客制PDQ（PDQ翻单PO#4500197999）+客制B版收藏指南（收藏指南翻单PO#4500202802的77869的子件77772）+箱唛+外箱贴纸SSCC  Label
配比信息：4    mini vinyls,1  accessory
Removed了  """"Messy &lt;(&gt;&amp;&lt;)&gt;  Delicious""""两张唱片"
Remark: 1 .请务必按时完货，验货。并且按期送货入货代指定仓库，如果晚了导致船期Delay将会有罚金产生或者客户要求空运，所产生的罚金和空运费由工厂承担。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 .此单出口新西兰，请按相应的澳新标准生产；
  6.产品和包装上生产批号的显示格式ZURU标准日期码格式
  7 .外箱信息不可手写，重量和体积需要与实际的一致(不可手写）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10.所有带纽扣电池的产品都需要在产品包装以及说明书上贴纽扣电池警告语贴纸
此单需要与AU  PO#4500211288一起合并计算</t>
  </si>
  <si>
    <t>EUROPRIS  AS</t>
  </si>
  <si>
    <t>4500219260-20</t>
  </si>
  <si>
    <r>
      <rPr>
        <sz val="12"/>
        <color rgb="FF000000"/>
        <rFont val="宋体"/>
        <charset val="134"/>
      </rPr>
      <t>日期码格式：ZURU</t>
    </r>
    <r>
      <rPr>
        <sz val="11"/>
        <color rgb="FF000000"/>
        <rFont val="宋体"/>
        <charset val="134"/>
        <scheme val="minor"/>
      </rPr>
      <t xml:space="preserve">  </t>
    </r>
    <r>
      <rPr>
        <sz val="11"/>
        <color rgb="FF000000"/>
        <rFont val="宋体"/>
        <charset val="134"/>
        <scheme val="minor"/>
      </rPr>
      <t>INC(BVI)</t>
    </r>
    <r>
      <rPr>
        <sz val="11"/>
        <color rgb="FF000000"/>
        <rFont val="宋体"/>
        <charset val="134"/>
        <scheme val="minor"/>
      </rPr>
      <t xml:space="preserve">  </t>
    </r>
    <r>
      <rPr>
        <sz val="11"/>
        <color rgb="FF000000"/>
        <rFont val="宋体"/>
        <charset val="134"/>
        <scheme val="minor"/>
      </rPr>
      <t>标准格式</t>
    </r>
    <r>
      <rPr>
        <sz val="11"/>
        <color rgb="FF000000"/>
        <rFont val="宋体"/>
        <charset val="134"/>
        <scheme val="minor"/>
      </rPr>
      <t xml:space="preserve">                                    </t>
    </r>
    <r>
      <rPr>
        <sz val="11"/>
        <color rgb="FF000000"/>
        <rFont val="宋体"/>
        <charset val="134"/>
        <scheme val="minor"/>
      </rPr>
      <t>日期：按实际生产日期</t>
    </r>
    <r>
      <rPr>
        <sz val="11"/>
        <color rgb="FF000000"/>
        <rFont val="宋体"/>
        <charset val="134"/>
        <scheme val="minor"/>
      </rPr>
      <t xml:space="preserve">
</t>
    </r>
    <r>
      <rPr>
        <sz val="11"/>
        <color rgb="FF000000"/>
        <rFont val="宋体"/>
        <charset val="134"/>
        <scheme val="minor"/>
      </rPr>
      <t xml:space="preserve">Packaging Info: </t>
    </r>
    <r>
      <rPr>
        <sz val="11"/>
        <color rgb="FF000000"/>
        <rFont val="宋体"/>
        <charset val="134"/>
        <scheme val="minor"/>
      </rPr>
      <t xml:space="preserve">
</t>
    </r>
    <r>
      <rPr>
        <sz val="11"/>
        <color rgb="FF000000"/>
        <rFont val="宋体"/>
        <charset val="134"/>
        <scheme val="minor"/>
      </rPr>
      <t>【行项目20】</t>
    </r>
    <r>
      <rPr>
        <sz val="11"/>
        <color rgb="FF000000"/>
        <rFont val="宋体"/>
        <charset val="134"/>
        <scheme val="minor"/>
      </rPr>
      <t xml:space="preserve">
</t>
    </r>
    <r>
      <rPr>
        <sz val="11"/>
        <color rgb="FF000000"/>
        <rFont val="宋体"/>
        <charset val="134"/>
        <scheme val="minor"/>
      </rPr>
      <t>77772GQ1:MA</t>
    </r>
    <r>
      <rPr>
        <sz val="11"/>
        <color rgb="FF000000"/>
        <rFont val="宋体"/>
        <charset val="134"/>
        <scheme val="minor"/>
      </rPr>
      <t xml:space="preserve">  </t>
    </r>
    <r>
      <rPr>
        <sz val="11"/>
        <color rgb="FF000000"/>
        <rFont val="宋体"/>
        <charset val="134"/>
        <scheme val="minor"/>
      </rPr>
      <t>B3L</t>
    </r>
    <r>
      <rPr>
        <sz val="11"/>
        <color rgb="FF000000"/>
        <rFont val="宋体"/>
        <charset val="134"/>
        <scheme val="minor"/>
      </rPr>
      <t xml:space="preserve">  </t>
    </r>
    <r>
      <rPr>
        <sz val="11"/>
        <color rgb="FF000000"/>
        <rFont val="宋体"/>
        <charset val="134"/>
        <scheme val="minor"/>
      </rPr>
      <t>EAN包装+MA</t>
    </r>
    <r>
      <rPr>
        <sz val="11"/>
        <color rgb="FF000000"/>
        <rFont val="宋体"/>
        <charset val="134"/>
        <scheme val="minor"/>
      </rPr>
      <t xml:space="preserve">  </t>
    </r>
    <r>
      <rPr>
        <sz val="11"/>
        <color rgb="FF000000"/>
        <rFont val="宋体"/>
        <charset val="134"/>
        <scheme val="minor"/>
      </rPr>
      <t>23L组装说明书+MA</t>
    </r>
    <r>
      <rPr>
        <sz val="11"/>
        <color rgb="FF000000"/>
        <rFont val="宋体"/>
        <charset val="134"/>
        <scheme val="minor"/>
      </rPr>
      <t xml:space="preserve">  </t>
    </r>
    <r>
      <rPr>
        <sz val="11"/>
        <color rgb="FF000000"/>
        <rFont val="宋体"/>
        <charset val="134"/>
        <scheme val="minor"/>
      </rPr>
      <t>5L收藏指南+MA</t>
    </r>
    <r>
      <rPr>
        <sz val="11"/>
        <color rgb="FF000000"/>
        <rFont val="宋体"/>
        <charset val="134"/>
        <scheme val="minor"/>
      </rPr>
      <t xml:space="preserve">  </t>
    </r>
    <r>
      <rPr>
        <sz val="11"/>
        <color rgb="FF000000"/>
        <rFont val="宋体"/>
        <charset val="134"/>
        <scheme val="minor"/>
      </rPr>
      <t>B3L</t>
    </r>
    <r>
      <rPr>
        <sz val="11"/>
        <color rgb="FF000000"/>
        <rFont val="宋体"/>
        <charset val="134"/>
        <scheme val="minor"/>
      </rPr>
      <t xml:space="preserve">  </t>
    </r>
    <r>
      <rPr>
        <sz val="11"/>
        <color rgb="FF000000"/>
        <rFont val="宋体"/>
        <charset val="134"/>
        <scheme val="minor"/>
      </rPr>
      <t>PDQ+WEEE</t>
    </r>
    <r>
      <rPr>
        <sz val="11"/>
        <color rgb="FF000000"/>
        <rFont val="宋体"/>
        <charset val="134"/>
        <scheme val="minor"/>
      </rPr>
      <t xml:space="preserve">  </t>
    </r>
    <r>
      <rPr>
        <sz val="11"/>
        <color rgb="FF000000"/>
        <rFont val="宋体"/>
        <charset val="134"/>
        <scheme val="minor"/>
      </rPr>
      <t>29L</t>
    </r>
    <r>
      <rPr>
        <sz val="11"/>
        <color rgb="FF000000"/>
        <rFont val="宋体"/>
        <charset val="134"/>
        <scheme val="minor"/>
      </rPr>
      <t xml:space="preserve">  </t>
    </r>
    <r>
      <rPr>
        <sz val="11"/>
        <color rgb="FF000000"/>
        <rFont val="宋体"/>
        <charset val="134"/>
        <scheme val="minor"/>
      </rPr>
      <t>不带电池说明书最新版</t>
    </r>
    <r>
      <rPr>
        <sz val="11"/>
        <color rgb="FF000000"/>
        <rFont val="宋体"/>
        <charset val="134"/>
        <scheme val="minor"/>
      </rPr>
      <t xml:space="preserve">
</t>
    </r>
    <r>
      <rPr>
        <sz val="11"/>
        <color rgb="FF000000"/>
        <rFont val="宋体"/>
        <charset val="134"/>
        <scheme val="minor"/>
      </rPr>
      <t>Remark: 1.产品和包装要求无硼无香，包装不能含有PVC</t>
    </r>
    <r>
      <rPr>
        <sz val="11"/>
        <color rgb="FF000000"/>
        <rFont val="宋体"/>
        <charset val="134"/>
        <scheme val="minor"/>
      </rPr>
      <t xml:space="preserve">
</t>
    </r>
    <r>
      <rPr>
        <sz val="11"/>
        <color rgb="FF000000"/>
        <rFont val="宋体"/>
        <charset val="134"/>
        <scheme val="minor"/>
      </rPr>
      <t>2.微塑料需合规并增加对应IFUD声明</t>
    </r>
    <r>
      <rPr>
        <sz val="11"/>
        <color rgb="FF000000"/>
        <rFont val="宋体"/>
        <charset val="134"/>
        <scheme val="minor"/>
      </rPr>
      <t xml:space="preserve">
</t>
    </r>
    <r>
      <rPr>
        <sz val="11"/>
        <color rgb="FF000000"/>
        <rFont val="宋体"/>
        <charset val="134"/>
        <scheme val="minor"/>
      </rPr>
      <t>3. 电动玩具请增加WEEE说明书</t>
    </r>
    <r>
      <rPr>
        <sz val="11"/>
        <color rgb="FF000000"/>
        <rFont val="宋体"/>
        <charset val="134"/>
        <scheme val="minor"/>
      </rPr>
      <t xml:space="preserve">
</t>
    </r>
    <r>
      <rPr>
        <sz val="11"/>
        <color rgb="FF000000"/>
        <rFont val="宋体"/>
        <charset val="134"/>
        <scheme val="minor"/>
      </rPr>
      <t>4.此单每个外箱都要放一包干燥剂，基于外箱CBM决定箱内干燥剂规格，5g基于外箱</t>
    </r>
    <r>
      <rPr>
        <sz val="11"/>
        <color rgb="FF000000"/>
        <rFont val="宋体"/>
        <charset val="134"/>
        <scheme val="minor"/>
      </rPr>
      <t xml:space="preserve">
</t>
    </r>
    <r>
      <rPr>
        <sz val="11"/>
        <color rgb="FF000000"/>
        <rFont val="宋体"/>
        <charset val="134"/>
        <scheme val="minor"/>
      </rPr>
      <t>体积</t>
    </r>
    <r>
      <rPr>
        <sz val="11"/>
        <color rgb="FF000000"/>
        <rFont val="宋体"/>
        <charset val="134"/>
        <scheme val="minor"/>
      </rPr>
      <t xml:space="preserve">  </t>
    </r>
    <r>
      <rPr>
        <sz val="11"/>
        <color rgb="FF000000"/>
        <rFont val="宋体"/>
        <charset val="134"/>
        <scheme val="minor"/>
      </rPr>
      <t>0.001-0.029，</t>
    </r>
    <r>
      <rPr>
        <sz val="11"/>
        <color rgb="FF000000"/>
        <rFont val="宋体"/>
        <charset val="134"/>
        <scheme val="minor"/>
      </rPr>
      <t xml:space="preserve">     </t>
    </r>
    <r>
      <rPr>
        <sz val="11"/>
        <color rgb="FF000000"/>
        <rFont val="宋体"/>
        <charset val="134"/>
        <scheme val="minor"/>
      </rPr>
      <t>10g基于外箱体积</t>
    </r>
    <r>
      <rPr>
        <sz val="11"/>
        <color rgb="FF000000"/>
        <rFont val="宋体"/>
        <charset val="134"/>
        <scheme val="minor"/>
      </rPr>
      <t xml:space="preserve">  </t>
    </r>
    <r>
      <rPr>
        <sz val="11"/>
        <color rgb="FF000000"/>
        <rFont val="宋体"/>
        <charset val="134"/>
        <scheme val="minor"/>
      </rPr>
      <t>0.03-0.059，25g基于外箱体积</t>
    </r>
    <r>
      <rPr>
        <sz val="11"/>
        <color rgb="FF000000"/>
        <rFont val="宋体"/>
        <charset val="134"/>
        <scheme val="minor"/>
      </rPr>
      <t xml:space="preserve">  </t>
    </r>
    <r>
      <rPr>
        <sz val="11"/>
        <color rgb="FF000000"/>
        <rFont val="宋体"/>
        <charset val="134"/>
        <scheme val="minor"/>
      </rPr>
      <t>0.06-0. 119。50g基于外箱体积</t>
    </r>
    <r>
      <rPr>
        <sz val="11"/>
        <color rgb="FF000000"/>
        <rFont val="宋体"/>
        <charset val="134"/>
        <scheme val="minor"/>
      </rPr>
      <t xml:space="preserve">  </t>
    </r>
    <r>
      <rPr>
        <sz val="11"/>
        <color rgb="FF000000"/>
        <rFont val="宋体"/>
        <charset val="134"/>
        <scheme val="minor"/>
      </rPr>
      <t>0.12-0.29。货柜和纸箱干燥剂都需要找如下</t>
    </r>
    <r>
      <rPr>
        <sz val="11"/>
        <color rgb="FF000000"/>
        <rFont val="宋体"/>
        <charset val="134"/>
        <scheme val="minor"/>
      </rPr>
      <t xml:space="preserve">
</t>
    </r>
    <r>
      <rPr>
        <sz val="11"/>
        <color rgb="FF000000"/>
        <rFont val="宋体"/>
        <charset val="134"/>
        <scheme val="minor"/>
      </rPr>
      <t>指定供应商订购。干霸：Tel:</t>
    </r>
    <r>
      <rPr>
        <sz val="11"/>
        <color rgb="FF000000"/>
        <rFont val="宋体"/>
        <charset val="134"/>
        <scheme val="minor"/>
      </rPr>
      <t xml:space="preserve">  </t>
    </r>
    <r>
      <rPr>
        <sz val="11"/>
        <color rgb="FF000000"/>
        <rFont val="宋体"/>
        <charset val="134"/>
        <scheme val="minor"/>
      </rPr>
      <t>+86</t>
    </r>
    <r>
      <rPr>
        <sz val="11"/>
        <color rgb="FF000000"/>
        <rFont val="宋体"/>
        <charset val="134"/>
        <scheme val="minor"/>
      </rPr>
      <t xml:space="preserve">  </t>
    </r>
    <r>
      <rPr>
        <sz val="11"/>
        <color rgb="FF000000"/>
        <rFont val="宋体"/>
        <charset val="134"/>
        <scheme val="minor"/>
      </rPr>
      <t>755</t>
    </r>
    <r>
      <rPr>
        <sz val="11"/>
        <color rgb="FF000000"/>
        <rFont val="宋体"/>
        <charset val="134"/>
        <scheme val="minor"/>
      </rPr>
      <t xml:space="preserve">  </t>
    </r>
    <r>
      <rPr>
        <sz val="11"/>
        <color rgb="FF000000"/>
        <rFont val="宋体"/>
        <charset val="134"/>
        <scheme val="minor"/>
      </rPr>
      <t>8474</t>
    </r>
    <r>
      <rPr>
        <sz val="11"/>
        <color rgb="FF000000"/>
        <rFont val="宋体"/>
        <charset val="134"/>
        <scheme val="minor"/>
      </rPr>
      <t xml:space="preserve">  </t>
    </r>
    <r>
      <rPr>
        <sz val="11"/>
        <color rgb="FF000000"/>
        <rFont val="宋体"/>
        <charset val="134"/>
        <scheme val="minor"/>
      </rPr>
      <t>6911</t>
    </r>
    <r>
      <rPr>
        <sz val="11"/>
        <color rgb="FF000000"/>
        <rFont val="宋体"/>
        <charset val="134"/>
        <scheme val="minor"/>
      </rPr>
      <t xml:space="preserve">  </t>
    </r>
    <r>
      <rPr>
        <sz val="11"/>
        <color rgb="FF000000"/>
        <rFont val="宋体"/>
        <charset val="134"/>
        <scheme val="minor"/>
      </rPr>
      <t>Email:</t>
    </r>
    <r>
      <rPr>
        <sz val="11"/>
        <color rgb="FF000000"/>
        <rFont val="宋体"/>
        <charset val="134"/>
        <scheme val="minor"/>
      </rPr>
      <t xml:space="preserve">  </t>
    </r>
    <r>
      <rPr>
        <sz val="11"/>
        <color rgb="FF000000"/>
        <rFont val="宋体"/>
        <charset val="134"/>
        <scheme val="minor"/>
      </rPr>
      <t>gela@superdryers.com.cn"</t>
    </r>
  </si>
  <si>
    <t>Zoe</t>
  </si>
  <si>
    <t>CMS  FAMOUS  TOYS</t>
  </si>
  <si>
    <t>PO0001970</t>
  </si>
  <si>
    <t>4500216953-10</t>
  </si>
  <si>
    <t>UPC贴纸，     贴纸翻单4500200392</t>
  </si>
  <si>
    <t>日期码格式：ZURU  INC(BVI)  标准格式                                    日期：按实际生产日期
Packaging Info: 77772GQ1:  MA  多语加UPC贴纸，     贴纸翻单4500200392
Remark: 出加拿大
每款产品都需要加进口商贴纸,  进口商贴纸翻单4500207609
Zuru验货. 日期跟踪码：产品外包装及产品本身都必须有日期跟踪码，ZURU标准格式日期码</t>
  </si>
  <si>
    <t>Bella  Tan</t>
  </si>
  <si>
    <t>AS080726ZUR15563</t>
  </si>
  <si>
    <t>4500216668-60</t>
  </si>
  <si>
    <t>8/7 PDQ 底部贴纸-35063389172320+WEEE 29L 不带电池说明书最新版</t>
  </si>
  <si>
    <t>日期码格式：ZURU INC(BVI) 标准格式                  日期：按实际生产日期
Packaging Info: 
77772GQ2:MA UPC 最新包装-产品条码-193052090065+PDQ 底部贴纸-35063389172320+WEEE 29L 不带电池说明书最新版+客版收藏指南（翻单4500200925）;配比：4
mini vinyls(remove Lola Young vinyl),1 accessory；
Remark: 1.订单出英国，请注意检查产品及包装应带CE/UKCA图标，包装需要显示ZURU UKLTD/ZURU France地址信息，QC同事请查核，如有问题与跟单确认。
2.生产日期按实际的（法定工作日），按ZURU标准格式即可，并需要在出货前提供每个产品外包上对应的生产日期明细
3.请注意所有订单都需要经过ZURU QC验货加提供客版自检报告审核且通过后方可出货
4.不接受一个款有多个条码，存在这个情况请让ZURU提供条码贴纸
5.外箱上的条码请确保清晰可扫描，有PDQ，需要在PDQ底部贴一张带条码并可扫描的贴纸(ZURU 跟单提供模板）。
6.所有产品按符合欧洲标准走货，微塑料需合规并增加IFUD声明，含电池的需要增加WEEE说明书。</t>
  </si>
  <si>
    <r>
      <rPr>
        <sz val="12"/>
        <rFont val="宋体"/>
        <charset val="134"/>
      </rPr>
      <t>AMAZON</t>
    </r>
    <r>
      <rPr>
        <sz val="12"/>
        <color rgb="FF000000"/>
        <rFont val="宋体"/>
        <charset val="134"/>
      </rPr>
      <t xml:space="preserve">  EU  SARL,  NDL  DEUTSCHLAND</t>
    </r>
  </si>
  <si>
    <t>1PICA8SM</t>
  </si>
  <si>
    <t>4500217589-130</t>
  </si>
  <si>
    <t>空白外箱（加印带Zuru字样的最新logo，除了邮包盒直接做外箱的产品）</t>
  </si>
  <si>
    <r>
      <rPr>
        <sz val="12"/>
        <color rgb="FF000000"/>
        <rFont val="宋体"/>
        <charset val="134"/>
      </rPr>
      <t>日期码格式：ZURU  INC(BVI)  标准格式                                    日期：按实际生产日期
Packaging Info: Amazon  DE:  83HME98C/1CRFWQPD/5966T6TF
Amazon  UK:    7I9R6NFR/6PUA1B5K/4EYHRO8Q/43UX613E/2RV9F3UR/2QCSUS1Q/2BZEPRCS/1VFOYQSR/1P3VIQGH/1AR1AQCU/19ZKH3PZ
Amazon  ES:  5SHNFXHV/4NB6XODY
Amazon  FR:  88YIYPAJ/1PICA8SM/1BJCDLVR
Amazon  IT:  3XYWOJGN/2S7KGVVF
   15.  77876:  2pk  77772  VINYL  into  PVC  tube,12tubes/ctn;  77772:  移除Lola  Young  vinyl款;  客版  3L(3L  warning  无条码,新UK地址,翻单4500198654)收缩膜+客
版收藏指南(移除Lola  Young  vinyl款,更新歌手名字，翻单4500208529)+MA  23L  warning  A组装黑白说明书+MA其它最新配套包装+客版3L(3L  warning  UPC)彩卡(新U
   K地址,翻单4500198654)+1张贴纸(1张含DE/IT警告语+IT环保标,  贴彩卡,  贴纸翻单PO4500198642)+不带电池WEEE  29L  C版说明书.
22.  验货时间不迟于2026/9/10.
Remark: 1.空白外箱（加印带Zuru字样的最新logo，除了邮包盒直接做外箱的产品）    +  SSCC  LABEL一张,  无箱唛，MADE  IN  CHINA  外箱只印一正一侧且正唛一面右下角需加
印法国地址：ZURU  FRANCE.  33  rue  Paul  Meurice  75020  Paris,  France及邮箱：</t>
    </r>
    <r>
      <rPr>
        <sz val="12"/>
        <color rgb="FF000000"/>
        <rFont val="宋体"/>
        <charset val="134"/>
      </rPr>
      <t>care@zuru.com(</t>
    </r>
    <r>
      <rPr>
        <sz val="12"/>
        <color rgb="FF000000"/>
        <rFont val="宋体"/>
        <charset val="134"/>
      </rPr>
      <t>满足EU&lt;(&gt;&amp;&lt;)&gt;UK  PPWR法规要求)。箱唛资料按照给定的标准去做
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此要求只适用Amazon  UK/DE/FR/ES/
IT,不适用Amazon  GPE，Amazon  GPE无SSCC  label,  但是有对应箱唛，需印刷到外箱  。
应最新EU&lt;(&gt;&amp;&lt;)&gt;UK法规PPWR要求，所有外箱上都需要加印如下地址和邮箱，(具体位置：外箱正面右下角)
ZURU  FRANCE.  33  rue  Paul  Meurice  75020  Paris,  France.
care@zuru.com
2. 出往UK的产品+包装务必打上UKCA  logo  ，否则客人会退货且当地会有罚款。Amazon  GPE（包含UK/FR/ES/DE/IT）的订单也需满足此要求。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故此请严格把关。Amazon~  GPE（包含UK/FR/ES/DE/IT）的订单也需满足此要求。
-油墨物质""""""""由1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 邮包盒及外箱封箱必须是工字型封箱方式；
   8.5  Surprise  or  Mini  Brands涉及包装是2个及2个以上的球入PVC桶包装时，单个球上若有UPC#或者EAN#，请用空白贴纸覆盖住，贴纸尺寸自行测量能覆盖原条码即
可；
   9.  无论是工厂自检还是ZURU验货，验货报告中必须有产品6面图(正面/背面/左面/右面/顶部/底部，不带包装);
   10.  按空海运鉴定报告的要求，只要带锂电池出货，都需要加贴UN贴纸；
   11.  所有出往GAS市场(德国/奥地利/瑞士)的电子产品身上需要加字唛，为ZURU  FRANCE  地址，需跟包装上的地址一致  (如无电子产品，产品布标有此地址，或产品
太小无法增加可忽略此信息。如产品无法加字唛，需让对应跟单提供产品贴纸资料);（Amazon  GPE的订单也需满足此要求）
   12.  所有出往GAS德国  (瑞士，奥地利)。水弹枪系列必须使用EN71版本（电子和非电子水弹枪系列都需要符合);  护目镜需打日期码,  格式跟ZURU标准格式一样;  枪
身上增加ZURU  FRANCE公司名和地址。使用贴纸和辐射上去都可以。如果有位置，最好增加ZURU  Represented  by:  (此最好翻译德语，如果位置不允许，那么就只增
加ZURU法国和地址)。使用最新的EN71版包装和说明书）。Amazon  GPE（包含UK/FR/ES/DE/IT）的订单也需满足此要求。</t>
    </r>
  </si>
  <si>
    <r>
      <rPr>
        <sz val="12"/>
        <rFont val="宋体"/>
        <charset val="134"/>
      </rPr>
      <t>Luna</t>
    </r>
    <r>
      <rPr>
        <sz val="12"/>
        <color rgb="FF000000"/>
        <rFont val="宋体"/>
        <charset val="134"/>
      </rPr>
      <t xml:space="preserve">  Lin</t>
    </r>
  </si>
  <si>
    <t>4500215789-10</t>
  </si>
  <si>
    <t>日期码格式：ZURU INC(BVI) 标准格式                  日期：按实际生产日期
Packaging Info: 77772GQ2  MA 3L EAN版本+UPC贴纸193052090065, UPC贴纸翻单4500193076
Remark: 出加拿大
有价格贴纸 (Low Tack ,must peel off easily without leaving adhesive residue)
有shipping label (贴4面）
Zuru验货. 日期跟踪码：产品外包装及产品本身都必须有日期跟踪码，ZURU标准格式日期码。</t>
  </si>
  <si>
    <t>4500214382-10</t>
  </si>
  <si>
    <t>取消21/23号唱片客版PDQ（翻单PO#4500200163）  +客制B版收藏指南（收藏指南翻单PO#4
500202802的77869的子件77772）</t>
  </si>
  <si>
    <t>日期码格式：ZURU INC(BVI) 标准格式                  日期：按实际生产日期
Packaging Info: 77772GQ2: MA英语UPC版本收缩膜( MA首选1L，如无1L可用多语且含英语的配套多语包装) +客版PDQ（翻单PO#4500200163）  +客制B版收藏指南（收藏指南翻单PO#4
500202802的77869的子件77772）+1张客人通用进口商贴纸（贴纸跟位置图翻单PO#4500193524）+箱唛
配比信息：4  mini vinyls,1 accessory
Removed了 """"Messy &lt;(&gt;&amp;&lt;)&gt; Delicious""两张唱片
Remark: 1.按实际生产日期;
2.出澳大利亚，请按照相应标准生产;
3.所有带纽扣电池的产品都需要在产品包装以及说明书上贴纽扣电池警告语贴纸</t>
  </si>
  <si>
    <t>4500214382-20</t>
  </si>
  <si>
    <t>MEC473-77772-S001-PRODCC1</t>
  </si>
  <si>
    <t>侧板贴纸覆盖唱片数字""45"" (展示架左右各一张)  （贴纸以及位置图翻单PO#4500200163）+ 3张前档
贴纸覆盖唱片数字""45""</t>
  </si>
  <si>
    <r>
      <rPr>
        <sz val="12"/>
        <color rgb="FF000000"/>
        <rFont val="宋体"/>
        <charset val="134"/>
      </rPr>
      <t xml:space="preserve">日期码格式：ZURU INC(BVI) 标准格式 日期：按实际生产日期 Tracking Code:
Packaging Info: 
 MEC473：客版 </t>
    </r>
    <r>
      <rPr>
        <sz val="12"/>
        <color rgb="FFFF0000"/>
        <rFont val="宋体"/>
        <charset val="134"/>
      </rPr>
      <t>1</t>
    </r>
    <r>
      <rPr>
        <sz val="12"/>
        <color rgb="FF000000"/>
        <rFont val="宋体"/>
        <charset val="134"/>
      </rPr>
      <t>L 展示架（展示架翻单PO#4500200</t>
    </r>
    <r>
      <rPr>
        <sz val="12"/>
        <color rgb="FFFF0000"/>
        <rFont val="宋体"/>
        <charset val="134"/>
      </rPr>
      <t>392</t>
    </r>
    <r>
      <rPr>
        <sz val="12"/>
        <color rgb="FF000000"/>
        <rFont val="宋体"/>
        <charset val="134"/>
      </rPr>
      <t>）+2张侧板贴纸覆盖唱片数字""45"" (展示架左右各一张) （贴纸以及位置图翻单PO#4500200163）+ 3张前档
 贴纸覆盖唱片数字""45""
 36pcs77772(remove Messy and Delicious vinyl minis) +12pcs 77794; With 1 SET Demo/Endcap
 子件77772: 英文MA UPC版本收缩膜 + 客制球以及客制5L 收藏指南 （去除""Messy"" and ""Delicious"" 2张唱片）（收藏指南翻单PO#4500202802的77869的子件7
7772）+1张客人通用进口商贴纸（位置图翻单PO#4500193524）
 子件77794: 英文MA 包装UPC版本（首选1L，无1L可选多语）+1张MA的锂电池警语书纸+1张客人通用进口商贴纸（贴纸跟位置图翻单PO#4500193524）
 77794UQ1: 客版PDQ（翻单PO#4500197867）+1张MA的锂电池警语书纸+1张客人通用进口商贴纸（贴纸跟位置图翻单PO#4500193524）+箱唛
Remark: 1.按实际生产日期;
 2.出澳大利亚，请按照相应标准生产;
 3.所有带纽扣电池的产品都需要在产品包装以及说明书上贴纽扣电池警告语贴纸</t>
    </r>
  </si>
  <si>
    <r>
      <rPr>
        <sz val="12"/>
        <rFont val="宋体"/>
        <charset val="134"/>
      </rPr>
      <t>A&amp;A</t>
    </r>
    <r>
      <rPr>
        <sz val="12"/>
        <color rgb="FF000000"/>
        <rFont val="宋体"/>
        <charset val="134"/>
      </rPr>
      <t xml:space="preserve">  GLOBAL  INDUSTRIES</t>
    </r>
  </si>
  <si>
    <t>4500215323-20</t>
  </si>
  <si>
    <t>欠PDQUPC#193052090065贴纸</t>
  </si>
  <si>
    <t>日期码格式：ZURU  INC(BVI)  标准格式                                    日期：按实际生产日期
Packaging Info: 1.  包材：     ZURU  MA  UPC    版本，出口美国
#77772GQ2：PDQ上需加UPC#193052090065贴纸，贴于PDQ背面左下角；贴纸资料跟单提供，工厂采购；
Remark: 2.  日期跟踪码：产品包装及产品本身都必须有日期跟踪码；ZURU标准格式日期码(请自行调整具体年月日生产期，但不能为周末）。
3.  出货配比:  Zuru  标版配比。</t>
  </si>
  <si>
    <r>
      <rPr>
        <sz val="12"/>
        <rFont val="宋体"/>
        <charset val="134"/>
      </rPr>
      <t>Elsa</t>
    </r>
    <r>
      <rPr>
        <sz val="12"/>
        <color rgb="FF000000"/>
        <rFont val="宋体"/>
        <charset val="134"/>
      </rPr>
      <t xml:space="preserve">  Zheng</t>
    </r>
  </si>
  <si>
    <t>4500215323-70</t>
  </si>
  <si>
    <t>6ETHW3GY</t>
  </si>
  <si>
    <t>4500199194-40</t>
  </si>
  <si>
    <t>贴纸(含DE/IT警告语+IT环保标, 参考翻单PO#4500198642);欠SSCC label</t>
  </si>
  <si>
    <r>
      <rPr>
        <sz val="12"/>
        <color rgb="FF000000"/>
        <rFont val="宋体"/>
        <charset val="134"/>
      </rPr>
      <t xml:space="preserve">日期码格式：ZURU INC(BVI) 标准格式 日期：按实际生产日期 Tracking Code:
Packaging Info: Amazon UK: 6ETHW3GY/4J5MDWVV
 Amazon UK(77876)
 1. 77876: 2pk 77772 VINYL into PVC tube,12tubes/ctn; 77772: 移除Lola Young vinyl款; 客版 3L(3L warning 无条码,新UK地址,翻单4500198654)收缩膜+客
 版收藏指南(移除Lola Young vinyl款,翻单4500198654)+MA 23L warning A组装黑白说明书+MA其它最新配套包装+客版3L(3L warning UPC)彩卡(新UK地址,翻单4500
198654)+1张贴纸(1张含DE/IT警告语+IT环保标, 贴彩卡, 贴纸翻单PO4500198642)+不带电30L B版WEEE说明书;
 2. 验货时间不迟于2026/9/11.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,&lt;(&gt;,&lt;)&gt; 此要求只适用Amazon UK/DE
 /FR/ES/IT,不适用Amazon GPE，Amazon GPE无SSCC label, 但是有对应箱唛，需印刷到外箱 。
</t>
    </r>
    <r>
      <rPr>
        <sz val="12"/>
        <color rgb="FFFF0000"/>
        <rFont val="宋体"/>
        <charset val="134"/>
      </rPr>
      <t xml:space="preserve"> 应最新EU&lt;(&gt;&amp;&lt;)&gt;UK法规PPWR要求，所有外箱上都需要加印如下地址和邮箱，(具体位置：外箱正面右下角)
 ZURU FRANCE. 33 rue Paul Meurice 75020 Paris, France.
 care@zuru.com</t>
    </r>
    <r>
      <rPr>
        <sz val="12"/>
        <color rgb="FF000000"/>
        <rFont val="宋体"/>
        <charset val="134"/>
      </rPr>
      <t xml:space="preserve">
 2.出往UK的产品+包装务必打上UKCA logo ，否则客人会退货且当地会有罚款。Amazon GPE（包含UK/FR/ES/DE/IT）的订单也需满足此要求。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故此请严格把关。Amazon GPE（包含UK/FR/ES/DE/IT）的订单也需满足此要求。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
 9. 无论是工厂自检还是ZURU验货，验货报告中必须有产品6面图(正面/背面/左面/右面/顶部/底部，不带包装);
 10. 按空海运鉴定报告的要求，只要带锂电池出货，都需要加贴UN贴纸；
 11. 所有出往GAS市场(德国/奥地利/瑞士)的电子产品身上需要加字唛，为ZURU FRANCE 地址，需跟包装上的地址一致 (如无电子产品，产品布标有此地址，或产品
 太小无法增加可忽略此信息。如产品无法加字唛，需让对应跟单提供产品贴纸资料);（Amazon GPE的订单也需满足此要求）
 12. 所有出往GAS德国 (瑞士，奥地利)。水弹枪系列必须使用EN71版本（电子和非电子水弹枪系列都需要符合); 护目镜需打日期码, 格式跟ZURU标准格式一样; 枪
 身上增加ZURU FRANCE公司名和地址。使用贴纸和辐射上去都可以。如果有位置，最好增加ZURU Represented by: (此最好翻译德语，如果位置不允许，那么就只增
加ZURU法国和地址)。使用最新的EN71版包装和说明书）。Amazon GPE（包含UK/FR/ES/DE/IT）的订单也需满足此要求。</t>
    </r>
  </si>
  <si>
    <t>4J5MDWVV</t>
  </si>
  <si>
    <t>4500199194-50</t>
  </si>
  <si>
    <t>4500210658-30</t>
  </si>
  <si>
    <t>翻单4500206065</t>
  </si>
  <si>
    <t>CCC贴纸+芯片码+8+年龄贴纸</t>
  </si>
  <si>
    <r>
      <rPr>
        <sz val="12"/>
        <rFont val="宋体"/>
        <charset val="134"/>
      </rPr>
      <t>日期码格式：ZURU</t>
    </r>
    <r>
      <rPr>
        <sz val="12"/>
        <color rgb="FF000000"/>
        <rFont val="宋体"/>
        <charset val="134"/>
      </rPr>
      <t xml:space="preserve">  INC(BVI)  标准格式                                    日期：按实际生产日期
Packaging Info: 物料要求  SKU
2.77869  ：2部分子件构成
物料要求：UPC:193052101938    UPC部分：所有子件UPC要求统一或者覆盖
77869启用客制彩盒+芯片码
子件  A  :  77794-  1个：MA+77794中文警告语+77794中文说明书
子件  B  :  77772-  2个  ：    MA  +77772中文组装说明书+77772中文警告语+8+年龄贴纸
首单  提供8套大货样品
Remark: 2.外箱材质如下：
     1）毛重小于5kg  外箱纸质  K=B  爆破:1000Kpa  边压:4400N/M;
    2）毛重大于5kg  外箱纸质  K636K  爆破:1400Kpa  边压:6300N/M;
   3.  产品/销售包装/外箱日期码要一致，
4.此产品务必满足国内6P  测试标准，因为可能会被市场监督局抽查，如有问题产生，工厂要负全责
   5.  这张订单做出厂价，我司自行安排车辆去贵司提货，贵司需要配合提供出口报关
   6.  此单所有产品启用  芯片码</t>
    </r>
  </si>
  <si>
    <r>
      <rPr>
        <sz val="12"/>
        <rFont val="宋体"/>
        <charset val="134"/>
      </rPr>
      <t>Dona</t>
    </r>
    <r>
      <rPr>
        <sz val="12"/>
        <color rgb="FF000000"/>
        <rFont val="宋体"/>
        <charset val="134"/>
      </rPr>
      <t xml:space="preserve">  Tang</t>
    </r>
  </si>
  <si>
    <t>77869-S001-中文</t>
  </si>
  <si>
    <t>4500210658-40</t>
  </si>
  <si>
    <r>
      <rPr>
        <sz val="12"/>
        <rFont val="宋体"/>
        <charset val="134"/>
      </rPr>
      <t>日期码格式：ZURU</t>
    </r>
    <r>
      <rPr>
        <sz val="12"/>
        <color rgb="FF000000"/>
        <rFont val="宋体"/>
        <charset val="134"/>
      </rPr>
      <t xml:space="preserve">  INC(BVI)  标准格式                                    日期：按实际生产日期
Packaging Info: 物料要求  SKU
1  77794UQ1  UPC:193052090409  MA  PDQ+中文警告语+中文说明书+中文CCC贴纸+芯片码
2.77869  ：2部分子件构成
物料要求：UPC:193052101938    UPC部分：所有子件UPC要求统一或者覆盖
77869启用客制彩盒+芯片码
子件  A  :  77794-  1个：MA+77794中文警告语+77794中文说明书
子件  B  :  77772-  2个  ：    MA  +77772中文组装说明书+77772中文警告语+8+年龄贴纸
首单  提供8套大货样品
Remark: 2.外箱材质如下：
     1）毛重小于5kg  外箱纸质  K=B  爆破:1000Kpa  边压:4400N/M;
    2）毛重大于5kg  外箱纸质  K636K  爆破:1400Kpa  边压:6300N/M;
   3.  产品/销售包装/外箱日期码要一致，
4.此产品务必满足国内6P  测试标准，因为可能会被市场监督局抽查，如有问题产生，工厂要负全责
   5.  这张订单做出厂价，我司自行安排车辆去贵司提货，贵司需要配合提供出口报关
   6.  此单所有产品启用  芯片码</t>
    </r>
  </si>
  <si>
    <t>10002005045-0581</t>
  </si>
  <si>
    <t>4500216601-20</t>
  </si>
  <si>
    <t>10001961330-0581</t>
  </si>
  <si>
    <t>4500217688-10</t>
  </si>
  <si>
    <t>欠条码箱贴纸</t>
  </si>
  <si>
    <t>日期码格式：ZURU  INC(BVI) 标准格式                                    日期：按实际生产日期
Packaging Info: 产品包装客版收缩膜+MA 5L 收藏指南+MA 23L 组装说明+客版PDQ；客版PDQ翻单4500189603；客版收缩膜翻单4500214215
Remark: 1.77772GQ5-S001-MINI BRANDS-VINYL-SERIES 1-CAPSULE,WITH DEMO,25PCS/GRAVITY PDQ,25PCS/PDQ/CTN;
  2.产品包装客版收缩膜+MA 5L 收藏指南+MA 23L 组装说明+客版PDQ；客版PDQ翻单4500189603；客版收缩膜翻单4500214215；收缩膜上的UPC显示193052118721
  4    mini vinyls(1  Target US  Exclusive),1  accessory;
  3. 外箱正唛左上角位置粘贴条码箱贴纸，每箱只贴一张，由ZURU订购。来料贴纸上显示的客户DPCI#  086-02-7610, UPC显示10193052118728;
  4. 产品和包装上均要印刷tracking  code信息，格式为ZURU常规格式；
  5. 需要我司QC验货之后才能安排出货；
  6. 出货方式：    货代自提；
  7. 用新配比生产（不要18号、21号、23号碟片）</t>
  </si>
  <si>
    <t>10001964605-0581</t>
  </si>
  <si>
    <t>4500217690-10</t>
  </si>
  <si>
    <t>COMERCIAL JOMAN S.L.</t>
  </si>
  <si>
    <t>4500218360-20</t>
  </si>
  <si>
    <t>(进口商贴纸翻单4500209512）+SK 1张ZURU通用地址贴纸</t>
  </si>
  <si>
    <t>此单每款需要准备一套大货样</t>
  </si>
  <si>
    <t>日期码格式：ZURU  INC(BVI) 标准格式                                    日期：按实际生产日期
Packaging Info: 
77772SK1：最新MA  3L EAN包装+一张进口商贴纸+MA收藏指南/说明书+【MA 3L SK+一张ZURU通用地址贴纸】；(进口商贴纸翻单4500209512）；
Remark: 1. 此单出西班牙，需满足EU测试标准要求，另外微塑料需符合EU法规;
  2. 标准配比；
  3.根据新电池法规（EU）    2023/1542，所有走欧洲市场的电子产品，都需要增加WEE E通用29L说明书（分带电池走货和不带电池走货两种），如工厂没有此文件，可
以找跟单提供；
  4. 产品及包装需要印CE  logo图标，包装需含有西班牙环保标  和care@zuru.com  邮箱地址，    另外，包装贴纸上面的警告语不可以覆盖西班牙警告语。QC同事请核
查，如有问题需和跟单确认
  5.毛绒玩具需要西班牙语言的洗涤说明"LIMPIAR  SOLO CON UN TRAPO H MEDO"；
  6. 根据欧盟发布《包装和包装废弃物法规》（EU）2025/40（PPWR）新法规：需在PDQ /展示架  以及外箱上增加制造商地址和邮箱地址（见如下内容）
运输包装：外箱上印刷：
ZURU  FRANCE. 33 rue Paul Meurice  75020  Paris, France.
care@zuru.com
PDQ，SK展示架，ENDCAP   （含有二个欧盟地址，法国地址需下划线）
ZURU INC. ROOM 1202, ENERGY PLAZA, NO.92 GRANVILLE ROAD, TSIM SHA TSUI EAST, KOWLOON, HONG KONG. / ZURU UK LIMITED. Ground  Floor, Templeback, 10
Temple  Back, Bristol, United  Kingdom, BS1 6FL. /  ZURU  FRANCE. 33 rue Paul Meurice 75020  Paris, France. /  ZURU  DENMARK APS. OSLO PLADS 2, 2100 K
BENHAVN   ,DENMARK.
care@zuru.com
7 .此单每款需要准备一套大货样，请注意备料；</t>
  </si>
  <si>
    <r>
      <rPr>
        <sz val="12"/>
        <rFont val="宋体"/>
        <charset val="134"/>
      </rPr>
      <t>SMYTHS</t>
    </r>
    <r>
      <rPr>
        <sz val="12"/>
        <color rgb="FF000000"/>
        <rFont val="宋体"/>
        <charset val="134"/>
      </rPr>
      <t xml:space="preserve">  TOYS  EU  HQ  UC</t>
    </r>
  </si>
  <si>
    <t>4500212143-10</t>
  </si>
  <si>
    <t>日期码格式：ZURU  INC(BVI)  标准格式                                    日期：按实际生产日期
Packaging Info: "77772GQ2:  MA  PDQ  (优先多语)+客版5L收缩膜  (翻PO#4500191961)  +客版5L收藏指南(不含Messy唱片,  翻PO#4500211227)+MA  23L组装说明书+MA内袋+C版WEEE声明
(不带电池)走货欧洲通用29L说明书
EAN#4894680051133
*必须移除Messy  Lola  Young  (VINYL-S1-021)  这个唱片,  比例按PM更新的安排,  如未按要求做货被客罚由工厂承担责任*
Remark: Smyths  德国
   1.  请准时出货，推期会有罚款；
   2.  所有产品按符合欧洲标准走货，需要是不含微塑料版本。
   3.  所有电子产品身上需要加字唛，为ZURU  FRANCE  地址  (如无电子产品，产品布标有此地址，或产品太小无法增加可忽略此信息)，新地址ZURU  FRANCE.33  rue  Pa
   ul  Meurice  75020  Paris,  France.
4.  包装/说明书(如有)/产品(如有)上的法国地址信息必须保持一致，不可出现包装上是新地址，说明书上是旧地址；如地址信息不一致请通知跟单更新文件；
   5.  电子产品需增加一张WEEE声明29L通用黑白说明书，区分带电池(D版)和不带电池(C版)出货版本,  如已做带WEEE声明的客版说明书可忽略此要求；如包装备注上
缺少此部分信息，请提醒跟单更新备注。
6.所有出往德国市场有关slime和带香味的都需要出无硼无香版本；
7.订单备注显示有分批的(不同仓库/订单号),  一定要区分客户订单号做货出货，否则会导致罚款    。
8.包装日期码按ZURU格式即可，请确保不迟于外箱日期码，可等于或者早于外箱日期码，必须为法定工作日。
9.做货前请先复核包装条码与订单是否一致再安排，对不上的需与ZURU跟单确认再安排。
10.包装必须含法国回收标(Sorting  Label)，如没有，请提醒跟单提供贴纸资料。</t>
  </si>
  <si>
    <r>
      <rPr>
        <sz val="12"/>
        <rFont val="宋体"/>
        <charset val="134"/>
      </rPr>
      <t>Sherry</t>
    </r>
    <r>
      <rPr>
        <sz val="12"/>
        <color rgb="FF000000"/>
        <rFont val="宋体"/>
        <charset val="134"/>
      </rPr>
      <t xml:space="preserve">  Lu</t>
    </r>
  </si>
  <si>
    <t>FB15044</t>
  </si>
  <si>
    <t>4500214102-30</t>
  </si>
  <si>
    <t>4500216456-30</t>
  </si>
  <si>
    <t>4500213975转PO4500216456</t>
  </si>
  <si>
    <t>4500216456-20</t>
  </si>
  <si>
    <t>JUGUETES  Y  PELUCHES  SANCHIS  S.A.</t>
  </si>
  <si>
    <t>4500215212-20</t>
  </si>
  <si>
    <t>欠进口商贴纸</t>
  </si>
  <si>
    <t>日期码格式：ZURU INC(BVI) 标准格式 日期：按实际生产日期
Packaging Info: 
77772SK1:最新MA 3L EAN包装+一张进口商贴纸+MA收藏指南/说明书+MA 3L SK；
Remark: 1. 此单出西班牙，需满足EU测试标准要求，另外微塑料需符合EU法规；
2. 标准配比。
3.根据新电池法规（EU） 2023/1542，所有走欧洲市场的电子产品，都需要增加WEEE通用29L说明书（分带电池走货 跟不带电池走货两种），如工厂没有此文件，可
以找跟单提供。
4. 产品及包装需要印CE logo图标，包装需含有西班牙环保标 和care@zuru.com 邮箱地址， 另外，包装贴纸上面的警告语不可以覆盖西班牙警告语。QC同事请核
查，如有问题需和跟单确认。
5.纯毛绒玩具需要西班牙语言的洗涤说明；
6.LC条款，延迟出货有罚款，请工厂按时完货并及时验货；</t>
  </si>
  <si>
    <t>ZHUYU(SHENZHEN)TRADING CO.,LTD.</t>
  </si>
  <si>
    <t>4500210658-50</t>
  </si>
  <si>
    <t>8+年龄贴纸+防窜贴 翻单：  4500206065</t>
  </si>
  <si>
    <t>日期码格式：ZURU INC(BVI) 标准格式                  日期：按实际生产日期
Packaging Info: 物料要求 SKU
3 77772GQ1 UPC:193052090065 MA PDQ+中文收藏指南（外挂）+中文组装说明书+8+年龄贴纸+防窜贴 翻单：  4500206065
Remark: 2.外箱材质如下：
  1）毛重小于5kg 外箱纸质 K=B 爆破:1000Kpa 边压:4400N/M;
  2）毛重大于5kg 外箱纸质 K636K 爆破:1400Kpa 边压:6300N/M;
 3. 产品/销售包装/外箱日期码要一致，
4.此产品务必满足国内6P 测试标准，因为可能会被市场监督局抽查，如有问题产生，工厂要负全责
 5. 这张订单做出厂价，我司自行安排车辆去贵司提货，贵司需要配合提供出口报关
 6. 此单所有产品启用 芯片码</t>
  </si>
  <si>
    <t>Dona Tang</t>
  </si>
  <si>
    <t>4500210658-60</t>
  </si>
  <si>
    <t>4500214354-10</t>
  </si>
  <si>
    <t>防盜贴纸(贴纸以及防盜贴纸位置图翻单PO#4500193539)+客制PDQ（PDQ翻单PO#4500197999）+客制B版收藏指南+欠外箱贴纸SSCC  Label</t>
  </si>
  <si>
    <r>
      <rPr>
        <sz val="12"/>
        <color rgb="FF000000"/>
        <rFont val="宋体"/>
        <charset val="134"/>
      </rPr>
      <t xml:space="preserve">日期码格式：ZURU INC(BVI) 标准格式 日期：按实际生产日期 Tracking Code:
Packaging Info: 77869：客制 3L UPC 彩盒包装 (彩盒翻单PO#4500202802)+ 箱唛 + 外箱贴纸SSCC Label
 子件77772: </t>
    </r>
    <r>
      <rPr>
        <sz val="12"/>
        <color rgb="FFFF0000"/>
        <rFont val="宋体"/>
        <charset val="134"/>
      </rPr>
      <t>1L 客版英语无条码收缩膜（翻单PO#4500208581）+B版客制收藏指南-删除两张唱片""Messy &lt;(&gt;&amp;&lt;)&gt; Delicious""（收藏指南翻单PO#4500202802）</t>
    </r>
    <r>
      <rPr>
        <sz val="12"/>
        <color rgb="FF000000"/>
        <rFont val="宋体"/>
        <charset val="134"/>
      </rPr>
      <t xml:space="preserve">
 子件77794: MA英语UPC版本包装（收缩膜和说明书, MA首选1L，如无1L可用多语且含英语的配套多语包装) +1张MA锂电池黑白警语书纸（书纸翻单PO#4500193539）
 2PK 77772( remove Messy &lt;(&gt;&amp;&lt;)&gt; Delicious vinyl minis) + 77794 PLAYSET COMBO IN COLOR BOX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10.所有带纽扣电池的产品都需要在产品包装以及说明书上贴纽扣电池警告语贴纸
 此单需要与NZ PO#4500214355一起合并计算</t>
    </r>
  </si>
  <si>
    <t>4500214354-20</t>
  </si>
  <si>
    <t>4500214354-40</t>
  </si>
  <si>
    <t>日期码格式：ZURU INC(BVI) 标准格式                  日期：按实际生产日期
Packaging Info: 
77772GQ1:MA英语UPC版本包装（收缩膜和说明书, MA首选1L，如无1L可用多语且含英语的配套多语包装) +一张防盜贴纸(贴纸以及防盜贴纸位置图翻单PO#450019353
9)+客制PDQ（PDQ翻单PO#4500197999）+客制B版收藏指南（收藏指南翻单PO#4500202802的77869的子件77772）+箱唛+外箱贴纸SSCC Label
配比信息：4  mini vinyls,1 accessory
Removed了 """"Messy &lt;(&gt;&amp;&lt;)&gt; Delicious""""两张唱片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10.所有带纽扣电池的产品都需要在产品包装以及说明书上贴纽扣电池警告语贴纸
此单需要与NZ PO#4500214355一起合并计算</t>
  </si>
  <si>
    <t>4500214355-10</t>
  </si>
  <si>
    <r>
      <rPr>
        <sz val="12"/>
        <color rgb="FF000000"/>
        <rFont val="宋体"/>
        <charset val="134"/>
      </rPr>
      <t xml:space="preserve">日期码格式：ZURU INC(BVI) 标准格式 日期：按实际生产日期 Tracking Code:
Packaging Info: 77869：客制 3L UPC 彩盒包装 (彩盒翻单PO#4500202802)+ 箱唛 + 外箱贴纸SSCC Label
 子件77772: </t>
    </r>
    <r>
      <rPr>
        <sz val="12"/>
        <color rgb="FFFF0000"/>
        <rFont val="宋体"/>
        <charset val="134"/>
      </rPr>
      <t>1L 客版英语无条码收缩膜（翻单PO#4500208581）+B版客制收藏指南-删除两张唱片""Messy &lt;(&gt;&amp;&lt;)&gt; Delicious""（收藏指南翻单PO#4500202802）</t>
    </r>
    <r>
      <rPr>
        <sz val="12"/>
        <color rgb="FF000000"/>
        <rFont val="宋体"/>
        <charset val="134"/>
      </rPr>
      <t xml:space="preserve">
 子件77794: MA英语UPC版本包装（收缩膜和说明书, MA首选1L，如无1L可用多语且含英语的配套多语包装) +1张MA锂电池黑白警语书纸（书纸翻单PO#4500193539）
 2PK 77772( remove Messy &lt;(&gt;&amp;&lt;)&gt; Delicious vinyl minis) + 77794 PLAYSET COMBO IN COLOR BOX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10.所有带纽扣电池的产品都需要在产品包装以及说明书上贴纽扣电池警告语贴纸
 此单需要与AU PO#4500214354一起合并计算</t>
    </r>
  </si>
  <si>
    <t>4500214355-20</t>
  </si>
  <si>
    <t>4500214355-40</t>
  </si>
  <si>
    <t>日期码格式：ZURU INC(BVI) 标准格式                  日期：按实际生产日期
Packaging Info:
77772GQ1:MA英语UPC版本包装（收缩膜和说明书, MA首选1L，如无1L可用多语且含英语的配套多语包装) +一张防盜贴纸(贴纸以及防盜贴纸位置图翻单PO#450019353
9)+客制PDQ（PDQ翻单PO#4500197999）+客制B版收藏指南（收藏指南翻单PO#4500202802的77869的子件77772）+箱唛+外箱贴纸SSCC Label
配比信息：4  mini vinyls,1 accessory
Removed了 """"Messy &lt;(&gt;&amp;&lt;)&gt; Delicious""""两张唱片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10.所有带纽扣电池的产品都需要在产品包装以及说明书上贴纽扣电池警告语贴纸
此单需要与AU PO#4500214354一起合并计算</t>
  </si>
  <si>
    <t>4500214354-140</t>
  </si>
  <si>
    <t>欠外箱贴纸SSCC  Labe+防盜贴纸(贴纸以及防盜贴纸位置图翻单PO#4500193539)</t>
  </si>
  <si>
    <t>日期码格式：ZURU  INC(BVI) 标准格式                                    日期：按实际生产日期
Packaging Info: 
77772GQ1:MA英语UPC版本包装（收缩膜和说明书, MA首选1L，如无1L可用多语且含英语的配套多语包装) +一张防盜贴纸(贴纸以及防盜贴纸位置图翻单PO#450019353
9)+客制PDQ（PDQ翻单PO#4500197999）+客制B版收藏指南（收藏指南翻单PO#4500202802的77869的子件77772）+箱唛+外箱贴纸SSCC  Label
配比信息：4    mini vinyls,1  accessory
Removed了  """"Messy &lt;(&gt;&amp;&lt;)&gt;  Delicious""""两张唱片
Remark: 1 .请务必按时完货，验货。并且按期送货入货代指定仓库，如果晚了导致船期Delay将会有罚金产生或者客户要求空运，所产生的罚金和空运费由工厂承担。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 .此单出口澳大利亚，请按相应的澳新标准生产；
  6.产品和包装上生产批号的显示格式ZURU标准日期码格式
  7 .外箱信息不可手写，重量和体积需要与实际的一致(不可手写）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10.所有带纽扣电池的产品都需要在产品包装以及说明书上贴纽扣电池警告语贴纸
此单需要与NZ  PO#4500214355一起合并计算</t>
  </si>
  <si>
    <t>4500214354-220</t>
  </si>
  <si>
    <t>日期码格式：ZURU  INC(BVI) 标准格式                                    日期：按实际生产日期
Packaging Info:
77772GQ1:MA英语UPC版本包装（收缩膜和说明书, MA首选1L，如无1L可用多语且含英语的配套多语包装) +一张防盜贴纸(贴纸以及防盜贴纸位置图翻单PO#450019353
9)+客制PDQ（PDQ翻单PO#4500197999）+客制B版收藏指南（收藏指南翻单PO#4500202802的77869的子件77772）+箱唛+外箱贴纸SSCC  Label
配比信息：4    mini vinyls,1  accessory
Removed了  """"Messy &lt;(&gt;&amp;&lt;)&gt;  Delicious""""两张唱片
Remark: 1 .请务必按时完货，验货。并且按期送货入货代指定仓库，如果晚了导致船期Delay将会有罚金产生或者客户要求空运，所产生的罚金和空运费由工厂承担。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 .此单出口澳大利亚，请按相应的澳新标准生产；
  6.产品和包装上生产批号的显示格式ZURU标准日期码格式
  7 .外箱信息不可手写，重量和体积需要与实际的一致(不可手写）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10.所有带纽扣电池的产品都需要在产品包装以及说明书上贴纽扣电池警告语贴纸
此单需要与NZ  PO#4500214355一起合并计算</t>
  </si>
  <si>
    <t>4500214355-130</t>
  </si>
  <si>
    <t>日期码格式：ZURU  INC(BVI) 标准格式                                    日期：按实际生产日期
Packaging Info: 
77772GQ1:MA英语UPC版本包装（收缩膜和说明书, MA首选1L，如无1L可用多语且含英语的配套多语包装) +一张防盜贴纸(贴纸以及防盜贴纸位置图翻单PO#450019353
9)+客制PDQ（PDQ翻单PO#4500197999）+客制B版收藏指南（收藏指南翻单PO#4500202802的77869的子件77772）+箱唛+外箱贴纸SSCC  Label
配比信息：4    mini vinyls,1  accessory
Removed了  """"Messy &lt;(&gt;&amp;&lt;)&gt;  Delicious""""两张唱片
Remark: 1 .请务必按时完货，验货。并且按期送货入货代指定仓库，如果晚了导致船期Delay将会有罚金产生或者客户要求空运，所产生的罚金和空运费由工厂承担。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 .此单出口新西兰，请按相应的澳新标准生产；
  6.产品和包装上生产批号的显示格式ZURU标准日期码格式
  7 .外箱信息不可手写，重量和体积需要与实际的一致(不可手写）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10.所有带纽扣电池的产品都需要在产品包装以及说明书上贴纽扣电池警告语贴纸
此单需要与AU  PO#4500214354一起合并计算</t>
  </si>
  <si>
    <t>4500214355-200</t>
  </si>
  <si>
    <t>4500206613-10</t>
  </si>
  <si>
    <t>由4500206613转po4500213428，数量不变</t>
  </si>
  <si>
    <t>8/17 出货</t>
  </si>
  <si>
    <t>日期码格式：ZURU INC(BVI) 标准格式 日期：按实际生产日期
Packaging Info: 此客人不接受易掉落或者剥落或者可直接触碰的闪粉，可降解也不行，但可以接受符合欧洲微塑料标准的珠光粉或者闪片。
#77772:MA英语UPC版本包装(收缩膜和说明书，MA首选1L、如无1L可用多语且含英语的配套多语包装)+客制PDQ+客制收藏指南+箱唛
Removed "Messy"&lt;(&gt;&amp;&lt;)&gt;"Delicious"两张唱片
Remark: #77772 配比信息:4 mini vinyls,l accessory</t>
  </si>
  <si>
    <t>4500206613-20</t>
  </si>
  <si>
    <t>4500217813-10</t>
  </si>
  <si>
    <t>日期码格式：ZURU  INC(BVI) 标准格式                                    日期：按实际生产日期
Packaging Info: 77772GQ1：MA英语UPC版本包装（收缩膜和说明书, MA首选1L，如无1L可用多语且含英语的配套多语包装) +客制PDQ +客制收藏指南（PDQ与收藏指南翻单PO#450019
7999）+外箱贴纸SSCC  Label
配比信息：4  mini vinyls,1  accessory
Removed了  ""Messy &lt;(&gt;&amp;&lt;)&gt;  Delicious""两张唱片
Remark: 1. 客人要求箱唛不可出现任何手写内容，重量与实际一致且不可手写;
  2. 此单去澳大利亚，请按相应澳新标准生产; 如产品含纽扣电池出货,  包装前面和说明书上需加纽扣电池警语贴纸
  3. 取消使用TARGET新版封箱胶封顶，外箱全部使用普通透明封箱胶纸(客版胶纸如还有库存，可先消耗库存)；
4. 外箱需要贴Target SSCC  LABEL,客供PDF文档，工厂自行订购。请贴在正唛右下角（一箱一张，贴1面正唛右下角,封箱胶纸不能挡住贴纸内容。)；外箱贴纸距离
外箱边缘应在2cm以上。如果正唛无位置可以贴在侧唛；
  5. SSCC  LABEL要求：贴纸内容，条形码印刷不完整/不清晰或有划痕/缺失，贴纸脏污、破损、条形码折叠、翘起、重复或者丢失，以及封箱胶盖住贴纸任何位置的
  ,客户都不能接受，如有发现以上异常，须返工重新贴；
  6. 外箱材质为ZURU标准；
  7. 产品和包装上要有tracking  label信息：格式为Zuru标准格式（可以自行调整具体年月日生产日期,避开节假期日）；
  8. SSCC  Label 尺寸更新为：4x4  inch。</t>
  </si>
  <si>
    <t>4500217813-20</t>
  </si>
  <si>
    <t>4500217813-30</t>
  </si>
  <si>
    <t>CLADELLAS  2000  S.L</t>
  </si>
  <si>
    <t>4500214249-20</t>
  </si>
  <si>
    <t>欠客户进口商贴纸</t>
  </si>
  <si>
    <t>日期码格式：ZURU  INC(BVI)  标准格式                                    日期：按实际生产日期
Packaging Info:
2.77772SK1：最新MA  3L  EAN包装+一张客户进口商贴纸+MA收藏指南/说明书+MA  3L  SK；
备注：77794UQ1的CRD复期是9/28，PO暂开到CRD9/15.
Remark: 1.  此单出西班牙，需满足EU测试标准要求，另外微塑料需符合EU法规；
   2.  标准配比。
3.根据新电池法规（EU）    2023/1542，所有走欧洲市场的电子产品，都需要增加WEEE通用29L说明书（分带电池走货  跟不带电池走货两种），如工厂没有此文件，可
以找跟单提供。
4.  产品及包装需要印CE  logo图标，包装需含有西班牙环保标  和care@zuru.com  邮箱地址，     另外，包装贴纸上面的警告语不可以覆盖西班牙警告语。QC同事请核
查，如有问题需和跟单确认。
5.纯毛绒玩具需要西班牙语言的洗涤说明；
6.LC条款，延迟出货有罚款，请工厂按时完货并及时验货；</t>
  </si>
  <si>
    <t>4500211255-20</t>
  </si>
  <si>
    <t>欠客户进口商+UPC贴纸</t>
  </si>
  <si>
    <r>
      <rPr>
        <sz val="12"/>
        <color rgb="FF000000"/>
        <rFont val="宋体"/>
        <charset val="134"/>
      </rPr>
      <t xml:space="preserve">日期码格式：ZURU INC(BVI) 标准格式 日期：按实际生产日期
Packaging Info: 
</t>
    </r>
    <r>
      <rPr>
        <sz val="12"/>
        <color rgb="FFFF0000"/>
        <rFont val="宋体"/>
        <charset val="134"/>
      </rPr>
      <t>77772GQ2: MA 多语包装+进口商贴纸+UPC贴纸+箱唛, 进口商贴纸/UPC翻单PO 4500200402</t>
    </r>
    <r>
      <rPr>
        <sz val="12"/>
        <color rgb="FF000000"/>
        <rFont val="宋体"/>
        <charset val="134"/>
      </rPr>
      <t xml:space="preserve">
Remark:</t>
    </r>
  </si>
  <si>
    <t>ZURU  LLC</t>
  </si>
  <si>
    <t>4500218250-20</t>
  </si>
  <si>
    <t>77876-AMAZON-S001-MTS</t>
  </si>
  <si>
    <t>空白贴纸图稿和3L铜版纸图稿翻单4500192506。产品需要加UPC贴纸 (新UPC-193052118752)，覆盖原铜板纸上的旧UPC。UPC贴纸资料翻单4500214290。</t>
  </si>
  <si>
    <r>
      <rPr>
        <sz val="12"/>
        <color rgb="FF000000"/>
        <rFont val="宋体"/>
        <charset val="134"/>
      </rPr>
      <t>日期码格式：ZURU INC(BVI) 标准格式 日期：按实际生产日期 Tracking Code:
Packaging Info: #77876: 2PK MA 1L UPC版#77772入PVC桶，用空白贴纸覆盖UPC条码，空白贴纸图稿和3L铜版纸图稿翻单4500192506。</t>
    </r>
    <r>
      <rPr>
        <sz val="12"/>
        <color rgb="FFFF0000"/>
        <rFont val="宋体"/>
        <charset val="134"/>
      </rPr>
      <t>产品需要加UPC贴纸 (新UPC-193052118752)，
覆盖原铜板纸上的旧UPC。UPC贴纸资料翻单4500214290。</t>
    </r>
    <r>
      <rPr>
        <sz val="12"/>
        <color rgb="FF000000"/>
        <rFont val="宋体"/>
        <charset val="134"/>
      </rPr>
      <t xml:space="preserve">
Remark: 1.TikTok US订单。出口美国。外箱尺寸不能超过26*26*26" ，不符合要求的大货，一律不接受。
 2.无第三方验货/测试要求。
 3.日期码使用ZURU标准版本。
 4.如果大货有要求入邮包盒，则对应的邮包盒上面要打上日期码。</t>
    </r>
  </si>
  <si>
    <t>Sawning Xie</t>
  </si>
  <si>
    <t>HGP GROUP LLC.</t>
  </si>
  <si>
    <t>HG10</t>
  </si>
  <si>
    <t>4500218622-10</t>
  </si>
  <si>
    <t>日期码格式：ZURU  INC(BVI) 标准格式                                    日期：按实际生产日期
Packaging Info: MA 优先1L UPC版本包装,出口美国
Remark: 1.ZURU标准格式日期码.
  2.ZURU  QC  验货.</t>
  </si>
  <si>
    <t>Eleven  Zhang</t>
  </si>
  <si>
    <t>4500204105-10</t>
  </si>
  <si>
    <r>
      <rPr>
        <sz val="12"/>
        <color rgb="FF000000"/>
        <rFont val="宋体"/>
        <charset val="134"/>
      </rPr>
      <t xml:space="preserve">日期码格式：ZURU INC(BVI) 标准格式 日期：按实际生产日期 Tracking Code:
Packaging Info: 77772GQ1: MA 3L EAN 收缩膜+1*多语警语折叠贴纸（翻单4500193875）+MA 23L 组装说明书+MA 5L+23L 收藏指南+MA 纸卡+MA 复合袋+MA 3L PDQ+1* </t>
    </r>
    <r>
      <rPr>
        <sz val="12"/>
        <color rgb="FFFF0000"/>
        <rFont val="宋体"/>
        <charset val="134"/>
      </rPr>
      <t>Zuru PDQ
 地址贴纸+1* C版 29L WEEE不带电走货说明书</t>
    </r>
    <r>
      <rPr>
        <sz val="12"/>
        <color rgb="FF000000"/>
        <rFont val="宋体"/>
        <charset val="134"/>
      </rPr>
      <t xml:space="preserve">
Remark: 1.德国内销单，需要通过ZURU 验货结果后才能出货 (工厂需要主动提前同ZURU QC预约验货避免延期出货造成不必要麻烦)；
 2.产品如含有化学品（slime 等），需要无硼无香。需要无微塑料版本。
 3.所有出口欧洲的产品, 法规规定禁止在包装和共公众用的印刷品中使用矿物油中含有的物质, 包装印刷油墨中含有的MOAH/MOSH的质量浓度不能超过1%, 否则出货
 到法国被抽检出现问题, 供应商需要对此负责;
 4. date code: 外箱日期码要晚于或等于产品日期码，不能早于产品的日期码；
 5. 所有出往德国的电子产品身上需要加字唛，为ZURU FRANCE 地址，需跟包装上的地址一致 (如无电子产品，产品布标有此地址，或产品太小无法增加可忽略此信
 息。如产品无法加字唛，需让对应跟单提供产品贴纸资料)
 新地址：ZURU France 33 rue Paul Meurice 75020 Paris, France
 旧地址：ZURU France 1/3, Rue d'Argenteuil 95210 SAINT-GRATIEN, FRANCE
6.所有出往德国订单的电子产品需增加一张最新版本的欧洲通用WEEE声明说明书，区分带电池和不带电池版本, 如已做客版说明书可忽略此要求。
 7.装柜时需要按照款式号码从小到大一款款依次装,避免终端仓库卸货混乱.若一个柜子涉及到几个不同国家内销单,装柜时需要一个国家装完后再装另一个国家的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8.ratio 同MA
 9. 若有特定款有特殊外箱条码要求时,需要明确列出产品款对应的具体外箱条码号码/条码类型 (若无,可以忽略此需求).</t>
    </r>
  </si>
  <si>
    <t>4500210724-20</t>
  </si>
  <si>
    <r>
      <rPr>
        <sz val="12"/>
        <color rgb="FF000000"/>
        <rFont val="宋体"/>
        <charset val="134"/>
      </rPr>
      <t>日期码格式：ZURU INC(BVI) 标准格式 日期：按实际生产日期 Tracking Code:
Packaging Info:
 #77772---留意剔除有问题的唱片
 客版3LPDQ(16装)</t>
    </r>
    <r>
      <rPr>
        <sz val="12"/>
        <color rgb="FFFF0000"/>
        <rFont val="宋体"/>
        <charset val="134"/>
      </rPr>
      <t>(翻单：4500213633)+ 客版3L收缩膜(UPC:193052118721)+MA5L收藏指南+MA23L拼装说明书+MA5L复合袋+DEMO纸卡</t>
    </r>
    <r>
      <rPr>
        <sz val="12"/>
        <color rgb="FF000000"/>
        <rFont val="宋体"/>
        <charset val="134"/>
      </rPr>
      <t xml:space="preserve">
Remark: 1. 此单有箱唛;
 2. UPC贴纸：必须在原来错误的条码上用黑色粗头笔涂黑直至不能扫描，再贴上正确的UPC;
 3. 此单有第三方验货，烦请多备包装物料；
 4. #77794带锂电池出货，使用英法双语电池，外箱需在正唛空白位置贴一张UN3481锂电池标识贴纸(带电话号码)；
</t>
    </r>
    <r>
      <rPr>
        <sz val="12"/>
        <color rgb="FFFF0000"/>
        <rFont val="宋体"/>
        <charset val="134"/>
      </rPr>
      <t xml:space="preserve"> 5. #77772须于2026/9/9安排签样，签样数量：大货球3pcs</t>
    </r>
    <r>
      <rPr>
        <sz val="12"/>
        <color rgb="FF000000"/>
        <rFont val="宋体"/>
        <charset val="134"/>
      </rPr>
      <t xml:space="preserve">
 *********************
 a. 请确保产品符合1999年版本的加拿大环境保护法(CEPA)和2012年禁止某些有毒物质法规的要求。该产品不含任何在加拿大禁用的化学物质，包括但不限于有毒物
 质清单中列出的化学物质，并且在为加拿大沃尔玛生产产品期间没有使用任何禁用化学物质。
 Supplier certify that the products comply with the requirements of Canadian Environmental Protection Act, 1999 (CEPA), Prohibition of Certain To
 xic Substances Regulations, 2012.
 The products do not contain any chemicals that are banned in Canada, including but not limited to those listed in the Toxic Substances List and
 no banned chemicals were used during the manufacturing of product for Walmart Canada.
 附件列表：
 (1) Letter of Guarantee for Canada banned chemicals - (1-5CA)
 b. 请确保产品在均质材料中的汞浓度不超过0.1%（按重量计）。
 Supplier certify that the WAL-MART vendor products does not have a mercury concentration of more than 0.1% by weight in homogeneous material.
 附件列表：
 (1) Letter of Guarantee for Mercury COC
 c. 请确保产品的塑料材料不含以下物质（SOR 2011-17 27B):
 Supplier certify that the plastic materials do not contain the following substances(SOR 2011-17 27B):
 (a) carbon tetrachloride or any substance that contains it;
 (b) methyl alcohol or any substance thay contains &gt;1.0%;
 (c) petroleum distillates or any substance that contains &gt;10% weight to volume of petroleum distillates;
 (d) benzene;
 (e) turpentine or any substance that contains &gt;10% weight to volume of turpentine;
 (f) boric acid or salts of boric acid; or (g) ethyl ether.
 附件列表：
 (1) Letter of Guarantee for WM CA-Other prohibited substances in plastic(less than 3 years)</t>
    </r>
  </si>
  <si>
    <t>4500218444-10</t>
  </si>
  <si>
    <t>日期码格式：ZURU  INC(BVI) 标准格式                                    日期：按实际生产日期
Packaging Info: 1. 包装方式：MA UPC 优先1L 最新包装，出口美国
Remark: 2. 外箱箱唛红色和黑色双色印刷
  3. 产品和包装上印刷tracking  code信息，格式为ZURU常规</t>
  </si>
  <si>
    <t>4500210658-70</t>
  </si>
  <si>
    <t>4500210658-80</t>
  </si>
  <si>
    <t>4500200118-10</t>
  </si>
  <si>
    <t>10001964626-0581</t>
  </si>
  <si>
    <t>4500218119-10</t>
  </si>
  <si>
    <t>日期码格式：ZURU  INC(BVI) 标准格式                                    日期：按实际生产日期
Packaging Info: 产品包装  客版收缩膜+MA 5L 收藏指南+MA 23L 组装说明+客版PDQ
Remark: 1.77772GQ5-S001-MINI BRANDS-VINYL-SERIES 1-CAPSULE,WITH DEMO,25PCS/GRAVITY PDQ,25PCS/PDQ/CTN;
  2.产品包装  客版收缩膜+MA 5L 收藏指南+MA 23L 组装说明+客版PDQ；收缩膜上的UPC显示193052118721
  4    mini vinyls(1  Target US  Exclusive),1  accessory;
  3. 外箱正唛左上角位置粘贴条码箱贴纸，每箱只贴一张，由ZURU订购。来料贴纸上显示的客户DPCI#  086-02-7610, UPC显示10193052118728;
  4. 产品和包装上均要印刷tracking  code信息，格式为ZURU常规格式；
  5. 需要我司QC验货之后才能安排出货；
  6. 出货方式：    货代自提；
  7. 用新配比生产（不要18号、21号、23号碟片）</t>
  </si>
  <si>
    <t>ESAL ENTERPRISES FZE (COMPANY BROAD</t>
  </si>
  <si>
    <t>4500216642-10</t>
  </si>
  <si>
    <t>进口商贴纸，客版收藏指南，  客版AR说明书。</t>
  </si>
  <si>
    <t>取消19款唱片</t>
  </si>
  <si>
    <t>客版AR说明书。</t>
  </si>
  <si>
    <r>
      <rPr>
        <sz val="12"/>
        <color rgb="FF000000"/>
        <rFont val="宋体"/>
        <charset val="134"/>
      </rPr>
      <t xml:space="preserve">日期码格式：ZURU INC(BVI) 标准格式 日期：按实际生产日期 Tracking Code:
Packaging Info: 出KSA, 包装不能有希伯来语（HE)
 77772GQ2: 客版PDQ（含客户进口商信息）, MA 1L收缩膜+1张进口商贴纸，客版收藏指南， 客版AR说明书, 全部AW翻单4500216614。
Remark: 77772GQ2: WITH 4PCS DEMO/PDQ; Remove </t>
    </r>
    <r>
      <rPr>
        <sz val="12"/>
        <color rgb="FFFF0000"/>
        <rFont val="宋体"/>
        <charset val="134"/>
      </rPr>
      <t>19</t>
    </r>
    <r>
      <rPr>
        <sz val="12"/>
        <color rgb="FF000000"/>
        <rFont val="宋体"/>
        <charset val="134"/>
      </rPr>
      <t xml:space="preserve"> mini vinyls(squabble up/Low Down/Brick House/Last Friday Night (T.G.I.F.)/Not Like Us/Woah/Messy/Delicio
 us/Good Luck, Babe!/Pink Pony Club/Super Freak/Man! I Feel Like a Woman!/Thunder/Shake your Groove Thing/Sweet Home Alabama/Beautiful Things/Cal
 ifornia Dreamin’</t>
    </r>
    <r>
      <rPr>
        <sz val="12"/>
        <color rgb="FFFF0000"/>
        <rFont val="宋体"/>
        <charset val="134"/>
      </rPr>
      <t>/Ordinary-Alex Warren/Sugar, We’re Goin Down)</t>
    </r>
  </si>
  <si>
    <t>ESAL ENTERPRISES FZE (INNOTAINMENT</t>
  </si>
  <si>
    <t>4500216640-260</t>
  </si>
  <si>
    <t>进口商贴纸，</t>
  </si>
  <si>
    <r>
      <rPr>
        <sz val="12"/>
        <color rgb="FF000000"/>
        <rFont val="宋体"/>
        <charset val="134"/>
      </rPr>
      <t xml:space="preserve">日期码格式：ZURU INC(BVI) 标准格式 日期：按实际生产日期
Packaging Info: 出QATAR, 包装不能有希伯来语（HE)
77772GQ2: 客版PDQ（含客户进口商信息）, MA 1L收缩膜+1张进口商贴纸，客版收藏指南， 客版AR说明书，全部翻单4500216614
Remark: 
77772GQ2: WITH 4PCS DEMO/PDQ; </t>
    </r>
    <r>
      <rPr>
        <sz val="12"/>
        <color rgb="FFFF0000"/>
        <rFont val="宋体"/>
        <charset val="134"/>
      </rPr>
      <t>Remove 19</t>
    </r>
    <r>
      <rPr>
        <sz val="12"/>
        <color rgb="FF000000"/>
        <rFont val="宋体"/>
        <charset val="134"/>
      </rPr>
      <t xml:space="preserve"> mini vinyls(squabble up/Low Down/Brick House/Last Friday Night (T.G.I.F.)/Not Like Us/Woah/Messy/Delicio
us/Good Luck, Babe!/Pink Pony Club/Super Freak/Man! I Feel Like a Woman!/Thunder/Shake your Groove Thing/Sweet Home Alabama/Beautiful Things/Cal
ifornia Dreamin’</t>
    </r>
    <r>
      <rPr>
        <sz val="12"/>
        <color rgb="FFFF0000"/>
        <rFont val="宋体"/>
        <charset val="134"/>
      </rPr>
      <t>/Ordinary-Alex Warren/Sugar, We’re Goin Down)</t>
    </r>
  </si>
  <si>
    <t>4500216614-260</t>
  </si>
  <si>
    <t>欠进口商贴纸，客版收藏指南，  客版AR说明书。</t>
  </si>
  <si>
    <r>
      <rPr>
        <sz val="12"/>
        <color rgb="FF000000"/>
        <rFont val="宋体"/>
        <charset val="134"/>
      </rPr>
      <t xml:space="preserve">日期码格式：ZURU INC(BVI) 标准格式 日期：按实际生产日期
Packaging Info: 出UAE, 包装不能有希伯来语（HE)
需寄出两大货版到SZ办公室
77772GQ2: 客版PDQ（含客户进口商信息）, MA 1L收缩膜+1张进口商贴纸，客版收藏指南， 客版AR说明书
Remark: 
77772GQ2: WITH 4PCS DEMO/PDQ; </t>
    </r>
    <r>
      <rPr>
        <sz val="12"/>
        <color rgb="FFFF0000"/>
        <rFont val="宋体"/>
        <charset val="134"/>
      </rPr>
      <t>Remove 19</t>
    </r>
    <r>
      <rPr>
        <sz val="12"/>
        <color rgb="FF000000"/>
        <rFont val="宋体"/>
        <charset val="134"/>
      </rPr>
      <t xml:space="preserve"> mini vinyls(squabble up/Low Down/Brick House/Last Friday Night (T.G.I.F.)/Not Like Us/Woah/Messy/Delicio
us/Good Luck, Babe!/Pink Pony Club/Super Freak/Man! I Feel Like a Woman!/Thunder/Shake your Groove Thing/Sweet Home Alabama/Beautiful Things/Cal
ifornia Dreamin’</t>
    </r>
    <r>
      <rPr>
        <sz val="12"/>
        <color rgb="FFFF0000"/>
        <rFont val="宋体"/>
        <charset val="134"/>
      </rPr>
      <t>/Ordinary-Alex Warren/Sugar, We’re Goin Down)</t>
    </r>
  </si>
  <si>
    <t>10001964637-0581</t>
  </si>
  <si>
    <t>4500218121-10</t>
  </si>
  <si>
    <t>日期码格式：ZURU  INC(BVI) 标准格式                                    日期：按实际生产日期
Packaging Info: 产品包装  客版收缩膜+MA 5L 收藏指南+MA 23L 组装说明+客版PDQ；客版收缩膜和客版PDQ翻单4500218119
Remark: 此单为空运订单
1.77772GQ5-S001-MINI BRANDS-VINYL-SERIES 1-CAPSULE,WITH DEMO,25PCS/GRAVITY PDQ,25PCS/PDQ/CTN;
  2.产品包装  客版收缩膜+MA 5L 收藏指南+MA 23L 组装说明+客版PDQ；客版收缩膜和客版PDQ翻单4500218119；收缩膜上的UPC显示193052118721
  4    mini vinyls(1  Target US  Exclusive),1  accessory;
  3. 外箱正唛左上角位置粘贴条码箱贴纸，每箱只贴一张，由ZURU订购。来料贴纸上显示的客户DPCI#  086-02-7610, UPC显示10193052118728;
  4. 产品和包装上均要印刷tracking  code信息，格式为ZURU常规格式；
  5. 需要我司QC验货之后才能安排出货；
  6. 出货方式：    货代自提；
  7. 用新配比生产（不要18号、21号、23号碟片）</t>
  </si>
  <si>
    <t>10001964627-0581</t>
  </si>
  <si>
    <t>4500218122-10</t>
  </si>
  <si>
    <t>NASA  PANAMA</t>
  </si>
  <si>
    <t>Warehouse  1</t>
  </si>
  <si>
    <t>4500216877-10</t>
  </si>
  <si>
    <t>欠UPC贴纸</t>
  </si>
  <si>
    <t>日期码格式：ZURU  INC(BVI)  标准格式                                    日期：按实际生产日期
Packaging Info: 1.优先多语  MA  UPC或者3L/5L  MA  EAN  包装
2.请确保包装上的条形码是UPC，如果是babyUPC、需要用mother  UPC覆盖，如有不一致，请及时提出。谢谢!
3  .MA  PDQ  优先用3L,MA  只有1L版本的情况下就用1L  PDQ
77772GQ2  MA多语EAN包装+UPC贴纸+MA多语收藏指南+MA  多语  PDQ+箱唛
Remark: 77772GQ2  N/A  but  with  electric  circuit(EU/UK  WEEE  IM  is  required)  4    mini  vinyls,1  accessory</t>
  </si>
  <si>
    <t>Aimee  Huang</t>
  </si>
  <si>
    <t>Wrehouse  6</t>
  </si>
  <si>
    <t>4500216898-60</t>
  </si>
  <si>
    <t>日期码格式：ZURU  INC(BVI)  标准格式                                    日期：按实际生产日期
Packaging Info: 1.优先多语  MA  UPC或者3L/5L  MA  EAN  包装
2.请确保包装上的条形码是UPC，如果是babyUPC、需要用mother  UPC覆盖，如有不一致，请及时提出。谢谢!
3  .MA  PDQ  优先用3L,MA  只有1L版本的情况下就用1L  PDQ
77772GQ2 MA多语EAN包装+UPC贴纸+MA多语收藏指南+MA  多语  PDQ+箱唛
Remark:
77772GQ2  N/A  but  with  electric  circuit(EU/UK  WEEE  IM  is  required)  4    mini  vinyls,1  accessory</t>
  </si>
  <si>
    <t>SMYTHS  TOYS  EU  HQ  UNLIMITED  COMPANY</t>
  </si>
  <si>
    <t>4500215969-10</t>
  </si>
  <si>
    <t>客版5L收缩膜  (翻PO#4500191961)  +客版5L收藏指南(翻PO#4500211227)</t>
  </si>
  <si>
    <t>日期码格式：ZURU  INC(BVI)  标准格式                                    日期：按实际生产日期
Packaging Info: "77772GQ2:  MA  PDQ  (优先多语)+客版5L收缩膜  (翻PO#4500191961)  +客版5L收藏指南(翻PO#4500211227)+MA  23L组装说明书+MA内袋
EAN#4894680051133
*必须移除Messy  Lola  Young  (VINYL-S1-021)  这个唱片,  比例按PM更新的安排,  如未按要求做货被客罚由工厂承担责任*
如达不到包材MOQ-
77772GQ2:  MA  PDQ  (优先多语)+MA  3L-EAN收缩膜+1张含德语callout/德意荷警语/法国sorting  label贴纸(翻单PO#4500196046)+客版5L收藏指南(不含Messy唱片,
翻PO#4500211227)
EAN#4894680051133
*必须移除Messy  Lola  Young  (VINYL-S1-021)  这个唱片,  比例按PM更新的安排,  如未按要求做货被客罚由工厂承担责任*"
Remark: "Smyths  法国
   1.  请准时出货，推期会有罚款；
   2.  所有产品按符合欧洲标准走货，需要是不含微塑料版本。
   3.  电子产品需增加一张WEEE声明29L通用黑白说明书，区分带电池(D版)和不带电池(C版)出货版本,  如已做带WEEE声明的客版说明书可忽略此要求；如包装备注上
缺少此部分信息，请提醒跟单更新备注。
   4.  出口法国的产品,  法规规定禁止在包装和共公众用的印刷品中使用矿物油中含有的物质,  包装印刷油墨中含有的MOAH/MOSH的质量浓度不能超过0.1%,  否则出货
到法国被抽检出现问题,  供应商需要对此负责;
5.订单备注显示有分批的(不同仓库/订单号),  一定要区分客户订单号做货出货，否则会导致罚款    。
6.包装日期码按ZURU格式即可，请确保不迟于外箱日期码，可等于或者早于外箱日期码，必须为法定工作日。
7.做货前请先复核包装条码与订单是否一致再安排，对不上的需与ZURU跟单确认再安排。
8.包装必须含法国回收标(Sorting  Label)，如没有，请提醒跟单提供贴纸资料。"</t>
  </si>
  <si>
    <t>4500215969-40</t>
  </si>
  <si>
    <t>COL-46-26-FALL</t>
  </si>
  <si>
    <t>4500216739-60</t>
  </si>
  <si>
    <t>欠进口商贴纸+UPC贴纸</t>
  </si>
  <si>
    <t>整单包装/产品/外箱指定日期码：DG20260918</t>
  </si>
  <si>
    <t>日期码格式：DG20260918                  日期：
Packaging Info: 77685GQ2/77555GQ2/77773GQ2/77843GQ2/77711GQ2/77772GQ2/77794UQ1/9296/77711SK:MA 多语包装+进口商贴纸+UPC贴纸+箱唛
Remark: 整单包装/产品/外箱指定日期码：DG20260918</t>
  </si>
  <si>
    <t>4500216502-70</t>
  </si>
  <si>
    <t>日期码格式：ZURU INC(BVI) 标准格式                  日期：按实际生产日期
Packaging Info:
77772GQ2: MA PDQ (优先多语)+MA 3L-EAN收缩膜+1张含德语callout/德意荷警语/法国sorting label贴纸(翻单PO#4500196046)+客版5L收藏指南(不含Messy唱片,
翻PO#4500211227)+C版WEEE声明(不带电池)走货欧洲通用29L说明书
EAN#4894680051133
*必须移除Messy Lola Young (VINYL-S1-021) 这个唱片, 比例按PM更新的安排, 如未按要求做货被客罚由工厂承担责任*"
Remark: Smyths 德国
 1. 请准时出货，推期会有罚款；
 2. 所有产品按符合欧洲标准走货，需要是不含微塑料版本。
 3. 所有电子产品身上需要加字唛，为ZURU FRANCE 地址 (如无电子产品，产品布标有此地址，或产品太小无法增加可忽略此信息)，新地址ZURU FRANCE.33 rue Pa
 ul Meurice 75020 Paris, France.
 4. 包装/说明书(如有)/产品(如有)上的法国地址信息必须保持一致，不可出现包装上是新地址，说明书上是旧地址；如地址信息不一致请通知跟单更新文件；
 5. 电子产品需增加一张WEEE声明29L通用黑白说明书，区分带电池(D版)和不带电池(C版)出货版本, 如已做带WEEE声明的客版说明书可忽略此要求；如包装备注上
缺少此部分信息，请提醒跟单更新备注。
6.所有出往德国市场有关slime和带香味的都需要出无硼无香版本；
7.订单备注显示有分批的(不同仓库/订单号), 一定要区分客户订单号做货出货，否则会导致罚款  。
8.包装日期码按ZURU格式即可，请确保不迟于外箱日期码，可等于或者早于外箱日期码，必须为法定工作日。
9.做货前请先复核包装条码与订单是否一致再安排，对不上的需与ZURU跟单确认再安排。
10.包装必须含法国回收标(Sorting Label)，如没有，请提醒跟单提供贴纸资料。</t>
  </si>
  <si>
    <t>无系统货号</t>
  </si>
  <si>
    <t>4500217667-10</t>
  </si>
  <si>
    <t>日期码格式：ZURU  INC(BVI) 标准格式                                    日期：按实际生产日期
Packaging Info: 77772GQ2: MA PDQ  (优先多语)+客版5L收缩膜  (翻PO#4500191961) +客版5L收藏指南(翻PO#4500211227)+MA 23L组装说明书+MA内袋
EAN#4894680051133
*必须移除Messy Lola  Young  (VINYL-S1-021) 这个唱片, 比例按PM更新的安排, 如未按要求做货被客罚由工厂承担责任*
Remark: Smyths 法国
  1. 请准时出货，推期会有罚款；
  2. 所有产品按符合欧洲标准走货，需要是不含微塑料版本。
  3.  电子产品需增加一张WEEE声明29L通用黑白说明书，区分带电池(D版)和不带电池(C版)出货版本, 如已做带WEEE声明的客版说明书可忽略此要求；如包装备注上
缺少此部分信息，请提醒跟单更新备注。
  4.  出口法国的产品, 法规规定禁止在包装和共公众用的印刷品中使用矿物油中含有的物质,  包装印刷油墨中含有的MOAH/MOSH的质量浓度不能超过0.1%,否则出货
到法国被抽检出现问题,  供应商需要对此负责;
  5 .订单备注显示有分批的(不同仓库/订单号), 一定要区分客户订单号做货出货，否则会导致罚款    。
6.包装日期码按ZURU格式即可，请确保不迟于外箱日期码，可等于或者早于外箱日期码，必须为法定工作日。
  7.做货前请先复核包装条码与订单是否一致再安排，对不上的需与ZURU跟单确认再安排。
  8.包装必须含法国回收标(Sorting  Label)，如没有，请提醒跟单提供贴纸资料。</t>
  </si>
  <si>
    <t>4500217667-20</t>
  </si>
  <si>
    <t>4500217997-30</t>
  </si>
  <si>
    <t>7/30确认</t>
  </si>
  <si>
    <t>C版WEEE声明
(不带电池)走货欧洲通用29L说明书</t>
  </si>
  <si>
    <t>日期码格式：ZURU  INC(BVI) 标准格式                                    日期：按实际生产日期
Packaging Info: 
"77772GQ2: MA PDQ  (优先多语)+客版5L收缩膜  (翻PO#4500191961) +客版5L收藏指南(不含Messy唱片, 翻PO#4500211227)+MA 23L组装说明书+MA内袋+C版WEEE声明
(不带电池)走货欧洲通用29L说明书
EAN#4894680051133
*必须移除Messy Lola  Young  (VINYL-S1-021) 这个唱片, 比例按PM更新的安排, 如未按要求做货被客罚由工厂承担责任*
UPC#193052099815"
Remark: Smyths 德国
1. 请准时出货，推期会有罚款；
2. 所有产品按符合欧洲标准走货，需要是不含微塑料版本。
  3. 所有电子产品身上需要加字唛，为ZURU FRANCE 地址  (如无电子产品，产品布标有此地址，或产品太小无法增加可忽略此信息)，新地址ZURU  FRANCE.33 rue Pa
  ul Meurice  75020  Paris, France.
  4. 包装/说明书(如有)/产品(如有)上的法国地址信息必须保持一致，不可出现包装上是新地址，说明书上是旧地址；如地址信息不一致请通知跟单更新文件；
  5.  电子产品需增加一张WEEE声明29L通用黑白说明书，区分带电池(D版)和不带电池(C版)出货版本, 如已做带WEEE声明的客版说明书可忽略此要求；如包装备注上
缺少此部分信息，请提醒跟单更新备注。
  6.所有出往德国市场有关slime和带香味的都需要出无硼无香版本；
  7 .订单备注显示有分批的(不同仓库/订单号), 一定要区分客户订单号做货出货，否则会导致罚款    。
  8.包装日期码按ZURU格式即可，请确保不迟于外箱日期码，可等于或者早于外箱日期码，必须为法定工作日。
  9.做货前请先复核包装条码与订单是否一致再安排，对不上的需与ZURU跟单确认再安排。
  10.包装必须含法国回收标(Sorting  Label)，如没有，请提醒跟单提供贴纸资料。</t>
  </si>
  <si>
    <t>4500217997-40</t>
  </si>
  <si>
    <t>日期码格式：ZURU  INC(BVI) 标准格式                                    日期：按实际生产日期
Packaging Info:
"77772GQ2: MA PDQ  (优先多语)+客版5L收缩膜  (翻PO#4500191961) +客版5L收藏指南(不含Messy唱片, 翻PO#4500211227)+MA 23L组装说明书+MA内袋+C版WEEE声明
(不带电池)走货欧洲通用29L说明书
EAN#4894680051133
*必须移除Messy Lola  Young  (VINYL-S1-021) 这个唱片, 比例按PM更新的安排, 如未按要求做货被客罚由工厂承担责任*
Remark: Smyths 德国
1. 请准时出货，推期会有罚款；
2. 所有产品按符合欧洲标准走货，需要是不含微塑料版本。
  3. 所有电子产品身上需要加字唛，为ZURU FRANCE 地址  (如无电子产品，产品布标有此地址，或产品太小无法增加可忽略此信息)，新地址ZURU  FRANCE.33 rue Pa
  ul Meurice  75020  Paris, France.
  4. 包装/说明书(如有)/产品(如有)上的法国地址信息必须保持一致，不可出现包装上是新地址，说明书上是旧地址；如地址信息不一致请通知跟单更新文件；
  5.  电子产品需增加一张WEEE声明29L通用黑白说明书，区分带电池(D版)和不带电池(C版)出货版本, 如已做带WEEE声明的客版说明书可忽略此要求；如包装备注上
缺少此部分信息，请提醒跟单更新备注。
  6.所有出往德国市场有关slime和带香味的都需要出无硼无香版本；
  7 .订单备注显示有分批的(不同仓库/订单号), 一定要区分客户订单号做货出货，否则会导致罚款    。
  8.包装日期码按ZURU格式即可，请确保不迟于外箱日期码，可等于或者早于外箱日期码，必须为法定工作日。
  9.做货前请先复核包装条码与订单是否一致再安排，对不上的需与ZURU跟单确认再安排。
  10.包装必须含法国回收标(Sorting  Label)，如没有，请提醒跟单提供贴纸资料。</t>
  </si>
  <si>
    <t>4500218302-20</t>
  </si>
  <si>
    <t>4500216502-90行转空运</t>
  </si>
  <si>
    <t>日期码格式：ZURU  INC(BVI)  标准格式                                    日期：按实际生产日期
Packaging Info: 此票出空运，是从4500216502拆单出来的，请勿重复安排大货生产，谢谢
77772GQ2:  MA  PDQ  (优先多语)+MA  3L-EAN收缩膜+1张含德语callout/德意荷警语/法国sorting  label贴纸(翻单PO#4500196046)+客版5L收藏指南(不含Messy唱片,
翻PO#4500211227)+C版WEEE声明(不带电池)走货欧洲通用29L说明书
EAN#4894680051133
*必须移除Messy  Lola  Young  (VINYL-S1-021)  这个唱片,  比例按PM更新的安排,  如未按要求做货被客罚由工厂承担责任*"
Remark: Smyths  德国
1.  请准时出货，推期会有罚款；
2.  所有产品按符合欧洲标准走货，需要是不含微塑料版本。
   3.  所有电子产品身上需要加字唛，为ZURU  FRANCE  地址  (如无电子产品，产品布标有此地址，或产品太小无法增加可忽略此信息)，新地址ZURU  FRANCE.33  rue  Pa
   ul  Meurice  75020  Paris,  France.
   4.  包装/说明书(如有)/产品(如有)上的法国地址信息必须保持一致，不可出现包装上是新地址，说明书上是旧地址；如地址信息不一致请通知跟单更新文件；
   5.  电子产品需增加一张WEEE声明29L通用黑白说明书，区分带电池(D版)和不带电池(C版)出货版本,  如已做带WEEE声明的客版说明书可忽略此要求；如包装备注上
缺少此部分信息，请提醒跟单更新备注。
6.所有出往德国市场有关slime和带香味的都需要出无硼无香版本；
7.订单备注显示有分批的(不同仓库/订单号),  一定要区分客户订单号做货出货，否则会导致罚款    。
8.包装日期码按ZURU格式即可，请确保不迟于外箱日期码，可等于或者早于外箱日期码，必须为法定工作日。
9.做货前请先复核包装条码与订单是否一致再安排，对不上的需与ZURU跟单确认再安排。
10.包装必须含法国回收标(Sorting  Label)，如没有，请提醒跟单提供贴纸资料。</t>
  </si>
  <si>
    <t>AG260207-HK</t>
  </si>
  <si>
    <t>4500218195-10</t>
  </si>
  <si>
    <t>欠(1张客供警语贴纸贴球底部，1张警语贴纸贴收藏指南， 拆件说明书也需贴一张客供警语贴纸（拆件说明书贴纸和收藏指南的贴纸共用）</t>
  </si>
  <si>
    <t>日期码格式：ZURU INC(BVI) 标准格式 日期：按实际生产日期
Packaging Info: 此单出HK
77772GQ1: MA 1L PKG , 1L PDQ , MA 收藏指南，MA 说明书 +HK 客供警语贴纸
(1张客供警语贴纸贴球底部，1张警语贴纸贴收藏指南， 拆件说明书也需贴一张客供警语贴纸（拆件说明书贴纸和收藏指南的贴纸共用），具体参考HK客供贴纸位置
图
Remark:</t>
  </si>
  <si>
    <r>
      <rPr>
        <sz val="12"/>
        <color rgb="FF000000"/>
        <rFont val="宋体"/>
        <charset val="134"/>
      </rPr>
      <t>WHITCOULLS</t>
    </r>
    <r>
      <rPr>
        <sz val="11"/>
        <color rgb="FF000000"/>
        <rFont val="宋体"/>
        <charset val="134"/>
        <scheme val="minor"/>
      </rPr>
      <t xml:space="preserve">  </t>
    </r>
    <r>
      <rPr>
        <sz val="11"/>
        <color rgb="FF000000"/>
        <rFont val="宋体"/>
        <charset val="134"/>
        <scheme val="minor"/>
      </rPr>
      <t>2011</t>
    </r>
    <r>
      <rPr>
        <sz val="11"/>
        <color rgb="FF000000"/>
        <rFont val="宋体"/>
        <charset val="134"/>
        <scheme val="minor"/>
      </rPr>
      <t xml:space="preserve">  </t>
    </r>
    <r>
      <rPr>
        <sz val="11"/>
        <color rgb="FF000000"/>
        <rFont val="宋体"/>
        <charset val="134"/>
        <scheme val="minor"/>
      </rPr>
      <t>LIMITED</t>
    </r>
  </si>
  <si>
    <t>4500218858</t>
  </si>
  <si>
    <t>4500218858-20</t>
  </si>
  <si>
    <t>欠可移动材质的价格贴纸（价格贴纸要切易撕线）</t>
  </si>
  <si>
    <r>
      <rPr>
        <sz val="12"/>
        <color rgb="FF000000"/>
        <rFont val="宋体"/>
        <charset val="134"/>
      </rPr>
      <t xml:space="preserve">日期码格式：ZURU INC(BVI) 标准格式 日期：按实际生产日期
Packaging Info: 1. MA UPC英语包装（优先1L英语版本,或者3L/L含英语即可）+可移动材质的价格贴纸（价格贴纸要切易撕线）
</t>
    </r>
    <r>
      <rPr>
        <sz val="12"/>
        <color rgb="FFFF0000"/>
        <rFont val="宋体"/>
        <charset val="134"/>
      </rPr>
      <t>2. 77772GQ1：4 mini vinyls(except Messy &lt;(&gt;&amp;&lt;)&gt; Delicious vinyl minis),1 accessory</t>
    </r>
    <r>
      <rPr>
        <sz val="12"/>
        <color rgb="FF000000"/>
        <rFont val="宋体"/>
        <charset val="134"/>
      </rPr>
      <t xml:space="preserve">
Remark: 1.此单出新西兰
2.CRD日期基于我司 QC完成验货;
3.请确保发货100%的订单数量/ sku;
4.箱唛请按邮件确认的文档
5.我司验货日期(请联系Mia Yu Mia.yu@zuru.com提前预定验货日期)，预约验货至少需在完货日期前一周申请
6. 产品/彩盒/外箱上的batch code请保持一致
外箱日期码格式："ZURU+实际生产地址缩写+生产日期+CHINA”</t>
    </r>
  </si>
  <si>
    <r>
      <rPr>
        <sz val="12"/>
        <color rgb="FF000000"/>
        <rFont val="宋体"/>
        <charset val="134"/>
      </rPr>
      <t>Jess</t>
    </r>
    <r>
      <rPr>
        <sz val="11"/>
        <color rgb="FF000000"/>
        <rFont val="宋体"/>
        <charset val="134"/>
        <scheme val="minor"/>
      </rPr>
      <t xml:space="preserve">  </t>
    </r>
    <r>
      <rPr>
        <sz val="11"/>
        <color rgb="FF000000"/>
        <rFont val="宋体"/>
        <charset val="134"/>
        <scheme val="minor"/>
      </rPr>
      <t>Huang</t>
    </r>
  </si>
  <si>
    <r>
      <rPr>
        <sz val="12"/>
        <color rgb="FF000000"/>
        <rFont val="宋体"/>
        <charset val="134"/>
      </rPr>
      <t>DISTRIBUIDORA</t>
    </r>
    <r>
      <rPr>
        <sz val="11"/>
        <color rgb="FF000000"/>
        <rFont val="宋体"/>
        <charset val="134"/>
        <scheme val="minor"/>
      </rPr>
      <t xml:space="preserve">  </t>
    </r>
    <r>
      <rPr>
        <sz val="11"/>
        <color rgb="FF000000"/>
        <rFont val="宋体"/>
        <charset val="134"/>
        <scheme val="minor"/>
      </rPr>
      <t>JUGUETRON</t>
    </r>
    <r>
      <rPr>
        <sz val="11"/>
        <color rgb="FF000000"/>
        <rFont val="宋体"/>
        <charset val="134"/>
        <scheme val="minor"/>
      </rPr>
      <t xml:space="preserve">  </t>
    </r>
    <r>
      <rPr>
        <sz val="11"/>
        <color rgb="FF000000"/>
        <rFont val="宋体"/>
        <charset val="134"/>
        <scheme val="minor"/>
      </rPr>
      <t>S.A.</t>
    </r>
    <r>
      <rPr>
        <sz val="11"/>
        <color rgb="FF000000"/>
        <rFont val="宋体"/>
        <charset val="134"/>
        <scheme val="minor"/>
      </rPr>
      <t xml:space="preserve">  </t>
    </r>
    <r>
      <rPr>
        <sz val="11"/>
        <color rgb="FF000000"/>
        <rFont val="宋体"/>
        <charset val="134"/>
        <scheme val="minor"/>
      </rPr>
      <t>DE</t>
    </r>
    <r>
      <rPr>
        <sz val="11"/>
        <color rgb="FF000000"/>
        <rFont val="宋体"/>
        <charset val="134"/>
        <scheme val="minor"/>
      </rPr>
      <t xml:space="preserve">  </t>
    </r>
    <r>
      <rPr>
        <sz val="11"/>
        <color rgb="FF000000"/>
        <rFont val="宋体"/>
        <charset val="134"/>
        <scheme val="minor"/>
      </rPr>
      <t>C.V</t>
    </r>
  </si>
  <si>
    <t>4500218890</t>
  </si>
  <si>
    <t>4500218890-50</t>
  </si>
  <si>
    <t>此单有第三方监柜，</t>
  </si>
  <si>
    <t>欠进口商贴纸+UPC贴纸+外箱贴纸</t>
  </si>
  <si>
    <t>日期码格式：ZURU  INC(BVI)  标准格式                                    日期：按实际生产日期
Packaging Info:
77772GQ2:MA  多语包装+进口商贴纸+UPC贴纸+外箱贴纸+箱唛
Remark: 1.此单有第三方监柜，需要每款多备1套完整物料
2.外箱贴纸只要一张，位置是正唛和侧唛的交接处，外箱贴纸上的客户PO号码是客户系统自动生成，会跟45单号的客户PO不一致，确认没问题
3.订单包装上的条码必须是UPC，后续提供的贴纸文档将进口商贴纸和UPC贴纸合并为一张，则可以忽略UPC文档的需求</t>
  </si>
  <si>
    <r>
      <rPr>
        <sz val="12"/>
        <color rgb="FF000000"/>
        <rFont val="宋体"/>
        <charset val="134"/>
      </rPr>
      <t>Ava</t>
    </r>
    <r>
      <rPr>
        <sz val="11"/>
        <color rgb="FF000000"/>
        <rFont val="宋体"/>
        <charset val="134"/>
        <scheme val="minor"/>
      </rPr>
      <t xml:space="preserve">  </t>
    </r>
    <r>
      <rPr>
        <sz val="11"/>
        <color rgb="FF000000"/>
        <rFont val="宋体"/>
        <charset val="134"/>
        <scheme val="minor"/>
      </rPr>
      <t>Liang</t>
    </r>
  </si>
  <si>
    <t>4500218216-10</t>
  </si>
  <si>
    <t>7/31确认</t>
  </si>
  <si>
    <t>多语警语折叠贴纸（翻单4500193875）+1*  Zuru  PDQ地址贴纸</t>
  </si>
  <si>
    <t>C版  29L  WEEE不带电走货说明书</t>
  </si>
  <si>
    <t>日期码格式：ZURU  INC(BVI)  标准格式                                    日期：按实际生产日期
Packaging Info: 【行项目10】
77772GQ1：MA  3L  EAN  收缩膜+1*多语警语折叠贴纸（翻单4500193875）+MA  23L  组装说明书+MA  5L+23L  收藏指南+MA  纸卡+MA  复合袋+MA  3L  PDQ+1*  Zuru  PDQ
地址贴纸+1*  C版  29L  WEEE不带电走货说明书
Remark: 1.德国内销单，需要通过ZURU  验货结果后才能出货  (工厂需要主动提前同ZURU  QC预约验货避免延期出货造成不必要麻烦)；
2.产品如含有硅藻泥干燥剂，需要另外加一张14L干燥剂说明书 。产品如含有化学品（slime  等），需要无硼无香。需要无微塑料版本。
3.所有出口欧洲的产品,  法规规定禁止在包装和共公众用的印刷品中使用矿物油中含有的物质,  包装印刷油墨中含有的MOAH/MOSH的质量浓度不能超过1%,  否则出货
到法国被抽检出现问题,  供应商需要对此负责;
   4.  date  code:  外箱日期码要晚于或等于产品日期码，不能早于产品的日期码；
   5.  所有出往德国的电子产品身上需要加字唛，为ZURU  FRANCE  地址，需跟包装上的地址一致  (如无电子产品，产品布标有此地址，或产品太小无法增加可忽略此信
息。如产品无法加字唛，需让对应跟单提供产品贴纸资料)
新地址：ZURU  France  33  rue  Paul  Meurice  75020  Paris,  France
旧地址：ZURU  France  1/3,  Rue  d'Argenteuil  95210  SAINT-GRATIEN,  FRANCE
6.所有出往德国订单的电子产品需增加一张最新版本的欧洲通用WEEE声明说明书，区分带电池和不带电池版本,  如已做客版说明书可忽略此要求。
7.装柜时需要按照款式号码从小到大一款款依次装,避免终端仓库卸货混乱.若一个柜子涉及到几个不同国家内销单,装柜时需要一个国家装完后再装另一个国家的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8.ratio  同MA
9.  若有特定款有特殊外箱条码要求时,需要明确列出产品款对应的具体外箱条码号码/条码类型  (若无,可以忽略此需求).</t>
  </si>
  <si>
    <t>4500217585-50</t>
  </si>
  <si>
    <t>进口商贴纸/条码贴纸翻单PO4500208189</t>
  </si>
  <si>
    <t>日期码格式：ZURU  INC(BVI) 标准格式                                    日期：按实际生产日期
Packaging Info: 
77772GQ1/77794UQ1 MA  多语包装+进口商贴纸+条码贴纸+箱唛，进口商贴纸/条码贴纸翻单PO4500208189
Remark: 1.进口商贴纸请多备料5pcs,出货后需要寄给客户留底
  2 .如后续提供的贴纸文档中进口商贴纸和条码贴纸合并为一张，可忽略条码贴纸的需求</t>
  </si>
  <si>
    <r>
      <rPr>
        <sz val="12"/>
        <rFont val="宋体"/>
        <charset val="134"/>
      </rPr>
      <t>Ava</t>
    </r>
    <r>
      <rPr>
        <sz val="12"/>
        <color rgb="FF000000"/>
        <rFont val="宋体"/>
        <charset val="134"/>
      </rPr>
      <t xml:space="preserve">  Liang</t>
    </r>
  </si>
  <si>
    <t>4500208451-20</t>
  </si>
  <si>
    <t>消耗4500197501的数量480</t>
  </si>
  <si>
    <t>TG JONES HIGH STREET LIMITED</t>
  </si>
  <si>
    <t>20260429-597583</t>
  </si>
  <si>
    <t>4500216128-130</t>
  </si>
  <si>
    <t>77772GQ2-S001-INT-PRODCC.PKC</t>
  </si>
  <si>
    <t>唱片球50 pcs/2PDQ/箱（胶袋装）</t>
  </si>
  <si>
    <t>C版29L 不含电池出货WEEE说明书+移除LOLA YOUNG的MESSY唱片+配套的收藏指南(翻单PO#4500198654)，  PDQ上面加44PCS贴纸覆盖原来的45.</t>
  </si>
  <si>
    <r>
      <rPr>
        <sz val="12"/>
        <color rgb="FF000000"/>
        <rFont val="宋体"/>
        <charset val="0"/>
      </rPr>
      <t>日期码格式：ZURU INC(BVI) 标准格式 日期：按实际生产日期 Tracking Code:
Packaging Info: 
 【行项目50】
 77772GQ2:1L PDQ+MA B版UPC收缩膜+C版29L 不含电池出货WEEE说明书+移除LOLA YOUNG的MESSY唱片+配套的收藏指南(翻单PO#4500198654)， PDQ上面加44PCS贴纸覆
 盖原来的45.</t>
    </r>
    <r>
      <rPr>
        <sz val="12"/>
        <color rgb="FFFF0000"/>
        <rFont val="宋体"/>
        <charset val="0"/>
      </rPr>
      <t xml:space="preserve"> PDQ上面需要加上地址贴纸，且PDQ需要套1个PE胶袋后再入外箱，避免产品从PDQ上掉出，PE胶袋需打透气孔，印警告语</t>
    </r>
    <r>
      <rPr>
        <sz val="12"/>
        <color rgb="FF000000"/>
        <rFont val="宋体"/>
        <charset val="0"/>
      </rPr>
      <t xml:space="preserve">
Remark: MA版本按工厂现有最新库存即可，订单出英国，请注意检查产品及包装应带UKCA以及CE图标，包装显示ZURU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*所有产品按符合欧洲标准走货，需要是不含微塑料版本 。
 *涉及到硼的，如可选择情况下应使用低硼版本 （slime 类别低硼一般低于300ppm)，无选择的应与跟单复核再安排 。
 *如果出运产品属于电子类产品需要在ZURU 包装基础上额外添加一张ZURU 标准29L通用WEEE 电子产品说明书,带电池出货的加带电池出货版本通用29L的说明书，不
 带电池出货的产品用不带电池出货版本的说明书.</t>
    </r>
  </si>
  <si>
    <t>4500215323-120</t>
  </si>
  <si>
    <t>4500215323-170</t>
  </si>
  <si>
    <t>PO0002129</t>
  </si>
  <si>
    <t>4500216947-10</t>
  </si>
  <si>
    <t>进口商贴纸翻单4500207609</t>
  </si>
  <si>
    <t>4500206065-180</t>
  </si>
  <si>
    <t>日期码格式：ZURU INC(BVI) 标准格式                  日期：按实际生产日期
Packaging Info: 物料要求：
1.77772GQ1:MA+MA PDQ+中文收藏指南（外挂）+中文组装说明书+8+年龄贴纸+防窜贴
UPC:193052090065
77772/77794UQ1 首单 请提供8套大货样
Remark: 2.外箱材质如下：
  1）毛重小于5kg 外箱纸质 K=B 爆破:1000Kpa 边压:4400N/M;
  2）毛重大于5kg 外箱纸质 K636K 爆破:1400Kpa 边压:6300N/M;
 3. 产品/销售包装/外箱日期码要一致，
4.此产品务必满足国内6P 测试标准，因为可能会被市场监督局抽查，如有问题产生，工厂要负全责
 5. 这张订单做出厂价，我司自行安排车辆去贵司提货，贵司需要配合提供出口报关
 6. 此单所有产品启用防窜码贴纸</t>
  </si>
  <si>
    <t>W0779374</t>
  </si>
  <si>
    <t>4500216785-30</t>
  </si>
  <si>
    <t>8/7贴价格贴纸+外箱条码贴纸*2</t>
  </si>
  <si>
    <t>4500206065-160</t>
  </si>
  <si>
    <t>4500218123</t>
  </si>
  <si>
    <t>10001964625-0581</t>
  </si>
  <si>
    <t>4500218123-10</t>
  </si>
  <si>
    <t>客版收缩膜和客版PDQ翻单4500218119</t>
  </si>
  <si>
    <r>
      <rPr>
        <sz val="12"/>
        <color rgb="FF000000"/>
        <rFont val="宋体"/>
        <charset val="134"/>
      </rPr>
      <t>日期码格式：ZURU INC(BVI) 标准格式 日期：按实际生产日期</t>
    </r>
    <r>
      <rPr>
        <sz val="11"/>
        <color rgb="FF000000"/>
        <rFont val="宋体"/>
        <charset val="134"/>
        <scheme val="minor"/>
      </rPr>
      <t xml:space="preserve">
Packaging Info: 产品包装 客版收缩膜+MA 5L 收藏指南+MA 23L 组装说明+客版PDQ；客版收缩膜和客版PDQ翻单4500218119
Remark: 1.77772GQ5-S001-MINI BRANDS-VINYL-SERIES 1-CAPSULE,WITH DEMO,25PCS/GRAVITY PDQ,25PCS/PDQ/CTN;
2.产品包装 客版收缩膜+MA 5L 收藏指南+MA 23L 组装说明+客版PDQ；客版收缩膜和客版PDQ翻单4500218119；收缩膜上的UPC显示193052118721
4 mini vinyls(1 Target US Exclusive),1 accessory;
3. 外箱正唛左上角位置粘贴条码箱贴纸，每箱只贴一张，由ZURU订购。来料贴纸上显示的客户DPCI# 086-02-7610, UPC显示10193052118728;
4. 产品和包装上均要印刷tracking code信息，格式为ZURU常规格式；
5. 需要我司QC验货之后才能安排出货；
6. 出货方式： 货代自提；
7. 用新配比生产（不要18号、21号、23号碟片）</t>
    </r>
  </si>
  <si>
    <t>02634272/1</t>
  </si>
  <si>
    <t>4500218605-20</t>
  </si>
  <si>
    <t>日期码格式：ZURU  INC(BVI) 标准格式                                    日期：按实际生产日期
Packaging Info: 最新MA UPC包装
Remark: 1) MA UPC版本。订单出英国，请注意检查产品及包装应带UKCA图标，包装显示ZURU UK LTD信息，QC同事请查核，如有问题与跟单确认。
2) 生产日期按实际（法定工作日），按ZURU标准格式即可  ，但是请知悉包装日期码需要早于或者等于外箱日期码  ，不能晚于外箱日期码
  3) 请注意所有订单都需要经过ZURU  QC验货并且通过后方可出货
  4) 条码以订单显示为准  ，请安排生产前先核对  ，有问题请提出。
  5) 所有产品按符合欧洲标准走货，需要是不含微塑料版本  。涉及到硼的，如可选择情况下应使用低硼版本    （slime  类别低硼一般低于300ppm)，无选择的应与跟单
复核再安排  。
  6) 所有出往欧洲订单的电子产品需增加一张客版WEEE说明书，区分带电池(WEEE 带电池走货  通用29L D版说明书)和不带电池版本(WEEE 不带电池走货  通用29L C
版说明书)
  7) 订单若对应多个客户PO，    请分开做货，    不要混装。一个PO一个柜
  8) 大货完成后请及时提供shipment images 供客户批复才能放货  ，如未提供照片就直接走柜，有问题由工厂负责    。
  9）    最终出货工厂需要按船务要求为集装箱挂网，如不按要求挂网导致罚款由工厂承担  。
  10）77772  此客制款需移除Lola  Young vinyl，如做错货导致罚款会由工厂负全责。
  11）若有锂电池(77794)，需在外箱上加锂电池标签。
  12)   箱唛上需要按ZURU标准加上地址和邮箱。</t>
  </si>
  <si>
    <t>FB15045</t>
  </si>
  <si>
    <t>4500214573-40</t>
  </si>
  <si>
    <t>77772GQ1-S002-INT-PRODCC</t>
  </si>
  <si>
    <t>C版29L不含电池出货WEEE说明书</t>
  </si>
  <si>
    <t>移除#21唱片配套的收藏指南(翻单PO#4500198654)</t>
  </si>
  <si>
    <r>
      <rPr>
        <sz val="12"/>
        <color rgb="FF000000"/>
        <rFont val="宋体"/>
        <charset val="134"/>
      </rPr>
      <t>日期码格式：ZURU INC(BVI) 标准格式 日期：按实际生产日期
Packaging Info: 
77772GQ1:1L PDQ+MA B版UPC收缩膜+C版29L 不含电池出货WEEE说明书+移除LOLA YOUNG的MESSY唱片+配套的收藏指南(翻单PO#4500198654)</t>
    </r>
    <r>
      <rPr>
        <sz val="12"/>
        <color rgb="FFFF0000"/>
        <rFont val="宋体"/>
        <charset val="134"/>
      </rPr>
      <t xml:space="preserve"> +PDQ上需用用44PCS数量
贴纸覆盖原45PCS（贴纸翻单:4500196675) 且要加上地址贴纸 （如已经收到更新的PDQ AW请用更新的AW文件做货，无需另外加数字和地址贴纸）</t>
    </r>
    <r>
      <rPr>
        <sz val="12"/>
        <color rgb="FF000000"/>
        <rFont val="宋体"/>
        <charset val="134"/>
      </rPr>
      <t xml:space="preserve">
Remark: MA版本按工厂现有最新库存即可，订单出英国，请注意检查产品及包装应带UKCA以及CE图标，包装显示ZURU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*所有产品按符合欧洲标准走货，需要是不含微塑料版本 。
*涉及到硼的，如可选择情况下应使用低硼版本 （slime 类别低硼一般低于300ppm)，无选择的应与跟单复核再安排 。
*如果出运产品属于电子类产品需要在ZURU 包装基础上额外添加一张ZURU 标准29L通用WEEE 电子产品说明书,带电池出货的加带电池出货版本通用29L的说明书，不
带电池出货的产品用不带电池出货版本的说明书.
*根据客人最新的包装要求，所有多个PDQ盒子(TQ,UQ,GQ）入1外箱的都需要在PDQ顶部右上角加上数量贴纸标明里面的数量。最小字体：36pts, 字体：Calibri（bo
ld), 具体要求以及位置见文件.
*订单对应客户PO号 ，备注有显示 ，注意分开做货/验货/装柜 ，混装有罚款。
* 大货样： 新款请在CRD前10天寄出每款2整套大货样到罗湖办公室7B Meyya Liu 收，翻单不用寄。</t>
    </r>
  </si>
  <si>
    <r>
      <rPr>
        <sz val="12"/>
        <rFont val="宋体"/>
        <charset val="134"/>
      </rPr>
      <t>4 KIDZ</t>
    </r>
    <r>
      <rPr>
        <sz val="12"/>
        <color rgb="FF000000"/>
        <rFont val="宋体"/>
        <charset val="134"/>
      </rPr>
      <t xml:space="preserve">  POLSKA SP. Z  OO</t>
    </r>
  </si>
  <si>
    <t>4500217619-10</t>
  </si>
  <si>
    <t>MQ06-77772-S001</t>
  </si>
  <si>
    <t>MA23L说明书+WEEE D版29L_带电池走货声明书</t>
  </si>
  <si>
    <r>
      <rPr>
        <sz val="12"/>
        <color rgb="FF000000"/>
        <rFont val="宋体"/>
        <charset val="134"/>
      </rPr>
      <t>日期码格式：ZURU INC(BVI) 标准格式 日期：按实际生产日期 Tracking Code:
Packaging Info: 混箱母件MQ06总共3个PDQ入一箱 (含1个77794GQ4+2个77772UQX)
77794GQ4：客版收缩膜(含客户进口商信息,条码为193052090409)+客版1LPDQ+MA23L锂电池说明+MA23L说明书+WEEE D版29L_带电池走货声明书
77772UQX：客版收缩膜(含客户进口商信息,条码为193052090065)+客版1LPDQ+MA5L收藏指南+MA23L说明书+WEEE 版29L_不电池走货声明书
Remark: 1. 请备多1套大货样品；
 2. 此票大货需符合EU市场法规；
 3. 此票零售包装使用UPC条码, 外箱使用EAN条码</t>
    </r>
    <r>
      <rPr>
        <sz val="12"/>
        <color rgb="FFFF0000"/>
        <rFont val="宋体"/>
        <charset val="134"/>
      </rPr>
      <t>5905817266166；</t>
    </r>
  </si>
  <si>
    <r>
      <rPr>
        <sz val="12"/>
        <rFont val="宋体"/>
        <charset val="134"/>
      </rPr>
      <t>Ula</t>
    </r>
    <r>
      <rPr>
        <sz val="12"/>
        <color rgb="FF000000"/>
        <rFont val="宋体"/>
        <charset val="134"/>
      </rPr>
      <t xml:space="preserve">  Zhao</t>
    </r>
  </si>
  <si>
    <t>客版</t>
  </si>
  <si>
    <r>
      <rPr>
        <sz val="12"/>
        <rFont val="宋体"/>
        <charset val="134"/>
      </rPr>
      <t>ZURU</t>
    </r>
    <r>
      <rPr>
        <sz val="12"/>
        <color rgb="FF000000"/>
        <rFont val="宋体"/>
        <charset val="134"/>
      </rPr>
      <t xml:space="preserve">  DENMARK  APS</t>
    </r>
  </si>
  <si>
    <t>4500217710-10</t>
  </si>
  <si>
    <t>多语警语折叠贴纸（翻单4500193875）+1*Zuru  PDQ  地址贴纸+1*  C版  29L  WEEE不带电走货说明书</t>
  </si>
  <si>
    <t>日期码格式：ZURU  INC(BVI)  标准格式                                    日期：按实际生产日期
Packaging Info: 【行项目10】
77772GQ1：MA  3L  EAN  收缩膜+1*多语警语折叠贴纸（翻单4500193875）+MA  23L  组装说明书+MA  5L+23L  收藏指南+MA  纸卡+MA  复合袋+MA  3L  PDQ+1*Zuru  PDQ  地
址贴纸+1*  C版  29L  WEEE不带电走货说明书
Remark: 1.北欧内销单，需要通过ZURU  验货结果后才能出货  (工厂需要主动提前同ZURU  QC预约验货避免延期出货造成不必要麻烦)；
2.  产品如含有硅藻泥干燥剂，需要另外加一张14L干燥剂说明书。产品如含有化学品，需要无硼无香，如果产品含有Slime、泥、沙子，需要增加一张MTS  PO  SLIME,
DOUGH,  SAND  化学品警语多语说明书；
3.包装不能含有PVC，使用PET
   4.  date  code:  外箱日期码要等于或者晚于产品日期码
   5.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6.若有特定款有特殊外箱条码要求时,需要明确列出产品款对应的具体外箱条码号码/条码类型  (若无,可以忽略此需求)
7.所有出口欧洲的产品,  法规规定禁止在包装和共公众用的印刷品中使用矿物油中含有的物质,  包装印刷油墨中含有的MOAH/MOSH的质量浓度不能超过1%,  否则出货
到法国被抽检出现问题,  供应商需要对此负责;
8.带电池出货的产品所用到的电池需要符合欧洲电池新规(EU)  2023-1542，并需要加1张WEEE  电池说明书
9.ratio  同MA
10.所有电子产品身上需要加字唛(与包装上的法国地址一致），为ZURU  FRANCE  地址  (如无电子产品，或者产品布标有此地址，可忽略此信息)
ZURU  FRANCE      33  rue  Paul  Meurice  75020  Paris,  France.；
11.包装上需要有ZURU  DANMARK  地址：
Zuru  Denmark  ApS
Oslo  Plads  2,  2100  K  benhavn    ,  Denmark</t>
  </si>
  <si>
    <r>
      <rPr>
        <sz val="12"/>
        <rFont val="宋体"/>
        <charset val="134"/>
      </rPr>
      <t>Faye</t>
    </r>
    <r>
      <rPr>
        <sz val="12"/>
        <color rgb="FF000000"/>
        <rFont val="宋体"/>
        <charset val="134"/>
      </rPr>
      <t xml:space="preserve">  Lei,Amy  Xiao</t>
    </r>
  </si>
  <si>
    <t>4500217987-20</t>
  </si>
  <si>
    <t>欠外箱贴纸SSCC  Label</t>
  </si>
  <si>
    <r>
      <rPr>
        <sz val="12"/>
        <color rgb="FF000000"/>
        <rFont val="宋体"/>
        <charset val="134"/>
      </rPr>
      <t>日期码格式：ZURU INC(BVI) 标准格式 日期：按实际生产日期
Packaging Info: 
77772GQ1：MA英语UPC版本包装（收缩膜和说明书, MA首选1L，如无1L可用多语且含英语的配套多语包装) +客制PDQ +客制收藏指南（PDQ与收藏指南翻单PO#450019
7999）+外箱贴纸SSCC Label
配比信息：4 mini vinyls,1 accessory
Removed了</t>
    </r>
    <r>
      <rPr>
        <sz val="12"/>
        <color rgb="FFFF0000"/>
        <rFont val="宋体"/>
        <charset val="134"/>
      </rPr>
      <t xml:space="preserve"> "Messy &lt;(&gt;&amp;&lt;)&gt; Delicious"两张唱片'';CRD 2026/9/20 开始 roll-in VINYL-S1-011 sweet caroline这张唱片</t>
    </r>
    <r>
      <rPr>
        <sz val="12"/>
        <color rgb="FF000000"/>
        <rFont val="宋体"/>
        <charset val="134"/>
      </rPr>
      <t xml:space="preserve">
Remark: 1. 客人要求箱唛不可出现任何手写内容，重量与实际一致且不可手写;
2. 此单去澳大利亚，请按相应澳新标准生产; 如产品含纽扣电池出货, 包装前面和说明书上需加纽扣电池警语贴纸
3. 取消使用TARGET新版封箱胶封顶，外箱全部使用普通透明封箱胶纸(客版胶纸如还有库存，可先消耗库存)；
4. 外箱需要贴Target SSCC LABEL,客供PDF文档，工厂自行订购。请贴在正唛右下角（一箱一张，贴1面正唛右下角,封箱胶纸不能挡住贴纸内容。)；外箱贴纸距离
外箱边缘应在2cm以上。如果正唛无位置可以贴在侧唛；
5. SSCC LABEL要求：贴纸内容，条形码印刷不完整/不清晰或有划痕/缺失，贴纸脏污、破损、条形码折叠、翘起、重复或者丢失，以及封箱胶盖住贴纸任何位置的
，客户都不能接受，如有发现以上异常，须返工重新贴；
6. 外箱材质为ZURU标准；
7. 产品和包装上要有tracking label信息：格式为Zuru标准格式（可以自行调整具体年月日生产日期,避开节假期日）；
8. SSCC Label 尺寸更新为：4x4 inch。</t>
    </r>
  </si>
  <si>
    <t>FRASERS  GROUP  TRADING  LIMITED</t>
  </si>
  <si>
    <t>4500219553-60</t>
  </si>
  <si>
    <t>77772GQ8-S001-INT-PRODCC</t>
  </si>
  <si>
    <t>欠箱唛条码贴纸（14*9.5cm）+PDQ价格贴纸（45*35mm）</t>
  </si>
  <si>
    <r>
      <rPr>
        <sz val="12"/>
        <color rgb="FF000000"/>
        <rFont val="宋体"/>
        <charset val="134"/>
      </rPr>
      <t>日期码格式：ZURU INC(BVI) 标准格式 日期：按实际生产日期
Packaging Info: 【行项目240】
77772GQ8：箱唛条码贴纸（14*9.5cm）+PDQ价格贴纸（45*35mm）+MA B1L UPC收缩膜（193052090065）+MA A23L组装说明书+</t>
    </r>
    <r>
      <rPr>
        <sz val="12"/>
        <color rgb="FFFF0000"/>
        <rFont val="宋体"/>
        <charset val="134"/>
      </rPr>
      <t>MA 5L客版收藏指南+WEEE 29L 不带电池</t>
    </r>
    <r>
      <rPr>
        <sz val="12"/>
        <color rgb="FF000000"/>
        <rFont val="宋体"/>
        <charset val="134"/>
      </rPr>
      <t xml:space="preserve">
说明书最新版+MA B1L PDQ
</t>
    </r>
    <r>
      <rPr>
        <sz val="12"/>
        <color rgb="FFFF0000"/>
        <rFont val="宋体"/>
        <charset val="134"/>
      </rPr>
      <t>Ratio:4 mini vinyls, 1 accessory (INT version includes Neil Diamond "Sweet Caroline" vinyl, except Lola Young vinyl)</t>
    </r>
    <r>
      <rPr>
        <sz val="12"/>
        <color rgb="FF000000"/>
        <rFont val="宋体"/>
        <charset val="134"/>
      </rPr>
      <t xml:space="preserve">
Remark: 1.订单出英国，请注意检查产品及包装应带CE/UKCA图标，包装需要显示ZURU UKLTD/ZURU France地址信息，QC同事请查核，如有问题与跟单确认。
2.生产日期按实际的（法定工作日），按ZURU标准格式即可，并需要在出货前提供每个产品外包上对应的生产日期明细
3.请注意所有订单都需要经过ZURU QC验货加提供客版自检报告审核且通过后方可出货
4.外箱上的条码请确保清晰可扫描，此单有价格贴纸和箱唛贴纸。
箱唛贴纸：尺寸为:9.5*14cm,只需要贴两张贴纸，正唛和侧唛各一张
价格贴纸：带PDQ的，贴PDQ正面即可（PDQ里面产品无需价钱贴纸）； 不带PDQ，请把价钱贴纸贴在单个产品正面；价格贴纸尺寸为45*35mm
5.所有产品按符合欧洲标准走货，微塑料需合规并增加IFUD声明，含电池的需要增加WEEE说明书。
6.请额外准备一套大货样
7.箱唛上封用纸质胶纸，下封用透明胶</t>
    </r>
  </si>
  <si>
    <t>HARVEY  WHOLESALE  LTD</t>
  </si>
  <si>
    <t>4500219625-20</t>
  </si>
  <si>
    <t>77772GQ2-S002-INT-PRODCC1</t>
  </si>
  <si>
    <t>移除/21/23</t>
  </si>
  <si>
    <t>日期码格式：ZURU  INC(BVI)  标准格式                                    日期：按实际生产日期
Packaging Info: 
77772GQ2:MA  UPC  英语包装（优先1L英语版本，或者3L/5L含英语都可）;  Remove  Messy  &lt;(&gt;&amp;&lt;)&gt;  Delicious  vinyl  minis;  WITH  4PCS  DEMO/PDQ；     4    mini  vinyl
s(except  Messy  &lt;(&gt;&amp;&lt;)&gt;  Delicious  vinyl  minis),  1  accessory  ；     roll-in  VINYL-S1-011  sweet  caroline这张唱片
Remark: 此单出口澳大利亚/新西兰,  请按澳新标准生产.  如产品含纽扣电池出货,  包装前面和说明书上需加纽扣电池警语贴纸。</t>
  </si>
  <si>
    <r>
      <rPr>
        <sz val="12"/>
        <rFont val="宋体"/>
        <charset val="134"/>
      </rPr>
      <t>Ivy</t>
    </r>
    <r>
      <rPr>
        <sz val="11"/>
        <color rgb="FF000000"/>
        <rFont val="宋体"/>
        <charset val="134"/>
        <scheme val="minor"/>
      </rPr>
      <t xml:space="preserve">  </t>
    </r>
    <r>
      <rPr>
        <sz val="11"/>
        <color rgb="FF000000"/>
        <rFont val="宋体"/>
        <charset val="134"/>
        <scheme val="minor"/>
      </rPr>
      <t>Li</t>
    </r>
  </si>
  <si>
    <t>OSIRIS  INC.</t>
  </si>
  <si>
    <t>4500218312-10</t>
  </si>
  <si>
    <t>77772GQ8-S001</t>
  </si>
  <si>
    <t>UPC贴纸翻单4500196293</t>
  </si>
  <si>
    <t>日期码格式：ZURU INC(BVI) 标准格式 日期：按实际生产日期
Packaging Info: 77772GQ2: 收缩膜和PDQ用MA 标版3L， 收缩膜加UPC贴纸，UPC贴纸翻单4500196293
Remark:</t>
  </si>
  <si>
    <t>4500214681-10</t>
  </si>
  <si>
    <t>欠进口商贴纸+QR 贴纸（一物一码）</t>
  </si>
  <si>
    <t>日期码格式：ZURU INC(BVI) 标准格式 日期：按实际生产日期
Packaging Info: 最新MA UPC包装+进口商贴纸+QR 贴纸（一物一码）
若出独立款必须用独立款的条码，不可以用混装的条码,条码以订单显示为准
Remark: 1.包装：MA UPC包装+进口商贴纸+QR 贴纸
2. 条码以订单显示为准 ，请安排生产前先核对 ，有问题请提出。
3. QR 贴纸要求： 需包含产品型号（item）+ 序列号，二维码（QR code）正方形边长 1.5cm 。
材质与粘性：采用与进口商贴纸一致的材质，强粘性、不易脱落/掉色。
印刷与尺寸：印刷质量不低于 1.5c，整体贴纸尺寸为 3×3cm（正方形）。尺寸要根据产品包装的实际大小调整，保持整体美观，二维码清晰可扫。
4. 二维码贴纸位置要远离包装上的条码及其他二维码， 贴在背面。
5. QR code贴纸（要求一物一码，每PCS的二维码不一样）;
6. QR code 格式 ：DATA MATRIX GS1 ；
7. 若多个柜子，BY TRAIN 要求带电池/不带电池不同柜；装柜时同一款必须放在同一个柜子里。
8. 整张单走EXW。</t>
  </si>
  <si>
    <t>4500214359-10</t>
  </si>
  <si>
    <r>
      <rPr>
        <sz val="12"/>
        <color rgb="FF000000"/>
        <rFont val="宋体"/>
        <charset val="134"/>
      </rPr>
      <t>日期码格式：ZURU INC(BVI) 标准格式 日期：按实际生产日期 Tracking Code:
Packaging Info: 77869：客制 3L UPC 彩盒包装 (彩盒翻单PO#4500202802)+ 箱唛 + 外箱贴纸SSCC Label
 子件77772:</t>
    </r>
    <r>
      <rPr>
        <sz val="12"/>
        <color rgb="FFFF0000"/>
        <rFont val="宋体"/>
        <charset val="134"/>
      </rPr>
      <t xml:space="preserve"> 1L 客版英语无条码收缩膜（翻单PO#4500208581）</t>
    </r>
    <r>
      <rPr>
        <sz val="12"/>
        <color rgb="FF000000"/>
        <rFont val="宋体"/>
        <charset val="134"/>
      </rPr>
      <t>+B版客制收藏指南</t>
    </r>
    <r>
      <rPr>
        <sz val="12"/>
        <color rgb="FFFF0000"/>
        <rFont val="宋体"/>
        <charset val="134"/>
      </rPr>
      <t>-删除两张唱片""Messy &lt;(&gt;&amp;&lt;)&gt; Delicious"增加了新唱片""Sweet caroline"（</t>
    </r>
    <r>
      <rPr>
        <sz val="12"/>
        <color rgb="FF000000"/>
        <rFont val="宋体"/>
        <charset val="134"/>
      </rPr>
      <t>收藏指南翻单PO#4500202802）
 子件77794: MA英语UPC版本包装（收缩膜和说明书, MA首选1L，如无1L可用多语且含英语的配套多语包装) +1张MA锂电池黑白警语书纸（书纸翻单PO#4500193539）
 2PK 77772( remove Messy &lt;(&gt;&amp;&lt;)&gt; Delicious vinyl minis) + 77794 PLAYSET COMBO IN COLOR BOX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10.所有带纽扣电池的产品都需要在产品包装以及说明书上贴纽扣电池警告语贴纸
 此单需要与NZ PO#4500214361一起合并计算</t>
    </r>
  </si>
  <si>
    <t>4500214361-10</t>
  </si>
  <si>
    <r>
      <rPr>
        <sz val="12"/>
        <color rgb="FF000000"/>
        <rFont val="宋体"/>
        <charset val="134"/>
      </rPr>
      <t xml:space="preserve">日期码格式：ZURU INC(BVI) 标准格式 日期：按实际生产日期
Packaging Info: 77869：客制 3L UPC 彩盒包装 (彩盒翻单PO#4500202802)+ 箱唛 + 外箱贴纸SSCC Label
子件77772: </t>
    </r>
    <r>
      <rPr>
        <sz val="12"/>
        <color rgb="FFFF0000"/>
        <rFont val="宋体"/>
        <charset val="134"/>
      </rPr>
      <t>1L 客版英语无条码收缩膜（翻单PO#4500208581）+B版客制收藏指南-删除两张唱片""Messy &lt;(&gt;&amp;&lt;)&gt; Delicious""Delicious""，增加了新唱片""Sweet caroline""（收藏指南翻单PO#4500202802）</t>
    </r>
    <r>
      <rPr>
        <sz val="12"/>
        <color rgb="FF000000"/>
        <rFont val="宋体"/>
        <charset val="134"/>
      </rPr>
      <t xml:space="preserve">
子件77794: MA英语UPC版本包装（收缩膜和说明书, MA首选1L，如无1L可用多语且含英语的配套多语包装) +1张MA锂电池黑白警语书纸（书纸翻单PO#4500193539）
2PK 77772( remove Messy &lt;(&gt;&amp;&lt;)&gt; Delicious vinyl minis) + 77794 PLAYSET COMBO IN COLOR BOX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10.所有带纽扣电池的产品都需要在产品包装以及说明书上贴纽扣电池警告语贴纸
此单需要与AU PO#4500214359一起合并计算
</t>
    </r>
    <r>
      <rPr>
        <sz val="12"/>
        <color rgb="FFFF0000"/>
        <rFont val="宋体"/>
        <charset val="134"/>
      </rPr>
      <t>10.所有带纽扣电池的产品都需要在产品包装以及说明书上贴纽扣电池警告语贴纸
此单需要与AU PO#4500214359一起合并计算</t>
    </r>
  </si>
  <si>
    <t>4500218124</t>
  </si>
  <si>
    <t>10001964612-0581</t>
  </si>
  <si>
    <t>4500218124-10</t>
  </si>
  <si>
    <t>日期码格式：ZURU INC(BVI) 标准格式 日期：按实际生产日期
Packaging Info: 产品包装 客版收缩膜+MA 5L 收藏指南+MA 23L 组装说明+客版PDQ；客版收缩膜和客版PDQ翻单4500218119
Remark: 1.77772GQ5-S001-MINI BRANDS-VINYL-SERIES 1-CAPSULE,WITH DEMO,25PCS/GRAVITY PDQ,25PCS/PDQ/CTN;
2.产品包装 客版收缩膜+MA 5L 收藏指南+MA 23L 组装说明+客版PDQ；客版收缩膜和客版PDQ翻单4500218119；收缩膜上的UPC显示193052118721
4 mini vinyls(1 Target US Exclusive),1 accessory;
3. 外箱正唛左上角位置粘贴条码箱贴纸，每箱只贴一张，由ZURU订购。来料贴纸上显示的客户DPCI# 086-02-7610, UPC显示10193052118728;
4. 产品和包装上均要印刷tracking code信息，格式为ZURU常规格式；
5. 需要我司QC验货之后才能安排出货；
6. 出货方式： 货代自提；
7. 用新配比生产（不要18号、21号、23号碟片）</t>
  </si>
  <si>
    <t>4500219158</t>
  </si>
  <si>
    <t>10001964611-0581</t>
  </si>
  <si>
    <t>4500219158-10</t>
  </si>
  <si>
    <t>4500214359-50</t>
  </si>
  <si>
    <r>
      <rPr>
        <sz val="12"/>
        <color rgb="FF000000"/>
        <rFont val="宋体"/>
        <charset val="134"/>
      </rPr>
      <t>日期码格式：ZURU  INC(BVI) 标准格式                                    日期：按实际生产日期
Packaging Info: 
77772GQ1:MA英语UPC版本包装（收缩膜和说明书, MA首选1L，如无1L可用多语且含英语的配套多语包装) +一张防盜贴纸(贴纸以及防盜贴纸位置图翻单PO#450019353
9)+客制PDQ（PDQ翻单PO#4500197999）+客制B版收藏指南（收藏指南翻单PO#4500202802的77869的子件77772）+箱唛+外箱贴纸SSCC  Label
配比信息：4    mini vinyls,1  accessory</t>
    </r>
    <r>
      <rPr>
        <sz val="12"/>
        <color rgb="FFFF0000"/>
        <rFont val="宋体"/>
        <charset val="134"/>
      </rPr>
      <t>(增加了新唱片""Sweet caroline"")</t>
    </r>
    <r>
      <rPr>
        <sz val="12"/>
        <color rgb="FF000000"/>
        <rFont val="宋体"/>
        <charset val="134"/>
      </rPr>
      <t xml:space="preserve">
Removed了  """"Messy &lt;(&gt;&amp;&lt;)&gt;  Delicious""""两张唱片"
Remark: 1 .请务必按时完货，验货。并且按期送货入货代指定仓库，如果晚了导致船期Delay将会有罚金产生或者客户要求空运，所产生的罚金和空运费由工厂承担。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 .此单出口澳大利亚，请按相应的澳新标准生产；
  6.产品和包装上生产批号的显示格式ZURU标准日期码格式
  7 .外箱信息不可手写，重量和体积需要与实际的一致(不可手写）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10.所有带纽扣电池的产品都需要在产品包装以及说明书上贴纽扣电池警告语贴纸
此单需要与NZ  PO#4500214361一起合并计算</t>
    </r>
  </si>
  <si>
    <t>4500214361-50</t>
  </si>
  <si>
    <r>
      <rPr>
        <sz val="12"/>
        <color rgb="FF000000"/>
        <rFont val="宋体"/>
        <charset val="134"/>
      </rPr>
      <t>日期码格式：ZURU  INC(BVI) 标准格式                                    日期：按实际生产日期
Packaging Info: 
77772GQ1:MA英语UPC版本包装（收缩膜和说明书, MA首选1L，如无1L可用多语且含英语的配套多语包装) +一张防盜贴纸(贴纸以及防盜贴纸位置图翻单PO#450019353
9)+客制PDQ（PDQ翻单PO#4500197999）+客制B版收藏指南（收藏指南翻单PO#4500202802的77869的子件77772）+箱唛+外箱贴纸SSCC  Label
配比信息：4    mini vinyls,1  accessory</t>
    </r>
    <r>
      <rPr>
        <sz val="12"/>
        <color rgb="FFFF0000"/>
        <rFont val="宋体"/>
        <charset val="134"/>
      </rPr>
      <t>(增加了新唱片""Sweet caroline"")</t>
    </r>
    <r>
      <rPr>
        <sz val="12"/>
        <color rgb="FF000000"/>
        <rFont val="宋体"/>
        <charset val="134"/>
      </rPr>
      <t xml:space="preserve">
Removed了  """"Messy &lt;(&gt;&amp;&lt;)&gt;  Delicious""""两张唱片"
Remark: 1 .请务必按时完货，验货。并且按期送货入货代指定仓库，如果晚了导致船期Delay将会有罚金产生或者客户要求空运，所产生的罚金和空运费由工厂承担。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 .此单出口新西兰，请按相应的澳新标准生产；
  6.产品和包装上生产批号的显示格式ZURU标准日期码格式
  7 .外箱信息不可手写，重量和体积需要与实际的一致(不可手写）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10.所有带纽扣电池的产品都需要在产品包装以及说明书上贴纽扣电池警告语贴纸
此单需要与AU  PO#4500214359一起合并计算
</t>
    </r>
    <r>
      <rPr>
        <sz val="12"/>
        <color rgb="FFFF0000"/>
        <rFont val="宋体"/>
        <charset val="134"/>
      </rPr>
      <t>10.所有带纽扣电池的产品都需要在产品包装以及说明书上贴纽扣电池警告语贴纸
此单需要与AU PO#4500214359一起合并计算</t>
    </r>
  </si>
  <si>
    <t>4500213421-10</t>
  </si>
  <si>
    <t>取消21/23号唱片，客制PDQ +客制收藏指南（PDQ与收藏指南翻单PO#4500197999）</t>
  </si>
  <si>
    <r>
      <rPr>
        <sz val="12"/>
        <color rgb="FF000000"/>
        <rFont val="宋体"/>
        <charset val="134"/>
      </rPr>
      <t>日期码格式：ZURU INC(BVI) 标准格式 日期：按实际生产日期
Packaging Info: 77772GQ1：MA英语UPC版本包装（收缩膜和说明书, MA首选1L，如无1L可用多语且含英语的配套多语包装) +客制PDQ +客制收藏指南（PDQ与收藏指南翻单PO#450019
7999）+外箱贴纸SSCC Label;配比信息：4 mini vinyls,1 accessory;</t>
    </r>
    <r>
      <rPr>
        <sz val="12"/>
        <color rgb="FFFF0000"/>
        <rFont val="宋体"/>
        <charset val="134"/>
      </rPr>
      <t>emoved了 "Messy &lt;(&gt;&amp;&lt;)&gt; Delicious"两张唱片; CRD 2026/9/20 开始 roll-in VINYL-S1-01
1 sweet caroline这张唱片</t>
    </r>
    <r>
      <rPr>
        <sz val="12"/>
        <color rgb="FF000000"/>
        <rFont val="宋体"/>
        <charset val="134"/>
      </rPr>
      <t xml:space="preserve">
Remark: 1. 客人要求箱唛不可出现任何手写内容，重量与实际一致且不可手写;
2. 此单去澳大利亚，请按相应澳新标准生产; 如产品含纽扣电池出货, 包装前面和说明书上需加纽扣电池警语贴纸
3. 取消使用TARGET新版封箱胶封顶，外箱全部使用普通透明封箱胶纸(客版胶纸如还有库存，可先消耗库存)；
4. 外箱需要贴Target SSCC LABEL,客供PDF文档，工厂自行订购。请贴在正唛右下角（一箱一张，贴1面正唛右下角,封箱胶纸不能挡住贴纸内容。)；外箱贴纸距离
外箱边缘应在2cm以上。如果正唛无位置可以贴在侧唛；
5. SSCC LABEL要求：贴纸内容，条形码印刷不完整/不清晰或有划痕/缺失，贴纸脏污、破损、条形码折叠、翘起、重复或者丢失，以及封箱胶盖住贴纸任何位置的
，客户都不能接受，如有发现以上异常，须返工重新贴；
6. 外箱材质为ZURU标准；
7. 产品和包装上要有tracking label信息：格式为Zuru标准格式（可以自行调整具体年月日生产日期,避开节假期日）；
8. SSCC Label 尺寸更新为：4x4 inch。</t>
    </r>
  </si>
  <si>
    <t>4500219764-10</t>
  </si>
  <si>
    <t>77772GQ1-S002-INT</t>
  </si>
  <si>
    <t>德语警告语贴纸(翻单:4500202459+8/12 PDQ 通用地址贴纸+欠价格贴纸要求为可移动贴纸（包装备注有则需要满足要求，没有则忽略）</t>
  </si>
  <si>
    <t>日期码格式：ZURU  INC(BVI)  标准格式                                    日期：按实际生产日期
Packaging Info: 77772:  MA  A版3L  包装+德语警告语贴纸(翻单:4500202459)+MA  23L组装说明书+MA  5L收藏指南+MA纸袋+MA  PDQ  +PDQ  通用地址贴纸
Remark: 1.  价格贴纸要求为可移动贴纸（包装备注有则需要满足要求，没有则忽略）
2.一套大货样品/item，请多备料。
3.延期出货会有罚款，请务必按时完货。
4.客人要求飞机孔的尺寸为3.0-3.2  cm（包装备注有则需要满足要求，没有则忽略）
5.所有包装材料禁止使用PVC，需改用PET材料
  6.  出口欧洲  微塑料需合规
  7.  请确保产品不含任何俄罗斯生产，或从俄罗斯进口的钢铁材料
8.所有出往欧洲订单的电子产品需增加一张客版WEEE声明说明书，区分带电池(WEEE  带电池走货  通用30L  说明书)和不带电池版本(WEEE  不带电池走货  通用30L  说
明书)
9.所有出往GAS市场(德国/奥地利/瑞士)的电子产品身上需要加字唛，为ZURU  FRANCE  地址，需跟包装上的地址一致  (如无电子产品，产品布标有此地址，或产品太
小无法增加可忽略此信息。如产品无法加字唛，需让对应跟单提供产品贴纸资料)
新地址：ZURU  France  33  rue  Paul  Meurice  75020  Paris,  France
旧地址：ZURU  France  1/3,  Rue  d'Argenteuil  95210  SAINT-GRATIEN,  FRANCE</t>
  </si>
  <si>
    <r>
      <rPr>
        <sz val="12"/>
        <rFont val="宋体"/>
        <charset val="134"/>
      </rPr>
      <t>Amy</t>
    </r>
    <r>
      <rPr>
        <sz val="11"/>
        <color rgb="FF000000"/>
        <rFont val="宋体"/>
        <charset val="134"/>
        <scheme val="minor"/>
      </rPr>
      <t xml:space="preserve">  </t>
    </r>
    <r>
      <rPr>
        <sz val="11"/>
        <color rgb="FF000000"/>
        <rFont val="宋体"/>
        <charset val="134"/>
        <scheme val="minor"/>
      </rPr>
      <t>Xiao</t>
    </r>
  </si>
  <si>
    <t>MEIJER  DISTRIBUTION,  INC.</t>
  </si>
  <si>
    <t>4500219585-10</t>
  </si>
  <si>
    <t>欠UPC贴纸， UPC贴纸上的UPC应该为193052118721</t>
  </si>
  <si>
    <t>日期码格式：ZURU  INC(BVI)  标准格式                                    日期：
Packaging Info: 1.      产品MA  UPC包装（优先1L）出美国
     2.    客人指定箱唛排版
3.  77772GQ1要加UPC贴纸，用于覆盖原来产品上的upc,  UPC贴纸上的UPC应该为193052118721
    4.77772GQ1  配比4    mini  vinyls,1  accessory
Remark: 出货前  Zuru  QC  验货</t>
  </si>
  <si>
    <r>
      <rPr>
        <sz val="12"/>
        <color rgb="FF000000"/>
        <rFont val="宋体"/>
        <charset val="134"/>
      </rPr>
      <t>Agnes</t>
    </r>
    <r>
      <rPr>
        <sz val="11"/>
        <color rgb="FF000000"/>
        <rFont val="宋体"/>
        <charset val="134"/>
        <scheme val="minor"/>
      </rPr>
      <t xml:space="preserve">  </t>
    </r>
    <r>
      <rPr>
        <sz val="11"/>
        <color rgb="FF000000"/>
        <rFont val="宋体"/>
        <charset val="134"/>
        <scheme val="minor"/>
      </rPr>
      <t>Zheng</t>
    </r>
  </si>
  <si>
    <t>4500219585-20</t>
  </si>
  <si>
    <t>ROSS PROCUREMENT.INC</t>
  </si>
  <si>
    <t>4500213343-70</t>
  </si>
  <si>
    <t>欠客供价格贴纸</t>
  </si>
  <si>
    <t>日期码格式：ZURU INC(BVI) 标准格式                  日期：按实际生产日期
Packaging Info: 1.ZURU MA UPC 最新版本包装 + 客供价格贴纸，出口美国 , 优先1L，可接受多语 。
#77869  MA UPC 现有包装 + 客版彩盒 + 客供贴纸, 优先使用MA 1L最新版本(可接受多语），出口美国。
Remark:
2.价格贴纸位于包装正面右下角，不挡住重要信息即可，可适当调整，价格贴纸由跟单提供。
3.标准日期码格式，产品和包装必须有日期码 。
4.同个产品同个货期不可出现不同的包装。
 5. 跟单提供ROSS/DDS通用的箱唛模版，工厂根据箱唛资料提供箱唛排版来确认。
 6. 所有产品和包装须符合华盛顿州及俄勒冈州 CHCC/ HPCCCH测试要求。
 7. PVC 桶中球不能出现完全相同的ASSORTMENT ，  即同一个PVC 中球里的ASSORTMENT 需要不同。  以免消费者失望。
 8.PVC 桶中球的UPC条码可以不需要空白贴纸覆盖。</t>
  </si>
  <si>
    <t>Blanche Huang</t>
  </si>
  <si>
    <t>4500213343-80</t>
  </si>
  <si>
    <t>4500216689-20</t>
  </si>
  <si>
    <t>日期码格式：ZURU INC(BVI) 标准格式                  日期：按实际生产日期
Packaging Info: 1. 出口美国MA UPC 版本包装，优先1L。
Remark: 2. ZURU QC 验货即可。</t>
  </si>
  <si>
    <t>JULIO CEPEDA JUGUETERIAS</t>
  </si>
  <si>
    <t>4500215828-20</t>
  </si>
  <si>
    <t>日期码格式：ZURU INC(BVI) 标准格式                  日期：按实际生产日期
Packaging Info: 1.优先多语 MA UPC或者3L/5L MA EAN 包装
2.请确保包装上的条形码是UPC，如果是babyUPC、需要用mother UPC覆盖，如有不一致，请及时提出。谢谢!
3.需要监柜，每个款需要1pc样办
77772GQ2 MA多语EAN包装+UPC贴纸+MA 多语说明书+MA多语收藏指南+MA 多语PDQ +箱唛
Remark:
77772GQ2 N/A but with electric circuit(EU/UK WEEE IM is required) 4  mini vinyls,1 accessory</t>
  </si>
  <si>
    <r>
      <rPr>
        <sz val="12"/>
        <rFont val="宋体"/>
        <charset val="134"/>
      </rPr>
      <t>DD'S</t>
    </r>
    <r>
      <rPr>
        <sz val="12"/>
        <color rgb="FF000000"/>
        <rFont val="宋体"/>
        <charset val="134"/>
      </rPr>
      <t xml:space="preserve">  DISCOUNTS</t>
    </r>
  </si>
  <si>
    <t>4500216073-10</t>
  </si>
  <si>
    <t>日期码格式：ZURU  INC(BVI)  标准格式                                    日期：按实际生产日期
Packaging Info: 2.价格贴纸位于包装正面右下角，不挡住重要信息即可，可适当调整，价格贴纸由跟单提供。
3.标准日期码格式，产品和包装必须有日期码  。
4. 同个产品同个货期不可出现不同的包装。
   5.  跟单提供ROSS/DDS通用的箱唛模版，工厂根据箱唛资料提供箱唛排版来确认。
   6.  所有产品和包装须符合华盛顿州及俄勒冈州  CHCC/  HPCCCH测试要求。
   7.  彩盒中球不能出现完全相同的ASSORTMENT  ，     即同一个彩盒中球里的ASSORTMENT  需要不同。     以免消费者失望。
   8.彩盒中球的UPC条码可以不需要空白贴纸覆盖。
Remark: 1.ZURU  MA  UPC  最新版本包装  +  客供价格贴纸，出口美国  ,  优先1L，可接受多语  。
#77869,  77785  最新客版彩盒包装+客供贴纸，出口美国，优先1L，可接受多语</t>
  </si>
  <si>
    <r>
      <rPr>
        <sz val="12"/>
        <rFont val="宋体"/>
        <charset val="134"/>
      </rPr>
      <t>Summer</t>
    </r>
    <r>
      <rPr>
        <sz val="12"/>
        <color rgb="FF000000"/>
        <rFont val="宋体"/>
        <charset val="134"/>
      </rPr>
      <t xml:space="preserve">  Mo</t>
    </r>
  </si>
  <si>
    <t>ZU26061201SG</t>
  </si>
  <si>
    <t>4500216486-20</t>
  </si>
  <si>
    <t>进口商贴纸
贴纸图稿和位置图翻单4500201657</t>
  </si>
  <si>
    <t>日期码格式：ZURU INC(BVI) 标准格式                  日期：按实际生产日期
Packaging Info: MA UPC包装(优先1L)+进口商贴纸
贴纸图稿和位置图翻单4500201657
Remark: 77772GQ1-S001-4  mini vinyls,1 accessory</t>
  </si>
  <si>
    <t>4500219159</t>
  </si>
  <si>
    <t>10001964613-0581</t>
  </si>
  <si>
    <t>4500219159-10</t>
  </si>
  <si>
    <t>ALL  BRANDS  TOYS  PTY  LTD</t>
  </si>
  <si>
    <t>4500219203-10</t>
  </si>
  <si>
    <t>日期码格式：ZURU  INC(BVI)  标准格式                                    日期：按实际生产日期
Packaging Info: 77772GQ2:  MA英语UPC版本收缩膜(  MA首选1L，如无1L可用多语且含英语的配套多语包装)  +客版PDQ（翻单PO#4500200163）    +客制B版收藏指南（收藏指南翻单PO#4
500202802的77869的子件77772）+1张客人通用进口商贴纸（贴纸跟位置图翻单PO#4500193524）+箱唛
配比信息：4    mini  vinyls,1  accessory
Removed了  """"Messy  &lt;(&gt;&amp;&lt;)&gt;  Delicious""两张唱片
Remark: 1.按实际生产日期;
2. 出澳大利亚，请按照相应标准生产;
3.所有带纽扣电池的产品都需要在产品包装以及说明书上贴纽扣电池警告语贴纸</t>
  </si>
  <si>
    <r>
      <rPr>
        <sz val="12"/>
        <color rgb="FF000000"/>
        <rFont val="宋体"/>
        <charset val="134"/>
      </rPr>
      <t>Louise</t>
    </r>
    <r>
      <rPr>
        <sz val="11"/>
        <color rgb="FF000000"/>
        <rFont val="宋体"/>
        <charset val="134"/>
        <scheme val="minor"/>
      </rPr>
      <t xml:space="preserve">  </t>
    </r>
    <r>
      <rPr>
        <sz val="11"/>
        <color rgb="FF000000"/>
        <rFont val="宋体"/>
        <charset val="134"/>
        <scheme val="minor"/>
      </rPr>
      <t>Lu</t>
    </r>
  </si>
  <si>
    <t xml:space="preserve">BARNES  &amp;  NOBLE  PURCHASING,  INC.
</t>
  </si>
  <si>
    <t>02263918</t>
  </si>
  <si>
    <t>4500219357-40</t>
  </si>
  <si>
    <t>欠空白贴纸覆盖UPC+价格贴纸(价贴金额$19.99, 价贴位于PVC桶铜版
 纸UPC条形码附近）价贴资料翻单4500202450+欠SSCC LABEL</t>
  </si>
  <si>
    <t>日期码格式：ZURU INC(BVI) 标准格式 日期：按实际生产日期 Tracking Code:
Packaging Info: 1. 包材：
 #77876：球使用MA 最新1L UPC收缩膜+空白贴纸覆盖UPC+5L 英法版本 收藏指南 + 23L 说明书 + 3L UPC 铜版纸 + 价格贴纸(价贴金额$19.99, 价贴位于PVC桶铜版
 纸UPC条形码附近）价贴资料翻单4500202450，出口美国;
 PS: 如包材语言版本有更新，需要联系跟单确认是否需要修改贴纸资料
Remark: 2. 日期跟踪码：产品包装及产品本身都必须有日期跟踪码，并且确保两者的日期跟踪码要一致；ZURU标准格式日期码(请自行调整具体年月日生产期，但不能为周
 末）。
 PS: 毛绒布标贴纸日期码可以不保持一致。
 3. 订单外箱：
 *只需在外箱4面的正上方印ZURU LOGO；3面印MADE IN CHINA字样，一面留空贴外箱贴；
 *外箱正面需要额外加贴2张外箱贴（外箱贴客户提供，工厂直接贴）；
 *外箱贴位置：shipping label贴于外箱正面左下角；product label 贴于外箱正面右下角，2张贴纸都需距离外箱边缘至少3CM。
 4. 此客户有2个PO:
 PO# 02263918 ship to NJ,
 PO# 02263919 ship to NV,
 5. 出货配比：ZURU MA 配比；</t>
  </si>
  <si>
    <r>
      <rPr>
        <sz val="12"/>
        <color rgb="FF000000"/>
        <rFont val="宋体"/>
        <charset val="134"/>
      </rPr>
      <t>Mila</t>
    </r>
    <r>
      <rPr>
        <sz val="11"/>
        <color rgb="FF000000"/>
        <rFont val="宋体"/>
        <charset val="134"/>
        <scheme val="minor"/>
      </rPr>
      <t xml:space="preserve">  </t>
    </r>
    <r>
      <rPr>
        <sz val="11"/>
        <color rgb="FF000000"/>
        <rFont val="宋体"/>
        <charset val="134"/>
        <scheme val="minor"/>
      </rPr>
      <t>Yao</t>
    </r>
  </si>
  <si>
    <t>02263919</t>
  </si>
  <si>
    <t>4500219357-80</t>
  </si>
  <si>
    <t>10001964614-0581</t>
  </si>
  <si>
    <t>4500219822-10</t>
  </si>
  <si>
    <r>
      <rPr>
        <sz val="12"/>
        <color rgb="FF000000"/>
        <rFont val="宋体"/>
        <charset val="134"/>
      </rPr>
      <t>日期码格式：ZURU</t>
    </r>
    <r>
      <rPr>
        <sz val="11"/>
        <color rgb="FF000000"/>
        <rFont val="宋体"/>
        <charset val="134"/>
        <scheme val="minor"/>
      </rPr>
      <t xml:space="preserve">  </t>
    </r>
    <r>
      <rPr>
        <sz val="11"/>
        <color rgb="FF000000"/>
        <rFont val="宋体"/>
        <charset val="134"/>
        <scheme val="minor"/>
      </rPr>
      <t>INC(BVI)</t>
    </r>
    <r>
      <rPr>
        <sz val="11"/>
        <color rgb="FF000000"/>
        <rFont val="宋体"/>
        <charset val="134"/>
        <scheme val="minor"/>
      </rPr>
      <t xml:space="preserve">  </t>
    </r>
    <r>
      <rPr>
        <sz val="11"/>
        <color rgb="FF000000"/>
        <rFont val="宋体"/>
        <charset val="134"/>
        <scheme val="minor"/>
      </rPr>
      <t>标准格式</t>
    </r>
    <r>
      <rPr>
        <sz val="11"/>
        <color rgb="FF000000"/>
        <rFont val="宋体"/>
        <charset val="134"/>
        <scheme val="minor"/>
      </rPr>
      <t xml:space="preserve">                                    </t>
    </r>
    <r>
      <rPr>
        <sz val="11"/>
        <color rgb="FF000000"/>
        <rFont val="宋体"/>
        <charset val="134"/>
        <scheme val="minor"/>
      </rPr>
      <t>日期：按实际生产日期</t>
    </r>
    <r>
      <rPr>
        <sz val="11"/>
        <color rgb="FF000000"/>
        <rFont val="宋体"/>
        <charset val="134"/>
        <scheme val="minor"/>
      </rPr>
      <t xml:space="preserve">
</t>
    </r>
    <r>
      <rPr>
        <sz val="11"/>
        <color rgb="FF000000"/>
        <rFont val="宋体"/>
        <charset val="134"/>
        <scheme val="minor"/>
      </rPr>
      <t>Packaging Info: 产品包装</t>
    </r>
    <r>
      <rPr>
        <sz val="11"/>
        <color rgb="FF000000"/>
        <rFont val="宋体"/>
        <charset val="134"/>
        <scheme val="minor"/>
      </rPr>
      <t xml:space="preserve">  </t>
    </r>
    <r>
      <rPr>
        <sz val="11"/>
        <color rgb="FF000000"/>
        <rFont val="宋体"/>
        <charset val="134"/>
        <scheme val="minor"/>
      </rPr>
      <t>客版收缩膜+MA</t>
    </r>
    <r>
      <rPr>
        <sz val="11"/>
        <color rgb="FF000000"/>
        <rFont val="宋体"/>
        <charset val="134"/>
        <scheme val="minor"/>
      </rPr>
      <t xml:space="preserve">  </t>
    </r>
    <r>
      <rPr>
        <sz val="11"/>
        <color rgb="FF000000"/>
        <rFont val="宋体"/>
        <charset val="134"/>
        <scheme val="minor"/>
      </rPr>
      <t>5L</t>
    </r>
    <r>
      <rPr>
        <sz val="11"/>
        <color rgb="FF000000"/>
        <rFont val="宋体"/>
        <charset val="134"/>
        <scheme val="minor"/>
      </rPr>
      <t xml:space="preserve">  </t>
    </r>
    <r>
      <rPr>
        <sz val="11"/>
        <color rgb="FF000000"/>
        <rFont val="宋体"/>
        <charset val="134"/>
        <scheme val="minor"/>
      </rPr>
      <t>收藏指南+MA</t>
    </r>
    <r>
      <rPr>
        <sz val="11"/>
        <color rgb="FF000000"/>
        <rFont val="宋体"/>
        <charset val="134"/>
        <scheme val="minor"/>
      </rPr>
      <t xml:space="preserve">  </t>
    </r>
    <r>
      <rPr>
        <sz val="11"/>
        <color rgb="FF000000"/>
        <rFont val="宋体"/>
        <charset val="134"/>
        <scheme val="minor"/>
      </rPr>
      <t>23L</t>
    </r>
    <r>
      <rPr>
        <sz val="11"/>
        <color rgb="FF000000"/>
        <rFont val="宋体"/>
        <charset val="134"/>
        <scheme val="minor"/>
      </rPr>
      <t xml:space="preserve">  </t>
    </r>
    <r>
      <rPr>
        <sz val="11"/>
        <color rgb="FF000000"/>
        <rFont val="宋体"/>
        <charset val="134"/>
        <scheme val="minor"/>
      </rPr>
      <t>组装说明+客版PDQ；客版收缩膜和客版PDQ翻单4500218119</t>
    </r>
    <r>
      <rPr>
        <sz val="11"/>
        <color rgb="FF000000"/>
        <rFont val="宋体"/>
        <charset val="134"/>
        <scheme val="minor"/>
      </rPr>
      <t xml:space="preserve">
</t>
    </r>
    <r>
      <rPr>
        <sz val="11"/>
        <color rgb="FF000000"/>
        <rFont val="宋体"/>
        <charset val="134"/>
        <scheme val="minor"/>
      </rPr>
      <t>Remark: 1.77772GQ5-S001-MINI</t>
    </r>
    <r>
      <rPr>
        <sz val="11"/>
        <color rgb="FF000000"/>
        <rFont val="宋体"/>
        <charset val="134"/>
        <scheme val="minor"/>
      </rPr>
      <t xml:space="preserve">  </t>
    </r>
    <r>
      <rPr>
        <sz val="11"/>
        <color rgb="FF000000"/>
        <rFont val="宋体"/>
        <charset val="134"/>
        <scheme val="minor"/>
      </rPr>
      <t>BRANDS-VINYL-SERIES</t>
    </r>
    <r>
      <rPr>
        <sz val="11"/>
        <color rgb="FF000000"/>
        <rFont val="宋体"/>
        <charset val="134"/>
        <scheme val="minor"/>
      </rPr>
      <t xml:space="preserve">  </t>
    </r>
    <r>
      <rPr>
        <sz val="11"/>
        <color rgb="FF000000"/>
        <rFont val="宋体"/>
        <charset val="134"/>
        <scheme val="minor"/>
      </rPr>
      <t>1-CAPSULE,WITH</t>
    </r>
    <r>
      <rPr>
        <sz val="11"/>
        <color rgb="FF000000"/>
        <rFont val="宋体"/>
        <charset val="134"/>
        <scheme val="minor"/>
      </rPr>
      <t xml:space="preserve">  </t>
    </r>
    <r>
      <rPr>
        <sz val="11"/>
        <color rgb="FF000000"/>
        <rFont val="宋体"/>
        <charset val="134"/>
        <scheme val="minor"/>
      </rPr>
      <t>DEMO,25PCS/GRAVITY</t>
    </r>
    <r>
      <rPr>
        <sz val="11"/>
        <color rgb="FF000000"/>
        <rFont val="宋体"/>
        <charset val="134"/>
        <scheme val="minor"/>
      </rPr>
      <t xml:space="preserve">  </t>
    </r>
    <r>
      <rPr>
        <sz val="11"/>
        <color rgb="FF000000"/>
        <rFont val="宋体"/>
        <charset val="134"/>
        <scheme val="minor"/>
      </rPr>
      <t>PDQ,25PCS/PDQ/CTN;</t>
    </r>
    <r>
      <rPr>
        <sz val="11"/>
        <color rgb="FF000000"/>
        <rFont val="宋体"/>
        <charset val="134"/>
        <scheme val="minor"/>
      </rPr>
      <t xml:space="preserve">
</t>
    </r>
    <r>
      <rPr>
        <sz val="11"/>
        <color rgb="FF000000"/>
        <rFont val="宋体"/>
        <charset val="134"/>
        <scheme val="minor"/>
      </rPr>
      <t>2.产品包装</t>
    </r>
    <r>
      <rPr>
        <sz val="11"/>
        <color rgb="FF000000"/>
        <rFont val="宋体"/>
        <charset val="134"/>
        <scheme val="minor"/>
      </rPr>
      <t xml:space="preserve">  </t>
    </r>
    <r>
      <rPr>
        <sz val="11"/>
        <color rgb="FF000000"/>
        <rFont val="宋体"/>
        <charset val="134"/>
        <scheme val="minor"/>
      </rPr>
      <t>客版收缩膜+MA</t>
    </r>
    <r>
      <rPr>
        <sz val="11"/>
        <color rgb="FF000000"/>
        <rFont val="宋体"/>
        <charset val="134"/>
        <scheme val="minor"/>
      </rPr>
      <t xml:space="preserve">  </t>
    </r>
    <r>
      <rPr>
        <sz val="11"/>
        <color rgb="FF000000"/>
        <rFont val="宋体"/>
        <charset val="134"/>
        <scheme val="minor"/>
      </rPr>
      <t>5L</t>
    </r>
    <r>
      <rPr>
        <sz val="11"/>
        <color rgb="FF000000"/>
        <rFont val="宋体"/>
        <charset val="134"/>
        <scheme val="minor"/>
      </rPr>
      <t xml:space="preserve">  </t>
    </r>
    <r>
      <rPr>
        <sz val="11"/>
        <color rgb="FF000000"/>
        <rFont val="宋体"/>
        <charset val="134"/>
        <scheme val="minor"/>
      </rPr>
      <t>收藏指南+MA</t>
    </r>
    <r>
      <rPr>
        <sz val="11"/>
        <color rgb="FF000000"/>
        <rFont val="宋体"/>
        <charset val="134"/>
        <scheme val="minor"/>
      </rPr>
      <t xml:space="preserve">  </t>
    </r>
    <r>
      <rPr>
        <sz val="11"/>
        <color rgb="FF000000"/>
        <rFont val="宋体"/>
        <charset val="134"/>
        <scheme val="minor"/>
      </rPr>
      <t>23L</t>
    </r>
    <r>
      <rPr>
        <sz val="11"/>
        <color rgb="FF000000"/>
        <rFont val="宋体"/>
        <charset val="134"/>
        <scheme val="minor"/>
      </rPr>
      <t xml:space="preserve">  </t>
    </r>
    <r>
      <rPr>
        <sz val="11"/>
        <color rgb="FF000000"/>
        <rFont val="宋体"/>
        <charset val="134"/>
        <scheme val="minor"/>
      </rPr>
      <t>组装说明+客版PDQ；客版收缩膜和客版PDQ翻单4500218119；收缩膜上的UPC显示193052118721</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4</t>
    </r>
    <r>
      <rPr>
        <sz val="11"/>
        <color rgb="FF000000"/>
        <rFont val="宋体"/>
        <charset val="134"/>
        <scheme val="minor"/>
      </rPr>
      <t xml:space="preserve">    </t>
    </r>
    <r>
      <rPr>
        <sz val="11"/>
        <color rgb="FF000000"/>
        <rFont val="宋体"/>
        <charset val="134"/>
        <scheme val="minor"/>
      </rPr>
      <t>mini</t>
    </r>
    <r>
      <rPr>
        <sz val="11"/>
        <color rgb="FF000000"/>
        <rFont val="宋体"/>
        <charset val="134"/>
        <scheme val="minor"/>
      </rPr>
      <t xml:space="preserve">  </t>
    </r>
    <r>
      <rPr>
        <sz val="11"/>
        <color rgb="FF000000"/>
        <rFont val="宋体"/>
        <charset val="134"/>
        <scheme val="minor"/>
      </rPr>
      <t>vinyls(1</t>
    </r>
    <r>
      <rPr>
        <sz val="11"/>
        <color rgb="FF000000"/>
        <rFont val="宋体"/>
        <charset val="134"/>
        <scheme val="minor"/>
      </rPr>
      <t xml:space="preserve">  </t>
    </r>
    <r>
      <rPr>
        <sz val="11"/>
        <color rgb="FF000000"/>
        <rFont val="宋体"/>
        <charset val="134"/>
        <scheme val="minor"/>
      </rPr>
      <t>Target</t>
    </r>
    <r>
      <rPr>
        <sz val="11"/>
        <color rgb="FF000000"/>
        <rFont val="宋体"/>
        <charset val="134"/>
        <scheme val="minor"/>
      </rPr>
      <t xml:space="preserve">  </t>
    </r>
    <r>
      <rPr>
        <sz val="11"/>
        <color rgb="FF000000"/>
        <rFont val="宋体"/>
        <charset val="134"/>
        <scheme val="minor"/>
      </rPr>
      <t>US</t>
    </r>
    <r>
      <rPr>
        <sz val="11"/>
        <color rgb="FF000000"/>
        <rFont val="宋体"/>
        <charset val="134"/>
        <scheme val="minor"/>
      </rPr>
      <t xml:space="preserve">  </t>
    </r>
    <r>
      <rPr>
        <sz val="11"/>
        <color rgb="FF000000"/>
        <rFont val="宋体"/>
        <charset val="134"/>
        <scheme val="minor"/>
      </rPr>
      <t>Exclusive),1</t>
    </r>
    <r>
      <rPr>
        <sz val="11"/>
        <color rgb="FF000000"/>
        <rFont val="宋体"/>
        <charset val="134"/>
        <scheme val="minor"/>
      </rPr>
      <t xml:space="preserve">  </t>
    </r>
    <r>
      <rPr>
        <sz val="11"/>
        <color rgb="FF000000"/>
        <rFont val="宋体"/>
        <charset val="134"/>
        <scheme val="minor"/>
      </rPr>
      <t>accessory;</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3.</t>
    </r>
    <r>
      <rPr>
        <sz val="11"/>
        <color rgb="FF000000"/>
        <rFont val="宋体"/>
        <charset val="134"/>
        <scheme val="minor"/>
      </rPr>
      <t xml:space="preserve">  </t>
    </r>
    <r>
      <rPr>
        <sz val="11"/>
        <color rgb="FF000000"/>
        <rFont val="宋体"/>
        <charset val="134"/>
        <scheme val="minor"/>
      </rPr>
      <t>外箱正唛左上角位置粘贴条码箱贴纸，每箱只贴一张，由ZURU订购。来料贴纸上显示的客户DPCI#</t>
    </r>
    <r>
      <rPr>
        <sz val="11"/>
        <color rgb="FF000000"/>
        <rFont val="宋体"/>
        <charset val="134"/>
        <scheme val="minor"/>
      </rPr>
      <t xml:space="preserve">  </t>
    </r>
    <r>
      <rPr>
        <sz val="11"/>
        <color rgb="FF000000"/>
        <rFont val="宋体"/>
        <charset val="134"/>
        <scheme val="minor"/>
      </rPr>
      <t>086-02-7610,</t>
    </r>
    <r>
      <rPr>
        <sz val="11"/>
        <color rgb="FF000000"/>
        <rFont val="宋体"/>
        <charset val="134"/>
        <scheme val="minor"/>
      </rPr>
      <t xml:space="preserve">  </t>
    </r>
    <r>
      <rPr>
        <sz val="11"/>
        <color rgb="FF000000"/>
        <rFont val="宋体"/>
        <charset val="134"/>
        <scheme val="minor"/>
      </rPr>
      <t>UPC显示10193052118728;</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4.</t>
    </r>
    <r>
      <rPr>
        <sz val="11"/>
        <color rgb="FF000000"/>
        <rFont val="宋体"/>
        <charset val="134"/>
        <scheme val="minor"/>
      </rPr>
      <t xml:space="preserve">  </t>
    </r>
    <r>
      <rPr>
        <sz val="11"/>
        <color rgb="FF000000"/>
        <rFont val="宋体"/>
        <charset val="134"/>
        <scheme val="minor"/>
      </rPr>
      <t>产品和包装上均要印刷tracking</t>
    </r>
    <r>
      <rPr>
        <sz val="11"/>
        <color rgb="FF000000"/>
        <rFont val="宋体"/>
        <charset val="134"/>
        <scheme val="minor"/>
      </rPr>
      <t xml:space="preserve">  </t>
    </r>
    <r>
      <rPr>
        <sz val="11"/>
        <color rgb="FF000000"/>
        <rFont val="宋体"/>
        <charset val="134"/>
        <scheme val="minor"/>
      </rPr>
      <t>code信息，格式为ZURU常规格式；</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5.</t>
    </r>
    <r>
      <rPr>
        <sz val="11"/>
        <color rgb="FF000000"/>
        <rFont val="宋体"/>
        <charset val="134"/>
        <scheme val="minor"/>
      </rPr>
      <t xml:space="preserve">  </t>
    </r>
    <r>
      <rPr>
        <sz val="11"/>
        <color rgb="FF000000"/>
        <rFont val="宋体"/>
        <charset val="134"/>
        <scheme val="minor"/>
      </rPr>
      <t>需要我司QC验货之后才能安排出货；</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6.</t>
    </r>
    <r>
      <rPr>
        <sz val="11"/>
        <color rgb="FF000000"/>
        <rFont val="宋体"/>
        <charset val="134"/>
        <scheme val="minor"/>
      </rPr>
      <t xml:space="preserve">  </t>
    </r>
    <r>
      <rPr>
        <sz val="11"/>
        <color rgb="FF000000"/>
        <rFont val="宋体"/>
        <charset val="134"/>
        <scheme val="minor"/>
      </rPr>
      <t>出货方式：</t>
    </r>
    <r>
      <rPr>
        <sz val="11"/>
        <color rgb="FF000000"/>
        <rFont val="宋体"/>
        <charset val="134"/>
        <scheme val="minor"/>
      </rPr>
      <t xml:space="preserve">     </t>
    </r>
    <r>
      <rPr>
        <sz val="11"/>
        <color rgb="FF000000"/>
        <rFont val="宋体"/>
        <charset val="134"/>
        <scheme val="minor"/>
      </rPr>
      <t>货代自提；</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7.</t>
    </r>
    <r>
      <rPr>
        <sz val="11"/>
        <color rgb="FF000000"/>
        <rFont val="宋体"/>
        <charset val="134"/>
        <scheme val="minor"/>
      </rPr>
      <t xml:space="preserve">  </t>
    </r>
    <r>
      <rPr>
        <sz val="11"/>
        <color rgb="FF000000"/>
        <rFont val="宋体"/>
        <charset val="134"/>
        <scheme val="minor"/>
      </rPr>
      <t>用新配比生产（不要18号、21号、23号碟片）</t>
    </r>
  </si>
  <si>
    <r>
      <rPr>
        <sz val="12"/>
        <rFont val="宋体"/>
        <charset val="134"/>
      </rPr>
      <t>Holly</t>
    </r>
    <r>
      <rPr>
        <sz val="11"/>
        <color rgb="FF000000"/>
        <rFont val="宋体"/>
        <charset val="134"/>
        <scheme val="minor"/>
      </rPr>
      <t xml:space="preserve">  </t>
    </r>
    <r>
      <rPr>
        <sz val="11"/>
        <color rgb="FF000000"/>
        <rFont val="宋体"/>
        <charset val="134"/>
        <scheme val="minor"/>
      </rPr>
      <t>Zheng</t>
    </r>
  </si>
  <si>
    <t>无bom</t>
  </si>
  <si>
    <t>10001964620-0581</t>
  </si>
  <si>
    <t>4500219823-10</t>
  </si>
  <si>
    <t>DOLGENCORP, LLC - POPSHELF</t>
  </si>
  <si>
    <t>2D1W53</t>
  </si>
  <si>
    <t>4500218058-20</t>
  </si>
  <si>
    <t>77772GQ8-SLB-S001</t>
  </si>
  <si>
    <t>日期码格式：ZURU  INC(BVI) 标准格式                                    日期：按实际生产日期
Packaging Info: 1.包装：    ZURU MA 包装  + ZURU MA PDQ（如带PDQ）+ ZURU说明书或收藏指南（如带有）。MA包材优选1L。
大货外箱材质用ZURUMA的标准规格即可。
客户要求：     "产品和包装不能含有PFAS  物质以及1,4  dioxane"出口美国，客户指定实验室做产品测美国标准的实际测试。On  and  after 20  April 2024, toys mus
t comply with  ASTM  F963-23.
  2.日期码：产品和包装上必须有ZURU MA格式日期码。2者保持一致，避开周末。
  3. 此单无价贴。
  4. 无样板需求
  5.此单是DDP  term，无第三方验货要求。
  6 .箱唛：此客人要求严格，外箱不接受水贴纸，外箱唛头是客户版本的，跟单邮件发送。
  7 .此客人不接受任何理由的延期，会有高额罚金产生.
  8.此单每款打SLIP  SHEET纸滑托后整柜出货.跟单邮件发送打SLIP  SHEET的装载图和具体要求。
  9.出货配比：MA配比。
  10.以下是每款的spec：
77794UQ1-SLB-S002-MINI BRANDS-VINYL-PLAYSET-SERIES 1-CUBE,8PCS/PDQ/CTN,432PCS/54CTN/SLIP SHEET
具体产品item：77794UQ1-S002
客人SKU#45494701
产品描述：PSZ26 DDP MB VINYL PLYST
ZURU MA UPC#193052090409
77772GQ8-SLB-S001-MINI BRANDS-VINYL-SERIES 1-CAPSULE,WITH DEMO,24PCS/GRAVITY PDQ/CTN,720PCS/30CTN/SLIP SHEET
具体产品item：77772GQ8-S002
客人SKU#45494901
产品描述：PSZ26 DDP MB VINYL CAPS
ZURU MA UPC#  193052090065</t>
  </si>
  <si>
    <t>Hailey Yu</t>
  </si>
  <si>
    <t>DIAMANT TOYS LTD</t>
  </si>
  <si>
    <t>以色列</t>
  </si>
  <si>
    <t>4500217564-30</t>
  </si>
  <si>
    <t>77772GQ8-S
001-INT</t>
  </si>
  <si>
    <t>日期码格式：ZURU  INC(BVI) 标准格式                                    日期：按实际生产日期
Remark: MA UPC 1L 包装+进口商贴纸；    PDQ+进口商贴纸</t>
  </si>
  <si>
    <t>4500215777-20</t>
  </si>
  <si>
    <t>77772GQ1-S001-INT</t>
  </si>
  <si>
    <t>日期码格式：ZURU INC(BVI) 标准格式                  日期：按实际生产日期
Packaging Info: MA PKG , 优先1L , MA 1L PDQ , MA 收藏指南/说明书</t>
  </si>
  <si>
    <t>FB15092</t>
  </si>
  <si>
    <t>4500214762-80</t>
  </si>
  <si>
    <t>FB15093</t>
  </si>
  <si>
    <t>4500214762-70</t>
  </si>
  <si>
    <t>4500216785-40</t>
  </si>
  <si>
    <t>AG260167-HK</t>
  </si>
  <si>
    <t>4500218190-30</t>
  </si>
  <si>
    <t>欠HK客供警语贴纸</t>
  </si>
  <si>
    <r>
      <rPr>
        <sz val="12"/>
        <color rgb="FF000000"/>
        <rFont val="宋体"/>
        <charset val="134"/>
      </rPr>
      <t xml:space="preserve">日期码格式：ZURU INC(BVI) 标准格式 日期：按实际生产日期
Packaging Info: 此单出HK(2400pcs）和TW （1500pcs)
HK: #77869 : </t>
    </r>
    <r>
      <rPr>
        <sz val="12"/>
        <color rgb="FFFF0000"/>
        <rFont val="宋体"/>
        <charset val="134"/>
      </rPr>
      <t>客制3L彩盒(彩盒翻单PO#4500202802</t>
    </r>
    <r>
      <rPr>
        <sz val="12"/>
        <color rgb="FF000000"/>
        <rFont val="宋体"/>
        <charset val="134"/>
      </rPr>
      <t xml:space="preserve">），MA 说明书和收藏指南+HK客供警语贴纸
</t>
    </r>
    <r>
      <rPr>
        <sz val="12"/>
        <color rgb="FFFF0000"/>
        <rFont val="宋体"/>
        <charset val="134"/>
      </rPr>
      <t>子件77772: MA英语UPC版本包装（收缩膜和说明书, MA首选1L，如无1L可用多语且含英语的配套多语包装) +MA客制收藏指南
子件77794: MA英语UPC版本包装（收缩膜和说明书, MA首选1L，如无1L可用多语且含英语的配套多语包装)
2PK 77772( remove Messy &lt;(&gt;&amp;&lt;)&gt; Delicious vinyl minis) + 77794 PLAYSET COMBO IN COLOR BOX"</t>
    </r>
    <r>
      <rPr>
        <sz val="12"/>
        <color rgb="FF000000"/>
        <rFont val="宋体"/>
        <charset val="134"/>
      </rPr>
      <t xml:space="preserve">
Remark:</t>
    </r>
  </si>
  <si>
    <t>AG260167-TW</t>
  </si>
  <si>
    <t>4500218190-40</t>
  </si>
  <si>
    <t>欠警语贴纸</t>
  </si>
  <si>
    <r>
      <rPr>
        <sz val="12"/>
        <color rgb="FF000000"/>
        <rFont val="宋体"/>
        <charset val="134"/>
      </rPr>
      <t>日期码格式：ZURU INC(BVI) 标准格式 日期：按实际生产日期
Packaging Info: 此单出HK(2400pcs）和TW （1500pcs)
TW:#</t>
    </r>
    <r>
      <rPr>
        <sz val="12"/>
        <color rgb="FFFF0000"/>
        <rFont val="宋体"/>
        <charset val="134"/>
      </rPr>
      <t>77869: 客制3L彩盒(彩盒翻单PO#4500202802）</t>
    </r>
    <r>
      <rPr>
        <sz val="12"/>
        <color rgb="FF000000"/>
        <rFont val="宋体"/>
        <charset val="134"/>
      </rPr>
      <t xml:space="preserve">+ 1张警语贴纸
</t>
    </r>
    <r>
      <rPr>
        <sz val="12"/>
        <color rgb="FFFF0000"/>
        <rFont val="宋体"/>
        <charset val="134"/>
      </rPr>
      <t>子件77772: MA英语UPC版本包装（收缩膜和说明书, MA首选1L，如无1L可用多语且含英语的配套多语包装) +MA客制收藏指南
子件77794: MA英语UPC版本包装（收缩膜和说明书, MA首选1L，如无1L可用多语且含英语的配套多语包装)
2PK 77772( remove Messy &lt;(&gt;&amp;&lt;)&gt; Delicious vinyl minis) + 77794 PLAYSET COMBO IN COLOR BOX"</t>
    </r>
    <r>
      <rPr>
        <sz val="12"/>
        <color rgb="FF000000"/>
        <rFont val="宋体"/>
        <charset val="134"/>
      </rPr>
      <t xml:space="preserve">
Remark:</t>
    </r>
  </si>
  <si>
    <t>4500219195</t>
  </si>
  <si>
    <t>4500219195-10</t>
  </si>
  <si>
    <t>日期码格式：ZURU  INC(BVI) 标准格式                                    日期：按实际生产日期
Packaging Info: 优先ZURU MA 1L包装，显示ZURU UPC条码，出口美国
Remark: 1、无第三方测试和验货；Zuru  QC  验货即可出货；
  2、如果产品含塑胶袋，厚度小于1/1000  inch（0.0254  毫米），需印警告语</t>
  </si>
  <si>
    <t>4500218804-10</t>
  </si>
  <si>
    <t xml:space="preserve"> 外箱印刷 ZURU LOGO + 四面印刷 MADE IN CHINA + 定位框，尺寸4"x6" (用于黏贴外箱贴）</t>
  </si>
  <si>
    <t>欠客供外箱贴纸</t>
  </si>
  <si>
    <t>日期码格式：ZURU  INC(BVI)  标准格式                                    日期：按实际生产日期
Packaging Info: 1.  此为Kohl's  ECOM  订单，    MA  UPC  包装  (首选1L)+  客供外箱贴纸
Remark: 2.  外箱印刷  ZURU  LOGO  +  四面印刷  MADE  IN  CHINA  +  定位框，尺寸4"x6"  (用于黏贴外箱贴）
    3.  无箱唛但需提供每款实际外箱尺寸排版确认定位框，ECOM  订单的定位框位置要在：箱子的最大面积朝上后，定位框在最小面的右下角，距离箱子右边3英寸，
    距离底部1.25英寸，贴纸要按定位框贴，位置与方向贴不对会有客户罚款需由工厂承担
外箱贴落在封箱面的：贴纸的条码是不可以落在箱子开口处以及折角处的，     这样都是会影响客人扫描导致罚款。    若有这样的情况需要和跟单沟通后再粘贴
    4.  外箱毛重超过35LB/15.88KG  外箱四面需要加黄色超重  Team  Lift  贴
    5.  产品入箱后，外箱的每个面都需要是平整，不能有鼓起
    6.  收到外箱贴纸需要扫描上传ICE系统（出货前必须完成），上传的条码信息必须跟实际出货一致，贴纸备品不需要扫描。如有不同产生的罚款由工厂承担。
    7.  需经ZURU验货通过后才可出货。
    8.  客户有严格要求，若由工厂导致的罚款ZURU  都会向工厂收回。</t>
  </si>
  <si>
    <r>
      <rPr>
        <sz val="12"/>
        <color rgb="FF000000"/>
        <rFont val="宋体"/>
        <charset val="134"/>
      </rPr>
      <t>Jessi</t>
    </r>
    <r>
      <rPr>
        <sz val="11"/>
        <color rgb="FF000000"/>
        <rFont val="宋体"/>
        <charset val="134"/>
        <scheme val="minor"/>
      </rPr>
      <t xml:space="preserve">  Xu</t>
    </r>
  </si>
  <si>
    <t>4500218808-10</t>
  </si>
  <si>
    <t>价格贴纸 （覆盖产品UPC 条码，不能覆盖到made in China 字样）+欠 客供外箱贴纸
 价格贴和位置翻 PO#4500208214</t>
  </si>
  <si>
    <t>日期码格式：ZURU  INC(BVI)  标准格式                                    日期：按实际生产日期
Packaging Info: 1.  此为Kohl's  store  订单,  MA  UPC包装(首选1L)  +  价格贴纸    （覆盖产品UPC  条码，不能覆盖到made  in  China  字样）+  客供外箱贴纸
价格贴和位置翻  PO#4500208214
Remark: 2.  外箱印刷  ZURU  LOGO  +  四面印刷  MADE  IN  CHINA  +  定位框，尺寸4"x6"  (用于黏贴外箱贴）
    3.  无箱唛但需提供每款实际外箱尺寸排版确认定位框，store  订单的定位框位置要在：箱子的最大面朝上后，定位框在箱子的第二大面的右下角，距离箱子右边3
    英寸，距离底部1.25英寸,  贴纸要按定位框贴，位置与方向贴不对会有客户罚款需由工厂承担
外箱贴落在封箱面的：贴纸的条码是不可以落在箱子开口处以及折角处的，     这样都是会影响客人扫描导致罚款。    若有这样的情况需要和跟单沟通后再粘贴
    4.  产品入箱后，外箱的每个面都需要是平整，不能有鼓起
    5.  外箱毛重超过35LB/15.88KG  外箱四面需要加黄色超重  Team  Lift  贴
    6.  收到外箱贴纸需要扫描上传ICE系统（出货前必须完成），上传的条码信息必须跟实际出货一致，贴纸备品不需要扫描。如有不同产生的罚款由工厂承担。
    7.  需经ZURU验货通过后才可出货。
    8.  客户有严格要求，若由工厂导致的罚款ZURU都会向工厂收回。</t>
  </si>
  <si>
    <t>4500215423-30</t>
  </si>
  <si>
    <t>欠外箱贴纸SSCC  Label+防盜贴纸(贴纸以及防盜贴纸位置图翻单PO#4500193539)</t>
  </si>
  <si>
    <t>客制PDQ（PDQ翻单PO#4500197999）+客制B版收藏指南（收藏指南翻单PO#4500202802的77869的子件77772）</t>
  </si>
  <si>
    <r>
      <rPr>
        <sz val="12"/>
        <color rgb="FF000000"/>
        <rFont val="宋体"/>
        <charset val="134"/>
      </rPr>
      <t>日期码格式：ZURU INC(BVI) 标准格式 日期：按实际生产日期
Packaging Info: 
77772GQ1:MA英语UPC版本包装（收缩膜和说明书, MA首选1L，如无1L可用多语且含英语的配套多语包装) +一张防盗贴纸(贴纸以及防盜贴纸位置图翻单PO#450019353
9)+客制PDQ（PDQ翻单PO#4500197999）+客制B版收藏指南（收藏指南翻单PO#4500202802的77869的子件77772）+箱唛+外箱贴纸SSCC Label
配比信息：4 mini vinyls,1 accessory</t>
    </r>
    <r>
      <rPr>
        <sz val="12"/>
        <color rgb="FFFF0000"/>
        <rFont val="宋体"/>
        <charset val="134"/>
      </rPr>
      <t>(增加了新唱片""Sweet caroline"")</t>
    </r>
    <r>
      <rPr>
        <sz val="12"/>
        <color rgb="FF000000"/>
        <rFont val="宋体"/>
        <charset val="134"/>
      </rPr>
      <t xml:space="preserve">
Removed了 """"Messy &lt;(&gt;&amp;&lt;)&gt; Delicious""""两张唱片"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10.所有带纽扣电池的产品都需要在产品包装以及说明书上贴纽扣电池警告语贴纸
此单需要与NZ PO#4500215424一起合并计算</t>
    </r>
  </si>
  <si>
    <r>
      <rPr>
        <sz val="12"/>
        <color rgb="FF000000"/>
        <rFont val="宋体"/>
        <charset val="134"/>
      </rPr>
      <t>Louise</t>
    </r>
    <r>
      <rPr>
        <sz val="11"/>
        <color rgb="FF000000"/>
        <rFont val="宋体"/>
        <charset val="134"/>
        <scheme val="minor"/>
      </rPr>
      <t xml:space="preserve">  Lu</t>
    </r>
  </si>
  <si>
    <t>77772GQ8-S001-INT</t>
  </si>
  <si>
    <t>4500215424-20</t>
  </si>
  <si>
    <t>欠外箱贴纸SSCC Label+防盜贴纸(贴纸以及防盜贴纸位置图翻单PO#450019353
9)</t>
  </si>
  <si>
    <r>
      <rPr>
        <sz val="12"/>
        <color rgb="FF000000"/>
        <rFont val="宋体"/>
        <charset val="134"/>
      </rPr>
      <t>日期码格式：ZURU  INC(BVI)  标准格式                                    日期：按实际生产日期
Packaging Info:
77772GQ1:MA英语UPC版本包装（收缩膜和说明书,  MA首选1L，如无1L可用多语且含英语的配套多语包装)  +一张防盜贴纸(贴纸以及防盜贴纸位置图翻单PO#450019353
9)+客制PDQ（PDQ翻单PO#4500197999）+客制B版收藏指南（收藏指南翻单PO#4500202802的77869的子件77772）+箱唛+外箱贴纸SSCC  Label
配比信息：4    mini  vinyls,1  accessory</t>
    </r>
    <r>
      <rPr>
        <sz val="12"/>
        <color rgb="FFFF0000"/>
        <rFont val="宋体"/>
        <charset val="134"/>
      </rPr>
      <t>(增加了新唱片""Sweet caroline"")</t>
    </r>
    <r>
      <rPr>
        <sz val="12"/>
        <color rgb="FF000000"/>
        <rFont val="宋体"/>
        <charset val="134"/>
      </rPr>
      <t xml:space="preserve">
Removed了  """"Messy  &lt;(&gt;&amp;&lt;)&gt;  Delicious""""两张唱片"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 13,10-16kg  超重logo
   2）CBM超过0. 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10.所有带纽扣电池的产品都需要在产品包装以及说明书上贴纽扣电池警告语贴纸
此单需要与AU  PO#4500215423一起合并计算</t>
    </r>
  </si>
  <si>
    <t>4500218366-20</t>
  </si>
  <si>
    <t>欠+外箱贴纸SSCC Label</t>
  </si>
  <si>
    <r>
      <rPr>
        <sz val="12"/>
        <color rgb="FF000000"/>
        <rFont val="宋体"/>
        <charset val="134"/>
      </rPr>
      <t xml:space="preserve">日期码格式：ZURU INC(BVI) 标准格式 日期：按实际生产日期
Packaging Info: 
77772GQ1：MA英语UPC版本包装（收缩膜和说明书, MA首选1L，如无1L可用多语且含英语的配套多语包装) +客制PDQ +客制收藏指南（PDQ与收藏指南翻单PO#450019
7999）+外箱贴纸SSCC Label 配比信息：4 mini vinyls,1 accessory; </t>
    </r>
    <r>
      <rPr>
        <sz val="12"/>
        <color rgb="FFFF0000"/>
        <rFont val="宋体"/>
        <charset val="134"/>
      </rPr>
      <t>Removed了 "Messy &lt;(&gt;&amp;&lt;)&gt; Delicious" 两张唱片; CRD 2026/9/20 开始 roll-in VINYL-S1
-011 sweet caroline这张唱片</t>
    </r>
    <r>
      <rPr>
        <sz val="12"/>
        <color rgb="FF000000"/>
        <rFont val="宋体"/>
        <charset val="134"/>
      </rPr>
      <t xml:space="preserve">
Remark: 1. 客人要求箱唛不可出现任何手写内容，重量与实际一致且不可手写;
2. 此单去澳大利亚，请按相应澳新标准生产; 如产品含纽扣电池出货, 包装前面和说明书上需加纽扣电池警语贴纸
3. 取消使用TARGET新版封箱胶封顶，外箱全部使用普通透明封箱胶纸(客版胶纸如还有库存，可先消耗库存)；
4. 外箱需要贴Target SSCC LABEL,客供PDF文档，工厂自行订购。请贴在正唛右下角（一箱一张，贴1面正唛右下角,封箱胶纸不能挡住贴纸内容。)；外箱贴纸距离
外箱边缘应在2cm以上。如果正唛无位置可以贴在侧唛；
5. SSCC LABEL要求：贴纸内容，条形码印刷不完整/不清晰或有划痕/缺失，贴纸脏污、破损、条形码折叠、翘起、重复或者丢失，以及封箱胶盖住贴纸任何位置的
，客户都不能接受，如有发现以上异常，须返工重新贴；
6. 外箱材质为ZURU标准；
7. 产品和包装上要有tracking label信息：格式为Zuru标准格式（可以自行调整具体年月日生产日期,避开节假期日）；
8. SSCC Label 尺寸更新为：4x4 inch。</t>
    </r>
  </si>
  <si>
    <t>02634273/1</t>
  </si>
  <si>
    <t>4500218605-40</t>
  </si>
  <si>
    <t>MINISO MEXICO</t>
  </si>
  <si>
    <t>4500217692-30</t>
  </si>
  <si>
    <t>欠客人贴纸+UPC条形码</t>
  </si>
  <si>
    <r>
      <rPr>
        <sz val="12"/>
        <color rgb="FF000000"/>
        <rFont val="宋体"/>
        <charset val="134"/>
      </rPr>
      <t xml:space="preserve">日期码格式：ZURU INC(BVI) 标准格式 日期：按实际生产日期
Packaging Info: </t>
    </r>
    <r>
      <rPr>
        <sz val="12"/>
        <color rgb="FFFF0000"/>
        <rFont val="宋体"/>
        <charset val="134"/>
      </rPr>
      <t>77772GQ8: MA 3L PKG+ 1张UPC条形码</t>
    </r>
    <r>
      <rPr>
        <sz val="12"/>
        <color rgb="FF000000"/>
        <rFont val="宋体"/>
        <charset val="134"/>
      </rPr>
      <t xml:space="preserve">
Remark:</t>
    </r>
  </si>
  <si>
    <t>MELOMAN HOME VIDEO LLP</t>
  </si>
  <si>
    <t>4500218658-30</t>
  </si>
  <si>
    <t>8/3通用贴纸</t>
  </si>
  <si>
    <t>日期码格式：ZURU INC(BVI) 标准格式 日期：按实际生产日期
Packaging Info: MA UPC包装+通用贴纸,MA PDQ/说明书（如有）
请注意以下：
77772 需要移除Last Friday Night &lt;(&gt;&amp;&lt;)&gt; Delicious &lt;(&gt;&amp;&lt;)&gt; Messy 3款唱片（敏感唱片）
Remark: 标准配比；</t>
  </si>
  <si>
    <t>4500216909-10</t>
  </si>
  <si>
    <t>Packing Slip A4纸打印</t>
  </si>
  <si>
    <t>4500216909-40</t>
  </si>
  <si>
    <t>4500216909-70</t>
  </si>
  <si>
    <t>4500215427</t>
  </si>
  <si>
    <t>21975016</t>
  </si>
  <si>
    <t>4500215427-20</t>
  </si>
  <si>
    <t>欠外箱SSCC Label+防盗贴纸(贴纸以及防盜贴纸位置图翻单PO#4500193539</t>
  </si>
  <si>
    <r>
      <rPr>
        <sz val="12"/>
        <color rgb="FF000000"/>
        <rFont val="宋体"/>
        <charset val="134"/>
      </rPr>
      <t>日期码格式：ZURU</t>
    </r>
    <r>
      <rPr>
        <sz val="11"/>
        <color rgb="FF000000"/>
        <rFont val="宋体"/>
        <charset val="134"/>
        <scheme val="minor"/>
      </rPr>
      <t xml:space="preserve">  </t>
    </r>
    <r>
      <rPr>
        <sz val="11"/>
        <color rgb="FF000000"/>
        <rFont val="宋体"/>
        <charset val="134"/>
        <scheme val="minor"/>
      </rPr>
      <t>INC(BVI) 标准格式</t>
    </r>
    <r>
      <rPr>
        <sz val="11"/>
        <color rgb="FF000000"/>
        <rFont val="宋体"/>
        <charset val="134"/>
        <scheme val="minor"/>
      </rPr>
      <t xml:space="preserve">                                    </t>
    </r>
    <r>
      <rPr>
        <sz val="11"/>
        <color rgb="FF000000"/>
        <rFont val="宋体"/>
        <charset val="134"/>
        <scheme val="minor"/>
      </rPr>
      <t>日期：按实际生产日期</t>
    </r>
    <r>
      <rPr>
        <sz val="11"/>
        <color rgb="FF000000"/>
        <rFont val="宋体"/>
        <charset val="134"/>
        <scheme val="minor"/>
      </rPr>
      <t xml:space="preserve">
</t>
    </r>
    <r>
      <rPr>
        <sz val="11"/>
        <color rgb="FF000000"/>
        <rFont val="宋体"/>
        <charset val="134"/>
        <scheme val="minor"/>
      </rPr>
      <t xml:space="preserve">Packaging Info: </t>
    </r>
    <r>
      <rPr>
        <sz val="11"/>
        <color rgb="FF000000"/>
        <rFont val="宋体"/>
        <charset val="134"/>
        <scheme val="minor"/>
      </rPr>
      <t xml:space="preserve">
</t>
    </r>
    <r>
      <rPr>
        <sz val="11"/>
        <color rgb="FF000000"/>
        <rFont val="宋体"/>
        <charset val="134"/>
        <scheme val="minor"/>
      </rPr>
      <t>77772GQ1:MA英语UPC版本包装（收缩膜和说明书, MA首选1L，如无1L可用多语且含英语的配套多语包装) +一张防盗贴纸(贴纸以及防盜贴纸位置图翻单PO#450019353</t>
    </r>
    <r>
      <rPr>
        <sz val="11"/>
        <color rgb="FF000000"/>
        <rFont val="宋体"/>
        <charset val="134"/>
        <scheme val="minor"/>
      </rPr>
      <t xml:space="preserve">
</t>
    </r>
    <r>
      <rPr>
        <sz val="11"/>
        <color rgb="FF000000"/>
        <rFont val="宋体"/>
        <charset val="134"/>
        <scheme val="minor"/>
      </rPr>
      <t>9)+客制PDQ（PDQ翻单PO#4500197999）+客制B版收藏指南（收藏指南翻单PO#4500202802的77869的子件77772）+箱唛+外箱贴纸SSCC</t>
    </r>
    <r>
      <rPr>
        <sz val="11"/>
        <color rgb="FF000000"/>
        <rFont val="宋体"/>
        <charset val="134"/>
        <scheme val="minor"/>
      </rPr>
      <t xml:space="preserve">  </t>
    </r>
    <r>
      <rPr>
        <sz val="11"/>
        <color rgb="FF000000"/>
        <rFont val="宋体"/>
        <charset val="134"/>
        <scheme val="minor"/>
      </rPr>
      <t>Label</t>
    </r>
    <r>
      <rPr>
        <sz val="11"/>
        <color rgb="FF000000"/>
        <rFont val="宋体"/>
        <charset val="134"/>
        <scheme val="minor"/>
      </rPr>
      <t xml:space="preserve">
</t>
    </r>
    <r>
      <rPr>
        <sz val="11"/>
        <color rgb="FF000000"/>
        <rFont val="宋体"/>
        <charset val="134"/>
        <scheme val="minor"/>
      </rPr>
      <t>配比信息：4</t>
    </r>
    <r>
      <rPr>
        <sz val="11"/>
        <color rgb="FF000000"/>
        <rFont val="宋体"/>
        <charset val="134"/>
        <scheme val="minor"/>
      </rPr>
      <t xml:space="preserve">    </t>
    </r>
    <r>
      <rPr>
        <sz val="11"/>
        <color rgb="FF000000"/>
        <rFont val="宋体"/>
        <charset val="134"/>
        <scheme val="minor"/>
      </rPr>
      <t>mini vinyls,1</t>
    </r>
    <r>
      <rPr>
        <sz val="11"/>
        <color rgb="FF000000"/>
        <rFont val="宋体"/>
        <charset val="134"/>
        <scheme val="minor"/>
      </rPr>
      <t xml:space="preserve">  </t>
    </r>
    <r>
      <rPr>
        <sz val="11"/>
        <color rgb="FF000000"/>
        <rFont val="宋体"/>
        <charset val="134"/>
        <scheme val="minor"/>
      </rPr>
      <t>accessory(增加了新唱片""Sweet caroline"")</t>
    </r>
    <r>
      <rPr>
        <sz val="11"/>
        <color rgb="FF000000"/>
        <rFont val="宋体"/>
        <charset val="134"/>
        <scheme val="minor"/>
      </rPr>
      <t xml:space="preserve">
</t>
    </r>
    <r>
      <rPr>
        <sz val="11"/>
        <color rgb="FF000000"/>
        <rFont val="宋体"/>
        <charset val="134"/>
        <scheme val="minor"/>
      </rPr>
      <t>Removed了</t>
    </r>
    <r>
      <rPr>
        <sz val="11"/>
        <color rgb="FF000000"/>
        <rFont val="宋体"/>
        <charset val="134"/>
        <scheme val="minor"/>
      </rPr>
      <t xml:space="preserve">  </t>
    </r>
    <r>
      <rPr>
        <sz val="11"/>
        <color rgb="FF000000"/>
        <rFont val="宋体"/>
        <charset val="134"/>
        <scheme val="minor"/>
      </rPr>
      <t>""""Messy &lt;(&gt;&amp;&lt;)&gt;</t>
    </r>
    <r>
      <rPr>
        <sz val="11"/>
        <color rgb="FF000000"/>
        <rFont val="宋体"/>
        <charset val="134"/>
        <scheme val="minor"/>
      </rPr>
      <t xml:space="preserve">  </t>
    </r>
    <r>
      <rPr>
        <sz val="11"/>
        <color rgb="FF000000"/>
        <rFont val="宋体"/>
        <charset val="134"/>
        <scheme val="minor"/>
      </rPr>
      <t>Delicious""""两张唱片</t>
    </r>
    <r>
      <rPr>
        <sz val="11"/>
        <color rgb="FF000000"/>
        <rFont val="宋体"/>
        <charset val="134"/>
        <scheme val="minor"/>
      </rPr>
      <t xml:space="preserve">
</t>
    </r>
    <r>
      <rPr>
        <sz val="11"/>
        <color rgb="FF000000"/>
        <rFont val="宋体"/>
        <charset val="134"/>
        <scheme val="minor"/>
      </rPr>
      <t>Remark: 1 .请务必按时完货，验货。并且按期送货入货代指定仓库，如果晚了导致船期Delay将会有罚金产生或者客户要求空运，所产生的罚金和空运费由工厂承担。</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2.SSCC</t>
    </r>
    <r>
      <rPr>
        <sz val="11"/>
        <color rgb="FF000000"/>
        <rFont val="宋体"/>
        <charset val="134"/>
        <scheme val="minor"/>
      </rPr>
      <t xml:space="preserve">  </t>
    </r>
    <r>
      <rPr>
        <sz val="11"/>
        <color rgb="FF000000"/>
        <rFont val="宋体"/>
        <charset val="134"/>
        <scheme val="minor"/>
      </rPr>
      <t>外箱贴纸请同纸箱瓦楞纸方向（竖纹向）垂直，即外箱贴纸横着贴(注意条码不要被胶带粘住），贴1pc，贴1面正唛，封箱胶纸不能挡住贴纸内容。外箱贴纸</t>
    </r>
    <r>
      <rPr>
        <sz val="11"/>
        <color rgb="FF000000"/>
        <rFont val="宋体"/>
        <charset val="134"/>
        <scheme val="minor"/>
      </rPr>
      <t xml:space="preserve">
</t>
    </r>
    <r>
      <rPr>
        <sz val="11"/>
        <color rgb="FF000000"/>
        <rFont val="宋体"/>
        <charset val="134"/>
        <scheme val="minor"/>
      </rPr>
      <t>离外箱边距离不少于2cm。</t>
    </r>
    <r>
      <rPr>
        <sz val="11"/>
        <color rgb="FF000000"/>
        <rFont val="宋体"/>
        <charset val="134"/>
        <scheme val="minor"/>
      </rPr>
      <t xml:space="preserve">
</t>
    </r>
    <r>
      <rPr>
        <sz val="11"/>
        <color rgb="FF000000"/>
        <rFont val="宋体"/>
        <charset val="134"/>
        <scheme val="minor"/>
      </rPr>
      <t>3.外箱材质为ZURU标准；</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4.此单需使用KMART封箱胶上下工字型封箱;从2019年6月开始，要用KMART 新版封箱胶带，此单要用"ANKO"封箱胶带</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5 .此单出口澳大利亚，请按相应的澳新标准生产；</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6.产品和包装上生产批号的显示格式ZURU标准日期码格式</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7 .外箱信息不可手写，重量和体积需要与实际的一致(不可手写）</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8. 每款item装箱后的G.W.超过10KG或者CBM超过0.13,(9.5KG或者以上，四舍五入后也属于10KG) 需在外箱上加印超</t>
    </r>
    <r>
      <rPr>
        <sz val="11"/>
        <color rgb="FF000000"/>
        <rFont val="宋体"/>
        <charset val="134"/>
        <scheme val="minor"/>
      </rPr>
      <t xml:space="preserve">  </t>
    </r>
    <r>
      <rPr>
        <sz val="11"/>
        <color rgb="FF000000"/>
        <rFont val="宋体"/>
        <charset val="134"/>
        <scheme val="minor"/>
      </rPr>
      <t>重或者Bulky LOGO，若发现我们资料没有，请</t>
    </r>
    <r>
      <rPr>
        <sz val="11"/>
        <color rgb="FF000000"/>
        <rFont val="宋体"/>
        <charset val="134"/>
        <scheme val="minor"/>
      </rPr>
      <t xml:space="preserve">
</t>
    </r>
    <r>
      <rPr>
        <sz val="11"/>
        <color rgb="FF000000"/>
        <rFont val="宋体"/>
        <charset val="134"/>
        <scheme val="minor"/>
      </rPr>
      <t>帮忙提醒</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1)重量超过10kg但不超过16kg且CBM不超过0.13,10-16kg</t>
    </r>
    <r>
      <rPr>
        <sz val="11"/>
        <color rgb="FF000000"/>
        <rFont val="宋体"/>
        <charset val="134"/>
        <scheme val="minor"/>
      </rPr>
      <t xml:space="preserve">  </t>
    </r>
    <r>
      <rPr>
        <sz val="11"/>
        <color rgb="FF000000"/>
        <rFont val="宋体"/>
        <charset val="134"/>
        <scheme val="minor"/>
      </rPr>
      <t>超重logo</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2）CBM超过0.13且重量少于17kg，bulky logo</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3）不属于以上两种情况，需要使用相应重量范围内的超重logo</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4）超重logo需要在外箱四面都印刷(箱唛右上角，两面侧唛超重logo需要尽量靠近毛重)，尺寸为:110mm</t>
    </r>
    <r>
      <rPr>
        <sz val="11"/>
        <color rgb="FF000000"/>
        <rFont val="宋体"/>
        <charset val="134"/>
        <scheme val="minor"/>
      </rPr>
      <t xml:space="preserve">  </t>
    </r>
    <r>
      <rPr>
        <sz val="11"/>
        <color rgb="FF000000"/>
        <rFont val="宋体"/>
        <charset val="134"/>
        <scheme val="minor"/>
      </rPr>
      <t>height*</t>
    </r>
    <r>
      <rPr>
        <sz val="11"/>
        <color rgb="FF000000"/>
        <rFont val="宋体"/>
        <charset val="134"/>
        <scheme val="minor"/>
      </rPr>
      <t xml:space="preserve">  </t>
    </r>
    <r>
      <rPr>
        <sz val="11"/>
        <color rgb="FF000000"/>
        <rFont val="宋体"/>
        <charset val="134"/>
        <scheme val="minor"/>
      </rPr>
      <t>95mm width</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9. 实际外箱重量跟印在箱唛上的数据差异不能超3%，尺寸按实际数据印刷</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10.所有带纽扣电池的产品都需要在产品包装以及说明书上贴纽扣电池警告语贴纸</t>
    </r>
    <r>
      <rPr>
        <sz val="11"/>
        <color rgb="FF000000"/>
        <rFont val="宋体"/>
        <charset val="134"/>
        <scheme val="minor"/>
      </rPr>
      <t xml:space="preserve">
</t>
    </r>
    <r>
      <rPr>
        <sz val="11"/>
        <color rgb="FF000000"/>
        <rFont val="宋体"/>
        <charset val="134"/>
        <scheme val="minor"/>
      </rPr>
      <t>此单需要与NZ</t>
    </r>
    <r>
      <rPr>
        <sz val="11"/>
        <color rgb="FF000000"/>
        <rFont val="宋体"/>
        <charset val="134"/>
        <scheme val="minor"/>
      </rPr>
      <t xml:space="preserve">  </t>
    </r>
    <r>
      <rPr>
        <sz val="11"/>
        <color rgb="FF000000"/>
        <rFont val="宋体"/>
        <charset val="134"/>
        <scheme val="minor"/>
      </rPr>
      <t>PO#4500215428一起合并计算</t>
    </r>
  </si>
  <si>
    <t>4500215428</t>
  </si>
  <si>
    <t>21975027</t>
  </si>
  <si>
    <t>4500215428-20</t>
  </si>
  <si>
    <t>欠外箱贴纸SSCC Label+防盗贴纸(贴纸以及防盜贴纸位置图翻单PO#4500193539)</t>
  </si>
  <si>
    <r>
      <rPr>
        <sz val="12"/>
        <color rgb="FF000000"/>
        <rFont val="宋体"/>
        <charset val="134"/>
      </rPr>
      <t>日期码格式：ZURU</t>
    </r>
    <r>
      <rPr>
        <sz val="11"/>
        <color rgb="FF000000"/>
        <rFont val="宋体"/>
        <charset val="134"/>
        <scheme val="minor"/>
      </rPr>
      <t xml:space="preserve">  </t>
    </r>
    <r>
      <rPr>
        <sz val="11"/>
        <color rgb="FF000000"/>
        <rFont val="宋体"/>
        <charset val="134"/>
        <scheme val="minor"/>
      </rPr>
      <t>INC(BVI) 标准格式</t>
    </r>
    <r>
      <rPr>
        <sz val="11"/>
        <color rgb="FF000000"/>
        <rFont val="宋体"/>
        <charset val="134"/>
        <scheme val="minor"/>
      </rPr>
      <t xml:space="preserve">                                    </t>
    </r>
    <r>
      <rPr>
        <sz val="11"/>
        <color rgb="FF000000"/>
        <rFont val="宋体"/>
        <charset val="134"/>
        <scheme val="minor"/>
      </rPr>
      <t>日期：按实际生产日期</t>
    </r>
    <r>
      <rPr>
        <sz val="11"/>
        <color rgb="FF000000"/>
        <rFont val="宋体"/>
        <charset val="134"/>
        <scheme val="minor"/>
      </rPr>
      <t xml:space="preserve">
</t>
    </r>
    <r>
      <rPr>
        <sz val="11"/>
        <color rgb="FF000000"/>
        <rFont val="宋体"/>
        <charset val="134"/>
        <scheme val="minor"/>
      </rPr>
      <t xml:space="preserve">Packaging Info: </t>
    </r>
    <r>
      <rPr>
        <sz val="11"/>
        <color rgb="FF000000"/>
        <rFont val="宋体"/>
        <charset val="134"/>
        <scheme val="minor"/>
      </rPr>
      <t xml:space="preserve">
</t>
    </r>
    <r>
      <rPr>
        <sz val="11"/>
        <color rgb="FF000000"/>
        <rFont val="宋体"/>
        <charset val="134"/>
        <scheme val="minor"/>
      </rPr>
      <t>77772GQ1:MA英语UPC版本包装（收缩膜和说明书, MA首选1L，如无1L可用多语且含英语的配套多语包装) +一张防盗贴纸(贴纸以及防盜贴纸位置图翻单PO#450019353</t>
    </r>
    <r>
      <rPr>
        <sz val="11"/>
        <color rgb="FF000000"/>
        <rFont val="宋体"/>
        <charset val="134"/>
        <scheme val="minor"/>
      </rPr>
      <t xml:space="preserve">
</t>
    </r>
    <r>
      <rPr>
        <sz val="11"/>
        <color rgb="FF000000"/>
        <rFont val="宋体"/>
        <charset val="134"/>
        <scheme val="minor"/>
      </rPr>
      <t>9)+客制PDQ（PDQ翻单PO#4500197999）+客制B版收藏指南（收藏指南翻单PO#4500202802的77869的子件77772）+箱唛+外箱贴纸SSCC</t>
    </r>
    <r>
      <rPr>
        <sz val="11"/>
        <color rgb="FF000000"/>
        <rFont val="宋体"/>
        <charset val="134"/>
        <scheme val="minor"/>
      </rPr>
      <t xml:space="preserve">  </t>
    </r>
    <r>
      <rPr>
        <sz val="11"/>
        <color rgb="FF000000"/>
        <rFont val="宋体"/>
        <charset val="134"/>
        <scheme val="minor"/>
      </rPr>
      <t>Label</t>
    </r>
    <r>
      <rPr>
        <sz val="11"/>
        <color rgb="FF000000"/>
        <rFont val="宋体"/>
        <charset val="134"/>
        <scheme val="minor"/>
      </rPr>
      <t xml:space="preserve">
</t>
    </r>
    <r>
      <rPr>
        <sz val="11"/>
        <color rgb="FF000000"/>
        <rFont val="宋体"/>
        <charset val="134"/>
        <scheme val="minor"/>
      </rPr>
      <t>配比信息：4</t>
    </r>
    <r>
      <rPr>
        <sz val="11"/>
        <color rgb="FF000000"/>
        <rFont val="宋体"/>
        <charset val="134"/>
        <scheme val="minor"/>
      </rPr>
      <t xml:space="preserve">    </t>
    </r>
    <r>
      <rPr>
        <sz val="11"/>
        <color rgb="FF000000"/>
        <rFont val="宋体"/>
        <charset val="134"/>
        <scheme val="minor"/>
      </rPr>
      <t>mini vinyls,1</t>
    </r>
    <r>
      <rPr>
        <sz val="11"/>
        <color rgb="FF000000"/>
        <rFont val="宋体"/>
        <charset val="134"/>
        <scheme val="minor"/>
      </rPr>
      <t xml:space="preserve">  </t>
    </r>
    <r>
      <rPr>
        <sz val="11"/>
        <color rgb="FF000000"/>
        <rFont val="宋体"/>
        <charset val="134"/>
        <scheme val="minor"/>
      </rPr>
      <t>accessory(增加了新唱片""Sweet caroline"")</t>
    </r>
    <r>
      <rPr>
        <sz val="11"/>
        <color rgb="FF000000"/>
        <rFont val="宋体"/>
        <charset val="134"/>
        <scheme val="minor"/>
      </rPr>
      <t xml:space="preserve">
</t>
    </r>
    <r>
      <rPr>
        <sz val="11"/>
        <color rgb="FF000000"/>
        <rFont val="宋体"/>
        <charset val="134"/>
        <scheme val="minor"/>
      </rPr>
      <t>Removed了</t>
    </r>
    <r>
      <rPr>
        <sz val="11"/>
        <color rgb="FF000000"/>
        <rFont val="宋体"/>
        <charset val="134"/>
        <scheme val="minor"/>
      </rPr>
      <t xml:space="preserve">  </t>
    </r>
    <r>
      <rPr>
        <sz val="11"/>
        <color rgb="FF000000"/>
        <rFont val="宋体"/>
        <charset val="134"/>
        <scheme val="minor"/>
      </rPr>
      <t>""""Messy &lt;(&gt;&amp;&lt;)&gt;</t>
    </r>
    <r>
      <rPr>
        <sz val="11"/>
        <color rgb="FF000000"/>
        <rFont val="宋体"/>
        <charset val="134"/>
        <scheme val="minor"/>
      </rPr>
      <t xml:space="preserve">  </t>
    </r>
    <r>
      <rPr>
        <sz val="11"/>
        <color rgb="FF000000"/>
        <rFont val="宋体"/>
        <charset val="134"/>
        <scheme val="minor"/>
      </rPr>
      <t>Delicious""""两张唱片</t>
    </r>
    <r>
      <rPr>
        <sz val="11"/>
        <color rgb="FF000000"/>
        <rFont val="宋体"/>
        <charset val="134"/>
        <scheme val="minor"/>
      </rPr>
      <t xml:space="preserve">
</t>
    </r>
    <r>
      <rPr>
        <sz val="11"/>
        <color rgb="FF000000"/>
        <rFont val="宋体"/>
        <charset val="134"/>
        <scheme val="minor"/>
      </rPr>
      <t>Remark: 1 .请务必按时完货，验货。并且按期送货入货代指定仓库，如果晚了导致船期Delay将会有罚金产生或者客户要求空运，所产生的罚金和空运费由工厂承担。</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2.SSCC</t>
    </r>
    <r>
      <rPr>
        <sz val="11"/>
        <color rgb="FF000000"/>
        <rFont val="宋体"/>
        <charset val="134"/>
        <scheme val="minor"/>
      </rPr>
      <t xml:space="preserve">  </t>
    </r>
    <r>
      <rPr>
        <sz val="11"/>
        <color rgb="FF000000"/>
        <rFont val="宋体"/>
        <charset val="134"/>
        <scheme val="minor"/>
      </rPr>
      <t>外箱贴纸请同纸箱瓦楞纸方向（竖纹向）垂直，即外箱贴纸横着贴(注意条码不要被胶带粘住），贴1pc，贴1面正唛，封箱胶纸不能挡住贴纸内容。外箱贴纸</t>
    </r>
    <r>
      <rPr>
        <sz val="11"/>
        <color rgb="FF000000"/>
        <rFont val="宋体"/>
        <charset val="134"/>
        <scheme val="minor"/>
      </rPr>
      <t xml:space="preserve">
</t>
    </r>
    <r>
      <rPr>
        <sz val="11"/>
        <color rgb="FF000000"/>
        <rFont val="宋体"/>
        <charset val="134"/>
        <scheme val="minor"/>
      </rPr>
      <t>离外箱边距离不少于2cm。</t>
    </r>
    <r>
      <rPr>
        <sz val="11"/>
        <color rgb="FF000000"/>
        <rFont val="宋体"/>
        <charset val="134"/>
        <scheme val="minor"/>
      </rPr>
      <t xml:space="preserve">
</t>
    </r>
    <r>
      <rPr>
        <sz val="11"/>
        <color rgb="FF000000"/>
        <rFont val="宋体"/>
        <charset val="134"/>
        <scheme val="minor"/>
      </rPr>
      <t>3.外箱材质为ZURU标准；</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4.此单需使用KMART封箱胶上下工字型封箱;从2019年6月开始，要用KMART 新版封箱胶带，此单要用"ANKO"封箱胶带</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5 .此单出口新西兰，请按相应的澳新标准生产；</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6.产品和包装上生产批号的显示格式ZURU标准日期码格式</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7 .外箱信息不可手写，重量和体积需要与实际的一致(不可手写）</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8. 每款item装箱后的G.W.超过10KG或者CBM超过0.13,(9.5KG或者以上，四舍五入后也属于10KG) 需在外箱上加印超</t>
    </r>
    <r>
      <rPr>
        <sz val="11"/>
        <color rgb="FF000000"/>
        <rFont val="宋体"/>
        <charset val="134"/>
        <scheme val="minor"/>
      </rPr>
      <t xml:space="preserve">  </t>
    </r>
    <r>
      <rPr>
        <sz val="11"/>
        <color rgb="FF000000"/>
        <rFont val="宋体"/>
        <charset val="134"/>
        <scheme val="minor"/>
      </rPr>
      <t>重或者Bulky LOGO，若发现我们资料没有，请</t>
    </r>
    <r>
      <rPr>
        <sz val="11"/>
        <color rgb="FF000000"/>
        <rFont val="宋体"/>
        <charset val="134"/>
        <scheme val="minor"/>
      </rPr>
      <t xml:space="preserve">
</t>
    </r>
    <r>
      <rPr>
        <sz val="11"/>
        <color rgb="FF000000"/>
        <rFont val="宋体"/>
        <charset val="134"/>
        <scheme val="minor"/>
      </rPr>
      <t>帮忙提醒</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1)重量超过10kg但不超过16kg且CBM不超过0.13,10-16kg</t>
    </r>
    <r>
      <rPr>
        <sz val="11"/>
        <color rgb="FF000000"/>
        <rFont val="宋体"/>
        <charset val="134"/>
        <scheme val="minor"/>
      </rPr>
      <t xml:space="preserve">  </t>
    </r>
    <r>
      <rPr>
        <sz val="11"/>
        <color rgb="FF000000"/>
        <rFont val="宋体"/>
        <charset val="134"/>
        <scheme val="minor"/>
      </rPr>
      <t>超重logo</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2）CBM超过0.13且重量少于17kg，bulky logo</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3）不属于以上两种情况，需要使用相应重量范围内的超重logo</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4）超重logo需要在外箱四面都印刷(箱唛右上角，两面侧唛超重logo需要尽量靠近毛重)，尺寸为:110mm</t>
    </r>
    <r>
      <rPr>
        <sz val="11"/>
        <color rgb="FF000000"/>
        <rFont val="宋体"/>
        <charset val="134"/>
        <scheme val="minor"/>
      </rPr>
      <t xml:space="preserve">  </t>
    </r>
    <r>
      <rPr>
        <sz val="11"/>
        <color rgb="FF000000"/>
        <rFont val="宋体"/>
        <charset val="134"/>
        <scheme val="minor"/>
      </rPr>
      <t>height*</t>
    </r>
    <r>
      <rPr>
        <sz val="11"/>
        <color rgb="FF000000"/>
        <rFont val="宋体"/>
        <charset val="134"/>
        <scheme val="minor"/>
      </rPr>
      <t xml:space="preserve">  </t>
    </r>
    <r>
      <rPr>
        <sz val="11"/>
        <color rgb="FF000000"/>
        <rFont val="宋体"/>
        <charset val="134"/>
        <scheme val="minor"/>
      </rPr>
      <t>95mm width</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9. 实际外箱重量跟印在箱唛上的数据差异不能超3%，尺寸按实际数据印刷</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10.所有带纽扣电池的产品都需要在产品包装以及说明书上贴纽扣电池警告语贴纸</t>
    </r>
    <r>
      <rPr>
        <sz val="11"/>
        <color rgb="FF000000"/>
        <rFont val="宋体"/>
        <charset val="134"/>
        <scheme val="minor"/>
      </rPr>
      <t xml:space="preserve">
</t>
    </r>
    <r>
      <rPr>
        <sz val="11"/>
        <color rgb="FF000000"/>
        <rFont val="宋体"/>
        <charset val="134"/>
        <scheme val="minor"/>
      </rPr>
      <t>此单需要与AU</t>
    </r>
    <r>
      <rPr>
        <sz val="11"/>
        <color rgb="FF000000"/>
        <rFont val="宋体"/>
        <charset val="134"/>
        <scheme val="minor"/>
      </rPr>
      <t xml:space="preserve">  </t>
    </r>
    <r>
      <rPr>
        <sz val="11"/>
        <color rgb="FF000000"/>
        <rFont val="宋体"/>
        <charset val="134"/>
        <scheme val="minor"/>
      </rPr>
      <t>PO#4500215427一起合并计算</t>
    </r>
  </si>
  <si>
    <t>4500218652-10</t>
  </si>
  <si>
    <t>MEC426-77772-S001-PRODCC1</t>
  </si>
  <si>
    <t>唱片球108PCS/展示架</t>
  </si>
  <si>
    <t>2张贴纸覆盖唱片数字"45" (展示架左右各一张) + 欠外箱SSCC Label</t>
  </si>
  <si>
    <t>日期码格式：ZURU  INC(BVI) 标准格式                                    日期：按实际生产日期
Packaging Info: MEC426：MA 3L 展示架+2张贴纸覆盖唱片数字"45"  (展示架左右各一张) +  外箱SSCC  Label
84pcs77772(remove Messy and  Delicious vinyl minis) +24pcs 77794; With  1 SET  Demo/Endcap
77772: 英文MA UPC版本收缩膜  +  客制球以及客制5L  收藏指南    （去除""Messy""  and  ""Delicious""  2张唱片）
Remark: 1. 客人要求箱唛不可出现任何手写内容，重量与实际一致且不可手写;
  2. 此单去澳大利亚，请按相应澳新标准生产; 如产品含纽扣电池出货,  包装前面和说明书上需加纽扣电池警语贴纸
  3. 取消使用TARGET新版封箱胶封顶，外箱全部使用普通透明封箱胶纸(客版胶纸如还有库存，可先消耗库存)；
  4. 外箱需要贴Target SSCC  LABEL,客供PDF文档，工厂自行订购。请贴在正唛右下角（一箱一张，贴1面正唛右下角,封箱胶纸不能挡住贴纸内容。)；外箱贴纸距离
外箱边缘应在2cm以上。如果正唛无位置可以贴在侧唛；
  5. SSCC  LABEL要求：贴纸内容，条形码印刷不完整/不清晰或有划痕/缺失，贴纸脏污、破损、条形码折叠、翘起、重复或者丢失，以及封箱胶盖住贴纸任何位置的
  ,客户都不能接受，如有发现以上异常，须返工重新贴；
  6. 外箱材质为ZURU标准；
  7. 产品和包装上要有tracking  label信息：格式为Zuru标准格式（可以自行调整具体年月日生产日期,避开节假期日）；
  8. SSCC  Label 尺寸更新为：4x4  inch。</t>
  </si>
  <si>
    <t>4500210658-120</t>
  </si>
  <si>
    <t>芯片码</t>
  </si>
  <si>
    <t>日期码格式：ZURU INC(BVI) 标准格式                  日期：按实际生产日期
Packaging Info: 物料要求 SKU
2.77869 ：2部分子件构成
物料要求：UPC:193052101938  UPC部分：所有子件UPC要求统一或者覆盖
77869启用客制彩盒+芯片码
子件 A : 77794- 1个：MA+77794中文警告语+77794中文说明书
子件 B : 77772- 2个 ：  MA +77772中文组装说明书+77772中文警告语+8+年龄贴纸
首单 提供8套大货样品
Remark: 2.外箱材质如下：
  1）毛重小于5kg 外箱纸质 K=B 爆破:1000Kpa 边压:4400N/M;
  2）毛重大于5kg 外箱纸质 K636K 爆破:1400Kpa 边压:6300N/M;
 3. 产品/销售包装/外箱日期码要一致，
4.此产品务必满足国内6P 测试标准，因为可能会被市场监督局抽查，如有问题产生，工厂要负全责
 5. 这张订单做出厂价，我司自行安排车辆去贵司提货，贵司需要配合提供出口报关
 6. 此单所有产品启用 芯片码</t>
  </si>
  <si>
    <t>4500210658-130</t>
  </si>
  <si>
    <t>4500210658-140</t>
  </si>
  <si>
    <t>WAL-MART  CANADA  CORP.</t>
  </si>
  <si>
    <t>4500219691-10</t>
  </si>
  <si>
    <t>77772GQ3-S001-INT</t>
  </si>
  <si>
    <t>新增011 Sweet Carolin唱片</t>
  </si>
  <si>
    <t>日期码格式：ZURU  INC(BVI)  标准格式                                    日期：按实际生产日期
Packaging Info: #77772---留意剔除有问题的唱片并新增011  Sweet  Carolin唱片
客版3LPDQ(16装)+  客版3L收缩膜(UPC:193052118721)+MA5L收藏指南+MA23L拼装说明书+MA5L复合袋+DEMO纸卡
翻单：4500210724
Remark: 1.  此单有箱唛;
   2.  UPC贴纸：必须在原来错误的条码上用黑色粗头笔涂黑直至不能扫描，再贴上正确的UPC;
   3.  此单有第三方验货，烦请多备包装物料；
   4.  #77772须于2026/10/16安排签板，签板数量：大货球3pcs+齐套散件2sets
   5.  #77772须于2026/10/23安排抽板测试，抽板数量：   大货球4pcs+齐套散件4Sets
   *********************
a.  请确保产品符合1999年版本的加拿大环境保护法(CEPA)和2012年禁止某些有毒物质法规的要求。该产品不含任何在加拿大禁用的化学物质，包括但不限于有毒物
质清单中列出的化学物质，并且在为加拿大沃尔玛生产产品期间没有使用任何禁用化学物质。
Supplier  certify  that  the  products  comply  with  the  requirements  of  Canadian  Environmental  Protection  Act,  1999  (CEPA),  Prohibition  of  Certain  To
xic  Substances  Regulations,  2012.
The  products  do  not  contain  any  chemicals  that  are  banned  in  Canada,  including  but  not  limited  to  those  listed  in  the  Toxic  Substances  List  and
no  banned  chemicals  were  used  during  the  manufacturing  of  product  for  Walmart  Canada.
附件列表：
(1)  Letter  of  Guarantee  for  Canada  banned  chemicals  -  (1-5CA)
b.  请确保产品在均质材料中的汞浓度不超过0. 1%（按重量计）。
Supplier  certify  that  the  WAL-MART  vendor  products  does  not  have  a  mercury  concentration  of  more  than  0. 1%  by  weight  in  homogeneous  material.
附件列表：
(1)  Letter  of  Guarantee  for  Mercury  COC
c.  请确保产品的塑料材料不含以下物质（SOR  2011-17  27B):
Supplier  certify  that  the  plastic  materials  do  not  contain  the  following  substances(SOR  2011-17  27B):
(a)  carbon  tetrachloride  or  any  substance  that  contains  it;
(b)  methyl  alcohol  or  any  substance  thay  contains  &gt;1.0%;
   (c)  petroleum  distillates  or  any  substance  that  contains  &gt;10%  weight  to  volume  of  petroleum  distillates;
   (d)  benzene;
(e)  turpentine  or  any  substance  that  contains  &gt;10%  weight  to  volume  of  turpentine;
(f)  boric  acid  or  salts  of  boric  acid;  or  (g)  ethyl  ether.
附件列表：
(1)  Letter  of  Guarantee  for  WM  CA-Other  prohibited  substances  in  plastic(less  than  3  years)</t>
  </si>
  <si>
    <r>
      <rPr>
        <sz val="12"/>
        <rFont val="宋体"/>
        <charset val="134"/>
      </rPr>
      <t>Fly</t>
    </r>
    <r>
      <rPr>
        <sz val="11"/>
        <color rgb="FF000000"/>
        <rFont val="宋体"/>
        <charset val="134"/>
        <scheme val="minor"/>
      </rPr>
      <t xml:space="preserve">  </t>
    </r>
    <r>
      <rPr>
        <sz val="11"/>
        <color rgb="FF000000"/>
        <rFont val="宋体"/>
        <charset val="134"/>
        <scheme val="minor"/>
      </rPr>
      <t>Song</t>
    </r>
  </si>
  <si>
    <r>
      <rPr>
        <sz val="12"/>
        <color rgb="FF000000"/>
        <rFont val="宋体"/>
        <charset val="134"/>
      </rPr>
      <t>KMART</t>
    </r>
    <r>
      <rPr>
        <sz val="11"/>
        <color rgb="FF000000"/>
        <rFont val="宋体"/>
        <charset val="134"/>
        <scheme val="minor"/>
      </rPr>
      <t xml:space="preserve">  </t>
    </r>
    <r>
      <rPr>
        <sz val="11"/>
        <color rgb="FF000000"/>
        <rFont val="宋体"/>
        <charset val="134"/>
        <scheme val="minor"/>
      </rPr>
      <t>AUSTRALIA</t>
    </r>
    <r>
      <rPr>
        <sz val="11"/>
        <color rgb="FF000000"/>
        <rFont val="宋体"/>
        <charset val="134"/>
        <scheme val="minor"/>
      </rPr>
      <t xml:space="preserve">  </t>
    </r>
    <r>
      <rPr>
        <sz val="11"/>
        <color rgb="FF000000"/>
        <rFont val="宋体"/>
        <charset val="134"/>
        <scheme val="minor"/>
      </rPr>
      <t>LTD</t>
    </r>
  </si>
  <si>
    <t>4500215429</t>
  </si>
  <si>
    <t>21975017</t>
  </si>
  <si>
    <t>4500215429-20</t>
  </si>
  <si>
    <t>欠 外箱SSCC Label+防盜贴纸(贴纸以及防盜贴纸位置图翻单PO#4500193539)</t>
  </si>
  <si>
    <t>日期码格式：ZURU  INC(BVI)  标准格式                                    日期：按实际生产日期
Packaging Info:
77772GQ1:MA英语UPC版本包装（收缩膜和说明书,  MA首选1L，如无1L可用多语且含英语的配套多语包装)  +一张防盜贴纸(贴纸以及防盜贴纸位置图翻单PO#450019353
9)+客制PDQ（PDQ翻单PO#4500197999）+客制B版收藏指南（收藏指南翻单PO#4500202802的77869的子件77772）+箱唛+外箱贴纸SSCC  Label
配比信息：4    mini  vinyls,1  accessory
Removed了  """"Messy  &lt;(&gt;&amp;&lt;)&gt;  Delicious""""两张唱片"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 13,10-16kg  超重logo
   2）CBM超过0. 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10.所有带纽扣电池的产品都需要在产品包装以及说明书上贴纽扣电池警告语贴纸
此单需要与NZ  PO#4500215430一起合并计算</t>
  </si>
  <si>
    <r>
      <rPr>
        <sz val="12"/>
        <color rgb="FF000000"/>
        <rFont val="宋体"/>
        <charset val="134"/>
      </rPr>
      <t>KMART</t>
    </r>
    <r>
      <rPr>
        <sz val="11"/>
        <color rgb="FF000000"/>
        <rFont val="宋体"/>
        <charset val="134"/>
        <scheme val="minor"/>
      </rPr>
      <t xml:space="preserve">  </t>
    </r>
    <r>
      <rPr>
        <sz val="11"/>
        <color rgb="FF000000"/>
        <rFont val="宋体"/>
        <charset val="134"/>
        <scheme val="minor"/>
      </rPr>
      <t>AUSTRALIA</t>
    </r>
    <r>
      <rPr>
        <sz val="11"/>
        <color rgb="FF000000"/>
        <rFont val="宋体"/>
        <charset val="134"/>
        <scheme val="minor"/>
      </rPr>
      <t xml:space="preserve">  </t>
    </r>
    <r>
      <rPr>
        <sz val="11"/>
        <color rgb="FF000000"/>
        <rFont val="宋体"/>
        <charset val="134"/>
        <scheme val="minor"/>
      </rPr>
      <t>LTD(NEW</t>
    </r>
    <r>
      <rPr>
        <sz val="11"/>
        <color rgb="FF000000"/>
        <rFont val="宋体"/>
        <charset val="134"/>
        <scheme val="minor"/>
      </rPr>
      <t xml:space="preserve">  </t>
    </r>
    <r>
      <rPr>
        <sz val="11"/>
        <color rgb="FF000000"/>
        <rFont val="宋体"/>
        <charset val="134"/>
        <scheme val="minor"/>
      </rPr>
      <t>ZEALAND)</t>
    </r>
  </si>
  <si>
    <t>4500215430</t>
  </si>
  <si>
    <t>21975028</t>
  </si>
  <si>
    <t>4500215430-20</t>
  </si>
  <si>
    <t>日期码格式：ZURU  INC(BVI)  标准格式                                    日期：按实际生产日期
Packaging Info:
77772GQ1:MA英语UPC版本包装（收缩膜和说明书,  MA首选1L，如无1L可用多语且含英语的配套多语包装)  +一张防盜贴纸(贴纸以及防盜贴纸位置图翻单PO#450019353
9)+客制PDQ（PDQ翻单PO#4500197999）+客制B版收藏指南（收藏指南翻单PO#4500202802的77869的子件77772）+箱唛+外箱贴纸SSCC  Label
配比信息：4    mini  vinyls,1  accessory
Removed了  """"Messy  &lt;(&gt;&amp;&lt;)&gt;  Delicious""""两张唱片"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 13,10-16kg  超重logo
   2）CBM超过0. 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10.所有带纽扣电池的产品都需要在产品包装以及说明书上贴纽扣电池警告语贴纸
此单需要与AU  PO#4500215429一起合并计算</t>
  </si>
  <si>
    <t>4500210658-150</t>
  </si>
  <si>
    <t>022721655</t>
  </si>
  <si>
    <t>4500217836-140</t>
  </si>
  <si>
    <t>日期码格式：ZURU  INC(BVI) 标准格式                                    日期：按实际生产日期
Packaging Info: 包装：ZURU MA 最新1L UPC版本；出口美国，加拿大；
Remark: 2.  日期跟踪码：产品包装及产品本身都必须有日期跟踪码，并且确保两者的日期跟踪码要一致；ZURU标准格式日期码(请自行调整具体年月日生产期，但不能为周
末）。
  3. 出货配比: Zuru  标版配比。</t>
  </si>
  <si>
    <t>BINGO  GLOBAL  GROUP  FOR  TRADING  SUPP</t>
  </si>
  <si>
    <t>埃及</t>
  </si>
  <si>
    <t>4500198914-10</t>
  </si>
  <si>
    <t>PRODUCT REQUERIMENTS
 日期码格式：ZURU INC(BVI) 标准格式 日期：按实际生产日期 Tracking Code:
Packaging Info:
Remark: 1.77772GQ2:MA EAN版本包装+一张进口商贴纸+箱唛</t>
  </si>
  <si>
    <t>Nora  Pan</t>
  </si>
  <si>
    <t>4500209374-30</t>
  </si>
  <si>
    <r>
      <rPr>
        <sz val="12"/>
        <color rgb="FF000000"/>
        <rFont val="宋体"/>
        <charset val="134"/>
      </rPr>
      <t>日期码格式：ZURU INC(BVI) 标准格式 日期：按实际生产日期 Tracking Code:
Packaging Info: 1. 所有日期码印在彩盒上，产品上也需要印日期码. 按实际生产日期，ZURU 标准版格式的日期码。
 2. 纸箱唛头：纸箱四面，正唛和背面两面都需印刷，其他2面侧面留空,按照箱唛要求排版。
 3. 确保展示架在入外箱的时候一定要正面对着有印刷箱唛的那面,不可以装反。
 4.77896SLT-S001:产中10%抽板测试:预计抽板时间</t>
    </r>
    <r>
      <rPr>
        <sz val="12"/>
        <color rgb="FFFF0000"/>
        <rFont val="宋体"/>
        <charset val="134"/>
      </rPr>
      <t>:2026/8/5</t>
    </r>
    <r>
      <rPr>
        <sz val="12"/>
        <color rgb="FF000000"/>
        <rFont val="宋体"/>
        <charset val="134"/>
      </rPr>
      <t xml:space="preserve"> + 第三方验货时间</t>
    </r>
    <r>
      <rPr>
        <sz val="12"/>
        <color rgb="FFFF0000"/>
        <rFont val="宋体"/>
        <charset val="134"/>
      </rPr>
      <t>TBC</t>
    </r>
    <r>
      <rPr>
        <sz val="12"/>
        <color rgb="FF000000"/>
        <rFont val="宋体"/>
        <charset val="134"/>
      </rPr>
      <t xml:space="preserve">
Remark: 77896SLT-S001:S001-MINI BRANDS-VINYLS-SERIES 1-1PK PLAYSET AND 3PK CAPSULES-COMBO IN COLOR BOX,120PCS/DISPLAY/SLIP SHEET
 客版包装: 客版彩盒+ 客版PDQ+日语客版收缩膜+日语组装说明+日语唱片机安装指南+日语客版收藏指南+日语客版说明书+日语锂电池警告语贴纸+客版纸袋 等其他
 内包材+（箱唛参考Costco US PO#4500206891)</t>
    </r>
  </si>
  <si>
    <t>4500209374-50</t>
  </si>
  <si>
    <t>4500219692-10</t>
  </si>
  <si>
    <t>日期码格式：ZURU  INC(BVI)  标准格式                                    日期：按实际生产日期
Packaging Info: #77772---留意剔除有问题的唱片并新增011  Sweet  Carolin唱片
客版3LPDQ(16装)+  客版3L收缩膜(UPC:193052118721)+MA5L收藏指南+MA23L拼装说明书+MA5L复合袋+DEMO纸卡
翻单：4500210724
Remark: 1.  此单有箱唛;
  2.  UPC贴纸：必须在原来错误的条码上用黑色粗头笔涂黑直至不能扫描，再贴上正确的UPC;
  3.  此单有第三方验货，烦请多备包装物料；
  *********************
a.  请确保产品符合1999年版本的加拿大环境保护法(CEPA)和2012年禁止某些有毒物质法规的要求。该产品不含任何在加拿大禁用的化学物质，包括但不限于有毒物
质清单中列出的化学物质，并且在为加拿大沃尔玛生产产品期间没有使用任何禁用化学物质。
Supplier  certify  that  the  products  comply  with  the  requirements  of  Canadian  Environmental  Protection  Act,  1999  (CEPA),  Prohibition  of  Certain  To
xic  Substances  Regulations,  2012.
The  products  do  not  contain  any  chemicals  that  are  banned  in  Canada,  including  but  not  limited  to  those  listed  in  the  Toxic  Substances  List  and
no  banned  chemicals  were  used  during  the  manufacturing  of  product  for  Walmart  Canada.
附件列表：
(1)  Letter  of  Guarantee  for  Canada  banned  chemicals  -  (1-5CA)
b.  请确保产品在均质材料中的汞浓度不超过0. 1%（按重量计）。
Supplier  certify  that  the  WAL-MART  vendor  products  does  not  have  a  mercury  concentration  of  more  than  0. 1%  by  weight  in  homogeneous  material.
附件列表：
(1)  Letter  of  Guarantee  for  Mercury  COC
c.  请确保产品的塑料材料不含以下物质（SOR  2011-17  27B):
Supplier  certify  that  the  plastic  materials  do  not  contain  the  following  substances(SOR  2011-17  27B):
(a)  carbon  tetrachloride  or  any  substance  that  contains  it;
(b)  methyl  alcohol  or  any  substance  thay  contains  &gt;1.0%;
   (c)  petroleum  distillates  or  any  substance  that  contains  &gt;10%  weight  to  volume  of  petroleum  distillates;
   (d)  benzene;
(e)  turpentine  or  any  substance  that  contains  &gt;10%  weight  to  volume  of  turpentine;
(f)  boric  acid  or  salts  of  boric  acid;  or  (g)  ethyl  ether.
附件列表：
(1)  Letter  of  Guarantee  for  WM  CA-Other  prohibited  substances  in  plastic(less  than  3  years)</t>
  </si>
  <si>
    <t>库有</t>
  </si>
  <si>
    <t>ZMPO251055</t>
  </si>
  <si>
    <t>ZMPO251055-10</t>
  </si>
  <si>
    <t>Remark:跟PP订单一起安排/大货标准箱装箱/请按款号装箱/并在外箱上注明款号/箱唛参照邮件附件;备注： 收到样品订单后尽快安排 
注意样板品质质量要求要高于大货品质要求 ，送货时必须要附带送货单(没有送货单和QC检验合格报告的仓库一律拒绝收货)，请知悉，谢谢！</t>
  </si>
  <si>
    <t>ZMPO251055-20</t>
  </si>
  <si>
    <t>唱片球散件</t>
  </si>
  <si>
    <t>Remark:跟PP订单一起安排/只需要齐全套散件/麻烦用胶袋分装好一套为一袋
备注： 收到样品订单后尽快安排 ，注意样板品质质量要求要高于大货品质要求 ，送货时必须要附带送货单(没有送货单和QC检验合格报告的仓库一律拒绝收货)，请知悉，谢谢！</t>
  </si>
  <si>
    <t>ZMPO260027</t>
  </si>
  <si>
    <t>ZMPO260027-30</t>
  </si>
  <si>
    <t>Remark:大货最新版本/款号平均/麻烦按款号装箱/并在外箱上注明款号/大货标准箱装箱/箱唛参照邮件附件
备注：收到样品订单后尽快安排 ，注意样板品质质量要求要高于大货品质要求 ，送货时必须要附带送货单(没有送货单和QC检验合格报告的仓库一律拒绝收货)，请知悉，谢谢！</t>
  </si>
  <si>
    <t>ZMPO260027-40</t>
  </si>
  <si>
    <t>50个空PDQ</t>
  </si>
  <si>
    <t>Remark:大货最新版本/只需要空PDQ（包含PDQ上的Demo+吸塑盒）/PDQ可打平包寄出
备注：收到样品订单后尽快安排 ，注意样板品质质量要求要高于大货品质要求 ，送货时必须要附带送货单(没有送货单和QC检验合格报告的仓库一律拒绝收货)，请知悉，谢谢！</t>
  </si>
  <si>
    <t>ZMPO260027-50</t>
  </si>
  <si>
    <t>唱片球PDQ</t>
  </si>
  <si>
    <t>100个空PDQ</t>
  </si>
  <si>
    <t>PP</t>
  </si>
  <si>
    <t>ZPO2511015</t>
  </si>
  <si>
    <t>ZPO2511015-10</t>
  </si>
  <si>
    <t>Fiona Ouyang</t>
  </si>
  <si>
    <t>接单汇总</t>
  </si>
  <si>
    <t xml:space="preserve">           </t>
  </si>
  <si>
    <t>订单数</t>
  </si>
  <si>
    <t>MA 1L A彩盒</t>
  </si>
  <si>
    <t>MA 3L A彩盒</t>
  </si>
  <si>
    <t>客版彩盒</t>
  </si>
  <si>
    <t>MA 5L 说明书</t>
  </si>
  <si>
    <t>客版说明书</t>
  </si>
  <si>
    <t>中文说明书</t>
  </si>
  <si>
    <t>COSTCO 客版说明书</t>
  </si>
  <si>
    <t>COSTCO 客版彩盒</t>
  </si>
  <si>
    <t>COSTCO 客版PDQ</t>
  </si>
  <si>
    <t>UQ1 1L 8pcs</t>
  </si>
  <si>
    <t>UQ1 3L 8pcs</t>
  </si>
  <si>
    <t>UQ3客版PDQ</t>
  </si>
  <si>
    <t>UQ1 客版PDQ 取消17款唱片</t>
  </si>
  <si>
    <t>UQ1  8pcs
客版 PDQ 取消21/23唱片</t>
  </si>
  <si>
    <t>UQ2 6pcs
客版 PDQ</t>
  </si>
  <si>
    <t>UQ3 2pcs
客版 PDQ</t>
  </si>
  <si>
    <t>MEC426 （MA 1L）</t>
  </si>
  <si>
    <t>胶袋</t>
  </si>
  <si>
    <t>MEC457</t>
  </si>
  <si>
    <t>SK-S001</t>
  </si>
  <si>
    <t>77897-S001</t>
  </si>
  <si>
    <t>77869彩盒</t>
  </si>
  <si>
    <t>ZPO2511015-20</t>
  </si>
  <si>
    <t>77794-S001</t>
  </si>
  <si>
    <t>唱片机16pcs/箱</t>
  </si>
  <si>
    <t>ZMPO260027-10</t>
  </si>
  <si>
    <t>Remark:大货最新版本/麻烦按款号装箱/并在外箱上注明款号/大货标准箱装箱/箱唛参照邮件附件
备注：收到样品订单后尽快安排 ，注意样板品质质量要求要高于大货品质要求 ，送货时必须要附带送货单(没有送货单和QC检验合格报告的仓库一律拒绝收货)，请知悉，谢谢！</t>
  </si>
  <si>
    <t>ZMPO260027-20</t>
  </si>
  <si>
    <t>77794UQ1-S001</t>
  </si>
  <si>
    <t>唱片机空PDQ</t>
  </si>
  <si>
    <t>Remark:大货最新版本/只需要空PDQ/PDQ可打平包寄出
备注：收到样品订单后尽快安排 ，注意样板品质质量要求要高于大货品质要求 ，送货时必须要附带送货单(没有送货单和QC检验合格报告的仓库一律拒绝收货)，请知悉，谢谢！</t>
  </si>
  <si>
    <t>4500190798-20</t>
  </si>
  <si>
    <t>77794UQ1-S002-FS</t>
  </si>
  <si>
    <t>唱片机8pcs/UQ1/箱</t>
  </si>
  <si>
    <t>箱需要增加一张黄色A4贴纸，印“fast start"。</t>
  </si>
  <si>
    <t>77794UQ1-S002</t>
  </si>
  <si>
    <t>系统出单</t>
  </si>
  <si>
    <t>4500189603-20</t>
  </si>
  <si>
    <t>3/17 出货</t>
  </si>
  <si>
    <t>1/22 寄出</t>
  </si>
  <si>
    <t>客版PDQ</t>
  </si>
  <si>
    <t>日期码格式：ZURU INC(BVI) 标准格式 日期：按实际生产日期
Packaging Info: 
77794UQ1：产品包装 MA 1L包装，MA 1L PDQ
Remark:
77794UQ1：
1.77794UQ1-S002-MINI BRANDS-VINYL-PLAYSET-SERIES 1-CUBE,8PCS/PDQ,8PCS/PDQ/CTN；
2.产品包装 MA 1L包装，MA 1L PDQ；
3.产品UPC显示193052090409；
4. 外箱正唛左上角位置粘贴条码箱贴纸，每箱只贴一张，由ZURU订购。来料贴纸上显示的客户DPCI# 086-02-4085, UPC显示10193052090406;
5. 外箱正唛箱唛内容右侧需贴一张EVENT LABEL，内容显示：TOYS SET DATE: 5/31/2026，由工厂自行订购；
6. 产品和包装上印刷 tracking code信息，格式为ZURU常规格式;
7. 出货方式：货代自提；
8. 带锂电池出货，需在外箱正面或者侧面合适位置上加贴一张贴锂电池标签纸，由工厂订购</t>
  </si>
  <si>
    <t>ZB04936/ZB04937</t>
  </si>
  <si>
    <t>东莞生产</t>
  </si>
  <si>
    <t>4500189608-20</t>
  </si>
  <si>
    <t>日期码格式：ZURU INC(BVI) 标准格式 日期：按实际生产日期
Packaging Info: 
77794UQ1：产品包装 MA 1L包装，MA 1L PDQ
Remark: 
77794UQ1：
1.77794UQ1-S002-MINI BRANDS-VINYL-PLAYSET-SERIES 1-CUBE,8PCS/PDQ,8PCS/PDQ/CTN；
2.产品包装 MA 1L包装，MA 1L PDQ；
3.产品UPC显示193052090409；
4. 外箱正唛左上角位置粘贴条码箱贴纸，每箱只贴一张，由ZURU订购。来料贴纸上显示的客户DPCI# 086-02-4085, UPC显示10193052090406;
5. 产品和包装上印刷 tracking code信息，格式为ZURU常规格式;
6. 出货方式：货代自提
7. 带锂电池出货，需在外箱正面或者侧面合适位置上加贴一张贴锂电池标签纸，由工厂订购</t>
  </si>
  <si>
    <t>ZB04934/ZB04935</t>
  </si>
  <si>
    <t>MEC457-77794-S001</t>
  </si>
  <si>
    <t>MEC457-S001-77794</t>
  </si>
  <si>
    <t>4500191960-20</t>
  </si>
  <si>
    <t>唱片机16pcs/2 UQ1/箱</t>
  </si>
  <si>
    <t>3/22 截SI</t>
  </si>
  <si>
    <t>新地址贴纸ZURU FRANCE.33 rue Paul Meurice 75020 Paris, France.+WEEE声明29L通用黑白说明书+UN3481锂电池运输标签</t>
  </si>
  <si>
    <t>日期码格式：ZURU INC(BVI) 标准格式 日期：按实际生产日期
Packaging Info:
77794UQ1客版5L(英法德意荷)配套包装=MA PDQ (优先多语)+客版3L-5Lwarning纸盒底座(翻PO#4500191961)+MA23L游戏说明书+MA23L warning说明书+1张WEEE声明(
带电池)走货欧洲通用30L-B版说明书
EAN#4894680051430
RECHARGEABLE LITHIUM BATTERY(INCLUDED)
Remark: Smyths 英国/爱尔兰
1. 请准时出货，推期会有罚款；
2. 所有产品按符合欧洲标准走货，需要是不含微塑料版本。
3.包装日期码按ZURU格式即可，请确保不迟于外箱日期码，可等于或者早于外箱日期码，必须为法定工作日，印刷前请先检查外箱日期码。
4.请注意检查产品及包装应带UKCA图标（14+产品除外），包装显示ZURU UK LTD/ZURU France地址信息，QC部门请查核，如有问题与跟单确认
5.电子产品需增加一张WEEE声明30L通用黑白说明书(不接受A版本，翻译有误)，区分带电池和不带电池出货版本, 如已做客版说明书可忽略此要求；
6.订单备注显示有分批的（不同仓库/订单号） ，注意分开做货出货，否则会导致罚款 。
7.做货前请先复核包装条码与订单是否一致再安排，对不上的需与ZURU跟单确认再安排。</t>
  </si>
  <si>
    <t>77794UQ1-S001-客版</t>
  </si>
  <si>
    <t>4500191968-10</t>
  </si>
  <si>
    <t>3/18 截SI</t>
  </si>
  <si>
    <t>日期码格式：ZURU INC(BVI) 标准格式 日期：按实际生产日期
Packaging Info: 77794UQ1客版5L(英法德意荷)配套包装=MA PDQ (优先多语)+客版3L-5Lwarning纸盒底座(翻PO#4500191961)+MA23L游戏说明书+MA23L warning说明书+1张WEEE声明(
带电池)走货欧洲通用30L-B版说明书
EAN#4894680051430
RECHARGEABLE LITHIUM BATTERY(INCLUDED)
Remark: Smyths 英国/爱尔兰
1. 请准时出货，推期会有罚款；
2. 所有产品按符合欧洲标准走货，需要是不含微塑料版本。
3.包装日期码按ZURU格式即可，请确保不迟于外箱日期码，可等于或者早于外箱日期码，必须为法定工作日，印刷前请先检查外箱日期码。
4.请注意检查产品及包装应带UKCA图标（14+产品除外），包装显示ZURU UK LTD/ZURU France地址信息，QC部门请查核，如有问题与跟单确认
5.电子产品需增加一张WEEE声明30L通用黑白说明书(不接受A版本，翻译有误)，区分带电池和不带电池出货版本, 如已做客版说明书可忽略此要求；
6.订单备注显示有分批的（不同仓库/订单号） ，注意分开做货出货，否则会导致罚款 。
7.做货前请先复核包装条码与订单是否一致再安排，对不上的需与ZURU跟单确认再安排。</t>
  </si>
  <si>
    <t>4500194964-20</t>
  </si>
  <si>
    <t>SMYTHS TOYS HQ UC</t>
  </si>
  <si>
    <t>4500191990-20</t>
  </si>
  <si>
    <t>日期码格式：ZURU INC(BVI) 标准格式 日期：按实际生产日期
Packaging Info:
77794UQ1: MA PDQ (优先多语)+客版5L(英法德意荷)配套包装 (翻PO#4500191961)
EAN#4894680051430
RECHARGEABLE LITHIUM BATTERY(INCLUDED)
Remark: Smyths 法国
1. 请准时出货，推期会有罚款；
2. 所有产品按符合欧洲标准走货，需要是不含微塑料版本。
3. 电子产品需增加一张WEEE声明30L通用黑白说明书(不接受A版本，翻译有误)，区分带电池和不带电池出货版本, 如已做客版说明书可忽略此要求；
4. 出口法国的产品, 法规规定禁止在包装和共公众用的印刷品中使用矿物油中含有的物质, 包装印刷油墨中含有的MOAH/MOSH的质量浓度不能超过1%, 否则出货到
法国被抽检出现问题, 供应商需要对此负责;
5.订单备注显示有分批的（不同仓库/订单号） ，注意分开做货出货，否则会导致罚款 。
6.包装日期码按ZURU格式即可，请确保不迟于外箱日期码，可等于或者早于外箱日期码，必须为法定工作日。
7.做货前请先复核包装条码与订单是否一致再安排，对不上的需与ZURU跟单确认再安排。</t>
  </si>
  <si>
    <t>4500191990-40</t>
  </si>
  <si>
    <t>4500191969-20</t>
  </si>
  <si>
    <t>日期码格式：ZURU INC(BVI) 标准格式 日期：按实际生产日期
Packaging Info:
-------------------------------------------------------------------
MEC457: 客版5L(英法德意荷)展示架[84pcs#77772+48pcs#77794; 所有客版资料翻PO#4500191961]
77772: 客版3L-5Lwarning收缩膜+客版5L收藏指南+MA 23L组装说明+MA复合袋
EAN#4894680051133
77794: 客版3L-5Lwarning纸盒底座+客版3L镭射贴纸+客版3L单铜纸贴纸+MA23L游戏说明书+MA23L warning说明书+1张WEEE声明(带电池)走货欧洲通用29L-C版说明
书
EAN#4894680051430
做货前请先核对条码无误
RECHARGEABLE LITHIUM BATTERY(INCLUDED)
*#77772必须移除Messy Lola Young (VINYL-S1-021) 这个唱片, 比例按PM更新的安排*
*展架上的Demo Box的唱片需要用"A Little Too Much"(VINYL-S1-025)替代原来的"Messy"(VINYL-S1-021)*
*外箱需加一张UN3481锂电池运输标签*
Remark: Smyths 英国/爱尔兰
1. 请准时出货，推期会有罚款；
2. 所有产品按符合欧洲标准走货，需要是不含微塑料版本。
3.包装日期码按ZURU格式即可，请确保不迟于外箱日期码，可等于或者早于外箱日期码，必须为法定工作日，印刷前请先检查外箱日期码。
4.请注意检查产品及包装应带UKCA图标（14+产品除外），包装显示ZURU UK LTD/ZURU France地址信息，QC部门请查核，如有问题与跟单确认
5.电子产品需增加一张WEEE声明30L通用黑白说明书(不接受A版本，翻译有误)，区分带电池和不带电池出货版本, 如已做客版说明书可忽略此要求；
6.订单备注显示有分批的（不同仓库/订单号） ，注意分开做货出货，否则会导致罚款 。
7.做货前请先复核包装条码与订单是否一致再安排，对不上的需与ZURU跟单确认再安排。</t>
  </si>
  <si>
    <t>4500191996-10</t>
  </si>
  <si>
    <t>所有电子产品身上需要加字唛，为ZURU FRANCE 地址 (如无电子产品，产品布标有此地址，或产品太小无法增加可忽略此信息)，新地址ZURU FRANCE.33 rue Paul Meurice 75020 Paris, France.</t>
  </si>
  <si>
    <t>日期码格式：ZURU INC(BVI) 标准格式 日期：按实际生产日期
Packaging Info:
--------------------------------------------------------------------
77794UQ1客版5L(英法德意荷)配套包装=MA PDQ (优先多语)+客版3L-5Lwarning纸盒底座(翻PO#4500191961)+MA23L游戏说明书+MA23L warning说明书+1张WEEE声明(
带电池)走货欧洲通用30L-B版说明书
EAN#4894680051430
RECHARGEABLE LITHIUM BATTERY(INCLUDED)
Remark: Smyths 德国
1. 请准时出货，推期会有罚款；
2. 所有产品按符合欧洲标准走货，需要是不含微塑料版本。
3. 所有电子产品身上需要加字唛，为ZURU FRANCE 地址 (如无电子产品，产品布标有此地址，或产品太小无法增加可忽略此信息)，新地址ZURU FRANCE.33 rue Pa
ul Meurice 75020 Paris, France.
4. 电子产品需增加一张WEEE声明30L通用黑白说明书(不接受A版本，翻译有误)，区分带电池和不带电池出货版本, 如已做客版说明书可忽略此要求；
5.所有出往德国市场有关slime和带香味的都需要出无硼无香版本；
6.订单备注显示有分批的（不同仓库/订单号） ，注意分开做货出货，否则会导致罚款 。
7.包装日期码按ZURU格式即可，请确保不迟于外箱日期码，可等于或者早于外箱日期码，必须为法定工作日。
8.做货前请先复核包装条码与订单是否一致再安排，对不上的需与ZURU跟单确认再安排。</t>
  </si>
  <si>
    <t>4500191996-30</t>
  </si>
  <si>
    <t>4500192823-10</t>
  </si>
  <si>
    <t>77794SK-S001</t>
  </si>
  <si>
    <t>唱片机16pcs/展示架装（不带底座）</t>
  </si>
  <si>
    <t>4/17 BV验货</t>
  </si>
  <si>
    <t>2/9 寄出RFID贴纸</t>
  </si>
  <si>
    <t>4个产品+2个SK</t>
  </si>
  <si>
    <t>日期码格式：ZURU DGYYYYMMDD CHINA(日期避开周末和法定节假日即可） 日期：按实际生产日期
Packaging Info: 1. 包装要求：
77794SK：MA 1L A版callout纸卡+MA 23L 玩法说明书+MA 23L 警告语说明书+MA USB连接线贴纸+客版 1L sidekick
每pcs产品要贴一张RFID贴纸，RFID贴纸由ZURU提供，贴纸位置要严格按照客人签板
Remark: 1. 包装要求：
77794SK：MA 1L A版callout纸卡+MA 23L 玩法说明书+MA 23L 警告语说明书+MA USB连接线贴纸+客版 1L sidekick
每pcs产品要贴一张RFID贴纸，RFID贴纸由ZURU提供，贴纸位置要严格按照客人签板
2.外箱RFID箱唛（四面右下角需印Zuru Logo)+ ITF-14条码；ITF-14条码印刷在外箱主唛左下角，外箱任一侧面角落备注："MADE IN CHINA" 字样，一张锂电池贴纸
贴在有条码的正唛上，外箱箱唛资料待提供。
3. 在产品上和包装上要有日期码、以及要有MADE IN CHINA和ZURU字样；
4. 产品如有扎带口要剪平，不能刮手。
5. 此单需要抽板和验货，抽板时间预计3/23，请自行多备包装物料。
6. 16pcs/Sidekick/CTN</t>
  </si>
  <si>
    <t>ZB05417-8.17</t>
  </si>
  <si>
    <t>DG已完成</t>
  </si>
  <si>
    <t>4500193475-10</t>
  </si>
  <si>
    <t>77794UQ1-S001-FS</t>
  </si>
  <si>
    <t>2/12客版UPC贴纸.</t>
  </si>
  <si>
    <t>日期码格式：ZURU DGYYYYMMDD CHINA(日期避开周末和法定节假日即可） 日期：按实际生产日期
Packaging Info: 1.产品包装要求：
77794UQ1：MA 1L PDQ+MA 1L 产品彩盒+MA说明书+客版UPC贴纸.
2.NO RFID – 不需要RFID
NEW UPC 与STD 不同， 需加贴NEW UPC贴纸。贴前须用黑色笔将原 UPC 码完全涂黑，使其无法扫描，再粘贴新 UPC 贴纸。
Remark: FAST START 项目要求
1.产品包装要求：
77794UQ1：MA 1L PDQ+MA 1L 产品彩盒+MA说明书+客版UPC贴纸.
2.NO RFID – 不需要RFID
NEW UPC 与STD 不同， 需加贴NEW UPC贴纸。贴前须用黑色笔将原 UPC 码完全涂黑，使其无法扫描，再粘贴新 UPC 贴纸。
新UPC 如下：
SKU Fast Start SPEC# Description UPC GTIN
77794 77794UQ1-S001-FS Mini Vinyl Playset S1 193052112132 10193052112139
3.外箱唛参考提供的模版，排版供确认后，才能生产。
4.此MTS订单不需要第三方抽板验货，但是要通过ZURU QC验货PASS后才能出货。 空运到3PL仓库。</t>
  </si>
  <si>
    <t>4500192187-20</t>
  </si>
  <si>
    <t>77794UQ1-S002-MTS</t>
  </si>
  <si>
    <t>4/17 截SI</t>
  </si>
  <si>
    <t>日期码格式：ZURU INC(BVI) 标准格式 日期：按实际生产日期
Packaging Info:
77794UQ1：MA 3L PDQ+MA 3L EAN包装盒+1*多语警语折叠贴纸+MA 23L说明书+MA 23L警语说明书；
Remark: 1.德国内销单，需要通过ZURU 验货结果后才能出货 (工厂需要主动提前同ZURU QC预约验货避免延期出货造成不必要麻烦)；
2.产品如含有化学品（slime 等），需要无硼无香。需要无微塑料版本。
3.所有出口欧洲的产品, 法规规定禁止在包装和共公众用的印刷品中使用矿物油中含有的物质, 包装印刷油墨中含有的MOAH/MOSH的质量浓度不能超过1%, 否则出货
到法国被抽检出现问题, 供应商需要对此负责;
4. date code: 外箱日期码要晚于或等于产品日期码，不能早于产品的日期码；
5. 所有出往德国的电子产品身上需要加字唛，为ZURU FRANCE 地址，需跟包装上的地址一致 (如无电子产品，产品布标有此地址，或产品太小无法增加可忽略此信
息。如产品无法加字唛，需让对应跟单提供产品贴纸资料)
新地址：ZURU France 33 rue Paul Meurice 75020 Paris, France
旧地址：ZURU France 1/3, Rue d'Argenteuil 95210 SAINT-GRATIEN, FRANCE
6.所有出往德国订单的电子产品需增加一张欧洲通用WEEE声明说明书，区分带电池和不带电池版本, 如已做客版说明书可忽略此要求。
7.装柜时需要按照款式号码从小到大一款款依次装,避免终端仓库卸货混乱.若一个柜子涉及到几个不同国家内销单,装柜时需要一个国家装完后再装另一个国家的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8.ratio 同MA
9. 若有特定款有特殊外箱条码要求时,需要明确列出产品款对应的具体外箱条码号码/条码类型 (若无,可以忽略此需求).</t>
  </si>
  <si>
    <t>77794UQ1-S002-3L</t>
  </si>
  <si>
    <t>4/14验，4/15到DG</t>
  </si>
  <si>
    <t>2026ZURU01</t>
  </si>
  <si>
    <t>4500192784-10</t>
  </si>
  <si>
    <t>日期码格式： 标准格式 日期：按实际生产日期
Packaging Info: 77794UQ1 MA多语包装 EAN版本+UPC贴纸193052090409
Remark: 出加拿大
Zuru验货.日期跟踪码：产品外包装及产品本身都必须有日期跟踪码，ZURU标准格式日期码。（箱唛日期码按跟单提供格式）</t>
  </si>
  <si>
    <t>10001701248-3891</t>
  </si>
  <si>
    <t>4500192438-10</t>
  </si>
  <si>
    <t>唱片机展示</t>
  </si>
  <si>
    <t>日期码格式：ZURU INC(BVI) 标准格式 日期：按实际生产日期
Packaging Info:
Remark: 1. 77897-S001-MINI BRANDS-VINYL-SERIES 1-DISPLAY BOX WITH DEMO,1SET/CTN;
2. 每个外箱正唛信息左上方位置粘贴条码箱贴纸，每箱只贴一张，由ZURU订购；对应的外箱贴DPCI#086-94-5923，UPC#显示为193052108142;
3. 每个亚克力盒子的背面中间位置需要贴一张"SAMPLE - Not for Resale" 贴纸，工厂自行订购；
4. 每个外箱正唛箱唛内容右侧需贴一张Event label，内容显示Class 94 Displays Set Date：7/19/2026，工厂自行订购；
5. 每个外箱上需额外印刷 "Contains Display Box. Non-Saleable Unit."信息，字体和大小没有特殊要求, 可以与箱唛信息保持相同即可；外箱四面需要印刷易碎
/向上的LOGO；
6. 每个纸箱需要装一张货架的整体效果图，用A4纸打印即可；
7. 每个纸箱需要装一张demo box组装说明，工厂自行订购；
8. 产品和包装上印刷 tracking code信息，格式为ZURU常规格式;
9. 出货方式：货代自提</t>
  </si>
  <si>
    <t>ZB05312-8.17</t>
  </si>
  <si>
    <t>4500192824-10</t>
  </si>
  <si>
    <t>日期码格式：ZURU DGYYYYMMDD CHINA(日期避开周末和法定节假日即可） 日期：按实际生产日期
Packaging Info: 1. 包装要求：
77794SK：MA 1L A版callout纸卡+MA 23L 玩法说明书+MA 23L 警告语说明书+MA USB连接线贴纸+客版 1L sidekick
每pcs产品要贴一张RFID贴纸，RFID贴纸由ZURU提供，贴纸位置要严格按照客人签板
Remark: 1. 包装要求：
77794SK：MA 1L A版callout纸卡+MA 23L 玩法说明书+MA 23L 警告语说明书+MA USB连接线贴纸+客版 1L sidekick
每pcs产品要贴一张RFID贴纸，RFID贴纸由ZURU提供，贴纸位置要严格按照客人签板
2.外箱RFID箱唛（四面右下角需印Zuru Logo)+ ITF-14条码；ITF-14条码印刷在外箱主唛左下角，外箱任一侧面角落备注："MADE IN CHINA" 字样，一张锂电池贴纸
贴在有条码的正唛上，外箱箱唛资料待提供。
3. 在产品上和包装上要有日期码、以及要有MADE IN CHINA和ZURU字样；
4. 产品如有扎带口要剪平，不能刮手。
5. 此单需要验货，请自行多备包装物料。
6. 16pcs/Sidekick/CTN</t>
  </si>
  <si>
    <t>ZB05418-8.17</t>
  </si>
  <si>
    <t>DG生产</t>
  </si>
  <si>
    <t>KMARTAUSTRALIALTD(NEWZEALAND)</t>
  </si>
  <si>
    <t>4500193541-20</t>
  </si>
  <si>
    <t>日期码格式：ZURU INC(BVI) 标准格式 日期：按实际生产日期
Packaging Info: 
77794UQ1:MA英语UPC版本包装（收缩膜和说明书, MA首选1L，如无1L可用多语且含英语的配套多语包装) +1张锂电池黑白警语书纸 + 1张防盗贴纸 (贴纸以及位置图
翻单PO#4500193539）+ 箱唛 + 外箱SSCC Label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71172实际上为LCL散货出柜，请注意此订单与AU po#4500193539一起合并计算
77772务必赶最晚5/11上午交仓</t>
  </si>
  <si>
    <t>LouiseLu</t>
  </si>
  <si>
    <t>4500193539-20</t>
  </si>
  <si>
    <t>防盜贴纸(贴纸以及防盜贴纸位置图翻单PO#4500193539)+箱唛+外箱贴纸SSCC Label</t>
  </si>
  <si>
    <t>日期码格式：ZURU INC(BVI) 标准格式 日期：按实际生产日期
Packaging Info: 77772GQ1:MA英语UPC版本包装（收缩膜和说明书, MA首选1L，如无1L可用多语且含英语的配套多语包装) +防盜贴纸(贴纸以及防盜贴纸位置图翻单PO#4500193539)+
两张张覆盖PDQ上唱片的贴纸+两张张覆盖收藏指南上唱片的贴纸+一张覆盖PDQ上数字"45"的贴纸+一张覆盖收藏指南上数字"45"的贴纸+箱唛+外箱贴纸SSCC Label
配比信息：4 mini vinyls,1 accessory
Removed了 ""Messy &lt;(&gt;&amp;&lt;)&gt; Delicious""两张唱片
77794UQ1:MA英语UPC版本包装（收缩膜和说明书, MA首选1L，如无1L可用多语且含英语的配套多语包装) +1张锂电池黑白书纸 + 1张防盗贴纸+ 箱唛 + 外箱SSCC La
bel
77843GQ1：MA英语UPC版本包装（MA首选1L，如无1L可用多语且含英语的配套多语包装) +箱唛 + 外箱SSCC Label
77843-sushi &lt;(&gt;&amp;&lt;)&gt; rainbow cake: MA sushi &lt;(&gt;&amp;&lt;)&gt; rainbow cake专用黑白说明书+ 1张防盗贴纸
77843-其他款:MA UV灯说明书+1张防盗贴纸+1张说明书上面加警告语贴纸+1张收缩膜纽扣电池警告语贴纸
配比信息：Ratio: PIZZA: HAMBURGER: PANCAKES: BUBBLE TEA: Matcha TEA: TACO: SUSHI: DONUT: Charcuterie Board: RAINBOW CAKE(Rare)=10.88%: 10.88%:
10.88%: 10.88%: 10.88%: 10.88%: 10.88%: 10.88%: 10.88%: 2.08%=68:68:68:68:68:68:68:68:68:13
71172：MA英语UPC版本包装（收缩膜和说明书, MA首选1L，如无1L可用多语且含英语的配套多语包装) + 一张防盗贴纸+箱唛 + 外箱SSCC Label
3PCS AA BATTERIES(INCLUDED)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71172实际上走LCL散货出柜，请注意此订单与NZ po#4500193541一起合并计算
77772务必赶最晚5/11上午交仓</t>
  </si>
  <si>
    <t>4500190738-60</t>
  </si>
  <si>
    <t>压柜到4/17</t>
  </si>
  <si>
    <t>3/2 确认</t>
  </si>
  <si>
    <t>3/25外箱条码箱贴纸贴纸</t>
  </si>
  <si>
    <t>外箱锂电池贴纸</t>
  </si>
  <si>
    <t>日期码格式：ZURU INC(BVI) 标准格式 日期：按实际生产日期
Packaging Info: 
77794UQ1：产品包装 MA 1L黑白警告语说明书+MA 1L 彩盒+MA 1L PDQ; 彩盒上的UPC显示193052090409;
Remark: 
77794UQ1：
1.77794UQ1-S002-MINI BRANDS-VINYL-PLAYSET-SERIES 1-CUBE,8PCS/PDQ,8PCS/PDQ/CTN;
2. 产品包装 MA 1L黑白警告语说明书+MA 1L 彩盒+MA 1L PDQ; 彩盒上的UPC显示193052090409;
3. 外箱正唛左上角位置粘贴条码箱贴纸，每箱只贴一张，由ZURU订购。来料贴纸上显示的客户DPCI# 086-02-4085, UPC显示10193052090406;
4. 带锂电池出货，需在外箱正面或者侧面合适位置上加贴一张贴锂电池标签纸，由工厂订购
以上Items：
1. 产品和包装上均要印刷tracking code信息，格式为ZURU常规格式；
2. 需要我司QC验货之后才能安排出货
3. 出货方式： 货代自提</t>
  </si>
  <si>
    <t>ZB05239/ZB05310</t>
  </si>
  <si>
    <t>4500193379-20</t>
  </si>
  <si>
    <t>2/26 确认</t>
  </si>
  <si>
    <t>日期码格式：ZURU INC(BVI) 标准格式 日期：按实际生产日期
Packaging Info: 
77794UQ1: MA 1L PKG ，PDQ , MA 收藏指南，说明书+HK 客供警语贴纸
Remark: 此单出HK</t>
  </si>
  <si>
    <t>4500193384-20</t>
  </si>
  <si>
    <t>日期码格式：ZURU INC(BVI) 标准格式 日期：按实际生产日期
Packaging Info: 此单出TW
77794UQ1: MA PKG,优先1L + 1张警语贴纸
Remark:</t>
  </si>
  <si>
    <t xml:space="preserve">OK </t>
  </si>
  <si>
    <t>4500192825-10</t>
  </si>
  <si>
    <t>4/20BV验货</t>
  </si>
  <si>
    <t>ZB05419-8.17</t>
  </si>
  <si>
    <t>4500192826-10</t>
  </si>
  <si>
    <t>4/22BV验货</t>
  </si>
  <si>
    <t>ZB05416-8.17</t>
  </si>
  <si>
    <t>4500193688-30</t>
  </si>
  <si>
    <t>3/25 PDQ条码贴纸(位置:PDQ底部贴一张可扫描的条码贴纸(ZURU 跟单提供模板)+WEEE 29L 带电池说明书</t>
  </si>
  <si>
    <t>日期码格式：ZURU INC(BVI) 标准格式 日期：按实际生产日期
Packaging Info: 
77794UQ1-S001:MA UPC包装+MA PDQ+一张PDQ条码贴纸(位置:PDQ底部贴一张可扫描的条码贴纸(ZURU 跟单提供模板)+WEEE 30L 带电池说明书 B
其他款配比按MA标准
Remark: 1.订单出英国，请注意检查产品及包装应带UKCA图标，包装需要显示ZURU UK LTD/ZURU France地址信息，QC同事请查核，如有问题与跟单确认。
2.生产日期按实际的（法定工作日），按ZURU标准格式即可 ，并需要在出货前提供每个产品外包上对应的生产日期明细
3.请注意所有订单都需要经过ZURU QC验货并且通过后方可出货
4.一个产品一个条码，单款有多个子件条码的请让跟单提供贴纸覆盖。
5.外箱上的条码请确保清晰可扫描，有PDQ， 需要在PDQ底部贴一张带条码并可扫描的贴纸(ZURU 跟单提供模板）。
6.所有产品按符合欧洲标准走货，微塑料需合规并增加IFUD声明，含电池的需要增加WEEE说明书。</t>
  </si>
  <si>
    <t>4/11验，4/12到DG</t>
  </si>
  <si>
    <t>4500193524-20</t>
  </si>
  <si>
    <t>3/20 确认</t>
  </si>
  <si>
    <t>3/15客人通用进口商贴纸+MA锂电池警语书纸</t>
  </si>
  <si>
    <t>日期码格式：ZURU INC(BVI) 标准格式 日期：按实际生产日期
Packaging Info:
Removed了 ""Messy &lt;(&gt;&amp;&lt;)&gt; Delicious""两张唱片
77794UQ1:MA_UPC版本包装（MA首选1L，如无1L可用多语且含英语的配套多语UPC包装）+1张MA锂电池警语书纸+ 1张客人通用进口商贴纸
Remark: 1.按实际生产日期;
2.出澳大利亚，请按照相应标准生产;</t>
  </si>
  <si>
    <t>4500192827-10</t>
  </si>
  <si>
    <t>ZB05415-8.17</t>
  </si>
  <si>
    <t>4500194334-50</t>
  </si>
  <si>
    <t>4/18 装柜</t>
  </si>
  <si>
    <t xml:space="preserve">日期码格式：ZURU INC(BVI) 标准格式 日期：按实际生产日期
Packaging Info: 1. 包装方式：MA UPC优先1L最新包装，出口美国；
2. 产品和包装上印刷tracking code信息，格式为ZURU常规；
3. ZURU QC 验货合格后即可出货.
Remark: </t>
  </si>
  <si>
    <t>4500194341-50</t>
  </si>
  <si>
    <t>4/16 装柜</t>
  </si>
  <si>
    <t>4500188838-10</t>
  </si>
  <si>
    <t>4/19 出货</t>
  </si>
  <si>
    <t>3/27确认</t>
  </si>
  <si>
    <t>3/3 客供价格贴纸</t>
  </si>
  <si>
    <t>25%抽样由客人指定的第三方ITS进行，现场在大货中抽样，具体要求如下所列：
A.样板抽取12pcs/每款/每色（带包装，大货中抽取）。
B.产品上有涂层的，需额外准备足够的干油墨（每个颜色2个A4尺寸的喷涂样本，涂层喷到同底材，涂满涂厚，至少能刮取30mg的量）。
4. 外箱贴打印常规 4"x6" Standard Label Stock, 只需贴一面(正唛）, 优先贴在纸箱的右上方空白处，不可以盖住外箱上的其他信息及标签，可适当调整位置。
5. 样板需求（77794UQ1 &amp; 77772GQ4）：
1)产前样+Model Store Sample: 请在4/1前寄出每款每色各8pcs大货样（不带PDQ，需贴客版价格贴纸）并寄给深圳跟单Emily Wu/Irene Wang, 我们需寄给客户审
批和拍照。
2)满箱样：请在4/15前寄出各一箱大货满箱样（产品需贴客版价格贴纸，并带大货外箱）寄给深圳跟单Emily Wu/Irene Wang。
Remark：以上所有样板数量不包含在订单数量里，做货需预备样板数量。</t>
  </si>
  <si>
    <t>日期码格式：ZURU INC(BVI) 标准格式 日期：按实际生产日期
Packaging Info: 1. item#77794UQ1: MA UPC最新版本包装（优先1L) + 标版PDQ + 客版价格贴纸 + 外箱贴；
客版价格贴纸和外箱贴都是跟单提供，工厂自行订购。出口美国。
2. 产品及包装上都要有日期码，日期码是一致的（但不能为周末)，格式为ZURU标准格式。
Remark: 3. 此两款都需在4/2前完成至少25%大货包装，4/3早上进行ITS的25%大货抽样验货。
100%大货可以在4/15前完成。收到PASS的测试报告后，才可安排出货。
25%抽样由客人指定的第三方ITS进行，现场在大货中抽样，具体要求如下所列：
A.样板抽取12pcs/每款/每色（带包装，大货中抽取）。
B.产品上有涂层的，需额外准备足够的干油墨（每个颜色2个A4尺寸的喷涂样本，涂层喷到同底材，涂满涂厚，至少能刮取30mg的量）。
4. 外箱贴打印常规 4"x6" Standard Label Stock, 只需贴一面(正唛）, 优先贴在纸箱的右上方空白处，不可以盖住外箱上的其他信息及标签，可适当调整位置。
5. 样板需求（77794UQ1 &lt;(&gt;&amp;&lt;)&gt; 77772GQ4）：
1)产前样+Model Store Sample: 请在4/1前寄出每款每色各8pcs大货样（不带PDQ，需贴客版价格贴纸）并寄给深圳跟单Emily Wu/Irene Wang, 我们需寄给客户审
批和拍照。
2)满箱样：请在4/15前寄出各一箱大货满箱样（产品需贴客版价格贴纸，并带大货外箱）寄给深圳跟单Emily Wu/Irene Wang。
Remark：以上所有样板数量不包含在订单数量里，做货需预备样板数量。</t>
  </si>
  <si>
    <t>10001764948-0 581</t>
  </si>
  <si>
    <t>4500194701-10</t>
  </si>
  <si>
    <t>4/18 货代上门提货</t>
  </si>
  <si>
    <t>3/13 确认</t>
  </si>
  <si>
    <t>日期码格式：ZURU INC(BVI) 标准格式 日期：按实际生产日期
Packaging Info: 产品包装 MA 1L黑白警告语说明书+MA 1L 彩盒+MA 1L PDQ
Remark: 1.77794UQ1-S002-MINI BRANDS-VINYL-PLAYSET-SERIES 1-CUBE,8PCS/PDQ,8PCS/PDQ/CTN;
2. 产品包装 MA 1L黑白警告语说明书+MA 1L 彩盒+MA 1L PDQ; 彩盒上的UPC显示193052090409;
3. 外箱正唛左上角位置粘贴条码箱贴纸，每箱只贴一张，由ZURU订购。来料贴纸上显示的客户DPCI# 086-02-4085, UPC显示10193052090406;
4. 产品和包装上均要印刷tracking code信息，格式为ZURU常规格式;
5. 需要我司QC验货之后才能安排出货;
6. 出货方式： 货代自提；
7. 带锂电池出货，需在外箱正面或者侧面合适位置上加贴一张贴锂电池标签纸，由工厂订购</t>
  </si>
  <si>
    <t>ZB05229-8.17</t>
  </si>
  <si>
    <t>ZMPO260342</t>
  </si>
  <si>
    <t>ZMPO260342-10</t>
  </si>
  <si>
    <t>Remark；大货最新版本/麻烦按款号装箱/并在外箱上注明款号/大货标准箱装箱/箱唛参照邮件附件；备注：收到样品订单后尽快安排 ，注意样板品质质量要求要高于大货品质要求 ，送货时必须要附带送货单(没有送货单和QC检验合格报告的仓库一律拒绝收货)，请知悉，谢谢！</t>
  </si>
  <si>
    <t>36244</t>
  </si>
  <si>
    <t>4500192217-40</t>
  </si>
  <si>
    <t>4/21验货</t>
  </si>
  <si>
    <t>ZB05242-8.17</t>
  </si>
  <si>
    <t>按期</t>
  </si>
  <si>
    <t>4500196046-20</t>
  </si>
  <si>
    <t>日期码格式：ZURU INC(BVI) 标准格式 日期：按实际生产日期
Packaging Info: 
77794UQ1: MA 3L配套包装+1张含德语callout/德意荷警语贴纸(本单放稿)
EAN#4894680051430
RECHARGEABLE LITHIUM BATTERY(INCLUDED)
*外箱需加一张UN3481锂电池运输标签*
Remark: Smyths 德国
1. 请准时出货，推期会有罚款；
2. 所有产品按符合欧洲标准走货，需要是不含微塑料版本。
3. 所有电子产品身上需要加字唛，为ZURU FRANCE 地址 (如无电子产品，产品布标有此地址，或产品太小无法增加可忽略此信息)，新地址ZURU FRANCE.33 rue Pa
ul Meurice 75020 Paris, France.
4. 电子产品需增加一张C版WEEE声明29L通用黑白说明书(不接受A版本，翻译有误)，区分带电池和不带电池出货版本, 如已做客版说明书可忽略此要求；如包装备注
上缺少此部分信息，请提醒跟单更新备注。
5.所有出往德国市场有关slime和带香味的都需要出无硼无香版本；
6.订单备注显示有分批的(不同仓库/订单号), 一定要区分客户订单号做货出货，否则会导致罚款 。
7.包装日期码按ZURU格式即可，请确保不迟于外箱日期码，可等于或者早于外箱日期码，必须为法定工作日。
8.做货前请先复核包装条码与订单是否一致再安排，对不上的需与ZURU跟单确认再安排。
9.包装必须含法国回收标(Sorting Label)，如没有，请提醒跟单提供贴纸资料。</t>
  </si>
  <si>
    <t>77794UQ1-S001-3L</t>
  </si>
  <si>
    <t>新邵生产</t>
  </si>
  <si>
    <t>4500193875-50</t>
  </si>
  <si>
    <t>3/31多语警语折叠贴纸</t>
  </si>
  <si>
    <t>所有出往德国的电子产品身上需要加字唛，为ZURU FRANCE 地址，需跟包装上的地址一致 (如无电子产品，产品布标有此地址，或产品太小无法增加可忽略此信
息。如产品无法加字唛，需让对应跟单提供产品贴纸资料)
新地址：ZURU France 33 rue Paul Meurice 75020 Paris, France
旧地址：ZURU France 1/3, Rue d'Argenteuil 95210 SAINT-GRATIEN, FRANCE</t>
  </si>
  <si>
    <t>日期码格式：ZURU INC(BVI) 标准格式 日期：按实际生产日期
Packaging Info: 
77794UQ1: 77794UQ1: MA 3L PDQ+MA 3L EAN收缩膜+1*多语警语折叠贴纸(翻单4500192187）+23L玩法说明书+23L警语说明书+23L锂电池警语说明书+最新版C版WEEE
带电说明书
请注意：77794含锂电池，需在外箱贴一张含锂电池贴纸。
Remark: 1.德国内销单，需要通过ZURU 验货结果后才能出货 (工厂需要主动提前同ZURU QC预约验货避免延期出货造成不必要麻烦)；
2.产品如含有化学品（slime 等），需要无硼无香。需要无微塑料版本。
3.所有出口欧洲的产品, 法规规定禁止在包装和共公众用的印刷品中使用矿物油中含有的物质, 包装印刷油墨中含有的MOAH/MOSH的质量浓度不能超过1%, 否则出货
到法国被抽检出现问题, 供应商需要对此负责;
4. date code: 外箱日期码要晚于或等于产品日期码，不能早于产品的日期码；
5. 所有出往德国的电子产品身上需要加字唛，为ZURU FRANCE 地址，需跟包装上的地址一致 (如无电子产品，产品布标有此地址，或产品太小无法增加可忽略此信
息。如产品无法加字唛，需让对应跟单提供产品贴纸资料)
新地址：ZURU France 33 rue Paul Meurice 75020 Paris, France
旧地址：ZURU France 1/3, Rue d'Argenteuil 95210 SAINT-GRATIEN, FRANCE
6.所有出往德国订单的电子产品需增加一张最新版本的欧洲通用WEEE声明说明书，区分带电池和不带电池版本, 如已做客版说明书可忽略此要求。
7.装柜时需要按照款式号码从小到大一款款依次装,避免终端仓库卸货混乱.若一个柜子涉及到几个不同国家内销单,装柜时需要一个国家装完后再装另一个国家的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8.ratio 同MA
9. 若有特定款有特殊外箱条码要求时,需要明确列出产品款对应的具体外箱条码号码/条码类型 (若无,可以忽略此需求).</t>
  </si>
  <si>
    <t>4500194136-50</t>
  </si>
  <si>
    <t>3/23 确认</t>
  </si>
  <si>
    <t>4/1 外箱贴纸+保证书+进口商贴纸+UPC贴纸+产品/包装/说明书都要贴1张进口商贴纸</t>
  </si>
  <si>
    <t>日期码格式：ZURU INC(BVI) 标准格式 日期：按实际生产日期
Packaging Info: 77794UQ1:MA 多语包装+MA 多语说明书+外箱贴纸+保证书+进口商贴纸+UPC贴纸+箱唛，产品/包装/说明书都要贴1张进口商贴纸
Remark: 1.此单有第三方监柜，需要每款多备1套完整物料
2.外箱贴纸只要一张，位置是正唛和侧唛的交接处</t>
  </si>
  <si>
    <t xml:space="preserve">已入 </t>
  </si>
  <si>
    <t>02436939/1</t>
  </si>
  <si>
    <t>4500196425-20</t>
  </si>
  <si>
    <t>4/28 SI</t>
  </si>
  <si>
    <t>WEEE 带电池走货 通用30L B 版说明书</t>
  </si>
  <si>
    <t>日期码格式：ZURU INC(BVI) 标准格式 日期：按实际生产日期
Packaging Info: 77794UQ1-S001: MA UPC版本+带电池版本WEEE 带电池走货 通用29L C版说明书+23L
锂电池说明书
9565GQ1-S001:MA UPC版本+不带电池版本WEEE 不带电池走货 通用29L C版说明书
Remark: 1) MA UPC版本。订单出英国，请注意检查产品及包装应带UKCA图标，包装显示ZURU UK LTD信息，QC同事请查核，如有问题与跟单确认。
2) 生产日期按实际（法定工作日），按ZURU标准格式即可 ，但是请知悉包装日期码需要早于或者等于外箱日期码 ，不能晚于外箱日期码
3) 请注意所有订单都需要经过ZURU QC验货并且通过后方可出货
4) 条码以订单显示为准 ，请安排生产前先核对 ，有问题请提出。
5) 所有产品按符合欧洲标准走货，需要是不含微塑料版本 。涉及到硼的，如可选择情况下应使用低硼版本 （slime 类别低硼一般低于300ppm)，无选择的应与跟单
复核再安排 。
6) 所有出往欧洲订单的电子产品需增加一张客版WEEE说明书，区分带电池(WEEE 带电池走货 通用29L C 版说明书)和不带电池版本(WEEE 不带电池走货 通用29L
C版说明书)
7) 订单若对应多个客户PO， 请分开做货， 不要混装。一个PO一个柜
8) 大货完成后请及时提供shipment images 供客户批复 ，如未提供照片就直接走柜，有问题由工厂负责 。
9） 最终出货工厂需要按船务要求为集装箱挂网，如不按要求挂网导致罚款由工厂承担 。
10）若有锂电池，需在外箱上加锂电池标签。</t>
  </si>
  <si>
    <t>02436948/1</t>
  </si>
  <si>
    <t>4500196425-30</t>
  </si>
  <si>
    <t>4500194297-60</t>
  </si>
  <si>
    <t>3/13 外箱条码箱贴纸贴纸，2/26提供EVENT LABEL</t>
  </si>
  <si>
    <t>日期码格式：ZURU INC(BVI) 标准格式 日期：按实际生产日期
Packaging Info:
77794UQ1：产品包装 MA 1L黑白警告语说明书+MA 1L 彩盒+MA 1L PDQ
Remark: 
77794UQ1：
1.77794UQ1-S002-MINI BRANDS-VINYL-PLAYSET-SERIES 1-CUBE,8PCS/PDQ,8PCS/PDQ/CTN;
2. 产品包装 MA 1L黑白警告语说明书+MA 1L 彩盒+MA 1L PDQ; 彩盒上的UPC显示193052090409;
3. 外箱正唛左上角位置粘贴条码箱贴纸，每箱只贴一张，由ZURU订购。来料贴纸上显示的客户DPCI# 086-02-4085, UPC显示10193052090406;
4.带锂电池出货，需在外箱正面或者侧面合适位置上加贴一张贴锂电池标签纸，由工厂订购
以上Items：
1. 产品和包装上均要印刷tracking code信息，格式为ZURU常规格式；
2. 需要我司QC验货之后才能安排出货
3. 出货方式： 货代自提</t>
  </si>
  <si>
    <t>10001701246-3890</t>
  </si>
  <si>
    <t>4500192440-10</t>
  </si>
  <si>
    <t>ZB05478-8.17</t>
  </si>
  <si>
    <t>10001764949-0
581</t>
  </si>
  <si>
    <t>4500195753-10</t>
  </si>
  <si>
    <t>4/1外箱条码箱贴纸贴纸，2/26提供EVENT LABEL</t>
  </si>
  <si>
    <t>日期码格式：ZURU INC(BVI) 标准格式 日期：按实际生产日期
Packaging Info: 产品包装 MA 1L黑白警告语说明书+MA 1L 彩盒+MA 1L PDQ+锂电池标签纸
Remark: 1.77794UQ1-S002-MINI BRANDS-VINYL-PLAYSET-SERIES 1-CUBE,8PCS/PDQ,8PCS/PDQ/CTN;
2. 产品包装 MA 1L黑白警告语说明书+MA 1L 彩盒+MA 1L PDQ; 彩盒上的UPC显示193052090409;
3. 外箱正唛左上角位置粘贴条码箱贴纸，每箱只贴一张，由ZURU订购。来料贴纸上显示的客户DPCI# 086-02-4085, UPC显示10193052090406;
4. 产品和包装上均要印刷tracking code信息，格式为ZURU常规格式;
5. 需要我司QC验货之后才能安排出货;
6. 出货方式： 货代自提；
7. 带锂电池出货，需在外箱正面或者侧面合适位置上加贴一张贴锂电池标签纸，由工厂订购</t>
  </si>
  <si>
    <t>ZB05351-8.17</t>
  </si>
  <si>
    <t xml:space="preserve"> ZMPO260369</t>
  </si>
  <si>
    <t xml:space="preserve"> ZMPO260369-10</t>
  </si>
  <si>
    <t>Remark；大货版本；备注：收到样品订单后尽快安排 ，注意样板品质质量要求要高于大货品质要求 ，送货时必须要附带送货单(没有送货单和QC检验合格报告的仓库一律拒绝收货)，请知悉，谢谢！</t>
  </si>
  <si>
    <t>4500195402-30</t>
  </si>
  <si>
    <t>77794-S001-MTS</t>
  </si>
  <si>
    <t>4/22湖南验货AOD</t>
  </si>
  <si>
    <t>日期码格式：ZURU INC(BVI) 标准格式 日期：按实际生产日期
Packaging Info: 
#77794: MA UPC版包装(1L或3L都可,3L要加UPC条码)，出口美国。
Remark: 1.Amazon domestic 订单。出口美国。外箱最长边不能超过25" （超过了，case pack只能为1），不符合要求的大货，一律不接受。
2.无第三方验货/测试要求。
3.日期码使用ZURU标准版本。
4.如果大货有要求入邮包盒，则对应的邮包盒上面要打上日期码。</t>
  </si>
  <si>
    <t>ZB05350-8.17</t>
  </si>
  <si>
    <t>4500192828-10</t>
  </si>
  <si>
    <t>4/24 BV验货</t>
  </si>
  <si>
    <t>ZB05413-8.17</t>
  </si>
  <si>
    <t>4500192828-20</t>
  </si>
  <si>
    <t>ZB05414-8.17</t>
  </si>
  <si>
    <t>ZMPO260309</t>
  </si>
  <si>
    <t>ZMPO260309-10</t>
  </si>
  <si>
    <t>Remark:大货最新版本/麻烦按款号装箱/并在外箱上注明款号/大货标准箱装箱/箱唛参照邮件附件,备注：收到样品订单后尽快安排 ，注意样板品质质量要求要高于大货品质要求 ，送货时必须要附带送货单(没有送货单和QC检验合格报告的仓库一律拒绝收货)，请知悉，谢谢！
备注：收到样品订单后尽快安排 ，注意样板品质质量要求要高于大货品质要求 ，送货时必须要附带送货单(没有送货单和QC检验合格报告的仓库一律拒绝收货)，请知悉，谢谢！</t>
  </si>
  <si>
    <t>4500196745-10</t>
  </si>
  <si>
    <t>锂电池黑白警语书纸 (贴纸以及位置图翻单PO#450019
3539）+ 1张fast start专用UPC贴纸+贴一张黄色A4纸，印"fast start"内容。（两张贴纸及位置图翻单4500190798)</t>
  </si>
  <si>
    <t>日期码格式：ZURU INC(BVI) 标准格式 日期：按实际生产日期
Packaging Info: 77794UQ1:MA英语UPC版本包装（收缩膜和说明书, MA首选1L，如无1L可用多语且含英语的配套多语包装) +1张锂电池黑白警语书纸 (贴纸以及位置图翻单PO#450019
3539）+ 1张fast start专用UPC贴纸+贴一张黄色A4纸，印"fast start"内容。（两张贴纸及位置图翻单4500190798)+箱唛
Remark: 1.请务必按时完货，验货。并且按期送货入货代指定仓库，如果晚了导致船期Delay将会有罚金产生或者客户要求空运，所产生的罚金和空运费由工厂承担。
2.外箱材质为ZURU标准；
3.此单需使用KMART封箱胶上下工字型封箱;从2019年6月开始，要用KMART 新版封箱胶带，此单要用"ANKO"封箱胶带
4.此单出口新西兰，请按相应的澳新标准生产；
5.产品和包装上生产批号的显示格式ZURU标准日期码格式
6.外箱信息不可手写，重量和体积需要与实际的一致(不可手写）
7. 实际外箱重量跟印在箱唛上的数据差异不能超3%，尺寸按实际数据印刷</t>
  </si>
  <si>
    <t>4500195369-40</t>
  </si>
  <si>
    <t>3/9UPC贴纸(UPC:193052090409)</t>
  </si>
  <si>
    <t>日期码格式：ZURU INC(BVI) 标准格式 日期：按实际生产日期
Packaging Info: 
#77794
MA3LPDQ(8装)+MA3L彩盒+UPC贴纸(UPC:193052090409)+MA23L说明书+MA23L警告语说明书
Remark: 1. 此单有箱唛;
2. UPC贴纸：必须在原来错误的条码上用黑色粗头笔涂黑直至不能扫描，再贴上正确的UPC;
3. 此单有第三方验货，烦请多备包装物料；
4. #77794带锂电池出货，使用英法双语电池，外箱需在正唛空白位置贴一张UN3481锂电池标识贴纸；
5. 需4/17前安排签样，签样要求如下：
#77794：大货样3PCS+空PDQ2PCS；
6.需安排4/24抽板测试，抽板要求如下：
#77794：大货4PCS；
*********************
a. 请确保产品符合1999年版本的加拿大环境保护法(CEPA)和2012年禁止某些有毒物质法规的要求。该产品不含任何在加拿大禁用的化学物质，包括但不限于有毒物
质清单中列出的化学物质，并且在为加拿大沃尔玛生产产品期间没有使用任何禁用化学物质。
Supplier certify that the products comply with the requirements of Canadian Environmental Protection Act, 1999 (CEPA), Prohibition of Certain To
xic Substances Regulations, 2012.
The products do not contain any chemicals that are banned in Canada, including but not limited to those listed in the Toxic Substances List and
no banned chemicals were used during the manufacturing of product for Walmart Canada.
附件列表：
(1) Letter of Guarantee for Canada banned chemicals - (1-5CA)
b. 请确保产品在均质材料中的汞浓度不超过0.1%（按重量计）。
Supplier certify that the WAL-MART vendor products does not have a mercury concentration of more than 0.1% by weight in homogeneous material.
附件列表：
(1) Letter of Guarantee for Mercury COC
c. 请确保产品的塑料材料不含以下物质（SOR 2011-17 27B):
Supplier certify that the plastic materials do not contain the following substances(SOR 2011-17 27B):
(a) carbon tetrachloride or any substance that contains it;
(b) methyl alcohol or any substance thay contains &gt;1.0%;
(c) petroleum distillates or any substance that contains &gt;10% weight to volume of petroleum distillates;
(d) benzene;
(e) turpentine or any substance that contains &gt;10% weight to volume of turpentine;
(f) boric acid or salts of boric acid; or (g) ethyl ether.
附件列表：
(1) Letter of Guarantee for WM CA-Other prohibited substances in plastic(less than 3 years)</t>
  </si>
  <si>
    <t>4500194290-40</t>
  </si>
  <si>
    <t>日期码格式：ZURU INC(BVI) 标准格式 日期：按实际生产日期
Packaging Info: 
77794UQ1：产品包装 MA 1L黑白警告语说明书+MA 1L 彩盒+MA 1L PDQ
Remark: 
77794UQ1：
1.77794UQ1-S002-MINI BRANDS-VINYL-PLAYSET-SERIES 1-CUBE,8PCS/PDQ,8PCS/PDQ/CTN;
2. 产品包装 MA 1L黑白警告语说明书+MA 1L 彩盒+MA 1L PDQ; 彩盒上的UPC显示193052090409;
3. 外箱正唛左上角位置粘贴条码箱贴纸，每箱只贴一张，由ZURU订购。来料贴纸上显示的客户DPCI# 086-02-4085, UPC显示10193052090406;
4. 带锂电池出货，需在外箱正面或者侧面合适位置上加贴一张贴锂电池标签纸，由工厂订购
以上Items：
1. 产品和包装上均要印刷tracking code信息，格式为ZURU常规格式；
2. 需要我司QC验货之后才能安排出货
3. 出货方式： 货代自提</t>
  </si>
  <si>
    <t>10001764950-0
581</t>
  </si>
  <si>
    <t>4500195755-10</t>
  </si>
  <si>
    <t>4/13外箱条码箱贴纸贴纸，2/26提供EVENT LABEL</t>
  </si>
  <si>
    <t>ZB05514-8.17</t>
  </si>
  <si>
    <t>4500194444-10</t>
  </si>
  <si>
    <t>日期码格式：ZURU INC(BVI) 标准格式 日期：
Packaging Info: 1. 产品MA UPC包装（优先1L）出美国
2. 客人指定箱唛排版
Remark: 出货前 Zuru QC 验货</t>
  </si>
  <si>
    <t>ZB05443-8.17</t>
  </si>
  <si>
    <t>4500194444-20</t>
  </si>
  <si>
    <t>ZB05408-8.17</t>
  </si>
  <si>
    <t>4500194442-30</t>
  </si>
  <si>
    <t>日期码格式：ZURU INC(BVI) 标准格式 日期：
Packaging Info: 1. 通用PDQ, 产品MA UPC包装（优先1L）出美国 其中 92129TQ5为客版pdq翻单4500180920
2. 客人指定箱唛排版
Remark: 出货前 Zuru QC 验货</t>
  </si>
  <si>
    <t>4500194442-40</t>
  </si>
  <si>
    <t>4500194581-80</t>
  </si>
  <si>
    <t xml:space="preserve"> 新款请在CRD前10天寄出每款2整套大货样到罗湖办公室7B Meyya Liu 收，翻单不用寄。"</t>
  </si>
  <si>
    <t>MA锂电池警语书纸</t>
  </si>
  <si>
    <t>此为去掉LOLA YANG的特殊版本</t>
  </si>
  <si>
    <t>* 大货样： 新款请在CRD前10天寄出每款2整套大货样到罗湖办公室7B Meyya Liu 收，翻单不用寄。"</t>
  </si>
  <si>
    <t>日期码格式：ZURU INC(BVI) 标准格式 日期：按实际生产日期
Packaging Info:
77794UQ1-S002：MA B版1L UPC版本+C版29L含电池出货版本WEEE说明书以及欧洲澳新通用Warning instruction
因产品含有锂电池，需要在外箱加上UN3481的贴纸，贴纸尺寸106*106mm，贴在正唛其中1面右上角
Remark: "MA版本按工厂现有最新库存即可，订单出英国，请注意检查产品及包装应带UKCA以及CE图标，包装显示ZURU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*所有产品按符合欧洲标准走货，需要是不含微塑料版本 。
*涉及到硼的，如可选择情况下应使用低硼版本 （slime 类别低硼一般低于300ppm)，无选择的应与跟单复核再安排 。
*如果出运产品属于电子类产品需要在ZURU 包装基础上额外添加一张ZURU 标准30L通用WEEE 电子产品说明书,带电池出货的加带电池出货版本通用30L的说明书，不
带电池出货的产品用不带电池出货版本的说明书.
*根据客人最新的包装要求，所有多个PDQ盒子(TQ,UQ,GQ）入1外箱的都需要在PDQ顶部右上角加上数量贴纸标明里面的数量。最小字体：36pts, 字体：Calibri（bo
ld), 具体要求以及位置见文件.
*订单对应客户PO号 ，备注有显示 ，注意分开做货/验货/装柜 ，混装有罚款。
* 大货样： 新款请在CRD前10天寄出每款2整套大货样到罗湖办公室7B Meyya Liu 收，翻单不用寄。"</t>
  </si>
  <si>
    <t>4500196085-20</t>
  </si>
  <si>
    <t>29L C 版带电池走货WEEE说明书</t>
  </si>
  <si>
    <t>日期码格式：ZURU INC(BVI) 标准格式 日期：按实际生产日期
Packaging Info:
2.77794UQ1:MA亚克力盒子+透明珑贴纸+23L 说明书+纸卡+支撑内底托+23L 警告说明书+进口商贴纸+MA PDQ+29L C 版带电池走货WEEE说明书
2、所有item 包装上需要有CE logo，均用MA UPC 条码，若包装不是UPC 条码的请告知
3、此单出欧洲需满足EU测试标准要求，另外不能出闪粉（若产品本身不含闪粉则忽略这句话），电池产品（带电池/不带电池走货）需要添加WEEE通用说明书</t>
  </si>
  <si>
    <t>4500196320-10</t>
  </si>
  <si>
    <t>FB14471</t>
  </si>
  <si>
    <t>4500194581-90</t>
  </si>
  <si>
    <t>C版29L含电池出货版本WEEE说明书</t>
  </si>
  <si>
    <t>4500195654-20</t>
  </si>
  <si>
    <t>日期码格式：ZURU INC(BVI) 标准格式 日期：按实际生产日期
Packaging Info: 77772GQ1:MA英语UPC版本包装（收缩膜和说明书, MA首选1L，如无1L可用多语且含英语的配套多语包装) +防盜贴纸(贴纸以及防盜贴纸位置图翻单PO#4500193539)+
两张覆盖PDQ上唱片的贴纸+两张覆盖收藏指南上唱片的贴纸+一张覆盖PDQ上数字"45"的贴纸+一张覆盖收藏指南上数字"45"的贴纸（以上6张贴纸以及贴纸位置图翻单
PO#4500193539)+箱唛+外箱贴纸SSCC Label
配比信息：4 mini vinyls,1 accessory
Removed了 ""Messy &lt;(&gt;&amp;&lt;)&gt; Delicious""两张唱片
77794UQ1:MA英语UPC版本包装（收缩膜和说明书, MA首选1L，如无1L可用多语且含英语的配套多语包装) +1张MA的锂电池黑白警语书纸 + 1张防盗贴纸 (贴纸以及位
置图翻单PO#4500193539）+ 箱唛 + 外箱SSCC Label
25282: 全套MA英语UPC包装（首选1L，如果无1L可用多语含英语）+ 箱唛 + 外箱SCC Label，包装材质为PET;
9574: MA英语UPC版本包装（收缩膜和说明书, MA首选1L，如无1L可用多语且含英语的配套多语包装) + 1张防盗贴纸 (贴纸以及位置图翻单PO#4500192690）+ 箱唛
+ 外箱SSCC Label
配比信息：2pcs baby capybara: 3pcs baby capybara= 5:1
92129TQ1： 英文MA包装(UPC版本，首选1L，无1L可用多L含英语) + 1张防盗贴纸 (贴纸以及位置图翻单4500182434）+箱唛+SSCC label外箱贴纸； 7 assortmen
ts, Ratio: Elephant: Toucan: Zebra: Sloth: Giraffe: Tiger: Peacock=10: 10: 10: 10: 10: 8: 2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请注意此订单与NZ PO#4500195655一起合并计算
77772务必赶最晚5/11上午交仓</t>
  </si>
  <si>
    <t>4500195655-20</t>
  </si>
  <si>
    <t>4500193910-50</t>
  </si>
  <si>
    <t>4/10UPC条码贴纸+进口商贴纸+保证书</t>
  </si>
  <si>
    <t>日期码格式：ZURU INC(BVI) 标准格式 日期：按实际生产日期
Packaging Info: 
5. 77794UQ1：MA 3L EAN包装+UPC条码贴纸+MA 3L PDQ包装+进口商贴纸+保证书+箱唛
Remark: 1. 此单有监柜，每款请多备1pc样板用于监装
4. 77794UQ1：RECHARGEABLE LITHIUM BATTERY(INCLUDED)</t>
  </si>
  <si>
    <t>0983717909</t>
  </si>
  <si>
    <t>4500196335-10</t>
  </si>
  <si>
    <t>77794SLB-S001</t>
  </si>
  <si>
    <t>8pcs/PDQ/CTN 
64箱/Slip Sheet</t>
  </si>
  <si>
    <t>5/11 BV验货</t>
  </si>
  <si>
    <t>RFID贴纸</t>
  </si>
  <si>
    <t>日期码格式：ZURU DGMMDD CHINA(日期避开周末和法定节假日即可） 日期：按实际生产日期
Packaging Info: 77794SLB-S001
1. 包装要求：
77794：MA 1L B版callout纸卡+MA 23L 玩法说明书+MA 23L 警告语说明书+MA USB连接线贴纸+MA 1L A版 PDQ
每pcs产品要贴一张RFID贴纸，RFID贴纸由ZURU提供，贴纸位置要严格按照客人签板
Remark: 77794SLB-S001
1. 包装要求：
77794：MA 1L B版callout纸卡+MA 23L 玩法说明书+MA 23L 警告语说明书+MA USB连接线贴纸+MA 1L A版 PDQ
每pcs产品要贴一张RFID贴纸，RFID贴纸由ZURU提供，贴纸位置要严格按照客人签板
2. 外箱印刷带条码的RFID箱唛：RFID紫色色带+WM Dept.图标+RFID图标+ITF-14条码，四面右下角印刷ZURU logo, ITFF条码只印刷在正唛一面，在加印的时候确保
条形码能扫描出来，一张锂电池贴纸贴在有条码的正唛上，外箱侧面任一角落加印："MADE IN CHINA" 字样；
3. 每个slip sheet上面贴一张艾利贴纸（不干胶贴纸）和一张普通贴纸（A4纸），slip sheet打印的普通贴纸的尺寸不能比艾利贴纸小，普通贴纸内容见附件；
4. 在产品上和包装上要有日期码、以及要有MADE IN CHINA和ZURU字样；
5. 产品如有扎带口要剪平，不能刮手。
6. 此单需要验货，请多备料
7. 此单以slip sheet出货，77794：512pcs/64CTN/Slip sheet</t>
  </si>
  <si>
    <t>0983717965</t>
  </si>
  <si>
    <t>4500198363-10</t>
  </si>
  <si>
    <t>翻单4500196335</t>
  </si>
  <si>
    <t>日期码格式：ZURU DGYYMMDD CHINA(日期避开周末和法定节假日即可） 日期：按实际生产日期
Packaging Info: 77794SLB-S001
1. 包装要求：
77794：MA 1L B版callout纸卡+MA 23L 玩法说明书+MA 23L 警告语说明书+MA 1L A版 PDQ
每pcs产品要贴一张RFID贴纸，RFID贴纸由ZURU提供，贴纸位置要严格按照客人签板
Remark: 77794SLB-S001
1. 包装要求：
77794：MA 1L B版callout纸卡+MA 23L 玩法说明书+MA 23L 警告语说明书+MA 1L A版 PDQ
每pcs产品要贴一张RFID贴纸，RFID贴纸由ZURU提供，贴纸位置要严格按照客人签板
2. 外箱印刷带条码的RFID箱唛：RFID紫色色带+WM Dept.图标+RFID图标+ITF-14条码，四面右下角印刷ZURU logo, ITFF条码只印刷在正唛一面，在加印的时候确保
条形码能扫描出来，一张锂电池贴纸贴在有条码的正唛上，外箱侧面任一角落加印："MADE IN CHINA" 字样；
3. 每个slip sheet上面贴一张艾利贴纸（不干胶贴纸）和一张普通贴纸（A4纸），slip sheet打印的普通贴纸的尺寸不能比艾利贴纸小，普通贴纸内容见附件；
4. 在产品上和包装上要有日期码、以及要有MADE IN CHINA和ZURU字样；
5. 产品如有扎带口要剪平，不能刮手。
6. 此单需要验货，请多备料
7. 此单以slip sheet出货，77794：512pcs/64CTN/Slip sheet</t>
  </si>
  <si>
    <t>ZMPO260320-10</t>
  </si>
  <si>
    <t>大货最新版本/麻烦按款号装箱/并在外箱上注明款号/大货标准箱装箱/箱唛参照邮件附件备注：收到样品订单后尽快安排 ，注意样板品质质量要求要高于大货品质要求 ，送货时必须要附带送货单(没有送货单和QC检验合格报告的仓库一律拒绝收货)，请知悉，谢谢！</t>
  </si>
  <si>
    <t>4500199055-40</t>
  </si>
  <si>
    <t>4/25外箱条码箱贴纸贴纸</t>
  </si>
  <si>
    <t>日期码格式：ZURU INC(BVI) 标准格式 日期：按实际生产日期
Packaging Info:
77794UQ1：产品包装 MA 1L黑白警告语说明书+MA 1L 彩盒+MA 1L PDQ+锂电池标签纸
77794UQ1：
1.77794UQ1-S002-MINI BRANDS-VINYL-PLAYSET-SERIES 1-CUBE,8PCS/PDQ,8PCS/PDQ/CTN;
2. 产品包装 MA 1L黑白警告语说明书+MA 1L 彩盒+MA 1L PDQ+锂电池标签纸; 彩盒上的UPC显示193052090409;
3. 外箱正唛左上角位置粘贴条码箱贴纸，每箱只贴一张，由ZURU订购。来料贴纸上显示的客户DPCI# 086-02-4085, UPC显示10193052090406;
4. 带锂电池出货，需在外箱正面或者侧面合适位置上加贴一张贴锂电池标签纸，由工厂订购
以上Items：
1. 产品和包装上均要印刷tracking code信息，格式为ZURU常规格式；
2. 需要我司QC验货之后才能安排出货
3. 出货方式： 货代自提</t>
  </si>
  <si>
    <t>4500194421-20</t>
  </si>
  <si>
    <t>日期码格式：ZURU INC(BVI) 标准格式 日期：按实际生产日期
Packaging Info: 
77794UQ1:ZURU标准MA UPC版本(优先1L),出口美国。
Remark: 1. 此单需要在2026/5/8完成首批数量供UL实验室抽板测试，剩余数量要求在2026/6/8全部完成。
2. 日期码请按ZURU标准版执行即可。
3. ZURU QC验货。
4. 样板准备：测试样:每款预计12pcs成品球(抽板人员从大货中随机抽取12pcs)+额外提前备好每款5套完整散件,大货样：每款4整套(1整套是1个PDQ+ 6PCS球), 具
体寄样要求待后续邮件通知再安排寄出。</t>
  </si>
  <si>
    <t>4500196870-60</t>
  </si>
  <si>
    <t>4/10 确认</t>
  </si>
  <si>
    <t>4/16警语贴纸+WEEE 30L B 带电池说明书</t>
  </si>
  <si>
    <t>日期码格式：ZURU INC(BVI) 标准格式 日期：按实际生产日期
Packaging Info: 
77794UQ1：MA EAN 3L+警语贴纸+MA 收藏指南+WEEE 30L B 带电池说明书+锂电池欧洲澳新 62115警语--单独说明书
Remark: 1. 产品和包装要求无硼无香，包装不能含有PVC， 成分不能含石棉；
2. 如有微塑料，必须合规欧洲标准，并增加IFUD说明书
3. 此订单有第三方验货, 新品需要准备三套大货样用于签样验货和给客户留底；
4. 所用电池需要符合欧洲电池新规(EU)2023-1542；
5. ZURU货号-客户货号-外箱条码-彩盒条码
92129TQ2-7294349-10193052088922-4894680049888
92147-7294358-10193052100389-4894680058941
92146TQ1-7294348-10193052100372-4894680058934
9574-7294333-10193052098433-4894680057265
77843GQ1-7294353-10193052099102-4894680057753
77794UQ1-7294336-10193052090406-4894680051430
77772GQ1-729436010193052090062-4894680051133</t>
  </si>
  <si>
    <t>009600512462</t>
  </si>
  <si>
    <t>77896SLT-77794-S001</t>
  </si>
  <si>
    <t>2026/5/27完成100%大货安排第三方验货，2026/4/27安排做10%抽版测试</t>
  </si>
  <si>
    <t xml:space="preserve"> ZMPO260306-10</t>
  </si>
  <si>
    <t>Remark大货最新版本/麻烦按款号装箱/并在外箱上注明款号/大货标准箱装箱/箱唛参照邮件附件,备注：收到样品订单后尽快安排 ，注意样板品质质量要求要高于大货品质要求 ，送货时必须要附带送货单(没有送货单和QC检验合格报告的仓库一律拒绝收货)，请知悉，谢谢！</t>
  </si>
  <si>
    <t>0980444091</t>
  </si>
  <si>
    <t>4500196509-10</t>
  </si>
  <si>
    <t>3/27RFID贴纸</t>
  </si>
  <si>
    <t>日期码格式：ZURU DGMMDD CHINA(日期避开周末和法定节假日即可） 日期：按实际生产日期
Packaging Info: 77794UQ1-S002
1. 包装要求：
77794：MA 1L B版callout纸卡+MA 23L 玩法说明书+MA 23L 警告语说明书+MA USB连接线贴纸+MA 1L A版 PDQ
每pcs产品要贴一张RFID贴纸，RFID贴纸由ZURU提供，贴纸位置要严格按照客人签板
Remark: 77794UQ1-S002
1. 包装要求：
77794：MA 1L B版callout纸卡+MA 23L 玩法说明书+MA 23L 警告语说明书+MA USB连接线贴纸+MA 1L A版 PDQ
每pcs产品要贴一张RFID贴纸，RFID贴纸由ZURU提供，贴纸位置要严格按照客人签板
2. 外箱印刷带条码的RFID箱唛：RFID紫色色带+WM Dept.图标+RFID图标+ITF-14条码+粉色艾利贴纸（不干胶打印），四面右下角印刷ZURU logo, ITFF条码只印刷在
正唛一面，在加印的时候确保条形码能扫描出来，1张粉红色贴纸贴在正唛对角线，一张锂电池贴纸贴在有条码的正唛上，外箱侧面任一角落加印："MADE IN CHINA
" 字样；
3. 在产品上和包装上要有日期码、以及要有MADE IN CHINA和ZURU字样；
4. 产品如有扎带口要剪平，不能刮手。
5. 此单需要验货，请多备料
6. 此单以loose carton出货，8pcs/PDQ/CTN</t>
  </si>
  <si>
    <t>ZB05965-8.17</t>
  </si>
  <si>
    <t>0980444103</t>
  </si>
  <si>
    <t>4500196509-20</t>
  </si>
  <si>
    <t>ZB05748-8.17</t>
  </si>
  <si>
    <t>0983717746</t>
  </si>
  <si>
    <t>4500198365-10</t>
  </si>
  <si>
    <t>5/15第三方验货</t>
  </si>
  <si>
    <t>0983717853</t>
  </si>
  <si>
    <t>4500198365-20</t>
  </si>
  <si>
    <t>2599185</t>
  </si>
  <si>
    <t>4500196881-40</t>
  </si>
  <si>
    <t>日期码格式：ZURU INC(BVI) 标准格式 日期：按实际生产日期
Packaging Info: 1. 
4. 77794UQ1：英文MA包装UPC版本（首选1L，无1L可选多语）+2张PDQ覆盖唱片贴纸 （PDQ左右两侧各贴一张）+1张MA锂电池黑白警语书纸 + 外箱SSCC Label
Remark: 1. 客人要求箱唛不可出现任何手写内容，重量与实际一致且不可手写;
2. 此单去澳大利亚，请按相应澳新标准生产;
3. 取消使用TARGET新版封箱胶封顶，外箱全部使用普通透明封箱胶纸(客版胶纸如还有库存，可先消耗库存)；
4. 外箱需要贴Target SSCC LABEL,客供PDF文档，工厂自行订购。请贴在正唛右下角（一箱一张，贴1面正唛右下角,封箱胶纸不能挡住贴纸内容。)；外箱贴纸距离
外箱边缘应在2cm以上。如果正唛无位置可以贴在侧唛；
5. SSCC LABEL要求：贴纸内容，条形码印刷不完整/不清晰或有划痕/缺失，贴纸脏污、破损、条形码折叠、翘起、重复或者丢失，以及封箱胶盖住贴纸任何位置的
，客户都不能接受，如有发现以上异常，须返工重新贴；
6. 外箱材质为ZURU标准；
7. 产品和包装上要有tracking label信息：格式为Zuru标准格式（可以自行调整具体年月日生产日期,避开节假期日）；
8. SSCC Label 尺寸更新为：4x4 inch。</t>
  </si>
  <si>
    <t>4500199237</t>
  </si>
  <si>
    <t>89006288</t>
  </si>
  <si>
    <t>4500199237-60</t>
  </si>
  <si>
    <t>77794UQ1-S003</t>
  </si>
  <si>
    <t>C版WEEE声明(带电池)走货欧洲通用29L说明书</t>
  </si>
  <si>
    <t>3份MA说明书(含欧洲锂电池说明书)</t>
  </si>
  <si>
    <t>日期码格式：ZURU INC(BVI) 标准格式 日期：按实际生产日期
Packaging Info: "15760UQ4: MA 5L UPC吊牌+客版PDQ(翻SAINSBURY PO#4500181791)，按ZURU标准配比
15760A: 193052088024
15760B: 193052088031
15760D: 193052088048
15760E: 193052088055
15760G: 193052088062
15760H: 193052088079
15760J: 193052088086
15760K: 193052088093
15760L: 193052088109
15760M: 193052088116"
"15731: MA 5L包装+2张配套防盗贴纸（贴纸类型10111887: 410 ECON，请工厂自行跟checkpoint供应商订购贴纸，贴位参考报告)
15731A: 193052082893
15731B: 193052082909
15731D: 193052082916
15731E: 193052082923
15731G: 193052082930
15731H: 193052082947
15731J: 193052082954
15731K: 193052082961
15731L: 193052082978
15731M: 193052083135"
"15783UQ4: 客版PDQ(翻PO#4500199237)+最新MA 5L UPC彩盒+MA角色卡片+MA纸袋
UPC#193052099693
7 Assortments; Rare assortment 1/24, others even ratio"
"77711GQ1: 最新MA 3L EAN收缩膜+MA 3L PDQ+其他最新MA包装;
EAN#4894680043350"
"77843GQ1: MA PDQ+最新MA 1L UPC收缩膜
带电的8款[3PCS AG13 BATTERIES(INCLUDED)]+C版WEEE声明(带电池)走货欧洲通用29L说明书;
不带电的2款[蛋糕款和寿司款]不需要加WEEE说明书;
UPC#193052099105
Ratio: PIZZA: HAMBURGER: PANCAKES: BUBBLE TEA: Matcha TEA: TACO: SUSHI: DONUT: Charcuterie Board: RAINBOW CAKE(Rare)=68:68:68:68:68:68:68:68:68
:13"
"77794UQ1: MA PDQ+最新MA 1L UPC彩盒+3份MA说明书(含欧洲锂电池说明书)+C版WEEE声明(带电池)走货欧洲通用29L说明书+2张配套防盗贴纸（贴纸类型10111887:
410 ECON，请工厂自行跟checkpoint供应商订购贴纸，贴位参考报告)
UPC#193052090409"
"9565GQ3: 客版PDQ(翻PO#4500195341)+MA1L UPC收缩膜+MA收藏指南+C版WEEE声明(不带电池)走货欧洲通用29L说明书
UPC#193052084545
Ratio: 4 assortment, Orange:blue:pink:brown=5:5:6:6"
"92146TQ3: 客版PDQ(翻PO#4500195369)+最新MA1L UPC收缩膜+MA收藏指南+MA贴纸+一张大黄圆防盗贴纸（贴纸类型10111896: 40R Label，请工厂自行跟checkpoint
供应商订购贴纸，贴纸位置参考报告)
UPC#193052100375
Ratio: Cat:Raccoon:Deer:Tiger:Pigeon:Owl=1:1:1:1:1:1"
"77772GQ1: MA PDQ+最新MA 1L UPC收缩膜+MA收藏指南+MA组装说明书+MA袋子
UPC#193052090065
Ratio: 4 mini vinyls,1 accessory"
"9574: 最新MA 1L-23Lwarning UPC彩盒+MA说明书++C版WEEE声明(不带电池)走货欧洲通用29L说明书+2张配套防盗贴纸（贴纸类型10111887: 410 ECON，请工厂自
行跟checkpoint供应商订购贴纸，贴位参考报告)
UPC#193052098436
Ratio: 2pcs baby capybara: 3pcs baby capybara= 5:1"
"92119: 最新MA 1L UPC收缩膜+MA收藏指南+MA袋子+MA布标+MA贴纸+一张大黄圆防盗贴纸（贴纸类型10111896: 40R Label，请工厂自行跟checkpoint供应商订购贴
纸，贴纸位置参考报告)
UPC#193052078391
Ratio: 7 Assortment, Polar bear: Penguin: Walrus: Mammoth: Owl: Seal: Snow man=10:10:10:10:10:8:2. Snow man is the rare item."
"71152: 最新MA 1L-23Lwarning UPC彩盒+MA说明书+C版WEEE声明(不带电池)走货欧洲通用29L说明书+2张配套防盗贴(贴纸类型10111887: 410 ECON, 防盗贴纸位置
翻PO#4500159816&lt;(&gt;,&lt;)&gt;请工厂自行跟checkpoint供应商订购贴纸)
UPC#193052079190"
"25282: 最新MA 1L UPC包装+MA说明书+WEEE_带电池走货 _ 说明书欧洲EN+29L-C版+2张配套防盗贴纸（贴纸类型10111887: 410 ECON，请工厂自行跟checkpoint供
应商订购贴纸), 防盗贴纸贴在条码背面，贴纸和位置图翻PO#4500095305
UPC#193052062611，请先检查包装条码是否正确再安排做货
Ratio: Baby Shark(yellow)/ Mummy Shark(pink)/ Daddy Shark(blue) =1:1:1; "
"157117UQ2: 客版PDQ(翻PO#4500199237)+MA3L UPC彩盒
Ratio: 8 Assortment=1:1:1:1:1:1:1:1
Barcode:
157117A: 193052105844
157117B: 193052105851
157117D: 193052105868
157117E: 193052105875
157117G: 193052105882
157117H: 193052105899
157117J: 193052105905
157117K: 193052105912"
Remark: 1. 请准时出货，推期会有罚款；
2. 所有产品按符合欧洲标准走货，需要是不含微塑料版本。
3.包装日期码按ZURU格式即可，请确保不迟于外箱日期码，可等于或者早于外箱日期码，必须为法定工作日，印刷前请先检查外箱日期码。
4.请注意检查产品及包装应带UKCA图标（14+产品除外），包装显示ZURU UK LTD/ZURU France地址信息，QC部门请查核，如有问题与跟单确认
5.电子产品需增加一张B版WEEE声明30L通用黑白说明书(不接受A版本，翻译有误)，区分带电池和不带电池出货版本, 如已做客版说明书含WEEE信息可忽略此要求；
6.订单备注显示有分批的（不同仓库/订单号） ，注意分开做货出货，否则会导致罚款 。
7.外箱有条码要求，排版时请留意并请确保条码清晰可扫描（封箱胶不要黏到条码上), 否则客人会有罚款。
8.做货前请先复核包装条码与订单是否一致再安排，对不上的需与ZURU跟单确认再安排。
9.最大外箱尺寸和重量 : 600mm x 500mm x 745mm (LxWxH) 以及 G.W. 16 KG，超过的需要客人批准才能出货并且外箱需要印2 man lift标志 。
10.做货前务必核对零售条码是否与订单要求一致 ，对不上到客户仓库需要返工 ，工厂需要承担责任。</t>
  </si>
  <si>
    <t>406085</t>
  </si>
  <si>
    <t>4500198584-10</t>
  </si>
  <si>
    <t>4/10Cat.label</t>
  </si>
  <si>
    <t>日期码格式：ZURU INC(BVI) 标准格式 日期：按实际生产日期
Packaging Info: 1. 1L MA UPC包装+cat label +D版WEEE带电池出货说明书+欧洲澳新通用Warning instruction+锂电池外箱贴纸
2.注意Cat.label （要求易撕类贴纸，但是粘性不能过低），同时此贴纸每个订单都是不相同的（会显示客户对应的订单号），切勿翻旧订单购买。此贴纸由ZURU提
供贴纸图稿和贴纸位置图给工厂后，工厂自行购买。
3.请先检查条码是否正确再安排做，标签上的目录编号数字8560140高度必须至少为5mm （14.17pt）
Remark: *MA包装最新版本
*包装日期码按ZURU格式即可，请确保不迟于外箱日期码，可等于或者早于外箱日期码，必须为法定工作日。
*外箱尺寸任何一条边长度超过75cm或者每箱重量超过10KG，需要在外箱上加三脚架符号，有问题请与ZURU跟单同事核实。
*主拼工厂需要准备密网安排装柜
*出欧洲电子产品需要加WEEE说明书，区分带电池和不带电池两种版本，不是电子产品可忽略。
*订单必须经过ZURU QC验货并且通过后方可出货。
*订单出英国，请注意检查产品及包装应带UKCA图标，包装显示ZURU UK LTD信息，QC同事请查核，如有问题与跟单确认。
*条码扫描会显示客户7位数产品号而不是客户的订单号码。
*标签上的目录编号数字高度必须至少为5mm （14.17pt）。
*所有产品按符合欧洲标准走货，需要是不含微塑料版本 。
*若任何产品涉及到硼的，请使用低硼版本(没有则忽略此要求)
*客户不接受PVC材质包装。
*外箱不得使用带金属夹子或带扣。
*出欧洲的电子产品需要额外增加WEEE电池说明书，区分带电池走货和不带电池走货两种版本，如果不是电子产品可忽略
*主拼工厂需要提前准备密网用于装柜，装柜拉网请务必按照客人要求固定好，避免货物在运输过程中坍塌，不规范的拉网或者漏掉都会导致客人罚款</t>
  </si>
  <si>
    <t>406290</t>
  </si>
  <si>
    <t>4500198584-20</t>
  </si>
  <si>
    <t>4/10Cat.label （要求易撕类贴纸，但是粘性不能过低）</t>
  </si>
  <si>
    <t>0980444083</t>
  </si>
  <si>
    <t>4500196510-10</t>
  </si>
  <si>
    <t>ZB05964-8.17</t>
  </si>
  <si>
    <t>0980444099</t>
  </si>
  <si>
    <t>4500196510-20</t>
  </si>
  <si>
    <t>ZB05770-8.17</t>
  </si>
  <si>
    <t>0983717877</t>
  </si>
  <si>
    <t>4500198366-10</t>
  </si>
  <si>
    <t>ZB06085/ZB06086</t>
  </si>
  <si>
    <t>ZMPO260434-10</t>
  </si>
  <si>
    <t xml:space="preserve"> ZMPO260460</t>
  </si>
  <si>
    <t xml:space="preserve"> ZMPO260460-10</t>
  </si>
  <si>
    <t>Remark大货版本/大货标准箱装箱/箱唛参照邮件附件备注：收到样品订单后尽快安排 ，注意样板品质质量要求要高于大货品质要求 ，送货时必须要附带送货单(没有送货单和QC检验合格报告的仓库一律拒绝收货)，请知悉，谢谢！</t>
  </si>
  <si>
    <t>4500196674-30</t>
  </si>
  <si>
    <t>加WEEE带电池走货29L说明书</t>
  </si>
  <si>
    <t>日期码格式：ZURU INC(BVI) 标准格式 日期：按实际生产日期
Packaging Info: 
77794UQ1-S002 产品先入外箱再打SLIP SHEET, MA 1L PDQ+MA最新UPC包装+29L带电池出货WEEE说明书+加欧洲澳新通用Warning instruction
外箱正唛其中1面右上角贴UN3481贴纸，产品UPC :193052090409，请先检查条码是否正确再安排做货。
Slip sheet77794UQ1-S002 8pcs/PDQ/CTN 16*4H=64CTN/SLB=512pcs/Slip Sheet;
Remark: 1. 产品及包装需要印UKCA图标，包装需要有ZURU UK LTD/ZURU France地址信息，QC同事请核查，如有问题与跟单确认
2. 产品/包装/外箱都需要打ZURU格式日期码，日期必须为法定工作日。
3. 需要符合欧洲标准不能含有闪粉和微塑料，否则不合法规会有客诉产生""
4.涉及到硼的，如可选择情况下应使用低硼版本 （slime 类别低硼一般低于300ppm)，无选择的应与跟单复核再安排 。
5.如果出运产品属于电子类产品需要在ZURU 包装基础上额外添加一张ZURU 标准29L通用WEEE 电子产品说明书,带电池出货的加带电池出货版本通用29L的说明书，不
带电池出货的产品用不带电池出货版本的说明书</t>
  </si>
  <si>
    <t>0983718075</t>
  </si>
  <si>
    <t>4500198368-30</t>
  </si>
  <si>
    <t>ZB06019-8.17</t>
  </si>
  <si>
    <t>0983717828</t>
  </si>
  <si>
    <t>4500198368-20</t>
  </si>
  <si>
    <t>ZB06087-8.17</t>
  </si>
  <si>
    <t>0983718038</t>
  </si>
  <si>
    <t>4500198368-10</t>
  </si>
  <si>
    <t>ZB06035-8.17</t>
  </si>
  <si>
    <t>0980444064</t>
  </si>
  <si>
    <t>4500196512-10</t>
  </si>
  <si>
    <t>3/24 寄出RFID贴纸</t>
  </si>
  <si>
    <t>ZB06088-8.17</t>
  </si>
  <si>
    <t>4500199501</t>
  </si>
  <si>
    <t>5200009487</t>
  </si>
  <si>
    <t>4500199501-10</t>
  </si>
  <si>
    <t>日期码格式：ZURU INC(BVI) 标准格式                  日期：按实际生产日期
Packaging Info: #77794:  MA UPC版包装(1L或3L都可,3L要加UPC条码)，出口美国。
Remark: 1.Amazon domestic 订单。出口美国。外箱最长边不能超过25"  （超过了，case pack只能为1），不符合要求的大货，一律不接受。
2.无第三方验货/测试要求。
3. 日期码使用ZURU标准版本。
4.如果大货有要求入邮包盒，则对应的邮包盒上面要打上日期码。</t>
  </si>
  <si>
    <t>ZB05858-8.17</t>
  </si>
  <si>
    <t>009600512487</t>
  </si>
  <si>
    <t>4500196563-40</t>
  </si>
  <si>
    <t>日期码格式：ZURU INC(BVI) 标准格式 日期：按实际生产日期
Packaging Info: 
#77794
MA3LPDQ(8装)+MA3L彩盒+UPC贴纸(UPC:193052090409)+MA23L说明书+MA23L警告语说明书
翻单：4500195369
Remark: 1. 此单有箱唛;
2. UPC贴纸：必须在原来错误的条码上用黑色粗头笔涂黑直至不能扫描，再贴上正确的UPC;
3. 此单有第三方验货，烦请多备包装物料；
4. #77794带锂电池出货，使用英法双语电池，外箱需在正唛空白位置贴一张UN3481锂电池标识贴纸；
*********************
a. 请确保产品符合1999年版本的加拿大环境保护法(CEPA)和2012年禁止某些有毒物质法规的要求。该产品不含任何在加拿大禁用的化学物质，包括但不限于有毒物
质清单中列出的化学物质，并且在为加拿大沃尔玛生产产品期间没有使用任何禁用化学物质。
Supplier certify that the products comply with the requirements of Canadian Environmental Protection Act, 1999 (CEPA), Prohibition of Certain To
xic Substances Regulations, 2012.
The products do not contain any chemicals that are banned in Canada, including but not limited to those listed in the Toxic Substances List and
no banned chemicals were used during the manufacturing of product for Walmart Canada.
附件列表：
(1) Letter of Guarantee for Canada banned chemicals - (1-5CA)
b. 请确保产品在均质材料中的汞浓度不超过0.1%（按重量计）。
Supplier certify that the WAL-MART vendor products does not have a mercury concentration of more than 0.1% by weight in homogeneous material.
附件列表：
(1) Letter of Guarantee for Mercury COC
c. 请确保产品的塑料材料不含以下物质（SOR 2011-17 27B):
Supplier certify that the plastic materials do not contain the following substances(SOR 2011-17 27B):
(a) carbon tetrachloride or any substance that contains it;
(b) methyl alcohol or any substance thay contains &gt;1.0%;
(c) petroleum distillates or any substance that contains &gt;10% weight to volume of petroleum distillates;
(d) benzene;
(e) turpentine or any substance that contains &gt;10% weight to volume of turpentine;
(f) boric acid or salts of boric acid; or (g) ethyl ether.
附件列表：
(1) Letter of Guarantee for WM CA-Other prohibited substances in plastic(less than 3 years)</t>
  </si>
  <si>
    <t>60X740350</t>
  </si>
  <si>
    <t>4500197095-110</t>
  </si>
  <si>
    <t>5月26日第三方（利丰）到工厂做100%大货现场验货和抽板</t>
  </si>
  <si>
    <t>#77794UQ1,需5月6日前需每款寄出3套大货样板（含PDQ），样板须跟大货一模一样（含日期码）。
样板一套我们将给到美国HEB，两套寄到以下深圳利丰地址，到时利丰会回签一套用于第三方100%大货验货。
回签的样板工厂需要长期保存好，只要产品没更新每次的第三方验货都是用这套样板做参考不再走客户签样流程。
* 每款一套样板（含PDQ）寄到以下地址
深圳雨禾伟业实业有限公司
地址：广东省深圳市罗湖区东门南路1006号文锦渡口岸大厦B栋7楼
收件人：Elsa
电话：0755 6688 1988 Ext3337
*每款2套样板寄到以下地址（含PDQ，带散件产品，散件需寄齐）：
Li Fung　
深圳市福田区绒花路8号深福保大厦附楼3楼。
收件人： Yoland Dai　电话：+0755 8825 3756
4. 验货+ 抽板 （同一天进行）
除了#77772GQ1验货时间是5月28日，这单上剩下的款验货时间是5月26日第三方（利丰）到工厂做100%大货现场验货和抽板，验货需打印EPM出来跟客户回签样板供
第三方验货参考。
PS:EPM是跟单提供。#92104TQ2 毛绒款在华登厂验货。
抽板：
因这款产品的ZURU测试报告上被客户指定实验室发现产品和产品包装上的日期码不一致，所以这款寄样给实验室的是按照利丰验货员现场针对指定款随机抽板6PCS（
须带包装）。
工厂需把抽板寄到以下MTS 地址做测试，测试通过后才能出货；如产品有油漆的工厂需额外准备5G/色的油漆涂在同材质胶件上(面积类似A4纸大小)一并寄出；
实验室收件地址：
东莞现代产品整理服务有限公司（MTS）
广东省东莞市寮步镇新旧围村良平路76号
收件人：Cherry Wang （汪单）
Tel: +86 769- 8112 0818 ext.893
抽板有随样文件TRF（跟单提供），工厂在寄样时打印出来放纸箱内随样寄走。
5. 出货配比：ZURU 标版配比
6. ZURU QA 验货时需拍齐每款角色的产品和产品包装上的日期码照片（供实验室review）</t>
  </si>
  <si>
    <t>日期码格式：ZURU INC(BVI) 标准格式 日期：按实际生产日期
Packaging Info: 1. 包材：ZURU MA UPC 版本，出口美国；
Remark: 2. 日期跟踪码：ZURU标准格式日期码，产品包装及产品本身都必须有ZURU标准格式日期码，并且确保两者信息保持一致(请自行调整具体年月日生产期，但不能为
周末）。
PS: 毛绒款产品包装和布标上日期码可以不一致，但需提前提供照片给到我们找客户特批出货.
3. 大货样
#77794UQ1,需5月6日前需每款寄出3套大货样板（含PDQ），样板须跟大货一模一样（含日期码）。
样板一套我们将给到美国HEB，两套寄到以下深圳利丰地址，到时利丰会回签一套用于第三方100%大货验货。
回签的样板工厂需要长期保存好，只要产品没更新每次的第三方验货都是用这套样板做参考不再走客户签样流程。
* 每款一套样板（含PDQ）寄到以下地址
深圳雨禾伟业实业有限公司
地址：广东省深圳市罗湖区东门南路1006号文锦渡口岸大厦B栋7楼
收件人：Elsa
电话：0755 6688 1988 Ext3337
*每款2套样板寄到以下地址（含PDQ，带散件产品，散件需寄齐）：
Li Fung　
深圳市福田区绒花路8号深福保大厦附楼3楼。
收件人： Yoland Dai　电话：+0755 8825 3756
4. 验货+ 抽板 （同一天进行）
除了#77772GQ1验货时间是5月28日，这单上剩下的款验货时间是5月26日第三方（利丰）到工厂做100%大货现场验货和抽板，验货需打印EPM出来跟客户回签样板供
第三方验货参考。
PS:EPM是跟单提供。#92104TQ2 毛绒款在华登厂验货。
抽板：
因这款产品的ZURU测试报告上被客户指定实验室发现产品和产品包装上的日期码不一致，所以这款寄样给实验室的是按照利丰验货员现场针对指定款随机抽板6PCS（
须带包装）。
工厂需把抽板寄到以下MTS 地址做测试，测试通过后才能出货；如产品有油漆的工厂需额外准备5G/色的油漆涂在同材质胶件上(面积类似A4纸大小)一并寄出；
实验室收件地址：
东莞现代产品整理服务有限公司（MTS）
广东省东莞市寮步镇新旧围村良平路76号
收件人：Cherry Wang （汪单）
Tel: +86 769- 8112 0818 ext.893
抽板有随样文件TRF（跟单提供），工厂在寄样时打印出来放纸箱内随样寄走。
5. 出货配比：ZURU 标版配比
6. ZURU QA 验货时需拍齐每款角色的产品和产品包装上的日期码照片（供实验室review）</t>
  </si>
  <si>
    <t>ZB06300-8.17</t>
  </si>
  <si>
    <t>4500195981-50</t>
  </si>
  <si>
    <t>3/30进口商贴纸</t>
  </si>
  <si>
    <t xml:space="preserve">日期码格式：ZURU INC(BVI) 标准格式 日期：按实际生产日期
Packaging Info: MA EAN 3L收缩膜 +1L PDQ,其他包材配件使用1L+1张进口商贴纸,待提供贴纸资料
/77794UQ1-待更新为20'的单价
Remark: </t>
  </si>
  <si>
    <t>4500197867-20</t>
  </si>
  <si>
    <t xml:space="preserve"> 此客人不接受易掉落或者剥落或者可直接触碰的闪粉，可降解也不行，但可以接受符合欧洲微塑料标准的珠光粉或者闪片。
#77794 客版PDQ=MA英语UPC版本包装（收缩膜和说明书, MA首选1L，如无1L可用多语且含英语的配套多语包装) +1张MA锂电池黑白警语书纸 + 箱唛 +需加欧洲澳新
通用warning instruction,去掉"Delicious"专辑。</t>
  </si>
  <si>
    <t>日期码格式：ZURU INC(BVI) 标准格式 日期：按实际生产日期
Packaging Info: 􏁬 此客人不接受易掉落或者剥落或者可直接触碰的闪粉，可降解也不行，但可以接受符合欧洲微塑料标准的珠光粉或者闪片。
#77794 客版PDQ=MA英语UPC版本包装（收缩膜和说明书, MA首选1L，如无1L可用多语且含英语的配套多语包装) +1张MA锂电池黑白警语书纸 + 箱唛 +需加欧洲澳新
通用warning instruction,去掉"Delicious"专辑。
Remark: #77772：4 mini vinyls,1 accessory
#77794：RECHARGEABLE LITHIUM BATTERY(INCLUDED)</t>
  </si>
  <si>
    <t>待ZURU确认是否可延期</t>
  </si>
  <si>
    <t>4500198032-20</t>
  </si>
  <si>
    <t>3份MA说明书(含欧洲锂电池说明书)此客人不接受易掉落或者剥落或者可直接触碰的闪粉，可降解也不行，但可以接受符合欧洲微塑料标准的珠光粉或者闪片。
#77794 客版PDQ=MA英语UPC版本包装（收缩膜和说明书, MA首选1L，如无1L可用多语且含英语的配套多语包装) +1张MA锂电池黑白警语书纸 + 箱唛 +需加欧洲澳新
通用warning instruction,去掉"Delicious"专辑。</t>
  </si>
  <si>
    <t>4500197999-20</t>
  </si>
  <si>
    <t>日期码格式：ZURU INC(BVI) 标准格式 日期：按实际生产日期
Packaging Info: 77772GQ1:MA英语UPC版本包装（收缩膜和说明书, MA首选1L，如无1L可用多语且含英语的配套多语包装) +防盜贴纸(贴纸以及防盜贴纸位置图翻单PO#4500193539)+
两张张覆盖PDQ上唱片的贴纸+两张张覆盖收藏指南上唱片的贴纸+一张覆盖PDQ上数字"45"的贴纸+一张覆盖收藏指南上数字"45"的贴纸+箱唛+外箱贴纸SSCC Label
配比信息：4 mini vinyls,1 accessory
Removed了 ""Messy &lt;(&gt;&amp;&lt;)&gt; Delicious""两张唱片
77794UQ1:客版PDQ + MA英语UPC版本包装（收缩膜和说明书, MA首选1L，如无1L可用多语且含英语的配套多语包装) +1张锂电池黑白警语书纸 + 1张防盗贴纸 (贴纸
以及位置图翻单PO#4500193539）+ 箱唛 + 外箱SSCC Label
77785：MA 3L UPC 彩盒包装 + 箱唛 + 外箱贴纸SSCC Label
子件77711:3L 客版无条码收缩膜+MA 5L 收藏指南+MA 23L 说明书+MA 5L creative+MA纸袋;
子件77673:MA 1L UPC 收缩膜+1张说明书纽扣电池警告语贴纸+ 1张收缩膜纽扣电池警告语贴纸+MA 5L 收藏指南+MA 23L 说明书+MA 纸袋
（客版AW以及电池警告语贴纸&lt;(&gt;&amp;&lt;)&gt;贴纸位置图翻单PO#4500170842）
92129TQ1： 英文MA包装(UPC版本，首选1L，无1L可用多L含英语) + 1张防盗贴纸 (贴纸以及位置图翻单4500182434）+箱唛+SSCC label外箱贴纸； 7 assortmen
ts, Ratio: Elephant: Toucan: Zebra: Sloth: Giraffe: Tiger: Peacock=10: 10: 10: 10: 10: 8: 2
9548: MA英语UPC版本包装（收缩膜和说明书, MA首选1L，如无1L可用多语且含英语的配套多语包装) + 1张防盗贴纸 (贴纸以及位置图翻单PO#4500126567）+ 箱唛
+ 外箱SSCC Label
9565GQ1: MA英语UPC版本包装（首选1LUPC，如果无1L可用多语含英语UPC版本）+ 防盗贴纸（贴纸资料及位置图翻单PO#4500175924） + 箱唛 + 外箱SSCC Label
配比信息：4 assortment, Orange:blue:pink:brown=5:5:6:6
25282: 全套MA英语UPC包装（首选1L，如果无1L可用多语含英语）+ 箱唛 + 外箱SCC Label，包装材质为PET
9283: MA英语UPC版本包装（收缩膜和说明书, MA首选1L，如无1L可用多语且含英语的配套多语包装) + 1张防盗贴纸 (贴纸以及位置图翻单PO#4500095104）+ 箱唛
+ 外箱SSCC Label 配比信息：Kitten:Bunny:Puppy:Cow:Elephant:Flamingo=1:1:1:1:1:1;
9574: MA英语UPC版本包装（收缩膜和说明书, MA首选1L，如无1L可用多语且含英语的配套多语包装) + 1张防盗贴纸 (贴纸以及位置图翻单PO#4500192690）+ 箱唛
+ 外箱SSCC Label
配比信息：2pcs baby capybara: 3pcs baby capybara= 5:1
92119-S001 : MA英语UPC版本包装（收缩膜和说明书, MA首选1L，如无1L可用多语且含英语的配套多语包装) + 1张防盗贴纸 (贴纸以及位置图翻单PO#4500160268）
+ 箱唛 + 外箱SSCC Label
配比信息：7 Assortment, Polar bear: Penguin: Walrus: Mammoth: Owl: Seal: Snow man=10:10:10:10:10:8:2. Snow man is the rare item.
9296:MA英语UPC版本包装（收缩膜和说明书, MA首选1L，如无1L可用多语且含英语的配套多语包装) + + 1张防盗贴纸 (贴纸以及位置图翻单PO# 4500111783）+ 箱
唛 + 外箱SSCC Label 配比信息：cow:monkey:panda:zebra:axolotl;chiken:=1:1:1:1:1:1;
77711GQ1-S002-INT: MA 3L包装（MA收缩膜和说明书） + 一张UPC条码贴+ 防盗贴纸（两款贴纸以及防盗贴纸位置图翻单PO#4500160026）+ 箱唛 + 外箱贴纸SSCC L
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此单与NZ PO#4500198000一起合并计算</t>
  </si>
  <si>
    <t>4500198000-20</t>
  </si>
  <si>
    <t>日期码格式：ZURU INC(BVI) 标准格式 日期：按实际生产日期
Packaging Info: 77772GQ1:MA英语UPC版本包装（收缩膜和说明书, MA首选1L，如无1L可用多语且含英语的配套多语包装) +一张防盜贴纸(贴纸以及防盜贴纸位置图翻单PO#450019353
9)+客制PDQ+客制收藏指南（PDQ与收藏指南翻单PO#4500197999）+箱唛+外箱贴纸SSCC Label
配比信息：4 mini vinyls,1 accessory
Removed了 ""Messy &lt;(&gt;&amp;&lt;)&gt; Delicious""两张唱片
77794UQ1:客版PDQ（PDQ翻单PO#4500197999）+MA英语UPC版本包装（收缩膜和说明书, MA首选1L，如无1L可用多语且含英语的配套多语包装) +1张MA锂电池黑白警语
书纸 + 1张防盗贴纸 (贴纸以及位置图翻单PO#4500193539）+ 箱唛 + 外箱SSCC Label
77785：MA 3L UPC 彩盒包装 + 箱唛 + 外箱贴纸SSCC Label
子件77711:3L 客版无条码收缩膜+MA 5L 收藏指南+MA 23L 说明书+MA 5L creative+MA纸袋;
子件77673:MA 1L UPC 收缩膜+1张说明书纽扣电池警告语贴纸+ 1张收缩膜纽扣电池警告语贴纸+MA 5L 收藏指南+MA 23L 说明书+MA 纸袋
（客版AW以及电池警告语贴纸&lt;(&gt;&amp;&lt;)&gt;贴纸位置图翻单PO#4500170842）
9548: MA英语UPC版本包装（收缩膜和说明书, MA首选1L，如无1L可用多语且含英语的配套多语包装) + 1张防盗贴纸 (贴纸以及位置图翻单PO#4500126567）+ 箱唛
+ 外箱SSCC Label
25282: 全套MA英语UPC包装（首选1L，如果无1L可用多语含英语）+ 箱唛 + 外箱SCC Label，包装材质为PET;
92119-S001 : MA英语UPC版本包装（收缩膜和说明书, MA首选1L，如无1L可用多语且含英语的配套多语包装) + 1张防盗贴纸 (贴纸以及位置图翻单PO#4500160268）
+ 箱唛 + 外箱SSCC Label
配比信息：7 Assortment, Polar bear: Penguin: Walrus: Mammoth: Owl: Seal: Snow man=10:10:10:10:10:8:2. Snow man is the rare item.
9283: MA英语UPC版本包装（收缩膜和说明书, MA首选1L，如无1L可用多语且含英语的配套多语包装) + 1张防盗贴纸 (贴纸以及位置图翻单PO#4500095104）+ 箱唛
+ 外箱SSCC Label 配比信息：Kitten:Bunny:Puppy:Cow:Elephant:Flamingo=1:1:1:1:1:1;
9296:MA英语UPC版本包装（收缩膜和说明书, MA首选1L，如无1L可用多语且含英语的配套多语包装) + + 1张防盗贴纸 (贴纸以及位置图翻单PO# 4500111783）+ 箱
唛 + 外箱SSCC Label 配比信息：cow:monkey:panda:zebra:axolotl;chiken:=1:1:1:1:1:1;
77773GQ1:MA 1L UPC英语包装(MA收缩膜)+防盜贴纸(贴纸以及防盜贴纸位置图翻单PO#4500182434)+箱唛+外箱贴纸SSCC Label
77773-sushi boat：MA sushi boat专用黑白说明书
其他款：MA说明书+1张说明书纽扣电池警告语贴纸+ 1张收缩膜纽扣电池警告语贴纸(贴纸及位置图翻单PO#4500182434)
77711GQ1-S002-INT: MA 3L包装（MA收缩膜和说明书） + 一张UPC条码贴+ 防盗贴纸（两款贴纸以及防盗贴纸位置图翻单PO#4500160026）+ 箱唛 + 外箱贴纸SSCC L
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此单与AU PO#4500197999一起合并计算</t>
  </si>
  <si>
    <t>4500202070-10</t>
  </si>
  <si>
    <t>UPC翻单4500192784</t>
  </si>
  <si>
    <t>日期码格式：  标准格式                  日期：按实际生产日期
Packaging Info: 77794UQ1 MA多语包装 EAN版本+UPC贴纸193052090409，  UPC翻单4500192784
Remark: 出加拿大
Zuru验货. 日期跟踪码：产品外包装及产品本身都必须有日期跟踪码，ZURU标准格式日期码</t>
  </si>
  <si>
    <t>0980444094</t>
  </si>
  <si>
    <t>4500196513-20</t>
  </si>
  <si>
    <t>ZB06265-8.17</t>
  </si>
  <si>
    <t>0980444098</t>
  </si>
  <si>
    <t>4500196513-10</t>
  </si>
  <si>
    <t>ZB06120-8.17</t>
  </si>
  <si>
    <t>0983717974</t>
  </si>
  <si>
    <t>4500198369-20</t>
  </si>
  <si>
    <t>ZB06165-8.17</t>
  </si>
  <si>
    <t>0983717977</t>
  </si>
  <si>
    <t>4500198369-40</t>
  </si>
  <si>
    <t>5/29第三方验货</t>
  </si>
  <si>
    <t>ZB06118-8.17</t>
  </si>
  <si>
    <t>0983717985</t>
  </si>
  <si>
    <t>4500198369-30</t>
  </si>
  <si>
    <t>ZB06166-8.17</t>
  </si>
  <si>
    <t>0983717999</t>
  </si>
  <si>
    <t>4500198369-10</t>
  </si>
  <si>
    <t>ZB06375-8.17</t>
  </si>
  <si>
    <t>2599194</t>
  </si>
  <si>
    <t>4500196882-20</t>
  </si>
  <si>
    <t>5/13 外箱条码箱贴纸贴纸+PDQ覆盖唱片贴纸</t>
  </si>
  <si>
    <t>日期码格式：ZURU INC(BVI) 标准格式 日期：按实际生产日期
Packaging Info: 
2. 77794UQ1：英文MA包装UPC版本（首选1L，无1L可选多语）+2张PDQ覆盖唱片贴纸 ，翻单PO#4500196881（PDQ左右两侧各贴一张）+1张欧洲澳新通用warning ins
truction + 外箱SSCC Label
Remark: 1. 客人要求箱唛不可出现任何手写内容，重量与实际一致且不可手写;
2. 此单去澳大利亚，请按相应澳新标准生产;
3. 取消使用TARGET新版封箱胶封顶，外箱全部使用普通透明封箱胶纸(客版胶纸如还有库存，可先消耗库存)；
4. 外箱需要贴Target SSCC LABEL,客供PDF文档，工厂自行订购。请贴在正唛右下角（一箱一张，贴1面正唛右下角,封箱胶纸不能挡住贴纸内容。)；外箱贴纸距离
外箱边缘应在2cm以上。如果正唛无位置可以贴在侧唛；
5. SSCC LABEL要求：贴纸内容，条形码印刷不完整/不清晰或有划痕/缺失，贴纸脏污、破损、条形码折叠、翘起、重复或者丢失，以及封箱胶盖住贴纸任何位置的
，客户都不能接受，如有发现以上异常，须返工重新贴；
6. 外箱材质为ZURU标准；
7. 产品和包装上要有tracking label信息：格式为Zuru标准格式（可以自行调整具体年月日生产日期,避开节假期日）；
8. SSCC Label 尺寸更新为：4x4 inch。</t>
  </si>
  <si>
    <t>4500203119</t>
  </si>
  <si>
    <t>4400558685</t>
  </si>
  <si>
    <t>4500203119-30</t>
  </si>
  <si>
    <t>5/8确定</t>
  </si>
  <si>
    <t>日期码格式：ZURU INC(BVI) 标准格式                  日期：按实际生产日期
Packaging Info: 
"77794UQ1: 最新MA 3L底座/纸卡/贴纸+MA 23L游戏说明书+MA 23L锂电池说明书+MA 23L警示说明书+MA PDQ (优先多语)
EAN#4894680051430
RECHARGEABLE LITHIUM BATTERY(INCLUDED)
*外箱需加一张UN3481锂电池运输标签*"
Remark: Smyths 英国/爱尔兰
 1. 请准时出货，推期会有罚款；
 2. 所有产品按符合欧洲标准走货，需要是不含微塑料版本。
3.包装日期码按ZURU格式即可，请确保不迟于外箱日期码，可等于或者早于外箱日期码，必须为法定工作日，印刷前请先检查外箱日期码。
4.请注意检查产品及包装应带UKCA图标（14+产品除外），包装显示ZURU UK LTD/ZURU France地址信息，QC部门请查核，如有问题与跟单确认
5.电子产品需增加一张C版WEEE声明29L通用黑白说明书(不接受A版本，翻译有误)，区分带电池和不带电池出货版本, 如已做客版说明书可忽略此要求；如包装备注
上缺少此部分信息，请提醒跟单更新备注。
6.订单备注显示有分批的(不同仓库/订单号), 一定要区分客户订单号做货出货，否则会导致罚款  。
7.做货前请先复核包装条码与订单是否一致再安排，对不上的需与ZURU跟单确认再安排。
8.包装必须含法国回收标(Sorting Label)，如没有，请提醒跟单提供贴纸资料。</t>
  </si>
  <si>
    <t>已完成新邵生产</t>
  </si>
  <si>
    <t>MEC426-77794-S001</t>
  </si>
  <si>
    <t>2张贴纸覆盖唱片数字“45” (展示架左右各一张) + 5/15 外箱SSCC Label</t>
  </si>
  <si>
    <t>日期码格式：ZURU INC(BVI) 标准格式 日期：按实际生产日期
Packaging Info: MEC426：MA 3L 展示架+2张贴纸覆盖唱片数字“45” (展示架左右各一张) + 外箱SSCC Label
84pcs77772(remove Messy and Delicious vinyl minis) +24pcs 77794; With 1 SET Demo/Endcap
77794: 英文MA包装UPC版本（首选1L，无1L可选多语）+ 1张欧洲澳新通用warning instruction;
Remark: 1. 客人要求箱唛不可出现任何手写内容，重量与实际一致且不可手写;
2. 此单去澳大利亚，请按相应澳新标准生产;
3. 取消使用TARGET新版封箱胶封顶，外箱全部使用普通透明封箱胶纸(客版胶纸如还有库存，可先消耗库存)；
4. 外箱需要贴Target SSCC LABEL,客供PDF文档，工厂自行订购。请贴在正唛右下角（一箱一张，贴1面正唛右下角,封箱胶纸不能挡住贴纸内容。)；外箱贴纸距离
外箱边缘应在2cm以上。如果正唛无位置可以贴在侧唛；
5. SSCC LABEL要求：贴纸内容，条形码印刷不完整/不清晰或有划痕/缺失，贴纸脏污、破损、条形码折叠、翘起、重复或者丢失，以及封箱胶盖住贴纸任何位置的
，客户都不能接受，如有发现以上异常，须返工重新贴；
6. 外箱材质为ZURU标准；
7. 产品和包装上要有tracking label信息：格式为Zuru标准格式（可以自行调整具体年月日生产日期,避开节假期日）；
8. SSCC Label 尺寸更新为：4x4 inch。</t>
  </si>
  <si>
    <t>001710512325</t>
  </si>
  <si>
    <t>77896SLT-77794-S002</t>
  </si>
  <si>
    <t>5/11 抽办10%</t>
  </si>
  <si>
    <t>4500200163</t>
  </si>
  <si>
    <t>86311</t>
  </si>
  <si>
    <t>4500200163-30</t>
  </si>
  <si>
    <t>客人通用进口商贴纸（贴纸跟位置图翻单PO#4500193524）+覆盖掉PDQ上的"Delicious"唱片的唱片贴纸</t>
  </si>
  <si>
    <t>外箱需加一张UN3481锂电池运输标签</t>
  </si>
  <si>
    <t>日期码格式：ZURU INC(BVI) 标准格式 日期：按实际生产日期
Packaging Info: MEC473：客版 3L 展示架+2张贴纸覆盖唱片数字"45" (展示架左右各一张) + 外箱SSCC Label
36pcs77772(remove Messy and Delicious vinyl minis) +12pcs 77794; With 1 SET Demo/Endcap
77772: 英文MA UPC版本收缩膜 + 客制球以及客制5L 收藏指南 （去除"Messy" and "Delicious" 2张唱片）+1张客人通用进口商贴纸（贴纸跟位置图翻单PO#450019
3524）
77794: 英文MA包装UPC版本（首选1L，无1L可选多语）+1张MA的锂电池警语书纸+1张客人通用进口商贴纸（贴纸跟位置图翻单PO#4500193524）+覆盖掉PDQ上的"Deli
cious"唱片的唱片贴纸
77711GQ2： MA 3L EAN 包装+1张通用UPC条码贴纸（UPC#193052080134）+1张客人通用进口商贴纸（翻单4500159576）
Remark: 1.按实际生产日期;
2.出澳大利亚，请按照相应标准生产;</t>
  </si>
  <si>
    <t>4500199726</t>
  </si>
  <si>
    <t>15376</t>
  </si>
  <si>
    <t>4500199726-20</t>
  </si>
  <si>
    <t>日期码格式：ZURU INC(BVI) 标准格式 日期：按实际生产日期
Packaging Info: 77772GQ2: MA UPC 1L+MA PDQ，配比：4 mini vinyls(remove Lola Young vinyl),1 accessory；
77794UQ1: MA UPC 1L+MA PDQ(含锂电池，外箱+logo)+WEEE 30L 带电池说明书 C+锂电池欧洲澳新 62115警语--单独说明书
Remark: 1.订单出英国，请注意检查产品及包装应带CE/ UKCA图标，包装需要显示ZURU UKLTD/ZURU France地址信息，QC同事请查核，如有问题与跟单确认。
2.生产日期按实际的（法定工作日），按ZURU标准格式即可，并需要在出货前提供每个产品外包上对应的生产日期明细
3.请注意所有订单都需要经过ZURU QC验货并且通过后方可出货
4.一个产品的条码请允许有一个，混款并每个款不同条码的需要加条码贴纸覆盖
5.外箱上的条码请确保清晰可扫描，有PDQ，需要在PDQ底部贴一张带条码并可扫描的贴纸(ZURU 跟单提供模板）。
6.所有产品按符合欧洲标准走货，微塑料需合规并增加IFUD声明，含电池的需要增
加WEEE说明书。
7.硼限值要低于300ppm</t>
  </si>
  <si>
    <t>MEC473-77794-S001</t>
  </si>
  <si>
    <t>2张贴纸覆盖唱片数字"45" (展示架左右各一张) + 外箱SSCC Label+客人通用进口商贴纸（贴纸跟位置图翻单PO#4500193524）+覆盖掉PDQ上的"Delicious"唱片的唱片贴纸</t>
  </si>
  <si>
    <t>001710512326</t>
  </si>
  <si>
    <t>4500196453-70</t>
  </si>
  <si>
    <t>4/9警告语和MADE IN CHINA都翻译成丹麦瑞典芬兰挪威爱沙尼亚语做成一张贴纸贴在包装上+爱沙尼亚语贴纸贴在
说明书上(不能覆盖英语丹麦瑞典芬兰挪威语)+MA 23L锂电池警告语说明书+爱沙尼亚语贴纸贴在说明书上(不能覆盖英语丹麦瑞典芬兰挪威语)
爱沙尼亚语贴纸贴在说明书上(不能覆盖英语丹麦瑞典芬兰挪威语)+WEEE_带电池走货 _ 说明书欧洲EN+29L_C版</t>
  </si>
  <si>
    <t>日期码格式：ZURU INC(BVI) 标准格式 日期：按实际生产日期
Packaging Info:
7. 77794UQ1: MA A3L EAN包装+警告语和MADE IN CHINA都翻译成丹麦瑞典芬兰挪威爱沙尼亚语做成一张贴纸贴在包装上+MA 23L Game说明书+爱沙尼亚语贴纸贴在
说明书上(不能覆盖英语丹麦瑞典芬兰挪威语)+MA 23L锂电池警告语说明书+爱沙尼亚语贴纸贴在说明书上(不能覆盖英语丹麦瑞典芬兰挪威语)+MA 23L警告语说明书+
爱沙尼亚语贴纸贴在说明书上(不能覆盖英语丹麦瑞典芬兰挪威语)+WEEE_带电池走货 _ 说明书欧洲EN+29L_C版+MA 3L PDQ
Remark: *. 92147+92146TQ1+9574+77843GQ1+77794UQ1+77772GQ1+77858 新款: 请在5/15各提供三套大货样给客人留底
*. 包装如含PVC,请改为PET并第一时间通知跟单
*. 产品/包装要求无硼无香，出欧洲，微塑料需合规。
*.带电池出货的产品所用到的电池需要符合欧洲电池新规(EU) 2023-1542
*.有胶袋的产品：要求产品的胶袋厚度要大于等于0.05mm
*.关于贴纸，如果贴纸位置图的包装版本与大货不一致，请工厂第一时间提前提出。跟单会重新调整确认是否更新贴纸或调整位置图
*.产品/包装不含PFAS and/or Bisfenol成分, 以及不含石棉成分
*.产品条码如下: 请先检查条码是否正确再安排做货，如有问题请告知
ZURU ITEM#&lt;(&gt;&amp;&lt;)&gt;EAN
77794UQ1-S002:4894680051430</t>
  </si>
  <si>
    <t>77869-77794-S001</t>
  </si>
  <si>
    <t>6/17出货</t>
  </si>
  <si>
    <t>4500201073-10</t>
  </si>
  <si>
    <t>77794UQ1-S002-客版</t>
  </si>
  <si>
    <t>4500192526-10</t>
  </si>
  <si>
    <t>日期码格式：ZURU INC(BVI) 标准格式 日期：按实际生产日期
Packaging Info: 77794: MA UPC版包装(1L或3L都可,3L要加UPC条码)，出口美国。
Remark: 1.Amazon domestic 订单。出口美国。外箱最长边不能超过25" （超过了，case pack只能为1），不符合要求的大货，一律不接受。
2.无第三方验货/测试要求。
3.日期码使用ZURU标准版本。
4.如果大货有要求入邮包盒，则对应的邮包盒上面要打上日期码。</t>
  </si>
  <si>
    <t>ZB05859-8.17</t>
  </si>
  <si>
    <t>001790512268</t>
  </si>
  <si>
    <t>002880512233</t>
  </si>
  <si>
    <t>4500193278-20</t>
  </si>
  <si>
    <t>已延下一水</t>
  </si>
  <si>
    <t>日期码格式：ZURU INC(BVI) 标准格式 日期：按实际生产日期
Packaging Info: 􏁬 MA UPC 英语包装（优先1L英语版本，或者3L/5L含英语都可）
#77843GQ2 􏁬 产品有纽扣电池，包装正面和说明书都需要加电池警告语贴纸（法规要求），如包装正面位置不够，则在正面贴一张小的，再在其背面加上大的警语
贴纸，详细参考贴纸位置图。
AW翻单:4500197867
Remark: #77772:4 mini vinyls,1 accessory
#77794:RECHARGEABLE LITHIUM BATTERY(INCLUDED)
#77843:Ratio: PIZZA: HAMBURGER: PANCAKES: BUBBLE TEA: Matcha TEA: TACO: SUSHI: DONUT: Charcuterie Board: RAINBOW CAKE(Rare)=10.88%: 10.88%: 10.
88%: 10.88%: 10.88%: 10.88%: 10.88%: 10.88%: 10.88%: 2.08%=68:68:68:68:68:68:68:68:68:13;
3PCS AG13 BATTERIES(INCLUDED)</t>
  </si>
  <si>
    <t>SIDJ  JOUECLUB</t>
  </si>
  <si>
    <t>4500194798-10</t>
  </si>
  <si>
    <t>请准备每款5pcs包装备品，和大货一起出（以备到客户仓库后有破损的包装）</t>
  </si>
  <si>
    <t>4/291张贴纸(含IT/NL/AR警语+客人信息+意大利回收标+CMIM logo)+1张额外客版AR黑白说明书(含组装说明/游戏说明/锂电池说明/AR警语/5L WEEE 带电池出货)</t>
  </si>
  <si>
    <t>日期码格式：2053026 日期：
Packaging Info: MA9L EAN彩卡+1张贴纸(含IT/NL/AR警语+客人信息+意大利回收标+CMIM logo)+MA23L收藏指南+MA纸卡+MA袋子+MA23L组装说明+MA23L锂电池说明书+MA23L说明书+1张
额外客版AR黑白说明书(含组装说明/游戏说明/锂电池说明/AR警语/5L WEEE 带电池出货)+MA 3L展示盒
Remark: 1.此票无需客户验货，请多备料1套左右
2.请准备每款5pcs包装备品，和大货一起出（以备到客户仓库后有破损的包装）
3.所有出口法国的产品, 法规规定禁止在包装和共公众用的印刷品中使用矿物油中含有的物质, 包装印刷油墨中含有的MOAH/MOSH的质量浓度不能超过1%, 否则出货
到法国被抽检出现问题, 供应商需要对此负责;
4.出口法国请确保产品符合EU微塑料法规，包装需显示法国回收logo;</t>
  </si>
  <si>
    <t>001790512277</t>
  </si>
  <si>
    <t>002670512369</t>
  </si>
  <si>
    <t>005840512188</t>
  </si>
  <si>
    <t>005840512189</t>
  </si>
  <si>
    <t>013760512285</t>
  </si>
  <si>
    <t>013860512198</t>
  </si>
  <si>
    <t>ZB06697-8.17</t>
  </si>
  <si>
    <t>4500200071</t>
  </si>
  <si>
    <t>4/27德语警告语贴纸+外箱需要加贴圆形彩色贴纸供客户区分+WEEE带电池走货欧洲30语B版通用黑白说明书</t>
  </si>
  <si>
    <t>外箱需加一张UN3481锂电池运输标签+所有电子产品身上需要加字唛，为ZURU FRANCE 地址 (如无电子产品，产品布标有此地址，或产品太小无法增加可忽略此信息)，新地址ZURU FRANCE.33 rue Paul Meurice 75020 Paris, France.</t>
  </si>
  <si>
    <t>外箱条码: tbc，包装/产品/外箱三处，都要打客人的日期码: 9429502242026 ；</t>
  </si>
  <si>
    <t>日期码格式：ZURU INC(BVI) 标准格式 日期：按实际生产日期
Packaging Info: 
MEC473: 客版展示架
77794: MA B版3L 包装+德语警告语贴纸+MA 23L说明书+MA warning 欧洲23L 说明书+WEEE带电池走货欧洲29L语D版通用黑白说明书
Remark: 1, 本订单交期2026年05月28号，请在05月28号内完成ZURU验货，第三方验货预计在05月29号；
2, 标准配比，
15760 EAN条码4894680049031; 外箱条码: 10193052087871，包装/产品/外箱三处，都要打客人的日期码:9540120242026 ；
MEC473：77772 EAN条码4894680051133; 77794 EAN条码4894680051430，外箱条码: tbc，包装/产品/外箱三处，都要打客人的日期码: 9429502242026 ；
3, 客人不接受任何包装包含PVC材质，如果有请更改为PET；
4, 此单走德国，所有物料需满足ZURU 标准的测试要求；
5, 所有出往GAS市场(德国/奥地利/瑞士)订单，化学品需无堋无香版本；
6, 出口欧洲，微塑料需符合法规；
7, 所有出往GAS市场(德国/奥地利/瑞士)的电子产品身上需要加字唛，为ZURU FRANCE 地址 (如无电子产品，产品布标有此地址，或产品太小无法增加可忽略此信息
。如产品无法加字唛，需让对应跟单提供产品贴纸资料) ZURU France 33 rue Paul Meurice 75020 Paris, France；
8, 所有电子产品需增加一张欧洲通用WEEE声明说明书，区分带电池和不带电池版本, 如已做客版说明书可忽略此要求；
9, 客人要求3套大货样，出货前两周提供
10, 客人要求纸箱的底部和顶部加保护卡（需印环保logo），以免被产品被割破；
11, 封箱胶纸用50mm宽OPP透明封箱胶纸，工字形封箱；
12, 客人第三方验货，要求大货完成100%后验尾期；
13, 需提供装柜图片。
14.外箱需要加贴圆形彩色贴纸供客户区分</t>
  </si>
  <si>
    <t xml:space="preserve">MEC473-77794-S001-3L
</t>
  </si>
  <si>
    <t>4500198146-20</t>
  </si>
  <si>
    <t>日期码格式：ZURU INC(BVI) 标准格式 日期：按实际生产日期
Packaging Info:77794UQ1:客版PDQ（翻单PO#4500197867） + MA英语UPC版本包装（收缩膜和说明书, MA首选1L，如无1L可用多语且含英语的配套多语包装) +1张锂电池黑白警语书
 纸 + 1张防盗贴纸 (贴纸以及位置图翻单PO#4500193539）+ 箱唛 + 外箱SSCC Label
 9565GQ1: MA英语UPC版本包装（首选1LUPC，如果无1L可用多语含英语UPC版本）+ 防盗贴纸（贴纸资料及位置图翻单PO#4500175924） + 箱唛 + 外箱SSCC Label
 配比信息：4 assortment, Orange:blue:pink:brown=5:5:6:6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此单与NZ PO#4500198149一起合并计算</t>
  </si>
  <si>
    <t>4500198149-20</t>
  </si>
  <si>
    <t>日期码格式：ZURU INC(BVI) 标准格式 日期：按实际生产日期
Packaging Info:77794UQ1:客版PDQ（翻单PO#4500197867） + MA英语UPC版本包装（收缩膜和说明书, MA首选1L，如无1L可用多语且含英语的配套多语包装) +1张锂电池黑白警语书
 纸 + 1张防盗贴纸 (贴纸以及位置图翻单PO#4500193539）+ 箱唛 + 外箱SSCC Label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此单与AU PO#4500198146一起合并计算</t>
  </si>
  <si>
    <t>4500199725</t>
  </si>
  <si>
    <t>4500199725-20</t>
  </si>
  <si>
    <t>日期码格式：ZURU INC(BVI) 标准格式 日期：按实际生产日期
Packaging Info: 77772GQ1: MA UPC 1L+MA PDQ，配比：4 mini vinyls(remove Lola Young vinyl),1 accessory；
77794UQ1: MA UPC 1L+MA PDQ(含锂电池，外箱+logo）+WEEE 30L C 带电池说明书+锂电池欧洲澳新 62115警语--单独说明书
Remark: *胶带最少宽度要保证6.0CM,厚度最少0.05毫米,外箱不可以打钉/扎带；以工字型封箱；
*如果重量超过5KGS，箱唛需加黄色警示图标志 ，有疑问请与ZURU跟单同事联系,十分重要！
*订单出英国，请注意检查产品及包装应带UKCA图标，包装需要显示ZURU UK LTD/ZURU France地址信息，QC同事请查核，如有问题与跟单确认。
*生产日期按实际的（法定工作日），按ZURU标准格式即可 ，但是请知悉包装日期码需要早于或者等于外箱日期码 ，不能晚于外箱日期码
*请注意所有订单都需要经过ZURU QC验货并且通过后方可出货
*产品条码以订单显示为准 ，请安排生产前先核对再生产。
*外箱上的条码请确保清晰可扫描 ，左上角的条码格式是UPC-A格式，下面14位数的条码格式是ITF-14格式，否则到目的仓无法扫描入仓由工厂承担责任 。
*所有产品按符合欧洲标准走货，微塑料需合规 。
*涉及到硼的，需要符合欧洲标准
*客户不接受PVC材质
*外箱不得使用带金属夹子或带扣</t>
  </si>
  <si>
    <t>4500200909</t>
  </si>
  <si>
    <t>10001764958-0581</t>
  </si>
  <si>
    <t>4500200909-10</t>
  </si>
  <si>
    <t>5/9寄出外箱条码箱贴纸贴纸</t>
  </si>
  <si>
    <t>日期码格式：ZURU INC(BVI) 标准格式                  日期：按实际生产日期
Packaging Info: 产品包装 MA 1L黑白警告语说明书+MA 1L 彩盒+MA 1L PDQ+锂电池标签纸
Remark: 1.77794UQ1-S002-MINI BRANDS-VINYL-PLAYSET-SERIES 1-CUBE,8PCS/PDQ,8PCS/PDQ/CTN;
 2. 产品包装 MA 1L黑白警告语说明书+MA 1L 彩盒+MA 1L PDQ+锂电池标签纸; 彩盒上的UPC显示193052090409;
 3. 外箱正唛左上角位置粘贴条码箱贴纸，每箱只贴一张，由ZURU订购。来料贴纸上显示的客户DPCI# 086-02-4085, UPC显示10193052090406;
 4. 带锂电池出货，需在外箱正面或者侧面合适位置上加贴一张贴锂电池标签纸，由工厂订购；
 5. 产品和包装上均要印刷tracking code信息，格式为ZURU常规格式；
 6. 需要我司QC验货之后才能安排出货
 7. 出货方式：  货代自提</t>
  </si>
  <si>
    <t>ZB06119/ZB06301</t>
  </si>
  <si>
    <t>SCHEEL'S  ALL  SPORTS,  INC.</t>
  </si>
  <si>
    <t>021873164</t>
  </si>
  <si>
    <t>4500195170-100</t>
  </si>
  <si>
    <t>Mila  Yao</t>
  </si>
  <si>
    <t>ZB06117-8.17</t>
  </si>
  <si>
    <t>4500195045</t>
  </si>
  <si>
    <t>36246</t>
  </si>
  <si>
    <t>4500195045-10</t>
  </si>
  <si>
    <t>ZB06148-8.17</t>
  </si>
  <si>
    <t>4500202749</t>
  </si>
  <si>
    <t>0983717889</t>
  </si>
  <si>
    <t>4500202749-30</t>
  </si>
  <si>
    <t>77794UQ1-SLB-S001</t>
  </si>
  <si>
    <t>5/7RFID贴纸</t>
  </si>
  <si>
    <t>日期码格式：ZURU DGYYMMDD CHINA(日期避开周末和法定节假日即可）                   日期：按实际生产日期
Packaging Info: 77772SLB-S001/77794SLB-S001
1.包装要求：
77772：MA 1L A版收缩膜+MA 5L A版收藏指南+MA 23L A版说明书+MA A版纸袋+客版1L PDQ，翻单：4500195546
77794：MA 1L B版callout纸卡+MA 23L 玩法说明书+MA 23L 警告语说明书+MA 1L A版 PDQ
每pcs产品上要贴1张RFID贴纸，贴纸由ZURU提供，贴纸位置请严格按照我们签回的签板；
Remark: 77772SLB-S001/77794SLB-S001
1.包装要求：
77772：MA 1L A版收缩膜+MA 5L A版收藏指南+MA 23L A版说明书+MA A版纸袋+客版1L PDQ，翻单：4500195546
77794：MA 1L B版callout纸卡+MA 23L 玩法说明书+MA 23L 警告语说明书+MA 1L A版 PDQ
每pcs产品上要贴1张RFID贴纸，贴纸由ZURU提供，贴纸位置请严格按照我们签回的签板；
 2. 外箱印刷带条码的RFID箱唛：RFID紫色色带+WM Dept.图标+RFID图标+ITF-14条码，四面右下角印刷ZURU logo, ITFF条码只印刷在正唛一面，在加印的时候确保
条形码能扫描出来，外箱侧面任一角落加印："MADE IN CHINA" 字样，77772箱唛翻单：4500195546，77794箱唛翻单：4500196335
 3. 在产品上和包装上要有日期码、以及要有MADE IN CHINA和ZURU字样；
 4. 产品如有扎带口要剪平，不能刮手。
5. 此单需要抽板和验货，请多备料，预计抽板时间4/23
 6. 此单以Slip sheet出货，
77772：960pcs/60CTNS/Slip sheet
77794：512pcs/64CTN/Slip sheet</t>
  </si>
  <si>
    <t>ZB06422-8.17</t>
  </si>
  <si>
    <t>0983717958</t>
  </si>
  <si>
    <t>4500202749-10</t>
  </si>
  <si>
    <t>ZB06266-8.17</t>
  </si>
  <si>
    <t>0983718003</t>
  </si>
  <si>
    <t>4500202749-20</t>
  </si>
  <si>
    <t>ZB06587-8.17</t>
  </si>
  <si>
    <t>ZMPO260640-10</t>
  </si>
  <si>
    <t>Remark：要3L版本的
备注： 收到样品订单后尽快安排 ，谢谢！</t>
  </si>
  <si>
    <t>77794-S001-3L</t>
  </si>
  <si>
    <t>4500202338-40</t>
  </si>
  <si>
    <t>日期码格式：ZURU INC(BVI) 标准格式 日期：按实际生产日期
Packaging Info: 
#77794
MA3LPDQ(8装)+MA3L彩盒+UPC贴纸(UPC:193052090409)+MA23L说明书+MA23L警告语说明书
翻单：4500195369
Remark: 1. 此单有箱唛;
2. UPC贴纸：必须在原来错误的条码上用黑色粗头笔涂黑直至不能扫描，再贴上正确的UPC;
3. 此单有第三方验货，烦请多备包装物料；
4. #77794带锂电池出货，使用英法双语电池，外箱需在正唛空白位置贴一张UN3481锂电池标识贴纸；
5.此单#77772与4500213633置换产能
*********************
a. 请确保产品符合1999年版本的加拿大环境保护法(CEPA)和2012年禁止某些有毒物质法规的要求。该产品不含任何在加拿大禁用的化学物质，包括但不限于有毒物
质清单中列出的化学物质，并且在为加拿大沃尔玛生产产品期间没有使用任何禁用化学物质。
Supplier certify that the products comply with the requirements of Canadian Environmental Protection Act, 1999 (CEPA), Prohibition of Certain To
xic Substances Regulations, 2012.
The products do not contain any chemicals that are banned in Canada, including but not limited to those listed in the Toxic Substances List and
no banned chemicals were used during the manufacturing of product for Walmart Canada.
附件列表：
(1) Letter of Guarantee for Canada banned chemicals - (1-5CA)
b. 请确保产品在均质材料中的汞浓度不超过0.1%（按重量计）。
Supplier certify that the WAL-MART vendor products does not have a mercury concentration of more than 0.1% by weight in homogeneous material.
附件列表：
(1) Letter of Guarantee for Mercury COC
c. 请确保产品的塑料材料不含以下物质（SOR 2011-17 27B):
Supplier certify that the plastic materials do not contain the following substances(SOR 2011-17 27B):
(a) carbon tetrachloride or any substance that contains it;
(b) methyl alcohol or any substance thay contains &gt;1.0%;
(c) petroleum distillates or any substance that contains &gt;10% weight to volume of petroleum distillates;
(d) benzene;
(e) turpentine or any substance that contains &gt;10% weight to volume of turpentine;
(f) boric acid or salts of boric acid; or (g) ethyl ether.
附件列表：
(1) Letter of Guarantee for WM CA-Other prohibited substances in plastic(less than 3 years)</t>
  </si>
  <si>
    <t>4500200913</t>
  </si>
  <si>
    <t>10001764959-0581</t>
  </si>
  <si>
    <t>4500200913-10</t>
  </si>
  <si>
    <t>ZB06354-8.17</t>
  </si>
  <si>
    <t>4500201182</t>
  </si>
  <si>
    <t>013540512235</t>
  </si>
  <si>
    <t>4500197354</t>
  </si>
  <si>
    <t>4500197354-10</t>
  </si>
  <si>
    <t>4/30进口商贴纸+锂电池贴纸</t>
  </si>
  <si>
    <t>日期码格式：ZURU INC(BVI) 标准格式                  日期：按实际生产日期
Packaging Info: 77794UQ1：B 版1L MA 包装+进口商贴纸；A 版 23L 警告语说明书/A 版 23L 唱片机说明书/A 版 23L 锂电池警告语说明书/A 版 MA PDQ；外箱一面添加锂电池贴纸
Remark: 1、所有item 均用MA UPC 条码，若包装不是UPC 条码的请告知
 2、此单出欧洲需满足EU测试标准要求，另外不能出闪粉（若产品本身不含闪粉则忽略这句话）
 3、此单LC 货期不可延
 3、电池产品（带电池/不带电池走货）需要添加WEEE通用说明书</t>
  </si>
  <si>
    <t>4500202457</t>
  </si>
  <si>
    <t>15090</t>
  </si>
  <si>
    <t>4500202457-250</t>
  </si>
  <si>
    <t>5/13进口商贴纸+WEEE 带电池走货说明书30L D</t>
  </si>
  <si>
    <t>日期码格式：ZURU INC(BVI) 标准格式                  日期：按实际生产日期
Packaging Info: 
77794:MA 3L EAN+进口商贴纸+MA说明书+MA 23L 欧洲锂电池说明书+MA 其他包装+MA PDQ+WEEE 带电池走货说明书30L D
77794UQ1-S002:</t>
  </si>
  <si>
    <t>4500200746</t>
  </si>
  <si>
    <t>AG250502-HK</t>
  </si>
  <si>
    <t>4500200746-10</t>
  </si>
  <si>
    <t>4/30HK 客供警语贴纸( 底部贴1张HK 客供进口商警语贴纸和1张客供电池警语贴纸，说明书贴1张警语贴纸</t>
  </si>
  <si>
    <t>日期码格式：ZURU INC(BVI) 标准格式                  日期：按实际生产日期
Packaging Info: 此单出HK
77794UQ1:  MA 1L PKG ，PDQ , MA 收藏指南，说明书+3 张HK 客供警语贴纸( 底部贴1张HK 客供进口商警语贴纸和1张客供电池警语贴纸，说明书贴1张警语贴纸，
贴纸内容不一样，具体参考HK客供警语贴纸位置图）</t>
  </si>
  <si>
    <t>ZMPO260642</t>
  </si>
  <si>
    <t>ZMPO260642-10</t>
  </si>
  <si>
    <t>Remark：只需要左图中指定款77794 唱片机里面的唱片
备注： 收到样品订单后尽快安排 ，谢谢！</t>
  </si>
  <si>
    <t>4500201181</t>
  </si>
  <si>
    <t>012030512316</t>
  </si>
  <si>
    <t>4500199646</t>
  </si>
  <si>
    <t>2000009902</t>
  </si>
  <si>
    <t>6/18 第三方验货，大货样品2套/item，用于客人验货签板。验货后还会抽办1套/item，请多备料；</t>
  </si>
  <si>
    <t>4/30一张EAN条码贴纸+一张进口商贴纸（含法国环保标）+一张产品贴纸+一张weeee说明书纸</t>
  </si>
  <si>
    <t xml:space="preserve"> 客版日期码LOT2622, 包装（含收缩膜等）/产品/外箱 请保持一致;77869的日期码为LOT2623</t>
  </si>
  <si>
    <t>4400555640</t>
  </si>
  <si>
    <t>4500201090-40</t>
  </si>
  <si>
    <t>日期码格式：ZURU INC(BVI) 标准格式 日期：按实际生产日期
Packaging Info: 
"77794UQ1: 最新MA 3L底座/纸卡/贴纸+MA 23L游戏说明书+MA 23L锂电池说明书+MA 23L警示说明书+MA PDQ (优先多语)
EAN#4894680051430
RECHARGEABLE LITHIUM BATTERY(INCLUDED)
*外箱需加一张UN3481锂电池运输标签*"
4894680051133
4894680057753
Remark: Smyths 法国
1. 请准时出货，推期会有罚款；
2. 所有产品按符合欧洲标准走货，需要是不含微塑料版本。
3. 电子产品需增加一张C版WEEE声明29L通用黑白说明书(不接受A版本，翻译有误)，区分带电池和不带电池出货版本, 如已做客版说明书可忽略此要求；如包装备注
上缺少此部分信息，请提醒跟单更新备注。
4. 出口法国的产品, 法规规定禁止在包装和共公众用的印刷品中使用矿物油中含有的物质, 包装印刷油墨中含有的MOAH/MOSH的质量浓度不能超过0.1%, 否则出货
到法国被抽检出现问题, 供应商需要对此负责;
5.订单备注显示有分批的(不同仓库/订单号), 一定要区分客户订单号做货出货，否则会导致罚款 。
6.包装日期码按ZURU格式即可，请确保不迟于外箱日期码，可等于或者早于外箱日期码，必须为法定工作日。
7.做货前请先复核包装条码与订单是否一致再安排，对不上的需与ZURU跟单确认再安排。
8.包装必须含法国回收标(Sorting Label)，如没有，请提醒跟单提供贴纸资料。</t>
  </si>
  <si>
    <t>4400555641</t>
  </si>
  <si>
    <t>4500201090-80</t>
  </si>
  <si>
    <t>4500194421-200</t>
  </si>
  <si>
    <t>4500194421-140</t>
  </si>
  <si>
    <t>4500194421-100</t>
  </si>
  <si>
    <t>4500194421-280</t>
  </si>
  <si>
    <t>4500194421-30</t>
  </si>
  <si>
    <t>4500194421-70</t>
  </si>
  <si>
    <t>4500194421-240</t>
  </si>
  <si>
    <t>4500194421-120</t>
  </si>
  <si>
    <t>4500194421-260</t>
  </si>
  <si>
    <t>4500194421-50</t>
  </si>
  <si>
    <t>4500194421-160</t>
  </si>
  <si>
    <t>4500194421-220</t>
  </si>
  <si>
    <t>4500194421-180</t>
  </si>
  <si>
    <t>4500202163-30</t>
  </si>
  <si>
    <t>5/21四国警告语贴纸</t>
  </si>
  <si>
    <t>4500198397-20</t>
  </si>
  <si>
    <t>日期码格式：ZURU INC(BVI) 标准格式                  日期：按实际生产日期
Packaging Info: "77869: 客版彩卡含UPC条码193052101938 &lt;(&gt;&amp;&lt;)&gt;
77772：MA 最新1L收缩膜+1张空白贴纸覆盖原条码
77794：  MA 最新1L UPC包装
2PK 77772 + 77794 PLAYSET COMBO IN COLOR BOX
77772: 4  mini vinyls,1 accessory
77794: RECHARGEABLE LITHIUM BATTERY(INCLUDED)
"77772GQ1：  MA 最新1L收缩膜+1张四国警告语贴纸Czech-Hugarian-Polish-Slovak)，MA 1L PDQ+MA最新23L组装说明书+MA最新5L收藏指南+MA内袋
UPC#193052090065，请先检查包装条码是否正确再安排做货；"
"77794UQ1：  MA 最新1L UPC包装+1张四国警告语贴纸Czech-Hugarian-Polish-Slovak)，MA 1L PDQ+MA最新23L Game &lt;(&gt;&amp;&lt;)&gt; warning说明书+MA最新23L锂电池说明
书+WEEE带电池走货欧洲29语通用黑白说明书
UPC#193052090409，请先检查包装条码是否正确再安排做货；"
Remark: 1.此单出欧洲国家，需满足EU测试标准，微塑料需满足EU法规要求；
2.产品及包装需要印CE &lt;(&gt;&amp;&lt;)&gt; UKCA图标，包装需要有ZURU UK LTD/ZURU France地址信息，QC同事请核查，如有问题与跟单确认；
3.裝櫃必須按TPND順序(TPND的号码由大到小或由小到大) (條形碼貼紙或正嘜必須要朝外向車門外)；
4. 外箱上有条码要求，排版时请留意并请确保条码清晰可扫描（封箱胶不要黏到条码上), 否则客人会有罚款；
5.如含硼的话，  需用低硼版本(小于300ppm),硼含量需要符合欧洲标准,否则客人会退货有罚款产生;
6.标准配比；
7.货物不能用打包带缠绕外箱，否则会影响目的港派送及可能产生额外的拆打包带费用
8.请多备料，需安排2套大货样寄到深圳办公室</t>
  </si>
  <si>
    <t>4500202661</t>
  </si>
  <si>
    <t>4500202661-30</t>
  </si>
  <si>
    <t>4500209829</t>
  </si>
  <si>
    <t>4400574701</t>
  </si>
  <si>
    <t>4500209829-20</t>
  </si>
  <si>
    <t xml:space="preserve">4/29 翻单4500200925 </t>
  </si>
  <si>
    <t>客版新资料包装，外箱需加一张UN3481锂电池运输标签+所有电子产品身上需要加字唛，为ZURU FRANCE 地址 (如无电子产品，产品布标有此地址，或产品太小无法增加可忽略此信息)，新地址ZURU FRANCE.33 rue Paul Meurice 75020 Paris, France.</t>
  </si>
  <si>
    <t>日期码格式：ZURU INC(BVI) 标准格式 日期：按实际生产日期
Packaging Info: ***空运，此票是从PO#4500200925上拆出来走空运的，请工厂留意更新记录，切勿重复安排做货；箱唛已印照出，不安排外箱返工***
77794UQ1: MA PDQ (优先多语)+客版5L(英法德意荷)底座/纸卡/贴纸(翻PO#4500200925-更新支撑内底托图稿) +MA 23L游戏说明书+MA 23L锂电池说明书+MA 23L警示
说明书
EAN#4894680051430
RECHARGEABLE LITHIUM BATTERY(INCLUDED)
*外箱需加一张UN3481锂电池运输标签*
Remark: Smyths 德国
1. 请准时出货，推期会有罚款；
2. 所有产品按符合欧洲标准走货，需要是不含微塑料版本。
3. 所有电子产品身上需要加字唛，为ZURU FRANCE 地址 (如无电子产品，产品布标有此地址，或产品太小无法增加可忽略此信息)，新地址ZURU FRANCE.33 rue Pa
ul Meurice 75020 Paris, France.
4. 包装/说明书(如有)/产品(如有)上的法国地址信息必须保持一致，不可出现包装上是新地址，说明书上是旧地址；如地址信息不一致请通知跟单更新文件；
5. 电子产品需增加一张WEEE声明29L通用黑白说明书，区分带电池(D版)和不带电池(C版)出货版本, 如已做带WEEE声明的客版说明书可忽略此要求；如包装备注上
缺少此部分信息，请提醒跟单更新备注。
6.所有出往德国市场有关slime和带香味的都需要出无硼无香版本；
7.订单备注显示有分批的(不同仓库/订单号), 一定要区分客户订单号做货出货，否则会导致罚款 。
8.包装日期码按ZURU格式即可，请确保不迟于外箱日期码，可等于或者早于外箱日期码，必须为法定工作日。
9.做货前请先复核包装条码与订单是否一致再安排，对不上的需与ZURU跟单确认再安排。
10.包装必须含法国回收标(Sorting Label)，如没有，请提醒跟单提供贴纸资料。</t>
  </si>
  <si>
    <t>4500202682</t>
  </si>
  <si>
    <t>4500202682-30</t>
  </si>
  <si>
    <t>4500200925</t>
  </si>
  <si>
    <t>4400555639</t>
  </si>
  <si>
    <t>4500200925-40</t>
  </si>
  <si>
    <t>日期码格式：ZURU INC(BVI) 标准格式                  日期：按实际生产日期
Packaging Info: 
77794UQ1: MA PDQ (优先多语)+客版5L(英法德意荷)底座/纸卡/贴纸(本单新放稿-更新支撑内底托图稿) +MA 23L游戏说明书+MA 23L锂电池说明书+MA 23L警示说明
书
EAN#4894680051430
RECHARGEABLE LITHIUM BATTERY(INCLUDED)
*外箱需加一张UN3481锂电池运输标签*
Remark: Smyths 德国
 1. 请准时出货，推期会有罚款；
 2. 所有产品按符合欧洲标准走货，需要是不含微塑料版本。
 3. 所有电子产品身上需要加字唛，为ZURU FRANCE 地址 (如无电子产品，产品布标有此地址，或产品太小无法增加可忽略此信息)，新地址ZURU FRANCE.33 rue Pa
 ul Meurice 75020 Paris, France.
 4. 包装/说明书(如有)/产品(如有)上的法国地址信息必须保持一致，不可出现包装上是新地址，说明书上是旧地址；如地址信息不一致请通知跟单更新文件；
 5. 电子产品需增加一张C版WEEE声明29L通用黑白说明书(不接受A版本，翻译有误)，区分带电池和不带电池出货版本, 如已做客版说明书可忽略此要求；如包装备注
上缺少此部分信息，请提醒跟单更新备注。
6.所有出往德国市场有关slime和带香味的都需要出无硼无香版本；
7.订单备注显示有分批的(不同仓库/订单号), 一定要区分客户订单号做货出货，否则会导致罚款  。
8.包装日期码按ZURU格式即可，请确保不迟于外箱日期码，可等于或者早于外箱日期码，必须为法定工作日。
9.做货前请先复核包装条码与订单是否一致再安排，对不上的需与ZURU跟单确认再安排。
10.包装必须含法国回收标(Sorting Label)，如没有，请提醒跟单提供贴纸资料。</t>
  </si>
  <si>
    <t>4500202751</t>
  </si>
  <si>
    <t>0983717833</t>
  </si>
  <si>
    <t>4500202751-20</t>
  </si>
  <si>
    <t>5/7 寄出RFID贴纸</t>
  </si>
  <si>
    <t>ZB06352-8.17</t>
  </si>
  <si>
    <t>0983717953</t>
  </si>
  <si>
    <t>4500202751-40</t>
  </si>
  <si>
    <t>ZB06695-8.17</t>
  </si>
  <si>
    <t>0983717993</t>
  </si>
  <si>
    <t>4500202751-10</t>
  </si>
  <si>
    <t>ZB06662-8.17</t>
  </si>
  <si>
    <t>0983718033</t>
  </si>
  <si>
    <t>4500202751-30</t>
  </si>
  <si>
    <t>ZB06696-8.17</t>
  </si>
  <si>
    <t>4500203556</t>
  </si>
  <si>
    <t>5200009753</t>
  </si>
  <si>
    <t>4500203556-10</t>
  </si>
  <si>
    <t>多语警语折叠贴纸(翻单4500192187）+最新D版WEEE带电说明书</t>
  </si>
  <si>
    <t>日期码格式：ZURU INC(BVI) 标准格式 日期：按实际生产日期
Packaging Info: 77794UQ1: MA 3L PDQ+MA 3L EAN 彩盒+1*多语警语折叠贴纸(翻单4500192187）+23L玩法说明书+23L警语说明书+23L锂电池警语说明书+最新D版WEEE带电说明书
请注意：77794含锂电池，需在外箱贴一张含锂电池贴纸。
77772GQ1：MA 3L EAN 收缩膜+1*多语警语折叠贴纸（翻单4500193875）+MA 23L 组装说明书+MA 5L+23L 收藏指南+MA 纸卡+MA 复合袋+MA 3L PDQ+1* C版 29L WE
EE不带电走货说明书
Remark: 1.北欧内销单，需要通过ZURU 验货结果后才能出货 (工厂需要主动提前同ZURU QC预约验货避免延期出货造成不必要麻烦)；
2. 产品如含有化学品，需要无硼无香，
3.包装不能含有PVC，使用PET
4. date code: 外箱日期码要等于或者晚于产品日期码
5.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6.若有特定款有特殊外箱条码要求时,需要明确列出产品款对应的具体外箱条码号码/条码类型 (若无,可以忽略此需求)
7.所有出口欧洲的产品, 法规规定禁止在包装和共公众用的印刷品中使用矿物油中含有的物质, 包装印刷油墨中含有的MOAH/MOSH的质量浓度不能超过1%, 否则出货
到法国被抽检出现问题, 供应商需要对此负责;
8.带电池出货的产品所用到的电池需要符合欧洲电池新规(EU) 2023-1542，并需要加1张WEEE 电池说明书
9.ratio 同MA
10.所有电子产品身上需要加字唛(与包装上的法国地址一致），为ZURU FRANCE 地址 (如无电子产品，或者产品布标有此地址，可忽略此信息)
ZURU FRANCE 33 rue Paul Meurice 75020 Paris, France.；
11.包装上需要有ZURU DANMARK 地址：
Zuru Denmark ApS
Oslo Plads 2, 2100 K benhavn , Denmark</t>
  </si>
  <si>
    <t>ZMPO260586</t>
  </si>
  <si>
    <t>ZMPO260586-10</t>
  </si>
  <si>
    <t>Remark大货版本/只需要400PCS透明罩备注：收到样品订单后尽快安排 ，注意样板品质质量要求要高于大货品质要求 ，送货时必须要附带送货单(没有送货单和QC检验合格报告的仓库一律拒绝收货)，请知悉，谢谢！</t>
  </si>
  <si>
    <t>4500201184</t>
  </si>
  <si>
    <t>002620512306</t>
  </si>
  <si>
    <t>4500201185</t>
  </si>
  <si>
    <t>002620512307</t>
  </si>
  <si>
    <t>ZB06698-8.17</t>
  </si>
  <si>
    <t>4500199984</t>
  </si>
  <si>
    <t>4500199984-60</t>
  </si>
  <si>
    <t>日期码格式：ZURU INC(BVI) 标准格式                  日期：按实际生产日期
Packaging Info:
其余item:MA 多语包装+进口商贴纸+UPC贴纸+箱唛</t>
  </si>
  <si>
    <t>4500200914</t>
  </si>
  <si>
    <t>10001764960-0581</t>
  </si>
  <si>
    <t>4500200914-10</t>
  </si>
  <si>
    <t>ZB06485-8.17</t>
  </si>
  <si>
    <t>4500200234</t>
  </si>
  <si>
    <t>01701006</t>
  </si>
  <si>
    <t>4500200234-10</t>
  </si>
  <si>
    <t>4500200933</t>
  </si>
  <si>
    <t>10001793010-3891</t>
  </si>
  <si>
    <t>4500200933-40</t>
  </si>
  <si>
    <t>5/21寄出外箱条码箱贴纸贴纸</t>
  </si>
  <si>
    <t>日期码格式：ZURU INC(BVI) 标准格式                  日期：按实际生产日期
Packaging Info: 77858：产品包装 MA 1L 彩盒；
77843GQ2：产品包装 MA 1L 收缩膜+MA 5L收藏指南+MA 23L黑白警告语说明书+MA 1L PDQ；
77772GQ5：产品包装MA 1L 收缩膜+MA 5L 收藏指南+MA 23L 组装说明+客版PDQ；客版PDQ翻单4500189603；
77794UQ1：产品包装 MA 1L黑白警告语说明书+MA 1L 彩盒+MA 1L PDQ+锂电池标签纸
Remark: 77858：
 1. 77858-S001-MINI BRANDS-MAGIC COOK KITCHEN PLAYSET-SERIES 1-WINDOW BOX,3PCS/CTN;
 2. 产品包装 MA 1L 彩盒，彩盒上的UPC显示193052100238;
 3. 外箱正唛左上角位置粘贴条码箱贴纸，每箱只贴一张，由ZURU订购。来料贴纸上显示的客户DPCI: 086-02-5654, UPC显示10193052100235;
77843GQ2：
 1. 77843GQ2-S002-MINI BRANDS-KAWAII KITCHEN-SERIES 1-CAPSULE,WITH DEMO,25PCS/GRAVITY PDQ,25PCS/PDQ/CTN;
 2. 产品包装 MA 1L 收缩膜+MA 5L收藏指南+MA 23L黑白警告语说明书+MA 1L PDQ; 收缩膜上的UPC显示193052099105;
Ratio: PIZZA: HAMBURGER: PANCAKES: BUBBLE TEA:  Matcha TEA: TACO: SUSHI: DONUT: Charcuterie Board: RAINBOW CAKE(Rare)=10.88%: 10.88%: 10.88%: 10
.88%: 10.88%: 10.88%: 10.88%: 10.88%: 10.88%: 2.08%=68:68:68:68:68:68:68:68:68:13
3. 外箱正唛左上角位置粘贴条码箱贴纸，每箱只贴一张，由ZURU订购。来料贴纸上显示的客户DPCI: 086-02-5137, UPC显示10193052099102;
77772GQ5：
1.77772GQ5-S001-MINI BRANDS-VINYL-SERIES 1-CAPSULE,WITH DEMO,25PCS/GRAVITY PDQ,25PCS/PDQ/CTN;
2.产品包装MA 1L 收缩膜+MA 5L 收藏指南+MA 23L 组装说明+客版PDQ；客版PDQ翻单4500189603；收缩膜上的UPC显示193052090065;
 4  mini vinyls(1 Target US Exclusive),1 accessory;
 3. 外箱正唛左上角位置粘贴条码箱贴纸，每箱只贴一张，由ZURU订购。来料贴纸上显示的客户DPCI# 086-02-8931, UPC显示10193052090062;
77794UQ1：
1.77794UQ1-S002-MINI BRANDS-VINYL-PLAYSET-SERIES 1-CUBE,8PCS/PDQ,8PCS/PDQ/CTN;
 2. 产品包装 MA 1L黑白警告语说明书+MA 1L 彩盒+MA 1L PDQ; 彩盒上的UPC显示193052090409;
 3. 外箱正唛左上角位置粘贴条码箱贴纸，每箱只贴一张，由ZURU订购。来料贴纸上显示的客户DPCI# 086-02-4085, UPC显示10193052090406;
 4. 带锂电池出货，需在外箱正面或者侧面合适位置上加贴一张贴锂电池标签纸，由工厂订购
以上Items：
 1. 产品和包装上均要印刷tracking code信息，格式为ZURU常规格式；
 2. 需要我司QC验货之后才能安排出货
 3. 出货方式：  货代自提</t>
  </si>
  <si>
    <t>ZB06511-8.17</t>
  </si>
  <si>
    <t>4500197643-20</t>
  </si>
  <si>
    <t>4/1进口商贴纸,</t>
  </si>
  <si>
    <t>日期码格式：ZURU  INC(BVI)  标准格式 日期：按实际生产日期
Packaging Info: MA  UPC包装(优先1L)+进口商贴纸,待提供贴纸资料
此单LCL,77794UQ1待更新单价
Remark: 77772GQ2-4    mini  vinyls,1  accessory
Order  Modifiable  Records
Revision  #	Date:	Comment:
Special
Requirments	1.Factory  is  required  to  confirm  the  PO  with  all  the  details  within  2  working  days  once  upon  receipt  of  ZURU  PO.  Or  order  will  be  treated  as  accepted.
      贵司收到  ZURU  订单请在2个工作日内确认订单，否则将视为默认接受；
2.Fulfill  US,  EU,  AUS,  NZ  and  CAN  latest  safety  requirements,  such  as  EN71,  ASTM  F963,  AS  /  NZS  ISO8124,  Reach,  requirements  of  EC  directive
2009/48/EC/Phthalates/PAH/lead/cadmium/Azo/Formaldehyde/USP51/USP61/62  and  other  applicative  regulation  in  toys;  EN62115/ROHS/EMC/FCC/ICES-003/RCM/2006/66/EC  for
Electronic  toys.
      产品及大货需要满足US,  EU,  AUS,  NZ  和CAN的最新玩具安全要求以及符合玩具的相关测试标准（例如：EN71,  ASTM  F963,  AS  /  NZS  ISO8124,  Reach,  requirements  of  EC  directive
2009/48/EC/Phthalates/PAH/lead/cadmium/Azo/Formaldehyde/USP51/USP61/62  和其他适用的规定等等;  电子类玩具还需要满足EN62115/ROHS/EMC/FCC/ICES-003/RCM/2006/66/EC等等）；
3.Please  prepare  extra  quantity  for  photography  purpose  sample,  sign-off  sample,  sample  drawing,  testing,  and  inspection  (AQL  standard).
       由于涉及到拍照用途的样品、签样、抽样、测试以及验货（按照AQL标准），请额外备足够的数量；
4.ZURU  carton  standard  should  be  单坑  requirement  for  those  carton  weight  less  than  5KG.  Otherwise,  A=B  requirement  is  required.
      外箱重量低于5kg的标准的外箱材质要求是单坑，否则要求A=B；
5.Factory  is  required  to  reconfirm  order  carton  details  including  dimension,  weight,  pack  size  etc..  Please  inform  ZURU  team  if  any  update.
      要求工厂确认好外箱的信息，例如：尺寸、毛重、净重、装箱数等； 如有任何更新请及时通知；
6.Date  code  is  required  for  product,  retail  packaging  and  master  carton.  If  there's  NO  customer  assigned  date  code  format,  please  use  ZURU    standard  format  and  it
should  be  "GZYYYYMMDD".  (ATTN:  GZ  is  city  code  of  production  factory  (e.g.  Guangzhou  =  GZ),  YYYYMMDD  is  production  year,  month  and  date.).  "©ZURU"  and"Made  in  China"
are  required  to  show  on  the  product.  Please  further  check  with  ZURU  QA  team  if  you  have  any  questions.
      产品，零售包装以及外箱上需要显示生产日期；如果客人没有指定的日期码格式，请用  ZURU  标准日期码格式，如：GZYYYYMMDD（注意：GZ是生产工厂的城市代码缩写，例如："广州"，Gua
ngzhou  =  GZ；YYYYMMDD是生产年、月和日）；产品上需要有"©ZURU"和"Made  inChina"的字样；以上，对此有疑问请联系  ZURU  QA  team；
7.Date  code  on  product  should  be  earlier  or  equal  to  date  on  packaging;  Date  code  on  packaging  should  be  earlier  or  equal  to  master  carton  (Date  code  on  retail
packaging  must  be  readable  without  opening  the  retail  packaging.).
      产品上日期码的日期应早于或等于包装上日期码的日期；包装上日期码的日期应早于或等于外箱上日期码的日期（注意：零售包装上的日期码要在无需拆开包装的前提下可直接看到）；
8.All  the  change  on  production/packaging  must  inform  ZURU  team  and  ask  confirmation  in  advance.
      若产品/大货或包装有任何变更，请务必通知  ZURU  相关团队并提前确认好以免影响订单交付；
9.If  ZURU  re-inspection  is  required  caused  by  factory's  problem,  the  re-inspection  fee  of  CNY  1000  and  travel  expenses  will  be  at  production  factory's  expense.
      若因工厂原因导致的  ZURU  QC重验，工厂需要承担CNY1000重验费以及相关差旅费；
10.ZURU  Final  inspection  application  is  required  to  submit  to  ZURU  OQC  team  7  days  before  inspection  date  with  order  qty  100%  finished.  And  all  shipments  should  be
pass  ZURU  OQC  inspection  before  delivery.
        烦请验货前至少7天与  ZURU  验货团队预约验货，并确保验货当天是100%完成大货；所有出货前要有  ZURU  验货通过的报告；
11.All  barcodes  should  be  scannable  and  readable.
        所有条码确保可扫描以及可读；
12.ZURU  logo  is  required  for  master  carton  as  large  as  possible  in  the  condition  of  NO  impact  shipping  mark  information.
        外箱上需要印有  ZURU  符号并且在不影响箱唛的情况下，ZURU  符号应尽可能放大；
13.Above  are  ZURU    STD  requirements.  If  there  are  customer  or  other  requirements,  please  further  follow  it  as  per  PO  remark  or  email  notification.
        以上均为  ZURU  标准要求，如果有任何客人或其他要求，请查看PO上的备注以及注意邮件通知。
Additional
Clause	1.As  agreed  above,  ZURU  reserves  the  right  to  claim  the  penalties  of  shipment  delay  which  caused  by  factory  as  following  terms:
         ·Will  charge  5%  of  PO  total  amount  for  1-7  days  (incl.  7days)  of  the  shipment  delay.
         ·Will  charge  7%  of  PO  total  amount  for  7-14  days  (incl.  14days)  of  the  shipment  delay.
         ·Will  charge  10%  of  PO  total  amount  for  over  14  days  of  the  shipment  delay.
         · If  customer  required  to  air  ship  or  penalty  for  shipment  delay,  the  air  cost  and  penalty  will  be  at  factory's  expense.
        如果同意以上交货期到  ZURU  公司但是最后由于供应商原因无法交货，ZURU  公司保留以下的罚款条款：
         *  1-7（含第七天）天内延迟出货罚款为合同总金额的百分之五，
         *  7-14（含第十四天）天内延迟出货罚款为合同总金额的百分之七，
         *  如果超过14天将扣合同金额的百分之十，
         *  如产生客人对  ZURU  公司罚款或产生空运费，罚款金额需供应商全额承担；
    2.Factory  is  required  to  bear  relevant  cost  or  penalty  of  customer  or  3rd  party's  failed  result  which  caused  by  factory.
        如遇到由工厂导致的客人或第三方的验货、测试不过等要求重验或重测以及涉及罚款的，工厂需要承担相关费用；
    3.If  the  quality  cannot  meet  ZURU  standard  or  requirements,  factory  is  required  to  improve  or  rework  till  it  could  meet  ZURU  standard  or  requirements.  All  costs
including  rework  fee,  shipment  delay  fee  or  penalty  are  at  factory's  expense.
        如果因为质量不符合  ZURU  公司要求的标准，供应商必须改进产品以达到标准并支付返工费用及以上出货延迟费用；
    4.Please  be  subject  to  the  final  revision/update  of  PO  and  adjust  the  production  if  needs.
        订单细节会不时进行修改，请以最后一次修改订单为准并及时协调生产；
    5.Please  contact  relevant  merchandiser  within  2  working  days  if  you  have  any  questions  of  the  order.  Or  order  will  be  treated  as  accepted.
        如果对订单细节有任何疑问，请在2个工作日内直接回复给对应跟单；如果没有回复，那么将被认为所有订单细节包括交期在内都被接受；
    6.Factory  is  required  to  provide  the  commodity  inspection  (if  needs),  customs  clearance  documents  and  complete  the  trade  term  responsibilities.  Or  please  further  check
with  ZURU  Company  team  20  days  ahead  of  shipment.  And  the  order  will  be  settled  by  CNY  and  required  factory  to  raise  13%  VAT  invoice  after  confirmation.
        该订单将需要贵司提供相关的商检及报关单证，若贵司不能提供相关单证且需要用到我司单证出货，要求于出货20日前与我司确认，该订单将以人民币结算并需要贵司开出13%税率VAT增值
税发票；
Confirmed  And  Accepted  By:	Issued  By:
Signature  &amp;  Company  Chop</t>
  </si>
  <si>
    <t>2000009879</t>
  </si>
  <si>
    <t>4500201188</t>
  </si>
  <si>
    <t>001750512407</t>
  </si>
  <si>
    <t>ZB06699-8.17</t>
  </si>
  <si>
    <t>4500201195</t>
  </si>
  <si>
    <t>001750512408</t>
  </si>
  <si>
    <t>ZB06700-8.17</t>
  </si>
  <si>
    <t>4500201197</t>
  </si>
  <si>
    <t>010520512302</t>
  </si>
  <si>
    <t>4500204817</t>
  </si>
  <si>
    <t>2KI8611C</t>
  </si>
  <si>
    <t>4500204817-30</t>
  </si>
  <si>
    <t>消耗Domestic PO#4500192527, 4500195408 - Total 40,000PCS转FOB单库存</t>
  </si>
  <si>
    <t>6/12 空运</t>
  </si>
  <si>
    <t>日期码格式：ZURU INC(BVI) 标准格式                  日期：按实际生产日期
Packaging Info: #77794:  MA UPC版包装(1L或3L都可,3L要加UPC条码)，出口美国。消耗Domestic PO#4500192527, 4500195408 - Total 40,000PCS转FOB单库存.
Remark: 1. Amazon MDDP订单，出口US。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</si>
  <si>
    <t>ZB06240/ZB06241/ZB06242/ZB06410</t>
  </si>
  <si>
    <t>ZMP0260604</t>
  </si>
  <si>
    <t>ZMP0260604-10</t>
  </si>
  <si>
    <t>空PDQ</t>
  </si>
  <si>
    <t>Remark：大货最新版本/只需要空PDQ/PDQ可打平包寄出备注:收到样品订单后尽快安排，注意样板品质质里要求要高于大货品质求，送货时必须要附带送货单(没有送货单和C检验合格报告的仓库一律拒绝收货)，请知恶，谢谢!</t>
  </si>
  <si>
    <t>4500194401-70</t>
  </si>
  <si>
    <t>5/6确认</t>
  </si>
  <si>
    <t>4/2PDQ条码贴纸+德语警语贴纸+欧洲通用30L B版或 29L C版WEEE说明书(带电池)</t>
  </si>
  <si>
    <t>产品，包装，外箱Batch code: 191728/06/2026,+所有电子产品身上需要加字唛，为ZURU FRANCE 地址 (如无电子产品，产品布标有此地址，或产品太小无法增加可忽略此信息)，新地址ZURU FRANCE.33 rue Paul Meurice 75020 Paris, France.</t>
  </si>
  <si>
    <t>所有出往GAS市场(德国/奥地利/瑞士)的电子产品身上需要加字唛，为ZURU FRANCE 地址，需跟包装上的地址一致 (如无电子产品，产品布标有此地址，或产品太
小无法增加可忽略此信息。如产品无法加字唛，需让对应跟单提供产品贴纸资料)
新地址：ZURU France 33 rue Paul Meurice 75020 Paris, France
旧地址：ZURU France 1/3, Rue d'Argenteuil 95210 SAINT-GRATIEN, FRANCE</t>
  </si>
  <si>
    <t>日期码格式：191728/06/2026 日期：
Packaging Info: 
77794UQ1: 最新MA3L PDQ+PDQ条码贴纸+3L EAN包装+德语警语贴纸+23L说明书/Game说明书/欧洲澳新通用Warning instruction+欧洲通用30L B版或 29L WEEE说明书
(带电池)
Remark: 1. 出口欧洲，微塑料需符合法规。
2. 产品，包装，外箱Batch code: 191728/06/2026, 布标按MA日期码即可。
3. 外箱上方需加隔板，以保护开箱时不被划破产品。外箱不可打釘及打帶。 每箱不得超过5立方英尺，重量不得超过15公斤。
4. 封箱胶带不能为PVC材质，需为PP 或者 OPP胶或者non-phthalate材料
5. 此单出货前需要提供3套大货样品给客人确认放货，需准时寄出避免影响出货。
6. 此单需准时出货，推期会有罚款
7. 任何彩盒及陳列盒一定要用文書膠紙貼於開口的位置 , 不能使用封箱膠紙. (如常规包装中彩盒和陈列盒无封口需求的，则无需再额外加胶纸)
8. 外箱不可打釘及打帶
9. 所有出往GAS市场(德国/奥地利/瑞士)的电子产品身上需要加字唛，为ZURU FRANCE 地址，需跟包装上的地址一致 (如无电子产品，产品布标有此地址，或产品太
小无法增加可忽略此信息。如产品无法加字唛，需让对应跟单提供产品贴纸资料)
新地址：ZURU France 33 rue Paul Meurice 75020 Paris, France
旧地址：ZURU France 1/3, Rue d'Argenteuil 95210 SAINT-GRATIEN, FRANCE
10. 所有出往GAS市场(德国/奥地利/瑞士)的电子产品需增加一张欧洲通用WEEE声明说明书，区分带电池和不带电池版本, 如已做客版说明书可忽略此要求。
11. 所有出往GAS市场(德国/奥地利/瑞士)订单，化学品需无堋无香版本
12. 标准配比</t>
  </si>
  <si>
    <t>4500198150-20</t>
  </si>
  <si>
    <t>4500198152-20</t>
  </si>
  <si>
    <t>日期码格式：ZURU INC(BVI) 标准格式 日期：按实际生产日期
Packaging Info:77794UQ1:客版PDQ（翻单PO#4500197867） + MA英语UPC版本包装（收缩膜和说明书, MA首选1L，如无1L可用多语且含英语的配套多语包装) +1张锂电池黑白警语书
 纸 + 1张防盗贴纸 (贴纸以及位置图翻单PO#4500193539）+ 箱唛 + 外箱SSCC Label
 9296:MA英语UPC版本包装（收缩膜和说明书, MA首选1L，如无1L可用多语且含英语的配套多语包装) + + 1张防盗贴纸 (贴纸以及位置图翻单PO# 4500111783）+ 箱
 唛 + 外箱SSCC Label 配比信息：cow:monkey:panda:zebra:axolotl;chiken:=1:1:1:1:1:1;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此单与AU PO#4500198150一起合并计算</t>
  </si>
  <si>
    <t>5/11 丹麦瑞典挪威爱沙尼亚芬兰警告语/电池信息贴纸+丹麦瑞典挪威爱沙尼亚芬兰警告语/电池信息贴纸+空白贴纸覆盖原条码+WEEE带电池出货说明书D版30L</t>
  </si>
  <si>
    <t>DIRK ROSSMANN GMBH</t>
  </si>
  <si>
    <t>4500204869</t>
  </si>
  <si>
    <t>4500204869-30</t>
  </si>
  <si>
    <t>77794-S002-PKC</t>
  </si>
  <si>
    <t xml:space="preserve"> 4. 此单在出货前4周提供大货样品给Rossmann德国客人安排第三方验货。  请备额外物料。
6/29第三方验货，验货时间为完货后第二天，验货OK待客人放货后才能安排走货。</t>
  </si>
  <si>
    <t>5/13 EAN 条码贴纸+德语callout警语贴纸</t>
  </si>
  <si>
    <t xml:space="preserve"> 每箱需要放一包干燥剂（不能是silicon) 。品牌SUPER DRY，规格：10g/pc 。</t>
  </si>
  <si>
    <t>出货前4周提供大货样品给Rossmann德国客人安排第三方验货</t>
  </si>
  <si>
    <t>日期码格式：ZURU INC(BVI) 标准格式                  日期：按实际生产日期
Packaging Info: 
77794: 最新MA 1L UPC彩盒+EAN 条码贴纸+德语callout警语贴纸+MA23L 玩法说明书/锂电池说明书/警语说明书+欧洲通用29L WEEE说明书(带电池)
Remark: "1. 出口欧洲，微塑料需符合法规，电池符合欧洲法规要求(如有)
 2. 此客户要求：化学品无硼无香。
 3. 外箱上下需加保护卡，以防开箱时产品被划破。（保护卡需要时整面）
 4. 此单在出货前4周提供大货样品给Rossmann德国客人安排第三方验货。  请备额外物料。
 5. 此单需要第三方验货，验货时间为完货后第二天，验货OK待客人放货后才能安排走货。
 6. 所有包装材料都需要用PET材质。
 7. 每箱需要放一包干燥剂（不能是silicon) 。品牌SUPER DRY，规格：10g/pc 。
 8. 外箱需要是5层瓦楞纸，厚度在5-9mm。
 9. 此单出德国，需包含德语警语
 10. 标准配比
 11. 所有出往GAS市场(德国/奥地利/瑞士)的电子产品身上需要加字唛，为ZURU FRANCE 地址，需跟包装上的地址一致 (如无电子产品，产品布标有此地址，或产品
太小无法增加可忽略此信息。如产品无法加字唛，需让对应跟单提供产品贴纸资料)
新地址：ZURU France 33 rue Paul Meurice 75020 Paris, France
旧地址：ZURU France 1/3, Rue d'Argenteuil 95210 SAINT-GRATIEN, FRANCE
12. 所有出往GAS市场(德国/奥地利/瑞士)的电子产品需增加一张欧洲通用WEEE声明说明书，区分带电池和不带电池版本, 如已做客版说明书可忽略此要求。"</t>
  </si>
  <si>
    <t>4500200917</t>
  </si>
  <si>
    <t>10001764961-0581</t>
  </si>
  <si>
    <t>4500200917-10</t>
  </si>
  <si>
    <t>5/26外箱条码箱贴纸贴纸</t>
  </si>
  <si>
    <t>ZB06559/ZB06631</t>
  </si>
  <si>
    <t>4500201201</t>
  </si>
  <si>
    <t>009360512243</t>
  </si>
  <si>
    <t>4500201198</t>
  </si>
  <si>
    <t>010520512303</t>
  </si>
  <si>
    <t>4500201202</t>
  </si>
  <si>
    <t>002670512370</t>
  </si>
  <si>
    <t>4500201200</t>
  </si>
  <si>
    <t>001740512236</t>
  </si>
  <si>
    <t>4500202342-40</t>
  </si>
  <si>
    <t>6/18 第三方验货</t>
  </si>
  <si>
    <t>日期码格式：ZURU INC(BVI) 标准格式                  日期：按实际生产日期
Packaging Info: #92146
客版PDQ(2装)+MA3L收缩膜+UPC贴纸（193052100375)+MA5L收藏指南+MA复合袋+MA贴纸+MA2L布标
翻单：4500195369
Cat:Raccoon:Deer:Tiger:Pigeon:Owl=1:1:1:1:1:1
#9574
MA3L彩盒+UPC贴纸+MA5L说明书
UPC：193052098436
翻单：4500195369
2pcs baby capybara: 3pcs baby capybara= 5:1
#77772
客版3LPDQ(16装)+客版3L收缩膜(UPC:193052090065)+MA5L收藏指南+MA23L拼装说明书+MA5L复合袋+DEMO纸卡
翻单：4500195369
#77794
MA3LPDQ(8装)+MA3L彩盒+UPC贴纸(UPC:193052090409)+MA23L说明书+MA23L警告语说明书
翻单：4500195369
#77843
客版双语PDQ(16装)+客版3L收缩膜(UPC:193052099105)+MA5L收藏指南+MA23L警告语说明书+MA23LUV灯说明书+MA5L复合袋
翻单：4500195369
Ratio: PIZZA: HAMBURGER: PANCAKES: BUBBLE TEA:  Matcha TEA: TACO: SUSHI: DONUT: Charcuterie Board: RAINBOW CAKE(Rare)=10.88%: 10.88%: 10.88%: 10
.88%: 10.88%: 10.88%: 10.88%: 10.88%: 10.88%: 2.08%=68:68:68:68:68:68:68:68:68:13
#92147
MA3L收缩膜+UPC贴纸（193052100382)+MA3L吊牌+MA5L收藏指南+MA复合袋+MA5L指引卡片+MA贴纸+MA2L布标
翻单：4500195369
BlackCat:Owl:Axolotl:Unicorn:Bat:Bunny=1:1:1:1:1:1
Remark: 1. 此单有箱唛;
 2. UPC贴纸：必须在原来错误的条码上用黑色粗头笔涂黑直至不能扫描，再贴上正确的UPC;
 3. 此单有第三方验货，烦请多备包装物料；
 4. #77794带锂电池出货，使用英法双语电池，外箱需在正唛空白位置贴一张UN3481锂电池标识贴纸；
 *********************
a. 请确保产品符合1999年版本的加拿大环境保护法(CEPA)和2012年禁止某些有毒物质法规的要求。该产品不含任何在加拿大禁用的化学物质，包括但不限于有毒物
质清单中列出的化学物质，并且在为加拿大沃尔玛生产产品期间没有使用任何禁用化学物质。
Supplier certify that the products comply with the requirements of Canadian Environmental Protection Act, 1999 (CEPA), Prohibition of Certain To
xic Substances Regulations, 2012.
The products do not contain any chemicals that are banned in Canada, including but not limited to those listed in the Toxic Substances List and
no banned chemicals were used during the manufacturing of product for Walmart Canada.
附件列表：
(1) Letter of Guarantee for Canada banned chemicals - (1-5CA)
b. 请确保产品在均质材料中的汞浓度不超过0.1%（按重量计）。
Supplier certify that the WAL-MART vendor products does not have a mercury concentration of more than 0.1% by weight in homogeneous material.
附件列表：
(1) Letter of Guarantee for Mercury COC
c. 请确保产品的塑料材料不含以下物质（SOR 2011-17 27B):
Supplier certify that the plastic materials do not contain the following substances(SOR 2011-17 27B):
(a) carbon tetrachloride or any substance that contains it;
(b) methyl alcohol or any substance thay contains &gt;1.0%;
 (c) petroleum distillates or any substance that contains &gt;10% weight to volume of petroleum distillates;
 (d) benzene;
(e) turpentine or any substance that contains &gt;10% weight to volume of turpentine;
(f) boric acid or salts of boric acid; or (g) ethyl ether.
附件列表：
(1) Letter of Guarantee for WM CA-Other prohibited substances in plastic(less than 3 years)</t>
  </si>
  <si>
    <t>4500196353-150</t>
  </si>
  <si>
    <t>83PFV11O</t>
  </si>
  <si>
    <t>4500204817-10</t>
  </si>
  <si>
    <t>ZB06410-8.17</t>
  </si>
  <si>
    <t>4500203542</t>
  </si>
  <si>
    <t>0983717895</t>
  </si>
  <si>
    <t>4500203542-40</t>
  </si>
  <si>
    <t>日期码格式：ZURU DGYYMMDD CHINA(日期避开周末和法定节假日即可）                   日期：按实际生产日期
Packaging Info: 77794SLB-S001
1. 包装要求：
77794：MA 1L B版callout纸卡+MA 23L 玩法说明书+MA 23L 警告语说明书+MA 1L A版 PDQ
每pcs产品要贴一张RFID贴纸，RFID贴纸由ZURU提供，贴纸位置要严格按照客人签板
77772SLB-S001
1.包装要求：
MA 1L A版收缩膜+MA 5L A版收藏指南+MA 23L A版说明书+MA A版纸袋+客版1L PDQ，翻单：4500195546
每pcs产品上要贴1张RFID贴纸，贴纸由ZURU提供，贴纸位置请严格按照我们签回的签板；
Remark: 77794SLB-S001
1. 包装要求：
77794：MA 1L B版callout纸卡+MA 23L 玩法说明书+MA 23L 警告语说明书+MA 1L A版 PDQ
每pcs产品要贴一张RFID贴纸，RFID贴纸由ZURU提供，贴纸位置要严格按照客人签板
2. 外箱印刷带条码的RFID箱唛：RFID紫色色带+WM Dept.图标+RFID图标+ITF-14条码，四面右下角印刷ZURU logo, ITFF条码只印刷在正唛一面，在加印的时候确保
条形码能扫描出来， 一张锂电池贴纸贴在有条码的正唛上，外箱侧面任一角落加印："MADE IN CHINA" 字样；箱唛翻单：4500196335
 3. 每个slip sheet上面贴一张艾利贴纸（不干胶贴纸）和一张普通贴纸（A4纸），slip sheet打印的普通贴纸的尺寸不能比艾利贴纸小，普通贴纸内容见附件；
 4. 在产品上和包装上要有日期码、以及要有MADE IN CHINA和ZURU字样；
 5. 产品如有扎带口要剪平，不能刮手。
 6. 此单需要验货，请多备料
 7. 此单以slip sheet出货，77794：512pcs/64CTN/Slip sheet
77772SLB-S001
1.包装要求：
MA 1L A版收缩膜+MA 5L A版收藏指南+MA 23L A版说明书+MA A版纸袋+客版1L PDQ，翻单：4500195546
每pcs产品上要贴1张RFID贴纸，贴纸由ZURU提供，贴纸位置请严格按照我们签回的签板；
 2. 外箱印刷带条码的RFID箱唛：RFID紫色色带+WM Dept.图标+RFID图标+ITF-14条码，四面右下角印刷ZURU logo, ITFF条码只印刷在正唛一面，在加印的时候确保
条形码能扫描出来，外箱侧面任一角落加印："MADE IN CHINA" 字样；箱唛翻单：4500195546
 3. 在产品上和包装上要有日期码、以及要有MADE IN CHINA和ZURU字样；
 4. 产品如有扎带口要剪平，不能刮手。
 5. 此单需要验货，请多备料
 6. 此单以Slip sheet出货，960pcs/60CTNS/Slip sheet</t>
  </si>
  <si>
    <t>ZB06754-8.17</t>
  </si>
  <si>
    <t>0983717939</t>
  </si>
  <si>
    <t>4500203542-30</t>
  </si>
  <si>
    <t>ZB06798-8.17</t>
  </si>
  <si>
    <t>0983718035</t>
  </si>
  <si>
    <t>4500203542-10</t>
  </si>
  <si>
    <t>ZB06661-8.17</t>
  </si>
  <si>
    <t>4500200932</t>
  </si>
  <si>
    <t>10001793005-3890</t>
  </si>
  <si>
    <t>4500200932-40</t>
  </si>
  <si>
    <t>ZB06703-8.17</t>
  </si>
  <si>
    <t>4500212732</t>
  </si>
  <si>
    <t>4400579134</t>
  </si>
  <si>
    <t>4500212732-10</t>
  </si>
  <si>
    <t>日期码格式：ZURU INC(BVI) 标准格式                  日期：按实际生产日期
Packaging Info: 77794UQ1: 最新MA 3L底座/纸卡/贴纸+MA 23L游戏说明书+MA 23L锂电池说明书+MA 23L警示说明书+MA PDQ (优先多语)
EAN#4894680051430
RECHARGEABLE LITHIUM BATTERY(INCLUDED)
*外箱需加一张UN3481锂电池运输标签*
Remark: Smyths 英国/爱尔兰
 1. 请准时出货，推期会有罚款；
 2. 所有产品按符合欧洲标准走货，需要是不含微塑料版本。
3.包装日期码按ZURU格式即可，请确保不迟于外箱日期码，可等于或者早于外箱日期码，必须为法定工作日，印刷前请先检查外箱日期码。
4.请注意检查产品及包装应带UKCA图标（14+产品除外），包装显示ZURU UK LTD/ZURU France地址信息，QC部门请查核，如有问题与跟单确认
5.电子产品需增加一张WEEE声明29L通用黑白说明书，区分带电池(D版)和不带电池(C版)出货版本, 如已做带WEEE声明的客版说明书可忽略此要求；如包装备注上缺
少此部分信息，请提醒跟单更新备注。
6.订单备注显示有分批的(不同仓库/订单号), 一定要区分客户订单号做货出货，否则会导致罚款  。
7.做货前请先复核包装条码与订单是否一致再安排，对不上的需与ZURU跟单确认再安排。
8.包装必须含法国回收标(Sorting Label)，如没有，请提醒跟单提供贴纸资料。</t>
  </si>
  <si>
    <t>4500202901</t>
  </si>
  <si>
    <t>4500202901-100</t>
  </si>
  <si>
    <t>6/25进口商贴纸+UPC贴纸+6/18 价标贴纸+保证书</t>
  </si>
  <si>
    <t>日期码格式：ZURU INC(BVI) 标准格式 日期：按实际生产日期
Packaging Info: 
77794UQ1/9565GQ1:MA 多语包装+进口商贴纸+价标贴纸+保证书+箱唛，包装/说明书都需要贴一张进口商贴纸
Remark: 1.此单价格贴纸（ZURU定购).-无位置图，价标贴纸贴于产品背面右上角空白处（不遮挡西班牙语处），如有特殊情况，请重新确认位置图。
2.此单有第三方监柜，不用额外准备备品，会在大货中每款拆1pc，拆了包装的产品会由监装员用客供胶带封好或在外箱上写上""opened by telescope"
3.如后续进口商贴纸和UPC贴纸合并为一张，请忽略UPC的需求，包装上的条码必须是UPC。</t>
  </si>
  <si>
    <t>4500201685-10</t>
  </si>
  <si>
    <t>多语警语折叠贴纸(翻单4500192187）+最新版C版WEEE带电说明书
请注意：77794含锂电池，需在外箱贴一张含锂电池贴纸。</t>
  </si>
  <si>
    <t>新地址：ZURU France 33 rue Paul Meurice 75020 Paris, France</t>
  </si>
  <si>
    <t>日期码格式：ZURU INC(BVI) 标准格式                  日期：按实际生产日期
Packaging Info: 77794UQ1: MA 3L PDQ+MA 3L EAN收缩膜+1*多语警语折叠贴纸(翻单4500192187）+23L玩法说明书+23L警语说明书+23L锂电池警语说明书+最新版C版WEEE带电说明书
请注意：77794含锂电池，需在外箱贴一张含锂电池贴纸。
Remark: 1.波兰内销单，需要通过ZURU 验货结果后才能出货 (工厂需要主动提前同ZURU QC预约验货避免延期出货造成不必要麻烦)；
2. 产品如含有化学品，需要无硼无香；无微塑料
3. 若有特定款有特殊外箱条码要求时,需要明确列出产品款对应的具体外箱条码号码/条码类型 (若无,可以忽略此需求)；
4.所有出口欧洲的产品, 法规规定禁止在包装和共公众用的印刷品中使用矿物油中含有的物质, 包装印刷油墨中含有的MOAH/MOSH的质量浓度不能超过1%, 否则出货
到法国被抽检出现问题, 供应商需要对此负责;
 5. date code: 外箱日期码要晚于或等于产品日期码，不能早于产品的日期码；
 6. 所有出往波兰的电子产品身上需要加字唛，为ZURU FRANCE 地址，需跟包装上的地址一致 (如无电子产品，产品布标有此地址，或产品太小无法增加可忽略此信
息。如产品无法加字唛，需让对应跟单提供产品贴纸资料)
新地址：ZURU France 33 rue Paul Meurice 75020 Paris, France
旧地址：ZURU France 1/3, Rue d'Argenteuil 95210 SAINT-GRATIEN, FRANCE
7.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8. 所有出往波兰订单的电子产品需增加一张最新版本的欧洲通用WEEE声明说明书，区分带电池和不带电池版本, 如已做客版说明书可忽略此要求。</t>
  </si>
  <si>
    <t>4500199512</t>
  </si>
  <si>
    <t>5200009503</t>
  </si>
  <si>
    <t>4500199512-10</t>
  </si>
  <si>
    <t>4/13 确认</t>
  </si>
  <si>
    <t>日期码格式：ZURU INC(BVI) 标准格式                  日期：按实际生产日期
Packaging Info: #77794:  MA UPC版包装(1L或3L都可,3L要加UPC条码)，出口美国。
Remark: 1.TikTok US订单。出口美国。外箱尺寸不能超过26*26*26" ，不符合要求的大货，一律不接受。
2.无第三方验货/测试要求。
3. 日期码使用ZURU标准版本。
4.如果大货有要求入邮包盒，则对应的邮包盒上面要打上日期码。</t>
  </si>
  <si>
    <t>ZB06812-8.17</t>
  </si>
  <si>
    <t>4500199572</t>
  </si>
  <si>
    <t>4891256</t>
  </si>
  <si>
    <t>4500199572-230</t>
  </si>
  <si>
    <t>ZB06512-8.17</t>
  </si>
  <si>
    <t>4500201203</t>
  </si>
  <si>
    <t>001740512237</t>
  </si>
  <si>
    <t>4500201206</t>
  </si>
  <si>
    <t>001750512409</t>
  </si>
  <si>
    <t>4500201205</t>
  </si>
  <si>
    <t>010520512304</t>
  </si>
  <si>
    <t>4500200184</t>
  </si>
  <si>
    <t>4500200184-10</t>
  </si>
  <si>
    <t>5/8 SNI label</t>
  </si>
  <si>
    <t>4500212715</t>
  </si>
  <si>
    <t>4400579143</t>
  </si>
  <si>
    <t>4500212715-20</t>
  </si>
  <si>
    <t>日期码格式：ZURU INC(BVI) 标准格式                  日期：按实际生产日期
Packaging Info:
77794UQ1: 最新MA 3L底座/纸卡/贴纸+MA 23L游戏说明书+MA 23L锂电池说明书+MA 23L警示说明书+MA PDQ (优先多语)
EAN#4894680051430
RECHARGEABLE LITHIUM BATTERY(INCLUDED)
*外箱需加一张UN3481锂电池运输标签*
Remark: Smyths 法国
 1. 请准时出货，推期会有罚款；
 2. 所有产品按符合欧洲标准走货，需要是不含微塑料版本。
 3. 电子产品需增加一张WEEE声明29L通用黑白说明书，区分带电池(D版)和不带电池(C版)出货版本, 如已做带WEEE声明的客版说明书可忽略此要求；如包装备注上
缺少此部分信息，请提醒跟单更新备注。
4. 出口法国的产品, 法规规定禁止在包装和共公众用的印刷品中使用矿物油中含有的物质, 包装印刷油墨中含有的MOAH/MOSH的质量浓度不能超过0.1%, 否则出货
到法国被抽检出现问题, 供应商需要对此负责;
5.订单备注显示有分批的(不同仓库/订单号), 一定要区分客户订单号做货出货，否则会导致罚款  。
6.包装日期码按ZURU格式即可，请确保不迟于外箱日期码，可等于或者早于外箱日期码，必须为法定工作日。
7.做货前请先复核包装条码与订单是否一致再安排，对不上的需与ZURU跟单确认再安排。
8.包装必须含法国回收标(Sorting Label)，如没有，请提醒跟单提供贴纸资料。</t>
  </si>
  <si>
    <t>4500199743</t>
  </si>
  <si>
    <t>4500199743-100</t>
  </si>
  <si>
    <t>日期码格式：ZURU INC(BVI) 标准格式                  日期：按实际生产日期
Packaging Info:
其余item：MA多语包装+UPC贴纸+箱唛</t>
  </si>
  <si>
    <t>4500203160</t>
  </si>
  <si>
    <t>5200009718</t>
  </si>
  <si>
    <t>4500203160-10</t>
  </si>
  <si>
    <t>日期码格式：ZURU INC(BVI) 标准格式 日期：按实际生产日期
Packaging Info: "77794UQ1: MA 3L PDQ+MA 3L EAN 彩盒+1*多语警语折叠贴纸(翻单4500192187）+23L玩法说明书+23L警语说明书+23L锂电池警语说明书+最新D版WEEE带
电说明书
请注意：77794含锂电池，需在外箱贴一张含锂电池贴纸。"
Remark: 1.北欧内销单，需要通过ZURU 验货结果后才能出货 (工厂需要主动提前同ZURU QC预约验货避免延期出货造成不必要麻烦)；
2. 产品如含有化学品，需要无硼无香，
3.包装不能含有PVC，使用PET
4. date code: 外箱日期码要等于或者晚于产品日期码
5.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6.若有特定款有特殊外箱条码要求时,需要明确列出产品款对应的具体外箱条码号码/条码类型 (若无,可以忽略此需求)
7.所有出口欧洲的产品, 法规规定禁止在包装和共公众用的印刷品中使用矿物油中含有的物质, 包装印刷油墨中含有的MOAH/MOSH的质量浓度不能超过1%, 否则出货
到法国被抽检出现问题, 供应商需要对此负责;
8.带电池出货的产品所用到的电池需要符合欧洲电池新规(EU) 2023-1542，并需要加1张WEEE 电池说明书
9.ratio 同MA
10.所有电子产品身上需要加字唛(与包装上的法国地址一致），为ZURU FRANCE 地址 (如无电子产品，或者产品布标有此地址，可忽略此信息)
ZURU FRANCE 33 rue Paul Meurice 75020 Paris, France.；
11.包装上需要有ZURU DANMARK 地址：
Zuru Denmark ApS
Oslo Plads 2, 2100 K benhavn , Denmark</t>
  </si>
  <si>
    <t>4500201308-720</t>
  </si>
  <si>
    <t>6/22 出货</t>
  </si>
  <si>
    <t>ZB06466-8.17</t>
  </si>
  <si>
    <t>4500201727</t>
  </si>
  <si>
    <t>1346748</t>
  </si>
  <si>
    <t>4500201727-90</t>
  </si>
  <si>
    <t>6/30 BV验货</t>
  </si>
  <si>
    <t>5/22客户贴纸(含法国回收标+PT/PL/SI语言+额外收藏指南贴纸(含PT/PL/SI语言）</t>
  </si>
  <si>
    <t>指定日期码1346737-26，带电产品每箱放3包透明颗粒状干燥剂(每包约5g)，包干燥剂的袋子要有"SILICA GEL - DO NOT EAT - DESSICANT - THROW AWAY " 字样</t>
  </si>
  <si>
    <t>日期码格式：1346737-26 日期：
Packaging Info: 
77794UQ1-S001: 客版彩卡(含FR/ES/PT/PL/SI语言+客人指定条码+客人指定日期码1346737-26)+MA5L+23L警语收藏指南+MA小袋子+MA23L 使用说明书+MA23L锂电池说
明书+MA23L说明书+MA23L组装说明书+WEEE 带电池出货最新版+MA3L展示盒+客人指定干燥剂
Remark: 1.预计6/24第三方验货+抽板测试，71126/71172 每款抽板10-12套左右测试，请多备料；
2.交期前两周前准备好2套大货样给SIPLEC HK OFFICE / 实验室签板；
3.指定日期码1346737-26
4.需在checkpoints上采购外箱贴纸, 跟单会通过邮件发送采购指引；.
5. #71152/71126/71137/9561/71172/9296/9574/77794UQ1/77858/77673TQ1 带电产品每箱放3包透明颗粒状干燥剂(每包约5g)，包干燥剂的袋子要有"SILICA GEL -
DO NOT EAT - DESSICANT - THROW AWAY " 字样；
6. 包装禁止使用PVC塑料；
7. 此票出法国，需符合EU标准及微塑料法规，包装需含法国回收logo；</t>
  </si>
  <si>
    <t>TARGETAUSTRALIAPTYLTD</t>
  </si>
  <si>
    <t>4500201129-10</t>
  </si>
  <si>
    <t>4/13 PDQ覆盖唱片贴纸，6/10外箱Target SSCC LABEL</t>
  </si>
  <si>
    <t>日期码格式：ZURU INC(BVI) 标准格式 日期：按实际生产日期
Packaging Info: 77794UQ1：77794UQ1：英文MA包装UPC版本（首选1L，无1L可选多语）+2张PDQ覆盖唱片贴纸 ，翻单PO#4500196881（PDQ左右两侧各贴一张）+1张欧洲澳新通用warni
ng instruction + 外箱SSCC Label
Remark: 1. 客人要求箱唛不可出现任何手写内容，重量与实际一致且不可手写;
2. 此单去澳大利亚，请按相应澳新标准生产;
3. 取消使用TARGET新版封箱胶封顶，外箱全部使用普通透明封箱胶纸(客版胶纸如还有库存，可先消耗库存)；
4. 外箱需要贴Target SSCC LABEL,客供PDF文档，工厂自行订购。请贴在正唛右下角（一箱一张，贴1面正唛右下角,封箱胶纸不能挡住贴纸内容。)；外箱贴纸距离
外箱边缘应在2cm以上。如果正唛无位置可以贴在侧唛；
5. SSCC LABEL要求：贴纸内容，条形码印刷不完整/不清晰或有划痕/缺失，贴纸脏污、破损、条形码折叠、翘起、重复或者丢失，以及封箱胶盖住贴纸任何位置的
，客户都不能接受，如有发现以上异常，须返工重新贴；
6. 外箱材质为ZURU标准；
7. 产品和包装上要有tracking label信息：格式为Zuru标准格式（可以自行调整具体年月日生产日期,避开节假期日）；
8. SSCC Label 尺寸更新为：4x4 inch。</t>
  </si>
  <si>
    <t>ChristineLiao</t>
  </si>
  <si>
    <t>4500200614-80</t>
  </si>
  <si>
    <t>日期码格式：ZURU INC(BVI) 标准格式 日期：按实际生产日期
Packaging Info: 77794UQ1:MA多语包装+进口商贴纸+UPC贴纸+箱唛
Remark: 如某个item的进口商贴纸和UPC贴纸合并为一张，请忽略UPC贴纸的需求，包装上的条码必须是UPC</t>
  </si>
  <si>
    <t>VINYLS
PLAYSET
S1,8PCS/PDQ</t>
  </si>
  <si>
    <t>4500196675-30</t>
  </si>
  <si>
    <t>加WEEE带电池走货29L说明书+加欧洲澳新通用Warning instruction</t>
  </si>
  <si>
    <t>日期码格式：ZURU INC(BVI) 标准格式 日期：按实际生产日期
Packaging Info: 77772SLB-S002 MA最新UPC版本，条码请核对：193052090065 ，做货时请注意需移除LOLA YOUNG唱片
 77772GQ1-S002-PRODCC 13pcs/PDQ/CTN 20*4H=80CTN/SLB=1040pcs/Slip Sheet;
 77794UQ1-S002 产品先入外箱再打SLIP SHEET, 客板PDQ+MA最新UPC包装+29L带电池出货WEEE说明书+加欧洲澳新通用Warning instruction，另需要加防盗贴，贴在
 条码的背面7CM范围之内即包装里面
 外箱正面其中1面右上角贴UN3481贴纸，产品UPC :193052090409，请先检查条码是否正确再安排做货。
 Slip sheet77794UQ1-S002 8pcs/PDQ/CTN 16*4H=64CTN/SLB=512pcs/Slip Sheet;
 Slip Sheet打包好后，需要在正唛、侧唛右下角各贴一张slip sheet贴纸，直接用A4纸打印出来即可，贴纸尺寸160mm width x 140mm high；
 Slip Sheet尺寸限制为100*115*130CM，一旦实际SLIP SHEET尺寸超过这个尺寸，请提前通知ZURU跟单，需同客人确认才能量产和出货."
Remark: "1. 产品及包装需要印UKCA图标，包装需要有ZURU UK LTD/ZURU France地址信息，QC同事请核查，如有问题与跟单确认
 2. 产品/包装/外箱都需要打ZURU格式日期码，日期必须为法定工作日。
 3. 需要符合欧洲标准不能含有闪粉和微塑料，否则不合法规会有客诉产生"</t>
  </si>
  <si>
    <t>4500200919</t>
  </si>
  <si>
    <t>10001764962-0581</t>
  </si>
  <si>
    <t>4500200919-10</t>
  </si>
  <si>
    <t>6/8外箱条码箱贴纸贴纸</t>
  </si>
  <si>
    <t>ZB06632-8.17</t>
  </si>
  <si>
    <t>4500196923-70</t>
  </si>
  <si>
    <t>5/14意大利环保标</t>
  </si>
  <si>
    <t>日期码格式：ZURU INC(BVI) 标准格式 日期：按实际生产日期
Packaging Info: 1.
7. 77794: 最新MA 3L EAN tray+最新MA 23L说明书+最新MA PDQ一张意大利环保标+最新MA 23L 62115警语
Remark: 1. SMASHERS 或含Slime产品，所有化合物使用无硼版本出意大利。
2. 本订单所有 具有 baby items / assorted items 的款式，零售包装上都要用 母 EAN;
3.所有出口欧洲的产品, 法规规定禁止在包装和共公众用的印刷品中使用矿物油中含有的物质, 包装印刷油墨中含有的MOAH/MOSH的质量浓度不能超过1%, 否则出货
到意大利被抽检出现问题, 供应商需要对此负责;
4. 意大利订单包装彩卡请确保含法规要求的环保回收logo。
5. 所有带电池的产品请基于带/不带电池出货自行订购 "WEEE说明书欧洲EN+29L-D版"</t>
  </si>
  <si>
    <t>4500204845</t>
  </si>
  <si>
    <t>58KNURFK</t>
  </si>
  <si>
    <t>4500204845-10</t>
  </si>
  <si>
    <t>5/21 （1张UPC, 1张IT环保标，贴彩盒)+5/25SSCC LABEL</t>
  </si>
  <si>
    <t>日期码格式：ZURU INC(BVI) 标准格式 日期：按实际生产日期
Packaging Info: Amazon DE：58KNURFK
Amazon ES：8H41F8OF
Amazon FR：482YWXUN
Amazon UK：8186PW6G
DE（77794）/ES(77794)/FR(77794)/UK(77794)
1.77794: VINYL-SERIES 1, PLAYSET-CUBE,16PCS/CTN,RECHARGEABLE LITHIUM BATTERY(INCLUDED); MA 3L(3L warning EAN) B版彩盒+23L 说明书+23L欧洲澳新通
用Warning instruction+其它MA 最新配套包装+2张贴纸（1张UPC, 1张IT环保标+DE/IT警告语贴纸)+带电池D版WEEE说明书+外箱锂电池贴纸
2.验货时间不迟于2026/06/24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,&lt;(&gt;,&lt;)&gt; 此要求只适用Amazon UK/DE
/FR/ES/IT,不适用Amazon GPE，Amazon GPE无SSCC label, 但是有对应箱唛，需印刷到外箱 。
2.出往UK的产品+包装务必打上UKCA logo ，否则客人会退货且当地会有罚款。Amazon GPE（包含UK/FR/ES/DE/IT）的订单也需满足此要求。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故此请严格把关。Amazon GPE（包含UK/FR/ES/DE/IT）的订单也需满足此要求。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
9. 无论是工厂自检还是ZURU验货，验货报告中必须有产品6面图(正面/背面/左面/右面/顶部/底部，不带包装);
10. 按空海运鉴定报告的要求，只要带锂电池出货，都需要加贴UN贴纸；
11. 所有出往GAS市场(德国/奥地利/瑞士)的电子产品身上需要加字唛，为ZURU FRANCE 地址，需跟包装上的地址一致 (如无电子产品，产品布标有此地址，或产品
太小无法增加可忽略此信息。如产品无法加字唛，需让对应跟单提供产品贴纸资料);（Amazon GPE的订单也需满足此要求）
12. 所有出往GAS德国 (瑞士，奥地利)。水弹枪系列必须使用EN71版本（电子和非电子水弹枪系列都需要符合); 护目镜需打日期码, 格式跟ZURU标准格式一样; 枪
身上增加ZURU FRANCE公司名和地址。使用贴纸和辐射上去都可以。如果有位置，最好增加ZURU Represented by: (此最好翻译德语，如果位置不允许，那么就只增
加ZURU法国和地址)。使用最新的EN71版包装和说明书）。Amazon GPE（包含UK/FR/ES/DE/IT）的订单也需满足此要求。</t>
  </si>
  <si>
    <t>8H41F8OF</t>
  </si>
  <si>
    <t>4500204845-20</t>
  </si>
  <si>
    <t>482YWXUN</t>
  </si>
  <si>
    <t>4500204845-30</t>
  </si>
  <si>
    <t>8186PW6G</t>
  </si>
  <si>
    <t>4500204845-40</t>
  </si>
  <si>
    <t>4500205025</t>
  </si>
  <si>
    <t>50212601221</t>
  </si>
  <si>
    <t>空展示架</t>
  </si>
  <si>
    <t>日期码格式：ZURU  INC(BVI)  标准格式                                    日期：按实际生产日期
Packaging Info: 
MEC426:MA  包装+进口商贴纸+箱唛（无外箱贴纸）--打平包出
Remark: 1.此单有第三方监柜，需要每款多备1套完整物料
2.外箱贴纸只要一张，位置是正唛和侧唛的交接处
3.订单包装上的条码必须是UPC，后续提供的贴纸文档将进口商贴纸和UPC贴纸合并为一张，则可以忽略UPC文档的需求。</t>
  </si>
  <si>
    <t xml:space="preserve">MEC426-77794-S001
</t>
  </si>
  <si>
    <t>4500205774</t>
  </si>
  <si>
    <t>0983717986</t>
  </si>
  <si>
    <t>4500205774-10</t>
  </si>
  <si>
    <t>5/22 寄出RFID贴纸</t>
  </si>
  <si>
    <t>3. 每个slip sheet上面贴一张艾利贴纸（不干胶贴纸）和一张普通贴纸（A4纸），slip sheet打印的普通贴纸的尺寸不能比艾利贴纸小，普通贴纸内容见附件；</t>
  </si>
  <si>
    <t xml:space="preserve">日期码格式：ZURU DGYYYYMMDD CHINA(日期避开周末和法定节假日即可） 日期：按实际生产日期
Packaging Info: 77794SLB-S001
1. 包装要求：
77794：MA 1L B版callout纸卡+MA 23L 玩法说明书+MA 23L 警告语说明书+MA 1L A版 PDQ
每pcs产品要贴一张RFID贴纸，RFID贴纸由ZURU提供，贴纸位置要严格按照客人签板
Remark: 77794SLB-S001
1. 包装要求：
77794：MA 1L B版callout纸卡+MA 23L 玩法说明书+MA 23L 警告语说明书+MA 1L A版 PDQ
每pcs产品要贴一张RFID贴纸，RFID贴纸由ZURU提供，贴纸位置要严格按照客人签板
2. 外箱印刷带条码的RFID箱唛：RFID紫色色带+WM Dept.图标+RFID图标+ITF-14条码，四面右下角印刷ZURU logo, ITFF条码只印刷在正唛一面，在加印的时候确保
条形码能扫描出来，一张锂电池贴纸贴在有条码的正唛上，外箱侧面任一角落加印："MADE IN CHINA" 字样；箱唛翻单：4500196335
3. 每个slip sheet上面贴一张艾利贴纸（不干胶贴纸）和一张普通贴纸（A4纸），slip sheet打印的普通贴纸的尺寸不能比艾利贴纸小，普通贴纸内容见附件；
4. 在产品上和包装上要有日期码、以及要有MADE IN CHINA和ZURU字样；
5. 产品如有扎带口要剪平，不能刮手。
6. 此单需要验货，请多备料
7. 此单以slip sheet出货，77794：512pcs/64CTN/Slip sheet
</t>
  </si>
  <si>
    <t>ZB06968-8.17</t>
  </si>
  <si>
    <t>0983717893</t>
  </si>
  <si>
    <t>4500205774-20</t>
  </si>
  <si>
    <t>ZB06755-8.17</t>
  </si>
  <si>
    <t>0983717948</t>
  </si>
  <si>
    <t>4500205774-30</t>
  </si>
  <si>
    <t>ZB06827-8.17</t>
  </si>
  <si>
    <t>0983718101</t>
  </si>
  <si>
    <t>4500205774-40</t>
  </si>
  <si>
    <t>ZB06883-8.17</t>
  </si>
  <si>
    <t>MPO 8152</t>
  </si>
  <si>
    <t>4500199133-40</t>
  </si>
  <si>
    <t>不晚于6/20号提供大货图片， 大货图片要包含外箱，箱唛， 产品带包装/不带包装图片， 尺寸测量， 称重等，请注意 客人看了大货图片才会放SO。</t>
  </si>
  <si>
    <t>日期码格式： 标准格式 日期：按实际生产日期
Packaging Info: 
77794UQ1 MA多语包装 EAN版本+UPC贴纸193052090409， UPC翻单4500192784
Remark: 出加拿大
日期跟踪码：产品外包装及产品本身都必须有日期跟踪码，ZURU标准格式日期码.
不晚于6/20号提供大货图片， 大货图片要包含外箱，箱唛， 产品带包装/不带包装图片， 尺寸测量， 称重等，请注意 客人看了大货图片才会放SO。</t>
  </si>
  <si>
    <t>4500203871</t>
  </si>
  <si>
    <t>001790512269</t>
  </si>
  <si>
    <t>4500203849</t>
  </si>
  <si>
    <t>009600512463</t>
  </si>
  <si>
    <t>4500203869</t>
  </si>
  <si>
    <t>001710512327</t>
  </si>
  <si>
    <t>4500204849</t>
  </si>
  <si>
    <t>871WCLAP</t>
  </si>
  <si>
    <t>4500204849-10</t>
  </si>
  <si>
    <t>交仓时间：7/06-7/10</t>
  </si>
  <si>
    <t>日期码格式：ZURU INC(BVI) 标准格式 日期：按实际生产日期
Packaging Info: Amazon ES：871WCLAP
ES（77794）
1.77794：VINYL-SERIES 1, PLAYSET-CUBE,16PCS/CTN,RECHARGEABLE LITHIUM BATTERY(INCLUDED); MA 3L(3L warning EAN) B版彩盒+23L 说明书+23L欧洲澳新通
用Warning instruction+其它MA 最新配套包装+2张贴纸（1张UPC, 1张IT环保标+DE/IT警告语贴纸，贴彩盒，翻单4500204845)+带电池D版WEEE说明书+外箱锂电池贴
纸
2.验货时间不迟于2026/06/25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,&lt;(&gt;,&lt;)&gt; 此要求只适用Amazon UK/DE
/FR/ES/IT,不适用Amazon GPE，Amazon GPE无SSCC label, 但是有对应箱唛，需印刷到外箱 。
2.出往UK的产品+包装务必打上UKCA logo ，否则客人会退货且当地会有罚款。Amazon GPE（包含UK/FR/ES/DE/IT）的订单也需满足此要求。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故此请严格把关。Amazon GPE（包含UK/FR/ES/DE/IT）的订单也需满足此要求。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
9. 无论是工厂自检还是ZURU验货，验货报告中必须有产品6面图(正面/背面/左面/右面/顶部/底部，不带包装);
10. 按空海运鉴定报告的要求，只要带锂电池出货，都需要加贴UN贴纸；
11. 所有出往GAS市场(德国/奥地利/瑞士)的电子产品身上需要加字唛，为ZURU FRANCE 地址，需跟包装上的地址一致 (如无电子产品，产品布标有此地址，或产品
太小无法增加可忽略此信息。如产品无法加字唛，需让对应跟单提供产品贴纸资料);（Amazon GPE的订单也需满足此要求）
12. 所有出往GAS德国 (瑞士，奥地利)。水弹枪系列必须使用EN71版本（电子和非电子水弹枪系列都需要符合); 护目镜需打日期码, 格式跟ZURU标准格式一样; 枪
身上增加ZURU FRANCE公司名和地址。使用贴纸和辐射上去都可以。如果有位置，最好增加ZURU Represented by: (此最好翻译德语，如果位置不允许，那么就只增
加ZURU法国和地址)。使用最新的EN71版包装和说明书）。Amazon GPE（包含UK/FR/ES/DE/IT）的订单也需满足此要求。</t>
  </si>
  <si>
    <t>4500203872</t>
  </si>
  <si>
    <t>012030512317</t>
  </si>
  <si>
    <t>4500203878</t>
  </si>
  <si>
    <t>002620512309</t>
  </si>
  <si>
    <t>4500203893</t>
  </si>
  <si>
    <t>002880512234</t>
  </si>
  <si>
    <t>4500203895</t>
  </si>
  <si>
    <t>013540512236</t>
  </si>
  <si>
    <t>4500199849</t>
  </si>
  <si>
    <t>4504719306</t>
  </si>
  <si>
    <t>4500199849-20</t>
  </si>
  <si>
    <t>4/25UPC贴纸(UPC:193052090409)</t>
  </si>
  <si>
    <t>4500200392</t>
  </si>
  <si>
    <t>4/25 UPC贴纸+5/25进口商贴纸</t>
  </si>
  <si>
    <t>4500203900</t>
  </si>
  <si>
    <t>013760512286</t>
  </si>
  <si>
    <t>ZB06969-8.17</t>
  </si>
  <si>
    <t>4500203906</t>
  </si>
  <si>
    <t>005840512190</t>
  </si>
  <si>
    <t>ZB07321-8.17</t>
  </si>
  <si>
    <t>4500203935</t>
  </si>
  <si>
    <t>001750512410</t>
  </si>
  <si>
    <t>ZB06971-8.17</t>
  </si>
  <si>
    <t>4500203940</t>
  </si>
  <si>
    <t>009600512464</t>
  </si>
  <si>
    <t>4500203944</t>
  </si>
  <si>
    <t>001710512328</t>
  </si>
  <si>
    <t>4500203948</t>
  </si>
  <si>
    <t>001790512270</t>
  </si>
  <si>
    <t>ZB07320-8.17</t>
  </si>
  <si>
    <t>4500198161-20</t>
  </si>
  <si>
    <t>PDQ翻单PO#4500197999</t>
  </si>
  <si>
    <t>日期码格式：ZURU INC(BVI) 标准格式 日期：按实际生产日期
Packaging Info:77794UQ1:客版PDQ（翻单PO#4500197867）+MA英语UPC版本包装（收缩膜和说明书, MA首选1L，如无1L可用多语且含英语的配套多语包装) +1张MA锂电池黑白警语
 书纸 + 1张防盗贴纸 (贴纸以及位置图翻单PO#4500193539）+ 箱唛 + 外箱SSCC Label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请注意此订单与AU PO#4500198158一起合并计算，但是77785需要与AU PO#4500189480一起合并计算</t>
  </si>
  <si>
    <t>4500198158-20</t>
  </si>
  <si>
    <t>日期码格式：ZURU INC(BVI) 标准格式 日期：按实际生产日期
Packaging Info:77794UQ1:客版PDQ（翻单PO#4500197867） + MA英语UPC版本包装（收缩膜和说明书, MA首选1L，如无1L可用多语且含英语的配套多语包装) +1张锂电池黑白警语书
 纸 + 1张防盗贴纸 (贴纸以及位置图翻单PO#4500193539）+ 箱唛 + 外箱SSCC Label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此单与NZ PO#4500198161一起合并计算</t>
  </si>
  <si>
    <t>4500201308-740</t>
  </si>
  <si>
    <t>ZB06659-8.17</t>
  </si>
  <si>
    <t>4500201308-730</t>
  </si>
  <si>
    <t>4500199985</t>
  </si>
  <si>
    <t>5200009416</t>
  </si>
  <si>
    <t>4500199985-10</t>
  </si>
  <si>
    <t>6/8 多语警语折叠贴纸（含意大利环保标+"Fatto in Cina"+意大利office地址），带电池出货自行订购 "WEEE说明书欧洲EN+29L-C版"</t>
  </si>
  <si>
    <t>日期码格式：ZURU INC(BVI) 标准格式 日期：按实际生产日期
Packaging Info: 1. 77794: 最新MA 3L EAN tray+最新MA 23L说明书+最新MA 23L EN62115警语说明书+多语警语折叠贴纸（含意大利环保标+"Fatto in Cina"+意大利office地址）
 2. MEC345-P:翻4500168452
Remark: 1.意大利国家内销单，需要通过ZURU 验货结果后才能出货 (工厂需要主动提前同ZURU QC预约验货避免延期出货造成不必要麻烦)；
 2. 本订单所有 具有 baby items / assorted items 的款式，零售包装上都要用 母 EAN;
 3.所有出口欧洲的产品, 法规规定禁止在包装和共公众用的印刷品中使用矿物油中含有的物质, 包装印刷油墨中含有的MOAH/MOSH的质量浓度不能超过1%, 否则出货
 到意大利被抽检出现问题, 供应商需要对此负责;
 4. Date code: 外箱/产品/包装尽量保持一致，完货后提供date code 信息以便我们保存记录做批次管理；若MA物料因提前备料导致和外箱日期码不一致时，可以接
 受出货
 5.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6. 意大利订单包装彩卡请确保含法规要求的环保回收logo。
 7. 所有带电池的产品请基于带/不带电池出货自行订购 "WEEE说明书欧洲EN+29L-C版"
 8. MTS所有订单，SMASHERS 或含Slime产品，所有化合物使用无硼版本出；如有香味产品，出无香版本; BOB系列要符合欧洲要求不含亚硝酸版本; XShot Hyper系列
 ，统一出EN71版本；Slime Mart统一用EUR版本的包装。
 9. 电池产品请确保使用新说明书以及新标识的电池以符合最新(EU) 2023/1542法规 （增加制造商信息，电池种类，制造商地址，电池重量，化学组成，可用的灭
 火器，浓度重量占比&gt;0.1%的关键原材料，二维码），如果电池不含这些信息，也需要确保电池说明书含这些信息。</t>
  </si>
  <si>
    <t>4500201308-750</t>
  </si>
  <si>
    <t>ZB06828-8.17</t>
  </si>
  <si>
    <t>4500213014</t>
  </si>
  <si>
    <t>4400579361</t>
  </si>
  <si>
    <t>4500213014-20</t>
  </si>
  <si>
    <t>4500205421</t>
  </si>
  <si>
    <t>4407192470</t>
  </si>
  <si>
    <t>4500205421-50</t>
  </si>
  <si>
    <t>6/6UPC 条码贴纸+客户进口商贴纸</t>
  </si>
  <si>
    <t>日期码格式：ZURU INC(BVI) 标准格式                  日期：按实际生产日期
Packaging Info: 
77794UQ1：MA 3L EAN 包装(+ UPC 条码贴纸)+MA 3L PDQ包装+客户进口商贴纸+箱唛
Remark: 1.请注意产品包装条形码必须是UPC
2.无第三方验货</t>
  </si>
  <si>
    <t>4500206746</t>
  </si>
  <si>
    <t>4500206746-50</t>
  </si>
  <si>
    <t>日期码格式：ZURU INC(BVI) 标准格式                  日期：按实际生产日期
Packaging Info: 
77794UQ1：MA 3L EAN 包装(+ UPC 条码贴纸)+MA 3L PDQ包装+客户进口商贴纸+箱唛
所有贴纸翻单P04500205421
Remark: 1.请注意产品包装条形码必须是UPC
2.无第三方验货</t>
  </si>
  <si>
    <t>4500206748</t>
  </si>
  <si>
    <t>4500206748-50</t>
  </si>
  <si>
    <t>4500207743</t>
  </si>
  <si>
    <t>5200009655</t>
  </si>
  <si>
    <t>4500207743-30</t>
  </si>
  <si>
    <t>多语警语折叠贴纸（含意大利环保标）+最新WEEE带电池出货欧洲通用29L说明书 ，贴纸翻4500199601</t>
  </si>
  <si>
    <t>日期码格式：ZURU INC(BVI) 标准格式                  日期：按实际生产日期
Packaging Info: 
77794UQ1：最新MA 3L EAN彩盒 + MA23L 电池warning说明书+MA23L 电池使用说明书+ MA23L产品使用说明书+ MA3L PDQ + 多语警语折叠贴纸（含意大利环保标）+
最新WEEE带电池出货欧洲通用29L说明书 ，贴纸翻4500199601
Remark: 1. 法国国家内销单，需要通过ZURU 验货结果后才能出货 (工厂需要主动提前同ZURU QC预约验货避免延期出货造成不必要麻烦)；
 2. 本订单所有 具有 baby items / assorted items 的款式，零售包装上都要用 母 EAN; 所有订单出口西班牙都需要有法国环保标和法国警语。
 3. 若有特定款有特殊外箱条码要求时,需要明确列出产品款对应的具体外箱条码号码/条码类型 (若无,可以忽略此需求)
 4. 所有出口欧洲的产品, 法规规定禁止在包装和共公众用的印刷品中使用矿物油中含有的物质, 包装印刷油墨中含有的MOAH/MOSH的质量浓度不能超过1%, 否则出
货到法国被抽检出现问题, 供应商需要对此负责;
 5. Date code: 外箱/产品/包装 保持一致，完货后提供date code 信息以便我们保存记录做批次管理; 包括DEMO BOX的产品外箱请都统一增加向上标示，以防倒置
造成产品移位或损坏。
 6.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7，  带电池产品都需要包含最新29LWEEE黑白说明书(带电池出货/不带电池出货)。
8，MTS所有订单，SMASHERS 或含Slime产品，所有化合物使用低硼版本出；BOB系列要符合欧洲要求不含亚硝酸版本; XShot Hyper系列，统一出EN71版本; Slime M
art统一用EUR版本的包装。
 9. 产品出法国，包装或外箱所用的纸板含有超过 50% 的再生材料。
 10. 电池产品请确保使用新说明书以及新标识的电池以符合最新(EU) 2023/1542法规  （增加制造商信息，电池种类，制造商地址，电池重量，化学组成，可用的灭
火器，浓度重量占比&gt;0.1%的关键原材料，二维码），如果电池不含这些信息，也需要确保电池说明书含这些信息。</t>
  </si>
  <si>
    <t>4500201822</t>
  </si>
  <si>
    <t>1346737</t>
  </si>
  <si>
    <t>4500201822-10</t>
  </si>
  <si>
    <t>5/15客户贴纸(含法国回收标+PT/PL/SI语言+LEC#+客人指定条码</t>
  </si>
  <si>
    <t>日期码格式：1346737-26 日期：
Packaging Info: 客版彩卡(含FR/ES/PT/PL/SI语言+客人指定条码+客人指定日期码1346737-26)+MA5L+23L警语收藏指南+MA小袋子+MA23L 使用说明书+MA23L锂电池说明书+MA23L说明
书+MA23L组装说明书+WEEE 带电池出货最新版+MA3L展示盒+客人指定干燥剂
Remark: 1.预计7/1第三方验货+抽板测试，此单无需抽板
2.交期前两周 准备好2套大货样给SIPLEC HK OFFICE / 实验室签板；
3.指定日期码1346737-26
4.需在checkpoints上采购外箱贴纸, 跟单会通过邮件发送采购指引；.
5. #77794UQ1- 带电产品每箱放3包透明颗粒状干燥剂(每包约5g)，包干燥剂的袋子要有"SILICA GEL - DO NOT EAT - DESSICANT - THROW AWAY " 字样；
6. 包装禁止使用PVC塑料；
7. 此票出法国，需符合EU标准及微塑料法规，包装需含法国回收logo；</t>
  </si>
  <si>
    <t>4500201822-20</t>
  </si>
  <si>
    <t>2026ZURU05</t>
  </si>
  <si>
    <t>4500195742-10</t>
  </si>
  <si>
    <t>日期码格式：ZURU INC(BVI) 标准格式 日期：按实际生产日期
Packaging Info: 77794UQ1 MA多语包装 EAN版本+UPC贴纸193052090409
Remark: 出加拿大
Zuru验货.日期跟踪码：产品外包装及产品本身都必须有日期跟踪码，ZURU标准格式日期码。（箱唛日期码按跟单提供格式）</t>
  </si>
  <si>
    <t>katrina xie</t>
  </si>
  <si>
    <t>BRICKLAND LLC</t>
  </si>
  <si>
    <t>蒙古</t>
  </si>
  <si>
    <t>4500199888</t>
  </si>
  <si>
    <t>Zuru.2026Q2(MayNew)</t>
  </si>
  <si>
    <t>4500199888-40</t>
  </si>
  <si>
    <t>5/11通用进口商贴纸</t>
  </si>
  <si>
    <t>日期码格式：ZURU INC(BVI) 标准格式                  日期：按实际生产日期
Packaging Info: MA UPC包装(优先1L)+1张通用进口商贴纸,可统一订购;待提供贴纸资料
因是走卡车, 货代上门提货,故订单开EXW的单价,唯一的本地费(报关费)实报实销;
请按照EXW的单价+实报实销结算;有问题请在开发票前同我沟通;
Remark: 92147-Black Cat:Owl:Axolotl:Unicorn:Bat:Bunny=1:1:1:1:1:1
92146TQ2-Cat:Raccoon:Deer:Tiger:Pigeon:Owl=1:1:1:1:1:1</t>
  </si>
  <si>
    <t>60X740818</t>
  </si>
  <si>
    <t>4500197099-30</t>
  </si>
  <si>
    <t xml:space="preserve"> 验货+ 抽板 （同一天进行）
预约7月6日第三方（利丰）到工厂做100%大货现场验货和抽板，验货需打印EPM出来跟客户回签样板供
工厂需把抽板寄到以下MTS 地址做测试，测试通过后才能出货；如产品有油漆的工厂需额外准备5G/色的油漆涂在同材质胶件上(面积类似A4纸大小)一并寄出；</t>
  </si>
  <si>
    <t>日期码格式：ZURU INC(BVI) 标准格式 日期：按实际生产日期
Packaging Info: 1. 包材：ZURU MA UPC 版本，出口美国；
Remark: 2. 日期跟踪码：ZURU标准格式日期码，产品包装及产品本身都必须有ZURU标准格式日期码，并且确保两者信息保持一致(请自行调整具体年月日生产期，但不能为
周末）。
PS: 毛绒款产品包装和布标上日期码可以不一致，但需提前提供照片给到我们找客户特批出货.
3. 大货样
#92129TQ2；#92125；#77794UQ1签样同旧单#4500197095,但如订单最终出货有物料变更，须提前告知跟单决定是否重新寄签样。
4. 验货+ 抽板 （同一天进行）
预约7月1日第三方（利丰）到工厂做100%大货现场验货和抽板，验货需打印EPM出来跟客户回签样板供
第三方验货参考。
PS:EPM是跟单提供。#92104TQ2 &lt;(&gt;&amp;&lt;)&gt; #92125 毛绒款在华登厂验货。
抽板：
因这款产品的ZURU测试报告上被客户指定实验室发现产品和产品包装上的日期码不一致，所以这款寄样给实验室的是按照利丰验货员现场针对指定款随机抽板6PCS（
须带包装）。
工厂需把抽板寄到以下MTS 地址做测试，测试通过后才能出货；如产品有油漆的工厂需额外准备5G/色的油漆涂在同材质胶件上(面积类似A4纸大小)一并寄出；
实验室收件地址：
东莞现代产品整理服务有限公司（MTS）
广东省东莞市寮步镇新旧围村良平路76号
收件人：Cherry Wang （汪单）
Tel: +86 769- 8112 0818 ext.893
抽板有随样文件TRF（跟单提供），工厂在寄样时打印出来放纸箱内随样寄走。
5. 出货配比：ZURU 标版配比
6. ZURU QA 验货时需拍齐每款角色的产品和产品包装上的日期码照片（供实验室review）
7. 外箱胶带必须按照工字型封箱</t>
  </si>
  <si>
    <t>ZB07524-8.17</t>
  </si>
  <si>
    <t>4500200550</t>
  </si>
  <si>
    <t>4500200550-10</t>
  </si>
  <si>
    <t>原订单16000拆分两个到哪各8000，提前出货8000</t>
  </si>
  <si>
    <t>4/20贴价格贴纸+外箱条码贴纸</t>
  </si>
  <si>
    <t>4500201885-10</t>
  </si>
  <si>
    <t>多语警语折叠贴纸(翻单4500192187）+最新D版WEEE带电说明书。请注意：77794含锂电池，需在外箱贴一张含锂电池贴纸。</t>
  </si>
  <si>
    <t>日期码格式：ZURU INC(BVI) 标准格式                  日期：按实际生产日期
Packaging Info: 77794UQ1: 77794UQ1: MA 3L PDQ+MA 3L EAN收缩膜+1*多语警语折叠贴纸(翻单4500192187）+23L玩法说明书+23L警语说明书+23L锂电池警语说明书+最新D版WEEE带
电说明书
请注意：77794含锂电池，需在外箱贴一张含锂电池贴纸。
Remark: 1.德国内销单，需要通过ZURU 验货结果后才能出货 (工厂需要主动提前同ZURU QC预约验货避免延期出货造成不必要麻烦)；
2.产品如含有化学品（slime 等），需要无硼无香。需要无微塑料版本。
3.所有出口欧洲的产品, 法规规定禁止在包装和共公众用的印刷品中使用矿物油中含有的物质, 包装印刷油墨中含有的MOAH/MOSH的质量浓度不能超过1%, 否则出货
到法国被抽检出现问题, 供应商需要对此负责;
 4. date code: 外箱日期码要晚于或等于产品日期码，不能早于产品的日期码；
 5. 所有出往德国的电子产品身上需要加字唛，为ZURU FRANCE 地址，需跟包装上的地址一致 (如无电子产品，产品布标有此地址，或产品太小无法增加可忽略此信
息。如产品无法加字唛，需让对应跟单提供产品贴纸资料)
新地址：ZURU France 33 rue Paul Meurice 75020 Paris, France
旧地址：ZURU France 1/3, Rue d'Argenteuil 95210 SAINT-GRATIEN, FRANCE
6.所有出往德国订单的电子产品需增加一张最新版本的欧洲通用WEEE声明说明书，区分带电池和不带电池版本, 如已做客版说明书可忽略此要求。
7.装柜时需要按照款式号码从小到大一款款依次装,避免终端仓库卸货混乱.若一个柜子涉及到几个不同国家内销单,装柜时需要一个国家装完后再装另一个国家的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8.ratio 同MA
9. 若有特定款有特殊外箱条码要求时,需要明确列出产品款对应的具体外箱条码号码/条码类型 (若无,可以忽略此需求).</t>
  </si>
  <si>
    <t>4500201657-10</t>
  </si>
  <si>
    <t>日期码格式：ZURU INC(BVI) 标准格式                  日期：按实际生产日期
Packaging Info: MA UPC包装(优先1L)+进口商贴纸,
其他items待提供贴纸资料
Remark: 92129-7  assortments, Ratio: Elephant: Toucan: Zebra: Sloth: Giraffe: Tiger: Peacock=10: 10: 10: 10: 10: 8: 2
77772GQ1-4  mini vinyls,1 accessory</t>
  </si>
  <si>
    <t>4500207409</t>
  </si>
  <si>
    <t>5200010100</t>
  </si>
  <si>
    <t>4500207409-10</t>
  </si>
  <si>
    <t>澳洲澳新通用warning instruction</t>
  </si>
  <si>
    <t>外箱黄色贴纸，印"
fast start"</t>
  </si>
  <si>
    <t>日期码格式：ZURU INC(BVI) 标准格式                     日期：按实际生产日期
Remark: 
#77794:客版PDQ +MA英语UPC版本包装(收缩膜和说明书，MA首选1L，如无1L可用多语且含英语的配套多语包装)+1张MA锂电池黑白警语书纸+箱唛+外箱黄色贴纸，印"
fast start"
需加澳洲澳新通用warning instruction
Removed："Delicious"专辑</t>
  </si>
  <si>
    <t>4500203952</t>
  </si>
  <si>
    <t>002670512371</t>
  </si>
  <si>
    <t>4500203956</t>
  </si>
  <si>
    <t>009360512244</t>
  </si>
  <si>
    <t>4500203957</t>
  </si>
  <si>
    <t>001750512411</t>
  </si>
  <si>
    <t>ZB07013-8.17</t>
  </si>
  <si>
    <t>4500203958</t>
  </si>
  <si>
    <t>009600512465</t>
  </si>
  <si>
    <t>4500203960</t>
  </si>
  <si>
    <t>001710512329</t>
  </si>
  <si>
    <t>4500207758</t>
  </si>
  <si>
    <t>0983717992</t>
  </si>
  <si>
    <t>4500207758-10</t>
  </si>
  <si>
    <t>7/13BV</t>
  </si>
  <si>
    <t>6/6RFID贴纸</t>
  </si>
  <si>
    <t>日期码格式：ZURU INC(BVI) 标准格式                  日期：按实际生产日期
Packaging Info: 77794SLB-S001
1. 包装要求：
77794：MA 1L B版callout纸卡+MA 23L 玩法说明书+MA 23L 警告语说明书+MA 1L A版 PDQ
每pcs产品要贴一张RFID贴纸，RFID贴纸由ZURU提供，贴纸位置要严格按照客人签板
Remark: 77794SLB-S001
1. 包装要求：
77794：MA 1L B版callout纸卡+MA 23L 玩法说明书+MA 23L 警告语说明书+MA 1L A版 PDQ
每pcs产品要贴一张RFID贴纸，RFID贴纸由ZURU提供，贴纸位置要严格按照客人签板
 2. 外箱印刷带条码的RFID箱唛：RFID紫色色带+WM Dept.图标+RFID图标+ITF-14条码，四面右下角印刷ZURU logo, ITFF条码只印刷在正唛一面，在加印的时候确保
条形码能扫描出来， 一张锂电池贴纸贴在有条码的正唛上，外箱侧面任一角落加印："MADE IN CHINA" 字样；箱唛翻单：4500196335
 3. 每个slip sheet上面贴一张艾利贴纸（不干胶贴纸）和一张普通贴纸（A4纸），slip sheet打印的普通贴纸的尺寸不能比艾利贴纸小，普通贴纸内容见附件；
 4. 在产品上和包装上要有日期码、以及要有MADE IN CHINA和ZURU字样；
 5. 产品如有扎带口要剪平，不能刮手。
 6. 此单需要验货，请多备料
 7. 此单以slip sheet出货，77794：512pcs/64CTN/Slip sheet</t>
  </si>
  <si>
    <t>ZB06967-8.17</t>
  </si>
  <si>
    <t>0983717818</t>
  </si>
  <si>
    <t>4500207758-20</t>
  </si>
  <si>
    <t>7/6BV</t>
  </si>
  <si>
    <t>ZB07053-8.17</t>
  </si>
  <si>
    <t>0983717913</t>
  </si>
  <si>
    <t>4500207758-30</t>
  </si>
  <si>
    <t>ZB06922-8.17</t>
  </si>
  <si>
    <t>4500194426-40</t>
  </si>
  <si>
    <t>日期码格式：ZURU INC(BVI) 标准格式 日期：按实际生产日期
Packaging Info: 
77794UQ1:ZURU标准MA UPC版本(优先1L),出口美国.
Remark: 1. 日期码请按ZURU标准版执行即可。
2. ZURU QC验货</t>
  </si>
  <si>
    <t>ZB06660-8.17</t>
  </si>
  <si>
    <t>4500194426-20</t>
  </si>
  <si>
    <t>10001927206-0581</t>
  </si>
  <si>
    <t>4500211262-20</t>
  </si>
  <si>
    <t>7/1 空运</t>
  </si>
  <si>
    <t>外箱条码箱贴纸贴纸</t>
  </si>
  <si>
    <t>此单用订单4500200936订购的外箱贴，谢谢！</t>
  </si>
  <si>
    <t>4500200936拆单，数量不变</t>
  </si>
  <si>
    <t>日期码格式：ZURU INC(BVI) 标准格式                  日期：按实际生产日期
Packaging Info: 
77794UQ1：产品包装 MA 1L黑白警告语说明书+MA 1L 彩盒+MA 1L PDQ+锂电池标签纸
Remark: 此单是先前订单4500200936删单后重下。
77794UQ1：
1.77794UQ1-S002-MINI BRANDS-VINYL-PLAYSET-SERIES 1-CUBE,8PCS/PDQ,8PCS/PDQ/CTN;
2. 产品包装 MA 1L黑白警告语说明书+MA 1L 彩盒+MA 1L PDQ; 彩盒上的UPC显示193052090409;
3. 外箱正唛左上角位置粘贴条码箱贴纸，每箱只贴一张，由ZURU订购。来料贴纸上显示的客户DPCI# 086-02-4085, UPC显示10193052090406;
 4. 带锂电池出货，需在外箱正面或者侧面合适位置上加贴一张贴锂电池标签纸，由工厂订购
以上Items：
 1. 产品和包装上均要印刷tracking code信息，格式为ZURU常规格式；
 2. 需要我司QC验货之后才能安排出货
 3. 出货方式：  货代自提</t>
  </si>
  <si>
    <t>4500204964</t>
  </si>
  <si>
    <t>6000072150</t>
  </si>
  <si>
    <t>4500204964-30</t>
  </si>
  <si>
    <t>外箱只需四面印Zuru logo</t>
  </si>
  <si>
    <t>6/5再加2张贴纸，1张Hu贴纸（条码贴），1张ASN贴纸（尺寸6.5cm*6.3cm,潘通色号2597C），都贴于侧唛，只需贴1面(HU贴纸和ASN贴
纸客供）进口商贴纸+价格标+说明书贴纸</t>
  </si>
  <si>
    <t>日期码格式：ZURU INC(BVI) 标准格式                  日期：按实际生产日期
Packaging Info: 1. 外箱只需四面印Zuru logo，再加2张贴纸，1张Hu贴纸（条码贴），1张ASN贴纸（尺寸6.5cm*6.3cm,潘通色号2597C），都贴于侧唛，只需贴1面(HU贴纸和ASN贴
纸客供）
2. 一个外箱对应一个HU’S(条形码),不可以混条码包装
3.带电产品含有说明书需要增加说明书贴纸,&lt;(&gt;,&lt;)&gt;MA 多语包装（含西语）
4.价格贴纸覆盖原有包装的条形码
 5. 此单有监柜要求
77794UQ1 MA 多语包装+MA 多语PDQ+进口商贴纸+价格标+说明书贴纸
Remark: 
77794UQ1 RECHARGEABLE LITHIUM BATTERY(INCLUDED)</t>
  </si>
  <si>
    <t>10001927204-0581</t>
  </si>
  <si>
    <t>4500211271-10</t>
  </si>
  <si>
    <t>挪用4500207477外箱贴纸</t>
  </si>
  <si>
    <t>450020747拆单，数量不变</t>
  </si>
  <si>
    <t>日期码格式：ZURU INC(BVI) 标准格式                  日期：按实际生产日期
Packaging Info: 产品包装 MA 1L黑白警告语说明书+MA 1L 彩盒+MA 1L PDQ+锂电池标签纸
Remark: 此单是先前订单4500207477删单后重下。
1.77794UQ1-S002-MINI BRANDS-VINYL-PLAYSET-SERIES 1-CUBE,8PCS/PDQ,8PCS/PDQ/CTN;
 2. 产品包装 MA 1L黑白警告语说明书+MA 1L 彩盒+MA 1L PDQ; 彩盒上的UPC显示193052090409;
 3. 外箱正唛左上角位置粘贴条码箱贴纸，每箱只贴一张，由ZURU订购。来料贴纸上显示的客户DPCI# 086-02-4085, UPC显示10193052090406;
 4. 带锂电池出货，需在外箱正面或者侧面合适位置上加贴一张贴锂电池标签纸，由工厂订购；
 5. 产品和包装上均要印刷tracking code信息，格式为ZURU常规格式；
 6. 需要我司QC验货之后才能安排出货
 7. 出货方式：  货代自提</t>
  </si>
  <si>
    <t>4500205972</t>
  </si>
  <si>
    <t>4500205972-70</t>
  </si>
  <si>
    <t>5/29UPC 条码+进口商贴纸</t>
  </si>
  <si>
    <t>客版日期码要求：LOT+ZURU标准日期码格式。举例东莞生产的格式：LOTDGYYYYMMDD, DG是东莞拼音首字母，YYYYMMDD是实际的年月日，例如(LOTDG20240920)，每箱放置6小包干燥剂，每包重2g；</t>
  </si>
  <si>
    <t>日期码格式：LOT+ZURU标准日期码格式                  日期：按实际生产日期
Packaging Info:77794UQ1 MA 3L EAN 包装+UPC 条码+进口商贴纸+产品贴纸+说明书贴纸+保证书++3L MAPDQ+箱唛
Remark: A: 客版日期码要求：LOT+ZURU标准日期码格式。举例东莞生产的格式：LOTDGYYYYMMDD, DG是东莞拼音首字母，YYYYMMDD是实际的年月日，例如(LOTDG20240920)
B: 此单有第三方监柜，至少多备一套完整的物料用于监柜，请多备料
C: WM墨西哥防霉的新要求:货物必须在出货主箱和集装箱中按要求放置干燥剂，干燥剂指定品牌干霸
77773GQ2/77843GQ2/9574/77772GQ2/77858/77794UQ1/9565GQ1/15746: 每箱放置6小包干燥剂，每包重2g；
92147:   每箱放置14小包干燥剂，每包重2g
如走柜货等loading plan 确认后再通知集装箱干燥剂数量</t>
  </si>
  <si>
    <t>4500204887</t>
  </si>
  <si>
    <t>7000992550</t>
  </si>
  <si>
    <t>4500204887-20</t>
  </si>
  <si>
    <t>日期码格式：ZURU INC(BVI) 标准格式                  日期：按实际生产日期
Packaging Info:
77794：
MA3LPDQ(8装)+MA3L彩盒+UPC贴纸(UPC:193052090409)+MA23L说明书+MA23L警告语说明书
翻单：4500195369
Remark: 1. 此单有箱唛.#77794带锂电池出货，使用英法双语电池，外箱需在正唛空白位置贴一张UN3481锂电池标识贴纸(带电话号码);
 2. UPC贴纸：必须在原来错误的条码上用黑色粗头笔涂黑直至不能扫描，再贴上正确的UPC;
 3. 此单有第三方验货，烦请多备包装物料；
 *********************
a. 请确保产品符合1999年版本的加拿大环境保护法(CEPA)和2012年禁止某些有毒物质法规的要求。该产品不含任何在加拿大禁用的化学物质，包括但不限于有毒物
质清单中列出的化学物质，并且在为加拿大沃尔玛生产产品期间没有使用任何禁用化学物质。
Supplier certify that the products comply with the requirements of Canadian Environmental Protection Act, 1999 (CEPA), Prohibition of Certain To
xic Substances Regulations, 2012.
The products do not contain any chemicals that are banned in Canada, including but not limited to those listed in the Toxic Substances List and
no banned chemicals were used during the manufacturing of product for Walmart Canada.
附件列表：
(1) Letter of Guarantee for Canada banned chemicals - (1-5CA)
b. 请确保产品在均质材料中的汞浓度不超过0.1%（按重量计）。
Supplier certify that the WAL-MART vendor products does not have a mercury concentration of more than 0.1% by weight in homogeneous material.
附件列表：
(1) Letter of Guarantee for Mercury COC
c. 请确保产品的塑料材料不含以下物质（SOR 2011-17 27B):
Supplier certify that the plastic materials do not contain the following substances(SOR 2011-17 27B):
(a) carbon tetrachloride or any substance that contains it;
(b) methyl alcohol or any substance thay contains &gt;1.0%;
 (c) petroleum distillates or any substance that contains &gt;10% weight to volume of petroleum distillates;
 (d) benzene;
(e) turpentine or any substance that contains &gt;10% weight to volume of turpentine;
(f) boric acid or salts of boric acid; or (g) ethyl ether.
附件列表：
(1) Letter of Guarantee for WM CA-Other prohibited substances in plastic(less than 3 years)</t>
  </si>
  <si>
    <t>4500203961</t>
  </si>
  <si>
    <t>001790512271</t>
  </si>
  <si>
    <t>4500203962</t>
  </si>
  <si>
    <t>002670512372</t>
  </si>
  <si>
    <t>4500212578</t>
  </si>
  <si>
    <t>5200010638</t>
  </si>
  <si>
    <t>4500212578-10</t>
  </si>
  <si>
    <t>日期码格式：ZURU INC(BVI) 标准格式                  日期：按实际生产日期
Packaging Info: "77794UQ1:  MA 3L PDQ+MA 3L EAN 彩盒+1*多语警语折叠贴纸(翻单4500192187）+23L玩法说明书+23L警语说明书+23L锂电池警语说明书+最新D版WEEE带电说明书
请注意：77794含锂电池，需在外箱贴一张含锂电池贴纸。"
Remark: 1.北欧内销单，需要通过ZURU 验货结果后才能出货 (工厂需要主动提前同ZURU QC预约验货避免延期出货造成不必要麻烦)；
2. 产品如含有化学品，需要无硼无香，如果产品含有Slime、泥、沙子，需要增加一张MTS PO SLIME, DOUGH, SAND 化学品警语多语说明书；产品如含有硅藻泥干燥
剂，需要另外加一张14L干燥剂说明书。
3.包装不能含有PVC，使用PET
 4. date code: 外箱日期码要等于或者晚于产品日期码
 5.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6.若有特定款有特殊外箱条码要求时,需要明确列出产品款对应的具体外箱条码号码/条码类型 (若无,可以忽略此需求)
7.所有出口欧洲的产品, 法规规定禁止在包装和共公众用的印刷品中使用矿物油中含有的物质, 包装印刷油墨中含有的MOAH/MOSH的质量浓度不能超过1%, 否则出货
到法国被抽检出现问题, 供应商需要对此负责;
8.带电池出货的产品所用到的电池需要符合欧洲电池新规(EU) 2023-1542，并需要加1张WEEE 电池说明书
9.ratio 同MA
10.所有电子产品身上需要加字唛(与包装上的法国地址一致），为ZURU FRANCE 地址 (如无电子产品，或者产品布标有此地址，可忽略此信息)
ZURU FRANCE   33 rue Paul Meurice 75020 Paris, France.；
11.包装上需要有ZURU DANMARK 地址：
Zuru Denmark ApS
Oslo Plads 2, 2100 K benhavn  , Denmark</t>
  </si>
  <si>
    <t>4500208771</t>
  </si>
  <si>
    <t>4500208771-80</t>
  </si>
  <si>
    <t>6/5 更新</t>
  </si>
  <si>
    <t>6/13 PDQ 底部贴纸+MA PDQ(含锂电池，外箱+logo)+WEEE 29L 带电池说明书 最新版+锂电池欧洲澳新 62115警语--单独说明书-35063389172337;</t>
  </si>
  <si>
    <t>日期码格式：ZURU INC(BVI) 标准格式 日期：按实际生产日期 Tracking Code:
Packaging Info: 77794UQ1:MA UPC 最新包装-产品条码-193052090409+PDQ 底部贴纸-35063389172337+MA PDQ(含锂电池，外箱+logo)+WEEE 29L 带电池说明书 最新版+锂电池欧洲澳
 新 62115警语--单独说明书
 Remark: 1.订单出英国，请注意检查产品及包装应带CE/UKCA图标，包装需要显示ZURU UKLTD/ZURU France地址信息，QC同事请查核，如有问题与跟单确认。
2.生产日期按实际的（法定工作日），按ZURU标准格式即可，并需要在出货前提供每个产品外包上对应的生产日期明细
 3.请注意所有订单都需要经过ZURU QC验货加提供客版自检报告审核且通过后方可出货
 4.不接受一个款有多个条码，存在这个情况请让ZURU提供条码贴纸
 5.外箱上的条码请确保清晰可扫描，有PDQ，需要在PDQ底部贴一张带条码并可扫描的贴纸(ZURU 跟单提供模板）。
6.所有产品按符合欧洲标准走货，微塑料需合规并增加IFUD声明，含电池的需要增加WEEE说明书。
 7.请额外准备一套大货样</t>
  </si>
  <si>
    <t>4500202542</t>
  </si>
  <si>
    <t>进口商贴纸（含意/希警语+意大利环保标）+一张产品贴纸+一张EAN条码贴纸+一张WEEE说明书纸，都翻4500202516</t>
  </si>
  <si>
    <t>日期码格式：LOT2627 日期：
Packaging Info: 1. 77867：客版彩盒（翻4500194131）+一张进口商贴纸（含意/希警语+意大利环保标）+一张产品贴纸+一张EAN条码贴纸+一张WEEE说明书纸，都翻4500202516
77843：最新MA 3L EAN收缩膜+最新MA 5L收藏指南+最新MA 23L说明书"
2. 77869：客版3L彩盒（翻4500199646）+一张进口商贴纸（含意大利环保标）+一张产品贴纸+最新MA 5L收藏指南+最新MA 23L说明书+一张意/希weeee说明书纸
77772：最新MA 3L EAN收缩膜+一张空白贴纸（覆盖条码）
77794：最新MA 3L EAN包装+一张空白贴纸（覆盖条码）+最新MA 23L 62115警语说明书"
Remark: 1.RATIO 同MA 一致。
2.大货样品2套/item，用于客人验货签板。验货后还会抽办1套/item，请多备料。球类请寄3套+一套配件；具体详见邮件通知
3.客人日期码：LOT2627，包装（含收缩膜等）/产品/外箱 请保持一致。
4.产品均符合EU微塑料法规要求：不能含有微塑料/闪粉
5. SMASHERS 或含Slime产品，所有化合物使用无硼或低硼版本出意大利。
6. 本订单所有 具有 baby items / assorted items 的款式，零售包装上都要用 母 EAN;
7. 此客户需要第三方验货，请在约三方验货前必须PASS ZURU验货。
8. 所有带电产品请复核跟单是否有提供客人指定内容的WEEE说明书（非通用29L版本）；如果做了客版说明书，则会将weee说明加进客版说明书中</t>
  </si>
  <si>
    <t>6/9进口商贴纸（含意大利环保标）+一张产品贴纸+一张意/希weeee说明书纸
 77772：最新MA 3L EAN收缩膜+一张空白贴纸（覆盖条码）
77794：最新MA 3L EAN包装+一张空白贴纸（覆盖条码）+最新MA 23L 62115警语说明书"</t>
  </si>
  <si>
    <t>大货样品2套/item，用于客人验货签板。验货后还会抽办1套/item，请多备料。球类请寄3套+一套配件</t>
  </si>
  <si>
    <t>日期码格式：LOT2627                  日期：
Packaging Info: 1. 77869：客版3L彩盒（翻4500199646）+一张进口商贴纸（含意大利环保标）+一张产品贴纸+最新MA 5L收藏指南+最新MA 23L说明书+一张意/希weeee说明书纸
 77772：最新MA 3L EAN收缩膜+一张空白贴纸（覆盖条码）
77794：最新MA 3L EAN包装+一张空白贴纸（覆盖条码）+最新MA 23L 62115警语说明书"
Remark: 1.RATIO 同MA 一致。
2.大货样品2套/item，用于客人验货签板。验货后还会抽办1套/item，请多备料。球类请寄3套+一套配件；具体详见邮件通知
3.客人日期码：LOT2627，包装（含收缩膜等）/产品/外箱 请保持一致。
4.产品均符合EU微塑料法规要求：不能含有微塑料/闪粉
 5. SMASHERS 或含Slime产品，所有化合物使用无硼或低硼版本出意大利。
 6. 本订单所有 具有 baby items / assorted items 的款式，零售包装上都要用 母 EAN;
 7. 此客户需要第三方验货，请在约三方验货前必须PASS ZURU验货。
 8. 所有带电产品请复核跟单是否有提供客人指定内容的WEEE说明书（非通用29L版本）；如果做了客版说明书，则会将weee说明加进客版说明书中</t>
  </si>
  <si>
    <t>4500199242</t>
  </si>
  <si>
    <t>89015140</t>
  </si>
  <si>
    <t>4500199242-80</t>
  </si>
  <si>
    <t>日期码格式：ZURU INC(BVI) 标准格式 日期：按实际生产日期
Packaging Info: 
"77794UQ1: MA PDQ+最新MA 1L UPC彩盒+3份MA说明书(含欧洲锂电池说明书)+C版WEEE声明(带电池)走货欧洲通用29L说明书+2张配套防盗贴纸（贴纸类型10111887:
410 ECON，请工厂自行跟checkpoint供应商订购贴纸，贴位参考报告)
UPC#193052090409"
"77772GQ1: MA PDQ+最新MA 1L UPC收缩膜+MA收藏指南+MA组装说明书+MA袋子
UPC#193052090065
Ratio: 4 mini vinyls,1 accessory"
"9574: 最新MA 1L-23Lwarning UPC彩盒+MA说明书++C版WEEE声明(不带电池)走货欧洲通用29L说明书+2张配套防盗贴纸（贴纸类型10111887: 410 ECON，请工厂自
行跟checkpoint供应商订购贴纸，贴位参考报告)
UPC#193052098436
Ratio: 2pcs baby capybara: 3pcs baby capybara= 5:1"
"92119: 最新MA 1L UPC收缩膜+MA收藏指南+MA袋子+MA布标+MA贴纸+一张大黄圆防盗贴纸（贴纸类型10111896: 40R Label，请工厂自行跟checkpoint供应商订购贴
纸，贴纸位置参考报告)
UPC#193052078391
Ratio: 7 Assortment, Polar bear: Penguin: Walrus: Mammoth: Owl: Seal: Snow man=10:10:10:10:10:8:2. Snow man is the rare item."
"71152: 最新MA 1L-23Lwarning UPC彩盒+MA说明书+C版WEEE声明(不带电池)走货欧洲通用29L说明书+2张配套防盗贴(贴纸类型10111887: 410 ECON, 防盗贴纸位置
翻PO#4500159816&lt;(&gt;,&lt;)&gt;请工厂自行跟checkpoint供应商订购贴纸)
UPC#193052079190"
Remark: 1. 请准时出货，推期会有罚款；
2. 所有产品按符合欧洲标准走货，需要是不含微塑料版本。
3.包装日期码按ZURU格式即可，请确保不迟于外箱日期码，可等于或者早于外箱日期码，必须为法定工作日，印刷前请先检查外箱日期码。
4.请注意检查产品及包装应带UKCA图标（14+产品除外），包装显示ZURU UK LTD/ZURU France地址信息，QC部门请查核，如有问题与跟单确认
5.电子产品需增加一张B版WEEE声明30L通用黑白说明书(不接受A版本，翻译有误)，区分带电池和不带电池出货版本, 如已做客版说明书含WEEE信息可忽略此要求；
6.订单备注显示有分批的（不同仓库/订单号） ，注意分开做货出货，否则会导致罚款 。
7.外箱有条码要求，排版时请留意并请确保条码清晰可扫描（封箱胶不要黏到条码上), 否则客人会有罚款。
8.做货前请先复核包装条码与订单是否一致再安排，对不上的需与ZURU跟单确认再安排。
9.最大外箱尺寸和重量 : 600mm x 500mm x 745mm (LxWxH) 以及 G.W. 16 KG，超过的需要客人批准才能出货并且外箱需要印2 man lift标志 。
10.做货前务必核对零售条码是否与订单要求一致 ，对不上到客户仓库需要返工 ，工厂需要承担责任。</t>
  </si>
  <si>
    <t>4500203968</t>
  </si>
  <si>
    <t>001740512238</t>
  </si>
  <si>
    <t>ZB07319-8.17</t>
  </si>
  <si>
    <t>4500203964</t>
  </si>
  <si>
    <t>012030512318</t>
  </si>
  <si>
    <t>4500203966</t>
  </si>
  <si>
    <t>002620512310</t>
  </si>
  <si>
    <t>4500203972</t>
  </si>
  <si>
    <t>013860512199</t>
  </si>
  <si>
    <t>4500203976</t>
  </si>
  <si>
    <t>010520512305</t>
  </si>
  <si>
    <t>4500203982</t>
  </si>
  <si>
    <t>001750512412</t>
  </si>
  <si>
    <t>4500206438</t>
  </si>
  <si>
    <t>21738298</t>
  </si>
  <si>
    <t>4500206438-10</t>
  </si>
  <si>
    <t>防盗贴纸 (贴纸以及位置图翻单PO#4500193539）+ 箱唛 + 6/15外箱SSCC Label</t>
  </si>
  <si>
    <t>日期码格式： ZURU INC(BVI) 标准格式 日期：按实际生产日期
Packaging Info: 77794UQ1:客版PDQ（翻单PO#4500197867） + MA英语UPC版本包装（收缩膜和说明书, MA首选1L，如无1L可用多语且含英语的配套多语包装) +1张锂电池黑白警语书
纸 + 1张防盗贴纸 (贴纸以及位置图翻单PO#4500193539）+ 箱唛 + 外箱SSCC Label77773GQ1:MA 1L UPC英语包装(MA收缩膜)+防盜贴纸(贴纸以及防盜贴纸位置图翻单PO#4500182434)+箱唛+外箱贴纸SSCC Label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此单需要与NZ PO#4500206439一起合并计算，谢谢！</t>
  </si>
  <si>
    <t>4500206439</t>
  </si>
  <si>
    <t>21738301</t>
  </si>
  <si>
    <t>4500206439-10</t>
  </si>
  <si>
    <t>日期码格式：ZURU INC(BVI) 标准格式                  日期：按实际生产日期
Packaging Info: 77794UQ1:客版PDQ（PDQ翻单PO#4500197999）+MA英语UPC版本包装（收缩膜和说明书, MA首选1L，如无1L可用多语且含英语的配套多语包装) +1张MA锂电池黑白警语
书纸 + 1张防盗贴纸 (贴纸以及位置图翻单PO#4500193539）+ 箱唛 + 外箱SSCC Label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此单需要与AU PO#4500206438一起合并计算，谢谢！</t>
  </si>
  <si>
    <t>21605186</t>
  </si>
  <si>
    <t>4500202800-20</t>
  </si>
  <si>
    <t>防盗贴纸 (贴纸以及位置图翻单PO#4500193539）+ 箱唛 + 6/24外箱SSCC Label</t>
  </si>
  <si>
    <t>4500202801</t>
  </si>
  <si>
    <t>21605193</t>
  </si>
  <si>
    <t>4500202801-20</t>
  </si>
  <si>
    <t>日期码格式：ZURU INC(BVI) 标准格式 日期：按实际生产日期
Packaging Info:77794UQ1:客版PDQ（翻单PO#4500197867） + MA英语UPC版本包装（收缩膜和说明书, MA首选1L，如无1L可用多语且含英语的配套多语包装) +1张锂电池黑白警语书
 纸 + 1张防盗贴纸 (贴纸以及位置图翻单PO#4500193539）+ 箱唛 + 外箱SSCC Label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请注意此单与 AU PO#4500202800一起合并计算</t>
  </si>
  <si>
    <t>4500207760</t>
  </si>
  <si>
    <t>0983717940</t>
  </si>
  <si>
    <t>4500207760-10</t>
  </si>
  <si>
    <t>6/3RFID贴纸</t>
  </si>
  <si>
    <t>ZB发票ZB07188数量匹配但同组还有其他行，11776不够分，转人工</t>
  </si>
  <si>
    <t>0983717912</t>
  </si>
  <si>
    <t>4500207760-30</t>
  </si>
  <si>
    <t>ZB07156-8.17</t>
  </si>
  <si>
    <t>4500207760-20</t>
  </si>
  <si>
    <t>7/9BV</t>
  </si>
  <si>
    <t>REJ</t>
  </si>
  <si>
    <t>ZB07188-8.17</t>
  </si>
  <si>
    <t>4500204890</t>
  </si>
  <si>
    <t>51XM6Z7I</t>
  </si>
  <si>
    <t>4500204890-10</t>
  </si>
  <si>
    <t>空白外箱（加印带Zuru字样的最新logo，除了邮包盒直接做外箱的产品） + SSCC LABEL一张, 无箱唛，MADE IN CHINA 外箱只印一正一侧。箱唛资料按照给定的
标准去做即可，无需发回我方再行审批(新标准将另行通知)</t>
  </si>
  <si>
    <t>2张贴纸（1张UPC, 1张IT环保标，贴彩盒，翻单4500204845)+6/18SSCC LABEL一张</t>
  </si>
  <si>
    <t>日期码格式：ZURU INC(BVI) 标准格式 日期：按实际生产日期
Packaging Info: Amazon DE：51XM6Z7I
Amazon ES ：54QKGOCI
Amazon UK：5V9R6S9Q
DE(77794)/ES(77794)/UK(77794)
1. 77794:VINYL-SERIES 1, PLAYSET-CUBE,16PCS/CTN,RECHARGEABLE LITHIUM BATTERY(INCLUDED); MA 3L(3L warning EAN) B版彩盒+23L 说明书+23L欧洲澳新通
用Warning instruction+其它MA 最新配套包装+2张贴纸（1张UPC, 1张IT环保标+DE/IT警告语贴纸，贴彩盒，翻单4500204845)+带电池D版WEEE说明书+外箱锂电池贴
纸
2. 最晚验货时间7/8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,&lt;(&gt;,&lt;)&gt; 此要求只适用Amazon UK/DE
/FR/ES/IT,不适用Amazon GPE，Amazon GPE无SSCC label, 但是有对应箱唛，需印刷到外箱 。
2.出往UK的产品+包装务必打上UKCA logo ，否则客人会退货且当地会有罚款。Amazon GPE（包含UK/FR/ES/DE/IT）的订单也需满足此要求。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故此请严格把关。Amazon GPE（包含UK/FR/ES/DE/IT）的订单也需满足此要求。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
9. 无论是工厂自检还是ZURU验货，验货报告中必须有产品6面图(正面/背面/左面/右面/顶部/底部，不带包装);
10. 按空海运鉴定报告的要求，只要带锂电池出货，都需要加贴UN贴纸；
11. 所有出往GAS市场(德国/奥地利/瑞士)的电子产品身上需要加字唛，为ZURU FRANCE 地址，需跟包装上的地址一致 (如无电子产品，产品布标有此地址，或产品
太小无法增加可忽略此信息。如产品无法加字唛，需让对应跟单提供产品贴纸资料);（Amazon GPE的订单也需满足此要求）
12. 所有出往GAS德国 (瑞士，奥地利)。水弹枪系列必须使用EN71版本（电子和非电子水弹枪系列都需要符合); 护目镜需打日期码, 格式跟ZURU标准格式一样; 枪
身上增加ZURU FRANCE公司名和地址。使用贴纸和辐射上去都可以。如果有位置，最好增加ZURU Represented by: (此最好翻译德语，如果位置不允许，那么就只增
加ZURU法国和地址)。使用最新的EN71版包装和说明书）。Amazon GPE（包含UK/FR/ES/DE/IT）的订单也需满足此要求。</t>
  </si>
  <si>
    <t>54QKGOCI</t>
  </si>
  <si>
    <t>4500204890-20</t>
  </si>
  <si>
    <t>交仓时间：7/11-7/15</t>
  </si>
  <si>
    <t>5V9R6S9Q</t>
  </si>
  <si>
    <t>4500204890-30</t>
  </si>
  <si>
    <t>22010000274052</t>
  </si>
  <si>
    <t>4500202230-40</t>
  </si>
  <si>
    <t>德语警语贴纸(翻单#4500194401)/欧洲澳新通用Warning instruction+欧洲通用30L B版或 29L WEEE说明书(带电池)</t>
  </si>
  <si>
    <t>所有出往GAS市场(德国/奥地利/瑞士)的电子产品身上需要加字唛，为ZURU FRANCE 地址 (如无电子产品，产品布标有此地址，或产品太小无法增加可忽略此信息
。如产品无法加字唛，需让对应跟单提供产品贴纸资料)
ZURU France 33 rue Paul Meurice 75020 Paris, France</t>
  </si>
  <si>
    <t>日期码格式：ZURU INC(BVI) 标准格式                  日期：按实际生产日期
Packaging Info:
77794: 最新MA 3L EAN包装+德语警语贴纸(翻单#4500194401)+23L说明书/Game说明书/欧洲澳新通用Warning instruction+欧洲通用30L B版或 29L WEEE说明书(带
电池)
Remark: 1. 需要满足Zuru Standard欧洲标准测试要求,微塑料需符合法规；；
 2. 请准时出货，推期会有罚款；
 3. 所有出往GAS市场(德国/奥地利/瑞士)的电子产品身上需要加字唛，为ZURU FRANCE 地址 (如无电子产品，产品布标有此地址，或产品太小无法增加可忽略此信息
。如产品无法加字唛，需让对应跟单提供产品贴纸资料)
ZURU France 33 rue Paul Meurice 75020 Paris, France
 4. 所有出往GAS市场(德国/奥地利/瑞士)的电子产品需增加一张欧洲通用WEEE声明说明书，区分带电池和不带电池版本, 如已做客版说明书可忽略此要求。
 5. 所有出往GAS市场(德国/奥地利/瑞士)订单，化学品需无堋无香版本
 6. 标准配比
 7. 大货样品3套，请多备料</t>
  </si>
  <si>
    <t>4500207039</t>
  </si>
  <si>
    <t>4046555052</t>
  </si>
  <si>
    <t>4500207039-100</t>
  </si>
  <si>
    <t>警告语和MADE IN CHINA都翻译成丹麦瑞典芬兰挪威爱沙尼亚语做成一张贴纸贴在包装上(-贴纸和位置图翻SOK PO#4500196453)+WEEE_带电池走货 _ 说明书欧洲EN+29L_D版</t>
  </si>
  <si>
    <t>日期码格式：ZURU INC(BVI) 标准格式                  日期：按实际生产日期
Packaging Info: 
10.77794UQ1-S002:77794UQ1: MA A3L EAN包装+警告语和MADE IN CHINA都翻译成丹麦瑞典芬兰挪威爱沙尼亚语做成一张贴纸贴在包装上(-贴纸和位置图翻SOK PO#4
500196453)+MA 23L Game说明书+MA 23L锂电池警告语说明书+MA 23L警告语说明书+MA 3L PDQ+WEEE_带电池走货 _ 说明书欧洲EN+29L_D版
Remark: * 请准备1个40尺平柜的安全网，客人要求所有柜货需要加安全网出货，漏拉网会有罚款产生
 * 7149+7150是新品，请在6/25寄两套大货样给客人留底
 1. 包装如含PVC,请改为PET
 2. 产品/包装要求无硼无香；
 3. 出欧洲，微塑料需合规。
4.带电池出货的产品所用到的电池需要符合欧洲电池新规(EU) 2023-1542
5.产品/包装不含PFAS and/or Bisfenol成分, 以及不含石棉成分
6. 产品条码如下: 请先检查条码是否正确再安排做货，如有问题请告知:
7149-S003:4894680019928
7150-S003:4894680019836
71152-S001:4894680042742
9296-S004-NB:4894680029606
92119-S005-NB:4894680042247
92129TQ2-S002-NB:4894680049888
9561-S001:4894680042520
9565GQ1-S002:4894680046511
77772GQ2-S002:4894680051133
77794UQ1-S002:4894680051430</t>
  </si>
  <si>
    <t>0983717969</t>
  </si>
  <si>
    <t>4500207760-40</t>
  </si>
  <si>
    <t>8/7截SI</t>
  </si>
  <si>
    <t>ZB07498-8.17</t>
  </si>
  <si>
    <t>4500204064</t>
  </si>
  <si>
    <t>5200009729</t>
  </si>
  <si>
    <t>4500204064-10</t>
  </si>
  <si>
    <t>多语警语折叠贴纸(翻单4500192187）+最新版C版WEEE带电说明书</t>
  </si>
  <si>
    <t>外箱锂电池贴纸+新地址：ZURU France 33 rue Paul Meurice 75020 Paris, France</t>
  </si>
  <si>
    <t>4500207810</t>
  </si>
  <si>
    <t>4500207810-10</t>
  </si>
  <si>
    <t>6/4乌克兰语警告语贴纸（覆盖收藏指南上的俄罗斯警告语）/客版组装说明书（不含俄罗斯语言）/C 版28L（无俄语）不带电池走货WEEE说明书</t>
  </si>
  <si>
    <t>日期码格式：ZURU INC(BVI) 标准格式 日期：按实际生产日期
Packaging Info:
77794UQ1：A 版3L MA 包装+进口商贴纸；乌克兰语客版警告语说明书/A 版 23L唱片机说明书+乌克兰语警告语贴纸覆盖俄罗斯语言/A 版23L锂电池警告语说明书+乌
克兰语警告语贴纸覆盖俄罗斯语言）/A 版 MA PDQ；外箱一面添加锂电池贴纸
Remark: 1、此单出欧洲需满足EU测试标准要求，另外不能出闪粉（若产品本身不含闪粉则忽略这句话），电池产品（带电池/不带电池走货）需要添加WEEE通用说明书(不含
俄罗斯语言版本)
2.若产品有比例请使用标准比例
3.此单客户的包装/说明书/收藏指南/slime polybag上均不可出现俄罗斯语言，若有我遗漏的地方请务必告知
4.包装备注中未添加MA收藏指南/说明书需要的请不要额外添加</t>
  </si>
  <si>
    <t>4500204118</t>
  </si>
  <si>
    <t>MSLD182-77794-S001</t>
  </si>
  <si>
    <t>日期码格式：ZURU DGYYYYMMDD CHINA(日期避开周末和法定节假日即可） 日期：按实际生产日期
Packaging Info: 1. 包装要求：
MSLD182-客版1L展示架+展示架两侧预留77772的价格牌卡槽, 卡槽尺寸务必要大于2"w*1"H
77794-MA 1L B版callout纸卡+MA 23L 玩法说明书+MA 23L 警告语说明书+MA 1L A版 PDQ
每pcs产品要贴一张RFID贴纸，RFID贴纸由ZURU提供，贴纸位置要严格按照客人签板
Remark: 1. 包装要求：
MSLD182-客版1L展示架+展示架两侧预留77772的价格牌卡槽, 卡槽尺寸务必要大于2"w*1"H
77794-MA 1L B版callout纸卡+MA 23L 玩法说明书+MA 23L 警告语说明书+MA 1L A版 PDQ
每pcs产品要贴一张RFID贴纸，RFID贴纸由ZURU提供，贴纸位置要严格按照客人签板
2.外箱RFID箱唛（四面右下角需印Zuru Logo)+ ITF-14条码；ITF-14条码印刷在外箱主唛左下角，外箱任一侧面角落备注："MADE IN CHINA" 字样，外箱箱唛资料待
提供。
一张锂电池贴纸贴在有条码的正唛上
3. 在产品上和包装上要有日期码、以及要有MADE IN CHINA和ZURU字样；
4. 产品如有扎带口要剪平，不能刮手。
5. 此单需要验货，请自行多备包装物料。
6. 128pcs/Half Pallet/CTN,
77794UQ1: 64PCS/8PDQ/Half Pallet, 8pcs/PDQ</t>
  </si>
  <si>
    <t>日期码格式：ZURU INC(BVI) 标准格式 日期：按实际生产日期
Packaging Info:
MEC473(和All brands PO#4500200163 合并订购)：
77794：A 版3L MA 包装+进口商贴纸；乌克兰语客版警告语说明书/A 版 23L唱片机说明书+乌克兰语警告语贴纸覆盖俄罗斯语言/A 版23L锂电池警告语说明书+乌克
兰语警告语贴纸覆盖俄罗斯语言）；外箱一面添加锂电池贴纸
Remark: 1、此单出欧洲需满足EU测试标准要求，另外不能出闪粉（若产品本身不含闪粉则忽略这句话），电池产品（带电池/不带电池走货）需要添加WEEE通用说明书(不含
俄罗斯语言版本)
2.若产品有比例请使用标准比例
3.此单客户的包装/说明书/收藏指南/slime polybag上均不可出现俄罗斯语言，若有我遗漏的地方请务必告知
4.包装备注中未添加MA收藏指南/说明书需要的请不要额外添加</t>
  </si>
  <si>
    <t>MEC473-77794-S001-3L</t>
  </si>
  <si>
    <t>10001927207-0581</t>
  </si>
  <si>
    <t>4500211339-10</t>
  </si>
  <si>
    <t>6/11 确认</t>
  </si>
  <si>
    <t>6/25SSCC  LABEL（客供贴纸)</t>
  </si>
  <si>
    <t>4500207482拆单总数不变</t>
  </si>
  <si>
    <t>日期码格式：ZURU INC(BVI) 标准格式                  日期：按实际生产日期
Packaging Info: 产品包装 MA 1L黑白警告语说明书+MA 1L 彩盒+MA 1L PDQ+锂电池标签纸
Remark: 此单是先前订单4500207482删单后重下。
1.77794UQ1-S002-MINI BRANDS-VINYL-PLAYSET-SERIES 1-CUBE,8PCS/PDQ,8PCS/PDQ/CTN;
 2. 产品包装 MA 1L黑白警告语说明书+MA 1L 彩盒+MA 1L PDQ; 彩盒上的UPC显示193052090409;
 3. 外箱正唛左上角位置粘贴条码箱贴纸，每箱只贴一张，由ZURU订购。来料贴纸上显示的客户DPCI# 086-02-4085, UPC显示10193052090406;
 4. 带锂电池出货，需在外箱正面或者侧面合适位置上加贴一张贴锂电池标签纸，由工厂订购
 5. 产品和包装上均要印刷tracking code信息，格式为ZURU常规格式；
 6. 需要我司QC验货之后才能安排出货
 7. 出货方式：  货代自提</t>
  </si>
  <si>
    <t>10001927201-0581</t>
  </si>
  <si>
    <t>4500211293-10</t>
  </si>
  <si>
    <t>8/14 空运</t>
  </si>
  <si>
    <t>外箱UPC贴纸用之前订单4500200936</t>
  </si>
  <si>
    <t>4500207830拆单，数量不变</t>
  </si>
  <si>
    <t>日期码格式：ZURU INC(BVI) 标准格式                  日期：按实际生产日期
Packaging Info: 产品包装 MA 1L黑白警告语说明书+MA 1L 彩盒+MA 1L PDQ+锂电池标签纸
Remark: 此单是先前订单4500207830删单后重下。
1.77794UQ1-S002-MINI BRANDS-VINYL-PLAYSET-SERIES 1-CUBE,8PCS/PDQ,8PCS/PDQ/CTN;
 2. 产品包装 MA 1L黑白警告语说明书+MA 1L 彩盒+MA 1L PDQ; 彩盒上的UPC显示193052090409;
 3. 外箱正唛左上角位置粘贴条码箱贴纸，每箱只贴一张，由ZURU订购。来料贴纸上显示的客户DPCI# 086-02-4085, UPC显示10193052090406;
 4. 带锂电池出货，需在外箱正面或者侧面合适位置上加贴一张贴锂电池标签纸，由工厂订购；
 5. 产品和包装上均要印刷tracking code信息，格式为ZURU常规格式；
 6. 需要我司QC验货之后才能安排出货
 7. 出货方式：  货代自提</t>
  </si>
  <si>
    <t>160884</t>
  </si>
  <si>
    <t>4500206703-10</t>
  </si>
  <si>
    <t>日期码格式：ZURU INC(BVI) 标准格式                  日期：按实际生产日期
Packaging Info: 1. 77794UQ1: MA A3L EAN包装+警告语和MADE IN CHINA都翻译成丹麦瑞典芬兰挪威爱沙尼亚语做成一张贴纸贴在包装上(-贴纸和位置图翻SOK PO#4500196453)+MA
23L Game说明书+MA 23L锂电池警告语说明书+MA 23L警告语说明书+MA 3L PDQ+WEEE_带电池走货 _ 说明书欧洲EN+29L_D版
Remark: 1. 包装如含PVC,请改为PET
 2. 产品/包装要求无硼无香；
 3. 出欧洲，微塑料需合规。
4.带电池出货的产品所用到的电池需要符合欧洲电池新规(EU) 2023-1542
5.产品/包装不含PFAS and/or Bisfenol成分, 以及不含石棉成分
6. 产品条码如下: 请先检查条码是否正确再安排做货，如有问题请告知:
77794UQ1-S002:4894680051430</t>
  </si>
  <si>
    <t>4500204119</t>
  </si>
  <si>
    <t>4500203985</t>
  </si>
  <si>
    <t>4500203986</t>
  </si>
  <si>
    <t>001710512332</t>
  </si>
  <si>
    <t>4500204184</t>
  </si>
  <si>
    <t>43CHT26ESCA1029</t>
  </si>
  <si>
    <t>4500204184-10</t>
  </si>
  <si>
    <t>大货样品2套，请多备料。</t>
  </si>
  <si>
    <t>空白纸箱: 在正唛（只1面）加多虚线15 x 10.5 cm ( 高x 宽) 距箱左边2cm， 距箱底 3cm，虚线内1张外箱贴纸（在checkpoint网站上订）Custeomer Service:，要求使用双坑纸箱，外箱尺寸超出7%有350USD的罚款，请注意外箱尺寸变更不能超出7%。下表客人系统外箱尺寸FYI.</t>
  </si>
  <si>
    <t>MA最新版WEEE_带电池走货 _ 说明书欧洲EN, 锂电池-欧洲 澳新 23L警语说明书</t>
  </si>
  <si>
    <t>产品、包装、外箱日期码需一致</t>
  </si>
  <si>
    <t>日期码格式：ZURU INC(BVI) 标准格式                  日期：按实际生产日期
Packaging Info: 77794:MA3L EAN彩卡+MA23L收藏指南+MA小袋子+MA23L 使用说明书+MA23L锂电池说明书+MA23L说明书+MA23L组装说明书+WEEE 带电池出货最新版
77794: MA 3L EAN (4894680051430)彩盒，  MA 23L说明书,MA最新版WEEE_带电池走货 _ 说明书欧洲EN, 锂电池-欧洲 澳新 23L警语说明书
Remark: 1.大货样品2套，请多备料。
 2. 出口欧洲，所有产品微塑料需符合法规。
 3. 产品、包装、外箱日期码需一致。
 4. 空白纸箱: 在正唛（只1面）加多虚线15 x 10.5 cm ( 高x 宽) 距箱左边2cm，  距箱底 3cm，虚线内1张外箱贴纸（在checkpoint网站上订）Custeomer Service:
 Erica Lun Tel.+852 2995 8399/erica.lun@checkpt.com
 5. 所有包装材料禁止使用PVC，需改用PET材料。
 6. 要求使用双坑纸箱，外箱尺寸超出7%有350USD的罚款，请注意外箱尺寸变更不能超出7%。下表客人系统外箱尺寸FYI.
8.所有出往欧洲市场订单的电子产品需增加一张WEEE声明说明书，区分带电池和不带电池版本, 如已做客版说明书可忽略此要求。</t>
  </si>
  <si>
    <t>4500204239</t>
  </si>
  <si>
    <t>43CHT26ESCA1037</t>
  </si>
  <si>
    <t>4500204239-10</t>
  </si>
  <si>
    <t>日期码格式：ZURU INC(BVI) 标准格式                  日期：按实际生产日期
Packaging Info: 77794: MA 3L EAN (4894680051430)彩盒，  MA 23L说明书,MA最新版WEEE_带电池走货 _ 说明书欧洲EN, 锂电池-欧洲 澳新 23L警语说明书
MEC426: MA 3L 展示架
77794: MA 3L EAN (4894680051430)彩盒，  MA 23L说明书,MA最新版WEEE_带电池走货 _ 说明书欧洲EN, 锂电池-欧洲 澳新 23L警语说明书
Remark: 1.大货样品2套，请多备料。
 2. 出口欧洲，所有产品微塑料需符合法规。
 3. 产品、包装、外箱日期码需一致。
 4. 空白纸箱: 在正唛（只1面）加多虚线15 x 10.5 cm ( 高x 宽) 距箱左边2cm，  距箱底 3cm，虚线内1张外箱贴纸（在checkpoint网站上订）Custeomer Service:
 Erica Lun Tel.+852 2995 8399/erica.lun@checkpt.com
 5. 所有包装材料禁止使用PVC，需改用PET材料。
 6. 要求使用双坑纸箱，外箱尺寸超出7%有350USD的罚款，请注意外箱尺寸变更不能超出7%。下表客人系统外箱尺寸FYI.
8.所有出往欧洲市场订单的电子产品需增加一张WEEE声明说明书，区分带电池和不带电池版本, 如已做客版说明书可忽略此要求。</t>
  </si>
  <si>
    <t>4500204240</t>
  </si>
  <si>
    <t>43CHT26ESCA1042</t>
  </si>
  <si>
    <t>4500204240-10</t>
  </si>
  <si>
    <t>4500204243</t>
  </si>
  <si>
    <t>43CHT26ESCA1048</t>
  </si>
  <si>
    <t>4500204243-10</t>
  </si>
  <si>
    <t>日期码格式：ZURU INC(BVI) 标准格式                  日期：
Packaging Info: 77794: MA 3L EAN (4894680051430)彩盒，  MA 23L说明书,MA最新版WEEE_带电池走货 _ 说明书欧洲EN, 锂电池-欧洲 澳新 23L警语说明书
MEC426: MA 3L 展示架
77794: MA 3L EAN (4894680051430)彩盒，  MA 23L说明书,MA最新版WEEE_带电池走货 _ 说明书欧洲EN, 锂电池-欧洲 澳新 23L警语说明书
Remark: 1.大货样品2套，请多备料。
 2. 出口欧洲，所有产品微塑料需符合法规。
 3. 产品、包装、外箱日期码需一致。
 4. 空白纸箱: 在正唛（只1面）加多虚线15 x 10.5 cm ( 高x 宽) 距箱左边2cm，  距箱底 3cm，虚线内1张外箱贴纸（在checkpoint网站上订）Custeomer Service:
 Erica Lun Tel.+852 2995 8399/erica.lun@checkpt.com
 5. 所有包装材料禁止使用PVC，需改用PET材料。
 6. 要求使用双坑纸箱，外箱尺寸超出7%有350USD的罚款，请注意外箱尺寸变更不能超出7%。下表客人系统外箱尺寸FYI.
8.所有出往欧洲市场订单的电子产品需增加一张WEEE声明说明书，区分带电池和不带电池版本, 如已做客版说明书可忽略此要求。</t>
  </si>
  <si>
    <t>4500204245</t>
  </si>
  <si>
    <t>43CHT26ESCA1053</t>
  </si>
  <si>
    <t>4500204245-10</t>
  </si>
  <si>
    <t>ASMODEE  ROMANIA  SRL</t>
  </si>
  <si>
    <t>4500205662</t>
  </si>
  <si>
    <t>4500205662-10</t>
  </si>
  <si>
    <t>5/12进口商贴纸+锂电池贴纸</t>
  </si>
  <si>
    <t>日期码格式：ZURU INC(BVI) 标准格式 日期：按实际生产日期
Packaging Info: 77794UQ1：A 版1L MA 包装+进口商贴纸；A 版 23L 警告语说明书/A 版 23L 唱片机说明书/A 版 23L 锂电池警告语说明书/A 版 MA PDQ；外箱一面添加锂电池贴纸
Remark: 1、若产品有比例使用ZURU STD 比例
2、所有item 均用MA UPC 条码，若包装不是UPC 条码的请告知
3、此单出欧洲需满足EU测试标准要求，另外不能出闪粉（若产品本身不含闪粉则忽略这句话），电池产品（带电池/不带电池走货）需要添加WEEE通用说明书</t>
  </si>
  <si>
    <t>4500209381</t>
  </si>
  <si>
    <t>22362602</t>
  </si>
  <si>
    <t>4500209381-30</t>
  </si>
  <si>
    <t>此单需要每款准备3套大货样，请注意备料；</t>
  </si>
  <si>
    <t>WEEE带电池走货欧洲29L通用黑白说明书</t>
  </si>
  <si>
    <t>日期码格式：202602，此单客户指定日期码：产品/包装/外箱保持一致</t>
  </si>
  <si>
    <t>日期码格式：202602 日期：
Packaging Info: 
77794UQ1：最新MA 3L EAN包装+一张客户进口商贴纸+MA 说明书+WEEE带电池走货欧洲29L通用黑白说明书；
Remark: 1. 此单出西班牙，需满足EU测试标准要求，另外微塑料需符合EU法规；
2. 标准配比；
3.根据新电池法规（EU） 2023/1542，所有走欧洲市场的电子产品，都需要增加WEEE通用29L说明书（分带电池走货和不带电池走货两种），如工厂没有此文件，可
以找跟单提供；
4. 准时完货，需安排ZURU OQC验货并要求提供客户格式的自检报告给到客户审批放货。 另外，包装贴纸上面的警告语不可以覆盖西班牙警告语。
5. 此单需要每款准备3套大货样，请注意备料；
6.注意： 同款产品含PDQ /展示架的外箱条码需要跟item包装条码不一样;
7.此单客户指定日期码：产品/包装/外箱保持一致；</t>
  </si>
  <si>
    <t>4500204389</t>
  </si>
  <si>
    <t>4500204389-30</t>
  </si>
  <si>
    <t>5/28口商贴纸+UPC贴纸</t>
  </si>
  <si>
    <t>外箱锂电池贴纸+整单包装/产品/外箱指定日期码：DG20260710</t>
  </si>
  <si>
    <t>日期码格式：DG20260710                  日期：2026/07/10
Packaging Info:
77794UQ1：  MA 多语包装+进口商贴纸+UPC贴纸+箱唛
Remark: 整单包装/产品/外箱指定日期码：DG20260710</t>
  </si>
  <si>
    <t>4500203841</t>
  </si>
  <si>
    <t>4500203841-80</t>
  </si>
  <si>
    <t>6/17口商贴纸+UPC贴纸</t>
  </si>
  <si>
    <t>日期码格式：ZURU INC(BVI) 标准格式                  日期：按实际生产日期
Packaging Info: 
其余item：MA 多语包装+进口商贴纸+UPC贴纸+箱唛
Remark:</t>
  </si>
  <si>
    <t>4500200550-30</t>
  </si>
  <si>
    <t>拆行 总数不变</t>
  </si>
  <si>
    <t>4500203988</t>
  </si>
  <si>
    <t>001790512272</t>
  </si>
  <si>
    <t>4500203991</t>
  </si>
  <si>
    <t>002620512311</t>
  </si>
  <si>
    <t>4500203995</t>
  </si>
  <si>
    <t>009360512245</t>
  </si>
  <si>
    <t>4500203995-10</t>
  </si>
  <si>
    <t>ZB07060-8.17</t>
  </si>
  <si>
    <t>MEC426-77794-S001-3L</t>
  </si>
  <si>
    <t>日期码格式：ZURU INC(BVI) 标准格式                  日期：按实际生产日期
Packaging Info: 77794: MA 3L EAN (4894680051430)彩盒，  MA 23L说明书,MA最新版WEEE_带电池走货 _ 说明书欧洲EN, 锂电池-欧洲 澳新 23L警语说明书
MEC426: MA 3L 展示架
77794: MA 3L EAN (4894680051430)彩盒，  MA 23L说明书,MA最新版WEEE_带电池走货 _ 说明书欧洲EN, 锂电池-欧洲 澳新 23L警语说明书
Remark: 1.大货样品2套，请多备料。
 2. 出口欧洲，所有产品微塑料需符合法规。
 3. 产品、包装、外箱日期码需一致。
 4. 空白纸箱: 在正唛（只1面）加多虚线15 x 10.5 cm ( 高x 宽) 距箱左边2cm，  距箱底 3cm，虚线内1张外箱贴纸（在checkpoint网站上订）Custeomer Service:
 Erica Lun Tel.+852 2995 8399/erica.lun@checkpt.com
 5. 所有包装材料禁止使用PVC，需改用PET材料。
 6. 要求使用双坑纸箱，外箱尺寸超出7%有350USD的罚款，请注意外箱尺寸变更不能超出7%。下表客人系统外箱尺寸FYI.
8.所有出往欧洲市场订单的电子产品需增加一张WEEE声明说明书，区分带电池和不带电池版本, 如已做客版说明书可忽略此要求。</t>
  </si>
  <si>
    <t>4500201190</t>
  </si>
  <si>
    <t>日期码格式：ZURU INC(BVI) 标准格式 日期：按实际生产日期
Packaging Info: MEC426: MA 3L 展示架
77794: MA 3L EAN (4894680051430)彩盒， MA 23L说明书,MA最新版WEEE_带电池走货 _ 说明书欧洲EN，锂电池-欧洲 澳新 23L警语说明书
Remark: 1.大货样品2套，请多备料。
2. 出口欧洲，所有产品微塑料需符合法规。
3. 空白纸箱: 在正唛（只1面）加多虚线15 x 10.5 cm ( 高x 宽) 距箱左边2cm， 距箱底 3cm，虚线内1张外箱贴纸（在checkpoint网站上订）Customer Service:
Erica Lun Tel.+852 2995 8399/erica.lun@checkpt.com
4. 所有包装材料禁止使用PVC，需改用PET材料。
5. 要求使用双坑纸箱，外箱尺寸超出7%有350USD的罚款，请注意外箱尺寸变更不能超出7%。
6. 客人系统外箱尺寸: BOX_TY166783 MEC426 61.30 cmx34.80 cmx116.00 cm
7.所有出往欧洲市场订单的电子产品需增加一张WEEE声明说明书，区分带电池和不带电池版本, 如已做客版说明书可忽略此要求。</t>
  </si>
  <si>
    <t>日期码格式：ZURU INC(BVI) 标准格式 日期：按实际生产日期
Packaging Info: MEC426: MA 3L 展示架
77794: MA 3L EAN (4894680051430)彩盒， MA 23L说明书,MA最新版WEEE_带电池走货 _ 说明书欧洲EN，锂电池-欧洲 澳新 23L警语说明书
77772: MA 3L EAN (4894680051133)收缩膜，MA内袋，MA 5L收藏指南， MA 23L组装说明
Remark: 1.大货样品2套，请多备料。
2. 出口欧洲，所有产品微塑料需符合法规。
3. 空白纸箱: 在正唛（只1面）加多虚线15 x 10.5 cm ( 高x 宽) 距箱左边2cm， 距箱底 3cm，虚线内1张外箱贴纸（在checkpoint网站上订）Customer Service:
Erica Lun Tel.+852 2995 8399/erica.lun@checkpt.com
4. 所有包装材料禁止使用PVC，需改用PET材料。
5. 要求使用双坑纸箱，外箱尺寸超出7%有350USD的罚款，请注意外箱尺寸变更不能超出7%。
6. 客人系统外箱尺寸: BOX_TY166783 MEC426 61.30 cmx34.80 cmx116.00 cm
7.所有出往欧洲市场订单的电子产品需增加一张WEEE声明说明书，区分带电池和不带电池版本, 如已做客版说明书可忽略此要求。</t>
  </si>
  <si>
    <t>4500204205</t>
  </si>
  <si>
    <t>6/3 法国/西班牙回收标贴纸+外箱贴纸（在checkpoint网站上订）Custeomer Service:</t>
  </si>
  <si>
    <t>日期码格式：ZURU INC(BVI) 标准格式                  日期：按实际生产日期
Packaging Info: MEC426: MA 3L 展示架
77794: MA 3L EAN (4894680051430)彩盒，  MA 23L说明书,MA最新版WEEE_带电池走货 _ 说明书欧洲EN, 锂电池-欧洲 澳新 23L警语说明书
Remark: 1.大货样品2套，请多备料。
 2. 出口欧洲，所有产品微塑料需符合法规。
 3. 产品、包装、外箱日期码需一致。
 4. 空白纸箱: 在正唛（只1面）加多虚线15 x 10.5 cm ( 高x 宽) 距箱左边2cm，  距箱底 3cm，虚线内1张外箱贴纸（在checkpoint网站上订）Custeomer Service:
 Erica Lun Tel.+852 2995 8399/erica.lun@checkpt.com
 5. 所有包装材料禁止使用PVC，需改用PET材料。
 6. 要求使用双坑纸箱，外箱尺寸超出7%有350USD的罚款，请注意外箱尺寸变更不能超出7%。下表客人系统外箱尺寸FYI.
8.所有出往欧洲市场订单的电子产品需增加一张WEEE声明说明书，区分带电池和不带电池版本, 如已做客版说明书可忽略此要求。</t>
  </si>
  <si>
    <t>4500204197</t>
  </si>
  <si>
    <t>6/2进口商贴纸,MA最新版WEEE_带电池走货 _ 说明书欧洲EN, 锂电池-欧洲 澳新 23L警语说明书</t>
  </si>
  <si>
    <t>日期码格式：ZURU INC(BVI) 标准格式 日期：按实际生产日期
Packaging Info: MEC426: MA 3L 展示架
 77794: MA 3L EAN (4894680051430)彩盒， 进口商贴纸,MA 23L说明书,MA最新版WEEE_带电池走货 _ 说明书欧洲EN, 锂电池-欧洲 澳新 23L警语说明书
Remark: 1.大货样品2套，请多备料。
 2. 出口欧洲，所有产品微塑料需符合法规。
 3. 产品、包装、外箱日期码需一致。
 4. 空白纸箱: 在正唛（只1面）加多虚线15 x 10.5 cm ( 高x 宽) 距箱左边2cm， 距箱底 3cm，虚线内1张外箱贴纸（在checkpoint网站上订）Custeomer Service:
 Erica Lun Tel.+852 2995 8399/erica.lun@checkpt.com
 5. 所有包装材料禁止使用PVC，需改用PET材料。
 6. 要求使用双坑纸箱，外箱尺寸超出7%有350USD的罚款，请注意外箱尺寸变更不能超出7%。下表客人系统外箱尺寸FYI.
 8.所有出往欧洲市场订单的电子产品需增加一张WEEE声明说明书，区分带电池和不带电池版本, 如已做客版说明书可忽略此要求</t>
  </si>
  <si>
    <t>4500202966</t>
  </si>
  <si>
    <t>4500202966-60</t>
  </si>
  <si>
    <t>D版WEEE声明(带电池)走货欧洲通用29L说明书</t>
  </si>
  <si>
    <t>日期码格式：ZURU INC(BVI) 标准格式 日期：按实际生产日期
Packaging Info: "77794UQ1: 最新MA 1L UPC配套包装+D版WEEE声明(带电池)走货欧洲通用29L说明书+MA操作说明书+MA warnning说明书+MA锂电池说明书+MA PDQ
 UPC#193052090409
 RECHARGEABLE LITHIUM BATTERY(INCLUDED)"
 *外箱需加一张UN3481锂电池运输标签*
Remark: *MA版本按工厂现有最新库存即可，订单出英国，请注意检查产品及包装应带UKCA图标，包装显示ZURU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*条码以订单显示为准 ，请安排生产前先核对 ，有问题请提出。
 *所有产品按符合欧洲标准走货，需要是不含微塑料版本 。
 *涉及到硼的，如可选择情况下应使用低硼版本 （slime 类别低硼一般低于300ppm)，无选择的应与跟单复核再安排 。</t>
  </si>
  <si>
    <t>4500210152-60</t>
  </si>
  <si>
    <t>6/9进口商贴纸+UPC条码贴</t>
  </si>
  <si>
    <t>日期码格式：ZURU INC(BVI) 标准格式                  日期：按实际生产日期
Packaging Info: 包装要求：
77794UQ1:MA 1L UPC包装+进口商贴纸+UPC条码贴
RECHARGEABLE LITHIUM BATTERY(INCLUDED)
77944UQ1:客版包装+进口商贴纸
no batteries, but with electric circuit(EU/UK WEEE IM is required)
进口商贴纸内容:
Importer Name: FIR VENTURES GLOBAL LIMITED
Importer Address: Rm1112, 11/F, Tower A,
New Mandarin Plaza, 14 Science Museum Rd,
Tsim Sha Tsui, Kowloon, Hong KongITEM
产品UPC如下：
77794UQ1:193052110275
77944UQ1:193052117885
2.产品/彩盒/外箱 日期码一致
3.出货前需安排两套完整的样板给客人</t>
  </si>
  <si>
    <t>4500208597</t>
  </si>
  <si>
    <t>4500208597-10</t>
  </si>
  <si>
    <t>客人款号带EAN（4894680051430）条码贴纸+NL警语贴纸，最新版WEE带电池走货说明书</t>
  </si>
  <si>
    <t>日期码格式：ZURU  INC(BVI)  标准格式                                    日期：按实际生产日期
Packaging Info: 77794:  MA  最新版3L收缩膜+1张客人款号带EAN    （4894680051430）条码贴纸+NL警语贴纸，MA最新版23L游戏说明书，MA最新版23L锂电池说明书，MA最新版23L警语
说明书，最新版WEE带电池走货说明书
Remark: 1.所有产品按符合欧洲标准走货，微塑料需合规。
2.所有包装材料都不允许PVC,  请用PET代替
3.样板需求：     每个item  需要寄出1  PC  大货样，请多备料
4. 日期码和批次号都要打在产品和包装上，日期码按ZURU标准格式，批次号是IO-2601069（客人PO#，     其中IO是大写英文字母）
5.所有出往欧洲市场订单的电子产品需增加一张WEEE声明说明书，区分带电池和不带电池版本,  如已做客版说明书可忽略此要求。
6.  客人款号:
861-1430    77794</t>
  </si>
  <si>
    <t>4500215933-10</t>
  </si>
  <si>
    <t>4500207207转PO4500215933</t>
  </si>
  <si>
    <t>日期码格式：ZURU INC(BVI) 标准格式                  日期：按实际生产日期
Packaging Info: "77794UQ1: 最新MA 3L底座/纸卡/贴纸+MA 23L游戏说明书+MA 23L锂电池说明书+MA 23L警示说明书+MA PDQ (优先多语)
EAN#4894680051430
RECHARGEABLE LITHIUM BATTERY(INCLUDED)
*外箱需加一张UN3481锂电池运输标签
Remark: Smyths 英国/爱尔兰
 1. 请准时出货，推期会有罚款；
 2. 所有产品按符合欧洲标准走货，需要是不含微塑料版本。
3.包装日期码按ZURU格式即可，请确保不迟于外箱日期码，可等于或者早于外箱日期码，必须为法定工作日，印刷前请先检查外箱日期码。
4.请注意检查产品及包装应带UKCA图标（14+产品除外），包装显示ZURU UK LTD/ZURU France地址信息，QC部门请查核，如有问题与跟单确认
5.电子产品需增加一张WEEE声明29L通用黑白说明书，区分带电池(D版)和不带电池(C版)出货版本, 如已做带WEEE声明的客版说明书可忽略此要求；如包装备注上缺
少此部分信息，请提醒跟单更新备注。
6.订单备注显示有分批的(不同仓库/订单号), 一定要区分客户订单号做货出货，否则会导致罚款  。
7.做货前请先复核包装条码与订单是否一致再安排，对不上的需与ZURU跟单确认再安排。
8.包装必须含法国回收标(Sorting Label)，如没有，请提醒跟单提供贴纸资料。</t>
  </si>
  <si>
    <t>02165957</t>
  </si>
  <si>
    <t>4500202450-10</t>
  </si>
  <si>
    <t>77794UQ1-S001&lt;(&gt;&amp;&lt;)&gt;92146-S001&lt;(&gt;&amp;&lt;)&gt;92147-S001&lt;(&gt;&amp;&lt;)&gt;77876-S001请于6/13日前寄出ZURU MA版本每款每色2pcs样板做测试(测试样板可以不带价贴，但需带日
期码) 寄到以下地址做测试：
注：  需打印TRF随样板寄出（TRF由跟单提供）
测试行：BV(必维）
  地址：广东省深圳市深圳市龙华区鸿创科技中心4栋1楼
  收件人：Maggie Yang
  电话: 86 0755 86185331 | VOIP(Internal): 5331</t>
  </si>
  <si>
    <t>5/15 价格贴纸+外箱贴纸</t>
  </si>
  <si>
    <t>日期码格式：ZURU INC(BVI) 标准格式                  日期：按实际生产日期
Packaging Info: 1. 包材：
#77794UQ1：最新 MA 1L UPC+1L PDQ +价格贴纸（$19.99), 价贴位于产品包装上UPC条形码附近 + PDQ上需加价格贴纸 和 条码贴纸（PDQ上加贴条码贴纸位于PDQ背
面左下角+价贴位于PDQ前面右上角 ,贴纸资料跟单提供，工厂采购，出口美国。）
Remark: 2. 日期跟踪码：产品包装及产品本身都必须有日期跟踪码，并且确保两者的日期跟踪码要一致；ZURU标准格式日期码(请自行调整具体年月日生产期，但不能为周
末）。
PS: 毛绒布标贴纸日期码可以不保持一致。
 3. 订单外箱：
 *只需在外箱4面的正上方印ZURU LOGO；3面印MADE IN CHINA字样，一面留空贴外箱贴；
 *外箱正面需要额外加贴2张外箱贴（外箱贴客户提供，工厂直接贴）；
*外箱贴位置：shipping label贴于外箱正面左下角；product label 贴于外箱正面右下角，2张贴纸都需距离外箱边缘至少3CM。
 4. 此客户有4个PO:
PO# 02173457 ship to NJ&lt;(&gt;,&lt;)&gt;
PO# 02173458 ship to NV&lt;(&gt;,&lt;)&gt;
PO# 02165957 ship to NJ&lt;(&gt;,&lt;)&gt;
PO# 02165958 ship to NV&lt;(&gt;,&lt;)&gt;
 5. 出货配比：ZURU MA 配比；
 6. 测试样板
77794UQ1-S001&lt;(&gt;&amp;&lt;)&gt;92146-S001&lt;(&gt;&amp;&lt;)&gt;92147-S001&lt;(&gt;&amp;&lt;)&gt;77876-S001请于6/13日前寄出ZURU MA版本每款每色2pcs样板做测试(测试样板可以不带价贴，但需带日
期码) 寄到以下地址做测试：
注：  需打印TRF随样板寄出（TRF由跟单提供）
测试行：BV(必维）
  地址：广东省深圳市深圳市龙华区鸿创科技中心4栋1楼
  收件人：Maggie Yang
  电话: 86 0755 86185331 | VOIP(Internal): 5331</t>
  </si>
  <si>
    <t>02165958</t>
  </si>
  <si>
    <t>4500202450-50</t>
  </si>
  <si>
    <t>日期码格式：ZURU INC(BVI) 标准格式                  日期：按实际生产日期
Packaging Info: 1. 包材：# 92146: ZURU MA 1L UPC 最新版本包装+ 价格贴纸（价贴金额$10.99,价贴位于UPC条形码附近）,贴纸资料跟单提供工厂采购，出口美国;
#92147: ZURU MA 1L UPC 最新版本包装+ 价格贴纸（价贴金额$26.99,价贴位于UPC条形码附近）,贴纸资料跟单提供工厂采购，出口美国;
#77794UQ1：最新 MA 1L UPC+1L PDQ +价格贴纸（$19.99), 价贴位于产品包装上UPC条形码附近 + PDQ上需加价格贴纸 和 条码贴纸（PDQ上加贴条码贴纸位于PDQ背
面左下角+价贴位于PDQ前面右上角 ,贴纸资料跟单提供，工厂采购，出口美国。）
#77876：球使用MA 最新1L UPC收缩膜+空白贴纸覆盖UPC+5L 英法版本 收藏指南 + 23L 说明书 + 3L UPC 铜版纸 + 价格贴纸(价贴金额$19.99, 价贴位于PVC桶铜版
纸UPC条形码附近）价贴资料跟单提供工厂采购，出口美国;
Remark: 2. 日期跟踪码：产品包装及产品本身都必须有日期跟踪码，并且确保两者的日期跟踪码要一致；ZURU标准格式日期码(请自行调整具体年月日生产期，但不能为周
末）。
PS: 毛绒布标贴纸日期码可以不保持一致。
 3. 订单外箱：
 *只需在外箱4面的正上方印ZURU LOGO；3面印MADE IN CHINA字样，一面留空贴外箱贴；
 *外箱正面需要额外加贴2张外箱贴（外箱贴客户提供，工厂直接贴）；
*外箱贴位置：shipping label贴于外箱正面左下角；product label 贴于外箱正面右下角，2张贴纸都需距离外箱边缘至少3CM。
 4. 此客户有4个PO:
PO# 02173457 ship to NJ&lt;(&gt;,&lt;)&gt;
PO# 02173458 ship to NV&lt;(&gt;,&lt;)&gt;
PO# 02165957 ship to NJ&lt;(&gt;,&lt;)&gt;
PO# 02165958 ship to NV&lt;(&gt;,&lt;)&gt;
 5. 出货配比：ZURU MA 配比；
 6. 测试样板
77794UQ1-S001&lt;(&gt;&amp;&lt;)&gt;92146-S001&lt;(&gt;&amp;&lt;)&gt;92147-S001&lt;(&gt;&amp;&lt;)&gt;77876-S001请于6/13日前寄出ZURU MA版本每款每色2pcs样板做测试(测试样板可以不带价贴，但需带日
期码) 寄到以下地址做测试：
注：  需打印TRF随样板寄出（TRF由跟单提供）
测试行：BV(必维）
  地址：广东省深圳市深圳市龙华区鸿创科技中心4栋1楼
  收件人：Maggie Yang
  电话: 86 0755 86185331 | VOIP(Internal): 5331</t>
  </si>
  <si>
    <t>4500207962</t>
  </si>
  <si>
    <t>5200009900</t>
  </si>
  <si>
    <t>4500207962-10</t>
  </si>
  <si>
    <t>多语警语折叠贴纸(翻单4500192187）+最新D版WEEE带电说明书
请注意：77794含锂电池，需在外箱贴一张含锂电池贴纸。"</t>
  </si>
  <si>
    <t>日期码格式：ZURU INC(BVI) 标准格式                  日期：按实际生产日期
Packaging Info: "77794UQ1:  MA 3L PDQ+MA 3L EAN 彩盒+1*多语警语折叠贴纸(翻单4500192187）+23L玩法说明书+23L警语说明书+23L锂电池警语说明书+最新D版WEEE带电说明书
请注意：77794含锂电池，需在外箱贴一张含锂电池贴纸。"
Remark: 1.北欧内销单，需要通过ZURU 验货结果后才能出货 (工厂需要主动提前同ZURU QC预约验货避免延期出货造成不必要麻烦)；
 2. 产品如含有化学品，需要无硼无香，如果产品含有Slime、泥、沙子，需要增加一张MTS PO SLIME, DOUGH, SAND 化学品警语多语说明书；
 3.包装不能含有PVC，使用PET
 4. date code: 外箱日期码要等于或者晚于产品日期码
 5.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6.若有特定款有特殊外箱条码要求时,需要明确列出产品款对应的具体外箱条码号码/条码类型 (若无,可以忽略此需求)
7.所有出口欧洲的产品, 法规规定禁止在包装和共公众用的印刷品中使用矿物油中含有的物质, 包装印刷油墨中含有的MOAH/MOSH的质量浓度不能超过1%, 否则出货
到法国被抽检出现问题, 供应商需要对此负责;
8.带电池出货的产品所用到的电池需要符合欧洲电池新规(EU) 2023-1542，并需要加1张WEEE 电池说明书
9.ratio 同MA
10.所有电子产品身上需要加字唛(与包装上的法国地址一致），为ZURU FRANCE 地址 (如无电子产品，或者产品布标有此地址，可忽略此信息)
ZURU FRANCE   33 rue Paul Meurice 75020 Paris, France.；
11.包装上需要有ZURU DANMARK 地址：
Zuru Denmark ApS
Oslo Plads 2, 2100 K benhavn  , Denmark</t>
  </si>
  <si>
    <t>4500207203</t>
  </si>
  <si>
    <t>4500207203-20</t>
  </si>
  <si>
    <t>警告语贴纸翻4500206123 +D版WEEE带电池出货说明书+锂电池外箱贴纸+欧洲澳新通用Warning instruction</t>
  </si>
  <si>
    <t>日期码格式：ZURU INC(BVI) 标准格式 日期：按实际生产日期
Packaging Info:
77794UQ1:3L MA包装++警告语贴纸翻4500206123 +D版WEEE带电池出货说明书+锂电池外箱贴纸+欧洲澳新通用Warning instruction; MA PDQ
Remark: 1. STD配比
2. 出欧洲，微塑料需合规（如item本身不含微塑料 则忽略此要求）</t>
  </si>
  <si>
    <t>4500208189</t>
  </si>
  <si>
    <t>4500208189-90</t>
  </si>
  <si>
    <t>6/18进口商贴纸+条码贴纸</t>
  </si>
  <si>
    <t>日期码格式：ZURU INC(BVI) 标准格式                  日期：按实际生产日期
Packaging Info: 77794UQ1:MA 多语包装+进口商贴纸+条码贴纸+箱唛
Remark: 1.进口商贴纸请多备料5pcs,出货后需要寄给客户留底
2.如后续提供的贴纸文档中进口商贴纸和条码贴纸合并为一张，可忽略条码贴纸的需求</t>
  </si>
  <si>
    <t>ZMPO260782</t>
  </si>
  <si>
    <t>ZMPO260782-10</t>
  </si>
  <si>
    <t>4500197988-10</t>
  </si>
  <si>
    <t>UPC贴纸翻单4500192784</t>
  </si>
  <si>
    <t>日期码格式：ZURU INC(BVI) 标准格式 日期：按实际生产日期
Packaging Info: 77794UQ1 MA多语包装 EAN版本+UPC贴纸193052090409,UPC贴纸翻单4500192784
Remark: 出加拿大
Zuru验货.日期跟踪码：产品外包装及产品本身都必须有日期跟踪码，ZURU标准格式日期码。（箱唛日期码按跟单提供格式）</t>
  </si>
  <si>
    <t>4500207090</t>
  </si>
  <si>
    <t>50212602021</t>
  </si>
  <si>
    <t>4500207090-20</t>
  </si>
  <si>
    <t>6/17外箱贴纸+保证书+进口商贴纸+UPC贴纸+产品/包装/说明书都要贴1张进口商贴纸</t>
  </si>
  <si>
    <t>日期码格式：ZURU INC(BVI) 标准格式 日期：按实际生产日期
Packaging Info:
77794UQ1:MA 多语包装+MA 多语说明书+外箱贴纸+保证书+进口商贴纸+UPC贴纸+箱唛，产品/包装都要贴1张进口商贴纸,进口商贴纸和UPC贴纸/保证书翻单PO4500194136
Remark: 1.此单有第三方监柜，需要每款多备1套完整物料
2.外箱贴纸只要一张，位置是正唛和侧唛的交接处，外箱贴纸上的客户PO号码是客户系统自动生成，会跟45单号的客户PO不一致，确认没问题
3.订单包装上的条码必须是UPC，后续提供的贴纸文档将进口商贴纸和UPC贴纸合并为一张，则可以忽略UPC文档的需求</t>
  </si>
  <si>
    <t>4500207763</t>
  </si>
  <si>
    <t>0983718097</t>
  </si>
  <si>
    <t>4500207763-10</t>
  </si>
  <si>
    <t>7/27BV</t>
  </si>
  <si>
    <t>ZB07186-8.17</t>
  </si>
  <si>
    <t>河源生产</t>
  </si>
  <si>
    <t>0983717908</t>
  </si>
  <si>
    <t>4500207763-20</t>
  </si>
  <si>
    <t>7/20BV</t>
  </si>
  <si>
    <t>ZB07445-8.17</t>
  </si>
  <si>
    <t>0983718015</t>
  </si>
  <si>
    <t>4500207763-30</t>
  </si>
  <si>
    <t>ZB07187-8.17</t>
  </si>
  <si>
    <t>4500206039</t>
  </si>
  <si>
    <t>AG250587-HK</t>
  </si>
  <si>
    <t>4500206039-10</t>
  </si>
  <si>
    <t>7/16 出货</t>
  </si>
  <si>
    <t>5/15寄出3张HK 客供警语贴纸( 底部贴1张HK 客供进口商警语贴纸和1张客供电池警语贴纸，说明书贴1张警语贴纸，
贴纸内容不一样，具体参考HK客供警语贴纸位置图）</t>
  </si>
  <si>
    <t>4500208709</t>
  </si>
  <si>
    <t>4500208709-60</t>
  </si>
  <si>
    <t>日期码格式：ZURU  INC(BVI)  标准格式                                    日期：按实际生产日期
Packaging Info: MA  UPC包装(优先1L)+进口商贴纸,fuggler还需mother  UPC  条码贴纸(会尽量做在一起);
15787/15797/15758/77772GQ2/77794UQ1待提供贴纸资料
Remark: 15789UQ1-7  Assortments;  Rare  assortment  1/24,  others  even  ratio
15787-6  Assortments;  Even  ratio
15758-6  Assortments;  even  ratio
15797-7  Assortments;  even  ratio
77772GQ2-4    mini  vinyls,1  accessory</t>
  </si>
  <si>
    <t>4500206033</t>
  </si>
  <si>
    <t>4500206033-20</t>
  </si>
  <si>
    <t xml:space="preserve">进口商贴纸+条码贴纸翻单4500202915 </t>
  </si>
  <si>
    <t>日期码格式：ZURU INC(BVI) 标准格式 日期：按实际生产日期
Packaging Info: 
777794UQ1:MA 1L包装+MA 23L说明书+进口商贴纸+空白贴纸+箱唛，进口商贴纸/空白贴纸翻单PO#4500202915
Remark: 外箱胶带要用CANDIDE 格式</t>
  </si>
  <si>
    <t>4500199185</t>
  </si>
  <si>
    <t>26-1075555JDO</t>
  </si>
  <si>
    <t>4500199185-20</t>
  </si>
  <si>
    <t>6/24进口商贴纸+UPC贴纸</t>
  </si>
  <si>
    <t>日期码格式：ZURU INC(BVI) 标准格式                  日期：
Packaging Info: 157117UQ1、15787:MA 多语包装+MOTHER UPC贴纸+进口商贴纸+箱唛
其余item：MA 多语包装+进口商贴纸+UPC贴纸+箱唛
Remark: 1.进口商贴纸内容会显示日期码为:2026-07，包装/产品/外箱可按照ZURU标准日期码，无需跟回进口商贴纸上的日期码。
2.所有item包装上的条码必须是UPC，如果已将进口商贴纸和UPC条码合并到一张，则不需再订购UPC贴纸，仅订购一张进口商贴纸即可。</t>
  </si>
  <si>
    <t>4500199048</t>
  </si>
  <si>
    <t>26-1075556JUS</t>
  </si>
  <si>
    <t>4500199048-20</t>
  </si>
  <si>
    <t>日期码格式：ZURU INC(BVI) 标准格式                  日期：
Packaging Info: 
其余item:MA 多语包装+进口商贴纸+UPC贴纸+箱唛
Remark: 1.进口商贴纸内容会显示日期码为:2026-07，包装/产品/外箱可按照ZURU标准日期码，无需跟回进口商贴纸上的日期码。
2.所有item包装上的条码必须是UPC，如果已将进口商贴纸和UPC条码合并到一张，则不需再订购UPC贴纸，仅订购一张进口商贴纸即可。</t>
  </si>
  <si>
    <t>4500198493</t>
  </si>
  <si>
    <t>26-1075554JEC</t>
  </si>
  <si>
    <t>4500198493-20</t>
  </si>
  <si>
    <t>7/3 更新 进口商贴纸+UPC贴纸资料</t>
  </si>
  <si>
    <t>日期码格式：ZURU INC(BVI) 标准格式                  日期：
Packaging Info: 157117UQ1、15787：MA 多语包装+MOTHER UPC贴纸+进口商贴纸+箱唛
其余item：MA 多语包装+进口商贴纸+UPC贴纸+箱唛
Remark: 1.进口商贴纸内容会显示日期码为:2026-07，包装/产品/外箱可按照ZURU标准日期码，无需跟回进口商贴纸上的日期码。
2.所有item包装上的条码必须是UPC，如果已将进口商贴纸和UPC条码合并到一张，则不需再订购UPC贴纸，仅订购一张进口商贴纸即可。</t>
  </si>
  <si>
    <t>4500198815-50</t>
  </si>
  <si>
    <t>日期码格式：ZURU INC(BVI) 标准格式                  日期：按实际生产日期
Packaging Info: 
77794UQ1: MA EAN 3L   B Version包装+进口商贴纸+UPC贴纸(两个贴纸合并）+箱唛
Remark: 1.进口商贴纸内容会显示日期码为：2026-07,  包装/产品/外箱可按照ZURU标准日期码，无需跟回进口商贴纸上的日期码。
2.所有item包装上的条码必须是UPC，如果已将进口商贴纸和UPC条码合并到一张，则不需再订购UPC贴纸，仅订购一张进口商贴纸即可。</t>
  </si>
  <si>
    <t>Remark如左图两款散件为一套/一套装一个袋子;备注： 收到样品订单后尽快安排 ，谢谢！</t>
  </si>
  <si>
    <t>4500204896</t>
  </si>
  <si>
    <t>5G5W84XX</t>
  </si>
  <si>
    <t>4500204896-10</t>
  </si>
  <si>
    <t>2张贴纸（1张UPC, 1张IT环保标，贴彩盒，翻单4500204845)+7/3SSCC LABEL一张</t>
  </si>
  <si>
    <t>日期码格式：ZURU INC(BVI) 标准格式 日期：按实际生产日期
Packaging Info: Amazon DE：754AJC9Y
Amazon UK：5G5W84XX
Amazon IT：5FC2XEFV
DE(77794)/UK(77794)/IT(77794)
1. 77794：VINYL-SERIES 1, PLAYSET-CUBE,16PCS/CTN,RECHARGEABLE LITHIUM BATTERY(INCLUDED); MA 3L(3L warning EAN) B版彩盒+23L 说明书+23L欧洲澳新通
用Warning instruction+其它MA 最新配套包装+2张贴纸（1张UPC, 1张IT环保标+DE/IT警告语贴纸，贴彩盒，翻单4500204845)+带电池D版WEEE说明书+外箱锂电池贴
纸
2. 最晚验货时间7/17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,&lt;(&gt;,&lt;)&gt; 此要求只适用Amazon UK/DE
/FR/ES/IT,不适用Amazon GPE，Amazon GPE无SSCC label, 但是有对应箱唛，需印刷到外箱 。
2.出往UK的产品+包装务必打上UKCA logo ，否则客人会退货且当地会有罚款。Amazon GPE（包含UK/FR/ES/DE/IT）的订单也需满足此要求。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故此请严格把关。Amazon GPE（包含UK/FR/ES/DE/IT）的订单也需满足此要求。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
9. 无论是工厂自检还是ZURU验货，验货报告中必须有产品6面图(正面/背面/左面/右面/顶部/底部，不带包装);
10. 按空海运鉴定报告的要求，只要带锂电池出货，都需要加贴UN贴纸；
11. 所有出往GAS市场(德国/奥地利/瑞士)的电子产品身上需要加字唛，为ZURU FRANCE 地址，需跟包装上的地址一致 (如无电子产品，产品布标有此地址，或产品
太小无法增加可忽略此信息。如产品无法加字唛，需让对应跟单提供产品贴纸资料);（Amazon GPE的订单也需满足此要求）
12. 所有出往GAS德国 (瑞士，奥地利)。水弹枪系列必须使用EN71版本（电子和非电子水弹枪系列都需要符合); 护目镜需打日期码, 格式跟ZURU标准格式一样; 枪
身上增加ZURU FRANCE公司名和地址。使用贴纸和辐射上去都可以。如果有位置，最好增加ZURU Represented by: (此最好翻译德语，如果位置不允许，那么就只增
加ZURU法国和地址)。使用最新的EN71版包装和说明书）。Amazon GPE（包含UK/FR/ES/DE/IT）的订单也需满足此要求。</t>
  </si>
  <si>
    <t>5FC2XEFV</t>
  </si>
  <si>
    <t>4500204896-20</t>
  </si>
  <si>
    <t>754AJC9Y</t>
  </si>
  <si>
    <t>4500204896-30</t>
  </si>
  <si>
    <t>10001927203-0581</t>
  </si>
  <si>
    <t>4500211295-10</t>
  </si>
  <si>
    <t>8/12空运</t>
  </si>
  <si>
    <t>6/29 外箱条码箱贴纸贴纸</t>
  </si>
  <si>
    <t>4500207834拆单，数量不变</t>
  </si>
  <si>
    <t>日期码格式：ZURU INC(BVI) 标准格式                  日期：按实际生产日期
Packaging Info: 产品包装 MA 1L黑白警告语说明书+MA 1L 彩盒+MA 1L PDQ+锂电池标签纸
Remark: 此单是先前订单4500207834删单后重下。
1.77794UQ1-S002-MINI BRANDS-VINYL-PLAYSET-SERIES 1-CUBE,8PCS/PDQ,8PCS/PDQ/CTN;
 2. 产品包装 MA 1L黑白警告语说明书+MA 1L 彩盒+MA 1L PDQ; 彩盒上的UPC显示193052090409;
 3. 外箱正唛左上角位置粘贴条码箱贴纸，每箱只贴一张，由ZURU订购。来料贴纸上显示的客户DPCI# 086-02-4085, UPC显示10193052090406;
 4. 带锂电池出货，需在外箱正面或者侧面合适位置上加贴一张贴锂电池标签纸，由工厂订购
 5. 产品和包装上均要印刷tracking code信息，格式为ZURU常规格式；
 6. 需要我司QC验货之后才能安排出货
 7. 出货方式：  货代自提</t>
  </si>
  <si>
    <t>4500208673</t>
  </si>
  <si>
    <t>7000992551</t>
  </si>
  <si>
    <t>4500208673-40</t>
  </si>
  <si>
    <t>日期码格式：ZURU INC(BVI) 标准格式                  日期：按实际生产日期
Packaging Info:#77794
MA3LPDQ(8装)+MA3L彩盒+UPC贴纸(UPC:193052090409)+MA23L说明书+MA23L警告语说明书
翻单：4500195369
Remark: 1. 此单有箱唛;
 2. UPC贴纸：必须在原来错误的条码上用黑色粗头笔涂黑直至不能扫描，再贴上正确的UPC;
 3. 此单有第三方验货，烦请多备包装物料；
 4. #77794带锂电池出货，使用英法双语电池，外箱需在正唛空白位置贴一张UN3481锂电池标识贴纸(带电话号码)；
 *********************
a. 请确保产品符合1999年版本的加拿大环境保护法(CEPA)和2012年禁止某些有毒物质法规的要求。该产品不含任何在加拿大禁用的化学物质，包括但不限于有毒物
质清单中列出的化学物质，并且在为加拿大沃尔玛生产产品期间没有使用任何禁用化学物质。
Supplier certify that the products comply with the requirements of Canadian Environmental Protection Act, 1999 (CEPA), Prohibition of Certain To
xic Substances Regulations, 2012.
The products do not contain any chemicals that are banned in Canada, including but not limited to those listed in the Toxic Substances List and
no banned chemicals were used during the manufacturing of product for Walmart Canada.
附件列表：
(1) Letter of Guarantee for Canada banned chemicals - (1-5CA)
b. 请确保产品在均质材料中的汞浓度不超过0.1%（按重量计）。
Supplier certify that the WAL-MART vendor products does not have a mercury concentration of more than 0.1% by weight in homogeneous material.
附件列表：
(1) Letter of Guarantee for Mercury COC
c. 请确保产品的塑料材料不含以下物质（SOR 2011-17 27B):
Supplier certify that the plastic materials do not contain the following substances(SOR 2011-17 27B):
(a) carbon tetrachloride or any substance that contains it;
(b) methyl alcohol or any substance thay contains &gt;1.0%;
 (c) petroleum distillates or any substance that contains &gt;10% weight to volume of petroleum distillates;
 (d) benzene;
(e) turpentine or any substance that contains &gt;10% weight to volume of turpentine;
(f) boric acid or salts of boric acid; or (g) ethyl ether.
附件列表：
(1) Letter of Guarantee for WM CA-Other prohibited substances in plastic(less than 3 years)</t>
  </si>
  <si>
    <t>4500204166</t>
  </si>
  <si>
    <t>4500206615</t>
  </si>
  <si>
    <t>29652571</t>
  </si>
  <si>
    <t>4500206615-10</t>
  </si>
  <si>
    <t>日期码格式：ZURU INC(BVI) 标准格式 日期：按实际生产日期
Packaging Info: 此客人不接受易掉落或者剥落或者可直接触碰的闪粉，可降解也不行，但可以接受符合欧洲微塑料标准的珠光粉或者闪片。
 #77794:客版PDQ +MA英语UPC版本包装(收缩膜和说明书，MA首选1L，如无1L可用多语且含英语的配套多语包装)+1张MA锂电池黑白警语书纸+箱唛
 Removed："Delicious"专辑
 客版PQD翻单:PO#4500193278
Remark: #77794配比信息：RECHARGEABLE LITHIUM BATTERY(INCLUDED)</t>
  </si>
  <si>
    <t>29652570</t>
  </si>
  <si>
    <t>4500206615-20</t>
  </si>
  <si>
    <t>4500204810</t>
  </si>
  <si>
    <t>64UWRPCH</t>
  </si>
  <si>
    <t>4500204810-10</t>
  </si>
  <si>
    <t>消耗Domestic PO#4500195403 - Total 48,992pcs转FOB单库存</t>
  </si>
  <si>
    <t>7/3 寄出</t>
  </si>
  <si>
    <t>日期码格式：ZURU INC(BVI) 标准格式                  日期：按实际生产日期
Packaging Info: #77794:  MA UPC版包装(1L或3L都可,3L要加UPC条码)，出口美国。消耗Domestic PO#4500195403 - Total 48,992pcs转FOB单库存.
Remark: 1. Amazon MDDP订单，出口US。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</si>
  <si>
    <t>ZB07116-8.17</t>
  </si>
  <si>
    <t>4500204122</t>
  </si>
  <si>
    <t>4500204121</t>
  </si>
  <si>
    <t>4500216772-10</t>
  </si>
  <si>
    <t>4500207585转po4500216772</t>
  </si>
  <si>
    <t>客版5L(英法德意荷)底座/纸卡/贴纸(翻PO#4500200925)</t>
  </si>
  <si>
    <t>日期码格式：ZURU INC(BVI) 标准格式                  日期：按实际生产日期
Packaging Info: ***此票#77794UQ1是从原PO#4500207585拆出来走空运的，请留意更新工厂记录，避免重复安排做货；箱唛上维持原来的客人PO#4400564350即可，不安排外箱返工*
**
77794UQ1: MA PDQ (优先多语)+客版5L(英法德意荷)底座/纸卡/贴纸(翻PO#4500200925) +MA 23L游戏说明书+MA 23L锂电池说明书+MA 23L警示说明书
EAN#4894680051430
RECHARGEABLE LITHIUM BATTERY(INCLUDED)
*外箱需加一张UN3481锂电池运输标签*
如达不到包材MOQ-
77794UQ1: 最新MA 3L底座/纸卡/贴纸+1张含德语callout/德意荷警语贴纸(翻单PO#4500196046)+MA 23L游戏说明书+MA 23L锂电池说明书+MA 23L警示说明书
EAN#4894680051430
RECHARGEABLE LITHIUM BATTERY(INCLUDED)
*外箱需加一张UN3481锂电池运输标签*
Remark: Smyths 德国
 1. 请准时出货，推期会有罚款；
 2. 所有产品按符合欧洲标准走货，需要是不含微塑料版本。
 3. 所有电子产品身上需要加字唛，为ZURU FRANCE 地址 (如无电子产品，产品布标有此地址，或产品太小无法增加可忽略此信息)，新地址ZURU FRANCE.33 rue Pa
 ul Meurice 75020 Paris, France.
 4. 电子产品需增加一张WEEE声明30L通用黑白说明书(不接受A版本，翻译有误)，区分带电池和不带电池出货版本, 如已做客版说明书可忽略此要求；
 5.所有出往德国市场有关slime和带香味的都需要出无硼无香版本；
6.订单备注显示有分批的（不同仓库/订单号）  ，注意分开做货出货，否则会导致罚款  。
7.包装日期码按ZURU格式即可，请确保不迟于外箱日期码，可等于或者早于外箱日期码，必须为法定工作日。
8.做货前请先复核包装条码与订单是否一致再安排，对不上的需与ZURU跟单确认再安排。</t>
  </si>
  <si>
    <t>MANOR  AG</t>
  </si>
  <si>
    <t>4500207354</t>
  </si>
  <si>
    <t>P016396443/S</t>
  </si>
  <si>
    <t>4500207354-10</t>
  </si>
  <si>
    <t>6/25DE,IT警语贴纸+锂电池欧洲澳新通用Warning  instruction，D版带电池走货EU通用29L  WEEE说明书</t>
  </si>
  <si>
    <t>日期码格式：ZURU  INC(BVI)  标准格式                                    日期：按实际生产日期
Packaging Info: 77794UQ1：MA  3L  EAN包装  +  款号条码贴纸  +  DE,  IT警语贴纸，23L说明书/Game说明书/锂电池欧洲澳新通用Warning  instruction，D版带电池走货EU通用29L  WEE
E说明书，MA  3L  PDQ
Remark: 1.此单出瑞士，微塑料需符合法规。
2.此单务必准时出货，如有推期会有罚款和空运。其中推期1至7天扣款5%，推期8至14天扣款10%，推期15至21天扣款20%,  如此类推。
3.此单无须客户第三方验货，但是需要在2026/7/17提供客人格式验货报告，待客人放货后才会放SO安排走货。
4.此单出货前要寄2套大货签办给到客户办公室+1套大货签办到罗湖办公室
5.所有出往欧洲订单的电子产品需增加一张通用29L  WEEE声明说明书，区分带电池出货和不带电池出货版本
6.  所有出往GAS市场(德国/奥地利/瑞士)的电子产品身上需要加字唛，为ZURU  FRANCE  地址，需跟包装上的地址一致    （如该电子产品无法打上字唛但是可以在产品
上加贴纸，需让对应跟单提供产品贴纸资料。如无电子产品；或产品布标有此地址；或产品太小既无法增加字唛也无法加上贴纸，可忽略此信息。）
新地址：ZURU  France  33  rue  Paul  Meurice  75020  Paris,  France
旧地址：ZURU  France  1/3,  Rue  d'Argenteuil  95210  SAINT-GRATIEN,  FRANCE
7.所有出往GAS市场(德国/奥地利/瑞士)订单，化学品需无硼无香版本。
8.对于欧洲带电池的玩具，使用新标识的电池以及新说明书
9.标准配比</t>
  </si>
  <si>
    <t>4500203215</t>
  </si>
  <si>
    <t>COT05523WarehouseNo.2</t>
  </si>
  <si>
    <t>4500203215-10</t>
  </si>
  <si>
    <t>6/23 UPC贴纸</t>
  </si>
  <si>
    <t>日期码格式：ZURU INC(BVI) 标准格式                  日期：按实际生产日期
Packaging Info: 1.优先多语 MA UPC或者3L/5L MA EAN 包装
2.请确保包装上的条形码是UPC，如果是babyUPC、需要用mother UPC覆盖，如有不一致，请及时提出。谢谢!
77794UQ1 MA多语EAN包装+UPC贴纸+MA 多语说明书+MA多语收藏指南+MA 多语PDQ +箱唛
Remark: 77794UQ1 RECHARGEABLE LITHIUM BATTERY(INCLUDED)</t>
  </si>
  <si>
    <t>4500209965-20</t>
  </si>
  <si>
    <t>多语警语折叠贴纸（含意大利环保标）(翻4500193875）+29LWEEE黑白说明书(带电池出货</t>
  </si>
  <si>
    <t>日期码格式：ZURU  INC(BVI)  标准格式                                    日期：按实际生产日期
Packaging Info:
77794UQ1：最新MA  3L  EAN彩盒  +  MA23L  电池warning说明书+MA23L  电池使用说明书+  MA23L产品使用说明书+  MA3L  PDQ  +  多语警语折叠贴纸（含意大利环保标）(
翻4500193875）
Remark: 1.  法国国家内销单，需要通过ZURU  验货结果后才能出货  (工厂需要主动提前同ZURU  QC预约验货避免延期出货造成不必要麻烦)；
   2.  本订单所有  具有  baby  items  /  assorted  items  的款式，零售包装上都要用  母  EAN;  所有订单出口西班牙都需要有法国环保标和法国警语。
   3.  若有特定款有特殊外箱条码要求时,需要明确列出产品款对应的具体外箱条码号码/条码类型  (若无,可以忽略此需求)
   4.  所有出口欧洲的产品,  法规规定禁止在包装和共公众用的印刷品中使用矿物油中含有的物质,  包装印刷油墨中含有的MOAH/MOSH的质量浓度不能超过1%,  否则出
货到法国被抽检出现问题,  供应商需要对此负责;
   5.  Date  code:  外箱/产品/包装  保持一致，完货后提供date  code  信息以便我们保存记录做批次管理;  包括DEMO  BOX的产品外箱请都统一增加向上标示，以防倒置
造成产品移位或损坏。
   6.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7，     带电池产品都需要包含最新29LWEEE黑白说明书(带电池出货/不带电池出货)。
8，MTS所有订单，SMASHERS  或含Slime产品，所有化合物使用低硼版本出；BOB系列要符合欧洲要求不含亚硝酸版本;  XShot  Hyper系列，统一出EN71版本;  Slime  M
art统一用EUR版本的包装。
9.  产品出法国，包装或外箱所用的纸板含有超过  50%  的再生材料。
10.  电池产品请确保使用新说明书以及新标识的电池以符合最新(EU)  2023/1542法规    （增加制造商信息，电池种类，制造商地址，电池重量，化学组成，可用的灭
火器，浓度重量占比&gt;0. 1%的关键原材料，二维码），如果电池不含这些信息，也需要确保电池说明书含这些信息。</t>
  </si>
  <si>
    <t>4500209403</t>
  </si>
  <si>
    <t>86817</t>
  </si>
  <si>
    <t>4500209403-10</t>
  </si>
  <si>
    <t>日期码格式：ZURU INC(BVI) 标准格式 日期：按实际生产日期
Packaging Info: 77794: 客版PDQ（翻单PO#4500197867）+1张MA的锂电池警语书纸+1张客人通用进口商贴纸（贴纸跟位置图翻单PO#4500193524）+箱唛
配比信息：4 mini vinyls,1 accessory
Removed了 ""Messy &lt;(&gt;&amp;&lt;)&gt; Delicious"两张唱片
Remark: 1.按实际生产日期;
2.出澳大利亚，请按照相应标准生产;</t>
  </si>
  <si>
    <t>4500204120</t>
  </si>
  <si>
    <t>4500208316</t>
  </si>
  <si>
    <t>43207</t>
  </si>
  <si>
    <t>4500208316-10</t>
  </si>
  <si>
    <t>6/23确认</t>
  </si>
  <si>
    <t>UPC贴纸翻单4500200392</t>
  </si>
  <si>
    <t>日期码格式：ZURU  INC(BVI)  标准格式                                    日期：按实际生产日期
Packaging Info: MA  3L  加UPC贴纸，UPC贴纸翻单4500200392
Remark: 出加拿大
Zuru验货. 日期跟踪码：产品外包装及产品本身都必须有日期跟踪码，ZURU标准格式日期码</t>
  </si>
  <si>
    <t>4500216239-20</t>
  </si>
  <si>
    <t>由4500209965/转单</t>
  </si>
  <si>
    <t>多语警语折叠贴纸（含意大利环保标）(翻4500193875）</t>
  </si>
  <si>
    <t>日期码格式：ZURU  INC(BVI)  标准格式                                    日期：按实际生产日期
Packaging Info: 
77794UQ1：最新MA  3L  EAN彩盒  +  MA23L  电池warning说明书+MA23L  电池使用说明书+  MA23L产品使用说明书+  MA3L  PDQ  +  多语警语折叠贴纸（含意大利环保标）(
翻4500193875）
Remark: 1.  法国国家内销单，需要通过ZURU  验货结果后才能出货  (工厂需要主动提前同ZURU  QC预约验货避免延期出货造成不必要麻烦)；
   2.  本订单所有  具有  baby  items  /  assorted  items  的款式，零售包装上都要用  母  EAN;  所有订单出口西班牙都需要有法国环保标和法国警语。
   3.  若有特定款有特殊外箱条码要求时,需要明确列出产品款对应的具体外箱条码号码/条码类型  (若无,可以忽略此需求)
   4.  所有出口欧洲的产品,  法规规定禁止在包装和共公众用的印刷品中使用矿物油中含有的物质,  包装印刷油墨中含有的MOAH/MOSH的质量浓度不能超过1%,  否则出
货到法国被抽检出现问题,  供应商需要对此负责;
   5.  Date  code:  外箱/产品/包装  保持一致，完货后提供date  code  信息以便我们保存记录做批次管理;  包含DEMO或者Demo  BOX的产品外箱请都统一增加向上标示，
以防倒置造成产品移位或损坏，demo  box外箱需要增加‘Contains  Demo  Box.  Non-Saleable  Unit’。
   6.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7，     带电池产品都需要包含最新29LWEEE黑白说明书(带电池出货/不带电池出货)。产品里如果含干燥剂，请附上干燥剂14L说明书。
8，MTS所有订单，SMASHERS  或含Slime产品，所有化合物使用低硼版本出；BOB系列要符合欧洲要求不含亚硝酸版本;  XShot  Hyper系列，统一出EN71版本;  Slime  M
art统一用EUR版本的包装。#17601需要出NS版本。
   9.  产品出法国，包装或外箱所用的纸板含有超过  50%  的再生材料。
   10.  电池产品请确保使用新说明书以及新标识的电池以符合最新(EU)  2023/1542法规    （增加制造商信息，电池种类，制造商地址，电池重量，化学组成，可用的灭
火器，浓度重量占比&gt;0. 1%的关键原材料，二维码），如果电池不含这些信息，也需要确保电池说明书含这些信息。</t>
  </si>
  <si>
    <t>4500202459-30</t>
  </si>
  <si>
    <t>6/15 一套大货样品/item，请多备料</t>
  </si>
  <si>
    <t>5/14德语警告语贴纸++WEEE带电池走货欧洲30语B版通用黑白说明书</t>
  </si>
  <si>
    <t>日期码格式：ZURU INC(BVI) 标准格式                  日期：按实际生产日期
Packaging Info: 77794: MA B版3L 包装+德语警告语贴纸+MA 23L说明书+MA warning 欧洲23L 说明书+WEEE带电池走货欧洲30语B版通用黑白说明书
77772: MA A版3L 包装+德语警告语贴纸+MA 23L组装说明书+MA 5L收藏指南+MA纸袋
Remark: "1. 价格贴纸要求为可移动贴纸（包装备注有则需要满足要求，没有则忽略）
2.一套大货样品/item，请多备料。
3.延期出货会有罚款，请务必按时完货。
4.客人要求飞机孔的尺寸为3.0-3.2 cm（包装备注有则需要满足要求，没有则忽略）
5.所有包装材料禁止使用PVC，需改用PET材料
 6. 出口欧洲 微塑料需合规
 7. 请确保产品不含任何俄罗斯生产，或从俄罗斯进口的钢铁材料
8.所有出往欧洲订单的电子产品需增加一张客版WEEE声明说明书，区分带电池(WEEE 带电池走货 通用30L 说明书)和不带电池版本(WEEE 不带电池走货 通用30L 说
明书)
9.所有出往GAS市场(德国/奥地利/瑞士)的电子产品身上需要加字唛，为ZURU FRANCE 地址，需跟包装上的地址一致 (如无电子产品，产品布标有此地址，或产品太
小无法增加可忽略此信息。如产品无法加字唛，需让对应跟单提供产品贴纸资料)
新地址：ZURU France 33 rue Paul Meurice 75020 Paris, France
旧地址：ZURU France 1/3, Rue d'Argenteuil 95210 SAINT-GRATIEN, FRANCE"</t>
  </si>
  <si>
    <t>4500203343</t>
  </si>
  <si>
    <t>4500203343-10</t>
  </si>
  <si>
    <t>ZB07523-8.17</t>
  </si>
  <si>
    <t>4500206705</t>
  </si>
  <si>
    <t>4500206705-20</t>
  </si>
  <si>
    <t>WEEE带电池走货欧洲29语通用黑白说明书</t>
  </si>
  <si>
    <t>日期码格式：ZURU INC(BVI) 标准格式                  日期：按实际生产日期
Packaging Info: 
77794UQ1：MA 最新B版3L EAN包装，MA最新 3L PDQ+MA最新23L Game &lt;(&gt;&amp;&lt;)&gt; warning说明书+MA最新23L锂电池说明书+WEEE带电池走货欧洲29语通用黑白说明书
Remark: 1. 此单出西班牙市场，需满足EU测试标准要求，微塑料需符合EU法规。
 2. 需ZURU OQC验货后才可以安排出货，需要给到客户验货图片审批才可以放货
 3. 客户要求提供3套大货样板&lt;(&gt;&amp;&lt;)&gt; 3个折叠好的空盒子(如含有PDQ的话要寄PDQ)，  在7/3前到深圳办公室 ，需备料</t>
  </si>
  <si>
    <t>4500207054</t>
  </si>
  <si>
    <t>166405</t>
  </si>
  <si>
    <t>4500207054-20</t>
  </si>
  <si>
    <t>日期码格式：ZURU INC(BVI) 标准格式                  日期：按实际生产日期
Packaging Info: 
 2. 77794UQ1: MA A3L EAN包装+警告语和MADE IN CHINA都翻译成丹麦瑞典芬兰挪威爱沙尼亚语做成一张贴纸贴在包装上(-贴纸和位置图翻SOK PO#4500196453)+MA
 23L Game说明书+MA 23L锂电池警告语说明书+MA 23L警告语说明书+MA 3L PDQ+WEEE_带电池走货 _ 说明书欧洲EN+29L_D版
Remark: 1. 包装如含PVC,请改为PET
 2. 产品/包装要求无硼无香；
 3. 出欧洲，微塑料需合规。
4.带电池出货的产品所用到的电池需要符合欧洲电池新规(EU) 2023-1542
5.产品/包装不含PFAS and/or Bisfenol成分, 以及不含石棉成分
6. 产品条码如下: 请先检查条码是否正确再安排做货，如有问题请告知:
77772GQ2-S002:4894680051133
 77794UQ1-S002:4894680051430</t>
  </si>
  <si>
    <t>4500204372</t>
  </si>
  <si>
    <t>4500204372-20</t>
  </si>
  <si>
    <t>箱唛翻单PO4500199984</t>
  </si>
  <si>
    <t>4500199159</t>
  </si>
  <si>
    <t>4500199159-20</t>
  </si>
  <si>
    <t>UPC贴纸193052090409，贴纸翻单4500192784</t>
  </si>
  <si>
    <t>日期码格式：  标准格式                  日期：按实际生产日期
Packaging Info: 
77794UQ1 MA多语包装 EAN版本+UPC贴纸193052090409，贴纸翻单4500192784
Remark: 出加拿大
日期跟踪码：产品外包装及产品本身都必须有日期跟踪码，并且确保两者的日期跟踪码要一致；ZURU标准格式日期码(请自行调整具体年月日生产期，但不能为周末
)</t>
  </si>
  <si>
    <t>4500204111</t>
  </si>
  <si>
    <t>2950868325</t>
  </si>
  <si>
    <t>4500204111-20</t>
  </si>
  <si>
    <t>77794-SLB-S001</t>
  </si>
  <si>
    <t>防盗贴，贴在条码的背面7CM范围之内即包装里面+29L带电池出货D版WEEE说明书+加欧洲澳新通用Warning instruction</t>
  </si>
  <si>
    <t>日期码格式：ZURU INC(BVI) 标准格式 日期：按实际生产日期
Packaging Info: 
77794: 77794UQ1-S002 产品先入外箱再打SLIP SHEET, 客板PDQ+MA最新UPC包装+29L带电池出货D版WEEE说明书+加欧洲澳新通用Warning instruction，另需要加防
盗贴，贴在条码的背面7CM范围之内即包装里面, 防盗贴翻单4500196675
外箱正面其中1面右上角贴UN3481贴纸，产品UPC :193052090409，请先检查条码是否正确再安排做货。
Slip sheet77794UQ1-S002 8pcs/PDQ/CTN 16*4H=64CTN/SLB=512pcs/Slip Sheet;
Slip Sheet打包好后，需要在正唛、侧唛右下角各贴一张slip sheet贴纸，直接用A4纸打印出来即可，贴纸尺寸160mm width x 140mm high；
Slip Sheet尺寸限制为100*115*130CM，一旦实际SLIP SHEET尺寸超过这个尺寸，请提前通知ZURU跟单，需同客人确认才能量产和出货."
Remark: 1. 产品及包装需要印UKCA图标，包装需要有ZURU UK LTD/ZURU France地址信息，QC同事请核查，如有问题与跟单确认
2. 产品/包装/外箱都需要打ZURU格式日期码，日期必须为法定工作日。
3. 需要符合欧洲标准不能含有闪粉和微塑料，否则不合法规会有客诉产生"
4.涉及到硼的，如可选择情况下应使用低硼版本 （slime 类别低硼一般低于300ppm)，无选择的应与跟单复核再安排 。
5.如果出运产品属于电子类产品需要在ZURU 包装基础上额外添加一张ZURU 标准29L通用WEEE 电子产品说明书,带电池出货的加带电池出货版本通用29L的说明书，不
带电池出货的产品用不带电池出货版本的说明书</t>
  </si>
  <si>
    <t>4500203219</t>
  </si>
  <si>
    <t>05737-BOD-04FALL</t>
  </si>
  <si>
    <t>4500203219-10</t>
  </si>
  <si>
    <t>日期码格式：ZURU INC(BVI) 标准格式                  日期：按实际生产日期
Packaging Info: 1.优先多语 MA UPC或者3L/5L MA EAN 包装
2.请确保包装上的条形码是UPC，如果是babyUPC、需要用mother UPC覆盖，如有不一致，请及时提出。谢谢!
77794UQ1 MA多语EAN包装+UPC贴纸+MA 多语说明书+MA多语收藏指南+MA 多语PDQ +进口商贴纸+箱唛
Remark: 77794UQ1 RECHARGEABLE LITHIUM BATTERY(INCLUDED)</t>
  </si>
  <si>
    <t>4500206343-100</t>
  </si>
  <si>
    <t>WEEE带电池走货欧洲29L通用黑白说明书；</t>
  </si>
  <si>
    <t>日期码格式：ZURU INC(BVI) 标准格式                  日期：按实际生产日期
Packaging Info:10.77794UQ1：最新MA 3L EAN包装+MA 说明书+WEEE带电池走货欧洲29L通用黑白说明书；
Remark: 1. 此单出西班牙，需满足EU测试标准要求，另外微塑料需符合EU法规；
 2. 标准配比；
3.根据新电池法规（EU）  2023/1542，所有走欧洲市场的电子产品，都需要增加WEEE通用29L说明书（分带电池走货和不带电池走货两种），如工厂没有此文件，可
以找跟单提供；
4. 产品及包装需要印CE logo图标，包装需含有西班牙环保标 和care@zuru.com 邮箱地址，  另外，贴纸不可以覆盖西班牙警告语。QC同事请核查，如有问题需和
跟单确认
5.毛绒玩具需要西班牙语言的洗涤说明；
6.此单需要准备两套MA样板，需要在5/30前寄出；</t>
  </si>
  <si>
    <t>4500206440</t>
  </si>
  <si>
    <t>21738299</t>
  </si>
  <si>
    <t>4500206440-10</t>
  </si>
  <si>
    <t>防盗贴纸 (贴纸以及位置图翻单PO#4500193539）+ 箱唛 + 7/30外箱SSCC Label</t>
  </si>
  <si>
    <t>日期码格式：ZURU INC(BVI) 标准格式 日期：按实际生产日期
Packaging Info: 77794UQ1:客版PDQ（翻单PO#4500197867） + MA英语UPC版本包装（收缩膜和说明书, MA首选1L，如无1L可用多语且含英语的配套多语包装) +1张锂电池黑白警语书
纸 + 1张防盗贴纸 (贴纸以及位置图翻单PO#4500193539）+ 箱唛 + 外箱SSCC Label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10.所有带纽扣电池的产品都需要在产品包装以及说明书上贴纽扣电池警告语贴纸
此单需要与NZ PO#4500206441一起合并计算，谢谢！</t>
  </si>
  <si>
    <t>4500206441</t>
  </si>
  <si>
    <t>21738302</t>
  </si>
  <si>
    <t>4500206441-10</t>
  </si>
  <si>
    <t>日期码格式：ZURU INC(BVI) 标准格式 日期：按实际生产日期
Packaging Info: 77794UQ1:客版PDQ（翻单PO#4500197867） + MA英语UPC版本包装（收缩膜和说明书, MA首选1L，如无1L可用多语且含英语的配套多语包装) +1张锂电池黑白警语书
纸 + 1张防盗贴纸 (贴纸以及位置图翻单PO#4500193539）+ 箱唛 + 外箱SSCC Label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10.所有带纽扣电池的产品都需要在产品包装以及说明书上贴纽扣电池警告语贴纸
此单需要与AU PO#4500206440一起合并计算，谢谢！</t>
  </si>
  <si>
    <t>4500202915</t>
  </si>
  <si>
    <t>4500202915-20</t>
  </si>
  <si>
    <t>ZMPO260770-10</t>
  </si>
  <si>
    <t>Remark大货最新版本/麻烦按款号装箱/并在外箱上注明款号/大货标准箱装箱/箱唛参照邮件附件备注：收到样品订单后尽快安排 ，注意样板品质质量要求要高于大货品质要求 ，送货时必须要附带送货单(没有送货单和QC检验合格报告的仓库一律拒绝收货)，请知悉，谢谢！</t>
  </si>
  <si>
    <t>4500208482</t>
  </si>
  <si>
    <t>0983717840</t>
  </si>
  <si>
    <t>4500208482-20</t>
  </si>
  <si>
    <t>7/23BV</t>
  </si>
  <si>
    <t>日期码格式：ZURU  INC(BVI)  标准格式                                    日期：按实际生产日期
Packaging Info: 77794UQ1-SLB-S001
1.  包装要求：
77794：MA  1L  B版callout纸卡+MA  23L  玩法说明书+MA  23L  警告语说明书+MA  1L  A版  PDQ
每pcs产品要贴一张RFID贴纸，RFID贴纸由ZURU提供，贴纸位置要严格按照客人签板
Remark: 77794UQ1-SLB-S001
1.  包装要求：
77794：MA  1L  B版callout纸卡+MA  23L  玩法说明书+MA  23L  警告语说明书+MA  1L  A版  PDQ
每pcs产品要贴一张RFID贴纸，RFID贴纸由ZURU提供，贴纸位置要严格按照客人签板
   2.  外箱印刷带条码的RFID箱唛：RFID紫色色带+WM  Dept. 图标+RFID图标+ITF-14条码，四面右下角印刷ZURU  logo,  ITFF条码只印刷在正唛一面，在加印的时候确保
条形码能扫描出来，   一张锂电池贴纸贴在有条码的正唛上，外箱侧面任一角落加印："MADE  IN  CHINA"  字样；箱唛翻单：4500196335
   3.  每个slip  sheet上面贴一张艾利贴纸（不干胶贴纸）和一张普通贴纸（A4纸），slip  sheet打印的普通贴纸的尺寸不能比艾利贴纸小，普通贴纸内容见附件；
   4.  在产品上和包装上要有日期码、以及要有MADE  IN  CHINA和ZURU字样；
   5.  产品如有扎带口要剪平，不能刮手。
   6.  此单需要验货，请多备料
   7.  此单以slip  sheet出货，77794：512pcs/64CTN/Slip  sheet</t>
  </si>
  <si>
    <t>ZB07380-8.17</t>
  </si>
  <si>
    <t>4500204873</t>
  </si>
  <si>
    <t>MSLD188-77794-S001</t>
  </si>
  <si>
    <t>日期码格式：ZURU INC(BVI) 标准格式                  日期：按实际生产日期
Packaging Info: MSLD188-S001:
客版英法双语展示架
+77794：
MA3LPDQ(8装)+MA3L彩盒+UPC贴纸(UPC:193052090409)+MA23L说明书+MA23L警告语说明书
翻单：4500195369
Remark: 1. 此单有箱唛, #77794带锂电池出货，使用英法双语电池，外箱需在正唛空白位置贴一张UN3481锂电池标识贴纸(带电话号码);
 2. UPC贴纸：必须在原来错误的条码上用黑色粗头笔涂黑直至不能扫描，再贴上正确的UPC;
 3. 此单有第三方验货，烦请多备包装物料；
 4. 此单需另备一座空展示架样品用于签样；
 5. 此单展架需要带纸滑托出货；
*********************
a. 请确保产品符合1999年版本的加拿大环境保护法(CEPA)和2012年禁止某些有毒物质法规的要求。该产品不含任何在加拿大禁用的化学物质，包括但不限于有毒物
质清单中列出的化学物质，并且在为加拿大沃尔玛生产产品期间没有使用任何禁用化学物质。
Supplier certify that the products comply with the requirements of Canadian Environmental Protection Act, 1999 (CEPA), Prohibition of Certain To
xic Substances Regulations, 2012.
The products do not contain any chemicals that are banned in Canada, including but not limited to those listed in the Toxic Substances List and
no banned chemicals were used during the manufacturing of product for Walmart Canada.
附件列表：
(1) Letter of Guarantee for Canada banned chemicals - (1-5CA)
b. 请确保产品在均质材料中的汞浓度不超过0.1%（按重量计）。
Supplier certify that the WAL-MART vendor products does not have a mercury concentration of more than 0.1% by weight in homogeneous material.
附件列表：
(1) Letter of Guarantee for Mercury COC
c. 请确保产品的塑料材料不含以下物质（SOR 2011-17 27B):
Supplier certify that the plastic materials do not contain the following substances(SOR 2011-17 27B):
(a) carbon tetrachloride or any substance that contains it;
(b) methyl alcohol or any substance thay contains &gt;1.0%;
 (c) petroleum distillates or any substance that contains &gt;10% weight to volume of petroleum distillates;
 (d) benzene;
(e) turpentine or any substance that contains &gt;10% weight to volume of turpentine;
(f) boric acid or salts of boric acid; or (g) ethyl ether.
附件列表：
(1) Letter of Guarantee for WM CA-Other prohibited substances in plastic(less than 3 years)</t>
  </si>
  <si>
    <t>4500210679-20</t>
  </si>
  <si>
    <t>4500206878</t>
  </si>
  <si>
    <t>013540512237</t>
  </si>
  <si>
    <t>ZB07494-8.17</t>
  </si>
  <si>
    <t>AMAZON CA (VENDOR CENTER)</t>
  </si>
  <si>
    <t>4500204288</t>
  </si>
  <si>
    <t>1KF6WXMM</t>
  </si>
  <si>
    <t>4500204288-150</t>
  </si>
  <si>
    <t>7/8 寄出SSCC  LABEL+6/29UPC贴纸</t>
  </si>
  <si>
    <t>日期码格式：ZURU INC(BVI) 标准格式                  日期：按实际生产日期
Packaging Info: #77876:2PK MA 3L UPC版#77772入PVC桶，3L无UPC客版收缩膜，客版收缩膜和3L铜版纸图稿翻单4500192506.（两个球的配比不能重复）。
#77794:  MA 3L版包装+UPC贴纸，贴纸资料跟单提供。
Remark: 1. Amazon FOB订单，出口CA。外箱最长边不能超过25"  （超过了，case pack只能为1），不符合要求的大货，一律不接受。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7.邮包盒上要印刷日期码</t>
  </si>
  <si>
    <t>249P8XQY</t>
  </si>
  <si>
    <t>4500204288-190</t>
  </si>
  <si>
    <t>3MKRTJAL</t>
  </si>
  <si>
    <t>4500204288-250</t>
  </si>
  <si>
    <t>3YB82YOU</t>
  </si>
  <si>
    <t>4500204288-140</t>
  </si>
  <si>
    <t>4AY98RSF</t>
  </si>
  <si>
    <t>4500204288-170</t>
  </si>
  <si>
    <t>4BKKXJHR</t>
  </si>
  <si>
    <t>4500204288-180</t>
  </si>
  <si>
    <t>4RGFMUZQ</t>
  </si>
  <si>
    <t>4500204288-220</t>
  </si>
  <si>
    <t>54ONLJ3U</t>
  </si>
  <si>
    <t>4500204288-90</t>
  </si>
  <si>
    <t>5P7GOTSD</t>
  </si>
  <si>
    <t>4500204288-130</t>
  </si>
  <si>
    <t>6TNVBHEX</t>
  </si>
  <si>
    <t>4500204288-160</t>
  </si>
  <si>
    <t>6VCYVOQS</t>
  </si>
  <si>
    <t>4500204288-230</t>
  </si>
  <si>
    <t>7A8D1IWX</t>
  </si>
  <si>
    <t>4500204288-120</t>
  </si>
  <si>
    <t>82RU4R2K</t>
  </si>
  <si>
    <t>4500204288-240</t>
  </si>
  <si>
    <t>8BKBR1HH</t>
  </si>
  <si>
    <t>4500204288-200</t>
  </si>
  <si>
    <t>8CY74GXK</t>
  </si>
  <si>
    <t>4500204288-110</t>
  </si>
  <si>
    <t>8ESQ5RKF</t>
  </si>
  <si>
    <t>4500204288-260</t>
  </si>
  <si>
    <t>8RR9XCSA</t>
  </si>
  <si>
    <t>4500204288-100</t>
  </si>
  <si>
    <t>8X5VPRUZ</t>
  </si>
  <si>
    <t>4500204288-210</t>
  </si>
  <si>
    <t>4NWFQB7D</t>
  </si>
  <si>
    <t>4500209115-10</t>
  </si>
  <si>
    <t xml:space="preserve"> </t>
  </si>
  <si>
    <t>日期码格式：ZURU  INC(BVI)  标准格式                                    日期：按实际生产日期
Packaging Info: 
#77794:    MA  3L版包装+UPC贴纸，贴纸资料翻单#4500204288。
Remark: 1.  Amazon  FOB订单，出口CA。外箱最长边不能超过25"    （超过了，case  pack只能为1），不符合要求的大货，   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 邮包盒上要印刷日期码</t>
  </si>
  <si>
    <t>78NOWXCX</t>
  </si>
  <si>
    <t>4500209115-230</t>
  </si>
  <si>
    <t>ZMPO260813</t>
  </si>
  <si>
    <t>ZMPO260813-10</t>
  </si>
  <si>
    <t>5个满PDQ(即40PCS)</t>
  </si>
  <si>
    <t>Remark；3L包装，UPC码，跟PO  4500204873的货一样；备注：收到样品订单后尽快安排 ，注意样板品质质量要求要高于大货品质要求 ，送货时必须要附带送货单(没有送货单和QC检验合格报告的仓库一律拒绝收货)，请知悉，谢谢！</t>
  </si>
  <si>
    <t>10001927199-0581</t>
  </si>
  <si>
    <t>4500211294-20</t>
  </si>
  <si>
    <t>6/25 确认</t>
  </si>
  <si>
    <t>7/3 寄出外箱条码箱贴纸贴纸</t>
  </si>
  <si>
    <t>4500207832拆单，数量不变</t>
  </si>
  <si>
    <t>日期码格式：ZURU INC(BVI) 标准格式                  日期：按实际生产日期
Packaging Info:
77794UQ1：产品包装 MA 1L黑白警告语说明书+MA 1L 彩盒+MA 1L PDQ+锂电池标签纸
Remark: 此单是先前订单4500207832删单后重下。
77794UQ1：
1.77794UQ1-S002-MINI BRANDS-VINYL-PLAYSET-SERIES 1-CUBE,8PCS/PDQ,8PCS/PDQ/CTN;
2. 产品包装 MA 1L黑白警告语说明书+MA 1L 彩盒+MA 1L PDQ; 彩盒上的UPC显示193052090409;
3. 外箱正唛左上角位置粘贴条码箱贴纸，每箱只贴一张，由ZURU订购。来料贴纸上显示的客户DPCI# 086-02-4085, UPC显示10193052090406;
 4. 带锂电池出货，需在外箱正面或者侧面合适位置上加贴一张贴锂电池标签纸，由工厂订购
以上Items：
 1. 产品和包装上均要印刷tracking code信息，格式为ZURU常规格式；
 2. 需要我司QC验货之后才能安排出货
 3. 出货方式：  货代自提</t>
  </si>
  <si>
    <t>4500209903-70</t>
  </si>
  <si>
    <t>日期码格式：ZURU INC(BVI) 标准格式 日期：按实际生产日期
Packaging Info: 
77794UQ1：MA 3L PDQ包装+MA 3L EAN包装+ UPC 贴纸+进口商贴纸+保证书+箱唛
Remark: 1. 此单有监柜，每款请多备1pc样板用于监装</t>
  </si>
  <si>
    <t>4500207643</t>
  </si>
  <si>
    <t>6040006</t>
  </si>
  <si>
    <t>4500207643-60</t>
  </si>
  <si>
    <t>客户有监装要求，每款需要多备1pc监柜样板用于监装，监柜样板要和大货一致</t>
  </si>
  <si>
    <t>6/30进口商贴纸+条码贴纸</t>
  </si>
  <si>
    <t>日期码格式：ZURU INC(BVI) 标准格式                  日期：按实际生产日期
Packaging Info:
77794UQ1:MA PDQ包装+MA 3L EAN包装(+UPC 条码贴纸)+进口商贴纸+箱唛
Remark: 客户有监装要求，每款需要多备1pc监柜样板用于监装，监柜样板要和大货一致</t>
  </si>
  <si>
    <t>ZMPO260684-20</t>
  </si>
  <si>
    <t>Remark
77794 唱片机  需要把里面的唱片换成如图 
备注： 收到样品订单后尽快安排 ，谢谢！</t>
  </si>
  <si>
    <t>ZMPO260684-30</t>
  </si>
  <si>
    <t>4500202236</t>
  </si>
  <si>
    <t>4500202236-10</t>
  </si>
  <si>
    <t>4/20 提供资料，外箱直接消耗Toyzonna 取消订单PO#4500194882，需加水贴纸返工</t>
  </si>
  <si>
    <t>日期码格式：ZURU INC(BVI) 标准格式 日期：按实际生产日期
Packaging Info:
此单77794UQ1外箱直接消耗Toyzonna 取消订单PO#4500194882，需加水贴纸返工。
77794UQ1: MA PKG , 优先1L , MA 1L PDQ ,MA 说明书，(无需澳新锂电池说明书）
Remark:</t>
  </si>
  <si>
    <t>4500203225</t>
  </si>
  <si>
    <t>4500203225-10</t>
  </si>
  <si>
    <t>日期码格式：ZURU INC(BVI) 标准格式 日期：按实际生产日期
Packaging Info: 1.优先多语 MA UPC或者3L/5L MA EAN 包装
2.请确保包装上的条形码是UPC，如果是babyUPC、需要用mother UPC覆盖，如有不一致，请及时提出。谢谢!
77794UQ1 MA多语EAN包装+UPC贴纸+MA 多语说明书+MA多语收藏指南+MA 多语PDQ +箱唛
Remark: 77794UQ1 RECHARGEABLE LITHIUM BATTERY(INCLUDED)</t>
  </si>
  <si>
    <t>4500209865-40</t>
  </si>
  <si>
    <t>WEEE_带电池走货 _ 说明书欧洲EN+29L</t>
  </si>
  <si>
    <t>日期码格式：ZURU INC(BVI) 标准格式                  日期：按实际生产日期
Packaging Info: 
77794UQ1:MA A3L EAN包装+MA 23L Game说明书+MA 23L锂电池警告语说明书+MA 23L警告语说明书+WEEE_带电池走货 _ 说明书欧洲EN+29L 最新版+MA 3L PDQ
Remark: 1.产品和包装要求无硼无香，包装不能含有PVC，玩具成分不能含有石棉
2.如有微塑料，必须合规欧洲标准，并增加微塑料合规IFUD声明在说明书上
3.带电池出货的产品，所用到的电池需要符合欧洲电池新规(EU)2023-1542，并增加
对应WEEE 说明书</t>
  </si>
  <si>
    <t>4500203228</t>
  </si>
  <si>
    <t>4500203228-10</t>
  </si>
  <si>
    <t xml:space="preserve">日期码格式：ZURU INC(BVI) 标准格式 日期：按实际生产日期
Packaging Info: 1.优先多语 MA UPC或者3L/5L MA EAN 包装
2.请确保包装上的条形码是UPC，如果是babyUPC、需要用mother UPC覆盖，如有不一致，请及时提出。谢谢!
 77794UQ1 MA多语EAN包装+UPC贴纸+MA 多语说明书+MA多语收藏指南+MA 多语PDQ +箱唛
 77772GQ2:MA多语EAN包装+UPC贴纸+MA 多语说明书+MA多语收藏指南+MA 多语PDQ +箱唛
 77843GQ2 MA多语EAN包装+UPC贴纸+MA 多语说明书+MA多语收藏指南+MA 多语PDQ +箱唛
 9574 MA 多语EAN 包装+UPC贴纸+MA 多语收藏指南+箱唛
 15760UQ1 MA多语UPC+mother UPC:193052087874贴纸+MA 多语PDQ+箱唛
Remark: 77794UQ1 RECHARGEABLE LITHIUM BATTERY(INCLUDED)
 77772GQ2 N/A but with electric circuit(EU/UK WEEE IM is required) 4 mini vinyls,1 accessory
 77843GQ2 SUSHI and RAINBOW CAKE(Rare) without batteries, other assortments: 3PCS AG13 BATTERIES(INCLUDED) Ratio: PIZZA: HAMBURGER: PANCAKES: BUB
 BLE TEA: Matcha TEA: TACO: SUSHI: DONUT: Charcuterie Board: RAINBOW CAKE(Rare)=10.88%: 10.88%: 10.88%: 10.88%: 10.88%: 10.88%: 10.88%: 10.88%:
 10.88%: 2.08%=68:68:68:68:68:68:68:68:68:13
 9574 3PCS AAA BATTERIES(NOT INCLUDED) 2pcs baby capybara: 3pcs baby capybara= 5:1
 15760UQ1 old ratio: 10 Assortment even ratio; new ratio(CRD:2026/7/10, remove 15760G &lt;(&gt;&amp;&lt;)&gt; 15760L) 8 assortments=A: B: D: E: H: J: K: M=12.5
%:12.5%:12.5%:12.5%:12.5%:12.5%:12.5%:12.5% </t>
  </si>
  <si>
    <t>4500203233</t>
  </si>
  <si>
    <t>4500203233-10</t>
  </si>
  <si>
    <t>4500204208</t>
  </si>
  <si>
    <t>2809370</t>
  </si>
  <si>
    <t>4500204208-10</t>
  </si>
  <si>
    <t>4/29 确认</t>
  </si>
  <si>
    <t>WEEE 30L C 带电池说明书+锂电池欧洲澳新 62115警语--单独说明书</t>
  </si>
  <si>
    <t>日期码格式：ZURU INC(BVI) 标准格式                  日期：按实际生产日期
Packaging Info: 77794UQ1: MA UPC 1L+MA PDQ(含锂电池，外箱+logo）+WEEE 30L C 带电池说明书+锂电池欧洲澳新 62115警语--单独说明书
Remark: *胶带最少宽度要保证6.0CM,厚度最少0.05毫米,外箱不可以打钉/扎带；以工字型封箱；
 *如果重量超过5KGS，箱唛需加黄色警示图标志 ，有疑问请与ZURU跟单同事联系,十分重要！
 *订单出英国，请注意检查产品及包装应带CE/UKCA图标，包装需要显示ZURU UK LTD/ZURU France地址信息，QC同事请查核，如有问题与跟单确认。
 *生产日期按实际的（法定工作日），按ZURU标准格式即可 ，但是请知悉包装日期码需要早于或者等于外箱日期码 ，不能晚于外箱日期码
 *请注意所有订单都需要经过ZURU QC验货并且通过后方可出货
 *产品条码以订单显示为准 ，请安排生产前先核对再生产。
 *外箱上的条码请确保清晰可扫描 ，左上角的条码格式是UPC-A格式，下面14位数的条码格式是ITF-14格式，否则到目的仓无法扫描入仓由工厂承担责任 。
 *所有产品按符合欧洲标准走货，微塑料需合规，微塑料增加IFUD声明 。
 *涉及到硼的，需要符合欧洲标准
 *客户不接受PVC材质，不接受石棉用于玩具
 *电动玩具要加WEEE 欧洲 电池说明书</t>
  </si>
  <si>
    <t>4500204097</t>
  </si>
  <si>
    <t>5200009695</t>
  </si>
  <si>
    <t>4500204097-10</t>
  </si>
  <si>
    <t>日期码格式：ZURU INC(BVI) 标准格式 日期：按实际生产日期
Packaging Info: 77794UQ1: MA 3L PDQ+MA 3L EAN 彩盒+1*多语警语折叠贴纸(翻单4500192187）+23L玩法说明书+23L警语说明书+23L锂电池警语说明书+最新D版WEEE带
电说明书
请注意：77794含锂电池，需在外箱贴一张含锂电池贴纸。
Remark: 1.德国内销单，需要通过ZURU 验货结果后才能出货 (工厂需要主动提前同ZURU QC预约验货避免延期出货造成不必要麻烦)；
2.产品如含有化学品（slime 等），需要无硼无香。需要无微塑料版本。
3.所有出口欧洲的产品, 法规规定禁止在包装和共公众用的印刷品中使用矿物油中含有的物质, 包装印刷油墨中含有的MOAH/MOSH的质量浓度不能超过1%, 否则出货
到法国被抽检出现问题, 供应商需要对此负责;
4. date code: 外箱日期码要晚于或等于产品日期码，不能早于产品的日期码；
5. 所有出往德国的电子产品身上需要加字唛，为ZURU FRANCE 地址，需跟包装上的地址一致 (如无电子产品，产品布标有此地址，或产品太小无法增加可忽略此信
息。如产品无法加字唛，需让对应跟单提供产品贴纸资料)
新地址：ZURU France 33 rue Paul Meurice 75020 Paris, France
旧地址：ZURU France 1/3, Rue d'Argenteuil 95210 SAINT-GRATIEN, FRANCE
6.所有出往德国订单的电子产品需增加一张最新版本的欧洲通用WEEE声明说明书，区分带电池和不带电池版本, 如已做客版说明书可忽略此要求。
7.装柜时需要按照款式号码从小到大一款款依次装,避免终端仓库卸货混乱.若一个柜子涉及到几个不同国家内销单,装柜时需要一个国家装完后再装另一个国家的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8.ratio 同MA
9. 若有特定款有特殊外箱条码要求时,需要明确列出产品款对应的具体外箱条码号码/条码类型 (若无,可以忽略此需求).</t>
  </si>
  <si>
    <t>4500204312</t>
  </si>
  <si>
    <t>804370</t>
  </si>
  <si>
    <t>4500204312-10</t>
  </si>
  <si>
    <t>5/11 寄出客户价格贴纸（覆盖掉原来的EAN#条形码）</t>
  </si>
  <si>
    <t>日期码格式：ZURU INC(BVI) 标准格式                  日期：按实际生产日期
Packaging Info: 1.Claire's 这个客户在US+CA出售，所有的产品图稿包括配件必须是多语（务必要有英法语），无硼版本，符合加拿大市场要求，包装MA 2L/3L +客户价格贴纸（覆
盖掉原来的EAN#条形码）
2. 客人指定箱唛排版
3.要加客供价格贴纸，务必覆盖掉原本的EAN
Remark: 1.出货前 Zuru QC 验货
2.价格贴纸需覆盖收缩膜上的EAN,贴大货之前先贴一个给跟单确认位置图
3. 每款寄一套给到SZ办公室（PDQ的话就寄一整个PDQ），样板上加客供价格贴纸覆盖掉原来的EAN再寄过来</t>
  </si>
  <si>
    <t>ZB07225-8.17</t>
  </si>
  <si>
    <t>4500208897</t>
  </si>
  <si>
    <t>5200009787</t>
  </si>
  <si>
    <t>4500208897-10</t>
  </si>
  <si>
    <t>日期码格式：ZURU INC(BVI) 标准格式                  日期：按实际生产日期
Packaging Info: "77794UQ1:  MA 3L PDQ+MA 3L EAN 彩盒+1*多语警语折叠贴纸(翻单4500192187）+23L玩法说明书+23L警语说明书+23L锂电池警语说明书+最新D版WEEE带电说明书
请注意：77794含锂电池，需在外箱贴一张含锂电池贴纸。"
Remark: 1.波兰内销单，需要通过ZURU 验货结果后才能出货 (工厂需要主动提前同ZURU QC预约验货避免延期出货造成不必要麻烦)；
 2. 产品如含有化学品，需要无硼无香；无微塑料，如果产品含有Slime、泥、沙子，需要增加一张MTS PO SLIME, DOUGH, SAND 化学品警语多语说明书；
 3. 若有特定款有特殊外箱条码要求时,需要明确列出产品款对应的具体外箱条码号码/条码类型 (若无,可以忽略此需求)；
4.所有出口欧洲的产品, 法规规定禁止在包装和共公众用的印刷品中使用矿物油中含有的物质, 包装印刷油墨中含有的MOAH/MOSH的质量浓度不能超过1%, 否则出货
到法国被抽检出现问题, 供应商需要对此负责;
 5. date code: 外箱日期码要晚于或等于产品日期码，不能早于产品的日期码；
 6. 所有出往波兰的电子产品身上需要加字唛，为ZURU FRANCE 地址，需跟包装上的地址一致 (如无电子产品，产品布标有此地址，或产品太小无法增加可忽略此信
息。如产品无法加字唛，需让对应跟单提供产品贴纸资料)
新地址：ZURU France 33 rue Paul Meurice 75020 Paris, France
旧地址：ZURU France 1/3, Rue d'Argenteuil 95210 SAINT-GRATIEN, FRANCE
 7.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8. 所有出往波兰订单的电子产品需增加一张最新版本的欧洲通用WEEE声明说明书，区分带电池和不带电池版本, 如已做客版说明书可忽略此要求。</t>
  </si>
  <si>
    <t>10001927200-0581</t>
  </si>
  <si>
    <t>4500211701-10</t>
  </si>
  <si>
    <t>7/3外箱条码箱贴纸贴纸</t>
  </si>
  <si>
    <t>日期码格式：ZURU INC(BVI) 标准格式                  日期：按实际生产日期
Packaging Info: 产品包装 MA 23L黑白警告语说明书+MA 1L 彩盒+MA 1L PDQ+锂电池标签纸
Remark: 1.77794UQ1-S002-MINI BRANDS-VINYL-PLAYSET-SERIES 1-CUBE,8PCS/PDQ,8PCS/PDQ/CTN;
 2. 产品包装 MA 23L黑白警告语说明书+MA 1L 彩盒+MA 1L PDQ; 彩盒上的UPC显示193052090409;
 3. 外箱正唛左上角位置粘贴条码箱贴纸，每箱只贴一张，由ZURU订购。来料贴纸上显示的客户DPCI# 086-02-4085, UPC显示10193052090406;
 4. 带锂电池出货，需在外箱正面或者侧面合适位置上加贴一张贴锂电池标签纸，由工厂订购；
 5. 产品和包装上均要印刷tracking code信息，格式为ZURU常规格式；
 6. 需要我司QC验货之后才能安排出货
 7. 出货方式：  货代自提</t>
  </si>
  <si>
    <t>ZB07309-8.17</t>
  </si>
  <si>
    <t>多语警语折叠贴纸（翻单4500193875）</t>
  </si>
  <si>
    <t>日期码格式：ZURU INC(BVI) 标准格式                  日期：按实际生产日期
Packaging Info: MA展示架+子件：
77794: MA 3L EAN收缩膜+1*多语警语折叠贴纸(翻单4500192187）+23L玩法说明书+23L警语说明书+23L锂电池警语说明书+最新版D版WEEE带电说明书
77772: MA 3L EAN收缩膜+1*多语警语折叠贴纸（翻单4500193875）
77794含锂电池，需在外箱贴一张含锂电池贴纸。
Remark: 1.德国内销单，需要通过ZURU 验货结果后才能出货 (工厂需要主动提前同ZURU QC预约验货避免延期出货造成不必要麻烦)；
2.产品如含有化学品（slime 等），需要无硼无香。需要无微塑料版本。
3.所有出口欧洲的产品, 法规规定禁止在包装和共公众用的印刷品中使用矿物油中含有的物质, 包装印刷油墨中含有的MOAH/MOSH的质量浓度不能超过1%, 否则出货
到法国被抽检出现问题, 供应商需要对此负责;
 4. date code: 外箱日期码要晚于或等于产品日期码，不能早于产品的日期码；
 5. 所有出往德国的电子产品身上需要加字唛，为ZURU FRANCE 地址，需跟包装上的地址一致 (如无电子产品，产品布标有此地址，或产品太小无法增加可忽略此信
息。如产品无法加字唛，需让对应跟单提供产品贴纸资料)
新地址：ZURU France 33 rue Paul Meurice 75020 Paris, France
旧地址：ZURU France 1/3, Rue d'Argenteuil 95210 SAINT-GRATIEN, FRANCE
6.所有出往德国订单的电子产品需增加一张最新版本的欧洲通用WEEE声明说明书，区分带电池和不带电池版本, 如已做客版说明书可忽略此要求。
7.装柜时需要按照款式号码从小到大一款款依次装,避免终端仓库卸货混乱.若一个柜子涉及到几个不同国家内销单,装柜时需要一个国家装完后再装另一个国家的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8.ratio 同MA
9. 若有特定款有特殊外箱条码要求时,需要明确列出产品款对应的具体外箱条码号码/条码类型 (若无,可以忽略此需求).</t>
  </si>
  <si>
    <t>4500204814</t>
  </si>
  <si>
    <t>4500204814-20</t>
  </si>
  <si>
    <t>4500202935</t>
  </si>
  <si>
    <t>4500202935-80</t>
  </si>
  <si>
    <t>4500206123</t>
  </si>
  <si>
    <t>4500206123-10</t>
  </si>
  <si>
    <t>6/5 警告语贴纸翻+D版WEEE带电池出货说明书+锂电池外箱贴纸+欧洲澳新通用Warning instruction</t>
  </si>
  <si>
    <t>日期码格式： ZURU INC(BVI) 标准格式 日期：按实际生产日期
Packaging Info: 77794UQ1:3L MA包装+警告语贴纸+D版WEEE带电池出货说明书+锂电池外箱贴纸+欧洲澳新通用Warning instruction
Remark: 1. STD配比
2. 出欧洲，微塑料需合规（如item本身不含微塑料 则忽略此要求）</t>
  </si>
  <si>
    <t>4500208194</t>
  </si>
  <si>
    <t>4500208194-30</t>
  </si>
  <si>
    <t>日期码格式：ZURU INC(BVI) 标准格式                  日期：按实际生产日期
Packaging Info: 
其他items: MA UPC优先1L最新版，出口美国
Remark: 2、无测试无验货要求
 3、纸箱4面印ZURU LOGO + 箱唛
 4、日期码请按ZURU标准版执行即可
 5、ZURU QC验货</t>
  </si>
  <si>
    <t>4500208194-100</t>
  </si>
  <si>
    <t>4500208194-170</t>
  </si>
  <si>
    <t>4500211229-60</t>
  </si>
  <si>
    <t>日期码格式：ZURU INC(BVI) 标准格式                  日期：按实际生产日期
Packaging Info: 
77794UQ1: 最新MA 3L底座/纸卡/贴纸+MA 23L游戏说明书+MA 23L锂电池说明书+MA 23L警示说明书+MA PDQ (优先多语)
EAN#4894680051430
RECHARGEABLE LITHIUM BATTERY(INCLUDED)
*外箱需加一张UN3481锂电池运输标签*
Remark: Smyths 法国
 1. 请准时出货，推期会有罚款；
 2. 所有产品按符合欧洲标准走货，需要是不含微塑料版本。
 3. 电子产品需增加一张WEEE声明29L通用黑白说明书，区分带电池(D版)和不带电池(C版)出货版本, 如已做带WEEE声明的客版说明书可忽略此要求；如包装备注上
缺少此部分信息，请提醒跟单更新备注。
 4. 出口法国的产品, 法规规定禁止在包装和共公众用的印刷品中使用矿物油中含有的物质, 包装印刷油墨中含有的MOAH/MOSH的质量浓度不能超过0.1%, 否则出货
到法国被抽检出现问题, 供应商需要对此负责;
5.订单备注显示有分批的(不同仓库/订单号), 一定要区分客户订单号做货出货，否则会导致罚款  。
6.包装日期码按ZURU格式即可，请确保不迟于外箱日期码，可等于或者早于外箱日期码，必须为法定工作日。
7.做货前请先复核包装条码与订单是否一致再安排，对不上的需与ZURU跟单确认再安排。
8.包装必须含法国回收标(Sorting Label)，如没有，请提醒跟单提供贴纸资料。</t>
  </si>
  <si>
    <t>4500211229-80</t>
  </si>
  <si>
    <t>77896SLT-77794-S003</t>
  </si>
  <si>
    <t>原PO#4500209282更新了PO号为4500216779,抽板时间按7/24, 第三方验货8/10</t>
  </si>
  <si>
    <t>4500204906</t>
  </si>
  <si>
    <t>4500204906-20</t>
  </si>
  <si>
    <t>进口商贴纸/UPC贴纸翻单PO#4500200614
Remark:</t>
  </si>
  <si>
    <t>日期码格式：ZURU INC(BVI) 标准格式 日期：按实际生产日期
Packaging Info:
77794UQ1: MA 多语包装+进口商贴纸+UPC贴纸+箱唛, 进口商贴纸/UPC贴纸翻单PO#4500200614
Remark:</t>
  </si>
  <si>
    <t>4500208339</t>
  </si>
  <si>
    <t>62116844</t>
  </si>
  <si>
    <t>4500208339-20</t>
  </si>
  <si>
    <t>进口商贴纸/UPC贴纸/保证书翻单PO4500202901，7/10 寄出客供价标贴纸</t>
  </si>
  <si>
    <t>日期码格式：ZURU  INC(BVI)  标准格式                                    日期：按实际生产日期
Packaging Info:77794UQ1:MA  多语包装+进口商贴纸+UPC贴纸+价标贴纸+保证书+箱唛，包装/说明书都需要贴一张进口商贴纸,进口商贴纸/UPC贴纸/保证书翻单PO4500202901
Remark: 1.此单价格贴纸（ZURU定购).-无位置图，价标贴纸贴于产品背面右上角空白处（不遮挡西班牙语处），如有特殊情况，请重新确认位置图。
2.此单有第三方监柜，不用额外准备备品，会在大货中每款拆1pc，拆了包装的产品会由监装员用客供胶带封好或在外箱上写上""opened  by  telescope”</t>
  </si>
  <si>
    <t>4500212499</t>
  </si>
  <si>
    <t>4500212499-10</t>
  </si>
  <si>
    <t>7/8客户进口商贴纸+WEEE带电池走货欧洲29L通用黑白说明书；</t>
  </si>
  <si>
    <t>日期码格式：ZURU INC(BVI) 标准格式 日期：按实际生产日期
Packaging Info: 77794UQ1： 最新MA 3L EAN包装+一张客户进口商贴纸+1张EAN条码贴纸（4894680069688）+MA 说明书+WEEE带电池走货欧洲29L通用黑白说明书； 最新MA 3L PDQ
Remark: 1.此单有第三方验货，请多备料。
2. 此单出葡萄牙，需满足EU测试标准，微塑料需符合法规。
product 产品上的标识：重要
从现在起，所有订单中的玩具都必须带有 CE 和 CMIM 标志。对于电动/电子玩具，除了 CE 和 CMIM 标志外，还必须带有 WEEE 标志。
所有这些标志都必须直接刻在或印在产品上（不接受贴纸形式）。
包装材料：重要
1. 包装材料中禁止使用 PVC 和 PS/EPS；
2. 不允许使用多材料包装（如金属和塑料袋），并且艺术品的纸张不得有塑料涂层或贴膜；
3. 只有在没有其他选择的情况下才允许使用 ABS、TPU 和尼龙，且仅限于小针扣或绳子；
Polybag：如果订单中的任何物品用Polybag包装，请确保袋子上有含如下PT 警告语。
EN ：WARNING: Plastic bags can be dangerous! To avoid danger of suffocation, keep this plastic bag away from babies and children!
PT ：ATEN O: Os sacos de plástico podem ser perigosos! Para evitar o risco de asfixia mantenha este saco de plástico fora do alcance de bebé
s e crian as!</t>
  </si>
  <si>
    <t>2950868469</t>
  </si>
  <si>
    <t>4500204111-50</t>
  </si>
  <si>
    <t>29L带电池出货D版WEEE说明书+加欧洲澳新通用Warning instruction</t>
  </si>
  <si>
    <t>085060</t>
  </si>
  <si>
    <t>4500204227-100</t>
  </si>
  <si>
    <t>6/4进口商贴纸（含客户条码）</t>
  </si>
  <si>
    <t>客户日期码为ZUR6208 包装/外箱请保持一致。</t>
  </si>
  <si>
    <t>日期码格式：ZUR6166 ZUR6208 日期：
Packaging Info: 
77794UQ1:MA 1L 包装+进口商贴纸（含客户条码）+1L PDQ+23L说明书
工厂日期码 产品/包装/外箱请保持一致。
CRD 6/15,客户日期码: ZUR6166 包装/外箱请保持一致。
CRD 7/27,客户日期码为ZUR6208 包装/外箱请保持一致。
以下数量大货版请寄到如下地址：
1.77843GQ2：2套大货版带PDQ
2.77772GQ2: 2套大货版带PDQ
3.77773GQ2: 2套大货版带PDQ
4.77858: 4PCS 大货样
5.77711GQ2：2套大货版带PDQ
6.77673TQ1：2套大货版带PDQ
7.92146TQ1: 2套大货版带PDQ
8.92147: 6PCS 随机成品
9.92129TQ1：2套大货版带PDQ
10.77794UQ1 2套大货版带PDQ
Attn: Sylvia Li
Company name: GP Services HK Limited
Company address: Suite 1502, 15th Floor, Chinachem Golden Plaza, 77 Mody Road, TST East, Kowloon, Hong Kong
Company address (Chinese): 香港九龍尖沙咀東部麼地道77號華懋廣場1502室
Contact Tel: +852 2739 5363
Remark: 77843GQ2:Ratio: PIZZA: HAMBURGER: PANCAKES: BUBBLE TEA: Matcha TEA: TACO: SUSHI: DONUT: Charcuterie Board: RAINBOW CAKE(Rare)=10.88%: 10.88%: 1
0.88%: 10.88%: 10.88%: 10.88%: 10.88%: 10.88%: 10.88%: 2.08%=68:68:68:68:68:68:68:68:68:13
77772GQ2:WITH 4PCS DEMO/PDQ
77773GQ2:WITH 4PCS DEMO/PDQ
77711GQ2:With 4pcs demo(14.6G)/PDQ
77673TQ1:Fixed Collection
92146TQ1:Cat:Raccoon:Deer:Tiger:Pigeon:Owl=1:1:1:1:1:1
92147:Black Cat:Owl:Axolotl:Unicorn:Bat:Bunny=1:1:1:1:1:1</t>
  </si>
  <si>
    <t>4500205542</t>
  </si>
  <si>
    <t>01789884</t>
  </si>
  <si>
    <t>4500205542-10</t>
  </si>
  <si>
    <t>5/12 确认</t>
  </si>
  <si>
    <t>UPC贴纸 UPC贴纸翻单4500200234</t>
  </si>
  <si>
    <t>日期码格式：ZURU INC(BVI) 标准格式                  日期：按实际生产日期
Packaging Info: 77794UQ1: MA 3L 加UPC贴纸 UPC贴纸翻单4500200234
Remark: 出加拿大
Zuru验货. 日期跟踪码：产品外包装及产品本身都必须有日期跟踪码，ZURU标准格式日期码</t>
  </si>
  <si>
    <t>4500207257</t>
  </si>
  <si>
    <t>4500207257-40</t>
  </si>
  <si>
    <t>8/6截si</t>
  </si>
  <si>
    <t>6/24进口商贴纸+PDQ贴纸</t>
  </si>
  <si>
    <t>日期码格式：ZURU INC(BVI) 标准格式                  日期：按实际生产日期
Packaging Info: 
77794UQ1：最新MA 3L EAN彩盒 + MA23L 电池warning说明书+MA23L 电池使用说明书+ MA23L产品使用说明书+ MA3L PDQ+ 进口商贴纸+PDQ贴纸
Remark: 1. 此单出意大利，需要满足EU标准，通过ZURU验货, 并提供客户照片确认后才可放货。
 2. 产品均符合EU微塑料法规要求：不能含有微塑料/闪粉符合欧规，BOB系列要符合欧洲要求不含亚硝酸版本; XShot Hyper系列，统一出EN71版本。
 3,  SMASHERS 或含Slime产品，所有化合物使用无硼或低硼版本出意大利。
4, 带电池产品需要带上最新WEEE欧洲通用29L电池回收说明书。
5, 意大利订单包装彩卡请确保含法规要求的环保回收logo和意大利语警语，如果说明书有使用方式，需要有意大利语使用说明。
6, 电池产品请确保使用新说明书以及新标识的电池以符合最新(EU) 2023/1542法规  （增加制造商信息，电池种类，制造商地址，电池重量，化学组成，可用的灭
火器，浓度重量占比&gt;0.1%的关键原材料，二维码），如果电池不含这些信息，也需要确保电池说明书含这些信息。</t>
  </si>
  <si>
    <t>4500206232-100</t>
  </si>
  <si>
    <t>EAN 条码贴纸+德语callout警语贴纸(翻单#4500204869)+欧洲通用29L WEEE说明书(带电池)</t>
  </si>
  <si>
    <t>日期码格式：ZURU INC(BVI) 标准格式                  日期：按实际生产日期
Packaging Info: 
77794: 最新MA 1L UPC彩盒+EAN 条码贴纸+德语callout警语贴纸(翻单#4500204869)+MA23L 玩法说明书/锂电池说明书/警语说明书+欧洲通用29L WEEE说明书(带电
池)
Remark: 1. 出口欧洲，微塑料需符合法规，电池符合欧洲法规要求(如有)
 2. 此客户要求：化学品无硼无香。
 3. 外箱上下需加保护卡，以防开箱时产品被划破。（保护卡需要时整面）
 4. 此单在出货前4周提供大货样品给Rossmann德国客人安排第三方验货。  请备额外物料。
 5. 此单需要第三方验货，验货时间为完货后第二天，验货OK待客人放货后才能安排走货。
 6. 所有包装材料都需要用PET材质。
 7. 每箱需要放一包干燥剂（不能是silicon) 。品牌SUPER DRY，规格：10g/pc 。
 8. 外箱需要是5层瓦楞纸，厚度在5-9mm。
 9. 此单出德国，需包含德语警语
 10. 标准配比
 11. 所有出往GAS市场(德国/奥地利/瑞士)的电子产品身上需要加字唛，为ZURU FRANCE 地址，需跟包装上的地址一致 (如无电子产品，产品布标有此地址，或产品
太小无法增加可忽略此信息。如产品无法加字唛，需让对应跟单提供产品贴纸资料)
新地址：ZURU France 33 rue Paul Meurice 75020 Paris, France
旧地址：ZURU France 1/3, Rue d'Argenteuil 95210 SAINT-GRATIEN, FRANCE
12. 所有出往GAS市场(德国/奥地利/瑞士)的电子产品需增加一张欧洲通用WEEE声明说明书，区分带电池和不带电池版本, 如已做客版说明书可忽略此要求。"</t>
  </si>
  <si>
    <t>10001883822-0581</t>
  </si>
  <si>
    <t>4500211710-10</t>
  </si>
  <si>
    <t>7/1 确认</t>
  </si>
  <si>
    <t>7/9外箱条码箱贴纸贴纸</t>
  </si>
  <si>
    <t>4500210889-110</t>
  </si>
  <si>
    <t>6/24客户进口商贴纸+WEEE带电池走货欧洲29L通用黑白说明书</t>
  </si>
  <si>
    <t>日期码格式：ZURU  INC(BVI)  标准格式                                    日期：按实际生产日期
Packaging Info: 
77794UQ1：       最新MA  3L  EAN包装+一张客户进口商贴纸+MA  说明书+WEEE带电池走货欧洲29L通用黑白说明书；     最新MA  3L  PDQ
Remark: 1.  此单出西班牙，需满足EU测试标准要求，另外微塑料需符合EU法规；
   2.  标准配比；
3.根据新电池法规（EU）    2023/1542，所有走欧洲市场的电子产品，都需要增加WEEE通用29L说明书（分带电池走货和不带电池走货两种），如工厂没有此文件，可
以找跟单提供；
4.  产品及包装需要印CE  logo图标，包装需含有西班牙环保标  和care@zuru.com  邮箱地址，     另外，包装贴纸上面的警告语不可以覆盖西班牙警告语。QC同事请核
查，如有问题需和跟单确认
5.毛绒玩具需要西班牙语言的洗涤说明；
6.此单需要准备两套大货样，在CRD前安排寄出；</t>
  </si>
  <si>
    <t>4500203837-20</t>
  </si>
  <si>
    <t>D版WEEE带电池出货说明书+锂电池外箱贴纸+欧洲澳新通用Warning instruction+6/11款号条码贴纸+警告语贴纸</t>
  </si>
  <si>
    <t>日期码格式：ZURU INC(BVI) 标准格式 日期：按实际生产日期
Packaging Info: 
77794UQ1:3L MA包装+D版WEEE带电池出货说明书+锂电池外箱贴纸+欧洲澳新通用Warning instruction+款号条码贴纸+警告语贴纸
Remark: 1. STD配比
2. 出欧洲，微塑料需合规（如item本身不含微塑料 则忽略此要求）</t>
  </si>
  <si>
    <t>4500206279</t>
  </si>
  <si>
    <t>4500056451</t>
  </si>
  <si>
    <t>4500206279-40</t>
  </si>
  <si>
    <t>日期码格式：ZURU INC(BVI) 标准格式                  日期：按实际生产日期
Packaging Info: 1. 出口美国，MA UPC 版本包装，优先1L。
77794UQ1, UPC:193052090409, 内含可充电锂电池。
Remark: 3. ZURU QC 验货即可。</t>
  </si>
  <si>
    <t>4500208804</t>
  </si>
  <si>
    <t>15445</t>
  </si>
  <si>
    <t>4500208804-20</t>
  </si>
  <si>
    <t>8/3截SI</t>
  </si>
  <si>
    <t>WEEE 30L 带电池说明书 C+锂电池欧洲澳新 62115警语--单独说明书+PDQ 底部贴纸-35063389172337</t>
  </si>
  <si>
    <t>日期码格式：ZURU INC(BVI) 标准格式                  日期：按实际生产日期
Packaging Info:77794UQ1: MA UPC 1L（193052090409）+MA PDQ(含锂电池，外箱+logo)+WEEE 30L 带电池说明书 C+锂电池欧洲澳新 62115警语--单独说明书+PDQ 底部贴纸-350633
89172337
Remark: 1.订单出英国，请注意检查产品及包装应带CE/UKCA图标，包装需要显示ZURU UKLTD/ZURU France地址信息，QC同事请查核，如有问题与跟单确认。
2.生产日期按实际的（法定工作日），按ZURU标准格式即可，并需要在出货前提供每个产品外包上对应的生产日期明细
3.请注意所有订单都需要经过ZURU QC验货加提供客版自检报告审核且通过后方可出货
4.不接受一个款有多个条码，存在这个情况请让ZURU提供条码贴纸
5.外箱上的条码请确保清晰可扫描，有PDQ，需要在PDQ底部贴一张带条码并可扫描的贴纸(ZURU 跟单提供模板）。
6.所有产品按符合欧洲标准走货，微塑料需合规并增加IFUD声明，含电池的需要增加WEEE说明书。
7.请额外准备一套大货样</t>
  </si>
  <si>
    <t>4500208899</t>
  </si>
  <si>
    <t>5200009851</t>
  </si>
  <si>
    <t>4500208899-10</t>
  </si>
  <si>
    <t>多语警语折叠贴纸(翻单4500192187）+最新版D版WEEE带电说明书</t>
  </si>
  <si>
    <t>4500208952</t>
  </si>
  <si>
    <t>117569340</t>
  </si>
  <si>
    <t>77869TQ1-77794-S001</t>
  </si>
  <si>
    <t>1pcs唱片机+2pcs球混装彩盒托盘装</t>
  </si>
  <si>
    <t>5/25 外箱需做双坑，外箱顶部需印有Box Certificate Stamp纸箱质量保证章，纸箱需满足最低强度要求为 200磅耐破强度或 32 ECT 边压强度等级。具体见箱唛资料</t>
  </si>
  <si>
    <t>日期码格式：ZURU INC(BVI) 标准格式                  日期：按实际生产日期
Packaging Info: 1L 客版UPC版本包装 + 客版PDQ
外箱需做双坑，外箱顶部需印有Box Certificate Stamp纸箱质量保证章，纸箱需满足最低强度要求为 200磅耐破强度或 32 ECT 边压强度等级。具体见箱唛资料
Remark: 1. 此款需在7/8前完成至少10%大货包装，7/9早上进行第三方实验室(暂定SGS)现场在大货中抽样去做测试
A. 抽板数量：由客人指定第三方实验室在大货中预计会随机抽取每款/每色各6套大货样(带包装)，现场进行密封后送去测试；
B. 如产品是盲盒款，还需额外准备光身办小公仔每款/每色 各3pcs + 足够的干油办同抽板样一并寄出；
备注：  抽完大货样板后 工厂需自行补充抽取的大货数量；另外，还需要再备多3套大货样板到时候寄给客户。所需的样板数量不包含在订单数量里，做货请预备好
这些样板数量。
 2. 此单需一个40GP装完，但需超过客户要求的最少立方数，40GP最少要50CBM，箱唛上体积数和实际要相符，如体积数和PO上有不一致，客人会有罚款。
 3. 产品和包装上的日期按照ZURU标准格式。
 4. 产品不含以下物质：
a. 不含任何的美国优先化学品priority chemicals；
b. 不含或者不超过美国缅因州的高度关注化学品Chemicals of High Concern清单中的最低水平(100mg/kg)；
c. 不含化学阻燃剂：TDCPP，TCEP，Antimony trioxide，HBCD，TBPH，TBB，SCCP，TCPP，Penta-BDE，Octa-BDE，TBBPA等。</t>
  </si>
  <si>
    <t>4500207265-80</t>
  </si>
  <si>
    <t>日期码格式：ZURU INC(BVI) 标准格式                  日期：按实际生产日期
Packaging Info:
77794UQ1：  MA 3L，加UPC贴纸，贴纸翻单4500207214
Remark: 出加拿大
每款产品都需要加进口商贴纸
Zuru验货. 日期跟踪码：产品外包装及产品本身都必须有日期跟踪码，ZURU标准格式日期码</t>
  </si>
  <si>
    <t>4500208144</t>
  </si>
  <si>
    <t>AG260026-HK</t>
  </si>
  <si>
    <t>4500208144-10</t>
  </si>
  <si>
    <t>6/15HK 客供警语贴纸( 底部贴1张HK 客供进口商警语贴纸和1张客供电池警语贴纸，说明书贴1张警语贴纸</t>
  </si>
  <si>
    <t>日期码格式：ZURU INC(BVI) 标准格式                  日期：按实际生产日期
Packaging Info: 此单出HK
77794UQ1:  MA 1L PKG ，PDQ , MA 收藏指南，说明书+3 张HK 客供警语贴纸( 底部贴1张HK 客供进口商警语贴纸和1张客供电池警语贴纸，说明书贴1张警语贴纸，
贴纸内容不一样，具体参考HK客供警语贴纸位置图）
Remark:</t>
  </si>
  <si>
    <t>4500205374</t>
  </si>
  <si>
    <t>4500205374-10</t>
  </si>
  <si>
    <t>日期码格式：ZURU INC(BVI) 标准格式                  日期：按实际生产日期
Packaging Info: MA PKG，  优先1L , MA 说明书&lt;(&gt;&amp;&lt;)&gt; 收藏指南，MA PDQ 优先1L
此单77794UQ1：2,000pcs,  请直接消耗4500194882 外箱 ，可接受手动更正外箱的总箱数
Remark：</t>
  </si>
  <si>
    <t>4500211476</t>
  </si>
  <si>
    <t>4400572875</t>
  </si>
  <si>
    <t>4500211476-50</t>
  </si>
  <si>
    <t>日期码格式：ZURU INC(BVI) 标准格式                  日期：按实际生产日期
Packaging Info: 
"77794UQ1: MA PDQ (优先多语)+客版5L(英法德意荷)底座/纸卡/贴纸(翻PO#4500200925) +MA 23L游戏说明书+MA 23L锂电池说明书+MA 23L警示说明书+D版WEEE声明
(带电池)走货欧洲通用29L说明书
EAN#4894680051430
RECHARGEABLE LITHIUM BATTERY(INCLUDED)
*外箱需加一张UN3481锂电池运输标签*
Remark: Smyths 德国
 1. 请准时出货，推期会有罚款；
 2. 所有产品按符合欧洲标准走货，需要是不含微塑料版本。
 3. 所有电子产品身上需要加字唛，为ZURU FRANCE 地址 (如无电子产品，产品布标有此地址，或产品太小无法增加可忽略此信息)，新地址ZURU FRANCE.33 rue Pa
 ul Meurice 75020 Paris, France.
 4. 包装/说明书(如有)/产品(如有)上的法国地址信息必须保持一致，不可出现包装上是新地址，说明书上是旧地址；如地址信息不一致请通知跟单更新文件；
 5. 电子产品需增加一张WEEE声明29L通用黑白说明书，区分带电池(D版)和不带电池(C版)出货版本, 如已做带WEEE声明的客版说明书可忽略此要求；如包装备注上
缺少此部分信息，请提醒跟单更新备注。
6.所有出往德国市场有关slime和带香味的都需要出无硼无香版本；
7.订单备注显示有分批的(不同仓库/订单号), 一定要区分客户订单号做货出货，否则会导致罚款  。
8.包装日期码按ZURU格式即可，请确保不迟于外箱日期码，可等于或者早于外箱日期码，必须为法定工作日。
9.做货前请先复核包装条码与订单是否一致再安排，对不上的需与ZURU跟单确认再安排。
10.包装必须含法国回收标(Sorting Label)，如没有，请提醒跟单提供贴纸资料。</t>
  </si>
  <si>
    <t>10001884818-0581</t>
  </si>
  <si>
    <t>4500211706-10</t>
  </si>
  <si>
    <t>日期码格式：ZURU INC(BVI) 标准格式                  日期：按实际生产日期
Packaging Info: 产品包装 MA 23L黑白警告语说明书+MA 1L 彩盒+MA 1L PDQ+锂电池标签纸
Remark: 此单为空运订单，不得有任何延期。
1.77794UQ1-S002-MINI BRANDS-VINYL-PLAYSET-SERIES 1-CUBE,8PCS/PDQ,8PCS/PDQ/CTN;
 2. 产品包装 MA 23L黑白警告语说明书+MA 1L 彩盒+MA 1L PDQ; 彩盒上的UPC显示193052090409;
 3. 外箱正唛左上角位置粘贴条码箱贴纸，每箱只贴一张，由ZURU订购。来料贴纸上显示的客户DPCI# 086-02-4085, UPC显示10193052090406;
 4. 带锂电池出货，需在外箱正面或者侧面合适位置上加贴一张贴锂电池标签纸，由工厂订购；
 5. 产品和包装上均要印刷tracking code信息，格式为ZURU常规格式；
 6. 需要我司QC验货之后才能安排出货
 7. 出货方式：  货代自提</t>
  </si>
  <si>
    <t>2XMQVPUY</t>
  </si>
  <si>
    <t>4500210819-30</t>
  </si>
  <si>
    <t>2张贴纸（1张UPC, 1张IT环保标，贴彩盒，翻单4500204845)+7/6SSCC LABEL一张</t>
  </si>
  <si>
    <t>日期码格式：ZURU  INC(BVI)  标准格式                                    日期：按实际生产日期
Packaging Info: Amazon  DE:  3FXCD4CO
Amazon  UK:  2XMQVPUY
Amazon  IT:  8L95S2FN
Amazon  DE(77794/77876)/UK(77794)/IT(77794/77876)
   1.  77794:  VINYL-SERIES  1,  PLAYSET-CUBE,16PCS/CTN,RECHARGEABLE  LITHIUM  BATTERY(INCLUDED);    MA  3L(3L  warning  EAN)  B版彩盒+23L  说明书+23L欧洲澳新通
用Warning  instruction+其它MA  最新配套包装+2张贴纸（1张UPC,  1张IT环保标+DE/IT警告语贴纸，贴彩盒，翻单4500204845)+带电池D版WEEE说明书+外箱锂电池贴
纸
3.  验货时间不迟于2026/07/31.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,&lt;(&gt;,&lt;)&gt;  此要求只适用Amazon  UK/DE
/FR/ES/IT,不适用Amazon  GPE，Amazon  GPE无SSCC  label,  但是有对应箱唛，需印刷到外箱  。
2. 出往UK的产品+包装务必打上UKCA  logo  ，否则客人会退货且当地会有罚款。Amazon  GPE（包含UK/FR/ES/DE/IT）的订单也需满足此要求。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故此请严格把关。Am~azon  GPE（包含UK/FR/ES/DE/IT）的订单也需满足此要求。
-油墨物质""""由1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 邮包盒及外箱封箱必须是工字型封箱方式；
   8.5  Surprise  or  Mini  Brands涉及包装是2个及2个以上的球入PVC桶包装时，单个球上若有UPC#或者EAN#，请用空白贴纸覆盖住，贴纸尺寸自行测量能覆盖原条码即
可；
   9.  无论是工厂自检还是ZURU验货，验货报告中必须有产品6面图(正面/背面/左面/右面/顶部/底部，不带包装);
   10.  按空海运鉴定报告的要求，只要带锂电池出货，都需要加贴UN贴纸；
   11.  所有出往GAS市场(德国/奥地利/瑞士)的电子产品身上需要加字唛，为ZURU  FRANCE  地址，需跟包装上的地址一致  (如无电子产品，产品布标有此地址，或产品
太小无法增加可忽略此信息。如产品无法加字唛，需让对应跟单提供产品贴纸资料);（Amazon  GPE的订单也需满足此要求）
   12.  所有出往GAS德国  (瑞士，奥地利)。水弹枪系列必须使用EN71版本（电子和非电子水弹枪系列都需要符合);  护目镜需打日期码,  格式跟ZURU标准格式一样;  枪
身上增加ZURU  FRANCE公司名和地址。使用贴纸和辐射上去都可以。如果有位置，最好增加ZURU  Represented  by:  (此最好翻译德语，如果位置不允许，那么就只增
加ZURU法国和地址)。使用最新的EN71版包装和说明书）。Amazon  GPE（包含UK/FR/ES/DE/IT）的订单也需满足此要求。</t>
  </si>
  <si>
    <t>4500208684</t>
  </si>
  <si>
    <t>7000992552</t>
  </si>
  <si>
    <t>4500208684-40</t>
  </si>
  <si>
    <t>UPC贴纸(UPC:193052090409)+翻单：4500195369</t>
  </si>
  <si>
    <t>日期码格式：ZURU INC(BVI) 标准格式                  日期：按实际生产日期
Packaging Info:#77794
MA3LPDQ(8装)+MA3L彩盒+UPC贴纸(UPC:193052090409)+MA23L说明书+MA23L警告语说明书
翻单：4500195369
Remark: 1. 此单有箱唛;
 2. UPC贴纸：必须在原来错误的条码上用黑色粗头笔涂黑直至不能扫描，再贴上正确的UPC;
 3. 此单有第三方验货，烦请多备包装物料；
 4. #77794带锂电池出货，使用英法双语电池，外箱需在正唛空白位置贴一张UN3481锂电池标识贴纸(带电话号码)；
 *********************
a. 请确保产品符合1999年版本的加拿大环境保护法(CEPA)和2012年禁止某些有毒物质法规的要求。该产品不含任何在加拿大禁用的化学物质，包括但不限于有毒物
质清单中列出的化学物质，并且在为加拿大沃尔玛生产产品期间没有使用任何禁用化学物质。
Supplier certify that the products comply with the requirements of Canadian Environmental Protection Act, 1999 (CEPA), Prohibition of Certain To
xic Substances Regulations, 2012.
The products do not contain any chemicals that are banned in Canada, including but not limited to those listed in the Toxic Substances List and
no banned chemicals were used during the manufacturing of product for Walmart Canada.
附件列表：
(1) Letter of Guarantee for Canada banned chemicals - (1-5CA)
b. 请确保产品在均质材料中的汞浓度不超过0.1%（按重量计）。
Supplier certify that the WAL-MART vendor products does not have a mercury concentration of more than 0.1% by weight in homogeneous material.
附件列表：
(1) Letter of Guarantee for Mercury COC
c. 请确保产品的塑料材料不含以下物质（SOR 2011-17 27B):
Supplier certify that the plastic materials do not contain the following substances(SOR 2011-17 27B):
(a) carbon tetrachloride or any substance that contains it;
(b) methyl alcohol or any substance thay contains &gt;1.0%;
 (c) petroleum distillates or any substance that contains &gt;10% weight to volume of petroleum distillates;
 (d) benzene;
(e) turpentine or any substance that contains &gt;10% weight to volume of turpentine;
(f) boric acid or salts of boric acid; or (g) ethyl ether.
附件列表：
(1) Letter of Guarantee for WM CA-Other prohibited substances in plastic(less than 3 years)</t>
  </si>
  <si>
    <t>4500204900</t>
  </si>
  <si>
    <t>1XIDGOJS</t>
  </si>
  <si>
    <t>4500204900-10</t>
  </si>
  <si>
    <t>日期码格式：ZURU INC(BVI) 标准格式 日期：按实际生产日期
Packaging Info: Amazon DE：1XIDGOJS
Amazon UK：8V4ZQ28S
DE(77794)/UK(77794)
1. 77794:VINYL-SERIES 1, PLAYSET-CUBE,16PCS/CTN,RECHARGEABLE LITHIUM BATTERY(INCLUDED); MA 3L(3L warning EAN) B版彩盒+23L 说明书+23L欧洲澳新通
用Warning instruction+其它MA 最新配套包装+2张贴纸（1张UPC, 1张IT环保标+DE/IT警告语贴纸，贴彩盒，翻单4500204845)+带电池D版WEEE说明书+外箱锂电池贴
纸
2. 最晚验货时间7/31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,&lt;(&gt;,&lt;)&gt; 此要求只适用Amazon UK/DE
/FR/ES/IT,不适用Amazon GPE，Amazon GPE无SSCC label, 但是有对应箱唛，需印刷到外箱 。
2.出往UK的产品+包装务必打上UKCA logo ，否则客人会退货且当地会有罚款。Amazon GPE（包含UK/FR/ES/DE/IT）的订单也需满足此要求。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故此请严格把关。Amazon GPE（包含UK/FR/ES/DE/IT）的订单也需满足此要求。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
9. 无论是工厂自检还是ZURU验货，验货报告中必须有产品6面图(正面/背面/左面/右面/顶部/底部，不带包装);
10. 按空海运鉴定报告的要求，只要带锂电池出货，都需要加贴UN贴纸；
11. 所有出往GAS市场(德国/奥地利/瑞士)的电子产品身上需要加字唛，为ZURU FRANCE 地址，需跟包装上的地址一致 (如无电子产品，产品布标有此地址，或产品
太小无法增加可忽略此信息。如产品无法加字唛，需让对应跟单提供产品贴纸资料);（Amazon GPE的订单也需满足此要求）
12. 所有出往GAS德国 (瑞士，奥地利)。水弹枪系列必须使用EN71版本（电子和非电子水弹枪系列都需要符合); 护目镜需打日期码, 格式跟ZURU标准格式一样; 枪
身上增加ZURU FRANCE公司名和地址。使用贴纸和辐射上去都可以。如果有位置，最好增加ZURU Represented by: (此最好翻译德语，如果位置不允许，那么就只增
加ZURU法国和地址)。使用最新的EN71版包装和说明书）。Amazon GPE（包含UK/FR/ES/DE/IT）的订单也需满足此要求。</t>
  </si>
  <si>
    <t>8V4ZQ28S</t>
  </si>
  <si>
    <t>4500204900-30</t>
  </si>
  <si>
    <t>4500204601</t>
  </si>
  <si>
    <t>5200009417</t>
  </si>
  <si>
    <t>4500204601-20</t>
  </si>
  <si>
    <t>最新MA 23L 62115警语+多语警语折叠贴纸（翻4500193875）</t>
  </si>
  <si>
    <t>日期码格式：ZURU INC(BVI) 标准格式 日期：按实际生产日期
Packaging Info:2. 77794：最新MA 3L EAN tray+最新MA 23L说明书+最新MA PDQ+最新MA 23L 62115警语+多语警语折叠贴纸（翻4500199985）
Remark: 1.意大利国家内销单，需要通过ZURU 验货结果后才能出货 (工厂需要主动提前同ZURU QC预约验货避免延期出货造成不必要麻烦)；
2. 本订单所有 具有 baby items / assorted items 的款式，零售包装上都要用 母 EAN;
3.所有出口欧洲的产品, 法规规定禁止在包装和共公众用的印刷品中使用矿物油中含有的物质, 包装印刷油墨中含有的MOAH/MOSH的质量浓度不能超过1%, 否则出货
到意大利被抽检出现问题, 供应商需要对此负责;
4. Date code: 外箱/产品/包装尽量保持一致，完货后提供date code 信息以便我们保存记录做批次管理；若MA物料因提前备料导致和外箱日期码不一致时，可以接
受出货
5.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6. 意大利订单包装彩卡请确保含法规要求的环保回收logo。
7. 所有带电池的产品请基于带/不带电池出货自行订购 "WEEE说明书欧洲EN+29L-D版"
8. MTS所有订单，SMASHERS 或含Slime产品，所有化合物使用无硼或低硼版本出； BOB系列要符合欧洲要求不含亚硝酸版本; XShot Hyper系列，统一出EN71版本；S
lime Mart统一用EUR版本的包装。
9. 电池产品请确保使用新说明书以及新标识的电池以符合最新(EU) 2023/1542法规 （增加制造商信息，电池种类，制造商地址，电池重量，化学组成，可用的灭
火器，浓度重量占比&gt;0.1%的关键原材料，二维码），如果电池不含这些信息，也需要确保电池说明书含这些信息。</t>
  </si>
  <si>
    <t>PLASTICOSUR S.A.</t>
  </si>
  <si>
    <t>4500209087</t>
  </si>
  <si>
    <t>4500209087-70</t>
  </si>
  <si>
    <t>日期码格式：ZURU INC(BVI) 标准格式                  日期：按实际生产日期
Remark: 
7.77794UQ1：最新MA 3L EAN包装+MA 说明书+WEEE带电池走货欧洲29L通用黑白说明书；</t>
  </si>
  <si>
    <t>AMAZON  ITALY</t>
  </si>
  <si>
    <t>4500206761</t>
  </si>
  <si>
    <t>5HB4M16S</t>
  </si>
  <si>
    <t>4500206761-10</t>
  </si>
  <si>
    <t>日期码格式：ZURU INC(BVI) 标准格式 日期：按实际生产日期
Packaging Info: Amazon IT: 5HB4M16S/1E57JBWZ
Amazon IT(77794)
1. 77794:VINYL-SERIES 1, PLAYSET-CUBE,16PCS/CTN,RECHARGEABLE LITHIUM BATTERY(INCLUDED); MA 3L(3L warning EAN) B版彩盒+23L 说明书+23L欧洲澳新通
用Warning instruction+其它MA 最新配套包装+2张贴纸（1张UPC, 1张IT环保标+DE/IT警告语贴纸，贴彩盒，翻单4500204845)+带电池D版WEEE说明书+外箱锂电池贴
纸
2. 验货时间不迟于2026/8/3.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,&lt;(&gt;,&lt;)&gt; 此要求只适用Amazon UK/DE
/FR/ES/IT,不适用Amazon GPE，Amazon GPE无SSCC label, 但是有对应箱唛，需印刷到外箱 。
2.出往UK的产品+包装务必打上UKCA logo ，否则客人会退货且当地会有罚款。Amazon GPE（包含UK/FR/ES/DE/IT）的订单也需满足此要求。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故此请严格把关。Amazon GPE（包含UK/FR/ES/DE/IT）的订单也需满足此要求。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
9. 无论是工厂自检还是ZURU验货，验货报告中必须有产品6面图(正面/背面/左面/右面/顶部/底部，不带包装);
10. 按空海运鉴定报告的要求，只要带锂电池出货，都需要加贴UN贴纸；
11. 所有出往GAS市场(德国/奥地利/瑞士)的电子产品身上需要加字唛，为ZURU FRANCE 地址，需跟包装上的地址一致 (如无电子产品，产品布标有此地址，或产品
太小无法增加可忽略此信息。如产品无法加字唛，需让对应跟单提供产品贴纸资料);（Amazon GPE的订单也需满足此要求）
12. 所有出往GAS德国 (瑞士，奥地利)。水弹枪系列必须使用EN71版本（电子和非电子水弹枪系列都需要符合); 护目镜需打日期码, 格式跟ZURU标准格式一样; 枪
身上增加ZURU FRANCE公司名和地址。使用贴纸和辐射上去都可以。如果有位置，最好增加ZURU Represented by: (此最好翻译德语，如果位置不允许，那么就只增
加ZURU法国和地址)。使用最新的EN71版包装和说明书）。Amazon GPE（包含UK/FR/ES/DE/IT）的订单也需满足此要求。</t>
  </si>
  <si>
    <t>1E57JBWZ</t>
  </si>
  <si>
    <t>4500206761-20</t>
  </si>
  <si>
    <t>4500204101</t>
  </si>
  <si>
    <t>5200009696</t>
  </si>
  <si>
    <t>4500204101-10</t>
  </si>
  <si>
    <t>日期码格式：ZURU INC(BVI) 标准格式 日期：按实际生产日期
Packaging Info: "77794UQ1: MA 3L PDQ+MA 3L EAN 彩盒+1*多语警语折叠贴纸(翻单4500192187）+23L玩法说明书+23L警语说明书+23L锂电池警语说明书+最新D版WEEE带
电说明书
请注意：77794含锂电池，需在外箱贴一张含锂电池贴纸。"
Remark: 1.德国内销单，需要通过ZURU 验货结果后才能出货 (工厂需要主动提前同ZURU QC预约验货避免延期出货造成不必要麻烦)；
2.产品如含有化学品（slime 等），需要无硼无香。需要无微塑料版本。
3.所有出口欧洲的产品, 法规规定禁止在包装和共公众用的印刷品中使用矿物油中含有的物质, 包装印刷油墨中含有的MOAH/MOSH的质量浓度不能超过1%, 否则出货
到法国被抽检出现问题, 供应商需要对此负责;
4. date code: 外箱日期码要晚于或等于产品日期码，不能早于产品的日期码；
5. 所有出往德国的电子产品身上需要加字唛，为ZURU FRANCE 地址，需跟包装上的地址一致 (如无电子产品，产品布标有此地址，或产品太小无法增加可忽略此信
息。如产品无法加字唛，需让对应跟单提供产品贴纸资料)
新地址：ZURU France 33 rue Paul Meurice 75020 Paris, France
旧地址：ZURU France 1/3, Rue d'Argenteuil 95210 SAINT-GRATIEN, FRANCE
6.所有出往德国订单的电子产品需增加一张最新版本的欧洲通用WEEE声明说明书，区分带电池和不带电池版本, 如已做客版说明书可忽略此要求。
7.装柜时需要按照款式号码从小到大一款款依次装,避免终端仓库卸货混乱.若一个柜子涉及到几个不同国家内销单,装柜时需要一个国家装完后再装另一个国家的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8.ratio 同MA
9. 若有特定款有特殊外箱条码要求时,需要明确列出产品款对应的具体外箱条码号码/条码类型 (若无,可以忽略此需求).</t>
  </si>
  <si>
    <t>10001927248-0581</t>
  </si>
  <si>
    <t>4500211709-20</t>
  </si>
  <si>
    <t>日期码格式：ZURU INC(BVI) 标准格式                  日期：按实际生产日期
Packaging Info: 77772GQ5：产品包装MA 1L 收缩膜+MA 5L 收藏指南+MA 23L 组装说明+客版PDQ；客版PDQ翻单4500189603；
77794UQ1：产品包装 MA 23L黑白警告语说明书+MA 1L 彩盒+MA 1L PDQ+锂电池标签纸
Remark: 77772GQ5：
1.77772GQ5-S001-MINI BRANDS-VINYL-SERIES 1-CAPSULE,WITH DEMO,25PCS/GRAVITY PDQ,25PCS/PDQ/CTN;
2.产品包装MA 1L 收缩膜+MA 5L 收藏指南+MA 23L 组装说明+客版PDQ；客版PDQ翻单4500189603；收缩膜上的UPC显示193052090065;
 4  mini vinyls(1 Target US Exclusive),1 accessory;
 3. 外箱正唛左上角位置粘贴条码箱贴纸，每箱只贴一张，由ZURU订购。来料贴纸上显示的客户DPCI# 086-02-8931, UPC显示10193052090062;
77794UQ1：
1.77794UQ1-S002-MINI BRANDS-VINYL-PLAYSET-SERIES 1-CUBE,8PCS/PDQ,8PCS/PDQ/CTN;
 2. 产品包装 MA 23L黑白警告语说明书+MA 1L 彩盒+MA 1L PDQ; 彩盒上的UPC显示193052090409;
 3. 外箱正唛左上角位置粘贴条码箱贴纸，每箱只贴一张，由ZURU订购。来料贴纸上显示的客户DPCI# 086-02-4085, UPC显示10193052090406;
4. 带锂电池出货，需在外箱正面或者侧面合适位置上加贴一张贴锂电池标签纸，由工厂订购
以上Items：
 1. 产品和包装上均要印刷tracking code信息，格式为ZURU常规格式；
 2. 需要我司QC验货之后才能安排出货
 3. 出货方式：  货代自提</t>
  </si>
  <si>
    <t>4500212105-50</t>
  </si>
  <si>
    <t>7/6进口商贴纸</t>
  </si>
  <si>
    <r>
      <rPr>
        <sz val="11"/>
        <color rgb="FF0000FF"/>
        <rFont val="宋体"/>
        <charset val="134"/>
      </rPr>
      <t>日期码格式：ZURU</t>
    </r>
    <r>
      <rPr>
        <sz val="11"/>
        <color rgb="FF0000FF"/>
        <rFont val="宋体"/>
        <charset val="0"/>
      </rPr>
      <t xml:space="preserve">  INC(BVI)  标准格式                                    日期：按实际生产日期
Packaging Info: 
【行项目320】
77794UQ1：最新MA  3L  EAN彩盒  +  MA23L  电池warning说明书+MA23L  电池使用说明书+  MA23L产品使用说明书+  MA3L  PDQ  +  进口商贴纸
Remark: 1.  此单出意大利，需要满足EU标准，通过ZURU验货即可；
   2.  产品均符合EU微塑料法规要求：不能含有微塑料/闪粉符合欧规，BOB系列要符合欧洲要求不含亚硝酸版本;  XShot  Hyper系列，统一出EN71版本。
   3,    SMASHERS  或含Slime产品，所有化合物使用无硼或者低硼版本出意大利。#17601需要出NS版本。
4,  带电池产品需要带上最新WEEE29L欧洲通用电池回收说明书。产品里如果含干燥剂，请附上干燥剂14L说明书。
5,  意大利订单包装彩卡请确保含法规要求的环保回收logo和意大利语警语，如果说明书有文字使用说明，需要有意大利语使用说明。
6，电池产品请确保使用新说明书以及新标识的电池以符合最新(EU)  2023/1542法规    （增加制造商信息，电池种类，制造商地址，电池重量，化学组成，可用的灭
火器，浓度重量占比&gt;0. 1%的关键原材料，二维码），如果电池不含这些信息，也需要确保电池说明书含这些信息。</t>
    </r>
  </si>
  <si>
    <t>4500212614</t>
  </si>
  <si>
    <t>2KEFOLJA</t>
  </si>
  <si>
    <t>4500212614-20</t>
  </si>
  <si>
    <t>7/13SSCC Label</t>
  </si>
  <si>
    <t>日期码格式：ZURU INC(BVI) 标准格式                  日期：按实际生产日期
Packaging Info:
#77794:  MA UPC版包装(1L或3L都可,3L要加UPC条码)，出口美国。
Remark: 1. Amazon MDDP订单，出口US。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</si>
  <si>
    <t>ZB07465-8.17</t>
  </si>
  <si>
    <t>CDISCOUNT</t>
  </si>
  <si>
    <t>4500209180</t>
  </si>
  <si>
    <t>81918</t>
  </si>
  <si>
    <t>4500209180-10</t>
  </si>
  <si>
    <t>6/17 抽样数量预计为20PCS电池+2PCS USB连接线；8/6第三方实验室验货, 验货PASS后方可安排出货</t>
  </si>
  <si>
    <t>6/15 更新</t>
  </si>
  <si>
    <t>WEEE最新版29L _带电池走货声明书</t>
  </si>
  <si>
    <t xml:space="preserve"> 产品/彩盒包装/外箱都请统一客户日期码DG20260729</t>
  </si>
  <si>
    <t>日期码格式：DG20260729                  日期：
Packaging Info: 77794UQ1: MA3L 最新版EAN彩卡+MA23L警示语说明书++MA23L指南+WEEE最新版29L _带电池走货声明书+MA3LPDQ
Remark: 1. 此票预计8/6第三方实验室验货, 验货PASS后方可安排出货；
 2. 此票全部用EAN条码
 3. 产品/彩盒包装/外箱都请统一客户日期码DG20260729
 4. 此票出法国，请确保产品质量符合EU法国要求，包装含法国回收logo，产品符合欧洲微塑料法规；</t>
  </si>
  <si>
    <t>Lumina Pan</t>
  </si>
  <si>
    <t>4500203455</t>
  </si>
  <si>
    <t>3014115-00</t>
  </si>
  <si>
    <t>4500203455-30</t>
  </si>
  <si>
    <t>日期码格式：ZURU INC(BVI) 标准格式                  日期：按实际生产日期
Packaging Info: 
77794UQ1 MA多语包装 EAN版本+UPC贴纸193052090409，  UPC翻单4500192784
Remark: 出口加拿大，  有 进口商贴纸
CRD前2周寄出大货样2套
Zuru验货  需要单个产品称重的图片和整箱产品称重的图片，还需要产品上made in China的晒字图片，包装上的警告语的清晰图片，以及单个产品的尺寸测量图片
和外箱的尺寸测量图片
日期跟踪码：产品外包装必须有日期跟踪码，ZURU标准格式日期码</t>
  </si>
  <si>
    <t>4500208841</t>
  </si>
  <si>
    <t>40060749</t>
  </si>
  <si>
    <t>4500208841-540</t>
  </si>
  <si>
    <t xml:space="preserve"> UPC翻单4500192784</t>
  </si>
  <si>
    <t>日期码格式：  标准格式                  日期：按实际生产日期
Packaging Info: 
77794UQ1 MA多语包装 EAN版本+UPC贴纸193052090409，  UPC翻单4500192784
Remark: 出加拿大
有客供价格贴
每行对应不同的客户PO，唛头要一一对应，  放唛头时跟单会提供清单
Zuru验货. 日期跟踪码：产品外包装及产品本身都必须有日期跟踪码，ZURU标准格式
日期码</t>
  </si>
  <si>
    <t>40061839</t>
  </si>
  <si>
    <t>4500208841-550</t>
  </si>
  <si>
    <t>4500208745</t>
  </si>
  <si>
    <t>5/28 颜色标签</t>
  </si>
  <si>
    <t>4500211804-10</t>
  </si>
  <si>
    <t>UPC贴纸，贴纸资料翻单#4500204288</t>
  </si>
  <si>
    <t>日期码格式：ZURU INC(BVI) 标准格式                  日期：按实际生产日期
Packaging Info: #77794:  MA 3L版包装+UPC贴纸，贴纸资料翻单#4500204288，UPC:193052090409。
Remark: 1.Amazon domestic 订单。出口加拿大。外箱最长边不能超过25"  （超过了，case pack只能为1），不符合要求的大货，一律不接受。
2.无第三方验货/测试要求。
3. 日期码使用ZURU标准版本。
4.如果大货有要求入邮包盒，则对应的邮包盒上面要打上日期码。</t>
  </si>
  <si>
    <t xml:space="preserve">77794-S001-3L
</t>
  </si>
  <si>
    <t>02173457</t>
  </si>
  <si>
    <t>4500202450-90</t>
  </si>
  <si>
    <t>02173458</t>
  </si>
  <si>
    <t>4500202450-110</t>
  </si>
  <si>
    <t>日期码格式：ZURU INC(BVI) 标准格式                  日期：按实际生产日期
Packaging Info: 1. 包材：
#77794UQ1：最新 MA 1L UPC+1L PDQ +价格贴纸（$19.99), 价贴位于产品包装上UPC条形码附近 + PDQ上需加价格贴纸 和 条码贴纸（PDQ上加贴条码贴纸位于PDQ背
面左下角+价贴位于PDQ前面右上角 ,贴纸资料跟单提供，工厂采购，出口美国。）
#77876：球使用MA 最新1L UPC收缩膜+空白贴纸覆盖UPC+5L 英法版本 收藏指南 + 23L 说明书 + 3L UPC 铜版纸 + 价格贴纸(价贴金额$19.99, 价贴位于PVC桶铜版
纸UPC条形码附近）价贴资料跟单提供工厂采购，出口美国;
Remark: 2. 日期跟踪码：产品包装及产品本身都必须有日期跟踪码，并且确保两者的日期跟踪码要一致；ZURU标准格式日期码(请自行调整具体年月日生产期，但不能为周
末）。
PS: 毛绒布标贴纸日期码可以不保持一致。
 3. 订单外箱：
 *只需在外箱4面的正上方印ZURU LOGO；3面印MADE IN CHINA字样，一面留空贴外箱贴；
 *外箱正面需要额外加贴2张外箱贴（外箱贴客户提供，工厂直接贴）；
*外箱贴位置：shipping label贴于外箱正面左下角；product label 贴于外箱正面右下角，2张贴纸都需距离外箱边缘至少3CM。
 4. 此客户有4个PO:
PO# 02173457 ship to NJ&lt;(&gt;,&lt;)&gt;
PO# 02173458 ship to NV&lt;(&gt;,&lt;)&gt;
PO# 02165957 ship to NJ&lt;(&gt;,&lt;)&gt;
PO# 02165958 ship to NV&lt;(&gt;,&lt;)&gt;
 5. 出货配比：ZURU MA 配比；
 6. 测试样板
77794UQ1-S001&lt;(&gt;&amp;&lt;)&gt;92146-S001&lt;(&gt;&amp;&lt;)&gt;92147-S001&lt;(&gt;&amp;&lt;)&gt;77876-S001请于6/13日前寄出ZURU MA版本每款每色2pcs样板做测试(测试样板可以不带价贴，但需带日
期码) 寄到以下地址做测试：
注：  需打印TRF随样板寄出（TRF由跟单提供）
测试行：BV(必维）
  地址：广东省深圳市深圳市龙华区鸿创科技中心4栋1楼
  收件人：Maggie Yang
  电话: 86 0755 86185331 | VOIP(Internal): 5331</t>
  </si>
  <si>
    <t>4500210632-40</t>
  </si>
  <si>
    <t>WEEE  D版29L_带电池走货声明书</t>
  </si>
  <si>
    <r>
      <rPr>
        <sz val="11"/>
        <color rgb="FF0000FF"/>
        <rFont val="宋体"/>
        <charset val="134"/>
      </rPr>
      <t>日期码格式：ZURU</t>
    </r>
    <r>
      <rPr>
        <sz val="11"/>
        <color rgb="FF0000FF"/>
        <rFont val="宋体"/>
        <charset val="0"/>
      </rPr>
      <t xml:space="preserve">  INC(BVI)  标准格式                                    日期：按实际生产日期
Packaging Info: 
77794UQ1：MA3L  EAN彩盒+MA3LPDQ+MA23L锂电池说明+MA23L说明书+WEEE  D版29L_带电池走货声明书
Remark: 1.  此票无需第三方验货，通过ZURU  OQC验货即可；
   2.  此票出法国，请确保包装需含有两个法国回收logo，产品符合EU标准；
   3.  此票全部用EAN条码,  assortment产品需用mother  EAN条码；
   4.  预计需要1套大货样，请多备料；</t>
    </r>
  </si>
  <si>
    <t>4500208497</t>
  </si>
  <si>
    <t>0983718013</t>
  </si>
  <si>
    <t>4500208497-10</t>
  </si>
  <si>
    <t>8/11BV</t>
  </si>
  <si>
    <t>日期码格式：ZURU  INC(BVI)  标准格式                                    日期：按实际生产日期
Packaging Info: 77794UQ1-SLB-S001
1.  包装要求：
77794：MA  1L  B版callout纸卡+MA  23L  玩法说明书+MA  23L  警告语说明书+MA  1L  A版  PDQ
每pcs产品要贴一张RFID贴纸，RFID贴纸由ZURU提供，贴纸位置要严格按照客人签板
Remark: 77794UQ1-SLB-S001
1.  包装要求：
77794：MA  1L  B版callout纸卡+MA  23L  玩法说明书+MA  23L  警告语说明书+MA  1L  A版  PDQ
每pcs产品要贴一张RFID贴纸，RFID贴纸由ZURU提供，贴纸位置要严格按照客人签板
  2.  外箱印刷带条码的RFID箱唛：RFID紫色色带+WM  Dept. 图标+RFID图标+ITF-14条码，四面右下角印刷ZURU  logo,  ITFF条码只印刷在正唛一面，在加印的时候确保
条形码能扫描出来，   一张锂电池贴纸贴在有条码的正唛上，外箱侧面任一角落加印："MADE  IN  CHINA"  字样；箱唛翻单：4500196335
  3.  每个slip  sheet上面贴一张艾利贴纸（不干胶贴纸）和一张普通贴纸（A4纸），slip  sheet打印的普通贴纸的尺寸不能比艾利贴纸小，普通贴纸内容见附件；
  4.  在产品上和包装上要有日期码、以及要有MADE  IN  CHINA和ZURU字样；
  5.  产品如有扎带口要剪平，不能刮手。
  6.  此单需要验货，请多备料
  7.  此单以slip  sheet出货，77794：512pcs/64CTN/Slip  sheet</t>
  </si>
  <si>
    <t>0983718096</t>
  </si>
  <si>
    <t>4500208497-20</t>
  </si>
  <si>
    <t>8/3BV</t>
  </si>
  <si>
    <t>4500216435-10</t>
  </si>
  <si>
    <t>日期码格式：ZURU INC(BVI) 标准格式                  日期：按实际生产日期
Packaging Info: "77794UQ1: 最新MA 3L底座/纸卡/贴纸+MA 23L游戏说明书+MA 23L锂电池说明书+MA 23L警示说明书+MA PDQ (优先多语)
EAN#4894680051430
RECHARGEABLE LITHIUM BATTERY(INCLUDED)
*外箱需加一张UN3481锂电池运输标签*"
Remark: "Smyths 英国/爱尔兰
 1. 请准时出货，推期会有罚款；
 2. 所有产品按符合欧洲标准走货，需要是不含微塑料版本。
3.包装日期码按ZURU格式即可，请确保不迟于外箱日期码，可等于或者早于外箱日期码，必须为法定工作日，印刷前请先检查外箱日期码。
4.请注意检查产品及包装应带UKCA图标（14+产品除外），包装显示ZURU UK LTD/ZURU France地址信息，QC部门请查核，如有问题与跟单确认
5.电子产品需增加一张WEEE声明29L通用黑白说明书，区分带电池(D版)和不带电池(C版)出货版本, 如已做带WEEE声明的客版说明书可忽略此要求；如包装备注上缺
少此部分信息，请提醒跟单更新备注。
6.订单备注显示有分批的(不同仓库/订单号), 一定要区分客户订单号做货出货，否则会导致罚款  。
7.做货前请先复核包装条码与订单是否一致再安排，对不上的需与ZURU跟单确认再安排。
8.包装必须含法国回收标(Sorting Label)，如没有，请提醒跟单提供贴纸资料。"</t>
  </si>
  <si>
    <t>4500202803</t>
  </si>
  <si>
    <t>21605194</t>
  </si>
  <si>
    <t>4500202803-20</t>
  </si>
  <si>
    <t>防盗贴纸 (贴纸以及位置图翻单PO#4500193539）+ 箱唛 + 7/6外箱SSCC Label</t>
  </si>
  <si>
    <t>日期码格式：ZURU INC(BVI) 标准格式 日期：按实际生产日期
Packaging Info:  77794UQ1:客版PDQ（翻单PO#4500197867） + MA英语UPC版本包装（收缩膜和说明书, MA首选1L，如无1L可用多语且含英语的配套多语包装) +1张锂电池黑白警语书
 纸 + 1张防盗贴纸 (贴纸以及位置图翻单PO#4500193539）+ 箱唛 + 外箱SSCC Label
 77869：客制 3L UPC 彩盒包装 + 箱唛 + 外箱贴纸SSCC Label
 子件77772: MA英语UPC版本包装（收缩膜和说明书, MA首选1L，如无1L可用多语且含英语的配套多语包装) +B版客制收藏指南（收藏指南翻单PO#4500202802）
 子件77794: MA英语UPC版本包装（收缩膜和说明书, MA首选1L，如无1L可用多语且含英语的配套多语包装) +1张MA锂电池黑白警语书纸（书纸翻单PO#4500193539）
 2PK 77772( remove Messy &lt;(&gt;&amp;&lt;)&gt; Delicious vinyl minis) + 77794 PLAYSET COMBO IN COLOR BOX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请注意此订单与AU PO#4500202802一起合并计算</t>
  </si>
  <si>
    <t>4500202802</t>
  </si>
  <si>
    <t>21605187</t>
  </si>
  <si>
    <t>4500202802-20</t>
  </si>
  <si>
    <t>日期码格式：ZURU INC(BVI) 标准格式 日期：按实际生产日期
Packaging Info: 77794UQ1:客版PDQ（翻单PO#4500197867） + MA英语UPC版本包装（收缩膜和说明书, MA首选1L，如无1L可用多语且含英语的配套多语包装) +1张锂电池黑白警语书
 纸 + 1张防盗贴纸 (贴纸以及位置图翻单PO#4500193539）+ 箱唛 + 外箱SSCC Label
 77869：客制 3L UPC 彩盒包装 + 箱唛 + 外箱贴纸SSCC Label
 子件77772: MA英语UPC版本包装（收缩膜和说明书, MA首选1L，如无1L可用多语且含英语的配套多语包装) +B版客制收藏指南（收藏指南翻单PO#4500202802）
 子件77794: MA英语UPC版本包装（收缩膜和说明书, MA首选1L，如无1L可用多语且含英语的配套多语包装) +1张MA锂电池黑白警语书纸（书纸翻单PO#4500193539）
 2PK 77772( remove Messy &lt;(&gt;&amp;&lt;)&gt; Delicious vinyl minis) + 77794 PLAYSET COMBO IN COLOR BOX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请注意此订单与NZ PO#4500202803一起合并计算</t>
  </si>
  <si>
    <t>日期码格式：ZURU INC(BVI) 标准格式 日期：按实际生产日期
Packaging Info: 客版包装: 客版彩盒+ 客版PDQ +客版收缩膜+客版收藏指南+客版说明书+客版纸袋 等其他内包材
注意订单不能包含此唱片：VINYL-S1-021 Messy-Lola Young ，这也是为什么我们新建了Spec
1920pcs 的物料由于与前面的单已经采购，照用。
新增加的2400pcs的包装可与4500208451 合并采购安排生产即可
Remark: 1. 所有日期码印在彩盒上，产品上也需要印日期码. 按实际生产日期，ZURU 标准版格式的日期码。
2. 客版包装: 客版彩盒+ 客版PDQ+客版收缩膜+客版收藏指南+客版说明书+客版纸袋 等其他内包材
3. 纸箱唛头：纸箱四面，正唛和背面两面都需印刷，其他2面侧面留空,按照箱唛要求排版。
4. 确保展示架在入外箱的时候一定要正面对着有印刷箱唛的那面,不可以装反。</t>
  </si>
  <si>
    <t>2950868349</t>
  </si>
  <si>
    <t>4500204111-30</t>
  </si>
  <si>
    <t>4500209281</t>
  </si>
  <si>
    <t>1924640113</t>
  </si>
  <si>
    <t>日期码格式：ZURU INC(BVI) 标准格式                  日期：按实际生产日期
Packaging Info: 77896SLT-S003:S003-MINI BRANDS-VINYL-SERIES 1-1PK PLAYSET AND 3PK CAPSULES-COMBO IN COLOR BOX,120PCS/DISPLAY/SLIP SHEET
1.客版包装: 客版彩盒+ 客版PDQ+客版收缩膜+组装说明+唱片机安装指南+客版收藏指南+客版说明书+锂电池警告语贴纸+客版纸袋 等其他内包材+箱唛(注意：彩盒
+收藏指南等包装信息上显示为"43"张唱片)
2.配比信息：77772: 4  mini vinyls(except Messy +Delicious vinyl minis),1 accessory
3.移除了 ""Messy 和 Delicious""两张唱片
Remark: 1. 所有日期码印在彩盒上，产品上也需要印日期码. 按实际生产日期，ZURU 标准版格式的日期码。
 2. 纸箱唛头：纸箱四面，正唛和背面两面都需印刷，其他2面侧面留空,按照箱唛要求排版。
3. 确保展示架在入外箱的时候一定要正面对着有印刷箱唛的那面,不可以装反。
4.AU电商和AU Ecom(PO#4500209281)+NZ(PO#4500209282)拼柜
货：4,320 pcs=AU:3960units+ AU E-com: 120 Units +  NZ: 240 Units ,All ship to AU together as 1*40HQ</t>
  </si>
  <si>
    <t>4500203946</t>
  </si>
  <si>
    <t>4500203946-20</t>
  </si>
  <si>
    <t>D版29L含电池出货版本WEEE说明书+欧洲澳新通用Warning instruction</t>
  </si>
  <si>
    <t>日期码格式：ZURU INC(BVI) 标准格式 日期：按实际生产日期
Packaging Info: 77794UQ1-S002:MA B版1L UPC版本+D版29L含电池出货版本WEEE说明书+欧洲澳新通用Warning instruction, 外箱需要加UN3481的贴纸，贴于正唛其中一面右上角，U
PC：193052090409+地址贴纸
Remark: MA版本按工厂现有最新库存即可，订单出英国，请注意检查产品及包装应带UKCA以及CE图标，包装显示ZURU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*所有产品按符合欧洲标准走货，需要是不含微塑料版本 。
*涉及到硼的，如可选择情况下应使用低硼版本 （slime 类别低硼一般低于300ppm)，无选择的应与跟单复核再安排 。
*如果出运产品属于电子类产品需要在ZURU 包装基础上额外添加一张ZURU 标准29L通用WEEE 电子产品说明书,带电池出货的加带电池出货版本通用29L的说明书，不
带电池出货的产品用不带电池出货版本的说明书.
*根据客人最新的包装要求，所有多个PDQ盒子(TQ,UQ,GQ）入1外箱的都需要在PDQ顶部右上角加上数量贴纸标明里面的数量。最小字体：36pts, 字体：Calibri（bo
ld), 具体要求以及位置见文件.
*订单对应客户PO号 ，备注有显示 ，注意分开做货/验货/装柜 ，混装有罚款。
* 大货样： 新款请在CRD前10天寄出每款2整套大货样到罗湖办公室7B Meyya Liu 收，翻单不用寄。</t>
  </si>
  <si>
    <t>0983717984</t>
  </si>
  <si>
    <t>4500208482-30</t>
  </si>
  <si>
    <t>8/18截SI</t>
  </si>
  <si>
    <t>ZB07380/ZB07446</t>
  </si>
  <si>
    <t>0983717989</t>
  </si>
  <si>
    <t>4500208482-40</t>
  </si>
  <si>
    <t>7/24BV</t>
  </si>
  <si>
    <t>ZB07446-8.17</t>
  </si>
  <si>
    <t>0983717947</t>
  </si>
  <si>
    <t>4500208482-10</t>
  </si>
  <si>
    <t>0983718048</t>
  </si>
  <si>
    <t>4500208497-30</t>
  </si>
  <si>
    <t>4500201970-70</t>
  </si>
  <si>
    <t>本次订单的验货将由监柜公司进行开箱检验。订单每个ITEM（包括盲盒款）提前准备一整套完整包装的样品，所有样品必须与大货完全一致</t>
  </si>
  <si>
    <t>带电产品需要电池门/说明书贴纸/包装贴进口商贴纸+保证书，若MA说明书上有跟进口商贴纸上的信息，一般不需要说明书贴纸，具体按客人做完测试后提供的资料。（具体按图稿安排做货）</t>
  </si>
  <si>
    <t>日期码格式：ZURU INC(BVI) 标准格式 日期：按实际生产日期 Tracking Code:
Packaging Info: 1. 请确保外箱和产品包装上使用的条码均为UPC。如目前使用的是baby UPC，请务必使用mother UPC覆盖。如有任何不一致之处，请及时告知。谢谢！
 2. 样品需求：本次订单的验货将由监柜公司进行开箱检验。订单每个ITEM（包括盲盒款）提前准备一整套完整包装的样品，所有样品必须与大货完全一致。
3.带电产品需要电池门/说明书贴纸/包装贴进口商贴纸+保证书，若MA说明书上有跟进口商贴纸上的信息，一般不需要说明书贴纸，具体按客人做完测试后提供的资
 料。（具体按图稿安排做货）
 77794UQ1 MA多语EAN包装+UPC贴纸+MA 多语说明书+MA多语收藏指南+MA 多语PDQ +电池门进口商贴纸/包装贴进口商贴纸+保证书+箱唛
Remark: 77794UQ1 RECHARGEABLE LITHIUM BATTERY(INCLUDED)</t>
  </si>
  <si>
    <t>日期码格式：ZURU INC(BVI) 标准格式 日期：按实际生产日期
Packaging Info: 客版包装: 客版彩盒+ 客版PDQ +客版收缩膜+客版收藏指南+客版说明书+客版纸袋 等其他内包材
注意订单不能包含此唱片：VINYL-S1-021 Messy-Lola Young ，这也是为什么我们新建了Spec
Remark: 1. 所有日期码印在彩盒上，产品上也需要印日期码. 按实际生产日期，ZURU 标准版格式的日期码。
2. 客版包装: 客版彩盒+ 客版PDQ+客版收缩膜+客版收藏指南+客版说明书+客版纸袋 等其他内包材
3. 纸箱唛头：纸箱四面，正唛和背面两面都需印刷，其他2面侧面留空,按照箱唛要求排版。
4. 确保展示架在入外箱的时候一定要正面对着有印刷箱唛的那面,不可以装反。
5. 此单是首单出货数量4320pcs, 2026/5/8安排做10%抽版测试（即做好4个slipsheet 的货），最晚2026/5/27完成100%大货安排第三方验货
6. 大货样板:工厂需预留至少6整套测试样用于抽板+3pcs封样（1pc工厂留底待第三方验货使用+2pc寄深圳办公室，需给客人留底)+ 1pc大货样寄深圳办公室拍照用
7.Costco 会委托 UL对 锂电池电池包做"Lot Code 可追溯性审核". 需要电池供应商,工厂配合提供相关资料和文件(见附件打包文件). 请仔细阅读并要求下游供应
商提供齐所需资料. 注意在UL发出审核要求之后30 天内若资料不全，直接出不合格报告，导致无法出货.
初次审核费USD 400. 如果初次审核文件不齐全,导致fail, UL会直接出fail报告给Costco QA .供应商在客户系统提交CAP 文件, 如果供应商有新文件提供, 需要UL
再次审核, re audit 收取USD 200.所以最好是首次审核全部资料提供齐全, 避免re audit 产生额外费用.
注意: 首单10%货好时需要安排第三方抽板测试,一般需要7-10 working day 做测试, 当天ITS会在大货抽大货样,测试所需样品以及封样(第三方验货时要用).
大货样需由工厂寄到深圳office, 由ZURU跟单再转寄客户.待工厂100%完货之后需安排第三方验货, 一般是在ZURU QC验完货OK之后安排第三方验货.</t>
  </si>
  <si>
    <t>4500203217</t>
  </si>
  <si>
    <t>4500203217-10</t>
  </si>
  <si>
    <t>6/12UPC贴纸</t>
  </si>
  <si>
    <t>4500199601</t>
  </si>
  <si>
    <t>5200009495</t>
  </si>
  <si>
    <t>4500199601-20</t>
  </si>
  <si>
    <t>4/13多语警语折叠贴纸（含意大利环保标）+WEEE带电池出货欧洲通用29L说明书 D版本</t>
  </si>
  <si>
    <t>4500201186</t>
  </si>
  <si>
    <t>日期码格式：ZURU INC(BVI) 标准格式 日期：按实际生产日期
Packaging Info: MEC426: MA 3L 展示架
77794: MA 3L EAN (4894680051430)彩盒， MA 23L说明书,MA最新版WEEE_带电池走货 _ 说明书欧洲EN， 锂电池欧洲、澳新-23L警语说明书
77772: MA 3L EAN (4894680051133)收缩膜，MA内袋，MA 5L收藏指南， MA 23L组装说明
Remark: 1.大货样品2套，请多备料。
2. 出口欧洲，所有产品微塑料需符合法规。
3. 空白纸箱: 在正唛（只1面）加多虚线15 x 10.5 cm ( 高x 宽) 距箱左边2cm， 距箱底 3cm，虚线内1张外箱贴纸（在checkpoint网站上订）Customer Service:
Erica Lun Tel.+852 2995 8399/erica.lun@checkpt.com
4. 所有包装材料禁止使用PVC，需改用PET材料。
5. 要求使用双坑纸箱，外箱尺寸超出7%有350USD的罚款，请注意外箱尺寸变更不能超出7%。
6. 客人系统外箱尺寸: BOX_TY166783 MEC426 61.30 cmx34.80 cmx116.00 cm
7.所有出往欧洲市场订单的电子产品需增加一张WEEE声明说明书，区分带电池和不带电池版本, 如已做客版说明书可忽略此要求。</t>
  </si>
  <si>
    <t>4500202549</t>
  </si>
  <si>
    <t>6/25进口商贴纸（含西班牙环保标）+一张产品贴纸+一张西/葡weeee说明书纸+一张空白贴纸（覆盖条码）</t>
  </si>
  <si>
    <r>
      <rPr>
        <sz val="11"/>
        <rFont val="宋体"/>
        <charset val="134"/>
      </rPr>
      <t>GLOBUS</t>
    </r>
    <r>
      <rPr>
        <sz val="11"/>
        <color rgb="FF000000"/>
        <rFont val="宋体"/>
        <charset val="134"/>
      </rPr>
      <t xml:space="preserve">  LOGISTIK  GMBH  AND  CO  KG</t>
    </r>
  </si>
  <si>
    <t>10371520</t>
  </si>
  <si>
    <t>4500207316-20</t>
  </si>
  <si>
    <t>德语警语贴纸翻单194401，D版带电池走货EU通用29L  WEEE说明书</t>
  </si>
  <si>
    <r>
      <rPr>
        <sz val="11"/>
        <rFont val="宋体"/>
        <charset val="134"/>
      </rPr>
      <t>日期码格式：ZURU</t>
    </r>
    <r>
      <rPr>
        <sz val="11"/>
        <color rgb="FF000000"/>
        <rFont val="宋体"/>
        <charset val="134"/>
      </rPr>
      <t xml:space="preserve">  INC(BVI)  标准格式                                    日期：按实际生产日期
Packaging Info:77794UQ1：MA  3L  EAN包装  +  德语警语贴纸，23L说明书/Game说明书/锂电池欧洲澳新通用Warning  instruction，D版带电池走货EU通用29L  WEEE说明书，MA  3L  PDQ
Remark: 1.无须客户第三方验货但是需要在7/13提供验货图片(含不良图），待客人放货后才能安排走货。
2.需要在货期前一个月安排样品给客户评估（非测试，包装无要求）。
3.外箱正唛需要贴产品图片贴纸，箱唛印4面-2*正唛+2*侧唛。
4.此单出德国，需准时出货；微塑料需符合法规；所有出往GAS市场(德国/奥地利/瑞士)订单，化学品需无硼无香版本；对于欧洲带电池的玩具，使用新标识的电池
以及新说明书。
5.所有出往欧洲订单的电子产品需增加一张通用  29L  WEEE声明说明书，区分带电池出货和不带电池出货版本
6.所有出往GAS市场(德国/奥地利/瑞士)的电子产品身上需要加字唛，为ZURU  FRANCE  地址，需跟包装上的地址一致    （如该电子产品无法打上字唛但是可以在产品上
加贴纸，需让对应跟单提供产品贴纸资料。如无电子产品；或产品布标有此地址；或产品太小既无法增加字唛也无法加上贴纸，可忽略此信息。）
新地址：ZURU  France  33  rue  Paul  Meurice  75020  Paris,  France
旧地址：ZURU  France  1/3,  Rue  d'Argenteuil  95210  SAINT-GRATIEN,  FRANCE
7.标准配比</t>
    </r>
  </si>
  <si>
    <r>
      <rPr>
        <sz val="11"/>
        <rFont val="宋体"/>
        <charset val="134"/>
      </rPr>
      <t>Nicole</t>
    </r>
    <r>
      <rPr>
        <sz val="11"/>
        <color rgb="FF000000"/>
        <rFont val="宋体"/>
        <charset val="134"/>
      </rPr>
      <t xml:space="preserve">  Ye</t>
    </r>
  </si>
  <si>
    <t>MTA TRADE - UNITY</t>
  </si>
  <si>
    <t>4500211547-20</t>
  </si>
  <si>
    <t>7/6进口商贴纸+QR 贴纸（一物一码）</t>
  </si>
  <si>
    <t>日期码格式：ZURU INC(BVI) 标准格式                  日期：按实际生产日期
Packaging Info: 最新MA UPC包装+进口商贴纸+QR 贴纸（一物一码）
Remark: 1.包装：MA UPC包装+进口商贴纸+QR 贴纸
2. QR 贴纸要求：  需包含产品型号（item）+ 序列号，二维码（QR code）正方形边长 1.5cm 。
材质与粘性：采用与进口商贴纸一致的材质，强粘性、不易脱落/掉色。
印刷与尺寸：印刷质量不低于 1.5c，整体贴纸尺寸为 3×3cm（正方形）。尺寸要根据产品包装的实际大小调整，保持整体美观，二维码清晰可扫。
 3. 二维码贴纸位置要远离包装上的条码及其他二维码，  贴在背面。
 4. QR code贴纸（要求一物一码，每PCS的二维码不一样）;
 5. QR code 格式 ：DATA MATRIX GS1 ；
 6. 若多个柜子，BY TRAIN 要求带电池/不带电池不同柜；装柜时同一款必须放在同一个柜子里。
 7. 整张单走EXW。</t>
  </si>
  <si>
    <t>4500203222</t>
  </si>
  <si>
    <r>
      <rPr>
        <sz val="11"/>
        <rFont val="宋体"/>
        <charset val="134"/>
      </rPr>
      <t xml:space="preserve">日期码格式：ZURU INC(BVI) 标准格式 日期：按实际生产日期
Packaging Info: 1.优先多语 MA UPC或者3L/5L MA EAN 包装
2.请确保包装上的条形码是UPC，如果是babyUPC、需要用mother UPC覆盖，如有不一致，请及时提出。谢谢!
 </t>
    </r>
    <r>
      <rPr>
        <sz val="11"/>
        <color rgb="FFFF0000"/>
        <rFont val="宋体"/>
        <charset val="134"/>
      </rPr>
      <t xml:space="preserve">3 .MA PDQ 优先用3L,MA 只有1L版本的情况下就用1L PDQ
 4.此单MA 3L UPC/EAN 包装（EAN 包装需要用UPC贴纸覆盖）+箱唛
</t>
    </r>
    <r>
      <rPr>
        <sz val="11"/>
        <rFont val="宋体"/>
        <charset val="134"/>
      </rPr>
      <t xml:space="preserve"> MEC426:MA多语EAN包装+mother UPC 193052101600 贴纸+MA 多语说明书+MA多语收藏指南+箱唛
Remark:
 77794: RECHARGEABLE LITHIUM BATTERY(INCLUDED)</t>
    </r>
  </si>
  <si>
    <t>6/12UPC 贴纸</t>
  </si>
  <si>
    <t xml:space="preserve">日期码格式：ZURU INC(BVI) 标准格式                  日期：按实际生产日期
Packaging Info: 1.优先多语 MA UPC或者3L/5L MA EAN 包装
2.请确保包装上的条形码是UPC，如果是babyUPC、需要用mother UPC覆盖，如有不一致，请及时提出。谢谢!
77794 MA 多语EAN 包装+UPC 贴纸+MA 多语说明书/+MA 多语收藏指南+箱唛
Remark: 
MEC426 77794: RECHARGEABLE LITHIUM BATTERY(INCLUDED) 77772: 4  mini vinyls,1 accessory
 77772 N/A but with electric circuit(EU/UK WEEE IM is required) 4  mini vinyls,1 accessory
 77794 RECHARGEABLE LITHIUM BATTERY(INCLUDED)
</t>
  </si>
  <si>
    <t>4500204176</t>
  </si>
  <si>
    <t>日期码格式：ZURU INC(BVI) 标准格式                  日期：按实际生产日期
Packaging Info: MEC426: MA 3L 展示架
77772: MA 3L EAN (4894680051133)收缩膜，法国/西班牙回收标贴纸，MA内袋，MA 5L收藏指南，  MA 23L组装说明
明书，  MA 3L PDQ
Remark: 1.大货样品2套，请多备料。
 2. 出口欧洲，所有产品微塑料需符合法规。
 3. 产品、包装、外箱日期码需一致。
 4. 空白纸箱: 在正唛（只1面）加多虚线15 x 10.5 cm ( 高x 宽) 距箱左边2cm，  距箱底 3cm，虚线内1张外箱贴纸（在checkpoint网站上订）Custeomer Service:
 Erica Lun Tel.+852 2995 8399/erica.lun@checkpt.com
 5. 所有包装材料禁止使用PVC，需改用PET材料。
 6. 要求使用双坑纸箱，外箱尺寸超出7%有350USD的罚款，请注意外箱尺寸变更不能超出7%。下表客人系统外箱尺寸FYI.
8.所有出往欧洲市场订单的电子产品需增加一张WEEE声明说明书，区分带电池和不带电池版本, 如已做客版说明书可忽略此要求。</t>
  </si>
  <si>
    <t>4500205047</t>
  </si>
  <si>
    <t>62109803</t>
  </si>
  <si>
    <t>8/9监柜</t>
  </si>
  <si>
    <t>7/22进口商贴纸+7/7价标贴纸+7/22保证书+包装/说明书都需要贴一张贴纸，客版彩盒翻单PO4500199646</t>
  </si>
  <si>
    <t>2000009904</t>
  </si>
  <si>
    <t>一张进口商贴纸+一张产品贴纸+最新MA 5L收藏指南+最新MA 23L说明书+一张weeee说明书纸，都翻4500199646+一张空白贴纸（覆盖条码）</t>
  </si>
  <si>
    <t>客版日期码LOT2629, 包装（含收缩膜等）/产品/外箱 请保持一致</t>
  </si>
  <si>
    <t>8AEWLK5D</t>
  </si>
  <si>
    <t>4500209616-10</t>
  </si>
  <si>
    <t>7/8 寄出SSCC  LABEL+贴纸资料翻单#4500204288</t>
  </si>
  <si>
    <t>日期码格式：ZURU  INC(BVI)  标准格式                                    日期：按实际生产日期
Packaging Info: #77794:    MA  3L版包装+UPC贴纸，贴纸资料翻单#4500204288。
Remark: 1.  Amazon  FOB订单，出口CA。外箱最长边不能超过25"    （超过了，case  pack只能为1），不符合要求的大货，   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 邮包盒上要印刷日期码</t>
  </si>
  <si>
    <t>4500207499</t>
  </si>
  <si>
    <t>4500207499-100</t>
  </si>
  <si>
    <t>日期码格式：ZURU INC(BVI) 标准格式                  日期：按实际生产日期
Packaging Info: 
77794UQ1:MA 3L PDQ包装+MA 3L EAN包装(+UPC 条码贴纸)+进口商贴纸+箱唛
Remark: 客户有监装要求，每款需要各准备1pc监柜样板</t>
  </si>
  <si>
    <t>4500204898</t>
  </si>
  <si>
    <t>2R16UEWR</t>
  </si>
  <si>
    <t>4500204898-10</t>
  </si>
  <si>
    <t>日期码格式：ZURU INC(BVI) 标准格式 日期：按实际生产日期
Packaging Info: Amazon UK ：2R16UEWR
UK(77794)
1. 77794:VINYL-SERIES 1, PLAYSET-CUBE,16PCS/CTN,RECHARGEABLE LITHIUM BATTERY(INCLUDED); MA 3L(3L warning EAN) B版彩盒+23L 说明书+23L欧洲澳新通
用Warning instruction+其它MA 最新配套包装+2张贴纸（1张UPC, 1张IT环保标+DE/IT警告语贴纸，贴彩盒，翻单4500204845)+带电池D版WEEE说明书+外箱锂电池贴
纸
2. 最晚验货时间7/27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,&lt;(&gt;,&lt;)&gt; 此要求只适用Amazon UK/DE
/FR/ES/IT,不适用Amazon GPE，Amazon GPE无SSCC label, 但是有对应箱唛，需印刷到外箱 。
2.出往UK的产品+包装务必打上UKCA logo ，否则客人会退货且当地会有罚款。Amazon GPE（包含UK/FR/ES/DE/IT）的订单也需满足此要求。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故此请严格把关。Amazon GPE（包含UK/FR/ES/DE/IT）的订单也需满足此要求。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
9. 无论是工厂自检还是ZURU验货，验货报告中必须有产品6面图(正面/背面/左面/右面/顶部/底部，不带包装);
10. 按空海运鉴定报告的要求，只要带锂电池出货，都需要加贴UN贴纸；
11. 所有出往GAS市场(德国/奥地利/瑞士)的电子产品身上需要加字唛，为ZURU FRANCE 地址，需跟包装上的地址一致 (如无电子产品，产品布标有此地址，或产品
太小无法增加可忽略此信息。如产品无法加字唛，需让对应跟单提供产品贴纸资料);（Amazon GPE的订单也需满足此要求）
12. 所有出往GAS德国 (瑞士，奥地利)。水弹枪系列必须使用EN71版本（电子和非电子水弹枪系列都需要符合); 护目镜需打日期码, 格式跟ZURU标准格式一样; 枪
身上增加ZURU FRANCE公司名和地址。使用贴纸和辐射上去都可以。如果有位置，最好增加ZURU Represented by: (此最好翻译德语，如果位置不允许，那么就只增
加ZURU法国和地址)。使用最新的EN71版包装和说明书）。Amazon GPE（包含UK/FR/ES/DE/IT）的订单也需满足此要求。</t>
  </si>
  <si>
    <t>4500203173</t>
  </si>
  <si>
    <t>UPC翻单4500192784。</t>
  </si>
  <si>
    <t>4500206888</t>
  </si>
  <si>
    <t>002880512235</t>
  </si>
  <si>
    <t>ZB07496-8.17</t>
  </si>
  <si>
    <t>4500206886</t>
  </si>
  <si>
    <t>012030512319</t>
  </si>
  <si>
    <t>ZB07495-8.17</t>
  </si>
  <si>
    <t>4500206881</t>
  </si>
  <si>
    <t>009600512468</t>
  </si>
  <si>
    <t>4500206887</t>
  </si>
  <si>
    <t>002620512312</t>
  </si>
  <si>
    <t>ZB07405-8.17</t>
  </si>
  <si>
    <t>4500206880</t>
  </si>
  <si>
    <t>010520512306</t>
  </si>
  <si>
    <t>ZB07404-8.17</t>
  </si>
  <si>
    <t>4500206882</t>
  </si>
  <si>
    <t>001790512273</t>
  </si>
  <si>
    <t>4500206884</t>
  </si>
  <si>
    <t>002670512373</t>
  </si>
  <si>
    <t>ZB07493-8.17</t>
  </si>
  <si>
    <t>4500206889</t>
  </si>
  <si>
    <t>009600512469</t>
  </si>
  <si>
    <t>ZB07555-8.17</t>
  </si>
  <si>
    <t>4500212151-260</t>
  </si>
  <si>
    <t>6/30确认</t>
  </si>
  <si>
    <t>日期码格式：ZURU  INC(BVI)  标准格式                                    日期：按实际生产日期
Packaging Info: 77794UQ1  MA  多语UPC包装+UPC贴纸+箱唛，无客户贴纸（包装上的条码必须是UPC），UPC贴纸翻单PO4500199743
Remark：</t>
  </si>
  <si>
    <t>4500210819-40</t>
  </si>
  <si>
    <t>4500199550</t>
  </si>
  <si>
    <t>26000056</t>
  </si>
  <si>
    <t>4500199550-10</t>
  </si>
  <si>
    <t>此票无需客户验货，请多备料1套左右</t>
  </si>
  <si>
    <t xml:space="preserve">日期码格式：2071526  </t>
  </si>
  <si>
    <t>日期码格式：2071526                  日期：
Packaging Info: 翻PO4500194798
Remark: 1.此票无需客户验货，请多备料1套左右
2.请准备每款5pcs产品包装备品，和大货一起出（以备到客户仓库后有破损的包装）
3.所有出口法国的产品, 法规规定禁止在包装和共公众用的印刷品中使用矿物油中含有的物质, 包装印刷油墨中含有的MOAH/MOSH的质量浓度不能超过1%, 否则出货
到法国被抽检出现问题, 供应商需要对此负责;
4.出口法国请确保产品符合EU微塑料法规，包装需显示法国回收logo;</t>
  </si>
  <si>
    <t>ZMPO260810-20</t>
  </si>
  <si>
    <t>Remark；如左图两款散件为一套/一套装一个袋子；备注： 收到样品订单后尽快安排 ，谢谢！</t>
  </si>
  <si>
    <t>4500210819-10</t>
  </si>
  <si>
    <t>4500206879</t>
  </si>
  <si>
    <t>013760512287</t>
  </si>
  <si>
    <t>ZB07464-8.17</t>
  </si>
  <si>
    <t>4500206890</t>
  </si>
  <si>
    <t>001790512274</t>
  </si>
  <si>
    <t>ZB07556-8.17</t>
  </si>
  <si>
    <t>009600512470</t>
  </si>
  <si>
    <t>0038069891</t>
  </si>
  <si>
    <t>0038102401</t>
  </si>
  <si>
    <t>4500209267</t>
  </si>
  <si>
    <t>009600605170</t>
  </si>
  <si>
    <t>F</t>
  </si>
  <si>
    <t>488390217932</t>
  </si>
  <si>
    <t>4500209975-10</t>
  </si>
  <si>
    <t>4500207376</t>
  </si>
  <si>
    <t>5200010096</t>
  </si>
  <si>
    <t>4500207376-10</t>
  </si>
  <si>
    <t>5/22 确认</t>
  </si>
  <si>
    <t>日期码格式：ZURU  INC(BVI)  标准格式                                    日期：按实际生产日期
Packaging Info: #77794:    MA  3L版包装+UPC贴纸，贴纸资料翻单#4500204288，UPC:193052090409。
Remark: 1.Amazon  domestic  订单。出口加拿大。外箱最长边不能超过25"    （超过了，case  pack只能为1），不符合要求的大货，   一律不接受。
2.无第三方验货/测试要求。
3. 日期码使用ZURU标准版本。
4.如果大货有要求入邮包盒，则对应的邮包盒上面要打上日期码。</t>
  </si>
  <si>
    <t>4500203946-10</t>
  </si>
  <si>
    <t>4500212042-10</t>
  </si>
  <si>
    <t>7/17外箱地址贴+WEEE  30L  带电池说明书  C+锂电池欧洲澳新  62115警语--单独说明书+6/26 PDQ  底部贴纸-35063389172337(Batch#15514)</t>
  </si>
  <si>
    <t>日期码格式：ZURU INC(BVI) 标准格式 日期：按实际生产日期
Packaging Info:77794UQ1: MA UPC 1L（193052090409）+MA PDQ(含锂电池，外箱+logo)+WEEE 30L 带电池说明书 C+锂电池欧洲澳新 62115警语--单独说明书+PDQ 底部贴纸-350633
89172337(Batch#15514)+制造商PDQ/展示架通用贴纸
Remark: 1.订单出英国，请注意检查产品及包装应带CE/UKCA图标，包装需要显示ZURU UKLTD/ZURU France地址信息，QC同事请查核，如有问题与跟单确认。
2.生产日期按实际的（法定工作日），按ZURU标准格式即可，并需要在出货前提供每个产品外包上对应的生产日期明细
3.请注意所有订单都需要经过ZURU QC验货加提供客版自检报告审核且通过后方可出货
4.不接受一个款有多个条码，存在这个情况请让ZURU提供条码贴纸
5.外箱上的条码请确保清晰可扫描，有PDQ，需要在PDQ底部贴一张带条码并可扫描的贴纸(ZURU 跟单提供模板）。
6. 根据欧盟最新的法规要求，需要在PDQ/展示架/外箱上增加ZURU 信息如下:
外箱：
ZURU FRANCE. 33 rue Paul Meurice 75020 Paris, France.
care@zuru.com
针对于含有展示架/PDQ的款:（附上通用贴纸):
ZURU INC. ROOM 1202, ENERGY PLAZA, NO.92 GRANVILLE ROAD, TSIM SHA TSUI EAST, KOWLOON, HONG KONG. / ZURU UK LIMITED. Ground Floor, Templeback, 10
Temple Back, Bristol, United Kingdom, BS16FL. / ZURU FRANCE. 33 rue Paul Meurice 75020 Paris, France. / ZURU DENMARK APS. OSLO PLADS 2, 2100 K
BENHAVN , DENMARK.
care@zuru.com
7.所有产品按符合欧洲标准走货，微塑料需合规并增加IFUD声明，含电池的需要增加WEEE说明书。
8.请额外准备一套大货样</t>
  </si>
  <si>
    <t>4500206279-60</t>
  </si>
  <si>
    <t>日期码格式：ZURU INC(BVI) 标准格式                  日期：按实际生产日期
Packaging Info: 1. 出口美国，MA UPC 版本包装，优先1L。
2.
77794UQ1, UPC:193052090409, 内含可充电锂电池。
Remark: 3. ZURU QC 验货即可。</t>
  </si>
  <si>
    <t>4500211827-10</t>
  </si>
  <si>
    <t>带电池D版WEEE说明书+2张贴纸（1张UPC, 1张IT环保标，贴彩盒，翻单4500204845)+7/3SSCC LABEL一张</t>
  </si>
  <si>
    <t>日期码格式：ZURU INC(BVI) 标准格式                  日期：按实际生产日期
Packaging Info: Amazon DE:7CA53GMI/1N5WS9CJ
Amazon ES:6ZLILVLI
Amazon FR:1FANRX6Y/11Q8F7PF
Amazon IT:45M4YLRZ/1MOP7DLG
Amazon UK:37GIGEWW
DE(77794/77876)/ES(77794/77876)/FR(77794/77876)/IT(77794/77876)/UK(77794)
 2. 77794:VINYL-SERIES 1, PLAYSET-CUBE,16PCS/CTN,RECHARGEABLE LITHIUM BATTERY(INCLUDED);  MA 3L(3L warning EAN) B版彩盒+23L 说明书+23L欧洲澳新通
用Warning instruction+其它MA 最新配套包装+2张贴纸（1张UPC, 1张IT环保标+DE/IT警告语贴纸，贴彩盒，翻单4500204845)+带电池D版WEEE说明书+外箱锂电池贴
纸
 3. 最晚验货时间8/3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,&lt;(&gt;,&lt;)&gt; 此要求只适用Amazon UK/DE
/FR/ES/IT,不适用Amazon GPE，Amazon GPE无SSCC label, 但是有对应箱唛，需印刷到外箱 。
2.出往UK的产品+包装务必打上UKCA logo ，否则客人会退货且当地会有罚款。Amazon GPE（包含UK/FR/ES/DE/IT）的订单也需满足此要求。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故此请严格把关。Amazon~ GPE（包含UK/FR/ES/DE/IT）的订单也需满足此要求。
-油墨物质""""""""由1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
 9. 无论是工厂自检还是ZURU验货，验货报告中必须有产品6面图(正面/背面/左面/右面/顶部/底部，不带包装);
 10. 按空海运鉴定报告的要求，只要带锂电池出货，都需要加贴UN贴纸；
 11. 所有出往GAS市场(德国/奥地利/瑞士)的电子产品身上需要加字唛，为ZURU FRANCE 地址，需跟包装上的地址一致 (如无电子产品，产品布标有此地址，或产品
太小无法增加可忽略此信息。如产品无法加字唛，需让对应跟单提供产品贴纸资料);（Amazon GPE的订单也需满足此要求）
 12. 所有出往GAS德国 (瑞士，奥地利)。水弹枪系列必须使用EN71版本（电子和非电子水弹枪系列都需要符合); 护目镜需打日期码, 格式跟ZURU标准格式一样; 枪
身上增加ZURU FRANCE公司名和地址。使用贴纸和辐射上去都可以。如果有位置，最好增加ZURU Represented by: (此最好翻译德语，如果位置不允许，那么就只增
加ZURU法国和地址)。使用最新的EN71版包装和说明书）。Amazon GPE（包含UK/FR/ES/DE/IT）的订单也需满足此要求。</t>
  </si>
  <si>
    <t>4500211827-30</t>
  </si>
  <si>
    <t>4500211827-50</t>
  </si>
  <si>
    <t>日期码格式：ZURU INC(BVI) 标准格式                  日期：按实际生产日期
Packaging Info: Amazon DE:7CA53GMI/1N5WS9CJ
Amazon ES:6ZLILVLI
Amazon FR:1FANRX6Y/11Q8F7PF
Amazon IT:45M4YLRZ/1MOP7DLG
Amazon UK:37GIGEWW
DE(77794/77876)/ES(77794/77876)/FR(77794/77876)/IT(77794/77876)/UK(77794)
1. 77876:2pk 77772 VINYL into PVC tube,12tubes/ctn; 77772: 移除Lola Young vinyl款; 客版 3L(3L warning 无条码,新UK地址,翻单4500198654)收缩膜+客版
收藏指南(移除Lola Young vinyl款,更新歌手名字，翻单4500208529)+MA 23L warning A组装黑白说明书+MA其它最新配套包装+客版3L(3L warning UPC)彩卡(新UK
地址,翻单4500198654)+1张贴纸(1张含DE/IT警告语+IT环保标, 贴彩卡, 贴纸翻单PO4500198642)
 2. 77794:VINYL-SERIES 1, PLAYSET-CUBE,16PCS/CTN,RECHARGEABLE LITHIUM BATTERY(INCLUDED);  MA 3L(3L warning EAN) B版彩盒+23L 说明书+23L欧洲澳新通
用Warning instruction+其它MA 最新配套包装+2张贴纸（1张UPC, 1张IT环保标+DE/IT警告语贴纸，贴彩盒，翻单4500204845)+带电池D版WEEE说明书+外箱锂电池贴
纸
 3. 最晚验货时间8/3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,&lt;(&gt;,&lt;)&gt; 此要求只适用Amazon UK/DE
/FR/ES/IT,不适用Amazon GPE，Amazon GPE无SSCC label, 但是有对应箱唛，需印刷到外箱 。
2.出往UK的产品+包装务必打上UKCA logo ，否则客人会退货且当地会有罚款。Amazon GPE（包含UK/FR/ES/DE/IT）的订单也需满足此要求。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故此请严格把关。Amazon~ GPE（包含UK/FR/ES/DE/IT）的订单也需满足此要求。
-油墨物质""""""""由1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
 9. 无论是工厂自检还是ZURU验货，验货报告中必须有产品6面图(正面/背面/左面/右面/顶部/底部，不带包装);
 10. 按空海运鉴定报告的要求，只要带锂电池出货，都需要加贴UN贴纸；
 11. 所有出往GAS市场(德国/奥地利/瑞士)的电子产品身上需要加字唛，为ZURU FRANCE 地址，需跟包装上的地址一致 (如无电子产品，产品布标有此地址，或产品
太小无法增加可忽略此信息。如产品无法加字唛，需让对应跟单提供产品贴纸资料);（Amazon GPE的订单也需满足此要求）
 12. 所有出往GAS德国 (瑞士，奥地利)。水弹枪系列必须使用EN71版本（电子和非电子水弹枪系列都需要符合); 护目镜需打日期码, 格式跟ZURU标准格式一样; 枪
身上增加ZURU FRANCE公司名和地址。使用贴纸和辐射上去都可以。如果有位置，最好增加ZURU Represented by: (此最好翻译德语，如果位置不允许，那么就只增
加ZURU法国和地址)。使用最新的EN71版包装和说明书）。Amazon GPE（包含UK/FR/ES/DE/IT）的订单也需满足此要求。</t>
  </si>
  <si>
    <t>4500211827-70</t>
  </si>
  <si>
    <t>日期码格式：ZURU INC(BVI) 标准格式                  日期：按实际生产日期
Packaging Info: Amazon DE:7CA53GMI/1N5WS9CJ
Amazon ES:6ZLILVLI
Amazon FR:1FANRX6Y/11Q8F7PF
Amazon IT:45M4YLRZ/1MOP7DLG
Amazon UK:37GIGEWW
DE(77794/77876)/ES(77794/77876)/FR(77794/77876)/IT(77794/77876)/UK(77794)
 2. 77794:VINYL-SERIES 1, PLAYSET-CUBE,16PCS/CTN,RECHARGEABLE LITHIUM BATTERY(INCLUDED);  MA 3L(3L warning EAN) B版彩盒+23L 说明书+23L欧洲澳新通
用Warning instruction+其它MA 最新配套包装+2张贴纸（1张UPC, 1张IT环保标+DE/IT警告语贴纸，贴彩盒，翻单4500204845)+带电池D版WEEE说明书+外箱锂电池贴
纸
 3. 最晚验货时间8/3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,&lt;(&gt;,&lt;)&gt; 此要求只适用Amazon UK/DE
/FR/ES/IT,不适用Amazon GPE，Amazon GPE无SSCC label, 但是有对应箱唛，需印刷到外箱 。
2.出往UK的产品+包装务必打上UKCA logo ，否则客人会退货且当地会有罚款。Amazon GPE（包含UK/FR/ES/DE/IT）的订单也需满足此要求。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故此请严格把关。Amazon~ GPE（包含UK/FR/ES/DE/IT）的订单也需满足此要求。
-油墨物质""""""""由1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
 9. 无论是工厂自检还是ZURU验货，验货报告中必须有产品6面图(正面/背面/左面/右面/顶部/底部，不带包装);
 10. 按空海运鉴定报告的要求，只要带锂电池出货，都需要加贴UN贴纸；
 11. 所有出往GAS市场(德国/奥地利/瑞士)的电子产品身上需要加字唛，为ZURU FRANCE 地址，需跟包装上的地址一致 (如无电子产品，产品布标有此地址，或产品
太小无法增加可忽略此信息。如产品无法加字唛，需让对应跟单提供产品贴纸资料);（Amazon GPE的订单也需满足此要求）
 12. 所有出往GAS德国 (瑞士，奥地利)。水弹枪系列必须使用EN71版本（电子和非电子水弹枪系列都需要符合); 护目镜需打日期码, 格式跟ZURU标准格式一样; 枪
身上增加ZURU FRANCE公司名和地址。使用贴纸和辐射上去都可以。如果有位置，最好增加ZURU Represented by: (此最好翻译德语，如果位置不允许，那么就只增
加ZURU法国和地址)。使用最新的EN71版包装和说明书）。Amazon GPE（包含UK/FR/ES/DE/IT）的订单也需满足此要求。</t>
  </si>
  <si>
    <t>4500211827-80</t>
  </si>
  <si>
    <t>37GIGEWW</t>
  </si>
  <si>
    <t>4500211827-100</t>
  </si>
  <si>
    <t>4500211827-110</t>
  </si>
  <si>
    <t>4500211827-130</t>
  </si>
  <si>
    <t>日期码格式：ZURU INC(BVI) 标准格式 日期：按实际生产日期
Packaging Info:
"MEC426：MA展示架
77794： 最新MA 3L EAN包装+一张客户进口商贴纸+MA 说明书+WEEE带电池走货欧洲29L通用黑白说明书；
Remark: 1.此单有第三方验货，请多备料。
2. 此单出葡萄牙，需满足EU测试标准，微塑料需符合法规。
product 产品上的标识：重要
从现在起，所有订单中的玩具都必须带有 CE 和 CMIM 标志。对于电动/电子玩具，除了 CE 和 CMIM 标志外，还必须带有 WEEE 标志。
所有这些标志都必须直接刻在或印在产品上（不接受贴纸形式）。
包装材料：重要
1. 包装材料中禁止使用 PVC 和 PS/EPS；
2. 不允许使用多材料包装（如金属和塑料袋），并且艺术品的纸张不得有塑料涂层或贴膜；
3. 只有在没有其他选择的情况下才允许使用 ABS、TPU 和尼龙，且仅限于小针扣或绳子；
Polybag：如果订单中的任何物品用Polybag包装，请确保袋子上有含如下PT 警告语。
EN ：WARNING: Plastic bags can be dangerous! To avoid danger of suffocation, keep this plastic bag away from babies and children!
PT ：ATEN O: Os sacos de plástico podem ser perigosos! Para evitar o risco de asfixia mantenha este saco de plástico fora do alcance de bebé
s e crian as!</t>
  </si>
  <si>
    <t>4500213229-50</t>
  </si>
  <si>
    <t>日期码格式：ZURU INC(BVI) 标准格式                  日期：按实际生产日期
Packaging Info: MA UPC 英语包装（优先1L英语版本，或者3L/5L含英语都可）
Remark: 此单出口澳大利亚/新西兰, 请按澳新标准生产. 如产品含纽扣电池出货, 包装前面和说明书上需加纽扣电池警语贴纸。
#77794：RECHARGEABLE LITHIUM BATTERY(INCLUDED)</t>
  </si>
  <si>
    <t>4500208215</t>
  </si>
  <si>
    <t>16464361</t>
  </si>
  <si>
    <t>4500208215-40</t>
  </si>
  <si>
    <t>6/29价格贴纸    （覆盖产品UPC  条码，不能覆盖到made  in  China  字样）+  7/22客供外箱贴纸</t>
  </si>
  <si>
    <t>4500206930</t>
  </si>
  <si>
    <t>4500206930-20</t>
  </si>
  <si>
    <t>请每款安排寄3  套成品到SGS  实验室安排测试，测试pass  后才能出货。大货样需严格跟到测试样。</t>
  </si>
  <si>
    <t>8/14交仓</t>
  </si>
  <si>
    <t>7/21日语警语贴纸+6/22外箱需贴正方形防火贴纸(一箱贴一张)</t>
  </si>
  <si>
    <r>
      <rPr>
        <sz val="11"/>
        <color rgb="FF000000"/>
        <rFont val="宋体"/>
        <charset val="134"/>
      </rPr>
      <t>日期码格式：ZURU INC(BVI) 标准格式 日期：按实际生产日期
Packaging Info: 
77794UQ1：MA UPC PKG+1张日语警语贴纸+</t>
    </r>
    <r>
      <rPr>
        <sz val="11"/>
        <color rgb="FFFF0000"/>
        <rFont val="宋体"/>
        <charset val="134"/>
      </rPr>
      <t>各1张年龄贴纸6+覆盖彩盒跟说明书上的年龄</t>
    </r>
    <r>
      <rPr>
        <sz val="11"/>
        <color rgb="FF000000"/>
        <rFont val="宋体"/>
        <charset val="134"/>
      </rPr>
      <t xml:space="preserve">
外箱需贴正方形防火贴纸(一箱贴一张)
Remark: 1.新款需测试：请每款安排寄3 套成品到SGS 实验室安排测试，测试pass 后才能出货。大货样需严格跟到测试样。
2. 请多备几个外箱出货，避免外箱到仓库后出现破损情况。
3. 此单出日本，需符合日本市场测试要求</t>
    </r>
  </si>
  <si>
    <t>4500209239</t>
  </si>
  <si>
    <t>86543</t>
  </si>
  <si>
    <t>4500209239-10</t>
  </si>
  <si>
    <t>日期码格式： ZURU INC(BVI) 标准格式 日期：按实际生产日期
Packaging Info: 77794UQ1: 客版PDQ（翻单PO#4500197867）+1张MA的锂电池警语书纸+1张客人通用进口商贴纸（贴纸跟位置图翻单PO#4500193524）+箱唛
Remark: 1.按实际生产日期;
2.出澳大利亚，请按照相应标准生产;</t>
  </si>
  <si>
    <t>4500208214</t>
  </si>
  <si>
    <t>16464350</t>
  </si>
  <si>
    <t>4500208214-40</t>
  </si>
  <si>
    <t>7/3价格贴纸    （覆盖产品UPC  条码，不能覆盖到made  in  China  字样）+  客供外箱贴纸</t>
  </si>
  <si>
    <t>27WC2PAC</t>
  </si>
  <si>
    <t>4500212614-30</t>
  </si>
  <si>
    <t>7ZV9G9YM</t>
  </si>
  <si>
    <t>4500212614-40</t>
  </si>
  <si>
    <t>13LHGI3I</t>
  </si>
  <si>
    <t>4500212614-70</t>
  </si>
  <si>
    <t>4500211538</t>
  </si>
  <si>
    <t>488419641732</t>
  </si>
  <si>
    <t>4500211538-10</t>
  </si>
  <si>
    <t>UPC贴纸193052090409，  UPC翻单4500192784</t>
  </si>
  <si>
    <t>日期码格式：ZURU INC(BVI) 标准格式                  日期：按实际生产日期
Packaging Info: 77794UQ1 MA多语包装 EAN版本+UPC贴纸193052090409，  UPC翻单4500192784
Remark: 出加拿大
Zuru验货. 日期跟踪码：产品外包装及产品本身都必须有日期跟踪码，ZURU标准格式日期码</t>
  </si>
  <si>
    <t>4500209731-20</t>
  </si>
  <si>
    <t>防盗贴纸 (贴纸以及位置图翻单PO#4500193539）+ 箱唛 + 7/16 外箱SSCC Label</t>
  </si>
  <si>
    <t>日期码格式：ZURU INC(BVI) 标准格式                  日期：按实际生产日期
Packaging Info: 
77794UQ1:客版PDQ（翻单PO#4500197867）  + MA英语UPC版本包装（收缩膜和说明书, MA首选1L，如无1L可用多语且含英语的配套多语包装) +1张锂电池黑白警语书
纸 + 1张防盗贴纸 (贴纸以及位置图翻单PO#4500193539）+ 箱唛 + 外箱SSCC Label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10.所有带纽扣电池的产品都需要在产品包装以及说明书上贴纽扣电池警告语贴纸
此单需要与AU PO#4500209728一起合并计算</t>
  </si>
  <si>
    <t>4500209728-20</t>
  </si>
  <si>
    <t>日期码格式：ZURU INC(BVI) 标准格式                  日期：按实际生产日期
Packaging Info:
77794UQ1:客版PDQ（翻单PO#4500197867）  + MA英语UPC版本包装（收缩膜和说明书, MA首选1L，如无1L可用多语且含英语的配套多语包装) +1张锂电池黑白警语书
纸 + 1张防盗贴纸 (贴纸以及位置图翻单PO#4500193539）+ 箱唛 + 外箱SSCC Label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10.所有带纽扣电池的产品都需要在产品包装以及说明书上贴纽扣电池警告语贴纸
此单需要与NZ PO#4500209731一起合并计算</t>
  </si>
  <si>
    <t>21668148</t>
  </si>
  <si>
    <t>77869-77794-S001-PRODCC1</t>
  </si>
  <si>
    <t>防盗贴纸 (贴纸以及位置图翻单PO#4500193539）+ 箱唛 + 7/14外箱SSCC Label</t>
  </si>
  <si>
    <t>21668147</t>
  </si>
  <si>
    <t>005730331535</t>
  </si>
  <si>
    <t>2026/7/29抽板测试10%,2026/8/10第三方验货</t>
  </si>
  <si>
    <t>7/20 确认</t>
  </si>
  <si>
    <r>
      <rPr>
        <sz val="11"/>
        <color rgb="FF000000"/>
        <rFont val="宋体"/>
        <charset val="134"/>
      </rPr>
      <t xml:space="preserve">日期码格式： ZURU INC(BVI) 标准格式 日期：按实际生产日期
Packaging Info: 客版包装: 客版彩盒+ 客版PDQ+客版收缩膜+客版收藏指南+客版说明书+客版纸袋 等其他内包材
Remark: 77896SLT:S001-MINI BRANDS-VINYLS-SERIES 1-1PK PLAYSET AND 3PK CAPSULES-COMBO IN COLOR BOX,120PCS/DISPLAY/SLIP SHEET1. 所有日期码印在彩盒上，产品上也需要印日期码. 按实际生产日期，ZURU 标准版格式的日期码。
2. 客版包装: 客版彩盒+ 客版PDQ+客版收缩膜+客版收藏指南+客版说明书+客版纸袋 等其他内包材
3. 纸箱唛头：纸箱四面，正唛和背面两面都需印刷，其他2面侧面留空,按照箱唛要求排版。
4. 确保展示架在入外箱的时候一定要正面对着有印刷箱唛的那面,不可以装反。
5. 此单是首单出货数量4320pcs, </t>
    </r>
    <r>
      <rPr>
        <sz val="11"/>
        <color rgb="FFFF0000"/>
        <rFont val="宋体"/>
        <charset val="134"/>
      </rPr>
      <t>2026/7/29</t>
    </r>
    <r>
      <rPr>
        <sz val="11"/>
        <color rgb="FF000000"/>
        <rFont val="宋体"/>
        <charset val="134"/>
      </rPr>
      <t>安排做10%抽版测试，最晚</t>
    </r>
    <r>
      <rPr>
        <sz val="11"/>
        <color rgb="FFFF0000"/>
        <rFont val="宋体"/>
        <charset val="134"/>
      </rPr>
      <t>2026/8/10</t>
    </r>
    <r>
      <rPr>
        <sz val="11"/>
        <color rgb="FF000000"/>
        <rFont val="宋体"/>
        <charset val="134"/>
      </rPr>
      <t>完成100%大货安排第三方验货
6. 大货样板:工厂需预留至少6整套测试样用于抽板+3pcs封样（1pc工厂留底待第三方验货使用+2pc寄深圳办公室，需给客人留底)+ 1pc大货样寄深圳办公室拍照用
注意: 首单10%货好时需要安排第三方抽板测试,一般需要7-10 working day 做测试, 当天ITS会在大货抽大货样,测试所需样品以及封样(第三方验货时要用). 大货
样需由工厂寄到深圳office, 由ZURU跟单再转寄客户.待工厂100%完货之后需安排第三方验货, 一般是在ZURU QC验完货之后安排第三方验货(需要同时拿到pass 测
试报告方可进行).</t>
    </r>
  </si>
  <si>
    <t>4500208639</t>
  </si>
  <si>
    <t>219385780</t>
  </si>
  <si>
    <t>4500208639-10</t>
  </si>
  <si>
    <t>日期码格式：ZURU  INC(BVI)  标准格式                                    日期：
Packaging Info: 1.      产品MA  UPC包装（优先1L）出美国
     2.    客人指定箱唛排版
Remark: 出货前  Zuru  QC  验货</t>
  </si>
  <si>
    <t>Agnes  Zheng</t>
  </si>
  <si>
    <t>ZB07406-8.17</t>
  </si>
  <si>
    <t>219385781</t>
  </si>
  <si>
    <t>4500208639-20</t>
  </si>
  <si>
    <t>0044932822</t>
  </si>
  <si>
    <t>4500210450-50</t>
  </si>
  <si>
    <t>日期码格式：ZURU INC(BVI) 标准格式                  日期：按实际生产日期
Packaging Info: 1、包装方式: MA UPC优先1L最新版，出口美国
Remark: 2、无测试无验货要求
 3、纸箱4面印ZURU LOGO + 箱唛
 4、日期码请按ZURU标准版执行即可
 5、ZURU QC验货</t>
  </si>
  <si>
    <t>ZB07466-8.17</t>
  </si>
  <si>
    <t>4500210994</t>
  </si>
  <si>
    <t>4046555051</t>
  </si>
  <si>
    <t>4500210994-40</t>
  </si>
  <si>
    <t>日期码格式：ZURU INC(BVI) 标准格式                  日期：按实际生产日期
Packaging Info: 
4.77794UQ1-S002:77794UQ1: MA A3L EAN包装+警告语和MADE IN CHINA都翻译成丹麦瑞典芬兰挪威爱沙尼亚语做成一张贴纸贴在包装上(-贴纸和位置图翻SOK PO#450
0196453)+MA 23L Game说明书+MA 23L锂电池警告语说明书+MA 23L警告语说明书+MA 3L PDQ+WEEE_带电池走货 _ 说明书欧洲EN+29L_D版
Remark: * 请准备1个20尺柜的安全网，客人要求所有柜货需要加安全网出货，漏拉网会有罚款产生
 1. 包装如含PVC,请改为PET
 2. 产品/包装要求无硼无香；
 3. 出欧洲，微塑料需合规。
4.带电池出货的产品所用到的电池需要符合欧洲电池新规(EU) 2023-1542
5.关于贴纸，如果贴纸位置图的包装版本与大货不一致，请工厂提前提出, 跟单会重新调整确认是否更新贴纸或调整位置图
6.产品/包装不含PFAS and/or Bisfenol成分,以及不含石棉成分
7. 产品条码如下: 请先检查条码是否正确再安排做货，如有问题请告知:
71152-S001:4894680042742
9561-S001:4894680042520
9565GQ1-S002:4894680046511
77794UQ1-S002:4894680051430
77772GQ2-S002:4894680051133</t>
  </si>
  <si>
    <t>4500205055</t>
  </si>
  <si>
    <t>684900</t>
  </si>
  <si>
    <t>4500205055-130</t>
  </si>
  <si>
    <t>日期码格式：  标准格式                  日期：按实际生产日期
Packaging Info: 
77794UQ1 MA多语包装 EAN版本+UPC贴纸193052090409，  UPC翻单4500192784
Remark: 出加拿大
Zuru验货. 日期跟踪码：产品外包装及产品本身都必须有日期跟踪码，ZURU标准格式日期码</t>
  </si>
  <si>
    <t>4500209374</t>
  </si>
  <si>
    <t>8/5抽板</t>
  </si>
  <si>
    <t>7/15确认</t>
  </si>
  <si>
    <r>
      <rPr>
        <sz val="11"/>
        <color rgb="FF000000"/>
        <rFont val="宋体"/>
        <charset val="134"/>
      </rPr>
      <t>日期码格式：ZURU INC(BVI) 标准格式 日期：按实际生产日期 Tracking Code:
Packaging Info: 1. 所有日期码印在彩盒上，产品上也需要印日期码. 按实际生产日期，ZURU 标准版格式的日期码。
 2. 纸箱唛头：纸箱四面，正唛和背面两面都需印刷，其他2面侧面留空,按照箱唛要求排版。
 3. 确保展示架在入外箱的时候一定要正面对着有印刷箱唛的那面,不可以装反。
 4.77896SLT-S001:产中10%抽板测试:预计抽板时间</t>
    </r>
    <r>
      <rPr>
        <sz val="11"/>
        <color rgb="FFFF0000"/>
        <rFont val="宋体"/>
        <charset val="134"/>
      </rPr>
      <t>:2026/8/5</t>
    </r>
    <r>
      <rPr>
        <sz val="11"/>
        <color rgb="FF000000"/>
        <rFont val="宋体"/>
        <charset val="134"/>
      </rPr>
      <t xml:space="preserve"> + 第三方验货时间</t>
    </r>
    <r>
      <rPr>
        <sz val="11"/>
        <color rgb="FFFF0000"/>
        <rFont val="宋体"/>
        <charset val="134"/>
      </rPr>
      <t>TBC</t>
    </r>
    <r>
      <rPr>
        <sz val="11"/>
        <color rgb="FF000000"/>
        <rFont val="宋体"/>
        <charset val="134"/>
      </rPr>
      <t xml:space="preserve">
Remark: 77896SLT-S001:S001-MINI BRANDS-VINYLS-SERIES 1-1PK PLAYSET AND 3PK CAPSULES-COMBO IN COLOR BOX,120PCS/DISPLAY/SLIP SHEET
 客版包装: 客版彩盒+ 客版PDQ+日语客版收缩膜+日语组装说明+日语唱片机安装指南+日语客版收藏指南+日语客版说明书+日语锂电池警告语贴纸+客版纸袋 等其他
 内包材+（箱唛参考Costco US PO#4500206891)</t>
    </r>
  </si>
  <si>
    <t>0983717956</t>
  </si>
  <si>
    <t>4500211875-20</t>
  </si>
  <si>
    <t>7/1RFID贴纸</t>
  </si>
  <si>
    <r>
      <rPr>
        <sz val="11"/>
        <color rgb="FF0000FF"/>
        <rFont val="宋体"/>
        <charset val="134"/>
      </rPr>
      <t>日期码格式：ZURU</t>
    </r>
    <r>
      <rPr>
        <sz val="11"/>
        <color rgb="FF0000FF"/>
        <rFont val="宋体"/>
        <charset val="0"/>
      </rPr>
      <t xml:space="preserve">  INC(BVI)  标准格式                                    日期：按实际生产日期
Packaging Info: 77794UQ1-SLB-S001
1.  包装要求：
77794：MA  1L  B版callout纸卡+MA  23L  玩法说明书+MA  23L  警告语说明书+MA  1L  A版  PDQ
每pcs产品要贴一张RFID贴纸，RFID贴纸由ZURU提供，贴纸位置要严格按照客人签板
Remark: 2.  外箱印刷带条码的RFID箱唛：RFID紫色色带+WM  Dept. 图标+RFID图标+ITF-14条码，四面右下角印刷ZURU  logo,  ITFF条码只印刷在正唛一面，在加印的时候确保
条形码能扫描出来，   一张锂电池贴纸贴在有条码的正唛上，外箱侧面任一角落加印："MADE  IN  CHINA"  字样；箱唛翻单：4500196335
   3.  每个slip  sheet上面贴一张艾利贴纸（不干胶贴纸）和一张普通贴纸（A4纸），slip  sheet打印的普通贴纸的尺寸不能比艾利贴纸小，普通贴纸内容见附件；
   4.  在产品上和包装上要有日期码、以及要有MADE  IN  CHINA和ZURU字样；
   5.  产品如有扎带口要剪平，不能刮手。
   6.  此单需要验货，请多备料
   7.  此单以slip  sheet出货，77794：512pcs/64CTN/Slip  sheet</t>
    </r>
  </si>
  <si>
    <t>0983718063</t>
  </si>
  <si>
    <t>4500211875-30</t>
  </si>
  <si>
    <t>8/10BV验货</t>
  </si>
  <si>
    <t>生产8001</t>
  </si>
  <si>
    <t>0983717898</t>
  </si>
  <si>
    <t>8/7 BV验货</t>
  </si>
  <si>
    <t>4500209410</t>
  </si>
  <si>
    <t>4500209410-20</t>
  </si>
  <si>
    <t>7/2确认</t>
  </si>
  <si>
    <t>WEEE带电池出货声明书+MA3LPDQ</t>
  </si>
  <si>
    <t>日期码格式： ZURU INC(BVI) 标准格式 日期：按实际生产日期
Packaging Info: 
77794UQ1:MA3L EAN彩卡+1张PL警示语（含客户进口商信息）贴纸+MA23L说明书+MA23L警告书+WEEE带电池出货声明书+MA3LPDQ
Remark: 1. 此票需通过ZURU OQC验货；
2. 请备多2套大货样品；
3. 此票出波兰，请确保产品符合EU标准，产品请确保符合EU微塑料法规，大货需符合EU市场法规；
4. 此票全部用EAN条码</t>
  </si>
  <si>
    <t>4500211559</t>
  </si>
  <si>
    <t>4500211559-30</t>
  </si>
  <si>
    <t>7/3希腊警语贴纸（含进口商信息）+WEEE_带电池走货 _ 欧洲通用说明书EN+29L-D版”说明书纸</t>
  </si>
  <si>
    <t>日期码格式：ZURU INC(BVI) 标准格式                  日期：按实际生产日期
Packaging Info:
 3. 77794：最新MA 3L EAN tray+最新MA 23L说明书+一张希腊警语贴纸（含进口商信息）+最新MA 23L 62115警语说明书
Remark: 1. 此单出希腊，需要满足EU标准；  产品均符合EU微塑料法规要求：不能含有微塑料闪粉
 2. 本订单所有 具有 baby items / assorted items 的款式，零售包装上都要用 母 EAN;
 3. 带电产品请根据是否带电池出货，自行订购“WEEE_不带/带电池走货 _ 欧洲通用说明书EN+29L-D版”说明书纸
 4.带干燥剂的产品需要加一张“干燥剂说明书14L”
5. 所有PDQ/SIDEKICK/ENDCAP需要贴一张ZURU信息的贴纸</t>
  </si>
  <si>
    <t>4500210043-70</t>
  </si>
  <si>
    <t>6/26进口商贴纸（含葡萄牙警语+西班牙环保标）+一张产品贴纸+一张西/葡weee说明书纸</t>
  </si>
  <si>
    <t>日期码格式：LOT2632 日期：
Packaging Info: 
8. 77794：最新MA 3L EAN tray+最新MA 23L game/warning instruction+最新MA 3L PDQ一张进口商贴纸（含葡萄牙警语+西班牙环保标）+一张产品贴纸+一张西/
葡weee说明书纸
Remark: 1. 订单出欧洲国家-西班牙，产品不能含有闪粉/微塑料，请确保所有包装都有西班牙环保标。
2. 客人格式日期码 LOT2632，包装（含收缩膜等）/产品/外箱 请保持一致。
3. 验货后会抽办1套/item，请多备料。大货样品2套/item，用于客人验货签板，具体以邮件通知为准
4. 需要符合欧洲标准不能含有闪粉和微塑料，否则不合法规会有客诉产生。
5. 硼含量需要符合欧洲标准，否则不合法规会有客诉产生
6. 此客户需要第三方验货，请在约三方验货前必须PASS ZURU验货。
7. 所有带电产品请复核跟单是否有提供客人指定内容的WEEE说明书（不是通用29L版本）
8.带干燥剂的产品需要加一张"干燥剂说明书14L”</t>
  </si>
  <si>
    <t>0983717902</t>
  </si>
  <si>
    <t>4500211875-10</t>
  </si>
  <si>
    <r>
      <rPr>
        <sz val="11"/>
        <color rgb="FF0000CC"/>
        <rFont val="宋体"/>
        <charset val="134"/>
      </rPr>
      <t>日期码格式：ZURU</t>
    </r>
    <r>
      <rPr>
        <sz val="11"/>
        <color rgb="FF0000CC"/>
        <rFont val="宋体"/>
        <charset val="0"/>
      </rPr>
      <t xml:space="preserve">  INC(BVI)  标准格式                                    日期：按实际生产日期
Packaging Info: 77794UQ1-SLB-S001
1.  包装要求：
77794：MA  1L  B版callout纸卡+MA  23L  玩法说明书+MA  23L  警告语说明书+MA  1L  A版  PDQ
每pcs产品要贴一张RFID贴纸，RFID贴纸由ZURU提供，贴纸位置要严格按照客人签板
Remark: 2.  外箱印刷带条码的RFID箱唛：RFID紫色色带+WM  Dept. 图标+RFID图标+ITF-14条码，四面右下角印刷ZURU  logo,  ITFF条码只印刷在正唛一面，在加印的时候确保
条形码能扫描出来，   一张锂电池贴纸贴在有条码的正唛上，外箱侧面任一角落加印："MADE  IN  CHINA"  字样；箱唛翻单：4500196335
   3.  每个slip  sheet上面贴一张艾利贴纸（不干胶贴纸）和一张普通贴纸（A4纸），slip  sheet打印的普通贴纸的尺寸不能比艾利贴纸小，普通贴纸内容见附件；
   4.  在产品上和包装上要有日期码、以及要有MADE  IN  CHINA和ZURU字样；
   5.  产品如有扎带口要剪平，不能刮手。
   6.  此单需要验货，请多备料
   7.  此单以slip  sheet出货，77794：512pcs/64CTN/Slip  sheet</t>
    </r>
  </si>
  <si>
    <t>4500205943</t>
  </si>
  <si>
    <t>60X255461</t>
  </si>
  <si>
    <t>4500205943-10</t>
  </si>
  <si>
    <t>日期码格式：ZURU INC(BVI) 标准格式 日期：按实际生产日期
Packaging Info: 1. 包材：ZURU MA UPC 版本，出口美国；
Remark: 2. 日期跟踪码：ZURU标准格式日期码，产品包装及产品本身都必须有ZURU标准格式日期码，并且确保两者信息保持一致(请自行调整具体年月日生产期，但不能为
周末）。
3. 大货样
#77794UQ1签样同旧单#4500197099 ,但如订单最终出货有物料变更，须提前告知跟单决定是否重新寄签样。
4. 验货+ 抽板 （同一天进行）
预约8月6日第三方（利丰）到工厂做100%大货现场验货和抽板，验货需打印EPM出来跟客户回签样板供
第三方验货参考。
PS:EPM是跟单提供。
抽板：
抽板数量利丰验货员现场针对指定款随机抽板6PCS（须带包装）。
工厂需把抽板寄到以下MTS 地址做测试，测试通过后才能出货；如产品有油漆的工厂需额外准备10G/色的油漆涂在同材质胶件上(面积类似A4纸大小)一并寄出；
实验室收件地址：
东莞现代产品整理服务有限公司（MTS）
广东省东莞市寮步镇新旧围村良平路76号
收件人：Cherry Wang （汪单）
Tel: +86 769- 8112 0818 ext.893
抽板有随样文件TRF（跟单提供），工厂在寄样时打印出来放纸箱内随样寄走。
5. 出货配比：ZURU 标版配比
6. ZURU QA 验货时需拍齐每款角色的产品和产品包装上的日期码照片（供实验室review）
7. 外箱胶带必须按照工字型封箱</t>
  </si>
  <si>
    <t>4500209159</t>
  </si>
  <si>
    <t>45048411811</t>
  </si>
  <si>
    <t>4500209159-30</t>
  </si>
  <si>
    <t>日期码格式：ZURU INC(BVI) 标准格式                  日期：按实际生产日期
Packaging Info:
77772GQ2/77794UQ1：MA 3L PDQ包装+MA 多语 EAN包装+UPC贴纸+箱唛，无客户贴纸
Remark: 需QIMA 验货，无客户签板，请多备料
外箱上的箱唛资料显示客户指定日期20-AUG-2026，产品/包装/外箱可以按ZURU 标准日期码打，也可以跟回外箱日期码，工厂自行选择，两者均可接受</t>
  </si>
  <si>
    <t>4500209827</t>
  </si>
  <si>
    <t>4500209827-10</t>
  </si>
  <si>
    <t>UPC  条码贴纸,UPC显示：193052090409，贴纸AW直接翻单4500194334</t>
  </si>
  <si>
    <t>4500209831</t>
  </si>
  <si>
    <t>4500209831-10</t>
  </si>
  <si>
    <t>日期码格式：ZURU INC(BVI) 标准格式 日期：按实际生产日期
Packaging Info: 1. 包装方式：MA UPC优先1L最新包装，出口美国；
2. 产品和包装上印刷tracking code信息，格式为ZURU常规；
3. ZURU QC 验货合格后即可出货.
Remark:</t>
  </si>
  <si>
    <t>4500204907</t>
  </si>
  <si>
    <t>6TGGIRBG</t>
  </si>
  <si>
    <t>4500204907-10</t>
  </si>
  <si>
    <t>带电池D版WEEE说明书+2张贴纸（1张UPC, 1张IT环保标，贴彩盒，翻单4500204845)+7/16SSCC LABEL一张</t>
  </si>
  <si>
    <r>
      <rPr>
        <sz val="11"/>
        <color rgb="FF000000"/>
        <rFont val="宋体"/>
        <charset val="134"/>
      </rPr>
      <t>日期码格式：ZURU INC(BVI) 标准格式 日期：按实际生产日期
Packaging Info: Amazon UK：6TGGIRBG
UK(77794)
1. 77794:VINYL-SERIES 1, PLAYSET-CUBE,16PCS/CTN,RECHARGEABLE LITHIUM BATTERY(INCLUDED); MA 3L(3L warning EAN) B版彩盒+23L 说明书+23L欧洲澳新通
用Warning instruction</t>
    </r>
    <r>
      <rPr>
        <sz val="11"/>
        <color rgb="FFFF0000"/>
        <rFont val="宋体"/>
        <charset val="134"/>
      </rPr>
      <t>+其它MA 最新配套包装+2张贴纸（1张UPC, 1张IT环保标+DE/IT警告语贴纸，贴彩盒，翻单4500204845)+带电池D版WEEE说明书+外箱锂电池贴
纸</t>
    </r>
    <r>
      <rPr>
        <sz val="11"/>
        <color rgb="FF000000"/>
        <rFont val="宋体"/>
        <charset val="134"/>
      </rPr>
      <t xml:space="preserve">
2. 最晚验货时间8/7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,&lt;(&gt;,&lt;)&gt; 此要求只适用Amazon UK/DE
/FR/ES/IT,不适用Amazon GPE，Amazon GPE无SSCC label, 但是有对应箱唛，需印刷到外箱 。
2.出往UK的产品+包装务必打上UKCA logo ，否则客人会退货且当地会有罚款。Amazon GPE（包含UK/FR/ES/DE/IT）的订单也需满足此要求。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故此请严格把关。Amazon GPE（包含UK/FR/ES/DE/IT）的订单也需满足此要求。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
9. 无论是工厂自检还是ZURU验货，验货报告中必须有产品6面图(正面/背面/左面/右面/顶部/底部，不带包装);
10. 按空海运鉴定报告的要求，只要带锂电池出货，都需要加贴UN贴纸；
11. 所有出往GAS市场(德国/奥地利/瑞士)的电子产品身上需要加字唛，为ZURU FRANCE 地址，需跟包装上的地址一致 (如无电子产品，产品布标有此地址，或产品
太小无法增加可忽略此信息。如产品无法加字唛，需让对应跟单提供产品贴纸资料);（Amazon GPE的订单也需满足此要求）
12. 所有出往GAS德国 (瑞士，奥地利)。水弹枪系列必须使用EN71版本（电子和非电子水弹枪系列都需要符合); 护目镜需打日期码, 格式跟ZURU标准格式一样; 枪
身上增加ZURU FRANCE公司名和地址。使用贴纸和辐射上去都可以。如果有位置，最好增加ZURU Represented by: (此最好翻译德语，如果位置不允许，那么就只增
加ZURU法国和地址)。使用最新的EN71版包装和说明书）。Amazon GPE（包含UK/FR/ES/DE/IT）的订单也需满足此要求。</t>
    </r>
  </si>
  <si>
    <t>4500213130-20</t>
  </si>
  <si>
    <t>7/16SSCC 外箱贴纸</t>
  </si>
  <si>
    <r>
      <rPr>
        <sz val="11"/>
        <color rgb="FF0000FF"/>
        <rFont val="宋体"/>
        <charset val="134"/>
      </rPr>
      <t>日期码格式：ZURU INC(BVI) 标准格式</t>
    </r>
    <r>
      <rPr>
        <sz val="11"/>
        <color rgb="FF0000FF"/>
        <rFont val="宋体"/>
        <charset val="0"/>
      </rPr>
      <t xml:space="preserve">                  日期：按实际生产日期
Packaging Info: Amazon DE: 723E1LJK/1GQC28AP
Amazon DE(15780BD/77794/77876/77878)
 2. 77794: VINYL-SERIES 1, PLAYSET-CUBE,16PCS/CTN,RECHARGEABLE LITHIUM BATTERY(INCLUDED);  MA 3L(3L warning EAN) B版彩盒+23L 说明书+23L欧洲澳新通
用Warning instruction+其它MA 最新配套包装+2张贴纸（1张UPC, 1张IT环保标+DE/IT警告语贴纸，贴彩盒，翻单4500204845)+带电池D版WEEE说明书+外箱锂电池贴
纸
5. 验货时间不迟于2026/08/07.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,&lt;(&gt;,&lt;)&gt; 此要求只适用Amazon UK/DE
/FR/ES/IT,不适用Amazon GPE，Amazon GPE无SSCC label, 但是有对应箱唛，需印刷到外箱 。
2.出往UK的产品+包装务必打上UKCA logo ，否则客人会退货且当地会有罚款。Amazon GPE（包含UK/FR/ES/DE/IT）的订单也需满足此要求。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故此请严格把关。Am~azon GPE（包含UK/FR/ES/DE/IT）的订单也需满足此要求。
-油墨物质""""由1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
 9. 无论是工厂自检还是ZURU验货，验货报告中必须有产品6面图(正面/背面/左面/右面/顶部/底部，不带包装);
 10. 按空海运鉴定报告的要求，只要带锂电池出货，都需要加贴UN贴纸；
 11. 所有出往GAS市场(德国/奥地利/瑞士)的电子产品身上需要加字唛，为ZURU FRANCE 地址，需跟包装上的地址一致 (如无电子产品，产品布标有此地址，或产品
太小无法增加可忽略此信息。如产品无法加字唛，需让对应跟单提供产品贴纸资料);（Amazon GPE的订单也需满足此要求）
 12. 所有出往GAS德国 (瑞士，奥地利)。水弹枪系列必须使用EN71版本（电子和非电子水弹枪系列都需要符合); 护目镜需打日期码, 格式跟ZURU标准格式一样; 枪
身上增加ZURU FRANCE公司名和地址。使用贴纸和辐射上去都可以。如果有位置，最好增加ZURU Represented by: (此最好翻译德语，如果位置不允许，那么就只增
加ZURU法国和地址)。使用最新的EN71版包装和说明书）。Amazon GPE（包含UK/FR/ES/DE/IT）的订单也需满足此要求。</t>
    </r>
  </si>
  <si>
    <t>4500213130-50</t>
  </si>
  <si>
    <t>4500208821</t>
  </si>
  <si>
    <t>45204162</t>
  </si>
  <si>
    <t>4500208821-380</t>
  </si>
  <si>
    <t>日期码格式：  标准格式                  日期：按实际生产日期
Packaging Info: 
77794UQ1 MA多语包装 EAN版本+UPC贴纸193052090409，  UPC翻单4500192784
Remark: 出加拿大
每行对应不同的客户PO，唛头要一一对应，  放唛头时跟单会提供清单
Zuru验货. 日期跟踪码：产品外包装及产品本身都必须有日期跟踪码，ZURU标准格式
日期码</t>
  </si>
  <si>
    <t>4500208146</t>
  </si>
  <si>
    <t>4500208146-20</t>
  </si>
  <si>
    <t>8/11J截SI</t>
  </si>
  <si>
    <t>5000002197</t>
  </si>
  <si>
    <t>4500204935-30</t>
  </si>
  <si>
    <t>77794UQ1-S004-PKC</t>
  </si>
  <si>
    <t>7/14 双坑纸箱</t>
  </si>
  <si>
    <t>中文CCC贴纸+芯片码</t>
  </si>
  <si>
    <t>日期码格式：ZURU INC(BVI) 标准格式                  日期：按实际生产日期
Packaging Info: 物料要求：
2.77794UQ1:MA+MA PDQ+中文警告语+中文说明书+中文CCC贴纸+防窜贴
UPC:193052090409
Remark: 2.外箱材质如下：
  1）毛重小于5kg 外箱纸质 K=B 爆破:1000Kpa 边压:4400N/M;
  2）毛重大于5kg 外箱纸质 K636K 爆破:1400Kpa 边压:6300N/M;
 3. 产品/销售包装/外箱日期码要一致，
4.此产品务必满足国内6P 测试标准，因为可能会被市场监督局抽查，如有问题产生，工厂要负全责
 5. 这张订单做出厂价，我司自行安排车辆去贵司提货，贵司需要配合提供出口报关
 6. 此单所有产品启用防窜码贴纸</t>
  </si>
  <si>
    <t>10001927249-0581</t>
  </si>
  <si>
    <t>4500212076-10</t>
  </si>
  <si>
    <t>7/6 确认</t>
  </si>
  <si>
    <t>7/15条码箱贴纸</t>
  </si>
  <si>
    <r>
      <rPr>
        <sz val="11"/>
        <color rgb="FF0000FF"/>
        <rFont val="宋体"/>
        <charset val="134"/>
      </rPr>
      <t>日期码格式：ZURU</t>
    </r>
    <r>
      <rPr>
        <sz val="11"/>
        <color rgb="FF0000FF"/>
        <rFont val="宋体"/>
        <charset val="0"/>
      </rPr>
      <t xml:space="preserve">  INC(BVI)  标准格式                                    日期：按实际生产日期
Packaging Info: 产品包装  MA  23L黑白警告语说明书+MA  1L  彩盒+MA  1L  PDQ+锂电池标签纸
Remark: 1.77794UQ1-S002-MINI  BRANDS-VINYL-PLAYSET-SERIES  1-CUBE,8PCS/PDQ,8PCS/PDQ/CTN;
   2.  产品包装  MA  23L黑白警告语说明书+MA  1L  彩盒+MA  1L  PDQ;  彩盒上的UPC显示193052090409;
   3.  外箱正唛左上角位置粘贴条码箱贴纸，每箱只贴一张，由ZURU订购。来料贴纸上显示的客户DPCI#  086-02-4085,  UPC显示10193052090406;
   4.  带锂电池出货，需在外箱正面或者侧面合适位置上加贴一张贴锂电池标签纸，由工厂订购；
   5.  产品和包装上均要印刷tracking  code信息，格式为ZURU常规格式；
   6.  需要我司QC验货之后才能安排出货
   7.  出货方式：     货代自提</t>
    </r>
  </si>
  <si>
    <t>4500210963-20</t>
  </si>
  <si>
    <t>D版29L 带电池版的WEEE说明书+6/29 加进口商贴纸</t>
  </si>
  <si>
    <t>日期码格式：ZURU INC(BVI) 标准格式                  日期：按实际生产日期
Packaging Info: 
77794UQ1-S001:MA B版1L UPC Demo用围板+B版5L 收藏指南+23L使用说明书+23L锂电池警告说明书+23L电池使用说明书+D版29L 带电池版的WEEE说明书，+MA A版3L
PDQ，加进口商贴纸
Remark: 1、若产品有比例使用ZURU STD 比例；
 2、所有item的包装需要有CE logo，均用MA UPC 条码，若包装不是UPC 条码的请告知；
 3、此单出欧洲需满足EU测试标准要求。含有闪粉类的产品，闪粉必须符合欧盟要求且可降解；电池产品（带电池/不带电池走货）需要添加WEEE通用说明书；
 4、电池产品请确保使用新说明书以及新标识的电池以符合最新(EU) 2023/1542法规  （增加制造商信息，电池种类，制造商地址，电池重量，化学组成，可用的灭
火器，浓度重量占比&gt;0.1%的关键原材料，二维码），如果电池不含这些信息，也需要确保电池说明书含这些信息。</t>
  </si>
  <si>
    <t>4500211395-20</t>
  </si>
  <si>
    <t>7/3 更新</t>
  </si>
  <si>
    <t>7/3意大利警语贴纸（含意大利环保标）+D版29L 带电池版的WEEE说明书</t>
  </si>
  <si>
    <t>日期码格式：ZURU INC(BVI) 标准格式                  日期：按实际生产日期
Packaging Info:
 2. 77794：最新MA 3L EAN tray+最新MA 23L说明书+最新MA 23L 62115警语说明书+一张意大利警语贴纸（含意大利环保标）
Remark: 1. SMASHERS 或含Slime产品，所有化合物使用无硼版本出意大利。
 2. 本订单所有 具有 baby items / assorted items 的款式，零售包装上都要用 母 EAN;
3.所有出口欧洲的产品, 法规规定禁止在包装和共公众用的印刷品中使用矿物油中含有的物质, 包装印刷油墨中含有的MOAH/MOSH的质量浓度不能超过1%, 否则出货
到意大利被抽检出现问题, 供应商需要对此负责;
 4. 意大利订单包装彩卡请确保含法规要求的环保回收logo。
 5. 所有带电池的产品请基于带/不带电池出货自行订购最新的 "WEEE说明书欧洲EN+29L"</t>
  </si>
  <si>
    <t>4400555635</t>
  </si>
  <si>
    <t>4500211476-20</t>
  </si>
  <si>
    <t>日期码格式：ZURU INC(BVI) 标准格式                  日期：按实际生产日期
Packaging Info:
"77794UQ1: MA PDQ (优先多语)+客版5L(英法德意荷)底座/纸卡/贴纸(翻PO#4500200925) +MA 23L游戏说明书+MA 23L锂电池说明书+MA 23L警示说明书+D版WEEE声明
(带电池)走货欧洲通用29L说明书
EAN#4894680051430
RECHARGEABLE LITHIUM BATTERY(INCLUDED)
*外箱需加一张UN3481锂电池运输标签*
Remark: Smyths 德国
 1. 请准时出货，推期会有罚款；
 2. 所有产品按符合欧洲标准走货，需要是不含微塑料版本。
 3. 所有电子产品身上需要加字唛，为ZURU FRANCE 地址 (如无电子产品，产品布标有此地址，或产品太小无法增加可忽略此信息)，新地址ZURU FRANCE.33 rue Pa
 ul Meurice 75020 Paris, France.
 4. 包装/说明书(如有)/产品(如有)上的法国地址信息必须保持一致，不可出现包装上是新地址，说明书上是旧地址；如地址信息不一致请通知跟单更新文件；
 5. 电子产品需增加一张WEEE声明29L通用黑白说明书，区分带电池(D版)和不带电池(C版)出货版本, 如已做带WEEE声明的客版说明书可忽略此要求；如包装备注上
缺少此部分信息，请提醒跟单更新备注。
6.所有出往德国市场有关slime和带香味的都需要出无硼无香版本；
7.订单备注显示有分批的(不同仓库/订单号), 一定要区分客户订单号做货出货，否则会导致罚款  。
8.包装日期码按ZURU格式即可，请确保不迟于外箱日期码，可等于或者早于外箱日期码，必须为法定工作日。
9.做货前请先复核包装条码与订单是否一致再安排，对不上的需与ZURU跟单确认再安排。
10.包装必须含法国回收标(Sorting Label)，如没有，请提醒跟单提供贴纸资料。</t>
  </si>
  <si>
    <t>005730331536</t>
  </si>
  <si>
    <t>4500211830-10</t>
  </si>
  <si>
    <t>日期码格式：ZURU INC(BVI) 标准格式                  日期：按实际生产日期
Packaging Info: Amazon ES:3UKUBOGG
Amazon UK:113SVEVX
ES(77794/77876)/UK(77794)
2. 77794:VINYL-SERIES 1, PLAYSET-CUBE,16PCS/CTN,RECHARGEABLE LITHIUM BATTERY(INCLUDED);  MA 3L(3L warning EAN) B版彩盒+23L 说明书+23L欧洲澳新通
用Warning instruction+其它MA 最新配套包装+2张贴纸（1张UPC, 1张IT环保标+DE/IT警告语贴纸，贴彩盒，翻单4500204845)+带电池D版WEEE说明书+外箱锂电池贴
纸
 3. 最晚验货时间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,&lt;(&gt;,&lt;)&gt; 此要求只适用Amazon UK/DE
/FR/ES/IT,不适用Amazon GPE，Amazon GPE无SSCC label, 但是有对应箱唛，需印刷到外箱 。
2.出往UK的产品+包装务必打上UKCA logo ，否则客人会退货且当地会有罚款。Amazon GPE（包含UK/FR/ES/DE/IT）的订单也需满足此要求。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故此请严格把关。Amazon~ GPE（包含UK/FR/ES/DE/IT）的订单也需满足此要求。
-油墨物质""""""""由1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
 9. 无论是工厂自检还是ZURU验货，验货报告中必须有产品6面图(正面/背面/左面/右面/顶部/底部，不带包装);
 10. 按空海运鉴定报告的要求，只要带锂电池出货，都需要加贴UN贴纸；
 11. 所有出往GAS市场(德国/奥地利/瑞士)的电子产品身上需要加字唛，为ZURU FRANCE 地址，需跟包装上的地址一致 (如无电子产品，产品布标有此地址，或产品
太小无法增加可忽略此信息。如产品无法加字唛，需让对应跟单提供产品贴纸资料);（Amazon GPE的订单也需满足此要求）
 12. 所有出往GAS德国 (瑞士，奥地利)。水弹枪系列必须使用EN71版本（电子和非电子水弹枪系列都需要符合); 护目镜需打日期码, 格式跟ZURU标准格式一样; 枪
身上增加ZURU FRANCE公司名和地址。使用贴纸和辐射上去都可以。如果有位置，最好增加ZURU Represented by: (此最好翻译德语，如果位置不允许，那么就只增
加ZURU法国和地址)。使用最新的EN71版包装和说明书）。Amazon GPE（包含UK/FR/ES/DE/IT）的订单也需满足此要求。</t>
  </si>
  <si>
    <t>113SVEVX</t>
  </si>
  <si>
    <t>4500211830-30</t>
  </si>
  <si>
    <t>ARGOS  LIMITED</t>
  </si>
  <si>
    <t>4500210913-10</t>
  </si>
  <si>
    <t>7/3 确认</t>
  </si>
  <si>
    <t>6/30 Cat.label    （要求易撕类贴纸，但是粘性不能过低）</t>
  </si>
  <si>
    <t>日期码格式：ZURU  INC(BVI)  标准格式                                    日期：按实际生产日期
Packaging Info: 1.  1L  MA  UPC包装+cat  label  +D版WEEE带电池出货说明书+欧洲澳新通用Warning  instruction+锂电池外箱贴纸
2.注意Cat.label    （要求易撕类贴纸，但是粘性不能过低），同时此贴纸每个订单都是不相同的（会显示客户对应的订单号），切勿翻旧订单购买。此贴纸由ZURU提
供贴纸图稿和贴纸位置图给工厂后，工厂自行购买。
3.请先检查条码是否正确再安排做，标签上的目录编号数字8560140高度必须至少为5mm    （14 . 17pt）
Remark: *MA包装最新版本
  *包装日期码按ZURU格式即可，请确保不迟于外箱日期码，可等于或者早于外箱日期码，必须为法定工作日。
  *外箱尺寸任何一条边长度超过75cm或者每箱重量超过10KG，需要在外箱上加三脚架符号，有问题请与ZURU跟单同事核实。
  *主拼工厂需要准备密网安排装柜
  *出欧洲电子产品需要加WEEE说明书，区分带电池和不带电池两种版本，不是电子产品可忽略。
  *订单必须经过ZURU  QC验货并且通过后方可出货。
  *订单出英国，请注意检查产品及包装应带UKCA图标，包装显示ZURU  UK  LTD信息，QC同事请查核，如有问题与跟单确认。
  *条码扫描会显示客户7位数产品号而不是客户的订单号码。
  *标签上的目录编号数字高度必须至少为5mm    （14 . 17pt）。
  *所有产品按符合欧洲标准走货，需要是不含微塑料版本  。
  *若任何产品涉及到硼的，请使用低硼版本(没有则忽略此要求)
  *客户不接受PVC材质包装。
*外箱不得使用带金属夹子或带扣。
  *出欧洲的电子产品需要额外增加WEEE电池说明书，区分带电池走货和不带电池走货两种版本，如果不是电子产品可忽略
  *主拼工厂需要提前准备密网用于装柜，装柜拉网请务必按照客人要求固定好，避免货物在运输过程中坍塌，不规范的拉网或者漏掉都会导致客人罚款</t>
  </si>
  <si>
    <t>4500211400</t>
  </si>
  <si>
    <t>4500211400-40</t>
  </si>
  <si>
    <t>7/8进口商贴纸（含希腊警语+意大利环保标）+一张产品贴纸+一张意/希 weee说明书纸</t>
  </si>
  <si>
    <t>日期码格式：LOT2632                  日期：
Packaging Info: 
 4. 77794: 最新MA 3L EAN tray+最新MA 23L game/warning instruction+最新MA 3L PDQ+一张进口商贴纸（含希腊警语+意大利环保标）+一张产品贴纸+一张意/希
 weee说明书纸
Remark: 1.RATIO 同MA 一致。
2.验货后会抽办1套/item，请多备料。大货样品2套/item，用于客人验货签板，具体以邮件通知为准
3.客人日期码：LOT2632，包装（含收缩膜等）/产品/外箱 请保持一致。
4.产品均符合EU微塑料法规要求：不能含有微塑料/闪粉
 5. SMASHERS 或含Slime产品，所有化合物使用无硼或低硼版本出意大利。
 6. 本订单所有 具有 baby items / assorted items 的款式，零售包装上都要用 母 EAN;
 7. 此客户需要第三方验货，请在约三方验货前必须PASS ZURU验货。
 8. 所有带电产品请复核跟单是否有提供客人指定内容的WEEE说明书（不是通用29L版本）；如果做了客版说明书，则会将weee说明加进客版说明书中
 9.带干燥剂的产品需要加一张"干燥剂说明书14L"</t>
  </si>
  <si>
    <t>4500206763</t>
  </si>
  <si>
    <t>56CU4NBL</t>
  </si>
  <si>
    <t>4500206763-10</t>
  </si>
  <si>
    <t>日期码格式：ZURU INC(BVI) 标准格式 日期：按实际生产日期
Packaging Info: Amazon IT: 56CU4NBL/2COXRC1D
Amazon IT(77794)
1. 77794:VINYL-SERIES 1, PLAYSET-CUBE,16PCS/CTN,RECHARGEABLE LITHIUM BATTERY(INCLUDED); MA 3L(3L warning EAN) B版彩盒+23L 说明书+23L欧洲澳新通
用Warning instruction+其它MA 最新配套包装+2张贴纸（1张UPC, 1张IT环保标+DE/IT警告语贴纸，贴彩盒，翻单4500204845)+带电池D版WEEE说明书+外箱锂电池贴
纸
2. 验货时间不迟于2026/08/10.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,&lt;(&gt;,&lt;)&gt; 此要求只适用Amazon UK/DE
/FR/ES/IT,不适用Amazon GPE，Amazon GPE无SSCC label, 但是有对应箱唛，需印刷到外箱 。
2.出往UK的产品+包装务必打上UKCA logo ，否则客人会退货且当地会有罚款。Amazon GPE（包含UK/FR/ES/DE/IT）的订单也需满足此要求。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故此请严格把关。Amazon GPE（包含UK/FR/ES/DE/IT）的订单也需满足此要求。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
9. 无论是工厂自检还是ZURU验货，验货报告中必须有产品6面图(正面/背面/左面/右面/顶部/底部，不带包装);
10. 按空海运鉴定报告的要求，只要带锂电池出货，都需要加贴UN贴纸；
11. 所有出往GAS市场(德国/奥地利/瑞士)的电子产品身上需要加字唛，为ZURU FRANCE 地址，需跟包装上的地址一致 (如无电子产品，产品布标有此地址，或产品
太小无法增加可忽略此信息。如产品无法加字唛，需让对应跟单提供产品贴纸资料);（Amazon GPE的订单也需满足此要求）
12. 所有出往GAS德国 (瑞士，奥地利)。水弹枪系列必须使用EN71版本（电子和非电子水弹枪系列都需要符合); 护目镜需打日期码, 格式跟ZURU标准格式一样; 枪
身上增加ZURU FRANCE公司名和地址。使用贴纸和辐射上去都可以。如果有位置，最好增加ZURU Represented by: (此最好翻译德语，如果位置不允许，那么就只增
加ZURU法国和地址)。使用最新的EN71版包装和说明书）。Amazon GPE（包含UK/FR/ES/DE/IT）的订单也需满足此要求。</t>
  </si>
  <si>
    <t>2COXRC1D</t>
  </si>
  <si>
    <t>4500206763-20</t>
  </si>
  <si>
    <t>4500211944-10</t>
  </si>
  <si>
    <t>日期码格式：ZURU INC(BVI) 标准格式                  日期：按实际生产日期
Packaging Info: 77794UQ1: 最新MA 3L底座/纸卡/贴纸+MA 23L游戏说明书+MA 23L锂电池说明书+MA 23L警示说明书+MA PDQ (优先多语)
EAN#4894680051430
RECHARGEABLE LITHIUM BATTERY(INCLUDED)
*外箱需加一张UN3481锂电池运输标签*
Remark: Smyths 法国
 1. 请准时出货，推期会有罚款；
 2. 所有产品按符合欧洲标准走货，需要是不含微塑料版本。
 3. 电子产品需增加一张WEEE声明29L通用黑白说明书，区分带电池(D版)和不带电池(C版)出货版本, 如已做带WEEE声明的客版说明书可忽略此要求；如包装备注上
缺少此部分信息，请提醒跟单更新备注。
 4. 出口法国的产品, 法规规定禁止在包装和共公众用的印刷品中使用矿物油中含有的物质, 包装印刷油墨中含有的MOAH/MOSH的质量浓度不能超过0.1%, 否则出货
到法国被抽检出现问题, 供应商需要对此负责;
5.订单备注显示有分批的(不同仓库/订单号), 一定要区分客户订单号做货出货，否则会导致罚款  。
6.包装日期码按ZURU格式即可，请确保不迟于外箱日期码，可等于或者早于外箱日期码，必须为法定工作日。
7.做货前请先复核包装条码与订单是否一致再安排，对不上的需与ZURU跟单确认再安排。
8.包装必须含法国回收标(Sorting Label)，如没有，请提醒跟单提供贴纸资料。</t>
  </si>
  <si>
    <t>4500211944-20</t>
  </si>
  <si>
    <t>4500216477-10</t>
  </si>
  <si>
    <t>WAL-MART.COM</t>
  </si>
  <si>
    <t>4500212214</t>
  </si>
  <si>
    <t>1007840693</t>
  </si>
  <si>
    <t>4500212214-10</t>
  </si>
  <si>
    <t>77794-S003</t>
  </si>
  <si>
    <t>MO20260522手工单转实单</t>
  </si>
  <si>
    <t>日期码格式：ZURU INC(BVI) 标准格式                  日期：按实际生产日期
Packaging Info: 1.包装要求：
77794：MA 1L B版callout纸卡+MA 23L 玩法说明书+MA 23L 警告语说明书
每pcs产品上要贴1张RFID贴纸，贴纸由ZURU提供，贴纸位置请严格按照我们签回的签板；
Remark: 1.包装要求：
77794：MA 1L B版callout纸卡+MA 23L 玩法说明书+MA 23L 警告语说明书
每pcs产品上要贴1张RFID贴纸，贴纸由ZURU提供，贴纸位置请严格按照我们签回的签板；
 2. 外箱印刷带条码的RFID箱唛：RFID紫色色带+WM Dept.图标+RFID图标+ITF-14条码，四面右下角印刷ZURU logo, ITF条码只印刷在正唛一面，在加印的时候确保条
形码能扫描出来，外箱侧面任一角落加印："MADE IN CHINA" 字样；箱唛翻单：  4500196335
 3. 在产品上和包装上要有日期码、以及要有MADE IN CHINA和ZURU字样；
 4. 产品如有扎带口要剪平，不能刮手。
 5. 此单需要验货，请多备料
 6. 此单以loose carton出货，77794:8pcs/CTN</t>
  </si>
  <si>
    <t>4500207492</t>
  </si>
  <si>
    <t>21854118</t>
  </si>
  <si>
    <t>4500207492-50</t>
  </si>
  <si>
    <t>防盗贴纸 (贴纸以及位置图翻单PO#4500193539）+ 箱唛 + 7/20外箱SSCC Label</t>
  </si>
  <si>
    <t>日期码格式：ZURU INC(BVI) 标准格式                  日期：按实际生产日期
Packaging Info: 
77794UQ1:客版PDQ（翻单PO#4500197867）  + MA英语UPC版本包装（收缩膜和说明书, MA首选1L，如无1L可用多语且含英语的配套多语包装) +1张锂电池黑白警语书
纸 + 1张防盗贴纸 (贴纸以及位置图翻单PO#4500193539）+ 箱唛 + 外箱SSCC Label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此单需要与AU PO#4500207489一起合并计算</t>
  </si>
  <si>
    <t>21802517</t>
  </si>
  <si>
    <t>4500207492-40</t>
  </si>
  <si>
    <t>客版PDQ（翻单PO#4500197867</t>
  </si>
  <si>
    <t>日期码格式：ZURU  INC(BVI)  标准格式                                    日期：按实际生产日期
Packaging Info: 
77794UQ1:客版PDQ（翻单PO#4500197867）    +  MA英语UPC版本包装（收缩膜和说明书,  MA首选1L，如无1L可用多语且含英语的配套多语包装)  +1张锂电池黑白警语书
纸  +  1张防盗贴纸  (贴纸以及位置图翻单PO#4500193539）+  箱唛  +  外箱SSCC  Label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 13,10-16kg  超重logo
   2）CBM超过0. 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此单需要与AU  PO#4500207489一起合并计算</t>
  </si>
  <si>
    <t>4500207489</t>
  </si>
  <si>
    <t>21854104</t>
  </si>
  <si>
    <t>4500207489-50</t>
  </si>
  <si>
    <t>日期码格式：ZURU INC(BVI) 标准格式                  日期：按实际生产日期
Packaging Info:
77794UQ1:客版PDQ（翻单PO#4500197867）  + MA英语UPC版本包装（收缩膜和说明书, MA首选1L，如无1L可用多语且含英语的配套多语包装) +1张锂电池黑白警语书
纸 + 1张防盗贴纸 (贴纸以及位置图翻单PO#4500193539）+ 箱唛 + 外箱SSCC Label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此单需要与NZ PO#4500207492一起合并计算</t>
  </si>
  <si>
    <t>21802508</t>
  </si>
  <si>
    <t>4500207489-40</t>
  </si>
  <si>
    <t>日期码格式：ZURU INC(BVI) 标准格式 日期：按实际生产日期 Tracking Code:
Packaging Info: 77869：客制 3L UPC 彩盒包装 + 箱唛 + 外箱贴纸SSCC Label
 子件77794: MA英语UPC版本包装（收缩膜和说明书, MA首选1L，如无1L可用多语且含英语的配套多语包装) +1张MA锂电池黑白警语书纸（书纸翻单PO#4500193539）
77794UQ1:客版PDQ（翻单PO#4500197867） + MA英语UPC版本包装（收缩膜和说明书, MA首选1L，如无1L可用多语且含英语的配套多语包装) +1张锂电池黑白警语书
 纸 + 1张防盗贴纸 (贴纸以及位置图翻单PO#4500193539）+ 箱唛 + 外箱SSCC Label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此单需要与NZ PO#4500207492一起合并计算</t>
  </si>
  <si>
    <t>21667409</t>
  </si>
  <si>
    <t>21667410</t>
  </si>
  <si>
    <t>21667417</t>
  </si>
  <si>
    <t>21667408</t>
  </si>
  <si>
    <t>4500210980</t>
  </si>
  <si>
    <t>1800133013</t>
  </si>
  <si>
    <t>4500210980-40</t>
  </si>
  <si>
    <t>日期码格式：ZURU INC(BVI) 标准格式                  日期：按实际生产日期
Packaging Info: 77858/77772GQ2/77794UQ1/15786UQ1/15789UQ1 - ZURU MA  （首选多语UPC/1L可以接受）UPC包装
手工单 PO#K33013X
Remark: 2. 产品和包装上印刷tracking code信息，格式为ZURU常规
 3. 外箱需要印ZURU LOGO, 箱唛资料由跟单提供
 4. ZURU 验货通过后便可出货</t>
  </si>
  <si>
    <t>4500210497-30</t>
  </si>
  <si>
    <t>日期码格式：ZURU  INC(BVI)  标准格式                                    日期：按实际生产日期
Packaging Info:77794UQ1：最新MA  3L  EAN彩盒  +  MA23L  电池warning说明书+MA23L  电池使用说明书+  MA23L产品使用说明书+  MA3L  PDQ  +  多语警语折叠贴纸（含意大利环保标）(
翻4500193875）
Remark: 1.  西班牙国家内销单，需要通过ZURU  验货结果后才能出货  (工厂需要主动提前同ZURU  QC预约验货避免延期出货造成不必要麻烦)；
   2.  本订单所有  具有  baby  items  /  assorted  items  的款式，零售包装上都要用  母  EAN;  所有订单出口西班牙都需要有西班牙环保标和西班牙（ES）/葡萄牙警语
   (PT)的说明书。
   3.  若有特定款有特殊外箱条码要求时,需要明确列出产品款对应的具体外箱条码号码/条码类型  (若无,可以忽略此需求)
   4.  所有出口欧洲的产品,  法规规定禁止在包装和共公众用的印刷品中使用矿物油中含有的物质,  包装印刷油墨中含有的MOAH/MOSH的质量浓度不能超过1%,  否则出
货到法国被抽检出现问题,  供应商需要对此负责;
   5.  Date  code:  外箱/产品/包装  保持一致，完货后提供date  code  信息以便我们保存记录做批次管理;  包括DEMO  BOX的产品外箱请都统一增加向上标示，以防倒置
造成产品移位或损坏。
   6.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7，     带电池产品都需要包含最新29LWEEE黑白说明书(带电池出货/不带电池出货)。产品里如果含干燥剂，请附上干燥剂14L说明书。
8，MTS所有订单，SMASHERS  或含Slime产品，所有化合物使用低硼版本出；    BOB系列要符合欧洲要求不含亚硝酸版本;  XShot  Hyper系列，统一出EN71版本;  Slime  M
art统一用EUR版本的包装。#17601需要出NS版本。
9.  电池产品请确保使用新说明书以及新标识的电池以符合最新(EU)  2023/1542法规    （增加制造商信息，电池种类，制造商地址，电池重量，化学组成，可用的灭
火器，浓度重量占比&gt;0. 1%的关键原材料，二维码），如果电池不含这些信息，也需要确保电池说明书含这些信息。</t>
  </si>
  <si>
    <t>ZMPO260913</t>
  </si>
  <si>
    <t>ZMPO260913-10</t>
  </si>
  <si>
    <t>Remark：大货版本/只需要60PCS透明罩；备注：收到样品订单后尽快安排 ，注意样板品质质量要求要高于大货品质要求 ，送货时必须要附带送货单(没有送货单和QC检验合格报告的仓库一律拒绝收货)，请知悉，谢谢！</t>
  </si>
  <si>
    <t>4500210831-30</t>
  </si>
  <si>
    <t>日期码格式：ZURU  INC(BVI)  标准格式                                    日期：按实际生产日期
Packaging Info: 
77794UQ1:MA1L  UPC彩卡+1张进口商贴纸+MA23L说明书+WEEE带电池出货声明书+MA1LPDQ
Remark: 1.  请备多1套大货样品；
   2.  此票大货需符合EU市场法规；
   3.  此票使用UPC条码;</t>
  </si>
  <si>
    <t>4500213351-40</t>
  </si>
  <si>
    <t>7/14UPC 贴纸+电池门进口商贴纸+进口商贴纸+客版说明书</t>
  </si>
  <si>
    <t>保证书+外加客版说明书</t>
  </si>
  <si>
    <t xml:space="preserve">日期码格式：ZURU INC(BVI) 标准格式                  日期：按实际生产日期
Packaging Info: 1. 进口商贴纸贴的位置不可以挡住西语信息
 2. 请确保包装上的条形码是UPC，如果是babyUPC、需要用motherUPC覆盖，如有不一致，请及时提出。谢谢
 3.带电产品会有两个贴纸，分别贴到产品电池门+包装，外加客版说明书+一张保证书
77794UQ1 MA 多语 EAN 包装+UPC 贴纸+MA 多语说明书/MA 多语收藏指南+MA多语PDQ+ 电池门进口商贴纸+包装进口商贴纸+客版说明书+一张保证书+箱唛
Remark: 
77794UQ1 RECHARGEABLE LITHIUM BATTERY(INCLUDED)
</t>
  </si>
  <si>
    <t>4400564356</t>
  </si>
  <si>
    <t>4500211476-30</t>
  </si>
  <si>
    <t>日期码格式：ZURU INC(BVI) 标准格式                  日期：按实际生产日期
Packaging Info:
"77794UQ1: MA PDQ (优先多语)+客版5L(英法德意荷)底座/纸卡/贴纸(翻PO#4500200925) +MA 23L游戏说明书+MA 23L锂电池说明书+MA 23L警示说明书+D版WEEE声明
(带电池)走货欧洲通用29L说明书
EAN#4894680051430
RECHARGEABLE LITHIUM BATTERY(INCLUDED)
*外箱需加一张UN3481锂电池运输标签*
Remark: Smyths 德国
 1. 请准时出货，推期会有罚款；
 2. 所有产品按符合欧洲标准走货，需要是不含微塑料版本。
 3. 所有电子产品身上需要加字唛，为ZURU FRANCE 地址 (如无电子产品，产品布标有此地址，或产品太小无法增加可忽略此信息)，新地址ZURU FRANCE.33 rue Pa
 ul Meurice 75020 Paris, France.
 4. 包装/说明书(如有)/产品(如有)上的法国地址信息必须保持一致，不可出现包装上是新地址，说明书上是旧地址；如地址信息不一致请通知跟单更新文件；
 5. 电子产品需增加一张WEEE声明29L通用黑白说明书，区分带电池(D版)和不带电池(C版)出货版本, 如已做带WEEE声明的客版说明书可忽略此要求；如包装备注上
缺少此部分信息，请提醒跟单更新备注。
6.所有出往德国市场有关slime和带香味的都需要出无硼无香版本；
7.订单备注显示有分批的(不同仓库/订单号), 一定要区分客户订单号做货出货，否则会导致罚款  。
8.包装日期码按ZURU格式即可，请确保不迟于外箱日期码，可等于或者早于外箱日期码，必须为法定工作日。
9.做货前请先复核包装条码与订单是否一致再安排，对不上的需与ZURU跟单确认再安排。
10.包装必须含法国回收标(Sorting Label)，如没有，请提醒跟单提供贴纸资料。</t>
  </si>
  <si>
    <t>005710331470</t>
  </si>
  <si>
    <t>005710331472</t>
  </si>
  <si>
    <t>4500209354</t>
  </si>
  <si>
    <t>4500209354-40</t>
  </si>
  <si>
    <t>6/9UPC 贴纸+进口商贴纸</t>
  </si>
  <si>
    <t xml:space="preserve">日期码格式：ZURU INC(BVI) 标准格式                  日期：按实际生产日期
Packaging Info: 请确保包装上的条形码是UPC，如果是babyUPC，需要用mother UPC覆盖，如有不一致，请及时提出。谢谢!
77794UQ1 MA 多语 EAN 包装+UPC 贴纸+MA 多语说明书/MA 多语收藏指南+MA多语PDQ+进口商贴纸+箱唛
Remark: 
77794UQ1 RECHARGEABLE LITHIUM BATTERY(INCLUDED)
</t>
  </si>
  <si>
    <r>
      <rPr>
        <sz val="11"/>
        <color rgb="FF000000"/>
        <rFont val="宋体"/>
        <charset val="134"/>
      </rPr>
      <t>Angus</t>
    </r>
    <r>
      <rPr>
        <sz val="11"/>
        <color rgb="FF000000"/>
        <rFont val="宋体"/>
        <charset val="134"/>
        <scheme val="minor"/>
      </rPr>
      <t xml:space="preserve"> </t>
    </r>
  </si>
  <si>
    <t>ZMPO260932-10</t>
  </si>
  <si>
    <t>Remark;大货版本/只需要左图中展示盒里面的所有配件哈，按做货的标准来给就行  备注：收到样品订单后尽快安排 ，注意样板品质质量要求要高于大货品质要求 ，送货时必须要附带送货单(没有送货单和QC检验合格报告的仓库一律拒绝收货)，请知悉，谢谢！</t>
  </si>
  <si>
    <t>4500210722-40</t>
  </si>
  <si>
    <t xml:space="preserve">UPC贴纸(UPC:193052090409)翻单：4500195369
</t>
  </si>
  <si>
    <t>日期码格式：ZURU INC(BVI) 标准格式                  日期：按实际生产日期
Packaging Info: 
#77794
MA3LPDQ(8装)+MA3L彩盒+UPC贴纸(UPC:193052090409)+MA23L说明书+MA23L警告语说明书
翻单：4500195369
Remark: 1. 此单有箱唛;
 2. UPC贴纸：必须在原来错误的条码上用黑色粗头笔涂黑直至不能扫描，再贴上正确的UPC;
 3. 此单有第三方验货，烦请多备包装物料；
 4. #77794带锂电池出货，使用英法双语电池，外箱需在正唛空白位置贴一张UN3481锂电池标识贴纸(带电话号码)；
 *********************
a. 请确保产品符合1999年版本的加拿大环境保护法(CEPA)和2012年禁止某些有毒物质法规的要求。该产品不含任何在加拿大禁用的化学物质，包括但不限于有毒物
质清单中列出的化学物质，并且在为加拿大沃尔玛生产产品期间没有使用任何禁用化学物质。
Supplier certify that the products comply with the requirements of Canadian Environmental Protection Act, 1999 (CEPA), Prohibition of Certain To
xic Substances Regulations, 2012.
The products do not contain any chemicals that are banned in Canada, including but not limited to those listed in the Toxic Substances List and
no banned chemicals were used during the manufacturing of product for Walmart Canada.
附件列表：
(1) Letter of Guarantee for Canada banned chemicals - (1-5CA)
b. 请确保产品在均质材料中的汞浓度不超过0.1%（按重量计）。
Supplier certify that the WAL-MART vendor products does not have a mercury concentration of more than 0.1% by weight in homogeneous material.
附件列表：
(1) Letter of Guarantee for Mercury COC
c. 请确保产品的塑料材料不含以下物质（SOR 2011-17 27B):
Supplier certify that the plastic materials do not contain the following substances(SOR 2011-17 27B):
(a) carbon tetrachloride or any substance that contains it;
(b) methyl alcohol or any substance thay contains &gt;1.0%;
 (c) petroleum distillates or any substance that contains &gt;10% weight to volume of petroleum distillates;
 (d) benzene;
(e) turpentine or any substance that contains &gt;10% weight to volume of turpentine;
(f) boric acid or salts of boric acid; or (g) ethyl ether.
附件列表：
(1) Letter of Guarantee for WM CA-Other prohibited substances in plastic(less than 3 years)</t>
  </si>
  <si>
    <t>W</t>
  </si>
  <si>
    <t>26000057</t>
  </si>
  <si>
    <t>4500201519-70</t>
  </si>
  <si>
    <t>翻单4500201519</t>
  </si>
  <si>
    <t>1张贴纸(翻PO4500194798)+1张额外客版AR黑白说明书(翻PO4500194798)</t>
  </si>
  <si>
    <t xml:space="preserve">日期码格式：2063026 </t>
  </si>
  <si>
    <t>日期码格式：2081326 日期：
Packaging Info: 
77794UQ1:MA9L EAN彩卡+1张贴纸(翻PO4500194798)+MA23L收藏指南+MA纸卡+MA袋子+MA23L组装说明+MA23L锂电池说明书+MA23L说明书+1张额外客版AR黑白说明书(
翻PO4500194798)+MA 3L展示盒
Remark: 1.此票无需客户验货
2.所有出口法国的产品, 法规规定禁止在包装和共公众用的印刷品中使用矿物油中含有的物质, 包装印刷油墨中含有的MOAH/MOSH的质量浓度不能超过1%, 否则出货
到法国被抽检出现问题, 供应商需要对此负责;
3.出口法国请确保产品符合EU微塑料法规，包装需显示法国回收logo;</t>
  </si>
  <si>
    <t>10001927205-0581</t>
  </si>
  <si>
    <t>4500212072-20</t>
  </si>
  <si>
    <t>7/21条码箱贴纸</t>
  </si>
  <si>
    <t>日期码格式：ZURU INC(BVI) 标准格式 日期：按实际生产日期
Packaging Info: 产品包装 MA 23L黑白警告语说明书+MA 1L 彩盒+MA 1L PDQ+锂电池标签纸
Remark: 1.77794UQ1-S002-MINI BRANDS-VINYL-PLAYSET-SERIES 1-CUBE,8PCS/PDQ,8PCS/PDQ/CTN;
2. 产品包装 MA 23L黑白警告语说明书+MA 1L 彩盒+MA 1L PDQ; 彩盒上的UPC显示193052090409;
3. 外箱正唛左上角位置粘贴条码箱贴纸，每箱只贴一张，由ZURU订购。来料贴纸上显示的客户DPCI# 086-02-4085, UPC显示10193052090406;
4. 带锂电池出货，需在外箱正面或者侧面合适位置上加贴一张贴锂电池标签纸，由工厂订购
5. 产品和包装上均要印刷tracking code信息，格式为ZURU常规格式；
6. 需要我司QC验货之后才能安排出货
7. 出货方式： 货代自提</t>
  </si>
  <si>
    <t>4500216477-40</t>
  </si>
  <si>
    <t>0983718083</t>
  </si>
  <si>
    <t>4500211883-30</t>
  </si>
  <si>
    <t>8/18 BV验货</t>
  </si>
  <si>
    <t>7/3 RFID贴纸</t>
  </si>
  <si>
    <r>
      <rPr>
        <sz val="11"/>
        <color rgb="FF0000FF"/>
        <rFont val="宋体"/>
        <charset val="134"/>
      </rPr>
      <t>日期码格式：ZURU</t>
    </r>
    <r>
      <rPr>
        <sz val="11"/>
        <color rgb="FF0000FF"/>
        <rFont val="宋体"/>
        <charset val="0"/>
      </rPr>
      <t xml:space="preserve">  INC(BVI)  标准格式                                    日期：按实际生产日期
Packaging Info: 77794UQ1-SLB-S001
1.  包装要求：
77794：MA  1L  B版callout纸卡+MA  23L  玩法说明书+MA  23L  警告语说明书+MA  1L  A版  PDQ
Remark: 2.  外箱印刷带条码的RFID箱唛：RFID紫色色带+WM  Dept. 图标+RFID图标+ITF-14条码，四面右下角印刷ZURU  logo,  ITFF条码只印刷在正唛一面，在加印的时候确保
条形码能扫描出来，   一张锂电池贴纸贴在有条码的正唛上，外箱侧面任一角落加印："MADE  IN  CHINA"  字样；箱唛翻单：4500196335
   3.  每个slip  sheet上面贴一张艾利贴纸（不干胶贴纸）和一张普通贴纸（A4纸），slip  sheet打印的普通贴纸的尺寸不能比艾利贴纸小，普通贴纸内容见附件；
   4.  在产品上和包装上要有日期码、以及要有MADE  IN  CHINA和ZURU字样；
   5.  产品如有扎带口要剪平，不能刮手。
   6.  此单需要验货，请多备料
   7.  此单以slip  sheet出货，77794：512pcs/64CTN/Slip  sheet</t>
    </r>
  </si>
  <si>
    <t>0983718009</t>
  </si>
  <si>
    <t>4500211883-40</t>
  </si>
  <si>
    <t>0983718060</t>
  </si>
  <si>
    <t>4500211883-50</t>
  </si>
  <si>
    <t>0983718098</t>
  </si>
  <si>
    <t>4500211883-60</t>
  </si>
  <si>
    <t>4500211856-40</t>
  </si>
  <si>
    <t>带电池D版WEEE说明书+2张贴纸（1张UPC, 1张IT环保标，贴彩盒，翻单4500204845)+7/16 SSCC LABEL一张</t>
  </si>
  <si>
    <t>日期码格式：ZURU INC(BVI) 标准格式                  日期：按实际生产日期
Packaging Info: Amazon DE：3XNX1QDB/19KM6AYO
Amazon ES:43LPCLEQ
Amazon FR:4HMSFT2A
Amazon IT:1GYNKQEW
Amazon UK:11PSAL9R
DE(77878/77876)/ES(77794/77876)/FR(77878/77876)/IT(77876)/UK(77878/77794)
 3. 77794:VINYL-SERIES 1, PLAYSET-CUBE,16PCS/CTN,RECHARGEABLE LITHIUM BATTERY(INCLUDED);  MA 3L(3L warning EAN) B版彩盒+23L 说明书+23L欧洲澳新通
用Warning instruction+其它MA 最新配套包装+2张贴纸（1张UPC, 1张IT环保标+DE/IT警告语贴纸，贴彩盒，翻单4500204845)+带电池D版WEEE说明书+外箱锂电池贴
纸
 4. 最晚验货时间8/14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,&lt;(&gt;,&lt;)&gt; 此要求只适用Amazon UK/DE
/FR/ES/IT,不适用Amazon GPE，Amazon GPE无SSCC label, 但是有对应箱唛，需印刷到外箱 。
2.出往UK的产品+包装务必打上UKCA logo ，否则客人会退货且当地会有罚款。Amazon GPE（包含UK/FR/ES/DE/IT）的订单也需满足此要求。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故此请严格把关。Amazon~ GPE（包含UK/FR/ES/DE/IT）的订单也需满足此要求。
-油墨物质""""""""由1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
 9. 无论是工厂自检还是ZURU验货，验货报告中必须有产品6面图(正面/背面/左面/右面/顶部/底部，不带包装);
 10. 按空海运鉴定报告的要求，只要带锂电池出货，都需要加贴UN贴纸；
 11. 所有出往GAS市场(德国/奥地利/瑞士)的电子产品身上需要加字唛，为ZURU FRANCE 地址，需跟包装上的地址一致 (如无电子产品，产品布标有此地址，或产品
太小无法增加可忽略此信息。如产品无法加字唛，需让对应跟单提供产品贴纸资料);（Amazon GPE的订单也需满足此要求）
 12. 所有出往GAS德国 (瑞士，奥地利)。水弹枪系列必须使用EN71版本（电子和非电子水弹枪系列都需要符合); 护目镜需打日期码, 格式跟ZURU标准格式一样; 枪
身上增加ZURU FRANCE公司名和地址。使用贴纸和辐射上去都可以。如果有位置，最好增加ZURU Represented by: (此最好翻译德语，如果位置不允许，那么就只增
加ZURU法国和地址)。使用最新的EN71版包装和说明书）。Amazon GPE（包含UK/FR/ES/DE/IT）的订单也需满足此要求。</t>
  </si>
  <si>
    <t>11PSAL9R</t>
  </si>
  <si>
    <t>4500211856-90</t>
  </si>
  <si>
    <t>4500204909</t>
  </si>
  <si>
    <t>4RHH8JET</t>
  </si>
  <si>
    <t>4500204909-10</t>
  </si>
  <si>
    <t>日期码格式：ZURU INC(BVI) 标准格式 日期：按实际生产日期
Packaging Info: Amazon UK：4RHH8JET
UK(77794)
1. 77794:VINYL-SERIES 1, PLAYSET-CUBE,16PCS/CTN,RECHARGEABLE LITHIUM BATTERY(INCLUDED); MA 3L(3L warning EAN) B版彩盒+23L 说明书+23L欧洲澳新通
用Warning instruction+其它MA 最新配套包装+2张贴纸（1张UPC, 1张IT环保标+DE/IT警告语贴纸，贴彩盒，翻单4500204845)+带电池D版WEEE说明书+外箱锂电池贴
纸
2. 最晚验货时间8/14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,&lt;(&gt;,&lt;)&gt; 此要求只适用Amazon UK/DE
/FR/ES/IT,不适用Amazon GPE，Amazon GPE无SSCC label, 但是有对应箱唛，需印刷到外箱 。
2.出往UK的产品+包装务必打上UKCA logo ，否则客人会退货且当地会有罚款。Amazon GPE（包含UK/FR/ES/DE/IT）的订单也需满足此要求。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故此请严格把关。Amazon GPE（包含UK/FR/ES/DE/IT）的订单也需满足此要求。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
9. 无论是工厂自检还是ZURU验货，验货报告中必须有产品6面图(正面/背面/左面/右面/顶部/底部，不带包装);
10. 按空海运鉴定报告的要求，只要带锂电池出货，都需要加贴UN贴纸；
11. 所有出往GAS市场(德国/奥地利/瑞士)的电子产品身上需要加字唛，为ZURU FRANCE 地址，需跟包装上的地址一致 (如无电子产品，产品布标有此地址，或产品
太小无法增加可忽略此信息。如产品无法加字唛，需让对应跟单提供产品贴纸资料);（Amazon GPE的订单也需满足此要求）
12. 所有出往GAS德国 (瑞士，奥地利)。水弹枪系列必须使用EN71版本（电子和非电子水弹枪系列都需要符合); 护目镜需打日期码, 格式跟ZURU标准格式一样; 枪
身上增加ZURU FRANCE公司名和地址。使用贴纸和辐射上去都可以。如果有位置，最好增加ZURU Represented by: (此最好翻译德语，如果位置不允许，那么就只增
加ZURU法国和地址)。使用最新的EN71版包装和说明书）。Amazon GPE（包含UK/FR/ES/DE/IT）的订单也需满足此要求。</t>
  </si>
  <si>
    <t>4500212942</t>
  </si>
  <si>
    <t>86931</t>
  </si>
  <si>
    <t>4500212942-20</t>
  </si>
  <si>
    <t>锂电池警语书纸+1张客人通用进口商贴纸（贴纸跟位置图翻单PO#4500193524）</t>
  </si>
  <si>
    <t>日期码格式：ZURU INC(BVI) 标准格式                  日期：按实际生产日期
Packaging Info:
77794UQ1: 客版PDQ（翻单PO#4500197867）+1张MA的锂电池警语书纸+1张客人通用进口商贴纸（贴纸跟位置图翻单PO#4500193524）+箱唛
Remark: 1.按实际生产日期;
2.出澳大利亚，请按照相应标准生产;
3.所有带纽扣电池的产品都需要在产品包装以及说明书上贴纽扣电池警告语贴纸</t>
  </si>
  <si>
    <t>0983718092</t>
  </si>
  <si>
    <t>4500211883-10</t>
  </si>
  <si>
    <t>0983718085</t>
  </si>
  <si>
    <t>4500211883-20</t>
  </si>
  <si>
    <t>4500204935</t>
  </si>
  <si>
    <t>4500204935-40</t>
  </si>
  <si>
    <t>4500206065</t>
  </si>
  <si>
    <t>5000002205</t>
  </si>
  <si>
    <t>4500206065-90</t>
  </si>
  <si>
    <t>翻单4500204935</t>
  </si>
  <si>
    <r>
      <rPr>
        <sz val="11"/>
        <rFont val="宋体"/>
        <charset val="134"/>
      </rPr>
      <t>日期码格式：ZURU  INC(BVI)  标准格式                                    日期：按实际生产日期
Packaging Info: 物料要求：
1.77772GQ1:MA+MA  PDQ+中文收藏指南（外挂）+中文组装说明书+8+年龄贴纸+防窜贴
UPC:193052090065
2.77794UQ1:MA+MA  PDQ+中文警告语+中文说明书+中文CCC贴纸+</t>
    </r>
    <r>
      <rPr>
        <sz val="11"/>
        <color rgb="FFFF0000"/>
        <rFont val="宋体"/>
        <charset val="134"/>
      </rPr>
      <t>芯片码</t>
    </r>
    <r>
      <rPr>
        <sz val="11"/>
        <rFont val="宋体"/>
        <charset val="134"/>
      </rPr>
      <t xml:space="preserve">
UPC:193052090409
77772/77794UQ1  首单  请提供8套大货样
Remark: 2.外箱材质如下：
     1）毛重小于5kg  外箱纸质  K=B  爆破:1000Kpa  边压:4400N/M;
    2）毛重大于5kg  外箱纸质  K636K  爆破:1400Kpa  边压:6300N/M;
   3.  产品/销售包装/外箱日期码要一致，
4.此产品务必满足国内6P  测试标准，因为可能会被市场监督局抽查，如有问题产生，工厂要负全责
   5.  这张订单做出厂价，我司自行安排车辆去贵司提货，贵司需要配合提供出口报关
   6.  此单所有产品启用防窜码贴纸</t>
    </r>
  </si>
  <si>
    <t>4500206065-100</t>
  </si>
  <si>
    <t>10001884820-0581</t>
  </si>
  <si>
    <t>4500212065-10</t>
  </si>
  <si>
    <t>4500213758</t>
  </si>
  <si>
    <t>01940440</t>
  </si>
  <si>
    <t>4500213758-10</t>
  </si>
  <si>
    <t>UPC贴纸翻单4500200234</t>
  </si>
  <si>
    <t>005730331537</t>
  </si>
  <si>
    <t>010340331269</t>
  </si>
  <si>
    <t>010340331267</t>
  </si>
  <si>
    <t>4500204816</t>
  </si>
  <si>
    <t>1653ZHPE</t>
  </si>
  <si>
    <t>4500204816-10</t>
  </si>
  <si>
    <t>7/30外箱SSCC Label</t>
  </si>
  <si>
    <t>生产3896</t>
  </si>
  <si>
    <t>4500202450-130</t>
  </si>
  <si>
    <t>日期码格式：ZURU INC(BVI) 标准格式                  日期：按实际生产日期
Packaging Info: 1. 包材：
#77794UQ1：最新 MA 1L UPC+1L PDQ +价格贴纸（$19.99), 价贴位于产品包装上UPC条形码附近 + PDQ上需加价格贴纸 和 条码贴纸（PDQ上加贴条码贴纸位于PDQ背
面左下角+价贴位于PDQ前面右上角 ,贴纸资料跟单提供，工厂采购，出口美国。）
Remark: 2. 日期跟踪码：产品包装及产品本身都必须有日期跟踪码，并且确保两者的日期跟踪码要一致；ZURU标准格式日期码(请自行调整具体年月日生产期，但不能为周
末）。
PS: 毛绒布标贴纸日期码可以不保持一致。
 3. 订单外箱：
 *只需在外箱4面的正上方印ZURU LOGO；3面印MADE IN CHINA字样，一面留空贴外箱贴；
 *外箱正面需要额外加贴2张外箱贴（外箱贴客户提供，工厂直接贴）；
 *外箱贴位置：shipping label贴于外箱正面左下角；product label 贴于外箱正面右下角，2张贴纸都需距离外箱边缘至少3CM。
 4. 此客户有4个PO:
PO# 02173457 ship to NJ&lt;(&gt;,&lt;)&gt;
PO# 02173458 ship to NV&lt;(&gt;,&lt;)&gt;
PO# 02165957 ship to NJ&lt;(&gt;,&lt;)&gt;
PO# 02165958 ship to NV&lt;(&gt;,&lt;)&gt;
 5. 出货配比：ZURU MA 配比；
 6. 测试样板
77794UQ1-S001&lt;(&gt;&amp;&lt;)&gt;92146-S001&lt;(&gt;&amp;&lt;)&gt;92147-S001&lt;(&gt;&amp;&lt;)&gt;77876-S001请于6/13日前寄出ZURU MA版本每款每色2pcs样板做测试(测试样板可以不带价贴，但需带日
期码) 寄到以下地址做测试：
注：  需打印TRF随样板寄出（TRF由跟单提供）
测试行：BV(必维）
  地址：广东省深圳市深圳市龙华区鸿创科技中心4栋1楼
  收件人：Maggie Yang
  电话: 86 0755 86185331 | VOIP(Internal): 5331</t>
  </si>
  <si>
    <t>4500202450-150</t>
  </si>
  <si>
    <t>日期码格式：ZURU INC(BVI) 标准格式                  日期：按实际生产日期
Packaging Info: 1. 包材：
#77794UQ1：最新 MA 1L UPC+1L PDQ +价格贴纸（$19.99), 价贴位于产品包装上UPC条形码附近 + PDQ上需加价格贴纸 和 条码贴纸（PDQ上加贴条码贴纸位于PDQ背
面左下角+价贴位于PDQ前面右上角 ,贴纸资料跟单提供，工厂采购，出口美国。）
Remark: 2. 日期跟踪码：产品包装及产品本身都必须有日期跟踪码，并且确保两者的日期跟踪码要一致；ZURU标准格式日期码(请自行调整具体年月日生产期，但不能为周
末）。
PS: 毛绒布标贴纸日期码可以不保持一致。
 3. 订单外箱：
 *只需在外箱4面的正上方印ZURU LOGO；3面印MADE IN CHINA字样，一面留空贴外箱贴；
 *外箱正面需要额外加贴2张外箱贴（外箱贴客户提供，工厂直接贴）；
 *外箱贴位置：shipping label贴于外箱正面左下角；product label 贴于外箱正面右下角，2张贴纸都需距离外箱边缘至少3CM。
 4. 此客户有4个PO:
PO# 02173457 ship to NJ&lt;(&gt;,&lt;)&gt;
PO# 02173458 ship to NV&lt;(&gt;,&lt;)&gt;
PO# 02165957 ship to NJ&lt;(&gt;,&lt;)&gt;
PO# 02165958 ship to NV&lt;(&gt;,&lt;)&gt;
 5. 出货配比：ZURU MA 配比；
 6. 测试样板
77794UQ1-S001&lt;(&gt;&amp;&lt;)&gt;92146-S001&lt;(&gt;&amp;&lt;)&gt;92147-S001&lt;(&gt;&amp;&lt;)&gt;77876-S001请于6/13日前寄出ZURU MA版本每款每色2pcs样板做测试(测试样板可以不带价贴，但需带日
期码) 寄到以下地址做测试：
注：  需打印TRF随样板寄出（TRF由跟单提供）
测试行：BV(必维）
  地址：广东省深圳市深圳市龙华区鸿创科技中心4栋1楼
  收件人：Maggie Yang
  电话: 86 0755 86185331 | VOIP(Internal): 5331</t>
  </si>
  <si>
    <t>4500210803-40</t>
  </si>
  <si>
    <t>进口商贴纸+UPC贴纸翻单PO4500207</t>
  </si>
  <si>
    <r>
      <rPr>
        <sz val="11"/>
        <color rgb="FF000000"/>
        <rFont val="宋体"/>
        <charset val="134"/>
      </rPr>
      <t>日期码格式：ZURU INC(BVI) 标准格式 日期：按实际生产日期
Packaging Info: 77794UQ1：MA 3L PDQ包装+MA 3L EAN包装+UPC 贴纸+进口商贴纸+箱唛，</t>
    </r>
    <r>
      <rPr>
        <sz val="11"/>
        <color rgb="FFFF0000"/>
        <rFont val="宋体"/>
        <charset val="134"/>
      </rPr>
      <t>贴纸翻单PO4500207499</t>
    </r>
    <r>
      <rPr>
        <sz val="11"/>
        <color rgb="FF000000"/>
        <rFont val="宋体"/>
        <charset val="134"/>
      </rPr>
      <t xml:space="preserve">
Remark: 客户有监装要求，每款需要名准备1pc监柜样板</t>
    </r>
  </si>
  <si>
    <t>4500209131</t>
  </si>
  <si>
    <t>022409759</t>
  </si>
  <si>
    <t>4500209131-20</t>
  </si>
  <si>
    <r>
      <rPr>
        <sz val="11"/>
        <color rgb="FF000000"/>
        <rFont val="宋体"/>
        <charset val="134"/>
      </rPr>
      <t xml:space="preserve">日期码格式：ZURU INC(BVI) 标准格式 日期：按实际生产日期
Packaging Info: </t>
    </r>
    <r>
      <rPr>
        <sz val="11"/>
        <color rgb="FFFF0000"/>
        <rFont val="宋体"/>
        <charset val="134"/>
      </rPr>
      <t>1. 包装：ZURU MA 最新1L UPC版本；出口美国，CA；
Remark: 2. 日期跟踪码：产品包装及产品本身都必须有日期跟踪码，并且确保两者的日期跟踪码要一致；ZURU标准格式日期码(请自行调整具体年月日生产期，但不能为周
末）。
3. .出货配比: Zuru 标版配比。</t>
    </r>
  </si>
  <si>
    <t>4500209027</t>
  </si>
  <si>
    <t>AG260057-HK</t>
  </si>
  <si>
    <t>4500209027-10</t>
  </si>
  <si>
    <t>6/1 寄出3 张HK 客供警语贴纸</t>
  </si>
  <si>
    <t>4500212215</t>
  </si>
  <si>
    <t>1007840697</t>
  </si>
  <si>
    <t>4500212215-10</t>
  </si>
  <si>
    <t>4500210828-20</t>
  </si>
  <si>
    <t>ZMPO260895-10</t>
  </si>
  <si>
    <t>ZMPO260899-10</t>
  </si>
  <si>
    <t>Remark;大货最新版本/麻烦按款号装箱/并在外箱上注明款号/大货标准箱装箱/箱唛参照邮件附件;备注：收到样品订单后尽快安排 ，注意样板品质质量要求要高于大货品质要求 ，送货时必须要附带送货单(没有送货单和QC检验合格报告的仓库一律拒绝收货)，请知悉，谢谢！</t>
  </si>
  <si>
    <t>4500210400</t>
  </si>
  <si>
    <t>4500210400-10</t>
  </si>
  <si>
    <t>日期码格式：ZURU INC(BVI) 标准格式 日期：按实际生产日期
Packaging Info: 77794UQ1:MA B版1L UPC版本+D版29L含电池出货版本WEEE说明书+锂电池欧洲澳新 62115警语--单独说明书, 外箱需要加UN3481的贴纸，贴于正唛其中一面右上角+
地址贴纸
Remark: "MA版本按工厂现有最新库存即可，订单出英国，请注意检查产品及包装应带UKCA以及CE图标，包装显示ZURU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*所有产品按符合欧洲标准走货，需要是不含微塑料版本 。
*涉及到硼的，如可选择情况下应使用低硼版本 （slime 类别低硼一般低于300ppm)，无选择的应与跟单复核再安排 。
*如果出运产品属于电子类产品需要在ZURU 包装基础上额外添加一张ZURU 标准29L通用WEEE 电子产品说明书,带电池出货的加带电池出货版本通用29L的说明书，不
带电池出货的产品用不带电池出货版本的说明书.
*根据客人最新的包装要求，所有多个PDQ盒子(TQ,UQ,GQ）入1外箱的都需要在PDQ顶部右上角加上数量贴纸标明里面的数量。最小字体：36pts, 字体：Calibri（bo
ld), 具体要求以及位置见文件.
*订单对应客户PO号 ，备注有显示 ，注意分开做货/验货/装柜 ，混装有罚款。
* 大货样： 新款请在CRD前10天寄出每款2整套大货样到罗湖办公室7B Meyya Liu 收，翻单不用寄。"</t>
  </si>
  <si>
    <t>4500210400-140</t>
  </si>
  <si>
    <r>
      <rPr>
        <sz val="11"/>
        <color rgb="FF000000"/>
        <rFont val="宋体"/>
        <charset val="134"/>
      </rPr>
      <t>日期码格式：ZURU INC(BVI) 标准格式 日期：按实际生产日期
Packaging Info: 77794UQ1:MA B版1L UPC版本+D版29L含电池出货版本WEEE说明书+锂电池欧洲澳新 62115警语--单独说明书, 外箱需要加UN3481的贴纸，贴于正唛其中一面右上角</t>
    </r>
    <r>
      <rPr>
        <sz val="11"/>
        <color rgb="FFFF0000"/>
        <rFont val="宋体"/>
        <charset val="134"/>
      </rPr>
      <t>+
地址贴纸</t>
    </r>
    <r>
      <rPr>
        <sz val="11"/>
        <color rgb="FF000000"/>
        <rFont val="宋体"/>
        <charset val="134"/>
      </rPr>
      <t xml:space="preserve">
Remark: "MA版本按工厂现有最新库存即可，订单出英国，请注意检查产品及包装应带UKCA以及CE图标，包装显示ZURU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*所有产品按符合欧洲标准走货，需要是不含微塑料版本 。
*涉及到硼的，如可选择情况下应使用低硼版本 （slime 类别低硼一般低于300ppm)，无选择的应与跟单复核再安排 。
*如果出运产品属于电子类产品需要在ZURU 包装基础上额外添加一张ZURU 标准29L通用WEEE 电子产品说明书,带电池出货的加带电池出货版本通用29L的说明书，不
带电池出货的产品用不带电池出货版本的说明书.
*根据客人最新的包装要求，所有多个PDQ盒子(TQ,UQ,GQ）入1外箱的都需要在PDQ顶部右上角加上数量贴纸标明里面的数量。最小字体：36pts, 字体：Calibri（bo
ld), 具体要求以及位置见文件.
*订单对应客户PO号 ，备注有显示 ，注意分开做货/验货/装柜 ，混装有罚款。
* 大货样： 新款请在CRD前10天寄出每款2整套大货样到罗湖办公室7B Meyya Liu 收，翻单不用寄。"</t>
    </r>
  </si>
  <si>
    <t>4500210231-50</t>
  </si>
  <si>
    <t>贴纸和保证书翻单PO4500210225</t>
  </si>
  <si>
    <t>日期码格式：ZURU INC(BVI) 标准格式 日期：按实际生产日期 Tracking Code:
Packaging Info: 77843GQ2/77794UQ1：MA 3L PDQ包装+MA 3L EAN包装+UPC 贴纸+进口商贴纸+箱唛+保证书，贴纸和保证书翻单PO4500210225
Remark:</t>
  </si>
  <si>
    <t>4500210225-50</t>
  </si>
  <si>
    <t>7/24UPC 贴纸+进口商贴纸+箱唛+保证书</t>
  </si>
  <si>
    <t>日期码格式：ZURU INC(BVI) 标准格式                  日期：按实际生产日期
Packaging Info:
77794UQ1/77843GQ2/9565GQ1: MA 3L PDQ包装+MA 3L EAN包装+UPC 贴纸+进口商贴纸+箱唛+保证书
Remark：</t>
  </si>
  <si>
    <t>4500210568-10</t>
  </si>
  <si>
    <t>欧洲澳新通用warning instruction + 外箱SSCC Label</t>
  </si>
  <si>
    <t>日期码格式：ZURU INC(BVI) 标准格式                  日期：按实际生产日期
Packaging Info: 77794UQ1：客版PDQ（翻单PO#4500197867）+英文MA包装UPC版本包装（收缩膜和说明书, MA首选1L，如无1L可用多语且含英语的配套多语包装) +1张欧洲澳新通用wa
rning instruction + 外箱SSCC Label
Remark: 1. 客人要求箱唛不可出现任何手写内容，重量与实际一致且不可手写;
 2. 此单去澳大利亚，请按相应澳新标准生产;
 3. 取消使用TARGET新版封箱胶封顶，外箱全部使用普通透明封箱胶纸(客版胶纸如还有库存，可先消耗库存)；
 4. 外箱需要贴Target SSCC LABEL,客供PDF文档，工厂自行订购。请贴在正唛右下角（一箱一张，贴1面正唛右下角,封箱胶纸不能挡住贴纸内容。)；外箱贴纸距离
外箱边缘应在2cm以上。如果正唛无位置可以贴在侧唛；
 5. SSCC LABEL要求：贴纸内容，条形码印刷不完整/不清晰或有划痕/缺失，贴纸脏污、破损、条形码折叠、翘起、重复或者丢失，以及封箱胶盖住贴纸任何位置的
 ,客户都不能接受，如有发现以上异常，须返工重新贴；
 6. 外箱材质为ZURU标准；
 7. 产品和包装上要有tracking label信息：格式为Zuru标准格式（可以自行调整具体年月日生产日期,避开节假期日）；
 8. SSCC Label 尺寸更新为：4x4 inch。</t>
  </si>
  <si>
    <t>005710331473</t>
  </si>
  <si>
    <t>4500214972</t>
  </si>
  <si>
    <t>0983718061</t>
  </si>
  <si>
    <t>4500214972-10</t>
  </si>
  <si>
    <t>8/20 BV验货</t>
  </si>
  <si>
    <t>4500210228-50</t>
  </si>
  <si>
    <t>日期码格式：ZURU INC(BVI) 标准格式 日期：按实际生产日期 Tracking Code:
Packaging Info: 
 77794UQ1/77843GQ2: MA 3L PDQ包装+MA 3L EAN包装+UPC 贴纸+进口商贴纸+箱唛+保证书，贴纸和保证书翻单PO4500210225
Remark:</t>
  </si>
  <si>
    <t>4500206045</t>
  </si>
  <si>
    <t>4500206045-20</t>
  </si>
  <si>
    <t>4500210229-60</t>
  </si>
  <si>
    <t>日期码格式：ZURU INC(BVI) 标准格式 日期：按实际生产日期 Tracking Code:
Packaging Info: 77843/77794/9543B/9543E：MA 3L EAN包装+UPC 贴纸+进口商贴纸+箱唛+保证书
Remark:</t>
  </si>
  <si>
    <t>4500211858-30</t>
  </si>
  <si>
    <t>带电池D版WEEE说明书+2张贴纸（1张UPC, 1张IT环保标，贴彩盒，翻单4500204845)+7/1 SSCC LABEL一张</t>
  </si>
  <si>
    <t>日期码格式：ZURU INC(BVI) 标准格式                  日期：按实际生产日期
Packaging Info: Amazon DE:3XNX1QDB/19KM6AYO
Amazon FR:4HMSFT2A
Amazon IT:1GYNKQEW
DE(77794)/FR(77794)/IT(77794)
 1. 77794: VINYL-SERIES 1, PLAYSET-CUBE,16PCS/CTN,RECHARGEABLE LITHIUM BATTERY(INCLUDED);  MA 3L(3L warning EAN) B版彩盒+23L 说明书+23L欧洲澳新通
用Warning instruction+其它MA 最新配套包装+2张贴纸（1张UPC, 1张IT环保标+DE/IT警告语贴纸，贴彩盒，翻单4500204845)+带电池D版WEEE说明书+外箱锂电池贴
纸
 2. 最晚验货时间8/18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,&lt;(&gt;,&lt;)&gt; 此要求只适用Amazon UK/DE
/FR/ES/IT,不适用Amazon GPE，Amazon GPE无SSCC label, 但是有对应箱唛，需印刷到外箱 。
2.出往UK的产品+包装务必打上UKCA logo ，否则客人会退货且当地会有罚款。Amazon GPE（包含UK/FR/ES/DE/IT）的订单也需满足此要求。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故此请严格把关。Amazon~ GPE（包含UK/FR/ES/DE/IT）的订单也需满足此要求。
-油墨物质""""""""由1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
 9. 无论是工厂自检还是ZURU验货，验货报告中必须有产品6面图(正面/背面/左面/右面/顶部/底部，不带包装);
 10. 按空海运鉴定报告的要求，只要带锂电池出货，都需要加贴UN贴纸；
 11. 所有出往GAS市场(德国/奥地利/瑞士)的电子产品身上需要加字唛，为ZURU FRANCE 地址，需跟包装上的地址一致 (如无电子产品，产品布标有此地址，或产品
太小无法增加可忽略此信息。如产品无法加字唛，需让对应跟单提供产品贴纸资料);（Amazon GPE的订单也需满足此要求）
 12. 所有出往GAS德国 (瑞士，奥地利)。水弹枪系列必须使用EN71版本（电子和非电子水弹枪系列都需要符合); 护目镜需打日期码, 格式跟ZURU标准格式一样; 枪
身上增加ZURU FRANCE公司名和地址。使用贴纸和辐射上去都可以。如果有位置，最好增加ZURU Represented by: (此最好翻译德语，如果位置不允许，那么就只增
加ZURU法国和地址)。使用最新的EN71版包装和说明书）。Amazon GPE（包含UK/FR/ES/DE/IT）的订单也需满足此要求。</t>
  </si>
  <si>
    <t>4500211858-40</t>
  </si>
  <si>
    <t>4500211858-10</t>
  </si>
  <si>
    <t>新邵在我抽珊瑚</t>
  </si>
  <si>
    <t>4500211858-20</t>
  </si>
  <si>
    <t>4500210835-10</t>
  </si>
  <si>
    <t>锂电池黑白警语书纸  +  1张防盗贴纸  (贴纸以及位置图翻单PO#4500193539）+  箱唛 +7/27外箱SSCC  Label</t>
  </si>
  <si>
    <t>客版PDQ（翻单PO#4500197867）</t>
  </si>
  <si>
    <t>日期码格式：ZURU  INC(BVI)  标准格式                                    日期：按实际生产日期
Packaging Info: 77794UQ1:客版PDQ（翻单PO#4500197867）    +  MA英语UPC版本包装（收缩膜和说明书,  MA首选1L，如无1L可用多语且含英语的配套多语包装)  +1张锂电池黑白警语书
纸  +  1张防盗贴纸  (贴纸以及位置图翻单PO#4500193539）+  箱唛  +  外箱SSCC  Label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 13,10-16kg  超重logo
   2）CBM超过0. 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此单需要与AU  PO#4500210834一起合并计算</t>
  </si>
  <si>
    <t>4500210834-10</t>
  </si>
  <si>
    <t>7/29交仓</t>
  </si>
  <si>
    <t>锂电池黑白警语书纸  +  1张防盗贴纸  (贴纸以及位置图翻单PO#4500193539）+  箱唛 + 7/27外箱SSCC  Label</t>
  </si>
  <si>
    <t>日期码格式：ZURU INC(BVI) 标准格式 日期：按实际生产日期
Packaging Info: 77794UQ1:客版PDQ（翻单PO#4500197867） + MA英语UPC版本包装（收缩膜和说明书, MA首选1L，如无1L可用多语且含英语的配套多语包装) +1张锂电池黑白警语书
纸 + 1张防盗贴纸 (贴纸以及位置图翻单PO#4500193539）+ 箱唛 + 外箱SSCC Label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此单需要与NZ PO#4500210835一起合并计算</t>
  </si>
  <si>
    <t>4500213824</t>
  </si>
  <si>
    <t>86815</t>
  </si>
  <si>
    <t>4500213824-20</t>
  </si>
  <si>
    <t>日期码格式：ZURU INC(BVI) 标准格式                  日期：按实际生产日期
Packaging Info: 
77794UQ1: 客版PDQ（翻单PO#4500197867）+1张MA的锂电池警语书纸+1张客人通用进口商贴纸（贴纸跟位置图翻单PO#4500193524）+箱唛
Remark: 1.按实际生产日期;
2.出澳大利亚，请按照相应标准生产;
3.所有带纽扣电池的产品都需要在产品包装以及说明书上贴纽扣电池警告语贴纸</t>
  </si>
  <si>
    <t>0983718040</t>
  </si>
  <si>
    <t>4500214972-20</t>
  </si>
  <si>
    <t>7/25RFID贴纸</t>
  </si>
  <si>
    <t>0983717932</t>
  </si>
  <si>
    <t>4500214972-30</t>
  </si>
  <si>
    <t>8/21 BV验货</t>
  </si>
  <si>
    <t>2950868337</t>
  </si>
  <si>
    <t>4500204111-40</t>
  </si>
  <si>
    <t>4500211344-110</t>
  </si>
  <si>
    <r>
      <rPr>
        <sz val="11"/>
        <color rgb="FF000000"/>
        <rFont val="宋体"/>
        <charset val="134"/>
      </rPr>
      <t>日期码格式：ZURU INC(BVI) 标准格式                  日期：按实际生产日期
Packaging Info: 
11.77794UQ1：最新MA 3L EAN包装+MA 说明书+WEEE带电池走货欧洲29L通用黑白说明书+</t>
    </r>
    <r>
      <rPr>
        <sz val="11"/>
        <color rgb="FFFF0000"/>
        <rFont val="宋体"/>
        <charset val="134"/>
      </rPr>
      <t>MA PDQ</t>
    </r>
    <r>
      <rPr>
        <sz val="11"/>
        <color rgb="FF000000"/>
        <rFont val="宋体"/>
        <charset val="134"/>
      </rPr>
      <t>；
Remark: 1. 此单出西班牙，需满足EU测试标准要求，另外微塑料需符合EU法规；
 2. 标准配比。
3.根据新电池法规（EU）  2023/1542，所有走欧洲市场的电子产品，都需要增加WEEE通用29L说明书（分带电池走货 跟不带电池走货两种），如工厂没有此文件，可
以找跟单提供。
4. 产品及包装需要印CE logo图标，包装需含有西班牙环保标 和</t>
    </r>
    <r>
      <rPr>
        <sz val="11"/>
        <color rgb="FF000000"/>
        <rFont val="宋体"/>
        <charset val="134"/>
      </rPr>
      <t xml:space="preserve">care@zuru.com </t>
    </r>
    <r>
      <rPr>
        <sz val="11"/>
        <color rgb="FF000000"/>
        <rFont val="宋体"/>
        <charset val="134"/>
      </rPr>
      <t>邮箱地址，  另外，包装贴纸上面的警告语不可以覆盖西班牙警告语。QC同事请核
查，如有问题需和跟单确认。
5.纯毛绒玩具需要西班牙语言的洗涤说明；
6.需ZURU OQC验货后给到客户验货图片审批通过才可以放货，请工厂按时完货并及时验货；</t>
    </r>
  </si>
  <si>
    <r>
      <rPr>
        <sz val="11"/>
        <color rgb="FF000000"/>
        <rFont val="宋体"/>
        <charset val="134"/>
      </rPr>
      <t>SMYTHS</t>
    </r>
    <r>
      <rPr>
        <sz val="11"/>
        <color rgb="FF000000"/>
        <rFont val="宋体"/>
        <charset val="134"/>
        <scheme val="minor"/>
      </rPr>
      <t xml:space="preserve">  </t>
    </r>
    <r>
      <rPr>
        <sz val="11"/>
        <color rgb="FF000000"/>
        <rFont val="宋体"/>
        <charset val="134"/>
        <scheme val="minor"/>
      </rPr>
      <t>TOYS</t>
    </r>
    <r>
      <rPr>
        <sz val="11"/>
        <color rgb="FF000000"/>
        <rFont val="宋体"/>
        <charset val="134"/>
        <scheme val="minor"/>
      </rPr>
      <t xml:space="preserve">  </t>
    </r>
    <r>
      <rPr>
        <sz val="11"/>
        <color rgb="FF000000"/>
        <rFont val="宋体"/>
        <charset val="134"/>
        <scheme val="minor"/>
      </rPr>
      <t>HQ</t>
    </r>
    <r>
      <rPr>
        <sz val="11"/>
        <color rgb="FF000000"/>
        <rFont val="宋体"/>
        <charset val="134"/>
        <scheme val="minor"/>
      </rPr>
      <t xml:space="preserve">  </t>
    </r>
    <r>
      <rPr>
        <sz val="11"/>
        <color rgb="FF000000"/>
        <rFont val="宋体"/>
        <charset val="134"/>
        <scheme val="minor"/>
      </rPr>
      <t>UC</t>
    </r>
    <r>
      <rPr>
        <sz val="11"/>
        <color rgb="FF000000"/>
        <rFont val="宋体"/>
        <charset val="134"/>
        <scheme val="minor"/>
      </rPr>
      <t xml:space="preserve">  </t>
    </r>
    <r>
      <rPr>
        <sz val="11"/>
        <color rgb="FF000000"/>
        <rFont val="宋体"/>
        <charset val="134"/>
        <scheme val="minor"/>
      </rPr>
      <t>IE</t>
    </r>
  </si>
  <si>
    <t>4500219369</t>
  </si>
  <si>
    <t>4400584550</t>
  </si>
  <si>
    <t>4500219369-20</t>
  </si>
  <si>
    <t>德语callout/德意荷警语/法国sorting label贴纸(翻单PO#4500196046)</t>
  </si>
  <si>
    <t>日期码格式：ZURU  INC(BVI)  标准格式                                    日期：按实际生产日期
Packaging Info: 
77794UQ1:  最新MA  3L底座/纸卡/贴纸+MA  23L游戏说明书+MA  23L锂电池说明书+MA  23L警示说明书+MA  PDQ  (优先多语)
EAN#4894680051430
RECHARGEABLE  LITHIUM  BATTERY(INCLUDED)
*外箱需加一张UN3481锂电池运输标签*
Remark: Smyths  英国/爱尔兰
   1.  请准时出货，推期会有罚款；
   2.  所有产品按符合欧洲标准走货，需要是不含微塑料版本。
3.包装日期码按ZURU格式即可，请确保不迟于外箱日期码，可等于或者早于外箱日期码，必须为法定工作日，印刷前请先检查外箱日期码。
4.请注意检查产品及包装应带UKCA图标（14+产品除外），包装显示ZURU  UK  LTD/ZURU  France地址信息，QC部门请查核，如有问题与跟单确认
5. 电子产品需增加一张WEEE声明29L通用黑白说明书，区分带电池(D版)和不带电池(C版)出货版本,  如已做带WEEE声明的客版说明书可忽略此要求；如包装备注上缺
少此部分信息，请提醒跟单更新备注。
6.订单备注显示有分批的(不同仓库/订单号),  一定要区分客户订单号做货出货，否则会导致罚款    。
7.做货前请先复核包装条码与订单是否一致再安排，对不上的需与ZURU跟单确认再安排。
8.包装必须含法国回收标(Sorting  Label)，如没有，请提醒跟单提供贴纸资料。</t>
  </si>
  <si>
    <r>
      <rPr>
        <sz val="11"/>
        <color rgb="FF000000"/>
        <rFont val="宋体"/>
        <charset val="134"/>
      </rPr>
      <t>Mary</t>
    </r>
    <r>
      <rPr>
        <sz val="11"/>
        <color rgb="FF000000"/>
        <rFont val="宋体"/>
        <charset val="134"/>
        <scheme val="minor"/>
      </rPr>
      <t xml:space="preserve">  </t>
    </r>
    <r>
      <rPr>
        <sz val="11"/>
        <color rgb="FF000000"/>
        <rFont val="宋体"/>
        <charset val="134"/>
        <scheme val="minor"/>
      </rPr>
      <t>Qu</t>
    </r>
  </si>
  <si>
    <t>欠外箱条码箱贴纸贴纸+7/6背身UPC贴纸+event label</t>
  </si>
  <si>
    <r>
      <rPr>
        <sz val="11"/>
        <color rgb="FF000000"/>
        <rFont val="宋体"/>
        <charset val="134"/>
      </rPr>
      <t xml:space="preserve">日期码格式：ZURU INC(BVI) 标准格式 日期：按实际生产日期
Packaging Info: </t>
    </r>
    <r>
      <rPr>
        <sz val="11"/>
        <color rgb="FFFF0000"/>
        <rFont val="宋体"/>
        <charset val="134"/>
      </rPr>
      <t>77772: 产品包装 客版收缩膜；
77794: 产品包装 MA 1L彩盒；
客版展示架+展示架左右两侧各一个客版价格牌+背身UPC贴纸+外箱锂电池标签纸</t>
    </r>
    <r>
      <rPr>
        <sz val="11"/>
        <color rgb="FF000000"/>
        <rFont val="宋体"/>
        <charset val="134"/>
      </rPr>
      <t xml:space="preserve">
Remark: 1. MEC426-S002-DISPC-MINI BRANDS-VINYL-SERIES 1-PLAYSET AND CAPSULE MIXED IN ENDCAP,108PCS/ENDCAP,1ENDCAP/CTN;
</t>
    </r>
    <r>
      <rPr>
        <sz val="11"/>
        <color rgb="FFFF0000"/>
        <rFont val="宋体"/>
        <charset val="134"/>
      </rPr>
      <t>include 84pcs 77772+24pcs 77794</t>
    </r>
    <r>
      <rPr>
        <sz val="11"/>
        <color rgb="FF000000"/>
        <rFont val="宋体"/>
        <charset val="134"/>
      </rPr>
      <t xml:space="preserve">
</t>
    </r>
    <r>
      <rPr>
        <sz val="11"/>
        <color rgb="FFFF0000"/>
        <rFont val="宋体"/>
        <charset val="134"/>
      </rPr>
      <t>2. 77772: MINI BRANDS-VINYL-SERIES 1-CAPSULE；产品包装 客版收缩膜，收缩膜上的UPC显示#193052118721；
77794: MINI BRANDS-VINYLS MINI BRANDS PLAYSET-SERIES 1-CUBE；产品包装 MA 1L彩盒，彩盒上的UPC显示#193052090409；
客版展示架+展示架左右两侧各一个客版价格牌+背身UPC贴纸+外箱锂电池标签纸；展示架背身UPC贴纸显示客户的DPCI 及UPC，对应内容如下：DPCI# 086-02-2915，
UPC#193052118523；
3. 外箱正唛信息左上方位置粘贴条码箱贴纸，每箱只贴一张，由ZURU向艾利自行订购；对应的外箱贴DPCI# 086-02-5713, UPC# 193052118974，来料贴纸的UPC显
示193052118974；
4. 外箱正唛箱唛内容右侧需贴一张Event label，内容显示：Q4 PLAY Nov wk 2 Pallets Set Date: 11/7/2026. 由工厂自行安排订购；
5. 产品和包装上印刷 tracking code信息，格式为ZURU常规格式;
6. 出货方式：货代自提</t>
    </r>
  </si>
  <si>
    <t>4500214973</t>
  </si>
  <si>
    <t>0983718049</t>
  </si>
  <si>
    <t>4500214973-10</t>
  </si>
  <si>
    <t>0983717931</t>
  </si>
  <si>
    <t>4500214973-20</t>
  </si>
  <si>
    <t>0983717957</t>
  </si>
  <si>
    <t>4500214973-30</t>
  </si>
  <si>
    <t>4500213779</t>
  </si>
  <si>
    <t>498342</t>
  </si>
  <si>
    <t>4500213779-30</t>
  </si>
  <si>
    <t>7/6可移价格贴纸</t>
  </si>
  <si>
    <t>日期码格式：ZURU INC(BVI) 标准格式                  日期：按实际生产日期
Packaging Info: 1. MA, UPC版包装，优先1L + 可移价格贴纸. 出口美国。
Remark: 2.产品和包装上需要印刷tracking code信息, 为ZURU常规格式。
3.ZURU QC 验货。</t>
  </si>
  <si>
    <t>4500207214</t>
  </si>
  <si>
    <t>4500207214-60</t>
  </si>
  <si>
    <t>5/19UPC贴纸+进口商贴纸翻单4500210024</t>
  </si>
  <si>
    <t>日期码格式：ZURU INC(BVI) 标准格式 日期：按实际生产日期
Packaging Info: 
77794UQ1： MA 3L，加UPC贴纸
Remark: 出加拿大
每款产品都需要加进口商贴纸,进口商贴纸翻单4500210024
Zuru验货.日期跟踪码：产品外包装及产品本身都必须有日期跟踪码，ZURU标准格式日期码</t>
  </si>
  <si>
    <t>4500204040</t>
  </si>
  <si>
    <t>4500204040-20</t>
  </si>
  <si>
    <t>7/21更新</t>
  </si>
  <si>
    <t>日期码格式：ZURU INC(BVI) 标准格式                  日期：按实际生产日期
Packaging Info: 
77794:MA最新UPC包装+29L带电池出货D版WEEE说明书+加欧洲澳新通用Warning instruction
外箱正面其中1面右上角贴UN3481贴纸
Remark: MA版本按工厂现有最新库存即可，订单出英国，请注意检查产品及包装应带UKCA以及CE图标，包装显示ZURU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*所有产品按符合欧洲标准走货，需要是不含微塑料版本 。
 *涉及到硼的，如可选择情况下应使用低硼版本  （slime 类别低硼一般低于300ppm)，无选择的应与跟单复核再安排 。
 *如果出运产品属于电子类产品需要在ZURU 包装基础上额外添加一张ZURU 标准29L通用WEEE 电子产品说明书,带电池出货的加带电池出货版本通用29L的说明书，不
带电池出货的产品用不带电池出货版本的说明书.</t>
  </si>
  <si>
    <t>7/15 寄出外箱需要贴4x6"UCC 贴纸+7/14展示架上需粘贴 mother UPC 贴纸  （UPC：  10193052101607）</t>
  </si>
  <si>
    <t>4500212758</t>
  </si>
  <si>
    <t>4500212758-160</t>
  </si>
  <si>
    <t>7/10进口商贴纸+WEEE带电池走货欧洲29L通用黑白说明书</t>
  </si>
  <si>
    <r>
      <rPr>
        <sz val="11"/>
        <color rgb="FF0000CC"/>
        <rFont val="宋体"/>
        <charset val="134"/>
      </rPr>
      <t>日期码格式：ZURU INC(BVI) 标准格式 日期：按实际生产日期
Packaging Info: 
77794UQ1:最新MA 3L EAN包装+一张进口商贴纸+MA 说明书+WEEE带电池走货欧洲29L通用黑白说明书+【MA PDQ+一张ZURU 通用地址贴纸】；
Remark: 1. 此单出葡萄牙，需满足EU测试标准要求，另外微塑料需符合EU法规；
2. 标准配比；
3.根据新电池法规（EU） 2023/1542，所有走欧洲市场的电子产品，都需要增加WEEE通用29L说明书（分带电池走货和不带电池走货两种），如工厂没有此文件，可
以找跟单提供；
4. 产品及包装需要印CE logo图标和</t>
    </r>
    <r>
      <rPr>
        <sz val="11"/>
        <color rgb="FF000000"/>
        <rFont val="宋体"/>
        <charset val="134"/>
      </rPr>
      <t xml:space="preserve">care@zuru.com </t>
    </r>
    <r>
      <rPr>
        <sz val="11"/>
        <color rgb="FF0000CC"/>
        <rFont val="宋体"/>
        <charset val="134"/>
      </rPr>
      <t>邮箱地址
5.此单是新客户首单，需要准备2套大货样寄给客户作为评估样，请注意备料；
6. 根据欧盟发布《包装和包装废弃物法规》（EU）2025/40（PPWR）新法规：需在PDQ /展示架 以及外箱上增加制造商地址和邮箱地址（见如下内容）
运输包装：外箱上印刷：
ZURU FRANCE. 33 rue Paul Meurice 75020 Paris, France.
care@zuru.com
PDQ，SK展示架，ENDCAP （含有二个欧盟地址，法国地址需下划线）
ZURU INC. ROOM 1202, ENERGY PLAZA, NO.92 GRANVILLE ROAD, TSIM SHA TSUI EAST, KOWLOON, HONG KONG. / ZURU UK LIMITED. Ground Floor, Templeback, 10
Temple Back, Bristol, United Kingdom, BS1 6FL. / ZURU FRANCE. 33 rue Paul Meurice 75020 Paris, France. / ZURU DENMARK APS. OSLO PLADS 2, 2100 K
BENHAVN , DENMARK.
care@zuru.com</t>
    </r>
  </si>
  <si>
    <t>4500213979</t>
  </si>
  <si>
    <t>4500213979-30</t>
  </si>
  <si>
    <t>7/15进口商贴纸+EAN条码覆盖原条码+D  版  29L  带电池走货WEEE通用说明书</t>
  </si>
  <si>
    <r>
      <rPr>
        <sz val="11"/>
        <color rgb="FF000000"/>
        <rFont val="宋体"/>
        <charset val="134"/>
      </rPr>
      <t>日期码格式：ZURU INC(BVI) 标准格式 日期：按实际生产日期
Packaging Info: 77794： B 版3L MA EAN 包装；A 版 23L 警告语说明书/A 版 23L 唱片机说明书/A 版 23L 锂电池警告语说明书/D 版 29L 带电池走货WEEE通用说明书
77794UQ1：B 版3L MA EAN 包装+进口商贴纸</t>
    </r>
    <r>
      <rPr>
        <sz val="11"/>
        <color rgb="FFFF0000"/>
        <rFont val="宋体"/>
        <charset val="134"/>
      </rPr>
      <t>+EAN条码贴纸（含客户款号）；A 版 23L 警告语说明书/A 版 23L 唱片机说明书/A 版 23L 锂电池警告语说明书/A 版
MA PDQ/ D 版 29L 带电池走货WEEE通用说明书；外箱一面添加锂电池贴纸</t>
    </r>
    <r>
      <rPr>
        <sz val="11"/>
        <color rgb="FF000000"/>
        <rFont val="宋体"/>
        <charset val="134"/>
      </rPr>
      <t xml:space="preserve">
Remark: 1、若产品有比例使用ZURU STD 比例
2、所有item 均用MA EAN条码，若包装上的EAN 条码与PO 不一致的请告知
3、此单出欧洲需满足EU测试标准要求，含有闪粉类的产品，闪粉必须符合欧盟要求且可降解;电池产品（带电池/不带电池走货）需要添加WEEE通用说明书
4、此单LC 货期不可延
5、订单中的Vinyl Capsule 需要移除Last Friday Night &lt;(&gt;&amp;&lt;)&gt; Delicious &lt;(&gt;&amp;&lt;)&gt; Messy 3款唱片</t>
    </r>
  </si>
  <si>
    <t>4500215733-30</t>
  </si>
  <si>
    <t>日期码格式：ZURU INC(BVI) 标准格式                  日期：按实际生产日期
Packaging Info: 1. MA UPC 英语包装（优先1L英语版本,或者3L/5L含英语即可）
**77794UQ1：客版PDQ（翻单PO#4500197867）+MA英语UPC版本包装（收缩膜和说明书, MA首选1L，如无1L可用多语且含英语的配套多语包装) + 1张MA锂电池黑白警
语贴纸贴在箱唛空白处
2. 包装配比：
**77792GQ1:4  mini vinyls(except Messy &lt;(&gt;&amp;&lt;)&gt; Delicious vinyl minis),1 accessory
Remark: 1.订单出新西兰
2.CRD日期基于我司 QC完成验货;
3.请确保发货100%的订单数量/ sku;
 4. 我司验货日期(请联系Mia Yu Mia.yu@zuru.com提前预定验货日期)，预约验货至少需在完货日期前一周申请;
 5, 箱唛: 按照邮件确认的文档
 6. 产品/彩盒/外箱上日期码请保持一致
 7. 产品UPC ,外箱GTIN#
77794UQ1-S002: UPC#193052090409  /GTIN#10193052090406</t>
  </si>
  <si>
    <t>4500214727</t>
  </si>
  <si>
    <t>10001927202-0581</t>
  </si>
  <si>
    <t>4500214727-10</t>
  </si>
  <si>
    <t>7/21 确认</t>
  </si>
  <si>
    <t>7/31外箱条码箱贴纸贴纸+背身UPC贴纸</t>
  </si>
  <si>
    <t>日期码格式：ZURU INC(BVI) 标准格式                  日期：按实际生产日期
Packaging Info: 产品包装 MA 23L黑白警告语说明书+MA 1L 彩盒+MA 1L PDQ
Remark: 1.77794UQ1-S002-MINI BRANDS-VINYL-PLAYSET-SERIES 1-CUBE,8PCS/PDQ,8PCS/PDQ/CTN;
 2. 产品包装 MA 23L黑白警告语说明书+MA 1L 彩盒+MA 1L PDQ; 彩盒上的UPC显示193052090409;
 3. 外箱正唛左上角位置粘贴条码箱贴纸，每箱只贴一张，由ZURU订购。来料贴纸上显示的客户DPCI# 086-02-4085, UPC显示10193052090406;
 4. 带锂电池出货，需在外箱正面或者侧面合适位置上加贴一张贴锂电池标签纸，由工厂订购；
 5. 产品和包装上均要印刷tracking code信息，格式为ZURU常规格式；
 6. 需要我司QC验货之后才能安排出货
 7. 出货方式：  货代自提</t>
  </si>
  <si>
    <t>样版单</t>
  </si>
  <si>
    <t>4500204935-50</t>
  </si>
  <si>
    <t>4500206065-110</t>
  </si>
  <si>
    <t>4500209257</t>
  </si>
  <si>
    <t>AG260073-TW</t>
  </si>
  <si>
    <t>4500209257-10</t>
  </si>
  <si>
    <t>8/23截SI</t>
  </si>
  <si>
    <t>6/4警语贴纸（ 贴底部）</t>
  </si>
  <si>
    <t>日期码格式：ZURU INC(BVI) 标准格式                  日期：按实际生产日期
Packaging Info: 此单出TW
77794UQ1：  MA PKG , 优先1L , MA 说明书，+ 1张警语贴纸（ 贴底部）
Remark：</t>
  </si>
  <si>
    <t>4500213830</t>
  </si>
  <si>
    <t>86544</t>
  </si>
  <si>
    <t>4500213830-10</t>
  </si>
  <si>
    <t>日期码格式：ZURU INC(BVI) 标准格式                  日期：按实际生产日期
Packaging Info: 77794UQ1: 客版PDQ（翻单PO#4500197867）+1张MA的锂电池警语书纸+1张客人通用进口商贴纸（贴纸跟位置图翻单PO#4500193524）+箱唛
Remark: 1.按实际生产日期;
2.出澳大利亚，请按照相应标准生产;
3.所有带纽扣电池的产品都需要在产品包装以及说明书上贴纽扣电池警告语贴纸</t>
  </si>
  <si>
    <t>4500214563</t>
  </si>
  <si>
    <t>4500214563-20</t>
  </si>
  <si>
    <t>WEEE带电池走货欧洲29L通用黑白说明书+MA  PDQ</t>
  </si>
  <si>
    <r>
      <rPr>
        <sz val="11"/>
        <color rgb="FF0000FF"/>
        <rFont val="宋体"/>
        <charset val="134"/>
      </rPr>
      <t>日期码格式：ZURU INC(BVI) 标准格式 日期：按实际生产日期 Tracking Code:
Packaging Info: 
77794UQ1：最新MA 3L EAN包装+MA 说明书+WEEE带电池走货欧洲29L通用黑白说明书+MA 3LPDQ+1张PPWR地址贴纸；
Remark: 1. 此单出西班牙，需满足EU测试标准要求，另外微塑料需符合EU法规；
 2. 标准配比。
 3.根据新电池法规（EU） 2023/1542，所有走欧洲市场的电子产品，都需要增加WEEE通用29L说明书（分带电池走货 跟不带电池走货两种），如工厂没有此文件，可
 以找跟单提供。
 4. 产品及包装需要印CE logo图标，包装需含有西班牙环保标 和</t>
    </r>
    <r>
      <rPr>
        <sz val="11"/>
        <color rgb="FF000000"/>
        <rFont val="宋体"/>
        <charset val="134"/>
      </rPr>
      <t xml:space="preserve">care@zuru.com </t>
    </r>
    <r>
      <rPr>
        <sz val="11"/>
        <color rgb="FF0000FF"/>
        <rFont val="宋体"/>
        <charset val="134"/>
      </rPr>
      <t>邮箱地址， 另外，包装贴纸上面的警告语不可以覆盖西班牙警告语。QC同事请核
 查，如有问题需和跟单确认。
 5.纯毛绒玩具需要西班牙语言的洗涤说明；
 6.需ZURU OQC验货后给到客户验货图片审批通过才可以放货，请工厂按时完货并及时验货；
 7.欧盟发布了《包装和包装废弃物法规》（EU）2025/40（PPWR）于2026-8-12开始实施，并废除了欧盟包装指令94/62/EC， 需要在含有PDQ，外箱， 展示架上增加
 制造商地址和邮箱地址，内容如下：
 运输包装：外箱、卡通箱 （只有一个欧盟地址，可以不用下划线）
 ZURU FRANCE. 33 rue Paul Meurice 75020 Paris, France.
 care@zuru.com
 组合包装：PDQ，SK展示架，ENDCAP （含有二个欧盟地址，法国地址需下划线）
 ZURU INC. ROOM 1202, ENERGY PLAZA, NO.92 GRANVILLE ROAD, TSIM SHA TSUI EAST, KOWLOON, HONG KONG. / ZURU UK LIMITED. Ground Floor, Templeback, 10
 Temple Back, Bristol, United Kingdom, BS1 6FL. / ZURU FRANCE. 33 rue Paul Meurice 75020 Paris, France. / ZURU DENMARK APS. OSLO PLADS 2, 2100 K
 BENHAVN , DENMARK.
 care@zuru.com
 7.需要准备每款2套大货样，请注意备料。</t>
    </r>
  </si>
  <si>
    <t>4500212563</t>
  </si>
  <si>
    <t>4500212563-10</t>
  </si>
  <si>
    <t>6/23 寄出客户价格贴纸</t>
  </si>
  <si>
    <t>日期码格式：ZURU INC(BVI) 标准格式                  日期：
Packaging Info: 1.Claire's 这个客户在US+CA出售，所有的产品图稿包括配件必须是多语（务必要有英法语），无硼版本，符合加拿大市场要求，包装MA 2L/3L +客户价格贴纸（覆
盖掉原来的EAN#条形码）
2. 客人指定箱唛排版
3.要加客供价格贴纸，务必覆盖掉原本的EAN
Remark: 1.出货前 Zuru QC 验货
2.价格贴纸需覆盖收缩膜上的EAN,贴大货之前先贴一个给跟单确认位置图</t>
  </si>
  <si>
    <t>4500213107</t>
  </si>
  <si>
    <t>5200010672</t>
  </si>
  <si>
    <t>4500213107-10</t>
  </si>
  <si>
    <t>多语警语折叠贴纸(翻单4500192187）23L锂电池警语说明书+最新D版WEEE带电说明</t>
  </si>
  <si>
    <t>日期码格式：ZURU  INC(BVI)  标准格式                                    日期：按实际生产日期
Packaging Info: "77794UQ1:    MA  3L  PDQ+MA  3L  EAN  彩盒+1*多语警语折叠贴纸(翻单4500192187）+23L玩法说明书+23L警语说明书+23L锂电池警语说明书+最新D版WEEE带电说明书
请注意：77794含锂电池，需在外箱贴一张含锂电池贴纸。"
Remark: 1.德国内销单，需要通过ZURU  验货结果后才能出货  (工厂需要主动提前同ZURU  QC预约验货避免延期出货造成不必要麻烦)；
2.产品如含有化学品（slime  等），需要无硼无香。需要无微塑料版本。产品如含有硅藻泥干燥剂，需要另外加一张14L干燥剂说明书。
3.所有出口欧洲的产品,  法规规定禁止在包装和共公众用的印刷品中使用矿物油中含有的物质,  包装印刷油墨中含有的MOAH/MOSH的质量浓度不能超过1%,  否则出货
到法国被抽检出现问题,  供应商需要对此负责;
   4.  date  code:  外箱日期码要晚于或等于产品日期码，不能早于产品的日期码；
   5.  所有出往德国的电子产品身上需要加字唛，为ZURU  FRANCE  地址，需跟包装上的地址一致  (如无电子产品，产品布标有此地址，或产品太小无法增加可忽略此信
息。如产品无法加字唛，需让对应跟单提供产品贴纸资料)
新地址：ZURU  France  33  rue  Paul  Meurice  75020  Paris,  France
旧地址：ZURU  France  1/3,  Rue  d'Argenteuil  95210  SAINT-GRATIEN,  FRANCE
6.所有出往德国订单的电子产品需增加一张最新版本的欧洲通用WEEE声明说明书，区分带电池和不带电池版本,  如已做客版说明书可忽略此要求。
7.装柜时需要按照款式号码从小到大一款款依次装,避免终端仓库卸货混乱.若一个柜子涉及到几个不同国家内销单,装柜时需要一个国家装完后再装另一个国家的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8.ratio  同MA
9.  若有特定款有特殊外箱条码要求时,需要明确列出产品款对应的具体外箱条码号码/条码类型  (若无,可以忽略此需求).</t>
  </si>
  <si>
    <t>4500210775-10</t>
  </si>
  <si>
    <t>6/13寄出 3 张HK 客供警语贴纸( 底部贴1张HK 客供进口商警语贴纸和1张客供电池警语贴纸，说明书贴1张警语贴纸</t>
  </si>
  <si>
    <t>日期码格式：ZURU INC(BVI) 标准格式 日期：按实际生产日期
Packaging Info: 此单出HK
77794UQ1: MA 1L PKG ，PDQ , MA 收藏指南，说明书+3 张HK 客供警语贴纸( 底部贴1张HK 客供进口商警语贴纸和1张客供电池警语贴纸，说明书贴1张警语贴纸，
贴纸内容不一样，具体参考HK客供警语贴纸位置图）
Remark:</t>
  </si>
  <si>
    <t>4500211316</t>
  </si>
  <si>
    <t>4500211316-30</t>
  </si>
  <si>
    <t>7/22 确认</t>
  </si>
  <si>
    <t>7/20进口商贴纸（含意大利环保标）+WEEE29L欧洲通用电池回收说明书</t>
  </si>
  <si>
    <t>日期码格式：ZURU INC(BVI) 标准格式                  日期：按实际生产日期
Packaging Info: 
77794UQ1：最新MA 3L EAN彩盒 + MA23L 电池warning说明书+MA23L 电池使用说明书+ MA23L产品使用说明书+ MA3L PDQ+ 进口商贴纸（含意大利环保标）
Remark: 1. 此单出意大利，需要满足EU标准，通过ZURU验货即可；
 2. 产品均符合EU微塑料法规要求：不能含有微塑料/闪粉符合欧规，BOB系列要符合欧洲要求不含亚硝酸版本; XShot Hyper系列，统一出EN71版本。
 3,  SMASHERS 或含Slime产品，所有化合物使用无硼或者低硼版本出意大利。#17601需要出NS版本。
4, 带电池产品需要带上最新WEEE29L欧洲通用电池回收说明书。产品里如果含干燥剂，请附上干燥剂14L说明书。
5, 意大利订单包装彩卡请确保含法规要求的环保回收logo和意大利语警语，如果说明书有文字使用说明，需要有意大利语使用说明。
6，电池产品请确保使用新说明书以及新标识的电池以符合最新(EU) 2023/1542法规  （增加制造商信息，电池种类，制造商地址，电池重量，化学组成，可用的灭
火器，浓度重量占比&gt;0.1%的关键原材料，二维码），如果电池不含这些信息，也需要确保电池说明书含这些信息。</t>
  </si>
  <si>
    <t>4500214102</t>
  </si>
  <si>
    <t>77869-77794-S001-PRODCC</t>
  </si>
  <si>
    <t>空白贴纸覆盖收缩膜上面的原条码，需要移除LOLA  YANG的唱片,  外箱需要加UN3481的贴纸，贴于正唛其中一面右上角</t>
  </si>
  <si>
    <r>
      <rPr>
        <sz val="11"/>
        <color rgb="FF000000"/>
        <rFont val="宋体"/>
        <charset val="134"/>
      </rPr>
      <t>日期码格式：ZURU INC(BVI) 标准格式 日期：按实际生产日期
Packaging Info: 77869:客板彩盒</t>
    </r>
    <r>
      <rPr>
        <sz val="11"/>
        <color rgb="FFFF0000"/>
        <rFont val="宋体"/>
        <charset val="134"/>
      </rPr>
      <t>（翻单4500211844）+D版带电池出货版本WEEE说明书+球用MA B版UP收缩膜+空白贴纸覆盖收缩膜上面的原条码，77772要移除LOLA YANG唱片，要用配
套的收藏指南(翻单PO#4500198654)</t>
    </r>
    <r>
      <rPr>
        <sz val="11"/>
        <color rgb="FF000000"/>
        <rFont val="宋体"/>
        <charset val="134"/>
      </rPr>
      <t xml:space="preserve">
Remark: MA版本按工厂现有最新库存即可，订单出英国，请注意检查产品及包装应带UKCA以及CE图标，包装显示ZURU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*所有产品按符合欧洲标准走货，需要是不含微塑料版本 。
*涉及到硼的，如可选择情况下应使用低硼版本 （slime 类别低硼一般低于300ppm)，无选择的应与跟单复核再安排 。
*如果出运产品属于电子类产品需要在ZURU 包装基础上额外添加一张ZURU 标准29L通用WEEE 电子产品说明书,带电池出货的加带电池出货版本通用29L的说明书，不
带电池出货的产品用不带电池出货版本的说明书.
*根据客人最新的包装要求，所有多个PDQ盒子(TQ,UQ,GQ）入1外箱的都需要在PDQ顶部右上角加上数量贴纸标明里面的数量。最小字体：36pts, 字体：Calibri（bo
ld), 具体要求以及位置见文件.
*订单对应客户PO号 ，备注有显示 ，注意分开做货/验货/装柜 ，混装有罚款。
* 大货样： 新款请在CRD前10天寄出每款2整套大货样到罗湖办公室21B Meyya Liu 收，翻单不用寄。</t>
    </r>
  </si>
  <si>
    <t>FREDMEYER  INC</t>
  </si>
  <si>
    <t>4500213080</t>
  </si>
  <si>
    <t>0045380599</t>
  </si>
  <si>
    <t>4500213080-40</t>
  </si>
  <si>
    <t>6/24确认</t>
  </si>
  <si>
    <t>日期码格式：ZURU  INC(BVI)  标准格式                                    日期：按实际生产日期
Packaging Info: 1、包装方式:  MA  UPC优先1L最新版，出口美国
Remark: 2、无第三方测试验货要求
   3、纸箱4面印ZURU  LOGO  +  箱唛
   4、日期码请按ZURU标准版执行即可
   5、ZURU  QC验货</t>
  </si>
  <si>
    <t>Vicky  Wu</t>
  </si>
  <si>
    <t>4500214846</t>
  </si>
  <si>
    <t>4500214846-10</t>
  </si>
  <si>
    <t>日期码格式：ZURU INC(BVI) 标准格式 日期：按实际生产日期
Packaging Info: 77794UQ1 : MA 1L PKG
Remark:</t>
  </si>
  <si>
    <r>
      <rPr>
        <sz val="11"/>
        <color rgb="FF000000"/>
        <rFont val="宋体"/>
        <charset val="134"/>
      </rPr>
      <t xml:space="preserve">日期码格式：ZURU INC(BVI) 标准格式 日期：按实际生产日期
Packaging Info: 
</t>
    </r>
    <r>
      <rPr>
        <sz val="11"/>
        <color rgb="FFFF0000"/>
        <rFont val="宋体"/>
        <charset val="134"/>
      </rPr>
      <t>77869: 客制3L彩盒(彩盒翻单PO#4500202802），MA 说明书和收藏指南
子件77772: MA英语UPC版本包装（收缩膜和说明书, MA首选1L，如无1L可用多语且含英语的配套多语包装) +MA客制收藏指南
子件77794: MA英语UPC版本包装（收缩膜和说明书, MA首选1L，如无1L可用多语且含英语的配套多语包装)
2PK 77772( remove Messy &lt;(&gt;&amp;&lt;)&gt; Delicious vinyl minis) + 77794 PLAYSET COMBO IN COLOR BOX"</t>
    </r>
    <r>
      <rPr>
        <sz val="11"/>
        <color rgb="FF000000"/>
        <rFont val="宋体"/>
        <charset val="134"/>
      </rPr>
      <t xml:space="preserve">
Remark:</t>
    </r>
  </si>
  <si>
    <t>4500219879-10</t>
  </si>
  <si>
    <t xml:space="preserve">4500216448-40行客运改回海运
</t>
  </si>
  <si>
    <t>欠贴纸</t>
  </si>
  <si>
    <t>日期码格式：ZURU  INC(BVI)  标准格式                                    日期：按实际生产日期
Packaging Info: 77794UQ1:  最新MA  3L底座/纸卡/贴纸+MA  23L游戏说明书+MA  23L锂电池说明书+MA  23L警示说明书+MA  PDQ  (优先多语)
EAN#4894680051430
RECHARGEABLE  LITHIUM  BATTERY(INCLUDED)
*外箱需加一张UN3481锂电池运输标签*
Remark: Smyths  英国/爱尔兰
   1.  请准时出货，推期会有罚款；
   2.  所有产品按符合欧洲标准走货，需要是不含微塑料版本。
3.包装日期码按ZURU格式即可，请确保不迟于外箱日期码，可等于或者早于外箱日期码，必须为法定工作日，印刷前请先检查外箱日期码。
4.请注意检查产品及包装应带UKCA图标（14+产品除外），包装显示ZURU  UK  LTD/ZURU  France地址信息，QC部门请查核，如有问题与跟单确认
5. 电子产品需增加一张WEEE声明29L通用黑白说明书，区分带电池(D版)和不带电池(C版)出货版本,  如已做带WEEE声明的客版说明书可忽略此要求；如包装备注上缺
少此部分信息，请提醒跟单更新备注。
6.订单备注显示有分批的(不同仓库/订单号),  一定要区分客户订单号做货出货，否则会导致罚款    。
7.做货前请先复核包装条码与订单是否一致再安排，对不上的需与ZURU跟单确认再安排。
8.包装必须含法国回收标(Sorting  Label)，如没有，请提醒跟单提供贴纸资料。</t>
  </si>
  <si>
    <t>4500216463-20</t>
  </si>
  <si>
    <t>UPC 条码+进口商贴纸+产品贴纸+说明书贴纸+保证书+3L MAPDQ+箱唛，所有贴纸和保证书都翻单4500205972</t>
  </si>
  <si>
    <t>保证书翻单4500205972</t>
  </si>
  <si>
    <t>日期码格式：LOT+ZURU标准日期码格式                  日期：按实际生产日期
Packaging Info: 
77794UQ1 MA 3L EAN 包装+UPC 条码+进口商贴纸+产品贴纸+说明书贴纸+保证书+3L MAPDQ+箱唛，所有贴纸和保证书都翻单4500205972
Remark: 1. 客版日期码要求：LOT+ZURU标准日期码格式。举例东莞生产的格式：LOTDGYYYYMMDD, DG是东莞拼音首字母，YYYYMMDD是实际的年月日，例如(LOTDG20240920)
 2. 此单有第三方监柜，至少多备一套完整的物料用于监柜，请多备料
 3. WM墨西哥防霉的新要求:货物必须在出货主箱和集装箱中按要求放置干燥剂，干燥剂指定品牌干霸
 4. 77772GQ2/77858/77794UQ1：  每箱放置6小包干燥剂，每包重2-3g；
 5. 如走柜货等loading plan 确认后再通知集装箱干燥剂数量</t>
  </si>
  <si>
    <t>4500216454-20</t>
  </si>
  <si>
    <t>日期码格式：ZURU INC(BVI) 标准格式                  日期：按实际生产日期
Packaging Info: 
"77794UQ1: 最新MA 3L底座/纸卡/贴纸+MA 23L游戏说明书+MA 23L锂电池说明书+MA 23L警示说明书+MA PDQ (优先多语)
EAN#4894680051430
RECHARGEABLE LITHIUM BATTERY(INCLUDED)
*外箱需加一张UN3481锂电池运输标签*"
Remark: "Smyths 英国/爱尔兰
 1. 请准时出货，推期会有罚款；
 2. 所有产品按符合欧洲标准走货，需要是不含微塑料版本。
3.包装日期码按ZURU格式即可，请确保不迟于外箱日期码，可等于或者早于外箱日期码，必须为法定工作日，印刷前请先检查外箱日期码。
4.请注意检查产品及包装应带UKCA图标（14+产品除外），包装显示ZURU UK LTD/ZURU France地址信息，QC部门请查核，如有问题与跟单确认
5.电子产品需增加一张WEEE声明29L通用黑白说明书，区分带电池(D版)和不带电池(C版)出货版本, 如已做带WEEE声明的客版说明书可忽略此要求；如包装备注上缺
少此部分信息，请提醒跟单更新备注。
6.订单备注显示有分批的(不同仓库/订单号), 一定要区分客户订单号做货出货，否则会导致罚款  。
7.做货前请先复核包装条码与订单是否一致再安排，对不上的需与ZURU跟单确认再安排。
8.包装必须含法国回收标(Sorting Label)，如没有，请提醒跟单提供贴纸资料。"</t>
  </si>
  <si>
    <t>4500213304-20</t>
  </si>
  <si>
    <t>最新MA 23L 62115警语说明书+7/22一张进口商贴纸（含希腊警语）+ZURU信息的贴纸</t>
  </si>
  <si>
    <r>
      <rPr>
        <sz val="11"/>
        <color rgb="FF000000"/>
        <rFont val="宋体"/>
        <charset val="134"/>
      </rPr>
      <t xml:space="preserve">日期码格式：ZURU INC(BVI) 标准格式                  日期：按实际生产日期
Packaging Info: 
77794：最新MA 3L EAN tray+最新MA 23L说明书+最新MA 23L 62115警语说明书+一张进口商贴纸（含希腊警语）
Remark: 1. 此单出希腊，需要满足EU标准；  产品均符合EU微塑料法规要求：不能含有微塑料闪粉
 2. 本订单所有 具有 baby items / assorted items 的款式，零售包装上都要用 母 EAN;
 3. 带电产品请根据是否带电池出货，自行订购“WEEE_不带/带电池走货 _ 欧洲通用说明书EN+29L-D版”说明书纸
 4.带干燥剂的产品需要加一张“干燥剂说明书14L”
</t>
    </r>
    <r>
      <rPr>
        <sz val="11"/>
        <color rgb="FFFF0000"/>
        <rFont val="宋体"/>
        <charset val="134"/>
      </rPr>
      <t>5.所有PDQ/SIDEKICK/ENDCAP都需要加上ZURU信息的贴纸；若MA AW已有可忽略。具体内容如下：
ZURU INC. ROOM 1202, ENERGY PLAZA, NO.92 GRANVILLE ROAD, TSIM SHA TSUI EAST, KOWLOON, HONG KONG. / ZURU UK LIMITED. Ground Floor, Templeback, 10
Temple Back, Bristol, United Kingdom, BS1 6FL. / ZURU FRANCE. 33 rue Paul Meurice 75020 Paris, France. / ZURU DENMARK APS. OSLO PLADS 2, 2100 K
BENHAVN , DENMARK.
care@zuru.com</t>
    </r>
  </si>
  <si>
    <t>4500208584</t>
  </si>
  <si>
    <t>21779459</t>
  </si>
  <si>
    <t>7/24 确认</t>
  </si>
  <si>
    <t>防盗贴纸 (贴纸以及位置图翻单PO#4500193539） + 8/3外箱SSCC Label</t>
  </si>
  <si>
    <r>
      <rPr>
        <sz val="11"/>
        <color rgb="FF000000"/>
        <rFont val="宋体"/>
        <charset val="134"/>
      </rPr>
      <t xml:space="preserve">日期码格式：ZURU INC(BVI) 标准格式 日期：按实际生产日期 Tracking Code:
Packaging Info: 77869：客制 3L UPC 彩盒包装 (彩盒翻单PO#4500202802)+ 箱唛 + 外箱贴纸SSCC Label
 子件77772: </t>
    </r>
    <r>
      <rPr>
        <sz val="11"/>
        <color rgb="FFFF0000"/>
        <rFont val="宋体"/>
        <charset val="134"/>
      </rPr>
      <t>1L 客版英语无条码收缩膜（翻单PO#4500208581）</t>
    </r>
    <r>
      <rPr>
        <sz val="11"/>
        <color rgb="FF000000"/>
        <rFont val="宋体"/>
        <charset val="134"/>
      </rPr>
      <t>+B版客制收藏指南</t>
    </r>
    <r>
      <rPr>
        <sz val="11"/>
        <color rgb="FFFF0000"/>
        <rFont val="宋体"/>
        <charset val="134"/>
      </rPr>
      <t>-删除两张唱片""Messy &lt;(&gt;&amp;&lt;)&gt; Delicious""</t>
    </r>
    <r>
      <rPr>
        <sz val="11"/>
        <color rgb="FF000000"/>
        <rFont val="宋体"/>
        <charset val="134"/>
      </rPr>
      <t>（收藏指南翻单PO#4500202802）
 子件77794: MA英语UPC版本包装（收缩膜和说明书, MA首选1L，如无1L可用多语且含英语的配套多语包装) +1张MA锂电池黑白警语书纸（书纸翻单PO#4500193539）
 2PK 77772( remove Messy &lt;(&gt;&amp;&lt;)&gt; Delicious vinyl minis) + 77794 PLAYSET COMBO IN COLOR BOX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10.所有带纽扣电池的产品都需要在产品包装以及说明书上贴纽扣电池警告语贴纸
 此单需要与AU PO#4500208581一起合并计算</t>
    </r>
  </si>
  <si>
    <t>4500208584-30</t>
  </si>
  <si>
    <t xml:space="preserve">  1张防盗贴纸  (贴纸以及位置图翻单PO#4500193539） + 8/3外箱SSCC  Label</t>
  </si>
  <si>
    <t>日期码格式：ZURU INC(BVI) 标准格式                  日期：按实际生产日期
Packaging Info: 
77794UQ1:客版PDQ（翻单PO#4500197867）  + MA英语UPC版本包装（收缩膜和说明书, MA首选1L，如无1L可用多语且含英语的配套多语包装) +1张锂电池黑白警语书
纸 + 1张防盗贴纸 (贴纸以及位置图翻单PO#4500193539）+ 箱唛 + 外箱SSCC Label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10.所有带纽扣电池的产品都需要在产品包装以及说明书上贴纽扣电池警告语贴纸
此单需要与AU PO#4500208581一起合并计算</t>
  </si>
  <si>
    <t>4500208581-30</t>
  </si>
  <si>
    <t>锂电池黑白警语书纸  +  1张防盗贴纸  (贴纸以及位置图翻单PO#4500193539） + 8/3外箱SSCC  Label</t>
  </si>
  <si>
    <t>日期码格式：ZURU INC(BVI) 标准格式                  日期：按实际生产日期
Packaging Info: 
77794UQ1:客版PDQ（翻单PO#4500197867）  + MA英语UPC版本包装（收缩膜和说明书, MA首选1L，如无1L可用多语且含英语的配套多语包装) +1张锂电池黑白警语书
纸 + 1张防盗贴纸 (贴纸以及位置图翻单PO#4500193539）+ 箱唛 + 外箱SSCC Label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10.所有带纽扣电池的产品都需要在产品包装以及说明书上贴纽扣电池警告语贴纸
此单需要与NZ PO#4500208584一起合并计算</t>
  </si>
  <si>
    <t>4500208581</t>
  </si>
  <si>
    <t>21779455</t>
  </si>
  <si>
    <t>防盗贴纸 (贴纸以及位置图翻单PO#4500193539）+ 箱唛 + 8/3外箱SSCC Label</t>
  </si>
  <si>
    <r>
      <rPr>
        <sz val="11"/>
        <color rgb="FF000000"/>
        <rFont val="宋体"/>
        <charset val="134"/>
      </rPr>
      <t xml:space="preserve">日期码格式：ZURU INC(BVI) 标准格式 日期：按实际生产日期 Tracking Code:
Packaging Info: 77869：客制 3L UPC 彩盒包装 (彩盒翻单PO#4500202802)+ 箱唛 + 外箱贴纸SSCC Label
 子件77772: </t>
    </r>
    <r>
      <rPr>
        <sz val="11"/>
        <color rgb="FFFF0000"/>
        <rFont val="宋体"/>
        <charset val="134"/>
      </rPr>
      <t>1L 客版英语无条码收缩膜+B版客制收藏指南-删除两张唱片""Messy &lt;(&gt;&amp;&lt;)&gt; Delicious""（收藏指南翻单PO#4500202802）</t>
    </r>
    <r>
      <rPr>
        <sz val="11"/>
        <color rgb="FF000000"/>
        <rFont val="宋体"/>
        <charset val="134"/>
      </rPr>
      <t xml:space="preserve">
 子件77794: MA英语UPC版本包装（收缩膜和说明书, MA首选1L，如无1L可用多语且含英语的配套多语包装) +1张MA锂电池黑白警语书纸（书纸翻单PO#4500193539）
 2PK 77772( remove Messy &lt;(&gt;&amp;&lt;)&gt; Delicious vinyl minis) + 77794 PLAYSET COMBO IN COLOR BO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10.所有带纽扣电池的产品都需要在产品包装以及说明书上贴纽扣电池警告语贴纸
 此单需要与NZ PO#4500208584一起合并计算</t>
    </r>
  </si>
  <si>
    <r>
      <rPr>
        <sz val="11"/>
        <color rgb="FF000000"/>
        <rFont val="宋体"/>
        <charset val="134"/>
      </rPr>
      <t>日期码格式：ZURU INC(BVI) 标准格式 日期：按实际生产日期
Packaging Info: 
77869-S001-PRODCC 客板彩盒+</t>
    </r>
    <r>
      <rPr>
        <sz val="11"/>
        <color rgb="FFFF0000"/>
        <rFont val="宋体"/>
        <charset val="134"/>
      </rPr>
      <t>D版带电池出货版本WEEE说明书+球用MA B版UP收缩膜+空白贴纸覆盖收缩膜上面的原条码，77772要移除LOLA YANG唱片，要用配套的
收藏指南(翻单PO#4500198654)（此单需提供大货样）</t>
    </r>
    <r>
      <rPr>
        <sz val="11"/>
        <color rgb="FF000000"/>
        <rFont val="宋体"/>
        <charset val="134"/>
      </rPr>
      <t xml:space="preserve">
Remark: "MA版本按工厂现有最新库存即可，订单出英国，请注意检查产品及包装应带UKCA以及CE图标，包装显示ZURU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*所有产品按符合欧洲标准走货，需要是不含微塑料版本 。
*涉及到硼的，如可选择情况下应使用低硼版本 （slime 类别低硼一般低于300ppm)，无选择的应与跟单复核再安排 。
*如果出运产品属于电子类产品需要在ZURU 包装基础上额外添加一张ZURU 标准29L通用WEEE 电子产品说明书,带电池出货的加带电池出货版本通用29L的说明书，不
带电池出货的产品用不带电池出货版本的说明书.
*根据客人最新的包装要求，所有多个PDQ盒子(TQ,UQ,GQ）入1外箱的都需要在PDQ顶部右上角加上数量贴纸标明里面的数量。最小字体：36pts, 字体：Calibri（bo
ld), 具体要求以及位置见文件.
*订单对应客户PO号 ，备注有显示 ，注意分开做货/验货/装柜 ，混装有罚款。
* 大货样： 新款请在CRD前10天寄出每款2整套大货样到罗湖办公室7B Meyya Liu 收，翻单不用寄。"</t>
    </r>
  </si>
  <si>
    <t>4500210838-20</t>
  </si>
  <si>
    <t>7/20 订(带客人新logo）可移动材质的价格贴纸（价格贴纸要切易撕线）+1张MA锂电池黑白警语书纸</t>
  </si>
  <si>
    <t>日期码格式：ZURU  INC(BVI)  标准格式                                    日期：按实际生产日期
Packaging Info: 
77794UQ1：客版PDQ（翻单PO#4500197867）+MA英语UPC版本包装（收缩膜和说明书,   MA首选1L，如无1L可用多语且含英语的配套多语包装)  +(带客人新logo）可移动
材质的价格贴纸（价格贴纸要切易撕线）+1张MA锂电池黑白警语书纸  +  箱唛
Remark: 1.此单出新西兰
2.CRD日期基于我司  QC完成验货;
3.请确保发货100%的订单数量/  sku;
4.箱唛请按邮件确认的文档
5.我司验货日期(请联系Mia  Yu  Mia.yu@zuru.com提前预定验货日期)，预约验货至少需在完货日期前一周申请</t>
  </si>
  <si>
    <t>4500214321</t>
  </si>
  <si>
    <t>4500214321-30</t>
  </si>
  <si>
    <t>71/2进口商贴纸(含波兰语警语)+最新EU通用WEEE 带电池出货声明书</t>
  </si>
  <si>
    <t>日期码格式：ZURU INC(BVI) 标准格式 日期：按实际生产日期
Packaging Info: 
77794UQ1：MA3L EAN收缩膜+1张进口商贴纸(含波兰语警语)+MA23L电池说明书+最新EU通用WEEE 带电池出货声明书+MA3LPDQ+1张欧盟地址贴纸
Remark: 1. 请备多1套大货样品；
2. 此票出波兰，无需客验，通过ZURU验货即可出货，请确保大货符合EU市场法规；
3. 此票使用EAN条码；
4. PDQ都需要增加1张欧盟地址贴纸(贴PDQ背面空白处即可)</t>
  </si>
  <si>
    <t>4500214019</t>
  </si>
  <si>
    <t>26000466</t>
  </si>
  <si>
    <t>4500214019-20</t>
  </si>
  <si>
    <t>彩卡+1张贴纸(翻PO4500194798)</t>
  </si>
  <si>
    <t>额外客版AR黑白说明书(翻PO4500194798)</t>
  </si>
  <si>
    <t>日期码格式：2083026                                    日期：
Packaging Info: 
77794UQ1:MA9L  EAN彩卡+1张贴纸(翻PO4500194798)+MA23L收藏指南+MA纸卡+MA袋子+MA23L组装说明+MA23L锂电池说明书+MA23L说明书+1张额外客版AR黑白说明书(
翻PO4500194798)+MA  3L展示盒
Remark: 1.此票无需客户验货，请多备料1套左右
2所有出口法国的产品,  法规规定禁止在包装和共公众用的印刷品中使用矿物油中含有的物质,  包装印刷油墨中含有的MOAH/MOSH的质量浓度不能超过1%,  否则出货
到法国被抽检出现问题,  供应商需要对此负责;
3出口法国请确保产品不含微塑料，包装需显示法国回收logo;</t>
  </si>
  <si>
    <t>Kico  Zang</t>
  </si>
  <si>
    <t>4500212818</t>
  </si>
  <si>
    <t>4500212818-10</t>
  </si>
  <si>
    <t>77794UQ3-S001</t>
  </si>
  <si>
    <t>唱片机2PCS/UQ3/箱</t>
  </si>
  <si>
    <t>9/2交仓</t>
  </si>
  <si>
    <t>6/26价格贴$20+7/8外箱箱唛正侧相邻两面粘贴产品彩色贴纸</t>
  </si>
  <si>
    <t>带电源线出货</t>
  </si>
  <si>
    <r>
      <rPr>
        <sz val="11"/>
        <color rgb="FF000000"/>
        <rFont val="宋体"/>
        <charset val="134"/>
      </rPr>
      <t xml:space="preserve">日期码格式：ZURU INC(BVI) 标准格式 日期：2026-08-04
Packaging Info: 1)最新版ZURU MA UPC包装(优先1L)，出口美国。如有说明书请使用ZURU MA说明书，优先放1L英语。2PCS/PDQ/CTN
2)客版PDQ， PDQ印刷价格标
3)客版可移动不粘胶价格贴$20（需要贴在产品包装上，每个贴1张），可移动价格贴以及具体位置，待跟单提供。
3)ZURU标准日期码格式：工厂城市缩写+生产年月日。此单指定日期码：DG20260804。
4)外箱箱唛正侧相邻两面粘贴产品彩色贴纸，每箱两张彩色贴纸, 彩色产品贴纸待跟单提供。如侧唛位置放不下彩贴和唛头信息，可改为放两个正唛。无论是正唛+
侧唛或者是两个正唛，唛头信息和彩贴需放在同一个面。需要工厂根据外箱尺寸建议预估的彩贴尺寸给跟单。箱唛需排版给跟单确认。
Remark: </t>
    </r>
    <r>
      <rPr>
        <sz val="11"/>
        <color rgb="FFFF0000"/>
        <rFont val="宋体"/>
        <charset val="134"/>
      </rPr>
      <t>客户PO# 62700626
客户SKU# 1004275</t>
    </r>
    <r>
      <rPr>
        <sz val="11"/>
        <color rgb="FF000000"/>
        <rFont val="宋体"/>
        <charset val="134"/>
      </rPr>
      <t xml:space="preserve">
1）Item#77794UQ3-S001
2) 样品
产前样5套：产前样5套要求在2026/07/20前寄给深圳办公室跟单Jenny Liu，需转寄给美国客户确认，客户确认了产前样之后，会寄回一套给工厂，工厂需按照已确
认的产前样安 排大货生产。做产前样前需和跟单确认产品包装日期码和产品上日期码的打码位置+格式，要求是和大货一样的日期码，指定大货日期码为：DG20260
804）。此单客版包材PDQ,可移动不粘胶价格贴需等客户确认产前样后才可以开始大货印刷。
大货样3套：大货样2套需在大货物料到厂后开始上线第一天寄出给深圳办公室；大货样需要同大货一个产线， 所有东西完全同大货一样（大货样外箱没有要求）, 1
套我们需转寄客人审批出货；1套跟单需留样（请尽量安排早点寄出以便客人早点批出货！）
一套样品=1套满PDQ的产品（2pcs唱片机入一个客版PDQ）
注意：产品包装上需要带价格贴和指定日期码。PDQ上需要印刷价格标。
3) 此单无第三方验货+抽样测试，ZURU QC验货PASS后，跟单得到客户的approval之后方可安排出货
4) 大货外箱材积绝对不可大于下述数据，材积只接受3%的变小；重量正负不得超过以下列出数据的5%，接受外箱以印章方式印上实际毛重。
大货外箱尺寸请保持：16.3*12.1*31.8 cm (即6.42*4.76*12.52 inch)，材积必须不能大于0.2225 CubeFeet（即0.0063CBM); 外箱毛重 1.6 LBS（即0.73 KGS）
5) 大货配比：
Item#77794UQ3-S001
S001-MINI BRANDS-VINYL-PLAYSET-SERIES 1-CUBE,1FACING2PCS/PDQ,2PCS/PDQ/CTN
UPC: 193052090409
1FACING2PCS/PDQ,2PCS/PDQ/CTN; W1*D1*H2=2PCS/UQ
RECHARGEABLE LITHIUM BATTERY(INCLUDED)
6) 客户Family Dollar不允许少数出货，必须按照PO上的数量出货，也不允许延期，否则会有罚款
7) 客户要求:"产品和包装不能含有PFAS 物质以及1,4 dioxane",请确保产品可以过美国标准测试。
8) 任何产品包装和日期码的变更，在收到ZURU的订单后，不管是MA包装还是客版包装，都需要及时告知跟单并在生产前与跟单确认是否需要重新签板留样。ZURU验
货员验货以Family Dollar跟单寄给工厂的签板为准。如因工厂不及时告知变更而导致的无法出货，客诉或者罚款等，将保留对工厂追责的权利。请工厂务必重视和
配合，避免任何额外 费用的产生。</t>
    </r>
  </si>
  <si>
    <t>4500211485-170</t>
  </si>
  <si>
    <t>需要准备每款2套大货样，请注意备料。</t>
  </si>
  <si>
    <r>
      <rPr>
        <sz val="11"/>
        <color rgb="FF0000FF"/>
        <rFont val="宋体"/>
        <charset val="134"/>
      </rPr>
      <t>日期码格式：ZURU INC(BVI) 标准格式                  日期：按实际生产日期
Packaging Info: 
77794UQ1：最新MA 3L EAN包装+MA 说明书+WEEE带电池走货欧洲29L通用黑白说明书；
Remark: 1. 此单出西班牙，需满足EU测试标准要求，另外微塑料需符合EU法规；
 2. 标准配比。
3.根据新电池法规（EU）  2023/1542，所有走欧洲市场的电子产品，都需要增加WEEE通用29L说明书（分带电池走货 跟不带电池走货两种），如工厂没有此文件，可
以找跟单提供。
4. 产品及包装需要印CE logo图标，包装需含有西班牙环保标 和</t>
    </r>
    <r>
      <rPr>
        <sz val="11"/>
        <color rgb="FF000000"/>
        <rFont val="宋体"/>
        <charset val="134"/>
      </rPr>
      <t xml:space="preserve">care@zuru.com </t>
    </r>
    <r>
      <rPr>
        <sz val="11"/>
        <color rgb="FF0000FF"/>
        <rFont val="宋体"/>
        <charset val="134"/>
      </rPr>
      <t>邮箱地址，  另外，包装贴纸上面的警告语不可以覆盖西班牙警告语。QC同事请核
查，如有问题需和跟单确认。
5.纯毛绒玩具需要西班牙语言的洗涤说明；
6.请工厂按时完货并及时验货；
7.需要准备每款2套大货样，请注意备料。</t>
    </r>
  </si>
  <si>
    <t>4500212900</t>
  </si>
  <si>
    <t>4500212900-10</t>
  </si>
  <si>
    <t>4500215223-20</t>
  </si>
  <si>
    <t>7/27 进口商贴纸（含意大利环保标）</t>
  </si>
  <si>
    <t>日期码格式：ZURU INC(BVI) 标准格式 日期：按实际生产日期
Packaging Info: 
77794：最新MA 3L EAN tray+最新MA 23L说明书+最新MA PDQ+最新MA 23L 62115警语+一张进口商贴纸（含意大利环保标）
Remark: 1. SMASHERS 或含Slime产品，所有化合物使用无硼版本出意大利。
2. 本订单所有 具有 baby items / assorted items 的款式，零售包装上都要用 母 EAN;
3.所有出口欧洲的产品, 法规规定禁止在包装和共公众用的印刷品中使用矿物油中含有的物质, 包装印刷油墨中含有的MOAH/MOSH的质量浓度不能超过1%, 否则出货
到意大利被抽检出现问题, 供应商需要对此负责;
4. 意大利订单包装彩卡请确保含法规要求的环保回收logo。
5. 所有带电池的产品请基于带/不带电池出货自行订购 "WEEE说明书欧洲EN+29L-D版"
6. 带干燥剂的产品需要加一张“干燥剂说明书14L”</t>
  </si>
  <si>
    <t>4500213536-20</t>
  </si>
  <si>
    <t>进口商贴纸翻单PO4500202915</t>
  </si>
  <si>
    <r>
      <rPr>
        <sz val="11"/>
        <color rgb="FF000000"/>
        <rFont val="宋体"/>
        <charset val="134"/>
      </rPr>
      <t>日期码格式：ZURU INC(BVI) 标准格式 日期：按实际生产日期
Packaging Info: MA 1L包装+进口商贴纸+客户条码贴纸+空白贴纸+箱唛，</t>
    </r>
    <r>
      <rPr>
        <sz val="11"/>
        <color rgb="FFFF0000"/>
        <rFont val="宋体"/>
        <charset val="134"/>
      </rPr>
      <t>进口商贴纸+空白贴纸</t>
    </r>
    <r>
      <rPr>
        <sz val="11"/>
        <color rgb="FF000000"/>
        <rFont val="宋体"/>
        <charset val="134"/>
      </rPr>
      <t>翻单PO4500202915
Remark: 外箱胶带要用CADIDE的格式</t>
    </r>
  </si>
  <si>
    <t>4500212218</t>
  </si>
  <si>
    <t>1007840644</t>
  </si>
  <si>
    <t>4500212218-10</t>
  </si>
  <si>
    <t>日期码格式：ZURU INC(BVI) 标准格式                  日期：按实际生产日期
Packaging Info: 1.包装要求：
77794：MA 1L B版callout纸卡+MA 23L 玩法说明书+MA 23L 警告语说明书
每pcs产品上要贴1张RFID贴纸，贴纸由ZURU提供，贴纸位置请严格按照我们签回的签板；
Remark: 1.包装要求：
77794：MA 1L B版callout纸卡+MA 23L 玩法说明书+MA 23L 警告语说明书
每pcs产品上要贴1张RFID贴纸，贴纸由ZURU提供，贴纸位置请严格按照我们签回的签板；
 2. 外箱印刷带条码的RFID箱唛：RFID紫色色带+WM Dept.图标+RFID图标+ITF-14条码，四面右下角印刷ZURU logo, ITF条码只印刷在正唛一面，在加印的时候确保条
形码能扫描出来，外箱侧面任一角落加印："MADE IN CHINA" 字样；箱唛翻单：  4500196335
 3. 在产品上和包装上要有日期码、以及要有MADE IN CHINA和ZURU字样；
 4. 产品如有扎带口要剪平，不能刮手。
 5. 此单需要验货，请多备料
6. 此单以loose carton出货，77794:8pcs/CTN</t>
  </si>
  <si>
    <t>1007840702</t>
  </si>
  <si>
    <t>4500212218-20</t>
  </si>
  <si>
    <t>8/31 BV验货</t>
  </si>
  <si>
    <t>4500210723-30</t>
  </si>
  <si>
    <t>4500214975</t>
  </si>
  <si>
    <t>0983718004</t>
  </si>
  <si>
    <t>4500214975-30</t>
  </si>
  <si>
    <t>IO-2601397</t>
  </si>
  <si>
    <t>4500211730-10</t>
  </si>
  <si>
    <t>客人款号的EAN    （4894680051430）条码贴纸+NL警语贴纸-翻PO#4500208597</t>
  </si>
  <si>
    <r>
      <rPr>
        <sz val="11"/>
        <color rgb="FF000000"/>
        <rFont val="宋体"/>
        <charset val="134"/>
      </rPr>
      <t>日期码格式：ZURU</t>
    </r>
    <r>
      <rPr>
        <sz val="11"/>
        <color rgb="FF000000"/>
        <rFont val="宋体"/>
        <charset val="0"/>
      </rPr>
      <t xml:space="preserve">  INC(BVI)  标准格式                                    日期：按实际生产日期
Packaging Info: 77794:  MA  最新版3L收缩膜+1张带客人款号的EAN    （4894680051430）条码贴纸+NL警语贴纸-翻PO#4500208597，MA最新版23L游戏说明书，MA最新版23L锂电池说明书
,MA最新版23L警语说明书，最新版WEE带电池走货说明书
Remark: 1.所有产品按符合欧洲标准走货，微塑料需合规。
2.所有包装材料都不允许PVC,  请用PET代替
3.样板需求：     每个item  需要寄出1  PC  大货样，请多备料
4. 日期码和批次号都要打在产品和包装上，日期码按ZURU标准格式，批次号是IO-2601397（客人PO#，     其中IO是大写英文字母）
5.所有出往欧洲市场订单的电子产品需增加一张WEEE声明说明书，区分带电池和不带电池版本,  如已做客版说明书可忽略此要求。
6.  客人款号:
861-1430  77794</t>
    </r>
  </si>
  <si>
    <t>0983718016</t>
  </si>
  <si>
    <t>4500214975-10</t>
  </si>
  <si>
    <t>9/8 BV验货</t>
  </si>
  <si>
    <t>0983718091</t>
  </si>
  <si>
    <t>4500214975-60</t>
  </si>
  <si>
    <t>9/3 BV验货</t>
  </si>
  <si>
    <t>0983718087</t>
  </si>
  <si>
    <t>4500214975-40</t>
  </si>
  <si>
    <t>0983718062</t>
  </si>
  <si>
    <t>4500214975-50</t>
  </si>
  <si>
    <t>9/7 BV验货</t>
  </si>
  <si>
    <t>0983718019</t>
  </si>
  <si>
    <t>4500214975-70</t>
  </si>
  <si>
    <t>0983717967</t>
  </si>
  <si>
    <t>4500214975-20</t>
  </si>
  <si>
    <t>4500204935-60</t>
  </si>
  <si>
    <t>4500206065-120</t>
  </si>
  <si>
    <t>4500206065-130</t>
  </si>
  <si>
    <t>4500206065-140</t>
  </si>
  <si>
    <t>4500206065-150</t>
  </si>
  <si>
    <t>4500214762</t>
  </si>
  <si>
    <t>4500214762-60</t>
  </si>
  <si>
    <r>
      <rPr>
        <sz val="11"/>
        <color rgb="FF000000"/>
        <rFont val="宋体"/>
        <charset val="134"/>
      </rPr>
      <t>日期码格式：ZURU INC(BVI) 标准格式 日期：按实际生产日期
Packaging Info: 【行项目20】
77794UQ1:MA B版1L UPC版本+C版29L含电池出货版本WEEE说明书+欧洲澳新通用Warning instruction, 外箱需要加UN3481的贴纸，贴于正唛其中一面右上角，</t>
    </r>
    <r>
      <rPr>
        <sz val="11"/>
        <color rgb="FFFF0000"/>
        <rFont val="宋体"/>
        <charset val="134"/>
      </rPr>
      <t>PDQ上
需加地址贴纸（如已经收到更新的PDQ AW请用更新的AW文件做货，无需另外加贴纸）</t>
    </r>
    <r>
      <rPr>
        <sz val="11"/>
        <color rgb="FF000000"/>
        <rFont val="宋体"/>
        <charset val="134"/>
      </rPr>
      <t xml:space="preserve">
--------------------
【行项目20】
77794UQ1:MA B版1L UPC版本+C版29L含电池出货版本WEEE说明书+欧洲澳新通用Warning instruction, 外箱需要加UN3481的贴纸，贴于正唛其中一面右上角
--------------------
【行项目20】
77794UQ1:MA B版1L UPC版本+C版29L含电池出货版本WEEE说明书+欧洲澳新通用Warning instruction, 外箱需要加UN3481的贴纸，贴于正唛其中一面右上角
Remark: MA版本按工厂现有最新库存即可，订单出英国，请注意检查产品及包装应带UKCA以及CE图标，包装显示ZURU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*所有产品按符合欧洲标准走货，需要是不含微塑料版本 。
*涉及到硼的，如可选择情况下应使用低硼版本 （slime 类别低硼一般低于300ppm)，无选择的应与跟单复核再安排 。
*如果出运产品属于电子类产品需要在ZURU 包装基础上额外添加一张ZURU 标准29L通用WEEE 电子产品说明书,带电池出货的加带电池出货版本通用29L的说明书，不
带电池出货的产品用不带电池出货版本的说明书.
*根据客人最新的包装要求，所有多个PDQ盒子(TQ,UQ,GQ）入1外箱的都需要在PDQ顶部右上角加上数量贴纸标明里面的数量。最小字体：36pts, 字体：Calibri（bo
ld), 具体要求以及位置见文件.
*订单对应客户PO号 ，备注有显示 ，注意分开做货/验货/装柜 ，混装有罚款。
* 大货样： 新款请在CRD前10天寄出每款2整套大货样到罗湖办公室14B Meyya Liu 收，翻单不用寄。</t>
    </r>
  </si>
  <si>
    <t>4500215347-40</t>
  </si>
  <si>
    <r>
      <rPr>
        <sz val="11"/>
        <color rgb="FF000000"/>
        <rFont val="宋体"/>
        <charset val="134"/>
      </rPr>
      <t xml:space="preserve">日期码格式：ZURU INC(BVI) 标准格式 日期：按实际生产日期
Packaging Info: </t>
    </r>
    <r>
      <rPr>
        <sz val="11"/>
        <color rgb="FFFF0000"/>
        <rFont val="宋体"/>
        <charset val="134"/>
      </rPr>
      <t>77673/77794UQ1/77772GQ2-MA UPC包装</t>
    </r>
    <r>
      <rPr>
        <sz val="11"/>
        <color rgb="FF000000"/>
        <rFont val="宋体"/>
        <charset val="134"/>
      </rPr>
      <t xml:space="preserve">(优先1L)+1张通用进口商贴纸,贴纸图稿和位置图翻单如下
77794UQ1/77772GQ8-4500208709
Remark: </t>
    </r>
  </si>
  <si>
    <t>4500215100-20</t>
  </si>
  <si>
    <t>欠客供RFID贴纸+WEEE带电池走货欧洲29L通用黑白说明书；</t>
  </si>
  <si>
    <t>日期码格式：ZURU  INC(BVI)  标准格式                                    日期：按实际生产日期
Packaging Info: 
77794UQ1：最新MA  3L  EAN包装+一张客供RFID贴纸+MA  说明书+WEEE带电池走货欧洲29L通用黑白说明书；
Remark: 1.  此单出西班牙，需满足EU测试标准要求，另外微塑料需符合EU法规；
   2.  标准配比；
3.根据新电池法规（EU）    2023/1542，所有走欧洲市场的电子产品，都需要增加WEEE通用29L说明书（分带电池走货和不带电池走货两种），如工厂没有此文件，可
以找跟单提供；
4.  产品及包装需要印CE  logo图标和care@zuru.com  邮箱地址
5.外箱+2pcs  条码贴（此贴纸客供）
6.订单出两个港口Madrid和Barcelona，出不同港口的外箱不同；
6.订单需要签办及第三方验货，请按时完工。
7.大货样品3套/item，请多备料。</t>
  </si>
  <si>
    <t>4500215100-40</t>
  </si>
  <si>
    <t>4500210777-20</t>
  </si>
  <si>
    <t>6/30警语贴纸（ 贴底部）</t>
  </si>
  <si>
    <t>日期码格式：ZURU INC(BVI) 标准格式 日期：按实际生产日期
Packaging Info: 此单出TW
77794UQ1： MA PKG , 优先1L , MA 说明书，+ 1张警语贴纸（ 贴底部）
Remark:</t>
  </si>
  <si>
    <t>4500210776-20</t>
  </si>
  <si>
    <t>6/18 寄出3 张HK 客供警语贴纸( 底部贴1张HK 客供进口商警语贴纸和1张客供电池警语贴纸，说明书贴1张警语贴纸，
贴纸内容不一样，具体参考HK客供警语贴纸位置图）</t>
  </si>
  <si>
    <t>4500215186-30</t>
  </si>
  <si>
    <t>日期码格式：ZURU INC(BVI) 标准格式 日期：按实际生产日期
Packaging Info: 
"77794UQ1: 最新MA 3L底座/纸卡/贴纸+MA 23L游戏说明书+MA 23L锂电池说明书+MA 23L警示说明书+MA PDQ (优先多语)
EAN#4894680051430
RECHARGEABLE LITHIUM BATTERY(INCLUDED)
*外箱需加一张UN3481锂电池运输标签*"
Remark: "Smyths 法国
1. 请准时出货，推期会有罚款；
2. 所有产品按符合欧洲标准走货，需要是不含微塑料版本。
3. 电子产品需增加一张WEEE声明29L通用黑白说明书，区分带电池(D版)和不带电池(C版)出货版本, 如已做带WEEE声明的客版说明书可忽略此要求；如包装备注上
缺少此部分信息，请提醒跟单更新备注。
4. 出口法国的产品, 法规规定禁止在包装和共公众用的印刷品中使用矿物油中含有的物质, 包装印刷油墨中含有的MOAH/MOSH的质量浓度不能超过0.1%, 否则出货
到法国被抽检出现问题, 供应商需要对此负责;
5.订单备注显示有分批的(不同仓库/订单号), 一定要区分客户订单号做货出货，否则会导致罚款 。
6.包装日期码按ZURU格式即可，请确保不迟于外箱日期码，可等于或者早于外箱日期码，必须为法定工作日。
7.做货前请先复核包装条码与订单是否一致再安排，对不上的需与ZURU跟单确认再安排。
8.包装必须含法国回收标(Sorting Label)，如没有，请提醒跟单提供贴纸资料。"</t>
  </si>
  <si>
    <t>000760331164</t>
  </si>
  <si>
    <t>4500218402-10</t>
  </si>
  <si>
    <t>4500212131-80行转空运</t>
  </si>
  <si>
    <t>日期码格式：ZURU  INC(BVI) 标准格式                                    日期：按实际生产日期
Packaging Info: 此票是从PO#4500212131转出来的空运订单新PO号，请留意更新记录，不要重复安排大货生产；箱唛资料按原来的无影响；
"77794UQ1: MA PDQ  (优先多语)+客版5L(英法德意荷)底座/纸卡/贴纸(翻PO#4500200925) +MA 23L游戏说明书+MA 23L锂电池说明书+MA 23L警示说明书+D版WEEE声明
(带电池)走货欧洲通用29L说明书
EAN#4894680051430
RECHARGEABLE LITHIUM BATTERY(INCLUDED)
*外箱需加一张UN3481锂电池运输标签*"
Remark: Smyths 德国
1. 请准时出货，推期会有罚款；
  2. 所有产品按符合欧洲标准走货，需要是不含微塑料版本。
  3. 所有电子产品身上需要加字唛，为ZURU FRANCE 地址  (如无电子产品，产品布标有此地址，或产品太小无法增加可忽略此信息)，新地址ZURU  FRANCE.33 rue Pa
  ul Meurice  75020  Paris, France.
  4. 包装/说明书(如有)/产品(如有)上的法国地址信息必须保持一致，不可出现包装上是新地址，说明书上是旧地址；如地址信息不一致请通知跟单更新文件；
  5.  电子产品需增加一张WEEE声明29L通用黑白说明书，区分带电池(D版)和不带电池(C版)出货版本, 如已做带WEEE声明的客版说明书可忽略此要求；如包装备注上
缺少此部分信息，请提醒跟单更新备注。
  6.所有出往德国市场有关slime和带香味的都需要出无硼无香版本；
  7 .订单备注显示有分批的(不同仓库/订单号), 一定要区分客户订单号做货出货，否则会导致罚款    。
  8.包装日期码按ZURU格式即可，请确保不迟于外箱日期码，可等于或者早于外箱日期码，必须为法定工作日。
  9.做货前请先复核包装条码与订单是否一致再安排，对不上的需与Z URU跟单确认再安排。
  10.包装必须含法国回收标(Sorting  Label)，如没有，请提醒跟单提供贴纸资料。</t>
  </si>
  <si>
    <t>4500212828</t>
  </si>
  <si>
    <t>835238</t>
  </si>
  <si>
    <t>4500212828-20</t>
  </si>
  <si>
    <t>77794UQ1-S005-PKC</t>
  </si>
  <si>
    <t>唱片机16pcs/2胶袋/箱</t>
  </si>
  <si>
    <t>手工单K303257X转实单4500212828</t>
  </si>
  <si>
    <t>4400574418</t>
  </si>
  <si>
    <t>4500211476-60</t>
  </si>
  <si>
    <t>4500211275-10</t>
  </si>
  <si>
    <r>
      <rPr>
        <sz val="11"/>
        <color rgb="FF000000"/>
        <rFont val="宋体"/>
        <charset val="134"/>
      </rPr>
      <t xml:space="preserve">日期码格式：ZURU INC(BVI) 标准格式 日期：按实际生产日期
Packaging Info: 77794UQ1:客版PDQ（翻单PO#4500197867） + MA英语UPC版本包装（收缩膜和说明书, MA首选1L，如无1L可用多语且含英语的配套多语包装) +1张锂电池黑白警语书
纸 + 1张防盗贴纸 (贴纸以及位置图翻单PO#4500193539）+ 箱唛 + 外箱SSCC Label
</t>
    </r>
    <r>
      <rPr>
        <sz val="11"/>
        <color rgb="FFFF0000"/>
        <rFont val="宋体"/>
        <charset val="134"/>
      </rPr>
      <t>Item#77794请务必赶最晚8/31上午内交仓</t>
    </r>
    <r>
      <rPr>
        <sz val="11"/>
        <color rgb="FF000000"/>
        <rFont val="宋体"/>
        <charset val="134"/>
      </rPr>
      <t xml:space="preserve">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10.所有带纽扣电池的产品都需要在产品包装以及说明书上贴纽扣电池警告语贴纸
此单需要与AU PO#4500211272一起合并计算
</t>
    </r>
    <r>
      <rPr>
        <sz val="11"/>
        <color rgb="FFFF0000"/>
        <rFont val="宋体"/>
        <charset val="134"/>
      </rPr>
      <t>Item#77794请务必赶最晚8/31上午内交仓</t>
    </r>
  </si>
  <si>
    <t>4500211272-10</t>
  </si>
  <si>
    <t>锂电池黑白警语书纸  +  1张防盗贴纸  (贴纸以及位置图翻单PO#4500193539） + 8/3 外箱SSCC  Label</t>
  </si>
  <si>
    <r>
      <rPr>
        <sz val="11"/>
        <color rgb="FF000000"/>
        <rFont val="宋体"/>
        <charset val="134"/>
      </rPr>
      <t xml:space="preserve">日期码格式：ZURU INC(BVI) 标准格式 日期：按实际生产日期
Packaging Info: 77794UQ1:客版PDQ（翻单PO#4500197867） + MA英语UPC版本包装（收缩膜和说明书, MA首选1L，如无1L可用多语且含英语的配套多语包装) +1张锂电池黑白警语书
纸 + 1张防盗贴纸 (贴纸以及位置图翻单PO#4500193539）+ 箱唛 + 外箱SSCC Label
</t>
    </r>
    <r>
      <rPr>
        <sz val="11"/>
        <color rgb="FFFF0000"/>
        <rFont val="宋体"/>
        <charset val="134"/>
      </rPr>
      <t>Item#77794请务必赶最晚8/31上午内交仓</t>
    </r>
    <r>
      <rPr>
        <sz val="11"/>
        <color rgb="FF000000"/>
        <rFont val="宋体"/>
        <charset val="134"/>
      </rPr>
      <t xml:space="preserve">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10.所有带纽扣电池的产品都需要在产品包装以及说明书上贴纽扣电池警告语贴纸
此单需要与NZ PO#4500211275一起合并计算
</t>
    </r>
    <r>
      <rPr>
        <sz val="11"/>
        <color rgb="FFFF0000"/>
        <rFont val="宋体"/>
        <charset val="134"/>
      </rPr>
      <t>Item#77794请务必赶最晚8/31上午内交仓</t>
    </r>
  </si>
  <si>
    <t>4500214680-20</t>
  </si>
  <si>
    <t>欠进口商贴纸+7/29 QR 贴纸（一物一码）</t>
  </si>
  <si>
    <t>日期码格式：ZURU INC(BVI) 标准格式 日期：按实际生产日期
Packaging Info: 
【行项目20】
最新MA UPC包装+进口商贴纸+QR 贴纸（一物一码）
若出独立款必须用独立款的条码，不可以用混装的条码,条码以订单显示为准
Remark: 1.包装：MA UPC包装+进口商贴纸+QR 贴纸
2. 条码以订单显示为准 ，请安排生产前先核对 ，有问题请提出。
3. QR 贴纸要求： 需包含产品型号（item）+ 序列号，二维码（QR code）正方形边长 1.5cm 。
材质与粘性：采用与进口商贴纸一致的材质，强粘性、不易脱落/掉色。
印刷与尺寸：印刷质量不低于 1.5c，整体贴纸尺寸为 3×3cm（正方形）。尺寸要根据产品包装的实际大小调整，保持整体美观，二维码清晰可扫。
4. 二维码贴纸位置要远离包装上的条码及其他二维码， 贴在背面。
5. QR code贴纸（要求一物一码，每PCS的二维码不一样）;
6. QR code 格式 ：DATA MATRIX GS1 ；
7. 若多个柜子，BY TRAIN 要求带电池/不带电池不同柜；装柜时同一款必须放在同一个柜子里。
8. 整张单走EXW。</t>
  </si>
  <si>
    <t>4500208451</t>
  </si>
  <si>
    <t>5510075778</t>
  </si>
  <si>
    <r>
      <rPr>
        <sz val="11"/>
        <color rgb="FF000000"/>
        <rFont val="宋体"/>
        <charset val="134"/>
      </rPr>
      <t>日期码格式：ZURU INC(BVI) 标准格式 日期：按实际生产日期
Packaging Info: 客版包装: 4500208451客版彩盒 (新稿）+EU客版收缩膜(翻4500197499）+4500208451客版收藏指南(新稿）+EU客版说明书(翻4500197499）+EU 客版锂电池警语书(
翻4500197499）+EU游戏说明书(翻4500197499）+EU组装说明书(翻4500197499）+客版纸袋(翻4500197499）+ 客版PDQ 等其他内包材(翻4500197499）</t>
    </r>
    <r>
      <rPr>
        <sz val="11"/>
        <color rgb="FFFF0000"/>
        <rFont val="宋体"/>
        <charset val="134"/>
      </rPr>
      <t>+展示架贴纸</t>
    </r>
    <r>
      <rPr>
        <sz val="11"/>
        <color rgb="FF000000"/>
        <rFont val="宋体"/>
        <charset val="134"/>
      </rPr>
      <t xml:space="preserve">
注意订单不能包含此唱片：VINYL-S1-021 Messy-Lola Young ，这也是为什么我们新建了Spec
产品条码：193052107930
Customer PO ORDER QTY PO# (45#)
5510075778 1920 4500208451-1
5510075779 1920 4500208451-2
Remark: 1. 所有日期码印在彩盒上，产品上也需要印日期码. 按实际生产日期，ZURU 标准版格式的日期码。
2. 纸箱唛头：纸箱四面，印刷2个正面，侧唛不印,按照箱唛模板要求排版。请注意箱唛印刷效果要我们确认后才可印刷大货的。
3. 确保展示架在入外箱的时候一定要正面对着有印刷箱唛的那面,不可以装反。
4. </t>
    </r>
    <r>
      <rPr>
        <sz val="11"/>
        <color rgb="FFFF0000"/>
        <rFont val="宋体"/>
        <charset val="134"/>
      </rPr>
      <t>样板</t>
    </r>
    <r>
      <rPr>
        <sz val="11"/>
        <color rgb="FF000000"/>
        <rFont val="宋体"/>
        <charset val="134"/>
      </rPr>
      <t>：工厂需预留至少6整套测试样用于抽板+2套寄深圳办公室，需寄给客人留底</t>
    </r>
  </si>
  <si>
    <t>日期码格式：ZURU INC(BVI) 标准格式                  日期：按实际生产日期
Packaging Info: MSLD188-S001:
客版英法双语展示架（翻单：4500204873）
+77794：
MA3LPDQ(8装)+MA3L彩盒+UPC贴纸(UPC:193052090409)+MA23L说明书+MA23L警告语说明书
翻单：4500195369
+77772：
客版3LPDQ(16装)+客版3L收缩膜(UPC:193052090065)+MA5L收藏指南+MA23L拼装说明书+MA5L复合袋+DEMO纸卡
翻单：4500195369
Remark: 1. 此单有箱唛, #77794带锂电池出货，使用英法双语电池，外箱需在正唛空白位置贴一张UN3481锂电池标识贴纸(带电话号码);
 2. UPC贴纸：必须在原来错误的条码上用黑色粗头笔涂黑直至不能扫描，再贴上正确的UPC;
 3. 此单有第三方验货，烦请多备包装物料；
 4. 此单展架需要带纸滑托出货；
*********************
a. 请确保产品符合1999年版本的加拿大环境保护法(CEPA)和2012年禁止某些有毒物质法规的要求。该产品不含任何在加拿大禁用的化学物质，包括但不限于有毒物
质清单中列出的化学物质，并且在为加拿大沃尔玛生产产品期间没有使用任何禁用化学物质。
Supplier certify that the products comply with the requirements of Canadian Environmental Protection Act, 1999 (CEPA), Prohibition of Certain To
xic Substances Regulations, 2012.
The products do not contain any chemicals that are banned in Canada, including but not limited to those listed in the Toxic Substances List and
no banned chemicals were used during the manufacturing of product for Walmart Canada.
附件列表：
(1) Letter of Guarantee for Canada banned chemicals - (1-5CA)
b. 请确保产品在均质材料中的汞浓度不超过0.1%（按重量计）。
Supplier certify that the WAL-MART vendor products does not have a mercury concentration of more than 0.1% by weight in homogeneous material.
附件列表：
(1) Letter of Guarantee for Mercury COC
c. 请确保产品的塑料材料不含以下物质（SOR 2011-17 27B):
Supplier certify that the plastic materials do not contain the following substances(SOR 2011-17 27B):
(a) carbon tetrachloride or any substance that contains it;
(b) methyl alcohol or any substance thay contains &gt;1.0%;
 (c) petroleum distillates or any substance that contains &gt;10% weight to volume of petroleum distillates;
 (d) benzene;
(e) turpentine or any substance that contains &gt;10% weight to volume of turpentine;
(f) boric acid or salts of boric acid; or (g) ethyl ether.
附件列表：
(1) Letter of Guarantee for WM CA-Other prohibited substances in plastic(less than 3 years)</t>
  </si>
  <si>
    <t>4500210578-20</t>
  </si>
  <si>
    <t>德语警告语贴纸（翻单:4500200071)+WEEE带电池走货欧洲29L  D版通用黑白说明书</t>
  </si>
  <si>
    <t>日期码格式：ZURU  INC(BVI)  标准格式                                    日期：按实际生产日期
Packaging Info: 77794:MA  B版3L  包装+EAN条码贴纸(含客户款号)+德语警告语贴纸（翻单:4500200071)+MA  23L说明书+MA  warning  欧洲23L  说明书+WEEE带电池走货欧洲29L  D版通
用黑白说明书
Remark: 1.  出口欧洲，微塑料需符合法规；
   2.  所有出往GAS市场(德国/奥地利/瑞士)的电子产品身上需要加字唛，为ZURU  FRANCE  地址，需跟包装上的地址一致  (如无电子产品，产品布标有此地址，或产品太
小无法增加可忽略此信息。如产品无法加字唛，需让对应跟单提供产品贴纸资料)
新地址：ZURU  France  33  rue  Paul  Meurice  75020  Paris,  France
旧地址：ZURU  France  1/3,  Rue  d'Argenteuil  95210  SAINT-GRATIEN,  FRANCE
   4.  此单需要在CRD前一天预约ZURU  QC验货,验货ok才能出货
   5.  需准时完成生产，推期出货会有罚款。
6.INNER  需要四面印刷产品条码</t>
  </si>
  <si>
    <t>4500214976</t>
  </si>
  <si>
    <t>0983718095</t>
  </si>
  <si>
    <t>4500214976-10</t>
  </si>
  <si>
    <t>4500204719</t>
  </si>
  <si>
    <t>4500204719-250</t>
  </si>
  <si>
    <t>日期码格式：ZURU INC(BVI) 标准格式 日期：按实际生产日期
Packaging Info: 出QATAR, 包装不能有希伯来语
所有RBC的产品（内外）包装上不能有彩虹。
77794UQ1:客版包装+客版PDQ+MA Outer Tray+贴纸+AR说明书,AW翻单4500204716
客人箱唛排版，印4面
Remark: 77772GQ2-S001-PRODCC2:
WITH 4PCS DEMO/PDQ; Remove 15 mini vinyls(squabble up/Low Down/Brick House/Last Friday Night (T.G.I.F.)/Not Like Us/Woah/Messy/Delicious/Good Lu
ck, Babe!/Pink Pony Club/Super Freak/Man! I Feel Like a Woman!/Thunder( rainbow)/Shake your Groove Thing" ( Kissing)/Sweet Home Alabama ( Rainb
ow))</t>
  </si>
  <si>
    <t>4500204723</t>
  </si>
  <si>
    <t>4500204723-250</t>
  </si>
  <si>
    <r>
      <rPr>
        <sz val="11"/>
        <color rgb="FF000000"/>
        <rFont val="宋体"/>
        <charset val="134"/>
      </rPr>
      <t xml:space="preserve">日期码格式：ZURU INC(BVI) 标准格式 日期：按实际生产日期
Packaging Info: 出KSA 包装不能有希伯来语，
所有RBC的产品（内外）包装上不能有彩虹。
</t>
    </r>
    <r>
      <rPr>
        <sz val="11"/>
        <color rgb="FFFF0000"/>
        <rFont val="宋体"/>
        <charset val="134"/>
      </rPr>
      <t>77794UQ1:客版包装+客版PDQ+MA Outer Tray+贴纸+AR说明书；翻单4500204716
客人箱唛排版，印4面</t>
    </r>
    <r>
      <rPr>
        <sz val="11"/>
        <color rgb="FF000000"/>
        <rFont val="宋体"/>
        <charset val="134"/>
      </rPr>
      <t xml:space="preserve">
Remark: 77772GQ2-S001-PRODCC2:
WITH 4PCS DEMO/PDQ; Remove ？？ mini vinyls(squabble up/Low Down/Brick House/Last Friday Night (T.G.I.F.)/Not Like Us/Woah/Messy/Delicious/Good
Luck, Babe!/Pink Pony Club/Super Freak/Man! I Feel Like a Woman!/Thunder( rainbow)/Shake your Groove Thing" ( Kissing)/Sweet Home Alabama ( Rai
nbow) and ？？)</t>
    </r>
  </si>
  <si>
    <t>4500214248</t>
  </si>
  <si>
    <t>4500214248-20</t>
  </si>
  <si>
    <t>DE,  IT警语贴纸（翻单4500207354），23L说明书/Game说明书/锂电池欧洲澳新通用Warning  instruction，D版带电池走货EU通用29L  WEEE说明书</t>
  </si>
  <si>
    <r>
      <rPr>
        <sz val="11"/>
        <color rgb="FF000000"/>
        <rFont val="宋体"/>
        <charset val="134"/>
      </rPr>
      <t>日期码格式：ZURU INC(BVI) 标准格式 日期：按实际生产日期 Tracking Code:
Packaging Info: 
 77794UQ1：MA B版 3L EAN包装 + DE, IT警语贴纸（翻单4500207354），23L说明书/Game说明书/锂电池欧洲澳新通用Warning instruction，D版带电池走货EU通用
 29L WEEE说明书，MA 3L PDQ</t>
    </r>
    <r>
      <rPr>
        <sz val="11"/>
        <color rgb="FFFF0000"/>
        <rFont val="宋体"/>
        <charset val="134"/>
      </rPr>
      <t xml:space="preserve"> + ZURU 地址贴纸</t>
    </r>
    <r>
      <rPr>
        <sz val="11"/>
        <color rgb="FF000000"/>
        <rFont val="宋体"/>
        <charset val="134"/>
      </rPr>
      <t xml:space="preserve">
Remark: 1.此单出瑞士，包装及说明书需要包含德语，法语，意大利语警语
 2.微塑料需符合法规；化学品无硼无香；电池符合欧洲法规要求(如有)。
 3.所有出往欧洲订单的电子产品需增加一张通用29L WEEE声明说明书，区分带电池出货和不带电池出货版本，如已做客版说明书可忽略此要求
 4. 所有出往GAS市场(德国/奥地利/瑞士)的电子产品身上需要加字唛，为ZURU FRANCE 地址，需跟包装上的地址一致 （如该电子产品无法打上字唛但是可以在产品
 上加贴纸，需让对应跟单提供产品贴纸资料。如无电子产品；或产品布标有此地址；或产品太小既无法增加字唛也无法加上贴纸，可忽略此信息。）
 新地址：ZURU France 33 rue Paul Meurice 75020 Paris, France
 旧地址：ZURU France 1/3, Rue d'Argenteuil 95210 SAINT-GRATIEN, FRANCE
 5.对于欧洲带电池的玩具，使用新标识的电池以及新说明书
 6.标准配比</t>
    </r>
  </si>
  <si>
    <t>4500209231</t>
  </si>
  <si>
    <t>4500209231-320</t>
  </si>
  <si>
    <t>单需要准备2套大货样寄到深圳办公室，请注意备料；</t>
  </si>
  <si>
    <t>6/11 客户进口商贴纸+WEEE带电池走货欧洲29L通用黑白说明书；</t>
  </si>
  <si>
    <r>
      <rPr>
        <sz val="11"/>
        <color rgb="FF000000"/>
        <rFont val="宋体"/>
        <charset val="134"/>
      </rPr>
      <t>日期码格式：ZURU INC(BVI) 标准格式                  日期：按实际生产日期
Packaging Info:
77794UQ1： 最新MA 3L EAN包装+一张客户进口商贴纸+MA 说明书+WEEE带电池走货欧洲29L通用黑白说明书；</t>
    </r>
    <r>
      <rPr>
        <sz val="11"/>
        <color rgb="FFFF0000"/>
        <rFont val="宋体"/>
        <charset val="134"/>
      </rPr>
      <t xml:space="preserve"> 最新【MA 3L PDQ +1张PDQ贴纸含EAN条码(注意： PD
 Q贴纸位置是贴在PDQ的底部)】</t>
    </r>
    <r>
      <rPr>
        <sz val="11"/>
        <color rgb="FF000000"/>
        <rFont val="宋体"/>
        <charset val="134"/>
      </rPr>
      <t xml:space="preserve">
Remark: 1. 此单出西班牙，需满足EU测试标准要求，另外微塑料需符合EU法规；
 2. 标准配比；
3.根据新电池法规（EU）  2023/1542，所有走欧洲市场的电子产品，都需要增加WEEE通用29L说明书（分带电池走货和不带电池走货两种），如工厂没有此文件，可
以找跟单提供；
4. 产品及包装需要印CE logo图标，包装需含有西班牙环保标 和</t>
    </r>
    <r>
      <rPr>
        <sz val="11"/>
        <color rgb="FF000000"/>
        <rFont val="宋体"/>
        <charset val="134"/>
      </rPr>
      <t xml:space="preserve">care@zuru.com </t>
    </r>
    <r>
      <rPr>
        <sz val="11"/>
        <color rgb="FF000000"/>
        <rFont val="宋体"/>
        <charset val="134"/>
      </rPr>
      <t>邮箱地址，  另外，贴纸不可以覆盖西班牙警告语。QC同事请核查，如有问题需和
跟单确认
5.毛绒玩具需要西班牙语言的洗涤说明；
6.有关PDQ/展示架的贴纸位置图，客户要求我们贴在PDQ/展示架的底部，这样客户在打开外箱的时候不需要取出产品，即可以扫描条码，在做大货前需帮忙复查下设
计提供的贴纸位置图是否都贴到了底部，避免客诉发生；
7.此单需要准备2套大货样寄到深圳办公室，请注意备料；</t>
    </r>
  </si>
  <si>
    <t>4500204716</t>
  </si>
  <si>
    <t>4500204716-50</t>
  </si>
  <si>
    <t>不取消，后续下新PO</t>
  </si>
  <si>
    <t>日期码格式：ZURU INC(BVI) 标准格式 日期：按实际生产日期
Packaging Info: 出UAE, 包装不能有希伯来语
所有RBC的产品（内外）包装上不能有彩虹。
77794UQ1: 客版PDQ+MA 1L Outer Tray+进口商贴纸+AR说明书
客人箱唛排版，印4面
需备两套大货版寄出到SZ办公室
Remark:</t>
  </si>
  <si>
    <t>4500212421</t>
  </si>
  <si>
    <t>4500212421-20</t>
  </si>
  <si>
    <t>4500216448-70</t>
  </si>
  <si>
    <t>4500216021</t>
  </si>
  <si>
    <t>0983718052</t>
  </si>
  <si>
    <t>4500216021-10</t>
  </si>
  <si>
    <t>日期码格式：ZURU  INC(BVI)  标准格式                                    日期：按实际生产日期
Packaging Info: 77794UQ1-SLB-S001
1.  包装要求：
77794：MA  1L  B版callout纸卡+MA  23L  玩法说明书+MA  23L  警告语说明书+MA  1L  A版  PDQ
每pcs产品要贴一张RFID贴纸，RFID贴纸由ZURU提供，贴纸位置要严格按照客人签板
Remark: 2.  外箱印刷带条码的RFID箱唛：RFID紫色色带+WM  Dept. 图标+RFID图标+ITF-14条码，四面右下角印刷ZURU  logo,  ITFF条码只印刷在正唛一面，在加印的时候确保
条形码能扫描出来，   一张锂电池贴纸贴在有条码的正唛上，外箱侧面任一角落加印："MADE  IN  CHINA"  字样；箱唛翻单：4500196335
   3.  每个slip  sheet上面贴一张艾利贴纸（不干胶贴纸）和一张普通贴纸（A4纸），slip  sheet打印的普通贴纸的尺寸不能比艾利贴纸小，普通贴纸内容见附件；
4.  在产品上和包装上要有日期码、以及要有MADE  IN  CHINA和ZURU字样；
   5.  产品如有扎带口要剪平，不能刮手。
   6.  此单需要验货，请多备料
   7.  此单以slip  sheet出货，77794：512pcs/64CTN/Slip  sheet</t>
  </si>
  <si>
    <t>10001792903-3891</t>
  </si>
  <si>
    <t>4500216861-30</t>
  </si>
  <si>
    <t>日期码格式：ZURU INC(BVI) 标准格式                  日期：按实际生产日期
Packaging Info: 
77794UQ1：产品包装 MA 23L黑白警告语说明书+MA 1L 彩盒+MA 1L PDQ
Remark: 
77794UQ1：
1.77794UQ1-S002-MINI BRANDS-VINYL-PLAYSET-SERIES 1-CUBE,8PCS/PDQ,8PCS/PDQ/CTN;
 2. 产品包装 MA 23L黑白警告语说明书+MA 1L 彩盒+MA 1L PDQ; 彩盒上的UPC显示193052090409;
 3. 外箱正唛左上角位置粘贴条码箱贴纸，每箱只贴一张，由ZURU订购。来料贴纸上显示的客户DPCI# 086-02-4085, UPC显示10193052090406;
 4. 带锂电池出货，需在外箱正面或者侧面合适位置上加贴一张贴锂电池标签纸，由工厂订购；
以上Items：
 1. 产品和包装上印刷 tracking code信息，格式为ZURU常规格式;
 2. 出货方式：货代自提</t>
  </si>
  <si>
    <t>4500214939-60</t>
  </si>
  <si>
    <t>7/20客户进口商贴纸+MA 说明书+WEEE带电池走货欧洲29L通用黑白说明书； 最新【MA 3L PDQ +1张PDQ贴纸含EAN条码(注意： PDQ贴纸位置是贴在PDQ的底部)】</t>
  </si>
  <si>
    <t>日期码格式：ZURU INC(BVI) 标准格式 日期：按实际生产日期
Packaging Info: 
77794UQ1： 最新MA 3L EAN包装+一张客户进口商贴纸+MA 说明书+WEEE带电池走货欧洲29L通用黑白说明书； 最新【MA 3L PDQ +1张PDQ贴纸含EAN条码(注意： PD
Q贴纸位置是贴在PDQ的底部)】
Remark: 1. 此单出西班牙，需满足EU测试标准要求，另外微塑料需符合EU法规；
2. 标准配比；
3.根据新电池法规（EU） 2023/1542，所有走欧洲市场的电子产品，都需要增加WEEE通用29L说明书（分带电池走货和不带电池走货两种），如工厂没有此文件，可
以找跟单提供；
4. 产品及包装需要印CE logo图标，包装需含有西班牙环保标 和care@zuru.com 邮箱地址， 另外，贴纸不可以覆盖西班牙警告语。QC同事请核查，如有问题需和
跟单确认
5.毛绒玩具需要西班牙语言的洗涤说明；
6.有关PDQ/展示架的贴纸位置图，客户要求我们贴在PDQ/展示架的底部，这样客户在打开外箱的时候不需要取出产品，即可以扫描条码，在做大货前需帮忙复查下设
计提供的贴纸位置图是否都贴到了底部，避免客诉发生；</t>
  </si>
  <si>
    <t>7/29 展示架+2张贴纸"43"覆盖唱片数字"45"  (展示架左右各一张)+欧洲澳新通用warning  instruction;</t>
  </si>
  <si>
    <t>10001927301-0581</t>
  </si>
  <si>
    <t>4500216868-10</t>
  </si>
  <si>
    <t>8/7条码箱贴纸</t>
  </si>
  <si>
    <t>日期码格式：ZURU INC(BVI) 标准格式                  日期：按实际生产日期
Packaging Info: 产品包装 MA 23L黑白警告语说明书+MA 1L 彩盒+MA 1L PDQ
Remark: 1.77794UQ1-S002-MINI BRANDS-VINYL-PLAYSET-SERIES 1-CUBE,8PCS/PDQ,8PCS/PDQ/CTN;
 2. 产品包装 MA 23L黑白警告语说明书+MA 1L 彩盒+MA 1L PDQ; 彩盒上的UPC显示193052090409;
 3. 外箱正唛左上角位置粘贴条码箱贴纸，每箱只贴一张，由ZURU订购。来料贴纸上显示的客户DPCI# 086-02-4085, UPC显示10193052090406;
 4. 带锂电池出货，需在外箱正面或者侧面合适位置上加贴一张贴锂电池标签纸，由工厂订购；
 5. 产品和包装上印刷 tracking code信息，格式为ZURU常规格式;
 6. 出货方式：货代自提</t>
  </si>
  <si>
    <t>0045380657</t>
  </si>
  <si>
    <t>4500213080-10</t>
  </si>
  <si>
    <t>4500213781</t>
  </si>
  <si>
    <t>4500213781-30</t>
  </si>
  <si>
    <t>进口商贴纸翻单PO4500202915+欠客户条码贴纸</t>
  </si>
  <si>
    <t>005730331538</t>
  </si>
  <si>
    <t>010340331270</t>
  </si>
  <si>
    <t>4500213523-40</t>
  </si>
  <si>
    <t>C版29L含电池出货版本WEEE说明书+欧洲澳新通用Warning  instruction,  外箱需要加UN3481的贴纸，贴于正唛其中一面右上角</t>
  </si>
  <si>
    <r>
      <rPr>
        <sz val="11"/>
        <color rgb="FF000000"/>
        <rFont val="宋体"/>
        <charset val="134"/>
      </rPr>
      <t>日期码格式：ZURU INC(BVI) 标准格式 日期：按实际生产日期
Packaging Info: 77794UQ1
MA B版1L UPC版本+C版29L含电池出货版本WEEE说明书+欧洲澳新通用Warning instruction, 外箱需要加UN3481的贴纸，贴于正唛其中一面右上角+</t>
    </r>
    <r>
      <rPr>
        <sz val="11"/>
        <color rgb="FFFF0000"/>
        <rFont val="宋体"/>
        <charset val="134"/>
      </rPr>
      <t>地址贴纸，翻单：
4500210400</t>
    </r>
    <r>
      <rPr>
        <sz val="11"/>
        <color rgb="FF000000"/>
        <rFont val="宋体"/>
        <charset val="134"/>
      </rPr>
      <t xml:space="preserve">
Remark: MA版本按工厂现有最新库存即可，订单出英国，请注意检查产品及包装应带UKCA以及CE图标，包装显示ZURU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*所有产品按符合欧洲标准走货，需要是不含微塑料版本 。
*涉及到硼的，如可选择情况下应使用低硼版本 （slime 类别低硼一般低于300ppm)，无选择的应与跟单复核再安排 。
*如果出运产品属于电子类产品需要在ZURU 包装基础上额外添加一张ZURU 标准29L通用WEEE 电子产品说明书,带电池出货的加带电池出货版本通用29L的说明书，不
带电池出货的产品用不带电池出货版本的说明书.
*根据客人最新的包装要求，所有多个PDQ盒子(TQ,UQ,GQ）入1外箱的都需要在PDQ顶部右上角加上数量贴纸标明里面的数量。最小字体：36pts, 字体：Calibri（bo
ld), 具体要求以及位置见文件.
*订单对应客户PO号 ，备注有显示 ，注意分开做货/验货/装柜 ，混装有罚款。
* 大货样： 新款请在CRD前10天寄出每款2整套大货样到罗湖办公室7B Meyya Liu 收，翻单不用寄。</t>
    </r>
  </si>
  <si>
    <t>4500210791-10</t>
  </si>
  <si>
    <t>欧洲澳新通用warning instruction + 欠外箱SSCC Label</t>
  </si>
  <si>
    <t>4500211288-30</t>
  </si>
  <si>
    <t>锂电池黑白警语书纸  +  1张防盗贴纸  (贴纸以及位置图翻单PO#4500193539）+  箱唛 + 8/17 外箱SSCC  Label</t>
  </si>
  <si>
    <t>日期码格式：ZURU INC(BVI) 标准格式                  日期：按实际生产日期
Packaging 
77794UQ1:客版PDQ（翻单PO#4500197867）  + MA英语UPC版本包装（收缩膜和说明书, MA首选1L，如无1L可用多语且含英语的配套多语包装) +1张锂电池黑白警语书
纸 + 1张防盗贴纸 (贴纸以及位置图翻单PO#4500193539）+ 箱唛 + 外箱SSCC Label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10.所有带纽扣电池的产品都需要在产品包装以及说明书上贴纽扣电池警告语贴纸
此单需要与NZ PO#4500211292一起合并计算</t>
  </si>
  <si>
    <t>4500211288-50</t>
  </si>
  <si>
    <t>4500211292-30</t>
  </si>
  <si>
    <t>日期码格式：ZURU INC(BVI) 标准格式                  日期：按实际生产日期
Packaging Info:
77794UQ1:客版PDQ（翻单PO#4500197867）  + MA英语UPC版本包装（收缩膜和说明书, MA首选1L，如无1L可用多语且含英语的配套多语包装) +1张锂电池黑白警语书
纸 + 1张防盗贴纸 (贴纸以及位置图翻单PO#4500193539）+ 箱唛 + 外箱SSCC Label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10.所有带纽扣电池的产品都需要在产品包装以及说明书上贴纽扣电池警告语贴纸
此单需要与AU PO#4500211288一起合并计算</t>
  </si>
  <si>
    <t>4500211292-50</t>
  </si>
  <si>
    <t>005710331474</t>
  </si>
  <si>
    <t>77869-77794-S001-INT-PRODCC1</t>
  </si>
  <si>
    <r>
      <rPr>
        <sz val="11"/>
        <color rgb="FF000000"/>
        <rFont val="宋体"/>
        <charset val="134"/>
      </rPr>
      <t xml:space="preserve">日期码格式：ZURU INC(BVI) 标准格式 日期：按实际生产日期 Tracking Code:
Packaging Info: 77869：客制 3L UPC 彩盒包装 (彩盒翻单PO#4500202802)+ 箱唛 + 外箱贴纸SSCC Label
 子件77772: </t>
    </r>
    <r>
      <rPr>
        <sz val="11"/>
        <color rgb="FFFF0000"/>
        <rFont val="宋体"/>
        <charset val="134"/>
      </rPr>
      <t>1L 客版英语无条码收缩膜（翻单PO#4500208581）</t>
    </r>
    <r>
      <rPr>
        <sz val="11"/>
        <color rgb="FF000000"/>
        <rFont val="宋体"/>
        <charset val="134"/>
      </rPr>
      <t>+B版客制收藏指南</t>
    </r>
    <r>
      <rPr>
        <sz val="11"/>
        <color rgb="FFFF0000"/>
        <rFont val="宋体"/>
        <charset val="134"/>
      </rPr>
      <t>-删除两张唱片""Messy &lt;(&gt;&amp;&lt;)&gt; Delicious""</t>
    </r>
    <r>
      <rPr>
        <sz val="11"/>
        <color rgb="FF000000"/>
        <rFont val="宋体"/>
        <charset val="134"/>
      </rPr>
      <t>（收藏指南翻单PO#4500202802）
 子件77794: MA英语UPC版本包装（收缩膜和说明书, MA首选1L，如无1L可用多语且含英语的配套多语包装) +1张MA锂电池黑白警语书纸（书纸翻单PO#4500193539）
 2PK 77772( remove Messy &lt;(&gt;&amp;&lt;)&gt; Delicious vinyl minis) + 77794 PLAYSET COMBO IN COLOR BOX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10.所有带纽扣电池的产品都需要在产品包装以及说明书上贴纽扣电池警告语贴纸
 此单需要与NZ PO#4500211292一起合并计算</t>
    </r>
  </si>
  <si>
    <r>
      <rPr>
        <sz val="11"/>
        <color rgb="FF000000"/>
        <rFont val="宋体"/>
        <charset val="134"/>
      </rPr>
      <t>日期码格式：ZURU INC(BVI) 标准格式 日期：按实际生产日期 Tracking Code:
Packaging Info: 77869：客制 3L UPC 彩盒包装 (彩盒翻单PO#4500202802)+ 箱唛 + 外箱贴纸SSCC Label
 子件77772:</t>
    </r>
    <r>
      <rPr>
        <sz val="11"/>
        <color rgb="FFFF0000"/>
        <rFont val="宋体"/>
        <charset val="134"/>
      </rPr>
      <t xml:space="preserve"> 1L 客版英语无条码收缩膜（翻单PO#4500208581）</t>
    </r>
    <r>
      <rPr>
        <sz val="11"/>
        <color rgb="FF000000"/>
        <rFont val="宋体"/>
        <charset val="134"/>
      </rPr>
      <t>+B版客制收藏指南</t>
    </r>
    <r>
      <rPr>
        <sz val="11"/>
        <color rgb="FFFF0000"/>
        <rFont val="宋体"/>
        <charset val="134"/>
      </rPr>
      <t>-删除两张唱片""Messy &lt;(&gt;&amp;&lt;)&gt; Delicious""</t>
    </r>
    <r>
      <rPr>
        <sz val="11"/>
        <color rgb="FF000000"/>
        <rFont val="宋体"/>
        <charset val="134"/>
      </rPr>
      <t>（收藏指南翻单PO#4500202802）
 子件77794: MA英语UPC版本包装（收缩膜和说明书, MA首选1L，如无1L可用多语且含英语的配套多语包装) +1张MA锂电池黑白警语书纸（书纸翻单PO#4500193539）
 2PK 77772( remove Messy &lt;(&gt;&amp;&lt;)&gt; Delicious vinyl minis) + 77794 PLAYSET COMBO IN COLOR BOX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10.所有带纽扣电池的产品都需要在产品包装以及说明书上贴纽扣电池警告语贴纸
 此单需要与AU PO#4500211288一起合并计算</t>
    </r>
  </si>
  <si>
    <t>4500211288</t>
  </si>
  <si>
    <t>21854109</t>
  </si>
  <si>
    <t>4500211288-70</t>
  </si>
  <si>
    <t>日期码格式：ZURU INC(BVI) 标准格式                  日期：按实际生产日期
Packaging Info:
77794UQ1:客版PDQ（翻单PO#4500197867）  + MA英语UPC版本包装（收缩膜和说明书, MA首选1L，如无1L可用多语且含英语的配套多语包装) +1张锂电池黑白警语书
纸 + 1张防盗贴纸 (贴纸以及位置图翻单PO#4500193539）+ 箱唛 + 外箱SSCC Label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10.所有带纽扣电池的产品都需要在产品包装以及说明书上贴纽扣电池警告语贴纸
此单需要与NZ PO#4500211292一起合并计算</t>
  </si>
  <si>
    <t>21854114</t>
  </si>
  <si>
    <t>4500211288-80</t>
  </si>
  <si>
    <t>4500211292</t>
  </si>
  <si>
    <t>21854123</t>
  </si>
  <si>
    <t>4500211292-70</t>
  </si>
  <si>
    <t>日期码格式：ZURU INC(BVI) 标准格式                  日期：按实际生产日期
Packaging Info: 
77794UQ1:客版PDQ（翻单PO#4500197867）  + MA英语UPC版本包装（收缩膜和说明书, MA首选1L，如无1L可用多语且含英语的配套多语包装) +1张锂电池黑白警语书
纸 + 1张防盗贴纸 (贴纸以及位置图翻单PO#4500193539）+ 箱唛 + 外箱SSCC Label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10.所有带纽扣电池的产品都需要在产品包装以及说明书上贴纽扣电池警告语贴纸
此单需要与AU PO#4500211288一起合并计算</t>
  </si>
  <si>
    <t>21854128</t>
  </si>
  <si>
    <t>4500211292-80</t>
  </si>
  <si>
    <t>4500219260-10</t>
  </si>
  <si>
    <t>日期码格式：ZURU  INC(BVI)  标准格式                                    日期：按实际生产日期
Packaging Info: 【行项目10】
77794UQ1:MA  C3L  EAN包装+MA  23L  Game说明书+MA  23L锂电池警告语说明书+MA  23L警告语说明书+  WEEE  29L  带电池说明书最新版+MA  B3L  PDQ
Remark: 1.产品和包装要求无硼无香，包装不能含有PVC
2.微塑料需合规并增加对应IFUD声明
3. 电动玩具请增加WEEE说明书
4.此单每个外箱都要放一包干燥剂，基于外箱CBM决定箱内干燥剂规格，5g基于外箱
体积  0.001-0.029，     10g基于外箱体积  0.03-0.059，25g基于外箱体积  0.06-0. 119。50g基于外箱体积  0.12-0.29。货柜和纸箱干燥剂都需要找如下
指定供应商订购。干霸：Tel:  +86  755  8474  6911  Email:  gela@superdryers.com.cn"</t>
  </si>
  <si>
    <t>4500216022</t>
  </si>
  <si>
    <t>0983718032</t>
  </si>
  <si>
    <t>4500216022-10</t>
  </si>
  <si>
    <t>日期码格式：ZURU  INC(BVI)  标准格式                                    日期：按实际生产日期
Packaging Info: 77794UQ1-SLB-S001
1.  包装要求：
77794：MA  1L  B版callout纸卡+MA  23L  玩法说明书+MA  23L  警告语说明书+MA  1L  A版  PDQ
每pcs产品要贴一张RFID贴纸，RFID贴纸由ZURU提供，贴纸位置要严格按照客人签板
Remark: 2.  外箱印刷带条码的RFID箱唛：RFID紫色色带+WM  Dept. 图标+RFID图标+ITF-14条码，四面右下角印刷ZURU  logo,  ITFF条码只印刷在正唛一面，在加印的时候确保
条形码能扫描出来，   一张锂电池贴纸贴在有条码的正唛上，外箱侧面任一角落加印："MADE  IN  CHINA"  字样；箱唛翻单：4500196335
   3.  每个slip  sheet上面贴一张艾利贴纸（不干胶贴纸）和一张普通贴纸（A4纸），slip  sheet打印的普通贴纸的尺寸不能比艾利贴纸小，普通贴纸内容见附件；
   4.  在产品上和包装上要有日期码、以及要有MADE  IN  CHINA和ZURU字样；
   5.  产品如有扎带口要剪平，不能刮手。
   6.  此单需要验货，请多备料
   7.  此单以slip  sheet出货，77794：512pcs/64CTN/Slip  sheet</t>
  </si>
  <si>
    <t>0983718036</t>
  </si>
  <si>
    <t>4500216022-20</t>
  </si>
  <si>
    <t>0983717951</t>
  </si>
  <si>
    <t>4500216022-30</t>
  </si>
  <si>
    <t>4500214382</t>
  </si>
  <si>
    <t>86816</t>
  </si>
  <si>
    <t>MEC473-77794-S001-PRODCC1</t>
  </si>
  <si>
    <t>2张侧板贴纸覆盖唱片数字""45"" (展示架左右各一张)  （贴纸以及位置图翻单PO#4500200163）+ 3张前档贴纸覆盖唱片数字""45""</t>
  </si>
  <si>
    <r>
      <rPr>
        <sz val="11"/>
        <color rgb="FF000000"/>
        <rFont val="宋体"/>
        <charset val="134"/>
      </rPr>
      <t xml:space="preserve">日期码格式：ZURU INC(BVI) 标准格式 日期：按实际生产日期 Tracking Code:
Packaging Info: 
 MEC473：客版 </t>
    </r>
    <r>
      <rPr>
        <sz val="11"/>
        <color rgb="FFFF0000"/>
        <rFont val="宋体"/>
        <charset val="134"/>
      </rPr>
      <t>1</t>
    </r>
    <r>
      <rPr>
        <sz val="11"/>
        <color rgb="FF000000"/>
        <rFont val="宋体"/>
        <charset val="134"/>
      </rPr>
      <t>L 展示架（展示架翻单PO#4500200</t>
    </r>
    <r>
      <rPr>
        <sz val="11"/>
        <color rgb="FFFF0000"/>
        <rFont val="宋体"/>
        <charset val="134"/>
      </rPr>
      <t>392</t>
    </r>
    <r>
      <rPr>
        <sz val="11"/>
        <color rgb="FF000000"/>
        <rFont val="宋体"/>
        <charset val="134"/>
      </rPr>
      <t>）+2张侧板贴纸覆盖唱片数字""45"" (展示架左右各一张) （贴纸以及位置图翻单PO#4500200163）+ 3张前档
 贴纸覆盖唱片数字""45""
 36pcs77772(remove Messy and Delicious vinyl minis) +12pcs 77794; With 1 SET Demo/Endcap
 子件77772: 英文MA UPC版本收缩膜 + 客制球以及客制5L 收藏指南 （去除""Messy"" and ""Delicious"" 2张唱片）（收藏指南翻单PO#4500202802的77869的子件7
7772）+1张客人通用进口商贴纸（位置图翻单PO#4500193524）
 子件77794: 英文MA 包装UPC版本（首选1L，无1L可选多语）+1张MA的锂电池警语书纸+1张客人通用进口商贴纸（贴纸跟位置图翻单PO#4500193524）
 77794UQ1: 客版PDQ（翻单PO#4500197867）+1张MA的锂电池警语书纸+1张客人通用进口商贴纸（贴纸跟位置图翻单PO#4500193524）+箱唛
Remark: 1.按实际生产日期;
 2.出澳大利亚，请按照相应标准生产;
 3.所有带纽扣电池的产品都需要在产品包装以及说明书上贴纽扣电池警告语贴纸</t>
    </r>
  </si>
  <si>
    <t>4500214382-30</t>
  </si>
  <si>
    <t>4500210658-10</t>
  </si>
  <si>
    <t>日期码格式：ZURU  INC(BVI)  标准格式                                    日期：按实际生产日期
Packaging Info: 物料要求  SKU
1  77794UQ1  UPC:193052090409  MA  PDQ+中文警告语+中文说明书+中文CCC贴纸+芯片码
首单  提供8套大货样品
Remark: 2.外箱材质如下：
     1）毛重小于5kg  外箱纸质  K=B  爆破:1000Kpa  边压:4400N/M;
    2）毛重大于5kg  外箱纸质  K636K  爆破:1400Kpa  边压:6300N/M;
   3.  产品/销售包装/外箱日期码要一致，
4.此产品务必满足国内6P  测试标准，因为可能会被市场监督局抽查，如有问题产生，工厂要负全责
   5.  这张订单做出厂价，我司自行安排车辆去贵司提货，贵司需要配合提供出口报关
   6.  此单所有产品启用  芯片码</t>
  </si>
  <si>
    <t>4500210658-20</t>
  </si>
  <si>
    <t>4500210724-30</t>
  </si>
  <si>
    <t>日期码格式：ZURU INC(BVI) 标准格式                  日期：按实际生产日期
Packaging Info:
#77794
MA3LPDQ(8装)+MA3L彩盒+UPC贴纸(UPC:193052090409)+MA23L说明书+MA23L警告语说明书
翻单：4500195369
Remark: 1. 此单有箱唛;
 2. UPC贴纸：必须在原来错误的条码上用黑色粗头笔涂黑直至不能扫描，再贴上正确的UPC;
 3. 此单有第三方验货，烦请多备包装物料；
 4. #77794带锂电池出货，使用英法双语电池，外箱需在正唛空白位置贴一张UN3481锂电池标识贴纸(带电话号码)；
 *********************
a. 请确保产品符合1999年版本的加拿大环境保护法(CEPA)和2012年禁止某些有毒物质法规的要求。该产品不含任何在加拿大禁用的化学物质，包括但不限于有毒物
质清单中列出的化学物质，并且在为加拿大沃尔玛生产产品期间没有使用任何禁用化学物质。
Supplier certify that the products comply with the requirements of Canadian Environmental Protection Act, 1999 (CEPA), Prohibition of Certain To
xic Substances Regulations, 2012.
The products do not contain any chemicals that are banned in Canada, including but not limited to those listed in the Toxic Substances List and
no banned chemicals were used during the manufacturing of product for Walmart Canada.
附件列表：
(1) Letter of Guarantee for Canada banned chemicals - (1-5CA)
b. 请确保产品在均质材料中的汞浓度不超过0.1%（按重量计）。
Supplier certify that the WAL-MART vendor products does not have a mercury concentration of more than 0.1% by weight in homogeneous material.
附件列表：
(1) Letter of Guarantee for Mercury COC
c. 请确保产品的塑料材料不含以下物质（SOR 2011-17 27B):
Supplier certify that the plastic materials do not contain the following substances(SOR 2011-17 27B):
(a) carbon tetrachloride or any substance that contains it;
(b) methyl alcohol or any substance thay contains &gt;1.0%;
 (c) petroleum distillates or any substance that contains &gt;10% weight to volume of petroleum distillates;
 (d) benzene;
(e) turpentine or any substance that contains &gt;10% weight to volume of turpentine;
(f) boric acid or salts of boric acid; or (g) ethyl ether.
附件列表：
(1) Letter of Guarantee for WM CA-Other prohibited substances in plastic(less than 3 years)</t>
  </si>
  <si>
    <t>日期码格式：ZURU  INC(BVI)  标准格式                                    日期：按实际生产日期
Packaging Info: 物料要求  SKU
1  77794UQ1  UPC:193052090409  MA  PDQ+中文警告语+中文说明书+中文CCC贴纸+芯片码
2.77869  ：2部分子件构成
物料要求：UPC:193052101938    UPC部分：所有子件UPC要求统一或者覆盖
77869启用客制彩盒+芯片码
子件  A  :  77794-  1个：MA+77794中文警告语+77794中文说明书
子件  B  :  77772-  2个  ：    MA  +77772中文组装说明书+77772中文警告语+8+年龄贴纸
首单  提供8套大货样品
Remark: 2.外箱材质如下：
     1）毛重小于5kg  外箱纸质  K=B  爆破:1000Kpa  边压:4400N/M;
    2）毛重大于5kg  外箱纸质  K636K  爆破:1400Kpa  边压:6300N/M;
   3.  产品/销售包装/外箱日期码要一致，
4.此产品务必满足国内6P  测试标准，因为可能会被市场监督局抽查，如有问题产生，工厂要负全责
   5.  这张订单做出厂价，我司自行安排车辆去贵司提货，贵司需要配合提供出口报关
   6.  此单所有产品启用  芯片码</t>
  </si>
  <si>
    <t>4500217687</t>
  </si>
  <si>
    <t>10001792902-3890</t>
  </si>
  <si>
    <t>4500217687-20</t>
  </si>
  <si>
    <t>日期码格式：ZURU  INC(BVI) 标准格式                                    日期：按实际生产日期
Packaging Info: 
77794UQ1：产品包装  MA 23L黑白警告语说明书+MA 1L 彩盒+MA 1L PDQ
Remark: 
77794UQ1：
1.77794UQ1-S002-MINI BRANDS-VINYL-PLAYSET-SERIES 1-CUBE,8PCS/PDQ,8PCS/PDQ/CTN;
  2. 产品包装  MA 23L黑白警告语说明书+MA  1L 彩盒+MA 1L PDQ; 彩盒上的UPC显示193052090409;
  3. 外箱正唛左上角位置粘贴条码箱贴纸，每箱只贴一张，由ZURU订购。来料贴纸上显示的客户DPCI#  086-02-4085, UPC显示10193052090406;
  4. 带锂电池出货，需在外箱正面或者侧面合适位置上加贴一张贴锂电池标签纸，由工厂订购；
以上Items：
  1. 产品和包装上印刷  tracking  code信息，格式为ZURU常规格式;
  2. 出货方式：货代自提</t>
  </si>
  <si>
    <t>4500218360-10</t>
  </si>
  <si>
    <t>欠进口商贴纸+MA 说明书+WEEE带电池走货欧洲29L通用黑白说明书+欠【MA PDQ+一张ZURU 通用地址贴纸】</t>
  </si>
  <si>
    <t>日期码格式：ZURU  INC(BVI) 标准格式                                    日期：按实际生产日期
Packaging Info: 77794UQ1：最新MA 3L EAN包装+一张进口商贴纸+MA 说明书+WEEE带电池走货欧洲29L通用黑白说明书+【MA PDQ+一张ZURU 通用地址贴纸】；
Remark: 1. 此单出西班牙，需满足EU测试标准要求，另外微塑料需符合EU法规;
  2. 标准配比；
  3.根据新电池法规（EU）    2023/1542，所有走欧洲市场的电子产品，都需要增加WEE E通用29L说明书（分带电池走货和不带电池走货两种），如工厂没有此文件，可
以找跟单提供；
  4. 产品及包装需要印CE  logo图标，包装需含有西班牙环保标  和care@zuru.com  邮箱地址，    另外，包装贴纸上面的警告语不可以覆盖西班牙警告语。QC同事请核
查，如有问题需和跟单确认
  5.毛绒玩具需要西班牙语言的洗涤说明"LIMPIAR  SOLO CON UN TRAPO H MEDO"；
  6. 根据欧盟发布《包装和包装废弃物法规》（EU）2025/40（PPWR）新法规：需在PDQ /展示架  以及外箱上增加制造商地址和邮箱地址（见如下内容）
运输包装：外箱上印刷：
ZURU  FRANCE. 33 rue Paul Meurice  75020  Paris, France.
care@zuru.com
PDQ，SK展示架，ENDCAP   （含有二个欧盟地址，法国地址需下划线）
ZURU INC. ROOM 1202, ENERGY PLAZA, NO.92 GRANVILLE ROAD, TSIM SHA TSUI EAST, KOWLOON, HONG KONG. / ZURU UK LIMITED. Ground  Floor, Templeback, 10
Temple  Back, Bristol, United  Kingdom, BS1 6FL. /  ZURU  FRANCE. 33 rue Paul Meurice 75020  Paris, France. /  ZURU  DENMARK APS. OSLO PLADS 2, 2100 K
BENHAVN   ,DENMARK.
care@zuru.com
7 .此单每款需要准备一套大货样，请注意备料；</t>
  </si>
  <si>
    <t>4500217691</t>
  </si>
  <si>
    <t>10001927290-0581</t>
  </si>
  <si>
    <t>4500217691-10</t>
  </si>
  <si>
    <t>8/17条码箱贴纸</t>
  </si>
  <si>
    <t>日期码格式：ZURU  INC(BVI) 标准格式                                    日期：按实际生产日期
Packaging Info: 产品包装  MA 23L黑白警告语说明书+MA 1L 彩盒+MA 1L PDQ
Remark: 此单为空运订单，务必按期交货
1.77794UQ1-S002-MINI BRANDS-VINYL-PLAYSET-SERIES 1-CUBE,8PCS/PDQ,8PCS/PDQ/CTN;
  2. 产品包装  MA 23L黑白警告语说明书+MA  1L 彩盒+MA 1L PDQ; 彩盒上的UPC显示193052090409;
  3. 外箱正唛左上角位置粘贴条码箱贴纸，每箱只贴一张，由ZURU订购。来料贴纸上显示的客户DPCI#  086-02-4085, UPC显示10193052090406;
  4. 带锂电池出货，需在外箱正面或者侧面合适位置上加贴一张贴锂电池标签纸，由工厂订购；
  5. 产品和包装上印刷  tracking  code信息，格式为ZURU常规格式;
  6. 出货方式：货代自提</t>
  </si>
  <si>
    <t>4500212840</t>
  </si>
  <si>
    <t>4500212840-10</t>
  </si>
  <si>
    <t>欠价格贴$20+外箱箱唛正侧相邻两面粘贴产品彩色贴纸</t>
  </si>
  <si>
    <r>
      <rPr>
        <sz val="11"/>
        <color rgb="FF000000"/>
        <rFont val="宋体"/>
        <charset val="134"/>
      </rPr>
      <t xml:space="preserve">日期码格式：ZURU INC(BVI) 标准格式 日期：2026-08-21
Packaging Info: 1)最新版ZURU MA UPC包装(优先1L)，出口美国。如有说明书请使用ZURU MA说明书，优先放1L英语。2PCS/PDQ/CTN
2)客版PDQ， PDQ印刷价格标
3)客版可移动不粘胶价格贴$20（需要贴在产品包装上，每个贴1张），可移动价格贴以及具体位置，待跟单提供。
3)ZURU标准日期码格式：工厂城市缩写+生产年月日。此单指定日期码：DG20260821。
4)外箱箱唛正侧相邻两面粘贴产品彩色贴纸，每箱两张彩色贴纸, 彩色产品贴纸待跟单提供。如侧唛位置放不下彩贴和唛头信息，可改为放两个正唛。无论是正唛+
侧唛或者是两个正唛，唛头信息和彩贴需放在同一个面。需要工厂根据外箱尺寸建议预估的彩贴尺寸给跟单。箱唛需排版给跟单确认。
Remark: </t>
    </r>
    <r>
      <rPr>
        <sz val="11"/>
        <color rgb="FFFF0000"/>
        <rFont val="宋体"/>
        <charset val="134"/>
      </rPr>
      <t>客户PO# 62700628
客户SKU# 1004275</t>
    </r>
    <r>
      <rPr>
        <sz val="11"/>
        <color rgb="FF000000"/>
        <rFont val="宋体"/>
        <charset val="134"/>
      </rPr>
      <t xml:space="preserve">
1）Item#77794UQ3-S001
2) 此单无第三方验货+抽样测试，ZURU QC验货PASS后，跟单得到客户的approval之后方可安排出货
3) 大货外箱材积绝对不可大于下述数据，材积只接受3%的变小；重量正负不得超过以下列出数据的5%，接受外箱以印章方式印上实际毛重。
大货外箱尺寸请保持：16.3*12.1*31.8 cm (即6.42*4.76*12.52 inch)，材积必须不能大于0.2225 CubeFeet（即0.0063CBM); 外箱毛重 1.6 LBS（即0.73 KGS）
4) 大货配比：
Item#77794UQ3-S001
S001-MINI BRANDS-VINYL-PLAYSET-SERIES 1-CUBE,1FACING2PCS/PDQ,2PCS/PDQ/CTN
UPC: 193052090409
1FACING2PCS/PDQ,2PCS/PDQ/CTN; W1*D1*H2=2PCS/UQ
RECHARGEABLE LITHIUM BATTERY(INCLUDED)
5) 客户Family Dollar不允许少数出货，必须按照PO上的数量出货，也不允许延期，否则会有罚款
6) 客户要求:"产品和包装不能含有PFAS 物质以及1,4 dioxane",请确保产品可以过美国标准测试。
7) 任何产品包装和日期码的变更，在收到ZURU的订单后，不管是MA包装还是客版包装，都需要及时告知跟单并在生产前与跟单确认是否需要重新签板留样。ZURU验
货员验货以Family Dollar跟单寄给工厂的签板为准。如因工厂不及时告知变更而导致的无法出货，客诉或者罚款等，将保留对工厂追责的权利。请工厂务必重视和
配合，避免任何额外 费用的产生。</t>
    </r>
  </si>
  <si>
    <t>4500214102-40</t>
  </si>
  <si>
    <r>
      <rPr>
        <sz val="11"/>
        <color rgb="FF000000"/>
        <rFont val="宋体"/>
        <charset val="134"/>
      </rPr>
      <t>日期码格式：ZURU INC(BVI) 标准格式 日期：按实际生产日期
Packaging Info: 
77794UQ1:MA B版1L UPC版本</t>
    </r>
    <r>
      <rPr>
        <sz val="11"/>
        <color rgb="FFFF0000"/>
        <rFont val="宋体"/>
        <charset val="134"/>
      </rPr>
      <t>+D版</t>
    </r>
    <r>
      <rPr>
        <sz val="11"/>
        <color rgb="FF000000"/>
        <rFont val="宋体"/>
        <charset val="134"/>
      </rPr>
      <t>29L含电池出货版本WEEE说明书+欧洲澳新通用Warning instruction, 外箱需要加UN3481的贴纸，贴于正唛其中一面右上角
Remark: MA版本按工厂现有最新库存即可，订单出英国，请注意检查产品及包装应带UKCA以及CE图标，包装显示ZURU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*所有产品按符合欧洲标准走货，需要是不含微塑料版本 。
*涉及到硼的，如可选择情况下应使用低硼版本 （slime 类别低硼一般低于300ppm)，无选择的应与跟单复核再安排 。
*如果出运产品属于电子类产品需要在ZURU 包装基础上额外添加一张ZURU 标准29L通用WEEE 电子产品说明书,带电池出货的加带电池出货版本通用29L的说明书，不
带电池出货的产品用不带电池出货版本的说明书.
*根据客人最新的包装要求，所有多个PDQ盒子(TQ,UQ,GQ）入1外箱的都需要在PDQ顶部右上角加上数量贴纸标明里面的数量。最小字体：36pts, 字体：Calibri（bo
ld), 具体要求以及位置见文件.
*订单对应客户PO号 ，备注有显示 ，注意分开做货/验货/装柜 ，混装有罚款。
* 大货样： 新款请在CRD前10天寄出每款2整套大货样到罗湖办公室21B Meyya Liu 收，翻单不用寄。</t>
    </r>
  </si>
  <si>
    <t>MO20260622</t>
  </si>
  <si>
    <t>MO20260622-10</t>
  </si>
  <si>
    <t>箱唛翻单：4500196335</t>
  </si>
  <si>
    <t>77794UQ1-SLB-S001
1. 包装要求：
77794：MA 1L B版callout纸卡+MA 23L 玩法说明书+MA 23L 警告语说明书+MA 1L A版 PDQ
每pcs产品要贴一张RFID贴纸，RFID贴纸由ZURU提供，贴纸位置要严格按照客人签板
2. 外箱印刷带条码的RFID箱唛：RFID紫色色带+WM Dept.图标+RFID图标+ITF-14条码，四面右下角印刷ZURU logo, ITFF条码只印刷在正唛一面，在加印的时候确保条形码能扫描出来，一张锂电池贴纸贴在有条码的正唛上，外箱侧面任一角落加印："MADE IN CHINA" 字样；箱唛翻单：4500196335
3. 每个slip sheet上面贴一张艾利贴纸（不干胶贴纸）和一张普通贴纸（A4纸），slip sheet打印的普通贴纸的尺寸不能比艾利贴纸小，普通贴纸内容见附件；
4. 在产品上和包装上要有日期码、以及要有MADE IN CHINA和ZURU字样；
5. 产品如有扎带口要剪平，不能刮手。
6. 此单需要验货，请多备料
7. 此单以slip sheet出货，77794：512pcs/64CTN/Slip sheet</t>
  </si>
  <si>
    <t>4500215969</t>
  </si>
  <si>
    <t>4400568226</t>
  </si>
  <si>
    <t>4500215969-50</t>
  </si>
  <si>
    <t>日期码格式：ZURU  INC(BVI)  标准格式                                    日期：按实际生产日期
Packaging Info: 
"77794UQ1:  最新MA  3L底座/纸卡/贴纸+MA  23L游戏说明书+MA  23L锂电池说明书+MA  23L警示说明书+MA  PDQ  (优先多语)
EAN#4894680051430
RECHARGEABLE  LITHIUM  BATTERY(INCLUDED)
*外箱需加一张UN3481锂电池运输标签*"
Remark: "Smyths  法国
   1.  请准时出货，推期会有罚款；
   2.  所有产品按符合欧洲标准走货，需要是不含微塑料版本。
   3.  电子产品需增加一张WEEE声明29L通用黑白说明书，区分带电池(D版)和不带电池(C版)出货版本,  如已做带WEEE声明的客版说明书可忽略此要求；如包装备注上
缺少此部分信息，请提醒跟单更新备注。
   4.  出口法国的产品,  法规规定禁止在包装和共公众用的印刷品中使用矿物油中含有的物质,  包装印刷油墨中含有的MOAH/MOSH的质量浓度不能超过0.1%,  否则出货
到法国被抽检出现问题,  供应商需要对此负责;
5.订单备注显示有分批的(不同仓库/订单号),  一定要区分客户订单号做货出货，否则会导致罚款    。
6.包装日期码按ZURU格式即可，请确保不迟于外箱日期码，可等于或者早于外箱日期码，必须为法定工作日。
7.做货前请先复核包装条码与订单是否一致再安排，对不上的需与ZURU跟单确认再安排。
8.包装必须含法国回收标(Sorting  Label)，如没有，请提醒跟单提供贴纸资料。"</t>
  </si>
  <si>
    <t>4500216456-10</t>
  </si>
  <si>
    <t>4500218302-10</t>
  </si>
  <si>
    <t>4500216502-80行转空运</t>
  </si>
  <si>
    <t>日期码格式：ZURU  INC(BVI)  标准格式                                    日期：按实际生产日期
Packaging Info: 此票出空运，是从4500216502拆单出来的，请勿重复安排大货生产，谢谢
77794UQ1:  最新MA  3L底座/纸卡/贴纸+1张含德语callout/德意荷警语贴纸(翻单PO#4500196046)+MA  23L游戏说明书+MA  23L锂电池说明书+MA  23L警示说明书
EAN#4894680051430
RECHARGEABLE  LITHIUM  BATTERY(INCLUDED)
*外箱需加一张UN3481锂电池运输标签*"
Remark: Smyths  德国
1.  请准时出货，推期会有罚款；
2.  所有产品按符合欧洲标准走货，需要是不含微塑料版本。
   3.  所有电子产品身上需要加字唛，为ZURU  FRANCE  地址  (如无电子产品，产品布标有此地址，或产品太小无法增加可忽略此信息)，新地址ZURU  FRANCE.33  rue  Pa
   ul  Meurice  75020  Paris,  France.
   4.  包装/说明书(如有)/产品(如有)上的法国地址信息必须保持一致，不可出现包装上是新地址，说明书上是旧地址；如地址信息不一致请通知跟单更新文件；
   5.  电子产品需增加一张WEEE声明29L通用黑白说明书，区分带电池(D版)和不带电池(C版)出货版本,  如已做带WEEE声明的客版说明书可忽略此要求；如包装备注上
缺少此部分信息，请提醒跟单更新备注。
6.所有出往德国市场有关slime和带香味的都需要出无硼无香版本；
7.订单备注显示有分批的(不同仓库/订单号),  一定要区分客户订单号做货出货，否则会导致罚款    。
8.包装日期码按ZURU格式即可，请确保不迟于外箱日期码，可等于或者早于外箱日期码，必须为法定工作日。
9.做货前请先复核包装条码与订单是否一致再安排，对不上的需与ZURU跟单确认再安排。
10.包装必须含法国回收标(Sorting  Label)，如没有，请提醒跟单提供贴纸资料。</t>
  </si>
  <si>
    <t>4500208245</t>
  </si>
  <si>
    <t>16464371</t>
  </si>
  <si>
    <t>4500208245-10</t>
  </si>
  <si>
    <t xml:space="preserve">欠价格贴纸    （覆盖产品UPC  条码，不能覆盖到made  in  China  字样）+  客供外箱贴纸 </t>
  </si>
  <si>
    <r>
      <rPr>
        <sz val="11"/>
        <color rgb="FF000000"/>
        <rFont val="宋体"/>
        <charset val="134"/>
      </rPr>
      <t>日期码格式：ZURU INC(BVI) 标准格式 日期：按实际生产日期
Packaging Info: 1. 此为Kohl's store 订单,
15789，15787，77794UQ1：</t>
    </r>
    <r>
      <rPr>
        <sz val="11"/>
        <color rgb="FFFF0000"/>
        <rFont val="宋体"/>
        <charset val="134"/>
      </rPr>
      <t xml:space="preserve"> MA UPC包装(首选1L) + 价格贴纸 （覆盖产品UPC 条码，不能覆盖到made in China 字样）+ 客供外箱贴纸 （外箱贴条码不可被覆盖
）</t>
    </r>
    <r>
      <rPr>
        <sz val="11"/>
        <color rgb="FF000000"/>
        <rFont val="宋体"/>
        <charset val="134"/>
      </rPr>
      <t xml:space="preserve">
</t>
    </r>
    <r>
      <rPr>
        <sz val="11"/>
        <color rgb="FFFF0000"/>
        <rFont val="宋体"/>
        <charset val="134"/>
      </rPr>
      <t>77794UQ1 价格贴翻PO#4500208214</t>
    </r>
    <r>
      <rPr>
        <sz val="11"/>
        <color rgb="FF000000"/>
        <rFont val="宋体"/>
        <charset val="134"/>
      </rPr>
      <t xml:space="preserve">
Remark:
2. 外箱印刷 ZURU LOGO + MADE IN CHINA + 定位框，尺寸4"x6" (用于黏贴外箱贴）
3. 无箱唛但需提供每款实际外箱尺寸排版确认定位框，store 订单的定位框位置要在：箱子的最大面朝上后，定位框在箱子的第二大面的右下角，距离箱子右边3
英寸，距离底部1.25英寸, 贴纸要按要求贴，位置与方向贴不对会有客户罚款，由工厂承担
外箱贴落在封箱面的：贴纸的条码是不可以落在箱子开口处以及折角处的， 这样都是会影响客人扫描导致罚款。 若有这样的情况需要和跟单沟通后再粘贴
4. 产品入箱后，外箱的每个面都需要是平整，不能有鼓起
5. 外箱毛重超过35LB/15.88KG 外箱四面需要加黄色超重 Team Lift 贴
6. 收到外箱贴纸需要扫描上传ICE系统（出货前必须完成），上传的条码信息必须跟实际出货一致，贴纸备品不需要扫描。如有不同产生的罚款由工厂承担。
7. 需经ZURU验货通过后才可出货。
8. 客户有严格要求，若由工厂导致的罚款ZURU都会向工厂收回。</t>
    </r>
  </si>
  <si>
    <t>4500214354</t>
  </si>
  <si>
    <t>21785616</t>
  </si>
  <si>
    <t>锂电池黑白警语书纸  +  1张防盗贴纸  (贴纸以及位置图翻单PO#4500193539）+  箱唛 + 欠外箱SSCC  Label</t>
  </si>
  <si>
    <r>
      <rPr>
        <sz val="11"/>
        <color rgb="FF000000"/>
        <rFont val="宋体"/>
        <charset val="134"/>
      </rPr>
      <t xml:space="preserve">日期码格式：ZURU INC(BVI) 标准格式 日期：按实际生产日期 Tracking Code:
Packaging Info: 77869：客制 3L UPC 彩盒包装 (彩盒翻单PO#4500202802)+ 箱唛 + 外箱贴纸SSCC Label
 子件77772: </t>
    </r>
    <r>
      <rPr>
        <sz val="11"/>
        <color rgb="FFFF0000"/>
        <rFont val="宋体"/>
        <charset val="134"/>
      </rPr>
      <t>1L 客版英语无条码收缩膜（翻单PO#4500208581）+B版客制收藏指南-删除两张唱片""Messy &lt;(&gt;&amp;&lt;)&gt; Delicious""（收藏指南翻单PO#4500202802）</t>
    </r>
    <r>
      <rPr>
        <sz val="11"/>
        <color rgb="FF000000"/>
        <rFont val="宋体"/>
        <charset val="134"/>
      </rPr>
      <t xml:space="preserve">
 子件77794: MA英语UPC版本包装（收缩膜和说明书, MA首选1L，如无1L可用多语且含英语的配套多语包装) +1张MA锂电池黑白警语书纸（书纸翻单PO#4500193539）
 2PK 77772( remove Messy &lt;(&gt;&amp;&lt;)&gt; Delicious vinyl minis) + 77794 PLAYSET COMBO IN COLOR BOX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10.所有带纽扣电池的产品都需要在产品包装以及说明书上贴纽扣电池警告语贴纸
 此单需要与NZ PO#4500214355一起合并计算</t>
    </r>
  </si>
  <si>
    <t>21785626</t>
  </si>
  <si>
    <t>21802507</t>
  </si>
  <si>
    <t>4500214354-30</t>
  </si>
  <si>
    <t>日期码格式：ZURU INC(BVI) 标准格式                  日期：按实际生产日期
Packaging Info: 
77794UQ1:客版PDQ（翻单PO#4500197867）  + MA英语UPC版本包装（收缩膜和说明书, MA首选1L，如无1L可用多语且含英语的配套多语包装) +1张锂电池黑白警语书
纸 + 1张防盗贴纸 (贴纸以及位置图翻单PO#4500193539）+ 箱唛 + 外箱SSCC Label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10.所有带纽扣电池的产品都需要在产品包装以及说明书上贴纽扣电池警告语贴纸
此单需要与NZ PO#4500214355一起合并计算</t>
  </si>
  <si>
    <t>21802506</t>
  </si>
  <si>
    <t>4500214354-60</t>
  </si>
  <si>
    <t>日期码格式：ZURU INC(BVI) 标准格式                  日期：按实际生产日期
Packaging Info:
77794UQ1:客版PDQ（翻单PO#4500197867）  + MA英语UPC版本包装（收缩膜和说明书, MA首选1L，如无1L可用多语且含英语的配套多语包装) +1张锂电池黑白警语书
纸 + 1张防盗贴纸 (贴纸以及位置图翻单PO#4500193539）+ 箱唛 + 外箱SSCC Label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10.所有带纽扣电池的产品都需要在产品包装以及说明书上贴纽扣电池警告语贴纸
此单需要与NZ PO#4500214355一起合并计算</t>
  </si>
  <si>
    <t>21854111</t>
  </si>
  <si>
    <t>4500214354-70</t>
  </si>
  <si>
    <t>4500214355</t>
  </si>
  <si>
    <t>21785621</t>
  </si>
  <si>
    <r>
      <rPr>
        <sz val="11"/>
        <color rgb="FF000000"/>
        <rFont val="宋体"/>
        <charset val="134"/>
      </rPr>
      <t xml:space="preserve">日期码格式：ZURU INC(BVI) 标准格式 日期：按实际生产日期 Tracking Code:
Packaging Info: 77869：客制 3L UPC 彩盒包装 (彩盒翻单PO#4500202802)+ 箱唛 + 外箱贴纸SSCC Label
 子件77772: </t>
    </r>
    <r>
      <rPr>
        <sz val="11"/>
        <color rgb="FFFF0000"/>
        <rFont val="宋体"/>
        <charset val="134"/>
      </rPr>
      <t>1L 客版英语无条码收缩膜（翻单PO#4500208581）+B版客制收藏指南-删除两张唱片""Messy &lt;(&gt;&amp;&lt;)&gt; Delicious""（收藏指南翻单PO#4500202802）</t>
    </r>
    <r>
      <rPr>
        <sz val="11"/>
        <color rgb="FF000000"/>
        <rFont val="宋体"/>
        <charset val="134"/>
      </rPr>
      <t xml:space="preserve">
 子件77794: MA英语UPC版本包装（收缩膜和说明书, MA首选1L，如无1L可用多语且含英语的配套多语包装) +1张MA锂电池黑白警语书纸（书纸翻单PO#4500193539）
 2PK 77772( remove Messy &lt;(&gt;&amp;&lt;)&gt; Delicious vinyl minis) + 77794 PLAYSET COMBO IN COLOR BOX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10.所有带纽扣电池的产品都需要在产品包装以及说明书上贴纽扣电池警告语贴纸
 此单需要与AU PO#4500214354一起合并计算</t>
    </r>
  </si>
  <si>
    <t>21785627</t>
  </si>
  <si>
    <t>21802516</t>
  </si>
  <si>
    <t>4500214355-30</t>
  </si>
  <si>
    <t>日期码格式：ZURU INC(BVI) 标准格式                  日期：按实际生产日期
Packaging Info: 
77794UQ1:客版PDQ（翻单PO#4500197867）  + MA英语UPC版本包装（收缩膜和说明书, MA首选1L，如无1L可用多语且含英语的配套多语包装) +1张锂电池黑白警语书
纸 + 1张防盗贴纸 (贴纸以及位置图翻单PO#4500193539）+ 箱唛 + 外箱SSCC Label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10.所有带纽扣电池的产品都需要在产品包装以及说明书上贴纽扣电池警告语贴纸
此单需要与AU PO#4500214354一起合并计算</t>
  </si>
  <si>
    <t>21802515</t>
  </si>
  <si>
    <t>4500214355-50</t>
  </si>
  <si>
    <t>日期码格式：ZURU INC(BVI) 标准格式                  日期：按实际生产日期
Packaging Info: 
77794UQ1:客版PDQ（翻单PO#4500197867）  + MA英语UPC版本包装（收缩膜和说明书, MA首选1L，如无1L可用多语且含英语的配套多语包装) +1张锂电池黑白警语书
纸 + 1张防盗贴纸 (贴纸以及位置图翻单PO#4500193539）+ 箱唛 + 外箱SSCC Label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10.所有带纽扣电池的产品都需要在产品包装以及说明书上贴纽扣电池警告语贴纸
此单需要与AU PO#4500214354一起合并计算</t>
  </si>
  <si>
    <t>21854125</t>
  </si>
  <si>
    <t>4500214355-70</t>
  </si>
  <si>
    <t>日期码格式：ZURU INC(BVI) 标准格式                  日期：按实际生产日期
Packaging Info:
77794UQ1:客版PDQ（翻单PO#4500197867）  + MA英语UPC版本包装（收缩膜和说明书, MA首选1L，如无1L可用多语且含英语的配套多语包装) +1张锂电池黑白警语书
纸 + 1张防盗贴纸 (贴纸以及位置图翻单PO#4500193539）+ 箱唛 + 外箱SSCC Label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10.所有带纽扣电池的产品都需要在产品包装以及说明书上贴纽扣电池警告语贴纸
此单需要与AU PO#4500214354一起合并计算</t>
  </si>
  <si>
    <t>4500215212-30</t>
  </si>
  <si>
    <t>欠进口商贴纸+WEEE带电池走货欧洲29L通用黑白说明书；</t>
  </si>
  <si>
    <t>日期码格式：ZURU INC(BVI) 标准格式 日期：按实际生产日期
Packaging Info: 
77794UQ1:最新MA 3L EAN包装+一张进口商贴纸+MA 说明书+WEEE带电池走货欧洲29L通用黑白说明书；
Remark: 1. 此单出西班牙，需满足EU测试标准要求，另外微塑料需符合EU法规；
2. 标准配比。
3.根据新电池法规（EU） 2023/1542，所有走欧洲市场的电子产品，都需要增加WEEE通用29L说明书（分带电池走货 跟不带电池走货两种），如工厂没有此文件，可
以找跟单提供。
4. 产品及包装需要印CE logo图标，包装需含有西班牙环保标 和care@zuru.com 邮箱地址， 另外，包装贴纸上面的警告语不可以覆盖西班牙警告语。QC同事请核
查，如有问题需和跟单确认。
5.纯毛绒玩具需要西班牙语言的洗涤说明；
6.LC条款，延迟出货有罚款，请工厂按时完货并及时验货；</t>
  </si>
  <si>
    <t>4500208248</t>
  </si>
  <si>
    <t>16464372</t>
  </si>
  <si>
    <t>4500208248-10</t>
  </si>
  <si>
    <r>
      <rPr>
        <sz val="11"/>
        <color rgb="FF000000"/>
        <rFont val="宋体"/>
        <charset val="134"/>
      </rPr>
      <t xml:space="preserve">日期码格式：ZURU INC(BVI) 标准格式 日期：按实际生产日期
Packaging Info: 1. 此为Kohl's ECOM 订单，
</t>
    </r>
    <r>
      <rPr>
        <sz val="11"/>
        <color rgb="FFFF0000"/>
        <rFont val="宋体"/>
        <charset val="134"/>
      </rPr>
      <t>77794UQ1，15783，15789，9565GQ1，92146TQ2，77843GQ1：MA UPC 包装 (首选1L)+ 客供外箱贴纸（外箱贴条码不可被覆盖）</t>
    </r>
    <r>
      <rPr>
        <sz val="11"/>
        <color rgb="FF000000"/>
        <rFont val="宋体"/>
        <charset val="134"/>
      </rPr>
      <t xml:space="preserve">
胶袋要求： 需要开孔，封口热封 （尺寸太大无法热封可用胶封，但运输过程不可散开），印警告语， 跟单提供警告语内容，胶袋尺寸和开孔数量请工厂按实际
产品尺寸来调整做货.
Remark:
2. 外箱印刷 ZURU LOGO + MADE IN CHINA + 定位框，尺寸4"x6" (用于黏贴外箱贴）
3. 无箱唛但需提供每款实际外箱尺寸排版确认定位框，ECOM 订单的定位框位置要在：箱子的最大面积朝上后，定位框在最小面的右下角，距离箱子右边3英寸，
距离底部1.25英寸，贴纸要按要求贴，位置与方向贴不对会有客户罚款，由工厂承担
外箱贴落在封箱面的：贴纸的条码是不可以落在箱子开口处以及折角处的， 这样都是会影响客人扫描导致罚款。 若有这样的情况需要和跟单沟通后再粘贴
4. 外箱毛重超过35LB/15.88KG 外箱四面需要加黄色超重 Team Lift 贴
5. 产品入箱后，外箱的每个面都需要是平整，不能有鼓起
6. 收到外箱贴纸需要扫描上传ICE系统（出货前必须完成），上传的条码信息必须跟实际出货一致，贴纸备品不需要扫描。如有不同产生的罚款由工厂承担。
7. 需经ZURU验货通过后才可出货。
8. 客户有严格要求，若由工厂导致的罚款ZURU 都会向工厂收回。</t>
    </r>
  </si>
  <si>
    <t>4500214249</t>
  </si>
  <si>
    <t>4500214249-10</t>
  </si>
  <si>
    <t>进口商内欠容贴纸+WEEE带电池走货欧洲29L通用黑白说明书</t>
  </si>
  <si>
    <t>日期码格式：ZURU  INC(BVI)  标准格式                                    日期：按实际生产日期
Packaging Info: 1.77794UQ1：最新MA  3L  EAN包装+一张进口商内容贴纸+MA  说明书+WEEE带电池走货欧洲29L通用黑白说明书+MA  3L  PDQ；
备注：77794UQ1的CRD复期是9/28，PO暂开到CRD9/15.
Remark: 1.  此单出西班牙，需满足EU测试标准要求，另外微塑料需符合EU法规；
   2.  标准配比。
3.根据新电池法规（EU）    2023/1542，所有走欧洲市场的电子产品，都需要增加WEEE通用29L说明书（分带电池走货  跟不带电池走货两种），如工厂没有此文件，可
以找跟单提供。
4.  产品及包装需要印CE  logo图标，包装需含有西班牙环保标  和care@zuru.com  邮箱地址，     另外，包装贴纸上面的警告语不可以覆盖西班牙警告语。QC同事请核
查，如有问题需和跟单确认。
5.纯毛绒玩具需要西班牙语言的洗涤说明；
6.LC条款，延迟出货有罚款，请工厂按时完货并及时验货；</t>
  </si>
  <si>
    <t>4500211255-10</t>
  </si>
  <si>
    <t>7/31进口商贴纸+UPC贴纸</t>
  </si>
  <si>
    <r>
      <rPr>
        <sz val="11"/>
        <color rgb="FF000000"/>
        <rFont val="宋体"/>
        <charset val="134"/>
      </rPr>
      <t>日期码格式：ZURU INC(BVI) 标准格式 日期：按实际生产日期
Packaging Info:</t>
    </r>
    <r>
      <rPr>
        <sz val="11"/>
        <color rgb="FFFF0000"/>
        <rFont val="宋体"/>
        <charset val="134"/>
      </rPr>
      <t xml:space="preserve"> 77794UQ1</t>
    </r>
    <r>
      <rPr>
        <sz val="11"/>
        <color rgb="FF000000"/>
        <rFont val="宋体"/>
        <charset val="134"/>
      </rPr>
      <t xml:space="preserve">: MA 多语包装+进口商贴纸+UPC贴纸+箱唛, </t>
    </r>
    <r>
      <rPr>
        <sz val="11"/>
        <color rgb="FFFF0000"/>
        <rFont val="宋体"/>
        <charset val="134"/>
      </rPr>
      <t>进口商贴纸/UPC翻单PO 4500200614</t>
    </r>
    <r>
      <rPr>
        <sz val="11"/>
        <color rgb="FF000000"/>
        <rFont val="宋体"/>
        <charset val="134"/>
      </rPr>
      <t xml:space="preserve">
Remark:</t>
    </r>
  </si>
  <si>
    <t>0983717990</t>
  </si>
  <si>
    <t>4500217086-10</t>
  </si>
  <si>
    <t>8/4RFID贴纸</t>
  </si>
  <si>
    <t>日期码格式：ZURU  INC(BVI) 标准格式                                    日期：按实际生产日期
Packaging Info: 77794UQ1-SLB-S001
1. 包装要求：
77794：MA  1L B版callout纸卡+MA  23L  玩法说明书+MA 23L 警告语说明书+MA 1L A版  PDQ
每pcs产品要贴一张RFID贴纸，RFID贴纸由ZURU提供，贴纸位置要严格按照客人签板
Remark: 2. 外箱印刷带条码的RFID箱唛：RFID紫色色带+WM Dept.图标+RFID图标+ITF-14条码，四面右下角印刷ZURU  logo, ITFF条码只印刷在正唛一面，在加印的时候确保
条形码能扫描出来，一张锂电池贴纸贴在有条码的正唛上，外箱侧面任一角落加印："MADE IN CHINA" 字样；箱唛翻单：4500196335
  3. 每个slip  sheet上面贴一张艾利贴纸（不干胶贴纸）和一张普通贴纸（A4纸），slip  sheet打印的普通贴纸的尺寸不能比艾利贴纸小，普通贴纸内容见附件；
  4. 在产品上和包装上要有日期码、以及要有MADE IN CHINA和ZURU字样；
  5. 产品如有扎带口要剪平，不能刮手。
  6. 此单需要验货，请多备料
  7. 此单以slip  sheet出货，77794：512pcs/64CTN/Slip  sheet</t>
  </si>
  <si>
    <t>0983718045</t>
  </si>
  <si>
    <t>4500217086-20</t>
  </si>
  <si>
    <t>0983718102</t>
  </si>
  <si>
    <t>4500217086-30</t>
  </si>
  <si>
    <t>0983717952</t>
  </si>
  <si>
    <t>4500217086-40</t>
  </si>
  <si>
    <t>DIRK  ROSSMANN  GMBH</t>
  </si>
  <si>
    <t>4500210717-100</t>
  </si>
  <si>
    <t>EAN 条码贴纸+德语callout警语贴纸+MA23L 玩法说明书/锂电池说明书/警语说明书+欧洲通用29L WEEE说明书(带电池)所有资料翻单#45
00204869</t>
  </si>
  <si>
    <t>日期码格式：ZURU  INC(BVI)  标准格式                                    日期：按实际生产日期
Packaging Info: 
77794:  最新MA  1L  UPC彩盒+EAN  条码贴纸+德语callout警语贴纸+MA23L  玩法说明书/锂电池说明书/警语说明书+欧洲通用29L  WEEE说明书(带电池)所有资料翻单#45
00204869
Remark: 1.  出口欧洲，微塑料需符合法规，电池符合欧洲法规要求(如有)
   2.  此客户要求：化学品无硼无香。
   3.  外箱上下需加保护卡，以防开箱时产品被划破。（保护卡需要时整面）
   4.  此单在出货前4周提供大货样品给Rossmann德国客人安排第三方验货。    请备额外物料。
   5.  此单需要第三方验货，验货时间为完货后第二天，验货OK待客人放货后才能安排走货。
6.  所有包装材料都需要用PET材质。
   7.  每箱需要放一包干燥剂（不能是silicon)  。品牌SUPER  DRY，规格：10g/pc  。
   8.  外箱需要是5层瓦楞纸，厚度在5-9mm。
   9.  此单出德国，需包含德语警语。
   10.  标准配比
   11.  所有出往GAS市场(德国/奥地利/瑞士)的电子产品身上需要加字唛，为ZURU  FRANCE  地址，需跟包装上的地址一致  (如无电子产品，产品布标有此地址，或产品
太小无法增加可忽略此信息。如产品无法加字唛，需让对应跟单提供产品贴纸资料)
新地址：ZURU  France  33  rue  Paul  Meurice  75020  Paris,  France
旧地址：ZURU  France  1/3,  Rue  d'Argenteuil  95210  SAINT-GRATIEN,  FRANCE
12.  所有出往GAS市场(德国/奥地利/瑞士)的电子产品需增加一张欧洲通用WEEE声明说明书，区分带电池和不带电池版本,  如已做客版说明书可忽略此要求。</t>
  </si>
  <si>
    <t>Shirley  Zhou</t>
  </si>
  <si>
    <t>0007603311665</t>
  </si>
  <si>
    <t>AG260175-TW</t>
  </si>
  <si>
    <t>4500216653-10</t>
  </si>
  <si>
    <t>10001792882-3891</t>
  </si>
  <si>
    <t>4500218110-30</t>
  </si>
  <si>
    <t>日期码格式：ZURU  INC(BVI) 标准格式                                    日期：按实际生产日期
Packaging Info: 
77794UQ1：产品包装  MA 23L黑白警告语说明书+MA 1L 彩盒+MA 1L PDQ
Remark:
77794UQ1：
1.77794UQ1-S002-MINI BRANDS-VINYL-PLAYSET-SERIES 1-CUBE,8PCS/PDQ,8PCS/PDQ/CTN;
  2. 产品包装  MA 23L黑白警告语说明书+MA  1L 彩盒+MA 1L PDQ; 彩盒上的UPC显示193052090409;
  3. 外箱正唛左上角位置粘贴条码箱贴纸，每箱只贴一张，由ZURU订购。来料贴纸上显示的客户DPCI#  086-02-4085, UPC显示10193052090406;
  4. 带锂电池出货，需在外箱正面或者侧面合适位置上加贴一张贴锂电池标签纸，由工厂订购；
以上Items：
  1. 产品和包装上印刷  tracking  code信息，格式为ZURU常规格式;
  2. 出货方式：货代自提</t>
  </si>
  <si>
    <t>4500216642-20</t>
  </si>
  <si>
    <t>欠进口商贴纸。</t>
  </si>
  <si>
    <t>客版AR说明书4500216640</t>
  </si>
  <si>
    <r>
      <rPr>
        <sz val="11"/>
        <color rgb="FF000000"/>
        <rFont val="宋体"/>
        <charset val="134"/>
      </rPr>
      <t xml:space="preserve">日期码格式：ZURU INC(BVI) 标准格式 日期：按实际生产日期 Tracking Code:
Packaging Info: 出KSA, 包装不能有希伯来语（HE)
 77794UQ1: 客版PDQ（含客户进口商信息）, 客版outer tray， 客版AR说明书， 透明罩上加一张进口商贴纸。全部AW翻单4500216614。
Remark:
 </t>
    </r>
    <r>
      <rPr>
        <sz val="11"/>
        <color rgb="FFFF0000"/>
        <rFont val="宋体"/>
        <charset val="134"/>
      </rPr>
      <t>77794UQ1: vinyl change:Ordinary - Alex Warren</t>
    </r>
  </si>
  <si>
    <t>4500216640-280</t>
  </si>
  <si>
    <t>77794UQ1-S001-PRODCC</t>
  </si>
  <si>
    <r>
      <rPr>
        <sz val="11"/>
        <color rgb="FF000000"/>
        <rFont val="宋体"/>
        <charset val="134"/>
      </rPr>
      <t xml:space="preserve">日期码格式：ZURU INC(BVI) 标准格式 日期：按实际生产日期
Packaging Info: 出QATAR, 包装不能有希伯来语（HE)
77794UQ1: 客版PDQ（含客户进口商信息）, 客版outer tray， 客版AR说明书， 透明罩上加一张进口商贴纸。全部翻单4500216614
Remark: 
</t>
    </r>
    <r>
      <rPr>
        <sz val="11"/>
        <color rgb="FFFF0000"/>
        <rFont val="宋体"/>
        <charset val="134"/>
      </rPr>
      <t>77794UQ1: vinyl change:Ordinary - Alex Warren</t>
    </r>
  </si>
  <si>
    <t>4500216614-280</t>
  </si>
  <si>
    <t>客版AR说明书</t>
  </si>
  <si>
    <r>
      <rPr>
        <sz val="11"/>
        <color rgb="FF000000"/>
        <rFont val="宋体"/>
        <charset val="134"/>
      </rPr>
      <t xml:space="preserve">日期码格式：ZURU INC(BVI) 标准格式 日期：按实际生产日期
Packaging Info: 出UAE, 包装不能有希伯来语（HE)
需寄出两大货版到SZ办公室
77794UQ1: 客版PDQ（含客户进口商信息）, 客版outer tray， 客版AR说明书， 透明罩上加一张进口商贴纸。
Remark:
</t>
    </r>
    <r>
      <rPr>
        <sz val="11"/>
        <color rgb="FFFF0000"/>
        <rFont val="宋体"/>
        <charset val="134"/>
      </rPr>
      <t>77794UQ1: vinyl change:Ordinary - Alex Warren</t>
    </r>
  </si>
  <si>
    <t>10001884821-0581</t>
  </si>
  <si>
    <t>4500218115-10</t>
  </si>
  <si>
    <t>日期码格式：ZURU  INC(BVI) 标准格式                                    日期：按实际生产日期
Packaging Info: 产品包装  MA 23L黑白警告语说明书+MA 1L 彩盒+MA 1L PDQ
Remark: 1.77794UQ1-S002-MINI BRANDS-VINYL-PLAYSET-SERIES 1-CUBE,8PCS/PDQ,8PCS/PDQ/CTN;
  2. 产品包装  MA 23L黑白警告语说明书+MA  1L 彩盒+MA 1L PDQ; 彩盒上的UPC显示193052090409;
  3. 外箱正唛左上角位置粘贴条码箱贴纸，每箱只贴一张，由ZURU订购。来料贴纸上显示的客户DPCI#  086-02-4085, UPC显示10193052090406;
  4. 带锂电池出货，需在外箱正面或者侧面合适位置上加贴一张贴锂电池标签纸，由工厂订购；
  5. 产品和包装上印刷  tracking  code信息，格式为ZURU常规格式;
  6. 出货方式：货代自提</t>
  </si>
  <si>
    <t>10001927291-0581</t>
  </si>
  <si>
    <t>4500218116-10</t>
  </si>
  <si>
    <t>日期码格式：ZURU  INC(BVI) 标准格式                                    日期：按实际生产日期
Packaging Info: 产品包装  MA 23L黑白警告语说明书+MA 1L 彩盒+MA 1L PDQ
Remark: 此单为空运订单
1.77794UQ1-S002-MINI BRANDS-VINYL-PLAYSET-SERIES 1-CUBE,8PCS/PDQ,8PCS/PDQ/CTN;
  2. 产品包装  MA 23L黑白警告语说明书+MA  1L 彩盒+MA 1L PDQ; 彩盒上的UPC显示193052090409;
  3. 外箱正唛左上角位置粘贴条码箱贴纸，每箱只贴一张，由ZURU订购。来料贴纸上显示的客户DPCI#  086-02-4085, UPC显示10193052090406;
  4. 带锂电池出货，需在外箱正面或者侧面合适位置上加贴一张贴锂电池标签纸，由工厂订购；
  5. 产品和包装上印刷  tracking  code信息，格式为ZURU常规格式;
  6. 出货方式：货代自提</t>
  </si>
  <si>
    <t>10002005046-0581</t>
  </si>
  <si>
    <t>4500216605-10</t>
  </si>
  <si>
    <t>4500216739-70</t>
  </si>
  <si>
    <t>MO20260622-20</t>
  </si>
  <si>
    <t>4500216877-20</t>
  </si>
  <si>
    <t>日期码格式：ZURU  INC(BVI)  标准格式                                    日期：按实际生产日期
Packaging Info: 1.优先多语  MA  UPC或者3L/5L  MA  EAN  包装
2.请确保包装上的条形码是UPC，如果是babyUPC、需要用mother  UPC覆盖，如有不一致，请及时提出。谢谢!
3  .MA  PDQ  优先用3L,MA  只有1L版本的情况下就用1L  PDQ
77794UQ1  MA多语EAN包装+UPC贴纸+MA  多语说明书+MA多语收藏指南+MA  多语PDQ  +箱唛
Remark:
77794UQ1  RECHARGEABLE  LITHIUM  BATTERY(INCLUDED)</t>
  </si>
  <si>
    <t>4500216898-70</t>
  </si>
  <si>
    <t>日期码格式：ZURU  INC(BVI)  标准格式                                    日期：按实际生产日期
Packaging Info: 1.优先多语  MA  UPC或者3L/5L  MA  EAN  包装
2.请确保包装上的条形码是UPC，如果是babyUPC、需要用mother  UPC覆盖，如有不一致，请及时提出。谢谢!
77794UQ1 MA多语EAN包装+UPC贴纸+MA  多语说明书+MA多语收藏指南+MA
Remark: 
77794UQ1  RECHARGEABLE  LITHIUM  BATTERY(INCLUDED)</t>
  </si>
  <si>
    <t>WHITCOULLS  2011  LIMITED</t>
  </si>
  <si>
    <t>4500218858-10</t>
  </si>
  <si>
    <t>日期码格式：ZURU  INC(BVI)  标准格式                                    日期：按实际生产日期
Packaging Info: MA  UPC英语包装（优先1L英语版本,或者3L/L含英语即可）+可移动材质的价格贴纸（价格贴纸要切易撕线）
Remark: 1.此单出新西兰
    2.CRD日期基于我司  QC完成验货;
    3.请确保发货100%的订单数量/  sku;
    4.箱唛请按邮件确认的文档
    5.我司验货日期(请联系Mia  Yu  Mia.yu@zuru.com提前预定验货日期)，预约验货至少需在完货日期前一周申请
    6.  产品/彩盒/外箱上的batch  code请保持一致
外箱日期码格式："ZURU+实际生产地址缩写+生产日期+CHINA”</t>
  </si>
  <si>
    <r>
      <rPr>
        <sz val="11"/>
        <color rgb="FF000000"/>
        <rFont val="宋体"/>
        <charset val="134"/>
      </rPr>
      <t>Jess</t>
    </r>
    <r>
      <rPr>
        <sz val="11"/>
        <color rgb="FF000000"/>
        <rFont val="宋体"/>
        <charset val="134"/>
        <scheme val="minor"/>
      </rPr>
      <t xml:space="preserve">  </t>
    </r>
    <r>
      <rPr>
        <sz val="11"/>
        <color rgb="FF000000"/>
        <rFont val="宋体"/>
        <charset val="134"/>
        <scheme val="minor"/>
      </rPr>
      <t>Huang</t>
    </r>
  </si>
  <si>
    <t>20260429-597758</t>
  </si>
  <si>
    <t>4500216128-110</t>
  </si>
  <si>
    <t>77794UQ1-S002-PKC</t>
  </si>
  <si>
    <t>D版29L含电池出货版本WEEE说明书+锂电池欧洲澳新 62115警语--单独说明书, 外箱需要加UN3481的贴纸，贴于正唛其中一面右上角</t>
  </si>
  <si>
    <r>
      <rPr>
        <sz val="11"/>
        <color rgb="FF000000"/>
        <rFont val="宋体"/>
        <charset val="134"/>
      </rPr>
      <t xml:space="preserve">日期码格式：ZURU INC(BVI) 标准格式 日期：按实际生产日期 Tracking Code:
Packaging Info: 
 【行项目120】
 </t>
    </r>
    <r>
      <rPr>
        <sz val="11"/>
        <color rgb="FFFF0000"/>
        <rFont val="宋体"/>
        <charset val="134"/>
      </rPr>
      <t>77794UQ1</t>
    </r>
    <r>
      <rPr>
        <sz val="11"/>
        <color rgb="FF000000"/>
        <rFont val="宋体"/>
        <charset val="134"/>
      </rPr>
      <t>：MA B版1L UPC版本+D版29L含电池出货版本WEEE说明书+锂电池欧洲澳新 62115警语--单独说明书, 外箱需要加UN3481的贴纸，贴于正唛其中一面右上角
PDQ上面需要加上地址贴纸，</t>
    </r>
    <r>
      <rPr>
        <sz val="11"/>
        <color rgb="FFFF0000"/>
        <rFont val="宋体"/>
        <charset val="134"/>
      </rPr>
      <t>且PDQ需要套1个PE胶袋后再入外箱，避免产品从PDQ上掉出，PE胶袋需打透气孔，印警告语</t>
    </r>
    <r>
      <rPr>
        <sz val="11"/>
        <color rgb="FF000000"/>
        <rFont val="宋体"/>
        <charset val="134"/>
      </rPr>
      <t xml:space="preserve">
 --------------------
 【行项目210】
 15756UQ1:MA最新UPC版本配套包装,PDQ上面需要加上地址贴纸(或用带地址的最新版本PDQ则无需加地址贴纸）
 ，且PDQ需要套1个PE胶袋后再入外箱，避免产品从PDQ上掉出，PE胶袋需打透气孔，印警告语
Remark: MA版本按工厂现有最新库存即可，订单出英国，请注意检查产品及包装应带UKCA以及CE图标，包装显示ZURU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*所有产品按符合欧洲标准走货，需要是不含微塑料版本 。
 *涉及到硼的，如可选择情况下应使用低硼版本 （slime 类别低硼一般低于300ppm)，无选择的应与跟单复核再安排 。
 *如果出运产品属于电子类产品需要在ZURU 包装基础上额外添加一张ZURU 标准29L通用WEEE 电子产品说明书,带电池出货的加带电池出货版本通用29L的说明书，不
 带电池出货的产品用不带电池出货版本的说明书.</t>
    </r>
  </si>
  <si>
    <t>4500217585-60</t>
  </si>
  <si>
    <t>5510075779</t>
  </si>
  <si>
    <t>消耗此单4500197501数量1920PCS；消耗4500197501的物料和外箱（注意水贴纸更新PO和箱号）</t>
  </si>
  <si>
    <t>4500218890-10</t>
  </si>
  <si>
    <t>欠外箱贴纸+进口商贴纸+UPC贴纸</t>
  </si>
  <si>
    <t>产品/包装都要贴1张进口商贴纸</t>
  </si>
  <si>
    <t>日期码格式：ZURU  INC(BVI)  标准格式                                    日期：按实际生产日期
Packaging Info: 77794UQ1:MA  多语包装+MA  多语说明书+外箱贴纸+保证书+进口商贴纸+UPC贴纸+箱唛，产品/包装都要贴1张进口商贴纸
Remark: 1.此单有第三方监柜，需要每款多备1套完整物料
2.外箱贴纸只要一张，位置是正唛和侧唛的交接处，外箱贴纸上的客户PO号码是客户系统自动生成，会跟45单号的客户PO不一致，确认没问题
3.订单包装上的条码必须是UPC，后续提供的贴纸文档将进口商贴纸和UPC贴纸合并为一张，则可以忽略UPC文档的需求</t>
  </si>
  <si>
    <r>
      <rPr>
        <sz val="11"/>
        <color rgb="FF000000"/>
        <rFont val="宋体"/>
        <charset val="134"/>
      </rPr>
      <t>Ava</t>
    </r>
    <r>
      <rPr>
        <sz val="11"/>
        <color rgb="FF000000"/>
        <rFont val="宋体"/>
        <charset val="134"/>
        <scheme val="minor"/>
      </rPr>
      <t xml:space="preserve">  </t>
    </r>
    <r>
      <rPr>
        <sz val="11"/>
        <color rgb="FF000000"/>
        <rFont val="宋体"/>
        <charset val="134"/>
        <scheme val="minor"/>
      </rPr>
      <t>Liang</t>
    </r>
  </si>
  <si>
    <t>4500210728-10</t>
  </si>
  <si>
    <t>日期码格式：ZURU INC(BVI) 标准格式                  日期：按实际生产日期
Packaging Info: #77794
MA3LPDQ(8装)+MA3L彩盒+UPC贴纸(UPC:193052090409)+MA23L说明书+MA23L警告语说明书
翻单：4500195369
Remark: 1. 此单有箱唛;
 2. UPC贴纸：必须在原来错误的条码上用黑色粗头笔涂黑直至不能扫描，再贴上正确的UPC;
 3. 此单有第三方验货，烦请多备包装物料；
 4. #77794带锂电池出货，使用英法双语电池，外箱需在正唛空白位置贴一张UN3481锂电池标识贴纸(带电话号码)；
 *********************
a. 请确保产品符合1999年版本的加拿大环境保护法(CEPA)和2012年禁止某些有毒物质法规的要求。该产品不含任何在加拿大禁用的化学物质，包括但不限于有毒物
质清单中列出的化学物质，并且在为加拿大沃尔玛生产产品期间没有使用任何禁用化学物质。
Supplier certify that the products comply with the requirements of Canadian Environmental Protection Act, 1999 (CEPA), Prohibition of Certain To
xic Substances Regulations, 2012.
The products do not contain any chemicals that are banned in Canada, including but not limited to those listed in the Toxic Substances List and
no banned chemicals were used during the manufacturing of product for Walmart Canada.
附件列表：
(1) Letter of Guarantee for Canada banned chemicals - (1-5CA)
b. 请确保产品在均质材料中的汞浓度不超过0.1%（按重量计）。
Supplier certify that the WAL-MART vendor products does not have a mercury concentration of more than 0.1% by weight in homogeneous material.
附件列表：
(1) Letter of Guarantee for Mercury COC
c. 请确保产品的塑料材料不含以下物质（SOR 2011-17 27B):
Supplier certify that the plastic materials do not contain the following substances(SOR 2011-17 27B):
(a) carbon tetrachloride or any substance that contains it;
(b) methyl alcohol or any substance thay contains &gt;1.0%;
 (c) petroleum distillates or any substance that contains &gt;10% weight to volume of petroleum distillates;
 (d) benzene;
(e) turpentine or any substance that contains &gt;10% weight to volume of turpentine;
(f) boric acid or salts of boric acid; or (g) ethyl ether.
附件列表：
(1) Letter of Guarantee for WM CA-Other prohibited substances in plastic(less than 3 years)</t>
  </si>
  <si>
    <t>0983718081</t>
  </si>
  <si>
    <t>4500217088-10</t>
  </si>
  <si>
    <t>日期码格式：ZURU  INC(BVI) 标准格式                                    日期：按实际生产日期
Packaging Info: 77794UQ1-SLB-S001
1. 包装要求：
77794：MA  1L B版callout纸卡+MA  23L  玩法说明书+MA 23L 警告语说明书+MA 1L A版  PDQ
每pcs产品要贴一张RFID贴纸，RFID贴纸由ZURU提供，贴纸位置要严格按照客人签板
Remark: 2. 外箱印刷带条码的RFID箱唛：RFID紫色色带+WM Dept.图标+RFID图标+ITF-14条码，四面右下角印刷ZURU  logo, ITFF条码只印刷在正唛一面，在加印的时候确保
条形码能扫描出来，一张锂电池贴纸贴在有条码的正唛上，外箱侧面任一角落加印："MADE IN CHINA" 字样；箱唛翻单：4500196335
3. 每个slip  sheet上面贴一张艾利贴纸（不干胶贴纸）和一张普通贴纸（A4纸），slip  sheet打印的普通贴纸的尺寸不能比艾利贴纸小，普通贴纸内容见附件；
  4. 在产品上和包装上要有日期码、以及要有MADE IN CHINA和ZURU字样；
  5. 产品如有扎带口要剪平，不能刮手。
  6. 此单需要验货，请多备料
7. 此单以slip  sheet出货，77794：512pcs/64CTN/Slip  sheet</t>
  </si>
  <si>
    <t>4500216785-10</t>
  </si>
  <si>
    <t>8/7价格贴纸+外箱条码贴纸*2</t>
  </si>
  <si>
    <t>4500218605</t>
  </si>
  <si>
    <t>4500218605-10</t>
  </si>
  <si>
    <t>4500219109-10</t>
  </si>
  <si>
    <t>日期码格式：ZURU  INC(BVI)  标准格式                                    日期：按实际生产日期
Packaging Info: #77794:  MA  UPC版包装(1L或3L都可,3L要加UPC条码)，出口美国。
Remark: 1.TikTok  US订单。出口美国。外箱尺寸不能超过26*26*26"  ，不符合要求的大货， 一律不接受。
2.无第三方验货/测试要求。
3. 日期码使用ZURU标准版本。
4.如果大货有要求入邮包盒，则对应的邮包盒上面要打上日期码。</t>
  </si>
  <si>
    <t>10001792881-3890</t>
  </si>
  <si>
    <t>4500218113-20</t>
  </si>
  <si>
    <t>4500217107-20</t>
  </si>
  <si>
    <t>8/4年龄贴纸</t>
  </si>
  <si>
    <t xml:space="preserve">日期码格式：ZURU  INC(BVI) 标准格式                                    日期：按实际生产日期
Packaging Info: MA UPC  1L PKG+Sticker, 日语贴纸，    年龄贴纸,  待提供贴纸资料;
所有款客人改成6+出货,所有体现年龄信息的包材均需增加年龄贴纸更新为6+,请同时复核包装,哪些需要加年龄贴纸;
  1 .出日本，按日本要求生产
  2 .需提供装柜图片。
  3.待客户确认是否需寄板做QC  check, 请多备料。装柜前需填回QC  check form  给客户approval 后才能出货。
Remark: </t>
  </si>
  <si>
    <t>MO20260622-30</t>
  </si>
  <si>
    <t>0983718041</t>
  </si>
  <si>
    <t>4500217089-10</t>
  </si>
  <si>
    <t>0045380684</t>
  </si>
  <si>
    <t>4500213080-20</t>
  </si>
  <si>
    <t>4500214573</t>
  </si>
  <si>
    <t>4500214573-30</t>
  </si>
  <si>
    <r>
      <rPr>
        <sz val="11"/>
        <color rgb="FF000000"/>
        <rFont val="宋体"/>
        <charset val="134"/>
      </rPr>
      <t>日期码格式：ZURU INC(BVI) 标准格式 日期：按实际生产日期
Packaging Info:
77794UQ1:MA B版1L UPC版本+D版29L含电池出货版本WEEE说明书+欧洲澳新通用Warning instruction, 外箱需要加UN3481的贴纸，贴于正唛其中一面右上角,</t>
    </r>
    <r>
      <rPr>
        <sz val="11"/>
        <color rgb="FFFF0000"/>
        <rFont val="宋体"/>
        <charset val="134"/>
      </rPr>
      <t>PDQ上需
加地址贴纸（如已经收到更新的PDQ AW请用更新的AW文件做货，无需另外加贴纸）</t>
    </r>
    <r>
      <rPr>
        <sz val="11"/>
        <color rgb="FF000000"/>
        <rFont val="宋体"/>
        <charset val="134"/>
      </rPr>
      <t xml:space="preserve">
Remark: MA版本按工厂现有最新库存即可，订单出英国，请注意检查产品及包装应带UKCA以及CE图标，包装显示ZURU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*所有产品按符合欧洲标准走货，需要是不含微塑料版本 。
*涉及到硼的，如可选择情况下应使用低硼版本 （slime 类别低硼一般低于300ppm)，无选择的应与跟单复核再安排 。
*如果出运产品属于电子类产品需要在ZURU 包装基础上额外添加一张ZURU 标准29L通用WEEE 电子产品说明书,带电池出货的加带电池出货版本通用29L的说明书，不
带电池出货的产品用不带电池出货版本的说明书.
*根据客人最新的包装要求，所有多个PDQ盒子(TQ,UQ,GQ）入1外箱的都需要在PDQ顶部右上角加上数量贴纸标明里面的数量。最小字体：36pts, 字体：Calibri（bo
ld), 具体要求以及位置见文件.
*订单对应客户PO号 ，备注有显示 ，注意分开做货/验货/装柜 ，混装有罚款。
* 大货样： 新款请在CRD前10天寄出每款2整套大货样到罗湖办公室7B Meyya Liu 收，翻单不用寄。</t>
    </r>
  </si>
  <si>
    <t>4 KIDZ  POLSKA SP. Z  OO</t>
  </si>
  <si>
    <t>4500217619</t>
  </si>
  <si>
    <t>MQ06-77794UQ2-S001</t>
  </si>
  <si>
    <r>
      <rPr>
        <sz val="11"/>
        <color rgb="FF000000"/>
        <rFont val="宋体"/>
        <charset val="134"/>
      </rPr>
      <t>日期码格式：ZURU INC(BVI) 标准格式 日期：按实际生产日期 Tracking Code:
Packaging Info: 混箱母件MQ06总共3个PDQ入一箱 (含1个77794GQ4+2个77772UQX)
77794GQ4：客版收缩膜(含客户进口商信息,条码为193052090409)+客版1LPDQ+MA23L锂电池说明+MA23L说明书+WEEE D版29L_带电池走货声明书
77772UQX：客版收缩膜(含客户进口商信息,条码为193052090065)+客版1LPDQ+MA5L收藏指南+MA23L说明书+WEEE 版29L_不电池走货声明书
Remark: 1. 请备多1套大货样品；
 2. 此票大货需符合EU市场法规；
 3. 此票零售包装使用UPC条码, 外箱使用EAN条码</t>
    </r>
    <r>
      <rPr>
        <sz val="11"/>
        <color rgb="FFFF0000"/>
        <rFont val="宋体"/>
        <charset val="134"/>
      </rPr>
      <t>5905817266166；</t>
    </r>
  </si>
  <si>
    <t>MQ06-77794-S001</t>
  </si>
  <si>
    <r>
      <rPr>
        <sz val="11"/>
        <color rgb="FF000000"/>
        <rFont val="宋体"/>
        <charset val="134"/>
      </rPr>
      <t>HARVEY</t>
    </r>
    <r>
      <rPr>
        <sz val="11"/>
        <color rgb="FF000000"/>
        <rFont val="宋体"/>
        <charset val="134"/>
        <scheme val="minor"/>
      </rPr>
      <t xml:space="preserve">  </t>
    </r>
    <r>
      <rPr>
        <sz val="11"/>
        <color rgb="FF000000"/>
        <rFont val="宋体"/>
        <charset val="134"/>
        <scheme val="minor"/>
      </rPr>
      <t>WHOLESALE</t>
    </r>
    <r>
      <rPr>
        <sz val="11"/>
        <color rgb="FF000000"/>
        <rFont val="宋体"/>
        <charset val="134"/>
        <scheme val="minor"/>
      </rPr>
      <t xml:space="preserve">  </t>
    </r>
    <r>
      <rPr>
        <sz val="11"/>
        <color rgb="FF000000"/>
        <rFont val="宋体"/>
        <charset val="134"/>
        <scheme val="minor"/>
      </rPr>
      <t>LTD</t>
    </r>
  </si>
  <si>
    <t>4500219625</t>
  </si>
  <si>
    <t>3118</t>
  </si>
  <si>
    <t>4500219625-10</t>
  </si>
  <si>
    <t>日期码格式：ZURU  INC(BVI)  标准格式                                    日期：按实际生产日期
Packaging Info: 77794UQ1:MA  UPC  英语包装（优先1L英语版本，或者3L/5L含英语都可    +箱唛+  1张MA锂电池黑白警语书纸）
Remark: 此单出口澳大利亚/新西兰,  请按澳新标准生产.  如产品含纽扣电池出货,  包装前面和说明书上需加纽扣电池警语贴纸。</t>
  </si>
  <si>
    <r>
      <rPr>
        <sz val="11"/>
        <color rgb="FF000000"/>
        <rFont val="宋体"/>
        <charset val="134"/>
      </rPr>
      <t>Ivy</t>
    </r>
    <r>
      <rPr>
        <sz val="11"/>
        <color rgb="FF000000"/>
        <rFont val="宋体"/>
        <charset val="134"/>
        <scheme val="minor"/>
      </rPr>
      <t xml:space="preserve">  </t>
    </r>
    <r>
      <rPr>
        <sz val="11"/>
        <color rgb="FF000000"/>
        <rFont val="宋体"/>
        <charset val="134"/>
        <scheme val="minor"/>
      </rPr>
      <t>Li</t>
    </r>
  </si>
  <si>
    <t>4500214361</t>
  </si>
  <si>
    <t>21785629</t>
  </si>
  <si>
    <r>
      <rPr>
        <sz val="11"/>
        <color rgb="FF000000"/>
        <rFont val="宋体"/>
        <charset val="134"/>
      </rPr>
      <t xml:space="preserve">日期码格式：ZURU INC(BVI) 标准格式 日期：按实际生产日期
Packaging Info: 77869：客制 3L UPC 彩盒包装 (彩盒翻单PO#4500202802)+ 箱唛 + 外箱贴纸SSCC Label
子件77772: </t>
    </r>
    <r>
      <rPr>
        <sz val="11"/>
        <color rgb="FFFF0000"/>
        <rFont val="宋体"/>
        <charset val="134"/>
      </rPr>
      <t>1L 客版英语无条码收缩膜（翻单PO#4500208581）+B版客制收藏指南-删除两张唱片""Messy &lt;(&gt;&amp;&lt;)&gt; Delicious"增加了新唱片""Sweet caroline"（收藏指南翻单PO#4500202802）</t>
    </r>
    <r>
      <rPr>
        <sz val="11"/>
        <color rgb="FF000000"/>
        <rFont val="宋体"/>
        <charset val="134"/>
      </rPr>
      <t xml:space="preserve">
子件77794: MA英语UPC版本包装（收缩膜和说明书, MA首选1L，如无1L可用多语且含英语的配套多语包装) +1张MA锂电池黑白警语书纸（书纸翻单PO#4500193539）
2PK 77772( remove Messy &lt;(&gt;&amp;&lt;)&gt; Delicious vinyl minis) + 77794 PLAYSET COMBO IN COLOR BOX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10.所有带纽扣电池的产品都需要在产品包装以及说明书上贴纽扣电池警告语贴纸
此单需要与AU PO#4500214359一起合并计算</t>
    </r>
  </si>
  <si>
    <t>4500214359</t>
  </si>
  <si>
    <t>21785628</t>
  </si>
  <si>
    <r>
      <rPr>
        <sz val="11"/>
        <color rgb="FF000000"/>
        <rFont val="宋体"/>
        <charset val="134"/>
      </rPr>
      <t>日期码格式：ZURU INC(BVI) 标准格式 日期：按实际生产日期 Tracking Code:
Packaging Info: 77869：客制 3L UPC 彩盒包装 (彩盒翻单PO#4500202802)+ 箱唛 + 外箱贴纸SSCC Label
 子件77772:</t>
    </r>
    <r>
      <rPr>
        <sz val="11"/>
        <color rgb="FFFF0000"/>
        <rFont val="宋体"/>
        <charset val="134"/>
      </rPr>
      <t xml:space="preserve"> 1L 客版英语无条码收缩膜（翻单PO#4500208581）</t>
    </r>
    <r>
      <rPr>
        <sz val="11"/>
        <color rgb="FF000000"/>
        <rFont val="宋体"/>
        <charset val="134"/>
      </rPr>
      <t>+B版客制收藏指南</t>
    </r>
    <r>
      <rPr>
        <sz val="11"/>
        <color rgb="FFFF0000"/>
        <rFont val="宋体"/>
        <charset val="134"/>
      </rPr>
      <t>-删除两张唱片""Messy &lt;(&gt;&amp;&lt;)&gt; Delicious"增加了新唱片""Sweet caroline"（</t>
    </r>
    <r>
      <rPr>
        <sz val="11"/>
        <color rgb="FF000000"/>
        <rFont val="宋体"/>
        <charset val="134"/>
      </rPr>
      <t>收藏指南翻单PO#4500202802）
 子件77794: MA英语UPC版本包装（收缩膜和说明书, MA首选1L，如无1L可用多语且含英语的配套多语包装) +1张MA锂电池黑白警语书纸（书纸翻单PO#4500193539）
 2PK 77772( remove Messy &lt;(&gt;&amp;&lt;)&gt; Delicious vinyl minis) + 77794 PLAYSET COMBO IN COLOR BOX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10.所有带纽扣电池的产品都需要在产品包装以及说明书上贴纽扣电池警告语贴纸
 此单需要与NZ PO#4500214361一起合并计算</t>
    </r>
  </si>
  <si>
    <t>4500214681-20</t>
  </si>
  <si>
    <t>4500218137-20</t>
  </si>
  <si>
    <t>多语警语折叠贴纸（含意</t>
  </si>
  <si>
    <t>日期码格式：ZURU  INC(BVI) 标准格式                                    日期：按实际生产日期
Packaging Info:【行项目60】
77794UQ1：最新MA 3L    （3L warning）EAN彩盒  +  MA23L  电池warning说明书+MA23L  电池使用说明书+  MA23L产品使用说明书+ MA3L PDQ + 多语警语折叠贴纸（含意
大利环保标）（翻4500193875）
Remark: 1. 法国国家内销单，需要通过ZURU  验货结果后才能出货  (工厂需要主动提前同ZURU QC预约验货避免延期出货造成不必要麻烦)；
  2. 本订单所有  具有  baby items /  assorted  items  的款式，零售包装上都要用  母  EAN; 所有订单出口西班牙都需要有法国环保标和法国警语。
  3. 若有特定款有特殊外箱条码要求时,需要明确列出产品款对应的具体外箱条码号码/条码类型  (若无,可以忽略此需求)
  4. 所有出口欧洲的产品, 法规规定禁止在包装和共公众用的印刷品中使用矿物油中含有的物质,  包装印刷油墨中含有的MOAH/MOSH的质量浓度不能超过1%, 否则出
货到法国被抽检出现问题,  供应商需要对此负责;
  5. Date  code: 外箱/产品/包装  保持一致，完货后提供date  code  信息以便我们保存记录做批次管理; 包含DEMO或者Demo BOX的产品外箱请都统一增加向上标示，
以防倒置造成产品移位或损坏，demo box外箱需要增加‘Contains Demo  Box. Non-Saleable Unit’。
  6.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7，    带电池产品都需要包含最新29LWEEE黑白说明书(带电池出货/不带电池出货)。产品里如果含干燥剂，请附上干燥剂14L说明书。
  8，MTS所有订单，SMASHERS 或含Slime产品，所有化合物使用低硼版本出；BOB系列要符合欧洲要求不含亚硝酸版本; XShot Hyper系列，统一出EN71版本; Slime M
  art统一用EUR版本的包装。#17601需要出NS版本。
  9. 产品出法国，包装或外箱所用的纸板含有超过  50%  的再生材料。
  10. 电池产品请确保使用新说明书以及新标识的电池以符合最新(EU) 2023/1542法规    （增加制造商信息，电池种类，制造商地址，电池重量，化学组成，可用的灭
火器，浓度重量占比&gt;0.1%的关键原材料，二维码），如果电池不含这些信息，也需要确保电池说明书含这些信息。</t>
  </si>
  <si>
    <t>21854112</t>
  </si>
  <si>
    <t>4500214359-20</t>
  </si>
  <si>
    <t>日期码格式：ZURU INC(BVI) 标准格式                  日期：按实际生产日期
Packaging Info: 
77794UQ1:客版PDQ（翻单PO#4500197867）  + MA英语UPC版本包装（收缩膜和说明书, MA首选1L，如无1L可用多语且含英语的配套多语包装) +1张锂电池黑白警语书
纸 + 1张防盗贴纸 (贴纸以及位置图翻单PO#4500193539）+ 箱唛 + 外箱SSCC Label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10.所有带纽扣电池的产品都需要在产品包装以及说明书上贴纽扣电池警告语贴纸
此单需要与NZ PO#4500214361一起合并计算</t>
  </si>
  <si>
    <t>21854126</t>
  </si>
  <si>
    <t>4500214361-20</t>
  </si>
  <si>
    <t>日期码格式：ZURU INC(BVI) 标准格式                  日期：按实际生产日期
Packaging Info: 
77794UQ1:客版PDQ（翻单PO#4500197867）  + MA英语UPC版本包装（收缩膜和说明书, MA首选1L，如无1L可用多语且含英语的配套多语包装) +1张锂电池黑白警语书
纸 + 1张防盗贴纸 (贴纸以及位置图翻单PO#4500193539）+ 箱唛 + 外箱SSCC Label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10.所有带纽扣电池的产品都需要在产品包装以及说明书上贴纽扣电池警告语贴纸
此单需要与AU PO#4500214359一起合并计算</t>
  </si>
  <si>
    <t>4500217987-10</t>
  </si>
  <si>
    <t>日期码格式：ZURU  INC(BVI) 标准格式                                    日期：按实际生产日期
Packaging Info: 77794UQ1：客版PDQ（翻单PO#4500197867）+英文MA包装UPC版本包装（收缩膜和说明书, MA首选1L，如无1L可用多语且含英语的配套多语包装) +1张欧洲澳新通用wa
rning  instruction  +  外箱SSCC  Label
配比信息：4  mini vinyls,1  accessory
Removed了  ""Messy &lt;(&gt;&amp;&lt;)&gt;  Delicious""两张唱片''
Remark: 1. 客人要求箱唛不可出现任何手写内容，重量与实际一致且不可手写;
  2. 此单去澳大利亚，请按相应澳新标准生产; 如产品含纽扣电池出货,  包装前面和说明书上需加纽扣电池警语贴纸
  3. 取消使用TARGET新版封箱胶封顶，外箱全部使用普通透明封箱胶纸(客版胶纸如还有库存，可先消耗库存)；
  4. 外箱需要贴Target SSCC  LABEL,客供PDF文档，工厂自行订购。请贴在正唛右下角（一箱一张，贴1面正唛右下角,封箱胶纸不能挡住贴纸内容。)；外箱贴纸距离
外箱边缘应在2cm以上。如果正唛无位置可以贴在侧唛；
5. SSCC  LABEL要求：贴纸内容，条形码印刷不完整/不清晰或有划痕/缺失，贴纸脏污、破损、条形码折叠、翘起、重复或者丢失，以及封箱胶盖住贴纸任何位置的
  ,客户都不能接受，如有发现以上异常，须返工重新贴；
  6. 外箱材质为ZURU标准；
  7. 产品和包装上要有tracking  label信息：格式为Zuru标准格式（可以自行调整具体年月日生产日期,避开节假期日）；
  8. SSCC  Label 尺寸更新为：4x4  inch。</t>
  </si>
  <si>
    <t>4500218134-10</t>
  </si>
  <si>
    <t>日期码格式：ZURU  INC(BVI) 标准格式                                    日期：按实际生产日期
Packaging Info: 77794UQ1：客版PDQ（翻单PO#4500197867）+英文MA包装UPC版本包装（收缩膜和说明书, MA首选1L，如无1L可用多语且含英语的配套多语包装) +1张欧洲澳新通用wa
rning  instruction  +  外箱SSCC  Label
Remark: 1. 客人要求箱唛不可出现任何手写内容，重量与实际一致且不可手写;
  2. 此单去澳大利亚，请按相应澳新标准生产; 如产品含纽扣电池出货,  包装前面和说明书上需加纽扣电池警语贴纸
  3. 取消使用TARGET新版封箱胶封顶，外箱全部使用普通透明封箱胶纸(客版胶纸如还有库存，可先消耗库存)；
  4. 外箱需要贴Target SSCC  LABEL,客供PDF文档，工厂自行订购。请贴在正唛右下角（一箱一张，贴1面正唛右下角,封箱胶纸不能挡住贴纸内容。)；外箱贴纸距离
外箱边缘应在2cm以上。如果正唛无位置可以贴在侧唛；
  5. SSCC  LABEL要求：贴纸内容，条形码印刷不完整/不清晰或有划痕/缺失，贴纸脏污、破损、条形码折叠、翘起、重复或者丢失，以及封箱胶盖住贴纸任何位置的
  ,客户都不能接受，如有发现以上异常，须返工重新贴；
  6. 外箱材质为ZURU标准；
  7. 产品和包装上要有tracking  label信息：格式为Zuru标准格式（可以自行调整具体年月日生产日期,避开节假期日）；
  8. SSCC  Label 尺寸更新为：4x4  inch。</t>
  </si>
  <si>
    <t>10001792971-3891</t>
  </si>
  <si>
    <t>4500219154-30</t>
  </si>
  <si>
    <t>日期码格式：ZURU  INC(BVI) 标准格式                                    日期：按实际生产日期
Packaging Info:
77794UQ1：产品包装  MA 23L黑白警告语说明书+MA 1L 彩盒+MA 1L PDQ
Remark: 
77794UQ1：
1.77794UQ1-S002-MINI BRANDS-VINYL-PLAYSET-SERIES 1-CUBE,8PCS/PDQ,8PCS/PDQ/CTN;
  2. 产品包装  MA 23L黑白警告语说明书+MA  1L 彩盒+MA 1L PDQ; 彩盒上的UPC显示193052090409;
  3. 外箱正唛左上角位置粘贴条码箱贴纸，每箱只贴一张，由ZURU订购。来料贴纸上显示的客户DPCI#  086-02-4085, UPC显示10193052090406;
  4. 带锂电池出货，需在外箱正面或者侧面合适位置上加贴一张贴锂电池标签纸，由工厂订购；
以上Items：
  1. 产品和包装上印刷  tracking  code信息，格式为ZURU常规格式;
  2. 出货方式：货代自提</t>
  </si>
  <si>
    <t>10001792966-3890</t>
  </si>
  <si>
    <t>4500219162-30</t>
  </si>
  <si>
    <t>4500215828-30</t>
  </si>
  <si>
    <t>欠UPC 贴纸+进口商贴纸</t>
  </si>
  <si>
    <t>日期码格式：ZURU INC(BVI) 标准格式                  日期：按实际生产日期
Packaging Info: 1.优先多语 MA UPC或者3L/5L MA EAN 包装
2.请确保包装上的条形码是UPC，如果是babyUPC、需要用mother UPC覆盖，如有不一致，请及时提出。谢谢!
3.需要监柜，每个款需要1pc样办
77794UQ1 MA 多语 EAN 包装+UPC 贴纸+MA 多语说明书/MA 多语收藏指南+MA多语PDQ+进口商贴纸+箱唛
Remark: 
77794UQ1 RECHARGEABLE LITHIUM BATTERY(INCLUDED)</t>
  </si>
  <si>
    <t>4500215474</t>
  </si>
  <si>
    <t>4500215474-20</t>
  </si>
  <si>
    <t>1张客人通用进口商贴纸（贴纸跟位置图翻单PO#4500193524）</t>
  </si>
  <si>
    <t>日期码格式：ZURU  INC(BVI)  标准格式                                    日期：按实际生产日期
Packaging Info: 
77794UQ1:  客版PDQ（翻单PO#4500197867）+1张MA的锂电池警语书纸+1张客人通用进口商贴纸（贴纸跟位置图翻单PO#4500193524）+箱唛
Remark: 1.按实际生产日期;
2. 出澳大利亚，请按照相应标准生产;
3.所有带纽扣电池的产品都需要在产品包装以及说明书上贴纽扣电池警告语贴纸</t>
  </si>
  <si>
    <t>DD'S  DISCOUNTS</t>
  </si>
  <si>
    <t>Summer  Mo</t>
  </si>
  <si>
    <t>4500216486-10</t>
  </si>
  <si>
    <t>日期码格式：ZURU INC(BVI) 标准格式                  日期：按实际生产日期
Packaging Info: MA UPC包装(优先1L)+进口商贴纸
贴纸图稿和位置图翻单4500201657
Remark:</t>
  </si>
  <si>
    <t>4500216689-10</t>
  </si>
  <si>
    <t>4500218217-10</t>
  </si>
  <si>
    <t>多语警语折叠贴纸(翻单4500192187）+ 欠Zuru  PDQ  地址贴纸</t>
  </si>
  <si>
    <t>日期码格式：ZURU  INC(BVI)  标准格式                                    日期：按实际生产日期
Packaging Info: 【行项目10】
77794UQ1:    MA  3L  EAN  彩盒+1*多语警语折叠贴纸(翻单4500192187）+23L玩法说明书+23L警语说明书+23L锂电池警语说明书+最新D版WEEE带电说明书+MA  3L  PDQ+1
*  Zuru  PDQ  地址贴纸
请注意：77794含锂电池，需在外箱贴一张含锂电池贴纸。
Remark: 1.德国内销单，需要通过ZURU  验货结果后才能出货  (工厂需要主动提前同ZURU  QC预约验货避免延期出货造成不必要麻烦)；
2.产品如含有硅藻泥干燥剂，需要另外加一张14L干燥剂说明书 。产品如含有化学品（slime  等），需要无硼无香。需要无微塑料版本。
3.所有出口欧洲的产品,  法规规定禁止在包装和共公众用的印刷品中使用矿物油中含有的物质,  包装印刷油墨中含有的MOAH/MOSH的质量浓度不能超过1%,  否则出货
到法国被抽检出现问题,  供应商需要对此负责;
   4.  date  code:  外箱日期码要晚于或等于产品日期码，不能早于产品的日期码；
   5.  所有出往德国的电子产品身上需要加字唛，为ZURU  FRANCE  地址，需跟包装上的地址一致  (如无电子产品，产品布标有此地址，或产品太小无法增加可忽略此信
息。如产品无法加字唛，需让对应跟单提供产品贴纸资料)
新地址：ZURU  France  33  rue  Paul  Meurice  75020  Paris,  France
旧地址：ZURU  France  1/3,  Rue  d'Argenteuil  95210  SAINT-GRATIEN,  FRANCE
6.所有出往德国订单的电子产品需增加一张最新版本的欧洲通用WEEE声明说明书，区分带电池和不带电池版本,  如已做客版说明书可忽略此要求。
7.装柜时需要按照款式号码从小到大一款款依次装,避免终端仓库卸货混乱.若一个柜子涉及到几个不同国家内销单,装柜时需要一个国家装完后再装另一个国家的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8.ratio  同MA
9.  若有特定款有特殊外箱条码要求时,需要明确列出产品款对应的具体外箱条码号码/条码类型  (若无,可以忽略此需求).</t>
  </si>
  <si>
    <t>4500219585-30</t>
  </si>
  <si>
    <r>
      <rPr>
        <sz val="11"/>
        <color rgb="FF000000"/>
        <rFont val="宋体"/>
        <charset val="134"/>
      </rPr>
      <t>Agnes</t>
    </r>
    <r>
      <rPr>
        <sz val="11"/>
        <color rgb="FF000000"/>
        <rFont val="宋体"/>
        <charset val="134"/>
        <scheme val="minor"/>
      </rPr>
      <t xml:space="preserve">  </t>
    </r>
    <r>
      <rPr>
        <sz val="11"/>
        <color rgb="FF000000"/>
        <rFont val="宋体"/>
        <charset val="134"/>
        <scheme val="minor"/>
      </rPr>
      <t>Zheng</t>
    </r>
  </si>
  <si>
    <t>4500219585-40</t>
  </si>
  <si>
    <t>4500219357-30</t>
  </si>
  <si>
    <t>+价格贴纸（$19.99), 价贴位于产品包装上UPC条形码附近 + PDQ上需加价格贴纸 和 条码贴纸（PDQ上加贴条码贴纸位于PDQ背
 面左下角+价贴位于PDQ前面右上角 ,贴纸资料翻单4500202450，工厂采购，出口美国。）</t>
  </si>
  <si>
    <t>日期码格式：ZURU INC(BVI) 标准格式 日期：按实际生产日期 Tracking Code:
Packaging Info: 1. 包材：
 #77794UQ1：最新 MA 1L UPC+1L PDQ +价格贴纸（$19.99), 价贴位于产品包装上UPC条形码附近 + PDQ上需加价格贴纸 和 条码贴纸（PDQ上加贴条码贴纸位于PDQ背
 面左下角+价贴位于PDQ前面右上角 ,贴纸资料翻单4500202450，工厂采购，出口美国。）
Remark: 2. 日期跟踪码：产品包装及产品本身都必须有日期跟踪码，并且确保两者的日期跟踪码要一致；ZURU标准格式日期码(请自行调整具体年月日生产期，但不能为周
 末）。
 PS: 毛绒布标贴纸日期码可以不保持一致。
 3. 订单外箱：
 *只需在外箱4面的正上方印ZURU LOGO；3面印MADE IN CHINA字样，一面留空贴外箱贴；
 *外箱正面需要额外加贴2张外箱贴（外箱贴客户提供，工厂直接贴）；
 *外箱贴位置：shipping label贴于外箱正面左下角；product label 贴于外箱正面右下角，2张贴纸都需距离外箱边缘至少3CM。
 4. 此客户有2个PO:
 PO# 02263918 ship to NJ,
 PO# 02263919 ship to NV,
 5. 出货配比：ZURU MA 配比；</t>
  </si>
  <si>
    <t xml:space="preserve"> Mila Yao</t>
  </si>
  <si>
    <t>4500219357-70</t>
  </si>
  <si>
    <t>4500219553-20</t>
  </si>
  <si>
    <t>日期码格式：ZURU  INC(BVI)  标准格式                                    日期：按实际生产日期
Packaging Info: 
【行项目90】
77794UQ1：箱唛条码贴纸（14*9.5cm）+PDQ价格贴纸（45*35mm）+MA  C1L  UPC包装（193052090409）+MA  A23L  组装说明书+MA  B23L警告语说明书+WEEE  29L  带电池
说明书最新版+MA  B1L  PDQ
--------------------
Remark: 1.订单出英国，请注意检查产品及包装应带CE/UKCA图标，包装需要显示ZURU  UKLTD/ZURU  France地址信息，QC同事请查核，如有问题与跟单确认。
    2.生产日期按实际的（法定工作日），按ZURU标准格式即可，并需要在出货前提供每个产品外包上对应的生产日期明细
    3.请注意所有订单都需要经过ZURU  QC验货加提供客版自检报告审核且通过后方可出货
    4.外箱上的条码请确保清晰可扫描，此单有价格贴纸和箱唛贴纸。
    箱唛贴纸：尺寸为:9.5*14cm,只需要贴两张贴纸，正唛和侧唛各一张
    价格贴纸：带PDQ的，贴PDQ正面即可（PDQ里面产品无需价钱贴纸）；     不带PDQ，请把价钱贴纸贴在单个产品正面；价格贴纸尺寸为45*35mm
    5.所有产品按符合欧洲标准走货，微塑料需合规并增加IFUD声明，含电池的需要增加WEEE说明书。
    6.请额外准备一套大货样
    7.箱唛上封用纸质胶纸，下封用透明胶</t>
  </si>
  <si>
    <t>4500219195-20</t>
  </si>
  <si>
    <t>4500218058-10</t>
  </si>
  <si>
    <t>77794UQ1-SLB-S002</t>
  </si>
  <si>
    <t>日期码格式：ZURU  INC(BVI) 标准格式                                    日期：按实际生产日期
Packaging Info: 1.包装：    ZURU MA 包装  + ZURU MA PDQ（如带PDQ）+ ZURU说明书或收藏指南（如带有）。MA包材优选1L。
大货外箱材质用ZURUMA的标准规格即可。
Remark: 1.包装：    ZURU MA 包装  + ZURU MA PDQ（如带PDQ）+ ZURU说明书或收藏指南（如带有）。MA包材优选1L。
大货外箱材质用ZURUMA的标准规格即可。
客户要求：     "产品和包装不能含有PFAS  物质以及1,4  dioxane"出口美国，客户指定实验室做产品测美国标准的实际测试。On  and  after 20  April 2024, toys mus
t comply with  ASTM  F963-23.
  2.日期码：产品和包装上必须有ZURU MA格式日期码。2者保持一致，避开周末。
  3. 此单无价贴。
  4. 无样板需求
  5.此单是DDP  term，无第三方验货要求。
  6 .箱唛：此客人要求严格，外箱不接受水贴纸，外箱唛头是客户版本的，跟单邮件发送。
  7 .此客人不接受任何理由的延期，会有高额罚金产生.
  8.此单每款打SLIP  SHEET纸滑托后整柜出货.跟单邮件发送打SLIP  SHEET的装载图和具体要求。
  9.出货配比：MA配比。
  10.以下是每款的spec：
77794UQ1-SLB-S002-MINI BRANDS-VINYL-PLAYSET-SERIES 1-CUBE,8PCS/PDQ/CTN,432PCS/54CTN/SLIP SHEET
具体产品item：77794UQ1-S002
客人SKU#45494701
产品描述：PSZ26 DDP MB VINYL PLYST
ZURU MA UPC#193052090409
77772GQ8-SLB-S001-MINI BRANDS-VINYL-SERIES 1-CAPSULE,WITH DEMO,24PCS/GRAVITY PDQ/CTN,720PCS/30CTN/SLIP SHEET
具体产品item：77772GQ8-S002
客人SKU#45494901
产品描述：PSZ26 DDP MB VINYL CAPS
ZURU MA UPC#  193052090065</t>
  </si>
  <si>
    <t>4500217564-20</t>
  </si>
  <si>
    <t>4500216668-30</t>
  </si>
  <si>
    <t>2026/7/16PDQ 底部贴纸+MA PDQ(含锂电池，外箱+logo)+WEEE 29L 带电池说明书 最新版+锂电池欧洲澳新 62115警语--单独说明书-35063389172337</t>
  </si>
  <si>
    <t>日期码格式：ZURU INC(BVI) 标准格式                  日期：按实际生产日期
Packaging Info: 
77794UQ1:MA UPC 最新包装-产品条码-193052090409+PDQ 底部贴纸+MA PDQ(含锂电池，外箱+logo)+WEEE 29L 带电池说明书 最新版+锂电池欧洲澳新 62115警语--
单独说明书-35063389172337
Remark: 1.订单出英国，请注意检查产品及包装应带CE/UKCA图标，包装需要显示ZURU UKLTD/ZURU France地址信息，QC同事请查核，如有问题与跟单确认。
2.生产日期按实际的（法定工作日），按ZURU标准格式即可，并需要在出货前提供每个产品外包上对应的生产日期明细
3.请注意所有订单都需要经过ZURU QC验货加提供客版自检报告审核且通过后方可出货
4.不接受一个款有多个条码，存在这个情况请让ZURU提供条码贴纸
5.外箱上的条码请确保清晰可扫描，有PDQ，需要在PDQ底部贴一张带条码并可扫描的贴纸(ZURU 跟单提供模板）。
6.所有产品按符合欧洲标准走货，微塑料需合规并增加IFUD声明，含电池的需要增加WEEE说明书。</t>
  </si>
  <si>
    <t>4500214762-20</t>
  </si>
  <si>
    <t>4500214762-40</t>
  </si>
  <si>
    <t>4500210658</t>
  </si>
  <si>
    <t>5000002246</t>
  </si>
  <si>
    <t>4500210658-90</t>
  </si>
  <si>
    <t>日期码格式：ZURU INC(BVI) 标准格式                  日期：按实际生产日期
Packaging Info: 物料要求 SKU
1 77794UQ1 UPC:193052090409 MA PDQ+中文警告语+中文说明书+中文CCC贴纸+芯片码
Remark: 2.外箱材质如下：
  1）毛重小于5kg 外箱纸质 K=B 爆破:1000Kpa 边压:4400N/M;
  2）毛重大于5kg 外箱纸质 K636K 爆破:1400Kpa 边压:6300N/M;
 3. 产品/销售包装/外箱日期码要一致，
4.此产品务必满足国内6P 测试标准，因为可能会被市场监督局抽查，如有问题产生，工厂要负全责
 5. 这张订单做出厂价，我司自行安排车辆去贵司提货，贵司需要配合提供出口报关
 6. 此单所有产品启用 芯片码</t>
  </si>
  <si>
    <t>4500216785-20</t>
  </si>
  <si>
    <r>
      <rPr>
        <sz val="11"/>
        <color rgb="FF000000"/>
        <rFont val="宋体"/>
        <charset val="134"/>
      </rPr>
      <t xml:space="preserve">日期码格式：ZURU  INC(BVI)  标准格式                                    日期：按实际生产日期
Packaging Info: 此单出HK(2400pcs）和TW    （1500pcs)
HK:  #77869  :  </t>
    </r>
    <r>
      <rPr>
        <sz val="11"/>
        <color rgb="FFFF0000"/>
        <rFont val="宋体"/>
        <charset val="134"/>
      </rPr>
      <t>客制3L彩盒(彩盒翻单PO#4500202802</t>
    </r>
    <r>
      <rPr>
        <sz val="11"/>
        <color rgb="FF000000"/>
        <rFont val="宋体"/>
        <charset val="134"/>
      </rPr>
      <t xml:space="preserve">），MA  说明书和收藏指南+HK客供警语贴纸
</t>
    </r>
    <r>
      <rPr>
        <sz val="11"/>
        <color rgb="FFFF0000"/>
        <rFont val="宋体"/>
        <charset val="134"/>
      </rPr>
      <t>子件77772:  MA英语UPC版本包装（收缩膜和说明书,  MA首选1L，如无1L可用多语且含英语的配套多语包装)  +MA客制收藏指南
子件77794:  MA英语UPC版本包装（收缩膜和说明书,  MA首选1L，如无1L可用多语且含英语的配套多语包装)
2PK  77772(  remove  Messy  &lt;(&gt;&amp;&lt;)&gt;  Delicious  vinyl  minis)  +  77794  PLAYSET  COMBO  IN  COLOR  BOX"</t>
    </r>
    <r>
      <rPr>
        <sz val="11"/>
        <color rgb="FF000000"/>
        <rFont val="宋体"/>
        <charset val="134"/>
      </rPr>
      <t xml:space="preserve">
Remark:</t>
    </r>
  </si>
  <si>
    <r>
      <rPr>
        <sz val="11"/>
        <color rgb="FF000000"/>
        <rFont val="宋体"/>
        <charset val="134"/>
      </rPr>
      <t>日期码格式：ZURU  INC(BVI)  标准格式                                    日期：按实际生产日期
Packaging Info: 此单出HK(2400pcs）和TW    （1500pcs)
TW:#</t>
    </r>
    <r>
      <rPr>
        <sz val="11"/>
        <color rgb="FFFF0000"/>
        <rFont val="宋体"/>
        <charset val="134"/>
      </rPr>
      <t>77869:  客制3L彩盒(彩盒翻单PO#4500202802</t>
    </r>
    <r>
      <rPr>
        <sz val="11"/>
        <color rgb="FF000000"/>
        <rFont val="宋体"/>
        <charset val="134"/>
      </rPr>
      <t xml:space="preserve">）+  1张警语贴纸
</t>
    </r>
    <r>
      <rPr>
        <sz val="11"/>
        <color rgb="FFFF0000"/>
        <rFont val="宋体"/>
        <charset val="134"/>
      </rPr>
      <t>子件77772:  MA英语UPC版本包装（收缩膜和说明书,  MA首选1L，如无1L可用多语且含英语的配套多语包装)  +MA客制收藏指南
子件77794:  MA英语UPC版本包装（收缩膜和说明书,  MA首选1L，如无1L可用多语且含英语的配套多语包装)
2PK  77772(  remove  Messy  &lt;(&gt;&amp;&lt;)&gt;  Delicious  vinyl  minis)  +  77794  PLAYSET  COMBO  IN  COLOR  BOX"</t>
    </r>
    <r>
      <rPr>
        <sz val="11"/>
        <color rgb="FF000000"/>
        <rFont val="宋体"/>
        <charset val="134"/>
      </rPr>
      <t xml:space="preserve">
Remark:</t>
    </r>
  </si>
  <si>
    <r>
      <rPr>
        <sz val="11"/>
        <color rgb="FF000000"/>
        <rFont val="宋体"/>
        <charset val="134"/>
      </rPr>
      <t>KOHL'S,</t>
    </r>
    <r>
      <rPr>
        <sz val="11"/>
        <color rgb="FF000000"/>
        <rFont val="宋体"/>
        <charset val="134"/>
        <scheme val="minor"/>
      </rPr>
      <t xml:space="preserve">  </t>
    </r>
    <r>
      <rPr>
        <sz val="11"/>
        <color rgb="FF000000"/>
        <rFont val="宋体"/>
        <charset val="134"/>
        <scheme val="minor"/>
      </rPr>
      <t>INC.</t>
    </r>
  </si>
  <si>
    <t>4500218804</t>
  </si>
  <si>
    <t>16620900</t>
  </si>
  <si>
    <t>4500218804-20</t>
  </si>
  <si>
    <r>
      <rPr>
        <sz val="11"/>
        <color rgb="FF000000"/>
        <rFont val="宋体"/>
        <charset val="134"/>
      </rPr>
      <t>Jessi</t>
    </r>
    <r>
      <rPr>
        <sz val="11"/>
        <color rgb="FF000000"/>
        <rFont val="宋体"/>
        <charset val="134"/>
        <scheme val="minor"/>
      </rPr>
      <t xml:space="preserve">  </t>
    </r>
    <r>
      <rPr>
        <sz val="11"/>
        <color rgb="FF000000"/>
        <rFont val="宋体"/>
        <charset val="134"/>
        <scheme val="minor"/>
      </rPr>
      <t>Xu</t>
    </r>
  </si>
  <si>
    <t>4500218808</t>
  </si>
  <si>
    <t>16620899</t>
  </si>
  <si>
    <t>4500218808-20</t>
  </si>
  <si>
    <t xml:space="preserve">  价格贴纸    （覆盖产品UPC  条码，不能覆盖到made  in  China  字样）+  欠客供外箱贴纸
价格贴和位置翻  PO#4500208214</t>
  </si>
  <si>
    <t>4500215780-10</t>
  </si>
  <si>
    <t>4500215423</t>
  </si>
  <si>
    <t>21854115</t>
  </si>
  <si>
    <t>4500215423-10</t>
  </si>
  <si>
    <t>日期码格式：ZURU  INC(BVI)  标准格式                                    日期：按实际生产日期
Packaging Info: 77794UQ1:客版PDQ（翻单PO#4500197867）    +  MA英语UPC版本包装（收缩膜和说明书,  MA首选1L，如无1L可用多语且含英语的配套多语包装)  +1张锂电池黑白警语书
纸  +  1张防盗贴纸  (贴纸以及位置图翻单PO#4500193539）+  箱唛  +  外箱SSCC  Label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 13,10-16kg  超重logo
   2）CBM超过0. 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10.所有带纽扣电池的产品都需要在产品包装以及说明书上贴纽扣电池警告语贴纸
此单需要与NZ  PO#4500215424一起合并计算</t>
  </si>
  <si>
    <t>4500215424</t>
  </si>
  <si>
    <t>21854129</t>
  </si>
  <si>
    <t>4500215424-10</t>
  </si>
  <si>
    <t>日期码格式：ZURU  INC(BVI)  标准格式                                    日期：按实际生产日期
Packaging Info: 77794UQ1:客版PDQ（翻单PO#4500197867）    +  MA英语UPC版本包装（收缩膜和说明书,  MA首选1L，如无1L可用多语且含英语的配套多语包装)  +1张锂电池黑白警语书
纸  +  1张防盗贴纸  (贴纸以及位置图翻单PO#4500193539）+  箱唛  +  外箱SSCC  Label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 13,10-16kg  超重logo
   2）CBM超过0. 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10.所有带纽扣电池的产品都需要在产品包装以及说明书上贴纽扣电池警告语贴纸
此单需要与AU  PO#4500215423一起合并计算</t>
  </si>
  <si>
    <t>4500216771-10</t>
  </si>
  <si>
    <t>日期码格式：ZURU INC(BVI) 标准格式                  日期：按实际生产日期
Packaging Info: 193052090409 77794UQ1 MA多语包装 EAN版本+UPC贴纸193052090409，  UPC翻单4500192784
Remark: 出加拿大
  有价格贴纸 (Low Tack ,must peel off easily without leaving adhesive residue)
  有shipping label (贴4面）
  Zuru验货. 日期跟踪码：产品外包装及产品本身都必须有日期跟踪码，ZURU标准格式日期码。</t>
  </si>
  <si>
    <t>4500219288-10</t>
  </si>
  <si>
    <t>欠 外箱SSCC Label</t>
  </si>
  <si>
    <t>日期码格式：ZURU  INC(BVI)  标准格式                                    日期：按实际生产日期
Packaging Info: 77794UQ1：客版PDQ（翻单PO#4500197867）+英文MA包装UPC版本包装（收缩膜和说明书,   MA首选1L，如无1L可用多语且含英语的配套多语包装)  +1张欧洲澳新通用wa
rning  instruction  +  外箱SSCC  Label
Remark: 1.  客人要求箱唛不可出现任何手写内容，重量与实际一致且不可手写;
   2.  此单去澳大利亚，请按相应澳新标准生产;  如产品含纽扣电池出货,  包装前面和说明书上需加纽扣电池警语贴纸
   3.  取消使用TARGET新版封箱胶封顶，外箱全部使用普通透明封箱胶纸(客版胶纸如还有库存，可先消耗库存)；
   4.  外箱需要贴Target  SSCC  LABEL,客供PDF文档，工厂自行订购。请贴在正唛右下角（一箱一张，贴1面正唛右下角,封箱胶纸不能挡住贴纸内容。)；外箱贴纸距离
外箱边缘应在2cm以上。如果正唛无位置可以贴在侧唛；
5.  SSCC  LABEL要求：贴纸内容，条形码印刷不完整/不清晰或有划痕/缺失，贴纸脏污、破损、条形码折叠、翘起、重复或者丢失，以及封箱胶盖住贴纸任何位置的
,客户都不能接受，如有发现以上异常，须返工重新贴；
   6.  外箱材质为ZURU标准；
   7.  产品和包装上要有tracking  label信息：格式为Zuru标准格式（可以自行调整具体年月日生产日期,避开节假期日）；
   8.  SSCC  Label  尺寸更新为：4x4  inch。</t>
  </si>
  <si>
    <r>
      <rPr>
        <sz val="11"/>
        <color rgb="FF000000"/>
        <rFont val="宋体"/>
        <charset val="134"/>
      </rPr>
      <t>Judy</t>
    </r>
    <r>
      <rPr>
        <sz val="11"/>
        <color rgb="FF000000"/>
        <rFont val="宋体"/>
        <charset val="134"/>
        <scheme val="minor"/>
      </rPr>
      <t xml:space="preserve">  </t>
    </r>
    <r>
      <rPr>
        <sz val="11"/>
        <color rgb="FF000000"/>
        <rFont val="宋体"/>
        <charset val="134"/>
        <scheme val="minor"/>
      </rPr>
      <t>Liang</t>
    </r>
  </si>
  <si>
    <t>4500218605-30</t>
  </si>
  <si>
    <t>4500210658-100</t>
  </si>
  <si>
    <t>4500217692-20</t>
  </si>
  <si>
    <t>UPC条形码+欠客人贴纸</t>
  </si>
  <si>
    <t>日期码格式：ZURU INC(BVI) 标准格式 日期：按实际生产日期
Packaging Info: 77772GQ8/77794UQ1: MA 3L PKG+ 1张UPC条形码+1张客人贴纸
Remark:</t>
  </si>
  <si>
    <t>UPD,  INC.</t>
  </si>
  <si>
    <t>4500218843-10</t>
  </si>
  <si>
    <t>日期码格式：ZURU  INC(BVI)  标准格式                                    日期：按实际生产日期
Packaging Info: 1.  包装方式：MA  UPC  优先1L  最新包装，出口美国
Remark: 2.  外箱箱唛红色和黑色双色印刷
   3.  产品和包装上印刷tracking  code信息，格式为ZURU常规</t>
  </si>
  <si>
    <r>
      <rPr>
        <sz val="11"/>
        <color rgb="FF000000"/>
        <rFont val="宋体"/>
        <charset val="134"/>
      </rPr>
      <t>Angel</t>
    </r>
    <r>
      <rPr>
        <sz val="11"/>
        <color rgb="FF000000"/>
        <rFont val="宋体"/>
        <charset val="134"/>
        <scheme val="minor"/>
      </rPr>
      <t xml:space="preserve">  </t>
    </r>
    <r>
      <rPr>
        <sz val="11"/>
        <color rgb="FF000000"/>
        <rFont val="宋体"/>
        <charset val="134"/>
        <scheme val="minor"/>
      </rPr>
      <t>Lin</t>
    </r>
  </si>
  <si>
    <t>4500218658</t>
  </si>
  <si>
    <t>4500218658-20</t>
  </si>
  <si>
    <t>8/3通用贴纸+锂电池贴纸。</t>
  </si>
  <si>
    <t>日期码格式：ZURU  INC(BVI) 标准格式                                    日期：按实际生产日期
Packaging Info: MA UPC包装+通用贴纸,MA PDQ/说明书（如有）
77794含锂电池，需在外箱贴一张含锂电池贴纸。
Remark: 标准配比；</t>
  </si>
  <si>
    <t>4500218310-10</t>
  </si>
  <si>
    <t>0038210863</t>
  </si>
  <si>
    <t>4500216909-20</t>
  </si>
  <si>
    <t>Packing Slip,A4纸打印</t>
  </si>
  <si>
    <t>0038210864</t>
  </si>
  <si>
    <t>4500216909-50</t>
  </si>
  <si>
    <t>0038205207</t>
  </si>
  <si>
    <t>4500216909-80</t>
  </si>
  <si>
    <t>4500210658-110</t>
  </si>
  <si>
    <t>4500218652</t>
  </si>
  <si>
    <t>2655867</t>
  </si>
  <si>
    <t>MEC426-77794-S001-PRODCC1</t>
  </si>
  <si>
    <t>唱片机108PCS/展示架</t>
  </si>
  <si>
    <t>欠外箱贴纸SSCC Label+2张贴纸覆盖唱片数字"45"  (展示架左右各一张</t>
  </si>
  <si>
    <t>日期码格式：ZURU  INC(BVI) 标准格式                                    日期：按实际生产日期
Packaging Info: MEC426：MA 3L 展示架+2张贴纸覆盖唱片数字"45"  (展示架左右各一张) +  外箱SSCC  Label
84pcs77772(remove Messy and  Delicious vinyl minis) +24pcs 77794; With  1 SET  Demo/Endcap
  77794: 英文MA包装UPC版本（首选1L，无1L可选多语）+1张MA锂电池黑白警语书纸
Remark: 1. 客人要求箱唛不可出现任何手写内容，重量与实际一致且不可手写;
  2. 此单去澳大利亚，请按相应澳新标准生产; 如产品含纽扣电池出货,  包装前面和说明书上需加纽扣电池警语贴纸
  3. 取消使用TARGET新版封箱胶封顶，外箱全部使用普通透明封箱胶纸(客版胶纸如还有库存，可先消耗库存)；
  4. 外箱需要贴Target SSCC  LABEL,客供PDF文档，工厂自行订购。请贴在正唛右下角（一箱一张，贴1面正唛右下角,封箱胶纸不能挡住贴纸内容。)；外箱贴纸距离
外箱边缘应在2cm以上。如果正唛无位置可以贴在侧唛；
  5. SSCC  LABEL要求：贴纸内容，条形码印刷不完整/不清晰或有划痕/缺失，贴纸脏污、破损、条形码折叠、翘起、重复或者丢失，以及封箱胶盖住贴纸任何位置的
  ,客户都不能接受，如有发现以上异常，须返工重新贴；
  6. 外箱材质为ZURU标准；
  7. 产品和包装上要有tracking  label信息：格式为Zuru标准格式（可以自行调整具体年月日生产日期,避开节假期日）；
  8. SSCC  Label 尺寸更新为：4x4  inch。</t>
  </si>
  <si>
    <t>21854116</t>
  </si>
  <si>
    <t>4500215427-10</t>
  </si>
  <si>
    <t>日期码格式：ZURU  INC(BVI)  标准格式                                    日期：按实际生产日期
Packaging Info: 77794UQ1:客版PDQ（翻单PO#4500197867）    +  MA英语UPC版本包装（收缩膜和说明书,  MA首选1L，如无1L可用多语且含英语的配套多语包装)  +1张锂电池黑白警语书
纸  +  1张防盗贴纸  (贴纸以及位置图翻单PO#4500193539）+  箱唛  +  外箱SSCC  Label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 13,10-16kg  超重logo
   2）CBM超过0. 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10.所有带纽扣电池的产品都需要在产品包装以及说明书上贴纽扣电池警告语贴纸
此单需要与NZ  PO#4500215428一起合并计算</t>
  </si>
  <si>
    <t>21854130</t>
  </si>
  <si>
    <t>4500215428-10</t>
  </si>
  <si>
    <t>日期码格式：ZURU  INC(BVI)  标准格式                                    日期：按实际生产日期
Packaging Info: 77794UQ1:客版PDQ（翻单PO#4500197867）    +  MA英语UPC版本包装（收缩膜和说明书,  MA首选1L，如无1L可用多语且含英语的配套多语包装)  +1张锂电池黑白警语书
纸  +  1张防盗贴纸  (贴纸以及位置图翻单PO#4500193539）+  箱唛  +  外箱SSCC  Label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 13,10-16kg  超重logo
   2）CBM超过0. 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10.所有带纽扣电池的产品都需要在产品包装以及说明书上贴纽扣电池警告语贴纸
此单需要与AU  PO#4500215427一起合并计算</t>
  </si>
  <si>
    <t>4500219288-20</t>
  </si>
  <si>
    <t>日期码格式：ZURU  INC(BVI)  标准格式                                    日期：按实际生产日期
Packaging Info: 77794UQ1：客版PDQ（翻单PO#4500197867）+英文MA包装UPC版本包装（收缩膜和说明书,   MA首选1L，如无1L可用多语且含英语的配套多语包装)  +1张欧洲澳新通用wa
rning  instruction  +  外箱SSCC  Label
Remark: 1.  客人要求箱唛不可出现任何手写内容，重量与实际一致且不可手写;
   2.  此单去澳大利亚，请按相应澳新标准生产;  如产品含纽扣电池出货,  包装前面和说明书上需加纽扣电池警语贴纸
   3.  取消使用TARGET新版封箱胶封顶，外箱全部使用普通透明封箱胶纸(客版胶纸如还有库存，可先消耗库存)；
   4.  外箱需要贴Target  SSCC  LABEL,客供PDF文档，工厂自行订购。请贴在正唛右下角（一箱一张，贴1面正唛右下角,封箱胶纸不能挡住贴纸内容。)；外箱贴纸距离
外箱边缘应在2cm以上。如果正唛无位置可以贴在侧唛；
   5.  SSCC  LABEL要求：贴纸内容，条形码印刷不完整/不清晰或有划痕/缺失，贴纸脏污、破损、条形码折叠、翘起、重复或者丢失，以及封箱胶盖住贴纸任何位置的
,客户都不能接受，如有发现以上异常，须返工重新贴；
   6.  外箱材质为ZURU标准；
   7.  产品和包装上要有tracking  label信息：格式为Zuru标准格式（可以自行调整具体年月日生产日期,避开节假期日）；
   8.  SSCC  Label  尺寸更新为：4x4  inch。</t>
  </si>
  <si>
    <t>4500206065-190</t>
  </si>
  <si>
    <t>日期码格式：ZURU INC(BVI) 标准格式                  日期：按实际生产日期
Packaging Info: 物料要求：
2.77794UQ1:MA+MA PDQ+中文警告语+中文说明书+中文CCC贴纸+芯片码
UPC:193052090409
77772/77794UQ1 首单 请提供8套大货样
Remark: 2.外箱材质如下：
  1）毛重小于5kg 外箱纸质 K=B 爆破:1000Kpa 边压:4400N/M;
  2）毛重大于5kg 外箱纸质 K636K 爆破:1400Kpa 边压:6300N/M;
 3. 产品/销售包装/外箱日期码要一致，
4.此产品务必满足国内6P 测试标准，因为可能会被市场监督局抽查，如有问题产生，工厂要负全责
 5. 这张订单做出厂价，我司自行安排车辆去贵司提货，贵司需要配合提供出口报关
 6. 此单所有产品启用防窜码贴纸</t>
  </si>
  <si>
    <t>4500206065-170</t>
  </si>
  <si>
    <t>日期码格式：ZURU INC(BVI) 标准格式                  日期：按实际生产日期
Packaging Info: 物料要求：
2.77794UQ1:MA+MA PDQ+中文警告语+中文说明书+中文CCC贴纸+芯片码
UPC:193052090409
77772/77794UQ1 首单 请提供8套大货样
Remark: 2.外箱材质如下：
  1）毛重小于5kg 外箱纸质 K=B 爆破:1000Kpa 边压:4400N/M;
  2）毛重大于5kg 外箱纸质 K636K 爆破:1400Kpa 边压:6300N/M;
 3. 产品/销售包装/外箱日期码要一致，
4.此产品务必满足国内6P 测试标准，因为可能会被市场监督局抽查，如有问题产生，工厂要负全责
 5. 这张订单做出厂价，我司自行安排车辆去贵司提货，贵司需要配合提供出口报关
 6. 此单所有产品启用防窜码贴纸</t>
  </si>
  <si>
    <t>4500216956-10</t>
  </si>
  <si>
    <t>UPC贴纸，贴纸翻单4500207214+进口商贴纸翻单4500207609</t>
  </si>
  <si>
    <t>日期码格式：ZURU  INC(BVI)  标准格式                                    日期：按实际生产日期
Packaging Info: 77794UQ1：    MA  3L，加UPC贴纸，贴纸翻单4500207214
Remark: 出加拿大
每款产品都需要加进口商贴纸,  进口商贴纸翻单4500207609
Zuru验货. 日期跟踪码：产品外包装及产品本身都必须有日期跟踪码，ZURU标准格式日期码</t>
  </si>
  <si>
    <t>21854117</t>
  </si>
  <si>
    <t>4500215429-10</t>
  </si>
  <si>
    <t>外箱SSCC  Label</t>
  </si>
  <si>
    <t>日期码格式：ZURU  INC(BVI)  标准格式                                    日期：按实际生产日期
Packaging Info: 77794UQ1:客版PDQ（翻单PO#4500197867）    +  MA英语UPC版本包装（收缩膜和说明书,  MA首选1L，如无1L可用多语且含英语的配套多语包装)  +1张锂电池黑白警语书
纸  +  1张防盗贴纸  (贴纸以及位置图翻单PO#4500193539）+  箱唛  +  外箱SSCC  Label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 13,10-16kg  超重logo
   2）CBM超过0. 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10.所有带纽扣电池的产品都需要在产品包装以及说明书上贴纽扣电池警告语贴纸
此单需要与NZ  PO#4500215430一起合并计算</t>
  </si>
  <si>
    <t>21854131</t>
  </si>
  <si>
    <t>4500215430-10</t>
  </si>
  <si>
    <t>日期码格式：ZURU  INC(BVI)  标准格式                                    日期：按实际生产日期
Packaging Info: 77794UQ1:客版PDQ（翻单PO#4500197867）    +  MA英语UPC版本包装（收缩膜和说明书,  MA首选1L，如无1L可用多语且含英语的配套多语包装)  +1张锂电池黑白警语书
纸  +  1张防盗贴纸  (贴纸以及位置图翻单PO#4500193539）+  箱唛  +  外箱SSCC  Label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 13,10-16kg  超重logo
   2）CBM超过0. 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10.所有带纽扣电池的产品都需要在产品包装以及说明书上贴纽扣电池警告语贴纸
此单需要与AU  PO#4500215429一起合并计算</t>
  </si>
  <si>
    <t>4500219288-30</t>
  </si>
  <si>
    <t>日期码格式：ZURU  INC(BVI)  标准格式                                    日期：按实际生产日期
Packaging Info: 77794UQ1：客版PDQ（翻单PO#4500197867）+英文MA包装UPC版本包装（收缩膜和说明书,   MA首选1L，如无1L可用多语且含英语的配套多语包装)  +1张欧洲澳新通用wa
rning  instruction  +  外箱SSCC  Label
Remark: 1.  客人要求箱唛不可出现任何手写内容，重量与实际一致且不可手写;
   2.  此单去澳大利亚，请按相应澳新标准生产;  如产品含纽扣电池出货,  包装前面和说明书上需加纽扣电池警语贴纸
   3.  取消使用TARGET新版封箱胶封顶，外箱全部使用普通透明封箱胶纸(客版胶纸如还有库存，可先消耗库存)；
   4.  外箱需要贴Target  SSCC  LABEL,客供PDF文档，工厂自行订购。请贴在正唛右下角（一箱一张，贴1面正唛右下角,封箱胶纸不能挡住贴纸内容。)；外箱贴纸距离
外箱边缘应在2cm以上。如果正唛无位置可以贴在侧唛；
   5.  SSCC  LABEL要求：贴纸内容，条形码印刷不完整/不清晰或有划痕/缺失，贴纸脏污、破损、条形码折叠、翘起、重复或者丢失，以及封箱胶盖住贴纸任何位置的
  ,客户都不能接受，如有发现以上异常，须返工重新贴；
   6.  外箱材质为ZURU标准；
   7.  产品和包装上要有tracking  label信息：格式为Zuru标准格式（可以自行调整具体年月日生产日期,避开节假期日）；
   8.  SSCC  Label  尺寸更新为：4x4  inch。</t>
  </si>
  <si>
    <t>4500217362</t>
  </si>
  <si>
    <t>7000998127</t>
  </si>
  <si>
    <t>4500217362-10</t>
  </si>
  <si>
    <t>日期码格式：ZURU  INC(BVI) 标准格式                                    日期：按实际生产日期
Packaging Info:
#77794
MA3LPDQ(8装)+MA3L彩盒+UPC贴纸(UPC:193052090409)+MA23L说明书+MA23L警告语说明书
翻单：4500195369
Remark: 1. 此单有箱唛;
  2. UPC贴纸：必须在原来错误的条码上用黑色粗头笔涂黑直至不能扫描，再贴上正确的UPC;
3. 此单有第三方验货，烦请多备包装物料；
  4. #77794带锂电池出货，使用英法双语电池，外箱需在正唛空白位置贴一张UN3481锂电池标识贴纸(带电话号码)；
*********************
a. 请确保产品符合1999年版本的加拿大环境保护法(CEPA)和2012年禁止某些有毒物质法规的要求。该产品不含任何在加拿大禁用的化学物质，包括但不限于有毒物
质清单中列出的化学物质，并且在为加拿大沃尔玛生产产品期间没有使用任何禁用化学物质。
Supplier certify  that the  products comply with  the  requirements of Canadian  Environmental Protection  Act, 1999  (CEPA), Prohibition  of Certain  To
xic  Substances Regulations, 2012.
The products do  not contain  any chemicals that are banned  in  Canada, including  but not limited  to  those  listed  in  the  Toxic  Substances List and
no  banned  chemicals were used  during  the  manufacturing  of product for Walmart Canada.
附件列表：
(1) Letter of Guarantee  for Canada  banned  chemicals - (1-5CA)
b. 请确保产品在均质材料中的汞浓度不超过0.1%（按重量计）。
Supplier certify  that the  WAL-MART vendor products does not have a  mercury concentration  of more  than  0.1%  by weight in  homogeneous material.
附件列表：
  (1) Letter of Guarantee  for Mercury COC
  c. 请确保产品的塑料材料不含以下物质（SOR  2011-17  27B):
Supplier certify  that the  plastic  materials do  not contain  the  following  substances(SOR  2011-17  27B):
  (a) carbon  tetrachloride  or any  substance  that contains it;
  (b) methyl alcohol or any  substance  thay  contains &gt;1.0%;
  (c) petroleum  distillates  or  any  substance  that contains &gt;10%  weight to  volume of petroleum  distillates;
  (d) benzene;
  (e) turpentine  or any  substance  that contains &gt;10%  weight to  volume  of turpentine;
  (f) boric  acid  or  salts  of boric  acid; or  (g) ethyl ether.
附件列表：
(1) Letter of Guarantee  for WM  CA-Other prohibited  substances in  plastic(less  than  3  years)</t>
  </si>
  <si>
    <t>4500219289-10</t>
  </si>
  <si>
    <t>日期码格式：ZURU  INC(BVI)  标准格式                                    日期：按实际生产日期
Packaging Info: 77794UQ1：客版PDQ（翻单PO#4500197867）+英文MA包装UPC版本包装（收缩膜和说明书,   MA首选1L，如无1L可用多语且含英语的配套多语包装)  +1张欧洲澳新通用wa
rning  instruction  +  外箱SSCC  Label
Remark: 1.  客人要求箱唛不可出现任何手写内容，重量与实际一致且不可手写;
   2.  此单去澳大利亚，请按相应澳新标准生产;  如产品含纽扣电池出货,  包装前面和说明书上需加纽扣电池警语贴纸
   3.  取消使用TARGET新版封箱胶封顶，外箱全部使用普通透明封箱胶纸(客版胶纸如还有库存，可先消耗库存)；
   4.  外箱需要贴Target  SSCC  LABEL,客供PDF文档，工厂自行订购。请贴在正唛右下角（一箱一张，贴1面正唛右下角,封箱胶纸不能挡住贴纸内容。)；外箱贴纸距离
外箱边缘应在2cm以上。如果正唛无位置可以贴在侧唛；
   5.  SSCC  LABEL要求：贴纸内容，条形码印刷不完整/不清晰或有划痕/缺失，贴纸脏污、破损、条形码折叠、翘起、重复或者丢失，以及封箱胶盖住贴纸任何位置的
   ,客户都不能接受，如有发现以上异常，须返工重新贴；
   6.  外箱材质为ZURU标准；
   7.  产品和包装上要有tracking  label信息：格式为Zuru标准格式（可以自行调整具体年月日生产日期,避开节假期日）；
   8.  SSCC  Label  尺寸更新为：4x4  inch。</t>
  </si>
  <si>
    <t>022721615</t>
  </si>
  <si>
    <t>4500217836-70</t>
  </si>
  <si>
    <t>BINGO GLOBAL GROUP FOR TRADING SUPP</t>
  </si>
  <si>
    <t>4500198618</t>
  </si>
  <si>
    <t>4500198618-10</t>
  </si>
  <si>
    <t>日期码格式：ZURU INC(BVI) 标准格式                  日期：按实际生产日期
Remark: 1.77794UQ1：MA EAN版本包装+一张进口商贴纸+箱唛</t>
  </si>
  <si>
    <t>Nora Pan</t>
  </si>
  <si>
    <t>4500217363</t>
  </si>
  <si>
    <t>7000998128</t>
  </si>
  <si>
    <t>4500217363-10</t>
  </si>
  <si>
    <t>日期码格式：ZURU  INC(BVI) 标准格式                                    日期：按实际生产日期
Packaging Info: #77794
MA3LPDQ(8装)+MA3L彩盒+UPC贴纸(UPC:193052090409)+MA23L说明书+MA23L警告语说明书
翻单：4500195369
Remark: 1. 此单有箱唛;
  2. UPC贴纸：必须在原来错误的条码上用黑色粗头笔涂黑直至不能扫描，再贴上正确的UPC;
  3. 此单有第三方验货，烦请多备包装物料；
  4. #77794带锂电池出货，使用英法双语电池，外箱需在正唛空白位置贴一张UN3481锂电池标识贴纸(带电话号码)；
*********************
a. 请确保产品符合1999年版本的加拿大环境保护法(CEPA)和2012年禁止某些有毒物质法规的要求。该产品不含任何在加拿大禁用的化学物质，包括但不限于有毒物
质清单中列出的化学物质，并且在为加拿大沃尔玛生产产品期间没有使用任何禁用化学物质。
Supplier certify  that the  products comply with  the  requirements of Canadian  Environmental Protection  Act, 1999  (CEPA), Prohibition  of Certain  To
xic  Substances Regulations, 2012.
The products do  not contain  any chemicals that are banned  in  Canada, including  but not limited  to  those  listed  in  the  Toxic  Substances List and
no  banned  chemicals were used  during  the  manufacturing  of product for Walmart Canada.
附件列表：
(1) Letter of Guarantee  for Canada  banned  chemicals - (1-5CA)
b. 请确保产品在均质材料中的汞浓度不超过0.1%（按重量计）。
Supplier certify  that the  WAL-MART vendor products does not have a  mercury concentration  of more  than  0.1%  by weight in  homogeneous material.
附件列表：
  (1) Letter of Guarantee  for Mercury COC
  c. 请确保产品的塑料材料不含以下物质（SOR  2011-17  27B):
Supplier certify  that the  plastic  materials do  not contain  the  following  substances(SOR  2011-17  27B):
  (a) carbon  tetrachloride  or any  substance  that contains it;
  (b) methyl alcohol or any  substance  thay  contains &gt;1.0%;
  (c) petroleum  distillates  or  any  substance  that contains &gt;10%  weight to  volume of petroleum  distillates;
  (d) benzene;
  (e) turpentine  or any  substance  that contains &gt;10%  weight to  volume  of turpentine;
  (f) boric  acid  or  salts  of boric  acid; or  (g) ethyl ether.
附件列表：
(1) Letter of Guarantee  for WM  CA-Other prohibited  substances in  plastic(less  than  3  years)</t>
  </si>
  <si>
    <t xml:space="preserve"> 大利环保标）（翻4500193875）</t>
  </si>
  <si>
    <t>00204869</t>
  </si>
  <si>
    <t>/</t>
  </si>
  <si>
    <t>HN回复完成时间</t>
  </si>
  <si>
    <t>MA GQ2 1L 
25pcs</t>
  </si>
  <si>
    <t>MA GQ2 3L 
25pcs</t>
  </si>
  <si>
    <t>MO20260109</t>
  </si>
  <si>
    <t>MO20260109-70</t>
  </si>
  <si>
    <t>手工单已转正单</t>
  </si>
  <si>
    <t>1. 包装要求：
77794SK：MA 1L A版callout纸卡+MA 23L 玩法说明书+MA 23L 警告语说明书+MA USB连接线贴纸+客版 1L sidekick
每pcs产品要贴一张RFID贴纸，RFID贴纸由ZURU提供，贴纸位置要严格按照客人签板
2.外箱RFID箱唛（四面右下角需印Zuru Logo)+ ITF-14条码；ITF-14条码印刷在外箱主唛左下角，外箱任一侧面角落备注："MADE IN CHINA" 字样，外箱箱唛资料待提供。
3. 在产品上和包装上要有日期码、以及要有MADE IN CHINA和ZURU字样；
4. 产品如有扎带口要剪平，不能刮手。
5. 此单需要抽板和验货，抽板时间预计3/13，请自行多备包装物料。
6. 16pcs/Sidekick/CTN</t>
  </si>
  <si>
    <t>MO20260109-30</t>
  </si>
  <si>
    <t>MO20260109-20</t>
  </si>
  <si>
    <t>MO20260109-50</t>
  </si>
  <si>
    <t>MO20260109-40</t>
  </si>
  <si>
    <t>MO20260109-10</t>
  </si>
  <si>
    <t>MO20260109-60</t>
  </si>
  <si>
    <t>4500192521-10</t>
  </si>
  <si>
    <t>2PK PVC圆桶装</t>
  </si>
  <si>
    <t>日期码格式：ZURU INC(BVI) 标准格式 日期：按实际生产日期
Packaging Info: #77876:2PK MA 1L UPC版#77772入PVC桶，3L无UPC客版收缩膜，客版收缩膜和3L铜版纸图稿跟单提供.（两个球的配比不能重复）。
Remark: 1.Amazon domestic 订单。出口美国。外箱最长边不能超过25" （超过了，case pack只能为1），不符合要求的大货，一律不接受。
2.无第三方验货/测试要求。
3.日期码使用ZURU标准版本。
4.如果大货有要求入邮包盒，则对应的邮包盒上面要打上日期码。</t>
  </si>
  <si>
    <t>4500192506-10</t>
  </si>
  <si>
    <t>4500192514-10</t>
  </si>
  <si>
    <t>转单4500195264和4500195261</t>
  </si>
  <si>
    <t>4500192514-20</t>
  </si>
  <si>
    <t>4500192784-30</t>
  </si>
  <si>
    <t>MO20260227</t>
  </si>
  <si>
    <t>MO20260227-10</t>
  </si>
  <si>
    <t>已转正单</t>
  </si>
  <si>
    <t xml:space="preserve">PRODUCT REQUERIMENTS
PACKAGING STYLE：77772SLB-S001
1.包装要求：
MA 1L A版收缩膜+MA 5L A版收藏指南+MA 23L A版说明书+MA A版纸袋+客版1L PDQ
每pcs产品上要贴1张RFID贴纸，贴纸由ZURU提供，贴纸位置请严格按照我们签回的签板；
2. 外箱印刷带条码的RFID箱唛：RFID紫色色带+WM Dept.图标+RFID图标+ITF-14条码，四面右下角印刷ZURU logo, ITFF条码只印刷在正唛一面，在加印的时候确保条形码能扫描出来，外箱侧面任一角落加印："MADE IN CHINA" 字样；
3. 在产品上和包装上要有日期码、以及要有MADE IN CHINA和ZURU字样；
4. 产品如有扎带口要剪平，不能刮手。
5. 此单需要抽板和验货，请多备料，预计抽板时间4/23
6. 此单以Slip sheet出货，16pcs/PDQ/CTN，960pcs/60CTNS/Slip sheet
SPECIAL REQUIRMENTS：
*  ALL THE CARTON MUST USE THE K=B CARD                                                                                                                                                                                                                                                                                                                                                                                                        * FACTORY NEED TO RECONFIRM ORDER CARTON DETAIL INCLUDING DIMENSION AND WEIGHT/PACK SIZE ETC. INFORMATION AND INFORM ZURU IF HAVE ANY CHANGE.                                                                                                                                                               * BATCH NUM AS  YY-MM-DD ALWAYS NEED TO BE PUTTED ON THE PRODUCT AND RETAIL PACK.                                                                                            （DATE CODE ON RETAIL PACK MUST BE READABLE WITHOUT OPENING THE RETAIL PACKAGING. )                                                                                                        * ALL THE CHANGE ON PRODUCTION / PACKAGING HAS TO INFORM ZURU AND ASK CONFIRMATION IN ADVANCE.                                                                                                                                                                                                   * IF ZURU's INITIAL QC INSPECTION HAS A FAIL RESULT, THE RE-INSPECTION COST OF 1000RMB AND TRAVEL EXPENSES WIL BE BORNE BY THE PRODUCTION FACTORY.                                                                                                                                                                                                                                                                 * ZURU FINAL INSPECTION APPLICATION NEED TO BE SUMBITTED TO ZURU QA TEAM 7DAYS BEFORE INSEPCTION DATE WITH ORDER QTY 100% FINISHED.         </t>
  </si>
  <si>
    <t>4500194303-40</t>
  </si>
  <si>
    <t>欠外箱条码箱贴纸贴纸</t>
  </si>
  <si>
    <t>日期码格式：ZURU INC(BVI) 标准格式 日期：按实际生产日期
Packaging Info: 
77794UQ1：产品包装 MA 1L黑白警告语说明书+MA 1L 彩盒+MA 1L PDQ
Remark: 
77794UQ1：
1.77794UQ1-S002-MINI BRANDS-VINYL-PLAYSET-SERIES 1-CUBE,8PCS/PDQ,8PCS/PDQ/CTN;
2. 产品包装 MA 1L黑白警告语说明书+MA 1L 彩盒+MA 1L PDQ; 彩盒上的UPC显示193052090409;
3. 外箱正唛左上角位置粘贴条码箱贴纸，每箱只贴一张，由ZURU订购。来料贴纸上显示的客户DPCI# 086-02-4085, UPC显示10193052090406;
以上Items：
1. 产品和包装上均要印刷tracking code信息，格式为ZURU常规格式；
2. 需要我司QC验货之后才能安排出货
3. 出货方式： 货代自提</t>
  </si>
  <si>
    <t>4500194784-20</t>
  </si>
  <si>
    <t>欠客户EAN条码贴纸+PDQ数量贴纸</t>
  </si>
  <si>
    <t>日期码格式：ZURU INC(BVI) 标准格式 日期：按实际生产日期
Packaging Info: 
77772GQ1-S002-PRODCC 1L PDQ+MA A版UPC收缩膜+ 客户 EAN条码贴纸+加PDQ数量贴纸，注意要去掉LOLA YANG VINYL" 不可出货，否则会有罚款
Remark: "MA版本按工厂现有最新库存即可，订单出英国，请注意检查产品及包装应带UKCA以及CE图标，包装显示ZURU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*所有产品按符合欧洲标准走货，需要是不含微塑料版本 。
*涉及到硼的，如可选择情况下应使用低硼版本 （slime 类别低硼一般低于300ppm)，无选择的应与跟单复核再安排 。
*如果出运产品属于电子类产品需要在ZURU 包装基础上额外添加一张ZURU 标准30L通用WEEE 电子产品说明书,带电池出货的加带电池出货版本通用30L的说明书，不
带电池出货的产品用不带电池出货版本的说明书.
*根据客人最新的包装要求，所有多个PDQ盒子(TQ,UQ,GQ）入1外箱的都需要在PDQ顶部右上角加上数量贴纸标明里面的数量。最小字体：36pts, 字体：Calibri（bo
ld), 具体要求以及位置见文件.
*订单对应客户PO号 ，备注有显示 ，注意分开做货/验货/装柜 ，混装有罚款。
* 大货样： 新款请在CRD前10天寄出每款2整套大货样到罗湖办公室7B Meyya Liu 收，翻单不用寄。"</t>
  </si>
  <si>
    <t>4500194784-30</t>
  </si>
  <si>
    <t>欠客户EAN条码贴纸+C版29L含电池出货版本WEEE说明书</t>
  </si>
  <si>
    <t>日期码格式：ZURU INC(BVI) 标准格式 日期：按实际生产日期
Packaging Info:
77794UQ1-S002 MA B版1L UPC版本+30L含电池出货版本WEEE说明书
Remark: "MA版本按工厂现有最新库存即可，订单出英国，请注意检查产品及包装应带UKCA以及CE图标，包装显示ZURU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*所有产品按符合欧洲标准走货，需要是不含微塑料版本 。
*涉及到硼的，如可选择情况下应使用低硼版本 （slime 类别低硼一般低于300ppm)，无选择的应与跟单复核再安排 。
*如果出运产品属于电子类产品需要在ZURU 包装基础上额外添加一张ZURU 标准30L通用WEEE 电子产品说明书,带电池出货的加带电池出货版本通用30L的说明书，不
带电池出货的产品用不带电池出货版本的说明书.
*根据客人最新的包装要求，所有多个PDQ盒子(TQ,UQ,GQ）入1外箱的都需要在PDQ顶部右上角加上数量贴纸标明里面的数量。最小字体：36pts, 字体：Calibri（bo
ld), 具体要求以及位置见文件.
*订单对应客户PO号 ，备注有显示 ，注意分开做货/验货/装柜 ，混装有罚款。
* 大货样： 新款请在CRD前10天寄出每款2整套大货样到罗湖办公室7B Meyya Liu 收，翻单不用寄。"</t>
  </si>
  <si>
    <t>2026-03-31</t>
  </si>
  <si>
    <t>4500199523</t>
  </si>
  <si>
    <t>2026ZURU09</t>
  </si>
  <si>
    <t>4500199523-30</t>
  </si>
  <si>
    <t>2026-05-20</t>
  </si>
  <si>
    <t>2026-05-16</t>
  </si>
  <si>
    <t>日期码格式：  标准格式                  日期：按实际生产日期
Packaging Info: 
77772GQ1 MA 3L EAN版本+UPC贴纸193052090065。  UPC贴纸翻单4500193076
Remark: 出加拿大
Zuru验货. 日期跟踪码：产品外包装及产品本身都必须有日期跟踪码，ZURU标准格式日期码。（箱唛日期码按跟单提供格式）</t>
  </si>
  <si>
    <t>Date code format: Standard format                  Date：Manufactory Date
Packaging Info:MA 多语UPC包装
Remark:出加拿大
Zuru验货.日期跟踪码：产品外包装及产品本身都必须有日期跟踪码，ZURU标准格式日期码</t>
  </si>
  <si>
    <t>4500204935-10</t>
  </si>
  <si>
    <t>CCC贴纸+8+年龄贴纸+防窜贴</t>
  </si>
  <si>
    <t>日期码格式：ZURU INC(BVI) 标准格式                  日期：按实际生产日期
Packaging Info: 物料要求：
1.77772GQ1:MA+MA PDQ+中文收藏指南（外挂）+CCC贴纸+中文组装说明书+8+年龄贴纸+防窜贴
UPC:193052090065
Remark: 2.外箱材质如下：
  1）毛重小于5kg 外箱纸质 K=B 爆破:1000Kpa 边压:4400N/M;
  2）毛重大于5kg 外箱纸质 K636K 爆破:1400Kpa 边压:6300N/M;
 3. 产品/销售包装/外箱日期码要一致，
4.此产品务必满足国内6P 测试标准，因为可能会被市场监督局抽查，如有问题产生，工厂要负全责
 5. 这张订单做出厂价，我司自行安排车辆去贵司提货，贵司需要配合提供出口报关
 6. 此单所有产品启用防窜码贴纸</t>
  </si>
  <si>
    <t>4500204935-20</t>
  </si>
  <si>
    <t>4500204925</t>
  </si>
  <si>
    <t>5000002196</t>
  </si>
  <si>
    <t>4500204925-10</t>
  </si>
  <si>
    <t>4500204925-20</t>
  </si>
  <si>
    <t>4500204925-30</t>
  </si>
  <si>
    <t>4500192527-30</t>
  </si>
  <si>
    <t>4500192527-20</t>
  </si>
  <si>
    <t>4500192527-10</t>
  </si>
  <si>
    <t>4500199503</t>
  </si>
  <si>
    <t>4500199503-10</t>
  </si>
  <si>
    <t>4500195408-10</t>
  </si>
  <si>
    <t>日期码格式：ZURU INC(BVI) 标准格式 日期：按实际生产日期
Packaging Info: #77794: MA UPC版包装(1L或3L都可,3L要加UPC条码)，出口美国。
Remark: 1.Amazon domestic 订单。出口美国。外箱最长边不能超过25" （超过了，case pack只能为1），不符合要求的大货，一律不接受。
2.无第三方验货/测试要求。
3.日期码使用ZURU标准版本。
4.如果大货有要求入邮包盒，则对应的邮包盒上面要打上日期码。</t>
  </si>
  <si>
    <t>4500194882-10</t>
  </si>
  <si>
    <t>日期码格式：ZURU INC(BVI) 标准格式 日期：按实际生产日期
Packaging Info: 77794UQ1: MA PKG , 优先1L , 1L PDQ, MA 收藏指南，MA 说明书
Remark:</t>
  </si>
  <si>
    <t>4500194881-10</t>
  </si>
  <si>
    <t>4500195403-10</t>
  </si>
  <si>
    <t>MO260509</t>
  </si>
  <si>
    <t>700-69882;700-69855; 500-15449</t>
  </si>
  <si>
    <t>MO260509-40</t>
  </si>
  <si>
    <t>转正单4500208194</t>
  </si>
  <si>
    <t>PRODUCT REQUERIMENTSPACKAGING STYLE1、包装方式: MA UPC优先1L最新版，出口美国
2、无测试无验货要求
3、纸箱4面印ZURU LOGO + 箱唛
4、日期码请按ZURU标准版执行即可
5、ZURU QC验货</t>
  </si>
  <si>
    <t>MO260509-50</t>
  </si>
  <si>
    <t>MO260509-60</t>
  </si>
  <si>
    <t>HOBBYLOBBYSTORES,INC.</t>
  </si>
  <si>
    <t>日期码格式：ZURUINC(BVI)标准格式日期：按实际生产日期
PackagingInfo:1.MA优先1LUPC版本包装,需要加贴价格贴纸,贴在产品包装正面右上角(价格贴纸文档跟单提供)，出美国。
2.外箱正唛(2面)右下角贴条码贴纸各贴1张(即1面1张共2张),贴纸大小：2.75x1.5inch。(跟单提供文档，工厂采购)
Remark:1.产品外包装及产品本身都必须有日期跟踪码，格式为：ZURU标准日期码。
2.ZURUQC验货，无测试。
3.产品配比按照MA标准配比执行。</t>
  </si>
  <si>
    <t>ElevenZhang</t>
  </si>
  <si>
    <t>日期码格式：ZURU INC(BVI) 标准格式 日期：按实际生产日期
Packaging Info:
77794UQ1:MA英语UPC版本包装（收缩膜和说明书, MA首选1L，如无1L可用多语且含英语的配套多语包装) +1张锂电池黑白警语书纸 + 1张防盗贴纸 (贴纸以及位置图
翻单PO#4500193539）+ 箱唛 + 外箱SSCC Label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</si>
  <si>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4500207830</t>
  </si>
  <si>
    <t>10001793006-3890</t>
  </si>
  <si>
    <t>4500207830-40</t>
  </si>
  <si>
    <t>4500207482</t>
  </si>
  <si>
    <t>10001793011-3891</t>
  </si>
  <si>
    <t>4500207482-40</t>
  </si>
  <si>
    <t>日期码格式：ZURU  INC(BVI)  标准格式                                    日期：按实际生产日期
Packaging Info: 
77794UQ1：产品包装  MA  1L黑白警告语说明书+MA  1L  彩盒+MA  1L  PDQ+锂电池标签纸
Remark: 
77794UQ1：
1.77794UQ1-S002-MINI  BRANDS-VINYL-PLAYSET-SERIES  1-CUBE,8PCS/PDQ,8PCS/PDQ/CTN;
   2.  产品包装  MA  1L黑白警告语说明书+MA  1L  彩盒+MA  1L  PDQ;  彩盒上的UPC显示193052090409;
   3.  外箱正唛左上角位置粘贴条码箱贴纸，每箱只贴一张，由ZURU订购。来料贴纸上显示的客户DPCI#  086-02-4085,  UPC显示10193052090406;
   4.  带锂电池出货，需在外箱正面或者侧面合适位置上加贴一张贴锂电池标签纸，由工厂订购
以上Items：
   1.  产品和包装上均要印刷tracking  code信息，格式为ZURU常规格式；
   2.  需要我司QC验货之后才能安排出货
   3.  出货方式：     货代自提</t>
  </si>
  <si>
    <t>4500207832</t>
  </si>
  <si>
    <t>10001792794-3890</t>
  </si>
  <si>
    <t>4500207832-30</t>
  </si>
  <si>
    <t>日期码格式：ZURU INC(BVI) 标准格式                  日期：按实际生产日期
Packaging Info:
77794UQ1：产品包装 MA 1L黑白警告语说明书+MA 1L 彩盒+MA 1L PDQ+锂电池标签纸
Remark: 
77794UQ1：
1.77794UQ1-S002-MINI BRANDS-VINYL-PLAYSET-SERIES 1-CUBE,8PCS/PDQ,8PCS/PDQ/CTN;
 2. 产品包装 MA 1L黑白警告语说明书+MA 1L 彩盒+MA 1L PDQ; 彩盒上的UPC显示193052090409;
 3. 外箱正唛左上角位置粘贴条码箱贴纸，每箱只贴一张，由ZURU订购。来料贴纸上显示的客户DPCI# 086-02-4085, UPC显示10193052090406;
 4. 带锂电池出货，需在外箱正面或者侧面合适位置上加贴一张贴锂电池标签纸，由工厂订购
以上Items：
 1. 产品和包装上均要印刷tracking code信息，格式为ZURU常规格式；
 2. 需要我司QC验货之后才能安排出货
 3. 出货方式：  货代自提</t>
  </si>
  <si>
    <t>4500207832-20</t>
  </si>
  <si>
    <t>日期码格式：ZURU INC(BVI) 标准格式                  日期：按实际生产日期
Packaging Info:
77772GQ5：产品包装MA 1L 收缩膜+MA 5L 收藏指南+MA 23L 组装说明+客版PDQ；客版PDQ翻单4500189603；
Remark: 
77772GQ5：
1.77772GQ5-S001-MINI BRANDS-VINYL-SERIES 1-CAPSULE,WITH DEMO,25PCS/GRAVITY PDQ,25PCS/PDQ/CTN;
2.产品包装MA 1L 收缩膜+MA 5L 收藏指南+MA 23L 组装说明+客版PDQ；客版PDQ翻单4500189603；收缩膜上的UPC显示193052090065;
 4  mini vinyls(1 Target US Exclusive),1 accessory;
 3. 外箱正唛左上角位置粘贴条码箱贴纸，每箱只贴一张，由ZURU订购。来料贴纸上显示的客户DPCI# 086-02-8931, UPC显示10193052090062;
以上Items：
 1. 产品和包装上均要印刷tracking code信息，格式为ZURU常规格式；
 2. 需要我司QC验货之后才能安排出货
 3. 出货方式：  货代自提</t>
  </si>
  <si>
    <t>4500207834</t>
  </si>
  <si>
    <t>10001792795-3891</t>
  </si>
  <si>
    <t>4500207834-40</t>
  </si>
  <si>
    <t>日期码格式：ZURU INC(BVI) 标准格式                  日期：按实际生产日期
Packaging Info:
77794UQ1：产品包装 MA 1L黑白警告语说明书+MA 1L 彩盒+MA 1L PDQ+锂电池标签纸
Remark: 
77794UQ1：
1.77794UQ1-S002-MINI BRANDS-VINYL-PLAYSET-SERIES 1-CUBE,8PCS/PDQ,8PCS/PDQ/CTN;
 2. 产品包装 MA 1L黑白警告语说明书+MA 1L 彩盒+MA 1L PDQ; 彩盒上的UPC显示193052090409;
 3. 外箱正唛左上角位置粘贴条码箱贴纸，每箱只贴一张，由ZURU订购。来料贴纸上显示的客户DPCI# 086-02-4085, UPC显示10193052090406;
 4. 带锂电池出货，需在外箱正面或者侧面合适位置上加贴一张贴锂电池标签纸，由工厂订购
以上Items：
 1. 产品和包装上均要印刷tracking code信息，格式为ZURU常规格式；
 2. 需要我司QC验货之后才能安排出货
 3. 出货方式：  货代自提</t>
  </si>
  <si>
    <t>4500207477</t>
  </si>
  <si>
    <t>10001792858-3890</t>
  </si>
  <si>
    <t>4500207477-40</t>
  </si>
  <si>
    <t>6/5条码箱贴纸</t>
  </si>
  <si>
    <t>日期码格式：ZURU  INC(BVI)  标准格式                                    日期：按实际生产日期
Packaging Info:
77794UQ1：产品包装  MA  1L黑白警告语说明书+MA  1L  彩盒+MA  1L  PDQ+锂电池标签纸
Remark:
77794UQ1：
1.77794UQ1-S002-MINI  BRANDS-VINYL-PLAYSET-SERIES  1-CUBE,8PCS/PDQ,8PCS/PDQ/CTN;
   2.  产品包装  MA  1L黑白警告语说明书+MA  1L  彩盒+MA  1L  PDQ;  彩盒上的UPC显示193052090409;
   3.  外箱正唛左上角位置粘贴条码箱贴纸，每箱只贴一张，由ZURU订购。来料贴纸上显示的客户DPCI#  086-02-4085,  UPC显示10193052090406;
   4.  带锂电池出货，需在外箱正面或者侧面合适位置上加贴一张贴锂电池标签纸，由工厂订购
以上Items：
   1.  产品和包装上均要印刷tracking  code信息，格式为ZURU常规格式；
   2.  需要我司QC验货之后才能安排出货
   3.  出货方式：     货代自提</t>
  </si>
  <si>
    <t>4500200936</t>
  </si>
  <si>
    <t>10001792860-3891</t>
  </si>
  <si>
    <t>4500200936-40</t>
  </si>
  <si>
    <t>6/5外箱条码箱贴纸贴纸</t>
  </si>
  <si>
    <t>4500200936-30</t>
  </si>
  <si>
    <t>6/5 SSCC外箱贴纸+锂电池标签纸</t>
  </si>
  <si>
    <t>URBAN OUTFITTERS WHOLESALE, INC</t>
  </si>
  <si>
    <t>4500204662</t>
  </si>
  <si>
    <t>TBC</t>
  </si>
  <si>
    <t>4500204662-20</t>
  </si>
  <si>
    <t>6/11 取消</t>
  </si>
  <si>
    <t>欠客供价格贴 + 3x3inch 大贴纸+UCC-128外箱贴（跟单邮件提供）</t>
  </si>
  <si>
    <t>日期码格式：ZURU INC(BVI) 标准格式                  日期：按实际生产日期
Packaging Info: 1. MA 1L UPC 包装+客供价格贴 + 3x3inch 大贴纸+UCC-128外箱贴（跟单邮件提供）
Remark: 2. 需把打印的Packing List（跟单邮件提供）装在一个信封上，信封贴在首箱正面右上角上，装在开柜门显眼位置方便开柜门卸货时工人取Packing List，按Pack
 ing List点箱数。封柜门（或散货送仓前）前要求工厂拍好图片留底（特别重要，否则可能会产生罚款！）；
 3. 产品和包装上印刷tracking code信息，格式为ZURU常规
 4. 需ZURU QC 验货合格后方可出货</t>
  </si>
  <si>
    <t>4500204662-10</t>
  </si>
  <si>
    <t>欠供价格贴+ 3x3inch 大贴纸+UCC-128外箱贴</t>
  </si>
  <si>
    <t>K33013X</t>
  </si>
  <si>
    <t>TBD</t>
  </si>
  <si>
    <t>K33013X-20</t>
  </si>
  <si>
    <r>
      <rPr>
        <sz val="12"/>
        <color rgb="FFFF0000"/>
        <rFont val="宋体"/>
        <charset val="134"/>
      </rPr>
      <t>日期码格式：ZURU INC(BVI) 标准格式</t>
    </r>
    <r>
      <rPr>
        <sz val="10"/>
        <color rgb="FFFF0000"/>
        <rFont val="等线"/>
        <charset val="134"/>
      </rPr>
      <t xml:space="preserve">                  日期</t>
    </r>
    <r>
      <rPr>
        <sz val="10"/>
        <color rgb="FFFF0000"/>
        <rFont val="汉仪书宋二KW"/>
        <charset val="134"/>
      </rPr>
      <t>：</t>
    </r>
    <r>
      <rPr>
        <sz val="10"/>
        <color rgb="FFFF0000"/>
        <rFont val="等线"/>
        <charset val="134"/>
      </rPr>
      <t xml:space="preserve">按实际生产日期
Packaging Info: 1. ZURU MA </t>
    </r>
    <r>
      <rPr>
        <sz val="10"/>
        <color rgb="FFFF0000"/>
        <rFont val="汉仪书宋二KW"/>
        <charset val="134"/>
      </rPr>
      <t>（</t>
    </r>
    <r>
      <rPr>
        <sz val="10"/>
        <color rgb="FFFF0000"/>
        <rFont val="等线"/>
        <charset val="134"/>
      </rPr>
      <t>首选1L/多语可以接受</t>
    </r>
    <r>
      <rPr>
        <sz val="10"/>
        <color rgb="FFFF0000"/>
        <rFont val="汉仪书宋二KW"/>
        <charset val="134"/>
      </rPr>
      <t>）</t>
    </r>
    <r>
      <rPr>
        <sz val="10"/>
        <color rgb="FFFF0000"/>
        <rFont val="等线"/>
        <charset val="134"/>
      </rPr>
      <t>UPC包装
Remark:2. 产品和包装上印刷tracking code信息</t>
    </r>
    <r>
      <rPr>
        <sz val="10"/>
        <color rgb="FFFF0000"/>
        <rFont val="汉仪书宋二KW"/>
        <charset val="134"/>
      </rPr>
      <t>，</t>
    </r>
    <r>
      <rPr>
        <sz val="10"/>
        <color rgb="FFFF0000"/>
        <rFont val="等线"/>
        <charset val="134"/>
      </rPr>
      <t>格式为ZURU常规
3. 外箱需要印ZURU LOGO, 箱唛资料由跟单提供
4. ZURU 验货通过后便可出货</t>
    </r>
  </si>
  <si>
    <t>jessi@zuru.com</t>
  </si>
  <si>
    <t>K33013X-30</t>
  </si>
  <si>
    <r>
      <rPr>
        <sz val="12"/>
        <color rgb="FFFF0000"/>
        <rFont val="宋体"/>
        <charset val="134"/>
        <scheme val="minor"/>
      </rPr>
      <t>日期码格式：ZURU INC(BVI) 标准格式</t>
    </r>
    <r>
      <rPr>
        <sz val="12"/>
        <color rgb="FFFF0000"/>
        <rFont val="等线"/>
        <charset val="134"/>
      </rPr>
      <t xml:space="preserve">                  日期</t>
    </r>
    <r>
      <rPr>
        <sz val="12"/>
        <color rgb="FFFF0000"/>
        <rFont val="汉仪书宋二KW"/>
        <charset val="134"/>
      </rPr>
      <t>：</t>
    </r>
    <r>
      <rPr>
        <sz val="12"/>
        <color rgb="FFFF0000"/>
        <rFont val="等线"/>
        <charset val="134"/>
      </rPr>
      <t xml:space="preserve">按实际生产日期
Packaging Info: 1. ZURU MA </t>
    </r>
    <r>
      <rPr>
        <sz val="12"/>
        <color rgb="FFFF0000"/>
        <rFont val="汉仪书宋二KW"/>
        <charset val="134"/>
      </rPr>
      <t>（</t>
    </r>
    <r>
      <rPr>
        <sz val="12"/>
        <color rgb="FFFF0000"/>
        <rFont val="等线"/>
        <charset val="134"/>
      </rPr>
      <t>首选1L/多语可以接受</t>
    </r>
    <r>
      <rPr>
        <sz val="12"/>
        <color rgb="FFFF0000"/>
        <rFont val="汉仪书宋二KW"/>
        <charset val="134"/>
      </rPr>
      <t>）</t>
    </r>
    <r>
      <rPr>
        <sz val="12"/>
        <color rgb="FFFF0000"/>
        <rFont val="等线"/>
        <charset val="134"/>
      </rPr>
      <t>UPC包装
Remark:2. 产品和包装上印刷tracking code信息</t>
    </r>
    <r>
      <rPr>
        <sz val="12"/>
        <color rgb="FFFF0000"/>
        <rFont val="汉仪书宋二KW"/>
        <charset val="134"/>
      </rPr>
      <t>，</t>
    </r>
    <r>
      <rPr>
        <sz val="12"/>
        <color rgb="FFFF0000"/>
        <rFont val="等线"/>
        <charset val="134"/>
      </rPr>
      <t>格式为ZURU常规
3. 外箱需要印ZURU LOGO, 箱唛资料由跟单提供
4. ZURU 验货通过后便可出货</t>
    </r>
  </si>
  <si>
    <t>4500211792-40</t>
  </si>
  <si>
    <r>
      <rPr>
        <sz val="12"/>
        <color rgb="FFFF0000"/>
        <rFont val="宋体"/>
        <charset val="134"/>
        <scheme val="minor"/>
      </rPr>
      <t>日期码格式：ZURU INC(BVI) 标准格式</t>
    </r>
    <r>
      <rPr>
        <sz val="12"/>
        <color rgb="FFFF0000"/>
        <rFont val="等线"/>
        <charset val="134"/>
      </rPr>
      <t xml:space="preserve">                  日期</t>
    </r>
    <r>
      <rPr>
        <sz val="12"/>
        <color rgb="FFFF0000"/>
        <rFont val="汉仪书宋二KW"/>
        <charset val="134"/>
      </rPr>
      <t>：</t>
    </r>
    <r>
      <rPr>
        <sz val="12"/>
        <color rgb="FFFF0000"/>
        <rFont val="等线"/>
        <charset val="134"/>
      </rPr>
      <t>按实际生产日期
Packaging Info: 
77794UQ1 MA 多语包装+进口商贴纸+UPC贴纸+箱唛
Remark:</t>
    </r>
  </si>
  <si>
    <t>4500211453</t>
  </si>
  <si>
    <t>5200010522</t>
  </si>
  <si>
    <t>4500211453-10</t>
  </si>
  <si>
    <r>
      <rPr>
        <sz val="12"/>
        <color rgb="FFFF0000"/>
        <rFont val="宋体"/>
        <charset val="134"/>
        <scheme val="minor"/>
      </rPr>
      <t>日期码格式：ZURU INC(BVI) 标准格式</t>
    </r>
    <r>
      <rPr>
        <sz val="12"/>
        <color rgb="FFFF0000"/>
        <rFont val="等线"/>
        <charset val="134"/>
      </rPr>
      <t xml:space="preserve">                  日期</t>
    </r>
    <r>
      <rPr>
        <sz val="12"/>
        <color rgb="FFFF0000"/>
        <rFont val="汉仪书宋二KW"/>
        <charset val="134"/>
      </rPr>
      <t>：</t>
    </r>
    <r>
      <rPr>
        <sz val="12"/>
        <color rgb="FFFF0000"/>
        <rFont val="等线"/>
        <charset val="134"/>
      </rPr>
      <t>按实际生产日期
Packaging Info: #77794:  MA UPC版包装(1L或3L都可,3L要加UPC条码)</t>
    </r>
    <r>
      <rPr>
        <sz val="12"/>
        <color rgb="FFFF0000"/>
        <rFont val="汉仪书宋二KW"/>
        <charset val="134"/>
      </rPr>
      <t>，</t>
    </r>
    <r>
      <rPr>
        <sz val="12"/>
        <color rgb="FFFF0000"/>
        <rFont val="等线"/>
        <charset val="134"/>
      </rPr>
      <t xml:space="preserve">出口美国。
Remark: 1.Amazon domestic 订单。出口美国。外箱最长边不能超过25"  </t>
    </r>
    <r>
      <rPr>
        <sz val="12"/>
        <color rgb="FFFF0000"/>
        <rFont val="汉仪书宋二KW"/>
        <charset val="134"/>
      </rPr>
      <t>（</t>
    </r>
    <r>
      <rPr>
        <sz val="12"/>
        <color rgb="FFFF0000"/>
        <rFont val="等线"/>
        <charset val="134"/>
      </rPr>
      <t>超过了</t>
    </r>
    <r>
      <rPr>
        <sz val="12"/>
        <color rgb="FFFF0000"/>
        <rFont val="汉仪书宋二KW"/>
        <charset val="134"/>
      </rPr>
      <t>，</t>
    </r>
    <r>
      <rPr>
        <sz val="12"/>
        <color rgb="FFFF0000"/>
        <rFont val="等线"/>
        <charset val="134"/>
      </rPr>
      <t>case pack只能为1</t>
    </r>
    <r>
      <rPr>
        <sz val="12"/>
        <color rgb="FFFF0000"/>
        <rFont val="汉仪书宋二KW"/>
        <charset val="134"/>
      </rPr>
      <t>），</t>
    </r>
    <r>
      <rPr>
        <sz val="12"/>
        <color rgb="FFFF0000"/>
        <rFont val="等线"/>
        <charset val="134"/>
      </rPr>
      <t>不符合要求的大货</t>
    </r>
    <r>
      <rPr>
        <sz val="12"/>
        <color rgb="FFFF0000"/>
        <rFont val="汉仪书宋二KW"/>
        <charset val="134"/>
      </rPr>
      <t>，</t>
    </r>
    <r>
      <rPr>
        <sz val="12"/>
        <color rgb="FFFF0000"/>
        <rFont val="等线"/>
        <charset val="134"/>
      </rPr>
      <t>一律不接受。
2.无第三方验货/测试要求。
3. 日期码使用ZURU标准版本。
4.如果大货有要求入邮包盒</t>
    </r>
    <r>
      <rPr>
        <sz val="12"/>
        <color rgb="FFFF0000"/>
        <rFont val="汉仪书宋二KW"/>
        <charset val="134"/>
      </rPr>
      <t>，</t>
    </r>
    <r>
      <rPr>
        <sz val="12"/>
        <color rgb="FFFF0000"/>
        <rFont val="等线"/>
        <charset val="134"/>
      </rPr>
      <t>则对应的邮包盒上面要打上日期码。</t>
    </r>
  </si>
  <si>
    <t>4500211453-20</t>
  </si>
  <si>
    <t>日期码格式：ZURU INC(BVI) 标准格式                  日期：按实际生产日期
Packaging Info:
#77876:2PK MA 1L UPC版#77772入PVC桶，3L无UPC客版收缩膜，客版收缩膜和3L铜版纸图稿翻单4500192506.（两个球的配比不能重复）。
Remark: 1.Amazon domestic 订单。出口美国。外箱最长边不能超过25"  （超过了，case pack只能为1），不符合要求的大货，一律不接受。
2.无第三方验货/测试要求。
3. 日期码使用ZURU标准版本。
4.如果大货有要求入邮包盒，则对应的邮包盒上面要打上日期码。</t>
  </si>
  <si>
    <t>4500204054</t>
  </si>
  <si>
    <t>4400561390</t>
  </si>
  <si>
    <t>4500204054-50</t>
  </si>
  <si>
    <t>6/16 空运</t>
  </si>
  <si>
    <t>5/4 确认</t>
  </si>
  <si>
    <t>日期码格式：ZURU INC(BVI) 标准格式                  日期：按实际生产日期
Packaging Info: 
"77772GQ2: MA PDQ (优先多语)+客版5L收缩膜 (翻PO#4500191961) +客版5L收藏指南(不含Messy唱片, 翻PO#4500200925)+MA 23L组装说明书+MA内袋+C版WEEE声明
(不带电池)走货欧洲通用29L说明书
EAN#4894680051133
*必须移除Messy Lola Young (VINYL-S1-021) 这个唱片, 比例按PM更新的安排, 如未按要求做货被客罚由工厂承担责任*"
Remark: Smyths 法国
 1. 请准时出货，推期会有罚款；
 2. 所有产品按符合欧洲标准走货，需要是不含微塑料版本。
 3. 电子产品需增加一张C版WEEE声明29L通用黑白说明书(不接受A版本，翻译有误)，区分带电池和不带电池出货版本, 如已做客版说明书可忽略此要求；如包装备注
上缺少此部分信息，请提醒跟单更新备注。
 4. 出口法国的产品, 法规规定禁止在包装和共公众用的印刷品中使用矿物油中含有的物质, 包装印刷油墨中含有的MOAH/MOSH的质量浓度不能超过0.1%, 否则出货
到法国被抽检出现问题, 供应商需要对此负责;
5.订单备注显示有分批的(不同仓库/订单号), 一定要区分客户订单号做货出货，否则会导致罚款  。
6.包装日期码按ZURU格式即可，请确保不迟于外箱日期码，可等于或者早于外箱日期码，必须为法定工作日。
7.做货前请先复核包装条码与订单是否一致再安排，对不上的需与ZURU跟单确认再安排。
8.包装必须含法国回收标(Sorting Label)，如没有，请提醒跟单提供贴纸资料。</t>
  </si>
  <si>
    <t>4400561391</t>
  </si>
  <si>
    <t>4500204054-90</t>
  </si>
  <si>
    <t>4500204054-60</t>
  </si>
  <si>
    <t>日期码格式：ZURU INC(BVI) 标准格式                  日期：按实际生产日期
Packaging Info: 
"77794UQ1: 最新MA 3L底座/纸卡/贴纸+MA 23L游戏说明书+MA 23L锂电池说明书+MA 23L警示说明书+MA PDQ (优先多语)+D版WEEE声明(带电池)走货欧洲通用29L说明
书
EAN#4894680051430
RECHARGEABLE LITHIUM BATTERY(INCLUDED)
*外箱需加一张UN3481锂电池运输标签*"
Remark: Smyths 法国
 1. 请准时出货，推期会有罚款；
 2. 所有产品按符合欧洲标准走货，需要是不含微塑料版本。
 3. 电子产品需增加一张C版WEEE声明29L通用黑白说明书(不接受A版本，翻译有误)，区分带电池和不带电池出货版本, 如已做客版说明书可忽略此要求；如包装备注
上缺少此部分信息，请提醒跟单更新备注。
 4. 出口法国的产品, 法规规定禁止在包装和共公众用的印刷品中使用矿物油中含有的物质, 包装印刷油墨中含有的MOAH/MOSH的质量浓度不能超过0.1%, 否则出货
到法国被抽检出现问题, 供应商需要对此负责;
5.订单备注显示有分批的(不同仓库/订单号), 一定要区分客户订单号做货出货，否则会导致罚款  。
6.包装日期码按ZURU格式即可，请确保不迟于外箱日期码，可等于或者早于外箱日期码，必须为法定工作日。
7.做货前请先复核包装条码与订单是否一致再安排，对不上的需与ZURU跟单确认再安排。
8.包装必须含法国回收标(Sorting Label)，如没有，请提醒跟单提供贴纸资料。</t>
  </si>
  <si>
    <t>4500204054-100</t>
  </si>
  <si>
    <t>日期码格式：ZURU INC(BVI) 标准格式                  日期：按实际生产日期
Packaging Info: "9574: MA 3L-23Lwarning EAN彩盒+MA 5L-9Lwarning说明书+C版WEEE声明(不带电池)走货欧洲通用29L说明书
EAN#4894680057265
Ratio：2pcs baby capybara: 3pcs baby capybara= 5:1
3PCS AAA BATTERIES(NOT INCLUDED)"
"9565: 最新MA3L-5L EAN收缩膜+MA5L-6Lwarning收藏指南+MA PDQ+ WEEE声明(不带电池)走货欧洲 29L-C版通用黑白说明书
4 assortment, Orange:blue:pink:brown=5:5:6:6"
"77772GQ2: MA PDQ (优先多语)+客版5L收缩膜 (翻PO#4500191961) +客版5L收藏指南(不含Messy唱片, 翻PO#4500200925)+MA 23L组装说明书+MA内袋+C版WEEE声明
(不带电池)走货欧洲通用29L说明书
EAN#4894680051133
*必须移除Messy Lola Young (VINYL-S1-021) 这个唱片, 比例按PM更新的安排, 如未按要求做货被客罚由工厂承担责任*"
"77794UQ1: 最新MA 3L底座/纸卡/贴纸+MA 23L游戏说明书+MA 23L锂电池说明书+MA 23L警示说明书+MA PDQ (优先多语)+D版WEEE声明(带电池)走货欧洲通用29L说明
书
EAN#4894680051430
RECHARGEABLE LITHIUM BATTERY(INCLUDED)
*外箱需加一张UN3481锂电池运输标签*"
"77711GQ2: 最新MA PDQ(优先3L)+MA-3L EAN收缩膜+1张法国sorting label贴纸(翻PO#4500182619) + MA-23L说明书 + MA-5-23L警语收藏指南 + MA-5L creative
说明书
EAN: 4894680043350"
"77843GQ2: 最新MA 3L收缩膜+1张通用带电法国sorting label 贴纸(贴球顶)+MA 5L复合袋+MA 5L收藏指南+MA 23L说明书+MA PDQ(优先多语)+D版WEEE声明(带电池
)走货欧洲通用29L说明书(特别留意不要用错说明书);
带电的8款[3PCS AG13 BATTERIES(INCLUDED)]+D版WEEE声明(带电池)走货欧洲通用29L说明书;
不带电的2款[蛋糕款和寿司款]不需要加WEEE说明书;
EAN#4894680057753;
Ratio: PIZZA: HAMBURGER: PANCAKES: BUBBLE TEA:  Matcha TEA: TACO: SUSHI: DONUT: Charcuterie Board: RAINBOW CAKE(Rare)=10.88%: 10.88%: 10.88%: 10
.88%: 10.88%: 10.88%: 10.88%: 10.88%: 10.88%: 2.08%=68:68:68:68:68:68:68:68:68:13"
"71172: MA3L-23Lwarning彩盒(含法国sorting label)+D版WEEE声明(带电池)走货欧洲通用29L说明书
EAN#4894680057272
3PCS AA BATTERIES(INCLUDED)"
Remark: Smyths 法国
 1. 请准时出货，推期会有罚款；
 2. 所有产品按符合欧洲标准走货，需要是不含微塑料版本。
 3. 电子产品需增加一张C版WEEE声明29L通用黑白说明书(不接受A版本，翻译有误)，区分带电池和不带电池出货版本, 如已做客版说明书可忽略此要求；如包装备注
上缺少此部分信息，请提醒跟单更新备注。
 4. 出口法国的产品, 法规规定禁止在包装和共公众用的印刷品中使用矿物油中含有的物质, 包装印刷油墨中含有的MOAH/MOSH的质量浓度不能超过0.1%, 否则出货
到法国被抽检出现问题, 供应商需要对此负责;
5.订单备注显示有分批的(不同仓库/订单号), 一定要区分客户订单号做货出货，否则会导致罚款  。
6.包装日期码按ZURU格式即可，请确保不迟于外箱日期码，可等于或者早于外箱日期码，必须为法定工作日。
7.做货前请先复核包装条码与订单是否一致再安排，对不上的需与ZURU跟单确认再安排。
8.包装必须含法国回收标(Sorting Label)，如没有，请提醒跟单提供贴纸资料。</t>
  </si>
  <si>
    <t>4500203128</t>
  </si>
  <si>
    <t>4400558686</t>
  </si>
  <si>
    <t>4500203128-30</t>
  </si>
  <si>
    <t>日期码格式：ZURU INC(BVI) 标准格式                  日期：按实际生产日期
Packaging Info: "
"77794UQ1: 最新MA 3L底座/纸卡/贴纸+MA 23L游戏说明书+MA 23L锂电池说明书+MA 23L警示说明书+MA PDQ (优先多语)
EAN#4894680051430
RECHARGEABLE LITHIUM BATTERY(INCLUDED)
*外箱需加一张UN3481锂电池运输标签*"
*必须移除Messy Lola Young (VINYL-S1-021) 这个唱片, 比例按PM更新的安排, 如未按要求做货被客罚由工厂承担责任*
Remark: Smyths 英国/爱尔兰
1. 请准时出货，推期会有罚款；
2. 所有产品按符合欧洲标准走货，需要是不含微塑料版本。
3.包装日期码按ZURU格式即可，请确保不迟于外箱日期码，可等于或者早于外箱日期码，必须为法定工作日，印刷前请先检查外箱日期码。
4.请注意检查产品及包装应带UKCA图标（14+产品除外），包装显示ZURU UK LTD/ZURU France地址信息，QC部门请查核，如有问题与跟单确认
5.电子产品需增加一张C版WEEE声明29L通用黑白说明书(不接受A版本，翻译有误)，区分带电池和不带电池出货版本, 如已做客版说明书可忽略此要求；如包装备注
上缺少此部分信息，请提醒跟单更新备注。
6.订单备注显示有分批的(不同仓库/订单号), 一定要区分客户订单号做货出货，否则会导致罚款  。
7.做货前请先复核包装条码与订单是否一致再安排，对不上的需与ZURU跟单确认再安排。
8.包装必须含法国回收标(Sorting Label)，如没有，请提醒跟单提供贴纸资料。</t>
  </si>
  <si>
    <t>4400561397</t>
  </si>
  <si>
    <t>4500203128-70</t>
  </si>
  <si>
    <t>日期码格式：ZURU INC(BVI) 标准格式                  日期：按实际生产日期
Packaging Info: 
"77772GQ2: MA PDQ (优先多语)+客版5L收缩膜 (翻PO#4500191961) +客版5L收藏指南(翻PO#4500200925)+MA 23L组装说明书+MA内袋
EAN#4894680051133
*必须移除Messy Lola Young (VINYL-S1-021) 这个唱片, 比例按PM更新的安排, 如未按要求做货被客罚由工厂承担责任*
Remark: Smyths 英国/爱尔兰
1. 请准时出货，推期会有罚款；
2. 所有产品按符合欧洲标准走货，需要是不含微塑料版本。
3.包装日期码按ZURU格式即可，请确保不迟于外箱日期码，可等于或者早于外箱日期码，必须为法定工作日，印刷前请先检查外箱日期码。
4.请注意检查产品及包装应带UKCA图标（14+产品除外），包装显示ZURU UK LTD/ZURU France地址信息，QC部门请查核，如有问题与跟单确认
5.电子产品需增加一张C版WEEE声明29L通用黑白说明书(不接受A版本，翻译有误)，区分带电池和不带电池出货版本, 如已做客版说明书可忽略此要求；如包装备注
上缺少此部分信息，请提醒跟单更新备注。
6.订单备注显示有分批的(不同仓库/订单号), 一定要区分客户订单号做货出货，否则会导致罚款  。
7.做货前请先复核包装条码与订单是否一致再安排，对不上的需与ZURU跟单确认再安排。
8.包装必须含法国回收标(Sorting Label)，如没有，请提醒跟单提供贴纸资料。</t>
  </si>
  <si>
    <t>MO260509-10</t>
  </si>
  <si>
    <t>MO260509-20</t>
  </si>
  <si>
    <t>MO260509-30</t>
  </si>
  <si>
    <t>4500204025</t>
  </si>
  <si>
    <t>4400558690</t>
  </si>
  <si>
    <t>4500204025-10</t>
  </si>
  <si>
    <t>日期码格式：ZURU INC(BVI) 标准格式                  日期：按实际生产日期
Packaging Info: "77772GQ2: MA PDQ (优先多语)+客版5L收缩膜 (翻PO#4500191961) +客版5L收藏指南(不含Messy唱片, 翻PO#4500200925)+MA 23L组装说明书+MA内袋+C版WEEE声明
(不带电池)走货欧洲通用29L说明书
EAN#4894680051133
*必须移除Messy Lola Young (VINYL-S1-021) 这个唱片, 比例按PM更新的安排, 如未按要求做货被客罚由工厂承担责任*
UPC#193052099693
 7 Assortments; Rare assortment 1/24, others even ratio
 *外箱四面需要贴一张限制上架日期贴纸(GLOBAL ONSHELF DATE:2026/6/14), 翻PO#4500203953*"
Remark: Smyths 英国/爱尔兰
 1. 请准时出货，推期会有罚款；
 2. 所有产品按符合欧洲标准走货，需要是不含微塑料版本。
3.包装日期码按ZURU格式即可，请确保不迟于外箱日期码，可等于或者早于外箱日期码，必须为法定工作日，印刷前请先检查外箱日期码。
4.请注意检查产品及包装应带UKCA图标（14+产品除外），包装显示ZURU UK LTD/ZURU France地址信息，QC部门请查核，如有问题与跟单确认
5.电子产品需增加一张C版WEEE声明29L通用黑白说明书(不接受A版本，翻译有误)，区分带电池和不带电池出货版本, 如已做客版说明书可忽略此要求；如包装备注
上缺少此部分信息，请提醒跟单更新备注。
6.订单备注显示有分批的(不同仓库/订单号), 一定要区分客户订单号做货出货，否则会导致罚款  。
7.做货前请先复核包装条码与订单是否一致再安排，对不上的需与ZURU跟单确认再安排。
8.包装必须含法国回收标(Sorting Label)，如没有，请提醒跟单提供贴纸资料。</t>
  </si>
  <si>
    <t>4500203953</t>
  </si>
  <si>
    <t>4400560177</t>
  </si>
  <si>
    <t>4500203953-10</t>
  </si>
  <si>
    <t>日期码格式：ZURU INC(BVI) 标准格式                  日期：按实际生产日期
Packaging Info: "77794UQ1: 最新MA 3L底座/纸卡/贴纸+MA 23L游戏说明书+MA 23L锂电池说明书+MA 23L警示说明书+MA PDQ (优先多语)
EAN#4894680051430
RECHARGEABLE LITHIUM BATTERY(INCLUDED)
*外箱需加一张UN3481锂电池运输标签*"
Remark: Smyths 英国/爱尔兰
 1. 请准时出货，推期会有罚款；
 2. 所有产品按符合欧洲标准走货，需要是不含微塑料版本。
3.包装日期码按ZURU格式即可，请确保不迟于外箱日期码，可等于或者早于外箱日期码，必须为法定工作日，印刷前请先检查外箱日期码。
4.请注意检查产品及包装应带UKCA图标（14+产品除外），包装显示ZURU UK LTD/ZURU France地址信息，QC部门请查核，如有问题与跟单确认
5.电子产品需增加一张C版WEEE声明29L通用黑白说明书(不接受A版本，翻译有误)，区分带电池和不带电池出货版本, 如已做客版说明书可忽略此要求；如包装备注
上缺少此部分信息，请提醒跟单更新备注。
6.订单备注显示有分批的(不同仓库/订单号), 一定要区分客户订单号做货出货，否则会导致罚款  。
7.做货前请先复核包装条码与订单是否一致再安排，对不上的需与ZURU跟单确认再安排。
8.包装必须含法国回收标(Sorting Label)，如没有，请提醒跟单提供贴纸资料。</t>
  </si>
  <si>
    <t>4500203953-20</t>
  </si>
  <si>
    <t>日期码格式：ZURU INC(BVI) 标准格式                  日期：按实际生产日期
Packaging Info:
"77772GQ2: MA PDQ (优先多语)+客版5L收缩膜 (翻PO#4500191961) +客版5L收藏指南(不含Messy唱片, 翻PO#4500200925)+MA 23L组装说明书+MA内袋+C版WEEE声明
(不带电池)走货欧洲通用29L说明书
EAN#4894680051133
*必须移除Messy Lola Young (VINYL-S1-021) 这个唱片, 比例按PM更新的安排, 如未按要求做货被客罚由工厂承担责任*
Remark: Smyths 英国/爱尔兰
 1. 请准时出货，推期会有罚款；
 2. 所有产品按符合欧洲标准走货，需要是不含微塑料版本。
3.包装日期码按ZURU格式即可，请确保不迟于外箱日期码，可等于或者早于外箱日期码，必须为法定工作日，印刷前请先检查外箱日期码。
4.请注意检查产品及包装应带UKCA图标（14+产品除外），包装显示ZURU UK LTD/ZURU France地址信息，QC部门请查核，如有问题与跟单确认
5.电子产品需增加一张C版WEEE声明29L通用黑白说明书(不接受A版本，翻译有误)，区分带电池和不带电池出货版本, 如已做客版说明书可忽略此要求；如包装备注
上缺少此部分信息，请提醒跟单更新备注。
6.订单备注显示有分批的(不同仓库/订单号), 一定要区分客户订单号做货出货，否则会导致罚款  。
7.做货前请先复核包装条码与订单是否一致再安排，对不上的需与ZURU跟单确认再安排。
8.包装必须含法国回收标(Sorting Label)，如没有，请提醒跟单提供贴纸资料。</t>
  </si>
  <si>
    <t>BOL.COM</t>
  </si>
  <si>
    <t>P2607943</t>
  </si>
  <si>
    <t>4500210644-10</t>
  </si>
  <si>
    <t>欠贴纸(1张含NL警告语+1张含EAN)</t>
  </si>
  <si>
    <t>日期码格式：ZURU INC(BVI) 标准格式 日期：按实际生产日期
Packaging Info: BOL.COM(77876)
1. 77876:2pk 77772 VINYL into PVC tube,12tubes/ctn; 客版 3L(3L warning 无条码,翻单4500192506)收缩膜+MA (5L warning) B版收藏指南+MA 23L warning
A组装黑白说明书+MA其它最新配套包装+客版3L(3L warning UPC)彩卡(翻单4500192506)+2张贴纸(1张含NL警告语+1张含EAN)+不带电池C版WEEE说明书
2. 最晚验货时间7/21
Remark: 1. 出欧洲产品不可含闪粉或者微塑料，若所涉产品无闪粉或不含微塑料可忽略此点；
2. 5 Surprise or Mini Brands涉及包装是2个及2个以上的球入PVC桶包装时，单个球上若有UPC#或者EAN#，请用白色贴纸覆盖住；
3. 箱唛资料按照提供的要求去做即可，无需再发回我方确认；
4.柜货产品务必拉网且要拉紧，拉网要求： A: 网要结实同时网格要细，纸箱不能从网格处跌落下来 B: 打网固定8-10个点。请提供拉网的装柜照片给船务确认
后柜子再离厂。</t>
  </si>
  <si>
    <r>
      <rPr>
        <sz val="12"/>
        <color rgb="FFFF0000"/>
        <rFont val="宋体"/>
        <charset val="134"/>
      </rPr>
      <t>Luna</t>
    </r>
    <r>
      <rPr>
        <sz val="10"/>
        <color rgb="FFFF0000"/>
        <rFont val="宋体"/>
        <charset val="134"/>
        <scheme val="minor"/>
      </rPr>
      <t xml:space="preserve">  Lin</t>
    </r>
  </si>
  <si>
    <t>4500205699</t>
  </si>
  <si>
    <t>4500205699-10</t>
  </si>
  <si>
    <t>日期码格式：ZURU INC(BVI) 标准格式 日期：按实际生产日期
Packaging Info: 1. 包装方式：MA UPC优先1L最新包装，出口美国；
 2. 产品和包装上印刷tracking code信息，格式为ZURU常规；
 3. ZURU QC 验货合格后即可出货.
Remark: 4. 77772GQ2 PDQ上需要贴一张UPC 条码贴纸,UPC显示：193052090065，贴纸AW直接翻单4500194334，工厂自行采购.</t>
  </si>
  <si>
    <t>4500205686</t>
  </si>
  <si>
    <t>4500205686-10</t>
  </si>
  <si>
    <t>P2607948</t>
  </si>
  <si>
    <t>4500210649-10</t>
  </si>
  <si>
    <t>欠EAN贴纸)+带电池D版WEEE说明书+外箱锂电池贴纸</t>
  </si>
  <si>
    <t>日期码格式：ZURU  INC(BVI)  标准格式                                    日期：按实际生产日期
Packaging Info: BOL.COM(77794)
  1.  77794:VINYL-SERIES  1,  PLAYSET-CUBE,16PCS/CTN,RECHARGEABLE  LITHIUM  BATTERY(INCLUDED);    MA  3L(3L  warning  EAN)  B版彩盒+23L  说明书+23L欧洲澳新通
用Warning  instruction+其它MA  最新配套包装+1张贴纸（1张EAN贴纸)+带电池D版WEEE说明书+外箱锂电池贴纸
  2.  最晚验货时间8/26
Remark: 1.  出欧洲产品不可含闪粉或者微塑料，若所涉产品无闪粉或不含微塑料可忽略此点；
  2.  5  Surprise  or  Mini  Brands涉及包装是2个及2个以上的球入PVC桶包装时，单个球上若有UPC#或者EAN#，请用白色贴纸覆盖住；
  3.  箱唛资料按照提供的要求去做即可，无需再发回我方确认；
4.柜货产品务必拉网且要拉紧，拉网要求：    A:  网要结实同时网格要细，纸箱不能从网格处跌落下来        B:  打网固定8-10个点。请提供拉网的装柜照片给船务确认
后柜子再离厂。</t>
  </si>
  <si>
    <t>4500194401-40</t>
  </si>
  <si>
    <t xml:space="preserve">产品，包装，外箱Batch code: 191728/06/2026, </t>
  </si>
  <si>
    <t>日期码格式：191728/06/2026 日期：
Packaging Info: 
77772GQ1: 最新MA3L PDQ+PDQ条码贴纸+3L EAN包装+德语警语贴纸+5L+23L警语收藏指南+23L说明书+欧洲通用30L B版或 29L WEEE说明书(不带电池)
Remark: 1. 出口欧洲，微塑料需符合法规。
2. 产品，包装，外箱Batch code: 191728/06/2026, 布标按MA日期码即可。
3. 外箱上方需加隔板，以保护开箱时不被划破产品。外箱不可打釘及打帶。 每箱不得超过5立方英尺，重量不得超过15公斤。
4. 封箱胶带不能为PVC材质，需为PP 或者 OPP胶或者non-phthalate材料
5. 此单出货前需要提供3套大货样品给客人确认放货，需准时寄出避免影响出货。
6. 此单需准时出货，推期会有罚款
7. 任何彩盒及陳列盒一定要用文書膠紙貼於開口的位置 , 不能使用封箱膠紙. (如常规包装中彩盒和陈列盒无封口需求的，则无需再额外加胶纸)
8. 外箱不可打釘及打帶
9. 所有出往GAS市场(德国/奥地利/瑞士)的电子产品身上需要加字唛，为ZURU FRANCE 地址，需跟包装上的地址一致 (如无电子产品，产品布标有此地址，或产品太
小无法增加可忽略此信息。如产品无法加字唛，需让对应跟单提供产品贴纸资料)
新地址：ZURU France 33 rue Paul Meurice 75020 Paris, France
旧地址：ZURU France 1/3, Rue d'Argenteuil 95210 SAINT-GRATIEN, FRANCE
10. 所有出往GAS市场(德国/奥地利/瑞士)的电子产品需增加一张欧洲通用WEEE声明说明书，区分带电池和不带电池版本, 如已做客版说明书可忽略此要求。
11. 所有出往GAS市场(德国/奥地利/瑞士)订单，化学品需无堋无香版本</t>
  </si>
  <si>
    <t>KOHL'S, INC.</t>
  </si>
  <si>
    <t>K0511H</t>
  </si>
  <si>
    <t>K0511H-20</t>
  </si>
  <si>
    <t>已转单4500208214</t>
  </si>
  <si>
    <t>欠外箱贴纸</t>
  </si>
  <si>
    <t>Date code format: Standard format                  Date：Manufactory DatePackaging Info: 1. 此为Kohl's store 订单, MA UPC包装(首选1L) + 价格贴纸 （不能覆盖mad in China 字样）+ 客供外箱贴纸
Remark: 2. 外箱印刷 ZURU LOGO + MADE IN CHINA + 定位框，尺寸4"x6" (用于黏贴外箱贴）
 3. 无箱唛但需提供每款实际外箱尺寸排版确认定位框，store 订单的定位框位置要在：箱子的最大面朝上后，定位框在箱子的第二大面的右下角，距离箱子右边3英寸，距离底部1.25英寸, 贴纸要按定位框贴，位置与方向贴不对会有客户罚款需由工厂承担
外箱贴落在封箱面的：贴纸的条码是不可以落在箱子开口处以及折角处的， 这样都是会影响客人扫描导致罚款。 若有这样的情况需要和跟单沟通后再粘贴
 4. 产品入箱后，外箱的每个面都需要是平整，不能有鼓起
 5. 外箱毛重超过35LB 外箱四面需要加黄标贴
 6. 收到外箱贴纸需要扫描上传ICE系统（出货前必须完成），上传的条码信息必须跟实际出货一致，贴纸备品不需要扫描。如有不同产生的罚款由工厂承担。
 7. 需经ZURU验货通过后才可出货。
 8. 客户有严格要求，若由工厂导致的罚款ZURU 都会向工厂收回。</t>
  </si>
  <si>
    <t>jessi</t>
  </si>
  <si>
    <t>K0511H-40</t>
  </si>
  <si>
    <t>K0511H-10</t>
  </si>
  <si>
    <t>K0511H-30</t>
  </si>
  <si>
    <t>Wal-mart DOT COM</t>
  </si>
  <si>
    <t>MO20260522</t>
  </si>
  <si>
    <t>MO20260522-10</t>
  </si>
  <si>
    <t>PRODUCT REQUERIMENTSPACKAGING STYLE1.包装要求：
77772：MA 1L A版收缩膜+MA 5L A版收藏指南+MA 23L A版说明书+MA A版纸袋；
77794：MA 1L B版callout纸卡+MA 23L 玩法说明书+MA 23L 警告语说明书
每pcs产品上要贴1张RFID贴纸，贴纸由ZURU提供，贴纸位置请严格按照我们签回的签板；
2. 外箱印刷带条码的RFID箱唛：RFID紫色色带+WM Dept.图标+RFID图标+ITF-14条码，四面右下角印刷ZURU logo, ITF条码只印刷在正唛一面，在加印的时候确保条形码能扫描出来，外箱侧面任一角落加印："MADE IN CHINA" 字样；箱唛翻单：4500195546/4500196335
3. 在产品上和包装上要有日期码、以及要有MADE IN CHINA和ZURU字样；
4. 产品如有扎带口要剪平，不能刮手。
5. 此单需要验货，请多备料
6. 此单以loose carton出货，
77772:16pcs/CTN
77794:8pcs/CTNCARTON MARKS:待确认.</t>
  </si>
  <si>
    <t>77772-S002</t>
  </si>
  <si>
    <t>4500200942</t>
  </si>
  <si>
    <t>10001822492-0581</t>
  </si>
  <si>
    <t>4500200942-10</t>
  </si>
  <si>
    <t>转单4500213227</t>
  </si>
  <si>
    <t>5/21SSCC外箱贴纸+锂电池标签纸</t>
  </si>
  <si>
    <t>日期码格式：ZURU INC(BVI) 标准格式                  日期：按实际生产日期
Packaging Info: 产品包装MA 1L 收缩膜+MA 5L 收藏指南+MA 23L 组装说明+客版PDQ；客版PDQ翻单4500189603
Remark: 77772GQ5：
1.77772GQ5-S001-MINI BRANDS-VINYL-SERIES 1-CAPSULE,WITH DEMO,25PCS/GRAVITY PDQ,25PCS/PDQ/CTN;
2.产品包装MA 1L 收缩膜+MA 5L 收藏指南+MA 23L 组装说明+客版PDQ；客版PDQ翻单4500189603；收缩膜上的UPC显示193052090065;
 4  mini vinyls(1 Target US Exclusive),1 accessory;
 3. 外箱正唛左上角位置粘贴条码箱贴纸，每箱只贴一张，由ZURU订购。来料贴纸上显示的客户DPCI# 086-02-8931, UPC显示10193052090062;
 4. 产品和包装上均要印刷tracking code信息，格式为ZURU常规格式；
 5. 需要我司QC验货之后才能安排出货
 6. 出货方式：  货代自提</t>
  </si>
  <si>
    <t>MO20260625-20</t>
  </si>
  <si>
    <t>4500212212</t>
  </si>
  <si>
    <t>1007840684</t>
  </si>
  <si>
    <t>4500212212-10</t>
  </si>
  <si>
    <t>客人漏排；MO20260522手工单转实单</t>
  </si>
  <si>
    <t>本批订单抵扣手工单-MO20260522</t>
  </si>
  <si>
    <t>日期码格式：ZURU INC(BVI) 标准格式                  日期：按实际生产日期
Packaging Info: 1.包装要求：
77772：MA 1L A版收缩膜+MA 5L A版收藏指南+MA 23L A版说明书+MA A版纸袋；
每pcs产品上要贴1张RFID贴纸，贴纸由ZURU提供，贴纸位置请严格按照我们签回的签板；
Remark: 1.包装要求：
77772：MA 1L A版收缩膜+MA 5L A版收藏指南+MA 23L A版说明书+MA A版纸袋；
每pcs产品上要贴1张RFID贴纸，贴纸由ZURU提供，贴纸位置请严格按照我们签回的签板；
 2. 外箱印刷带条码的RFID箱唛：RFID紫色色带+WM Dept.图标+RFID图标+ITF-14条码，四面右下角印刷ZURU logo, ITF条码只印刷在正唛一面，在加印的时候确保条
形码能扫描出来，外箱侧面任一角落加印："MADE IN CHINA" 字样；箱唛翻单：4500195546
 3. 在产品上和包装上要有日期码、以及要有MADE IN CHINA和ZURU字样；
 4. 产品如有扎带口要剪平，不能刮手。
 5. 此单需要验货，请多备料
 6. 此单以loose carton出货，77772:16pcs/CTN</t>
  </si>
  <si>
    <t>4500202932</t>
  </si>
  <si>
    <t>56RHHC6O</t>
  </si>
  <si>
    <t>4500202932-150</t>
  </si>
  <si>
    <t>日期码格式：ZURU INC(BVI) 标准格式                  日期：按实际生产日期
Packaging Info: 
#77876:2PK MA 1L UPC版#77772入PVC桶，3L无UPC客版收缩膜，客版收缩膜和3L铜版纸图稿翻单4500192514.（两个球的配比不能重复）。
Remark: 1. Amazon MDDP订单，出口US。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</si>
  <si>
    <t>4500203137</t>
  </si>
  <si>
    <t>76GU547G</t>
  </si>
  <si>
    <t>4500203137-60</t>
  </si>
  <si>
    <t>6XT7UHZE</t>
  </si>
  <si>
    <t>4500203137-70</t>
  </si>
  <si>
    <t>5GXTH22O</t>
  </si>
  <si>
    <t>4500203137-80</t>
  </si>
  <si>
    <t>4500204466</t>
  </si>
  <si>
    <t>2J4SYD6V</t>
  </si>
  <si>
    <t>4500204466-150</t>
  </si>
  <si>
    <t>日期码格式：ZURU INC(BVI) 标准格式                  日期：按实际生产日期
Packaging Info:
#77876:2PK MA 1L UPC版#77772入PVC桶，3L无UPC客版收缩膜，客版收缩膜和3L铜版纸图稿翻单4500192514.（两个球的配比不能重复）。
Remark: 1. Amazon MDDP订单，出口US。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</si>
  <si>
    <t>4500204505</t>
  </si>
  <si>
    <t>3WVA2WGQ</t>
  </si>
  <si>
    <t>4500204505-110</t>
  </si>
  <si>
    <t>日期码格式：ZURU INC(BVI) 标准格式                  日期：按实际生产日期
Packaging Info:
#77876:2PK MA 1L UPC版#77772入PVC桶，3L无UPC客版收缩膜，客版收缩膜和3L铜版纸图稿翻单4500192514.（两个球的配比不能重复）。
Remark: 1. Amazon MDDP订单，出口US。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</si>
  <si>
    <t>2AMZOH3E</t>
  </si>
  <si>
    <t>4500204505-170</t>
  </si>
  <si>
    <t>4500204514</t>
  </si>
  <si>
    <t>4PBOV5FS</t>
  </si>
  <si>
    <t>4500204514-50</t>
  </si>
  <si>
    <t>4500204517</t>
  </si>
  <si>
    <t>5XGUG8XI</t>
  </si>
  <si>
    <t>4500204517-10</t>
  </si>
  <si>
    <t>8YO14APE</t>
  </si>
  <si>
    <t>4500204517-190</t>
  </si>
  <si>
    <t>4500200940</t>
  </si>
  <si>
    <t>10001792889-3890</t>
  </si>
  <si>
    <t>4500200940-20</t>
  </si>
  <si>
    <t>5/9 寄出SSCC外箱贴纸+锂电池标签纸</t>
  </si>
  <si>
    <t>日期码格式：ZURU INC(BVI) 标准格式                  日期：按实际生产日期
Packaging Info: 77843GQ2：产品包装 MA 1L 收缩膜+MA 5L收藏指南+MA 23L黑白警告语说明书+MA 1L PDQ;
77772GQ5：产品包装MA 1L 收缩膜+MA 5L 收藏指南+MA 23L 组装说明+客版PDQ；客版PDQ翻单4500189603
Remark: 77843GQ2：
 1. 77843GQ2-S002-MINI BRANDS-KAWAII KITCHEN-SERIES 1-CAPSULE,WITH DEMO,25PCS/GRAVITY PDQ,25PCS/PDQ/CTN;
 2. 产品包装 MA 1L 收缩膜+MA 5L收藏指南+MA 23L黑白警告语说明书+MA 1L PDQ; 收缩膜上的UPC显示193052099105;
Ratio: PIZZA: HAMBURGER: PANCAKES: BUBBLE TEA:  Matcha TEA: TACO: SUSHI: DONUT: Charcuterie Board: RAINBOW CAKE(Rare)=10.88%: 10.88%: 10.88%: 10
.88%: 10.88%: 10.88%: 10.88%: 10.88%: 10.88%: 2.08%=68:68:68:68:68:68:68:68:68:13
3. 外箱正唛左上角位置粘贴条码箱贴纸，每箱只贴一张，由ZURU订购。来料贴纸上显示的客户DPCI: 086-02-5137, UPC显示10193052099102;
77772GQ5：
1.77772GQ5-S001-MINI BRANDS-VINYL-SERIES 1-CAPSULE,WITH DEMO,25PCS/GRAVITY PDQ,25PCS/PDQ/CTN;
2.产品包装MA 1L 收缩膜+MA 5L 收藏指南+MA 23L 组装说明+客版PDQ；客版PDQ翻单4500189603；收缩膜上的UPC显示193052090065;
 4  mini vinyls(1 Target US Exclusive),1 accessory;
 3. 外箱正唛左上角位置粘贴条码箱贴纸，每箱只贴一张，由ZURU订购。来料贴纸上显示的客户DPCI# 086-02-8931, UPC显示10193052090062;
以上Items：
 1. 产品和包装上均要印刷tracking code信息，格式为ZURU常规格式；
 2. 需要我司QC验货之后才能安排出货
 3. 出货方式：  货代自提</t>
  </si>
  <si>
    <t>4500200933-30</t>
  </si>
  <si>
    <t>4500200932-30</t>
  </si>
  <si>
    <t>5/26 SSCC外箱贴纸+锂电池标签纸</t>
  </si>
  <si>
    <t>4500211262</t>
  </si>
  <si>
    <t>4500211262-10</t>
  </si>
  <si>
    <t>7/1空运</t>
  </si>
  <si>
    <t>6/26条码箱贴纸</t>
  </si>
  <si>
    <t>日期码格式：ZURU INC(BVI) 标准格式                  日期：按实际生产日期
Packaging Info: 77772GQ5：产品包装MA 1L 收缩膜+MA 5L 收藏指南+MA 23L 组装说明+客版PDQ；客版PDQ翻单4500189603；
Remark: 此单是先前订单4500200936删单后重下。
77772GQ5：
1.77772GQ5-S001-MINI BRANDS-VINYL-SERIES 1-CAPSULE,WITH DEMO,25PCS/GRAVITY PDQ,25PCS/PDQ/CTN;
2.产品包装MA 1L 收缩膜+MA 5L 收藏指南+MA 23L 组装说明+客版PDQ；客版PDQ翻单4500189603；收缩膜上的UPC显示193052090065;
 4  mini vinyls(1 Target US Exclusive),1 accessory;
 3. 外箱正唛左上角位置粘贴条码箱贴纸，每箱只贴一张，由ZURU订购。来料贴纸上显示的客户DPCI# 086-02-8931, UPC显示10193052090062;
以上Items：
 1. 产品和包装上均要印刷tracking code信息，格式为ZURU常规格式；
 2. 需要我司QC验货之后才能安排出货
 3. 出货方式：  货代自提</t>
  </si>
  <si>
    <t>4500207477-30</t>
  </si>
  <si>
    <t>日期码格式：ZURU  INC(BVI)  标准格式                                    日期：按实际生产日期
Packaging Info:
77772GQ5：产品包装MA  1L  收缩膜+MA  5L  收藏指南+MA  23L  组装说明+客版PDQ；客版PDQ翻单4500189603；
Remark: 
77772GQ5：
1.77772GQ5-S001-MINI  BRANDS-VINYL-SERIES  1-CAPSULE,WITH  DEMO,25PCS/GRAVITY  PDQ,25PCS/PDQ/CTN;
2.产品包装MA  1L  收缩膜+MA  5L  收藏指南+MA  23L  组装说明+客版PDQ；客版PDQ翻单4500189603；收缩膜上的UPC显示193052090065;
   4    mini  vinyls(1  Target  US  Exclusive),1  accessory;
   3.  外箱正唛左上角位置粘贴条码箱贴纸，每箱只贴一张，由ZURU订购。来料贴纸上显示的客户DPCI#  086-02-8931,  UPC显示10193052090062;
以上Items：
   1.  产品和包装上均要印刷tracking  code信息，格式为ZURU常规格式；
   2.  需要我司QC验货之后才能安排出货
   3.  出货方式：     货代自提</t>
  </si>
  <si>
    <t>4500207496</t>
  </si>
  <si>
    <t>10001883792-0581</t>
  </si>
  <si>
    <t>4500207496-10</t>
  </si>
  <si>
    <t>7/3 空运</t>
  </si>
  <si>
    <t>6/12外箱条码箱贴纸贴纸</t>
  </si>
  <si>
    <t>日期码格式：ZURU  INC(BVI)  标准格式                                    日期：按实际生产日期
Packaging Info: 产品包装MA  1L  收缩膜+MA  5L  收藏指南+MA  23L  组装说明+客版PDQ；客版PDQ翻单4500189603
Remark: 1.77772GQ5-S001-MINI  BRANDS-VINYL-SERIES  1-CAPSULE,WITH  DEMO,25PCS/GRAVITY  PDQ,25PCS/PDQ/CTN;
2.产品包装MA  1L  收缩膜+MA  5L  收藏指南+MA  23L  组装说明+客版PDQ；客版PDQ翻单4500189603；收缩膜上的UPC显示193052090065;
   4    mini  vinyls(1  Target  US  Exclusive),1  accessory;
   3.  外箱正唛左上角位置粘贴条码箱贴纸，每箱只贴一张，由ZURU订购。来料贴纸上显示的客户DPCI#  086-02-8931,  UPC显示10193052090062;
   4.  产品和包装上均要印刷tracking  code信息，格式为ZURU常规格式；
   5.  需要我司QC验货之后才能安排出货
   6.  出货方式：     货代自提</t>
  </si>
  <si>
    <t>4500207482-30</t>
  </si>
  <si>
    <t>6/26外箱条码箱贴纸贴纸</t>
  </si>
  <si>
    <t>日期码格式：ZURU  INC(BVI)  标准格式                                    日期：按实际生产日期
Packaging Info:
77772GQ5：产品包装MA  1L  收缩膜+MA  5L  收藏指南+MA  23L  组装说明+客版PDQ；客版PDQ翻单4500189603；
Remark：
77772GQ5：
1.77772GQ5-S001-MINI  BRANDS-VINYL-SERIES  1-CAPSULE,WITH  DEMO,25PCS/GRAVITY  PDQ,25PCS/PDQ/CTN;
2.产品包装MA  1L  收缩膜+MA  5L  收藏指南+MA  23L  组装说明+客版PDQ；客版PDQ翻单4500189603；收缩膜上的UPC显示193052090065;
   4    mini  vinyls(1  Target  US  Exclusive),1  accessory;
   3.  外箱正唛左上角位置粘贴条码箱贴纸，每箱只贴一张，由ZURU订购。来料贴纸上显示的客户DPCI#  086-02-8931,  UPC显示10193052090062;
以上Items：
   1.  产品和包装上均要印刷tracking  code信息，格式为ZURU常规格式；
   2.  需要我司QC验货之后才能安排出货
   3.  出货方式：     货代自提</t>
  </si>
  <si>
    <t>4500207830-30</t>
  </si>
  <si>
    <t>4500209510</t>
  </si>
  <si>
    <t>10001884810-0581</t>
  </si>
  <si>
    <t>4500209510-10</t>
  </si>
  <si>
    <t>日期码格式：ZURU INC(BVI) 标准格式                  日期：按实际生产日期
Packaging Info: 产品包装MA 1L 收缩膜+MA 5L 收藏指南+MA 23L 组装说明+客版PDQ；客版PDQ翻单4500189603
Remark: 1.77772GQ5-S001-MINI BRANDS-VINYL-SERIES 1-CAPSULE,WITH DEMO,25PCS/GRAVITY PDQ,25PCS/PDQ/CTN;
2.产品包装MA 1L 收缩膜+MA 5L 收藏指南+MA 23L 组装说明+客版PDQ；客版PDQ翻单4500189603；收缩膜上的UPC显示193052090065;
 4  mini vinyls(1 Target US Exclusive),1 accessory;
 3. 外箱正唛左上角位置粘贴条码箱贴纸，每箱只贴一张，由ZURU订购。来料贴纸上显示的客户DPCI# 086-02-8931, UPC显示10193052090062;
 4. 产品和包装上均要印刷tracking code信息，格式为ZURU常规格式；
 5. 需要我司QC验货之后才能安排出货
 6. 出货方式：  货代自提</t>
  </si>
  <si>
    <t>4500211294</t>
  </si>
  <si>
    <t>4500211294-10</t>
  </si>
  <si>
    <t>日期码格式：ZURU INC(BVI) 标准格式                  日期：按实际生产日期
Packaging Info: 77772GQ5：产品包装MA 1L 收缩膜+MA 5L 收藏指南+MA 23L 组装说明+客版PDQ；客版PDQ翻单4500189603；
Remark: 此单是先前订单4500207832删单后重下。
77772GQ5：
1.77772GQ5-S001-MINI BRANDS-VINYL-SERIES 1-CAPSULE,WITH DEMO,25PCS/GRAVITY PDQ,25PCS/PDQ/CTN;
2.产品包装MA 1L 收缩膜+MA 5L 收藏指南+MA 23L 组装说明+客版PDQ；客版PDQ翻单4500189603；收缩膜上的UPC显示193052090065;
 4  mini vinyls(1 Target US Exclusive),1 accessory;
 3. 外箱正唛左上角位置粘贴条码箱贴纸，每箱只贴一张，由ZURU订购。来料贴纸上显示的客户DPCI# 086-02-8931, UPC显示10193052090062;
以上Items：
 1. 产品和包装上均要印刷tracking code信息，格式为ZURU常规格式；
 2. 需要我司QC验货之后才能安排出货
 3. 出货方式：  货代自提</t>
  </si>
  <si>
    <t>4500207834-30</t>
  </si>
  <si>
    <t>日期码格式：ZURU INC(BVI) 标准格式                  日期：按实际生产日期
Packaging Info: 
77772GQ5：产品包装MA 1L 收缩膜+MA 5L 收藏指南+MA 23L 组装说明+客版PDQ；客版PDQ翻单4500189603；
Remark:
77772GQ5：
1.77772GQ5-S001-MINI BRANDS-VINYL-SERIES 1-CAPSULE,WITH DEMO,25PCS/GRAVITY PDQ,25PCS/PDQ/CTN;
2.产品包装MA 1L 收缩膜+MA 5L 收藏指南+MA 23L 组装说明+客版PDQ；客版PDQ翻单4500189603；收缩膜上的UPC显示193052090065;
 4  mini vinyls(1 Target US Exclusive),1 accessory;
 3. 外箱正唛左上角位置粘贴条码箱贴纸，每箱只贴一张，由ZURU订购。来料贴纸上显示的客户DPCI# 086-02-8931, UPC显示10193052090062;
以上Items：
 1. 产品和包装上均要印刷tracking code信息，格式为ZURU常规格式；
 2. 需要我司QC验货之后才能安排出货
 3. 出货方式：  货代自提</t>
  </si>
  <si>
    <t>4500211708</t>
  </si>
  <si>
    <t>10001927208-0581</t>
  </si>
  <si>
    <t>4500211708-10</t>
  </si>
  <si>
    <t>4500211709</t>
  </si>
  <si>
    <t>4500211709-10</t>
  </si>
  <si>
    <r>
      <rPr>
        <sz val="12"/>
        <color rgb="FFFF0000"/>
        <rFont val="宋体"/>
        <charset val="134"/>
      </rPr>
      <t>TARGET</t>
    </r>
    <r>
      <rPr>
        <sz val="12"/>
        <color rgb="FFFF0000"/>
        <rFont val="宋体"/>
        <charset val="134"/>
        <scheme val="minor"/>
      </rPr>
      <t xml:space="preserve">  US</t>
    </r>
  </si>
  <si>
    <t>4500212072</t>
  </si>
  <si>
    <t>4500212072-10</t>
  </si>
  <si>
    <r>
      <rPr>
        <sz val="12"/>
        <color rgb="FFFF0000"/>
        <rFont val="宋体"/>
        <charset val="134"/>
      </rPr>
      <t>日期码格式：ZURU</t>
    </r>
    <r>
      <rPr>
        <sz val="12"/>
        <color rgb="FFFF0000"/>
        <rFont val="宋体"/>
        <charset val="0"/>
      </rPr>
      <t xml:space="preserve">  INC(BVI)  标准格式                                    日期：按实际生产日期
Packaging Info: 77772GQ5：产品包装MA  1L  收缩膜+MA  5L  收藏指南+MA  23L  组装说明+客版PDQ；客版PDQ翻单4500189603；
Remark: 77772GQ5：
1.77772GQ5-S001-MINI  BRANDS-VINYL-SERIES  1-CAPSULE,WITH  DEMO,25PCS/GRAVITY  PDQ,25PCS/PDQ/CTN;
2.产品包装MA  1L  收缩膜+MA  5L  收藏指南+MA  23L  组装说明+客版PDQ；客版PDQ翻单4500189603；收缩膜上的UPC显示193052090065;
  4    mini  vinyls(1  Target  US  Exclusive),1  accessory;
  3.  外箱正唛左上角位置粘贴条码箱贴纸，每箱只贴一张，由ZURU订购。来料贴纸上显示的客户DPCI#  086-02-8931,  UPC显示10193052090062;
以上Items：
  1.  产品和包装上均要印刷tracking  code信息，格式为ZURU常规格式；
  2.  需要我司QC验货之后才能安排出货
  3.  出货方式：     货代自提</t>
    </r>
  </si>
  <si>
    <r>
      <rPr>
        <sz val="12"/>
        <color rgb="FFFF0000"/>
        <rFont val="宋体"/>
        <charset val="134"/>
      </rPr>
      <t>Holly</t>
    </r>
    <r>
      <rPr>
        <sz val="10"/>
        <color rgb="FFFF0000"/>
        <rFont val="等线"/>
        <charset val="134"/>
      </rPr>
      <t xml:space="preserve">  Zheng</t>
    </r>
  </si>
  <si>
    <t>4500212069</t>
  </si>
  <si>
    <t>10001884812-0581</t>
  </si>
  <si>
    <t>4500212069-10</t>
  </si>
  <si>
    <r>
      <rPr>
        <sz val="12"/>
        <color rgb="FFFF0000"/>
        <rFont val="宋体"/>
        <charset val="134"/>
      </rPr>
      <t>日期码格式：ZURU</t>
    </r>
    <r>
      <rPr>
        <sz val="12"/>
        <color rgb="FFFF0000"/>
        <rFont val="宋体"/>
        <charset val="0"/>
      </rPr>
      <t xml:space="preserve">  INC(BVI)  标准格式                                    日期：按实际生产日期
Packaging Info: 产品包装MA  1L  收缩膜+MA  5L  收藏指南+MA  23L  组装说明+客版PDQ；客版PDQ翻单4500189603
Remark: 1.77772GQ5-S001-MINI  BRANDS-VINYL-SERIES  1-CAPSULE,WITH  DEMO,25PCS/GRAVITY  PDQ,25PCS/PDQ/CTN;
2.产品包装MA  1L  收缩膜+MA  5L  收藏指南+MA  23L  组装说明+客版PDQ；客版PDQ翻单4500189603；收缩膜上的UPC显示193052090065;
   4    mini  vinyls(1  Target  US  Exclusive),1  accessory;
   3.  外箱正唛左上角位置粘贴条码箱贴纸，每箱只贴一张，由ZURU订购。来料贴纸上显示的客户DPCI#  086-02-8931,  UPC显示10193052090062;
   4.  产品和包装上均要印刷tracking  code信息，格式为ZURU常规格式；
   5.  需要我司QC验货之后才能安排出货
   6.  出货方式：     货代自提</t>
    </r>
  </si>
  <si>
    <t>4500202342-30</t>
  </si>
  <si>
    <t>日期码格式：ZURU INC(BVI) 标准格式 日期：按实际生产日期
Packaging Info: 
#77772---留意剔除有问题的唱片
客版3LPDQ(16装)+MA3L收缩膜+UPC贴纸(UPC:193052118721)+MA5L收藏指南+MA23L拼装说明书+MA5L复合袋+DEMO纸卡
翻单：4500213633
Remark: 1. 此单有箱唛;
2. UPC贴纸：必须在原来错误的条码上用黑色粗头笔涂黑直至不能扫描，再贴上正确的UPC;
3. 此单有第三方验货，烦请多备包装物料；
4. #77794带锂电池出货，使用英法双语电池，外箱需在正唛空白位置贴一张UN3481锂电池标识贴纸；
5.此单#77772与4500213633置换产能
*********************
a. 请确保产品符合1999年版本的加拿大环境保护法(CEPA)和2012年禁止某些有毒物质法规的要求。该产品不含任何在加拿大禁用的化学物质，包括但不限于有毒物
质清单中列出的化学物质，并且在为加拿大沃尔玛生产产品期间没有使用任何禁用化学物质。
Supplier certify that the products comply with the requirements of Canadian Environmental Protection Act, 1999 (CEPA), Prohibition of Certain To
xic Substances Regulations, 2012.
The products do not contain any chemicals that are banned in Canada, including but not limited to those listed in the Toxic Substances List and
no banned chemicals were used during the manufacturing of product for Walmart Canada.
附件列表：
(1) Letter of Guarantee for Canada banned chemicals - (1-5CA)
b. 请确保产品在均质材料中的汞浓度不超过0.1%（按重量计）。
Supplier certify that the WAL-MART vendor products does not have a mercury concentration of more than 0.1% by weight in homogeneous material.
附件列表：
(1) Letter of Guarantee for Mercury COC
c. 请确保产品的塑料材料不含以下物质（SOR 2011-17 27B):
Supplier certify that the plastic materials do not contain the following substances(SOR 2011-17 27B):
(a) carbon tetrachloride or any substance that contains it;
(b) methyl alcohol or any substance thay contains &gt;1.0%;
(c) petroleum distillates or any substance that contains &gt;10% weight to volume of petroleum distillates;
(d) benzene;
(e) turpentine or any substance that contains &gt;10% weight to volume of turpentine;
(f) boric acid or salts of boric acid; or (g) ethyl ether.
附件列表：
(1) Letter of Guarantee for WM CA-Other prohibited substances in plastic(less than 3 years)</t>
  </si>
  <si>
    <t>7000992560</t>
  </si>
  <si>
    <t>4500204887-10</t>
  </si>
  <si>
    <t>移除#18/21/23唱片</t>
  </si>
  <si>
    <t>日期码格式：ZURU INC(BVI) 标准格式 日期：按实际生产日期
Packaging Info: #77772---留意剔除有问题的唱片
客版3LPDQ(16装)+MA3L收缩膜+UPC贴纸(UPC:193052118721)+MA5L收藏指南+MA23L拼装说明书+MA5L复合袋+DEMO纸卡
翻单：4500213633
Remark: 1. 此单有箱唛.#77794带锂电池出货，使用英法双语电池，外箱需在正唛空白位置贴一张UN3481锂电池标识贴纸(带电话号码);
2. UPC贴纸：必须在原来错误的条码上用黑色粗头笔涂黑直至不能扫描，再贴上正确的UPC;
3. 此单有第三方验货，烦请多备包装物料；
4. #77772需于7/18更新签样，签样数量：大货样3pcs+齐套散件2sets(剔除3张有问题唱片)
5.此单#77772与4500213633置换产能
*********************
a. 请确保产品符合1999年版本的加拿大环境保护法(CEPA)和2012年禁止某些有毒物质法规的要求。该产品不含任何在加拿大禁用的化学物质，包括但不限于有毒物
质清单中列出的化学物质，并且在为加拿大沃尔玛生产产品期间没有使用任何禁用化学物质。
Supplier certify that the products comply with the requirements of Canadian Environmental Protection Act, 1999 (CEPA), Prohibition of Certain To
xic Substances Regulations, 2012.
The products do not contain any chemicals that are banned in Canada, including but not limited to those listed in the Toxic Substances List and
no banned chemicals were used during the manufacturing of product for Walmart Canada.
附件列表：
(1) Letter of Guarantee for Canada banned chemicals - (1-5CA)
b. 请确保产品在均质材料中的汞浓度不超过0.1%（按重量计）。
Supplier certify that the WAL-MART vendor products does not have a mercury concentration of more than 0.1% by weight in homogeneous material.
附件列表：
(1) Letter of Guarantee for Mercury COC
c. 请确保产品的塑料材料不含以下物质（SOR 2011-17 27B):
Supplier certify that the plastic materials do not contain the following substances(SOR 2011-17 27B):
(a) carbon tetrachloride or any substance that contains it;
(b) methyl alcohol or any substance thay contains &gt;1.0%;
(c) petroleum distillates or any substance that contains &gt;10% weight to volume of petroleum distillates;
(d) benzene;
(e) turpentine or any substance that contains &gt;10% weight to volume of turpentine;
(f) boric acid or salts of boric acid; or (g) ethyl ether.
附件列表：
(1) Letter of Guarantee for WM CA-Other prohibited substances in plastic(less than 3 years)</t>
  </si>
  <si>
    <t>5NF2HCKF</t>
  </si>
  <si>
    <t>4500204288-10</t>
  </si>
  <si>
    <t>转至4500214522</t>
  </si>
  <si>
    <t>8HNKDJBO</t>
  </si>
  <si>
    <t>4500204288-20</t>
  </si>
  <si>
    <t>1B7U47IH</t>
  </si>
  <si>
    <t>4500204288-30</t>
  </si>
  <si>
    <t>6JQE2X1N</t>
  </si>
  <si>
    <t>4500204288-40</t>
  </si>
  <si>
    <t>6Q84313M</t>
  </si>
  <si>
    <t>4500204288-50</t>
  </si>
  <si>
    <t>7RZBQDCG</t>
  </si>
  <si>
    <t>4500204288-60</t>
  </si>
  <si>
    <t>8274CKMO</t>
  </si>
  <si>
    <t>4500204288-70</t>
  </si>
  <si>
    <t>34SS2HJV</t>
  </si>
  <si>
    <t>4500204288-80</t>
  </si>
  <si>
    <t>8FVI188O</t>
  </si>
  <si>
    <t>4500204288-270</t>
  </si>
  <si>
    <t>5IK7G9CH</t>
  </si>
  <si>
    <t>4500204288-280</t>
  </si>
  <si>
    <t>5GENPD1P</t>
  </si>
  <si>
    <t>4500204288-290</t>
  </si>
  <si>
    <t>84MHXGSC</t>
  </si>
  <si>
    <t>4500204288-300</t>
  </si>
  <si>
    <t>8MNZ63QQ</t>
  </si>
  <si>
    <t>4500204288-310</t>
  </si>
  <si>
    <t>31LUWQXW</t>
  </si>
  <si>
    <t>4500204288-320</t>
  </si>
  <si>
    <t>86HDBYRO</t>
  </si>
  <si>
    <t>4500204288-330</t>
  </si>
  <si>
    <t>58E31COB</t>
  </si>
  <si>
    <t>4500204288-340</t>
  </si>
  <si>
    <t>5GUVB8RS</t>
  </si>
  <si>
    <t>4500204288-350</t>
  </si>
  <si>
    <t>4500204283</t>
  </si>
  <si>
    <t>5JHQFEXK</t>
  </si>
  <si>
    <t>4500204283-10</t>
  </si>
  <si>
    <t>日期码格式：ZURU INC(BVI) 标准格式                  日期：按实际生产日期
Packaging Info: #77876:2PK MA 3L UPC版#77772入PVC桶，3L无UPC客版收缩膜，客版收缩膜和3L铜版纸图稿翻单4500192506.（两个球的配比不能重复）。
Remark: 1. Amazon FOB订单，出口CA。外箱最长边不能超过25"  （超过了，case pack只能为1），不符合要求的大货，一律不接受。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7.邮包盒上要印刷日期码</t>
  </si>
  <si>
    <t>6MPXPILV</t>
  </si>
  <si>
    <t>4500204283-20</t>
  </si>
  <si>
    <t>5GPNEXPM</t>
  </si>
  <si>
    <t>4500204283-30</t>
  </si>
  <si>
    <t>3HI1YASM</t>
  </si>
  <si>
    <t>4500204283-40</t>
  </si>
  <si>
    <t>7VNHJ6ZP</t>
  </si>
  <si>
    <t>4500204283-50</t>
  </si>
  <si>
    <t>7RXYBYAL</t>
  </si>
  <si>
    <t>4500204283-60</t>
  </si>
  <si>
    <t>1WWAJTVK</t>
  </si>
  <si>
    <t>4500204283-70</t>
  </si>
  <si>
    <t>446R3WAD</t>
  </si>
  <si>
    <t>4500204283-80</t>
  </si>
  <si>
    <t>49Q1W8UW</t>
  </si>
  <si>
    <t>4500204283-90</t>
  </si>
  <si>
    <t>4500202755</t>
  </si>
  <si>
    <t>3837FG7P</t>
  </si>
  <si>
    <t>4500202755-10</t>
  </si>
  <si>
    <r>
      <rPr>
        <sz val="12"/>
        <color rgb="FFFF0000"/>
        <rFont val="宋体"/>
        <charset val="134"/>
      </rPr>
      <t>日期码格式：ZURU INC(BVI) 标准格式</t>
    </r>
    <r>
      <rPr>
        <sz val="10"/>
        <color rgb="FF000000"/>
        <rFont val="宋体"/>
        <charset val="134"/>
        <scheme val="minor"/>
      </rPr>
      <t xml:space="preserve">                  </t>
    </r>
    <r>
      <rPr>
        <sz val="10"/>
        <color rgb="FF000000"/>
        <rFont val="宋体"/>
        <charset val="134"/>
        <scheme val="minor"/>
      </rPr>
      <t>日期：按实际生产日期</t>
    </r>
    <r>
      <rPr>
        <sz val="10"/>
        <color rgb="FF000000"/>
        <rFont val="宋体"/>
        <charset val="134"/>
        <scheme val="minor"/>
      </rPr>
      <t xml:space="preserve">
</t>
    </r>
    <r>
      <rPr>
        <sz val="10"/>
        <color rgb="FF000000"/>
        <rFont val="宋体"/>
        <charset val="134"/>
        <scheme val="minor"/>
      </rPr>
      <t>Packaging Info: #77876:2PK MA 3L UPC版#77772入PVC桶，3L无UPC客版收缩膜，客版收缩膜和3L铜版纸图稿翻单4500192506.（两个球的配比不能重复）。</t>
    </r>
    <r>
      <rPr>
        <sz val="10"/>
        <color rgb="FF000000"/>
        <rFont val="宋体"/>
        <charset val="134"/>
        <scheme val="minor"/>
      </rPr>
      <t xml:space="preserve">
</t>
    </r>
    <r>
      <rPr>
        <sz val="10"/>
        <color rgb="FF000000"/>
        <rFont val="宋体"/>
        <charset val="134"/>
        <scheme val="minor"/>
      </rPr>
      <t>Remark: 1. Amazon FOB订单，出口CA。外箱最长边不能超过25"</t>
    </r>
    <r>
      <rPr>
        <sz val="10"/>
        <color rgb="FF000000"/>
        <rFont val="宋体"/>
        <charset val="134"/>
        <scheme val="minor"/>
      </rPr>
      <t xml:space="preserve">  </t>
    </r>
    <r>
      <rPr>
        <sz val="10"/>
        <color rgb="FF000000"/>
        <rFont val="宋体"/>
        <charset val="134"/>
        <scheme val="minor"/>
      </rPr>
      <t>（超过了，case pack只能为1），不符合要求的大货，一律不接受。</t>
    </r>
    <r>
      <rPr>
        <sz val="10"/>
        <color rgb="FF000000"/>
        <rFont val="宋体"/>
        <charset val="134"/>
        <scheme val="minor"/>
      </rPr>
      <t xml:space="preserve">
</t>
    </r>
    <r>
      <rPr>
        <sz val="10"/>
        <color rgb="FF000000"/>
        <rFont val="宋体"/>
        <charset val="134"/>
        <scheme val="minor"/>
      </rPr>
      <t>2. 外箱正面印ZURU Logo + SSCC LABEL（客供贴纸)，侧面印item#（订单上显示的SKU#) + carton size(以工厂实际尺寸为准，单位: inch) + MADE IN CHINA，</t>
    </r>
    <r>
      <rPr>
        <sz val="10"/>
        <color rgb="FF000000"/>
        <rFont val="宋体"/>
        <charset val="134"/>
        <scheme val="minor"/>
      </rPr>
      <t xml:space="preserve">
</t>
    </r>
    <r>
      <rPr>
        <sz val="10"/>
        <color rgb="FF000000"/>
        <rFont val="宋体"/>
        <charset val="134"/>
        <scheme val="minor"/>
      </rPr>
      <t>日期使用ZURU 标准版本 SSCC Label 显示的是客人自己的item#，SSCC Label 贴在外箱正面的正中间，贴一面即可，跟单订购，贴纸离外箱距必须至少3cm，每一</t>
    </r>
    <r>
      <rPr>
        <sz val="10"/>
        <color rgb="FF000000"/>
        <rFont val="宋体"/>
        <charset val="134"/>
        <scheme val="minor"/>
      </rPr>
      <t xml:space="preserve">
</t>
    </r>
    <r>
      <rPr>
        <sz val="10"/>
        <color rgb="FF000000"/>
        <rFont val="宋体"/>
        <charset val="134"/>
        <scheme val="minor"/>
      </rPr>
      <t>张SSCC label 都是唯一且有不同流水及条码的，没有损耗，绝对不可贴错 ，否则贴错或损坏一张会导致全部都错，千万要注意: SSCC 贴纸务必要在正中间(可以覆</t>
    </r>
    <r>
      <rPr>
        <sz val="10"/>
        <color rgb="FF000000"/>
        <rFont val="宋体"/>
        <charset val="134"/>
        <scheme val="minor"/>
      </rPr>
      <t xml:space="preserve">
</t>
    </r>
    <r>
      <rPr>
        <sz val="10"/>
        <color rgb="FF000000"/>
        <rFont val="宋体"/>
        <charset val="134"/>
        <scheme val="minor"/>
      </rPr>
      <t>盖Logo &lt;(&gt;&amp;&lt;)&gt; 箱唛)，否则会影响到仓库扫描识别。</t>
    </r>
    <r>
      <rPr>
        <sz val="10"/>
        <color rgb="FF000000"/>
        <rFont val="宋体"/>
        <charset val="134"/>
        <scheme val="minor"/>
      </rPr>
      <t xml:space="preserve">
</t>
    </r>
    <r>
      <rPr>
        <sz val="10"/>
        <color rgb="FF000000"/>
        <rFont val="宋体"/>
        <charset val="134"/>
        <scheme val="minor"/>
      </rPr>
      <t>3. 日期码使用ZURU标准版本。</t>
    </r>
    <r>
      <rPr>
        <sz val="10"/>
        <color rgb="FF000000"/>
        <rFont val="宋体"/>
        <charset val="134"/>
        <scheme val="minor"/>
      </rPr>
      <t xml:space="preserve">
</t>
    </r>
    <r>
      <rPr>
        <sz val="10"/>
        <color rgb="FF000000"/>
        <rFont val="宋体"/>
        <charset val="134"/>
        <scheme val="minor"/>
      </rPr>
      <t xml:space="preserve"> </t>
    </r>
    <r>
      <rPr>
        <sz val="10"/>
        <color rgb="FF000000"/>
        <rFont val="宋体"/>
        <charset val="134"/>
        <scheme val="minor"/>
      </rPr>
      <t>4. 如果大货有要求入邮包盒，则对应的邮包盒上面要打上日期码。</t>
    </r>
    <r>
      <rPr>
        <sz val="10"/>
        <color rgb="FF000000"/>
        <rFont val="宋体"/>
        <charset val="134"/>
        <scheme val="minor"/>
      </rPr>
      <t xml:space="preserve">
</t>
    </r>
    <r>
      <rPr>
        <sz val="10"/>
        <color rgb="FF000000"/>
        <rFont val="宋体"/>
        <charset val="134"/>
        <scheme val="minor"/>
      </rPr>
      <t xml:space="preserve"> </t>
    </r>
    <r>
      <rPr>
        <sz val="10"/>
        <color rgb="FF000000"/>
        <rFont val="宋体"/>
        <charset val="134"/>
        <scheme val="minor"/>
      </rPr>
      <t>5. 按照客户PO# 装柜/箱号顺序装柜，跟单会提前给到装柜计划。在大货生产/仓库存放时，请留意该装柜要求，以便装柜时不混乱（避免装错/装漏/找不到货号等</t>
    </r>
    <r>
      <rPr>
        <sz val="10"/>
        <color rgb="FF000000"/>
        <rFont val="宋体"/>
        <charset val="134"/>
        <scheme val="minor"/>
      </rPr>
      <t xml:space="preserve">
</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 xml:space="preserve"> </t>
    </r>
    <r>
      <rPr>
        <sz val="10"/>
        <color rgb="FF000000"/>
        <rFont val="宋体"/>
        <charset val="134"/>
        <scheme val="minor"/>
      </rPr>
      <t>6. 出口加拿大，包装需要至少2/3L UPC版，无硼版本。</t>
    </r>
    <r>
      <rPr>
        <sz val="10"/>
        <color rgb="FF000000"/>
        <rFont val="宋体"/>
        <charset val="134"/>
        <scheme val="minor"/>
      </rPr>
      <t xml:space="preserve">
</t>
    </r>
    <r>
      <rPr>
        <sz val="10"/>
        <color rgb="FF000000"/>
        <rFont val="宋体"/>
        <charset val="134"/>
        <scheme val="minor"/>
      </rPr>
      <t xml:space="preserve"> </t>
    </r>
    <r>
      <rPr>
        <sz val="10"/>
        <color rgb="FF000000"/>
        <rFont val="宋体"/>
        <charset val="134"/>
        <scheme val="minor"/>
      </rPr>
      <t>7.邮包盒上要印刷日期码</t>
    </r>
  </si>
  <si>
    <t>3BX63R7T</t>
  </si>
  <si>
    <t>4500202755-20</t>
  </si>
  <si>
    <t>8ROOGY5I</t>
  </si>
  <si>
    <t>4500202755-30</t>
  </si>
  <si>
    <t>3UVYPQIQ</t>
  </si>
  <si>
    <t>4500202755-40</t>
  </si>
  <si>
    <t>4500208739</t>
  </si>
  <si>
    <t>0983717888</t>
  </si>
  <si>
    <t>4500208739-10</t>
  </si>
  <si>
    <t>取消</t>
  </si>
  <si>
    <t>欠张RFID贴纸，贴纸由ZURU提供，贴纸位置请严格按照我们签回的签板；</t>
  </si>
  <si>
    <t>日期码格式：ZURU INC(BVI) 标准格式                  日期：按实际生产日期
Packaging Info: 77772GQ3-SLB-S001
1.包装要求：
MA 1L A版收缩膜+MA 5L A版收藏指南+MA 23L A版说明书+MA A版纸袋+客版1L PDQ，翻单：4500195546
每pcs产品上要贴1张RFID贴纸，贴纸由ZURU提供，贴纸位置请严格按照我们签回的签板；
Remark: 2. 外箱印刷带条码的RFID箱唛：RFID紫色色带+WM Dept.图标+RFID图标+ITF-14条码，四面右下角印刷ZURU logo, ITFF条码只印刷在正唛一面，在加印的时候确保
条形码能扫描出来，外箱侧面任一角落加印："MADE IN CHINA" 字样；箱唛翻单：4500195546
 3. 在产品上和包装上要有日期码、以及要有MADE IN CHINA和ZURU字样；
 4. 产品如有扎带口要剪平，不能刮手。
 5. 此单需要验货，请多备料
 6. 此单以Slip sheet出货，960pcs/60CTNS/Slip sheet</t>
  </si>
  <si>
    <t>0983717944</t>
  </si>
  <si>
    <t>4500208739-20</t>
  </si>
  <si>
    <t>0983717884</t>
  </si>
  <si>
    <t>4500208739-30</t>
  </si>
  <si>
    <t>0983717864</t>
  </si>
  <si>
    <t>4500208739-40</t>
  </si>
  <si>
    <t>4500212216</t>
  </si>
  <si>
    <t>1007840679</t>
  </si>
  <si>
    <t>4500212216-10</t>
  </si>
  <si>
    <t>日期码格式：ZURU INC(BVI) 标准格式                  日期：按实际生产日期
Packaging Info: 1.包装要求：
77772：MA 1L A版收缩膜+MA 5L A版收藏指南+MA 23L A版说明书+MA A版纸袋；
每pcs产品上要贴1张RFID贴纸，贴纸由ZURU提供，贴纸位置请严格按照我们签回的签板；
Remark: 1.包装要求：
77772：MA 1L A版收缩膜+MA 5L A版收藏指南+MA 23L A版说明书+MA A版纸袋；
每pcs产品上要贴1张RFID贴纸，贴纸由ZURU提供，贴纸位置请严格按照我们签回的签板；
 2. 外箱印刷带条码的RFID箱唛：RFID紫色色带+WM Dept.图标+RFID图标+ITF-14条码，四面右下角印刷ZURU logo, ITF条码只印刷在正唛一面，在加印的时候确保条
形码能扫描出来，外箱侧面任一角落加印："MADE IN CHINA" 字样；箱唛翻单：4500195546
 3. 在产品上和包装上要有日期码、以及要有MADE IN CHINA和ZURU字样；
 4. 产品如有扎带口要剪平，不能刮手。
 5. 此单需要验货，请多备料
6. 此单以loose carton出货，77772:16pcs/CTN</t>
  </si>
  <si>
    <t>Estate Chen</t>
  </si>
  <si>
    <t>1007840708</t>
  </si>
  <si>
    <t>4500212216-20</t>
  </si>
  <si>
    <t>0983717733</t>
  </si>
  <si>
    <t>4500202749-50</t>
  </si>
  <si>
    <t>5/7已寄张RFID贴纸，贴纸由ZURU提供，贴纸位置请严格按照我们签回的签板；</t>
  </si>
  <si>
    <t>0983718073</t>
  </si>
  <si>
    <t>4500202749-40</t>
  </si>
  <si>
    <t>0983717925</t>
  </si>
  <si>
    <t>4500202749-60</t>
  </si>
  <si>
    <t>0983717731</t>
  </si>
  <si>
    <t>4500202751-80</t>
  </si>
  <si>
    <t>0983718090</t>
  </si>
  <si>
    <t>4500202751-50</t>
  </si>
  <si>
    <t>0983717825</t>
  </si>
  <si>
    <t>4500202751-70</t>
  </si>
  <si>
    <t>0983717798</t>
  </si>
  <si>
    <t>4500203542-20</t>
  </si>
  <si>
    <t>5/7 RFID贴纸，贴纸由ZURU提供，贴纸位置请严格按照我们签回的签板；</t>
  </si>
  <si>
    <t>0983717804</t>
  </si>
  <si>
    <t>4500203542-50</t>
  </si>
  <si>
    <t>0983717708</t>
  </si>
  <si>
    <t>4500203542-60</t>
  </si>
  <si>
    <t>0983717687</t>
  </si>
  <si>
    <t>4500205774-50</t>
  </si>
  <si>
    <t>5/22寄出 RFID贴纸，贴纸由ZURU提供，贴纸位置请严格按照我们签回的签板；</t>
  </si>
  <si>
    <t>日期码格式：ZURU DGYYYYMMDD CHINA(日期避开周末和法定节假日即可） 日期：按实际生产日期
Packaging Info:
77772SLB-S001
1.包装要求：
MA 1L A版收缩膜+MA 5L A版收藏指南+MA 23L A版说明书+MA A版纸袋+客版1L PDQ，翻单：4500195546
每pcs产品上要贴1张RFID贴纸，贴纸由ZURU提供，贴纸位置请严格按照我们签回的签板；
Remark: 
77772SLB-S001
1.包装要求：
MA 1L A版收缩膜+MA 5L A版收藏指南+MA 23L A版说明书+MA A版纸袋+客版1L PDQ，翻单：4500195546
每pcs产品上要贴1张RFID贴纸，贴纸由ZURU提供，贴纸位置请严格按照我们签回的签板；
2. 外箱印刷带条码的RFID箱唛：RFID紫色色带+WM Dept.图标+RFID图标+ITF-14条码，四面右下角印刷ZURU logo, ITFF条码只印刷在正唛一面，在加印的时候确保
条形码能扫描出来，外箱侧面任一角落加印："MADE IN CHINA" 字样；箱唛翻单：4500195546
3. 在产品上和包装上要有日期码、以及要有MADE IN CHINA和ZURU字样；
4. 产品如有扎带口要剪平，不能刮手。
5. 此单需要验货，请多备料
6. 此单以Slip sheet出货，960pcs/60CTNS/Slip sheet</t>
  </si>
  <si>
    <t>0983717780</t>
  </si>
  <si>
    <t>4500205774-60</t>
  </si>
  <si>
    <t>0983717738</t>
  </si>
  <si>
    <t>4500205774-70</t>
  </si>
  <si>
    <t>0983717712</t>
  </si>
  <si>
    <t>4500205774-80</t>
  </si>
  <si>
    <t>4500206385</t>
  </si>
  <si>
    <t>0983717812</t>
  </si>
  <si>
    <t>4500206385-10</t>
  </si>
  <si>
    <t>日期码格式：ZURU DGYYMMDD CHINA(日期避开周末和法定节假日即可）                   日期：按实际生产日期
Packaging Info: 77772SLB-S001
1.包装要求：
MA 1L A版收缩膜+MA 5L A版收藏指南+MA 23L A版说明书+MA A版纸袋+客版1L PDQ，翻单：4500195546
每pcs产品上要贴1张RFID贴纸，贴纸由ZURU提供，贴纸位置请严格按照我们签回的签板；
Remark: 77772SLB-S001
1.包装要求：
MA 1L A版收缩膜+MA 5L A版收藏指南+MA 23L A版说明书+MA A版纸袋+客版1L PDQ，翻单：4500195546
每pcs产品上要贴1张RFID贴纸，贴纸由ZURU提供，贴纸位置请严格按照我们签回的签板；
 2. 外箱印刷带条码的RFID箱唛：RFID紫色色带+WM Dept.图标+RFID图标+ITF-14条码，四面右下角印刷ZURU logo, ITFF条码只印刷在正唛一面，在加印的时候确保
条形码能扫描出来，外箱侧面任一角落加印："MADE IN CHINA" 字样；箱唛翻单：4500195546
 3. 在产品上和包装上要有日期码、以及要有MADE IN CHINA和ZURU字样；
 4. 产品如有扎带口要剪平，不能刮手。
 5. 此单需要验货，请多备料
 6. 此单以Slip sheet出货，960pcs/60CTNS/Slip sheet</t>
  </si>
  <si>
    <t>0983717907</t>
  </si>
  <si>
    <t>4500206385-20</t>
  </si>
  <si>
    <t>0983717875</t>
  </si>
  <si>
    <t>4500206385-30</t>
  </si>
  <si>
    <t>0983717770</t>
  </si>
  <si>
    <t>4500206385-40</t>
  </si>
  <si>
    <t>4500205775</t>
  </si>
  <si>
    <t>0983717747</t>
  </si>
  <si>
    <t>4500205775-10</t>
  </si>
  <si>
    <t>日期码格式：ZURU DGYYYYMMDD CHINA(日期避开周末和法定节假日即可） 日期：按实际生产日期
Packaging Info: 77772SLB-S001
1.包装要求：
MA 1L A版收缩膜+MA 5L A版收藏指南+MA 23L A版说明书+MA A版纸袋+客版1L PDQ，翻单：4500195546
每pcs产品上要贴1张RFID贴纸，贴纸由ZURU提供，贴纸位置请严格按照我们签回的签板；
Remark: 77772SLB-S001
1.包装要求：
MA 1L A版收缩膜+MA 5L A版收藏指南+MA 23L A版说明书+MA A版纸袋+客版1L PDQ，翻单：4500195546
每pcs产品上要贴1张RFID贴纸，贴纸由ZURU提供，贴纸位置请严格按照我们签回的签板；
2. 外箱印刷带条码的RFID箱唛：RFID紫色色带+WM Dept.图标+RFID图标+ITF-14条码，四面右下角印刷ZURU logo, ITFF条码只印刷在正唛一面，在加印的时候确保
条形码能扫描出来，外箱侧面任一角落加印："MADE IN CHINA" 字样；箱唛翻单：4500195546
3. 在产品上和包装上要有日期码、以及要有MADE IN CHINA和ZURU字样；
4. 产品如有扎带口要剪平，不能刮手。
5. 此单需要验货，请多备料
6. 此单以Slip sheet出货，960pcs/60CTNS/Slip sheet</t>
  </si>
  <si>
    <t>0983717787</t>
  </si>
  <si>
    <t>4500205775-20</t>
  </si>
  <si>
    <t>0983717837</t>
  </si>
  <si>
    <t>4500205775-30</t>
  </si>
  <si>
    <t>4500206387</t>
  </si>
  <si>
    <t>0983717793</t>
  </si>
  <si>
    <t>4500206387-10</t>
  </si>
  <si>
    <t>0983717762</t>
  </si>
  <si>
    <t>4500206387-20</t>
  </si>
  <si>
    <t>0983717832</t>
  </si>
  <si>
    <t>4500206387-30</t>
  </si>
  <si>
    <t>4500207470</t>
  </si>
  <si>
    <t>0983717772</t>
  </si>
  <si>
    <t>4500207470-10</t>
  </si>
  <si>
    <t>6/25张RFID贴纸，贴纸由ZURU提供，贴纸位置请严格按照我们签回的签板；</t>
  </si>
  <si>
    <t>日期码格式：ZURU  INC(BVI)  标准格式                                    日期：按实际生产日期
Packaging Info: 77772SLB-S001
1.包装要求：
MA  1L  A版收缩膜+MA  5L  A版收藏指南+MA  23L  A版说明书+MA  A版纸袋+客版1L  PDQ，翻单：4500195546
每pcs产品上要贴1张RFID贴纸，贴纸由ZURU提供，贴纸位置请严格按照我们签回的签板；
Remark: 77772SLB-S001
1.包装要求：
MA  1L  A版收缩膜+MA  5L  A版收藏指南+MA  23L  A版说明书+MA  A版纸袋+客版1L  PDQ，翻单：4500195546
每pcs产品上要贴1张RFID贴纸，贴纸由ZURU提供，贴纸位置请严格按照我们签回的签板；
   2.  外箱印刷带条码的RFID箱唛：RFID紫色色带+WM  Dept. 图标+RFID图标+ITF-14条码，四面右下角印刷ZURU  logo,  ITFF条码只印刷在正唛一面，在加印的时候确保
条形码能扫描出来，外箱侧面任一角落加印："MADE  IN  CHINA"  字样；箱唛翻单：4500195546
   3.  在产品上和包装上要有日期码、以及要有MADE  IN  CHINA和ZURU字样；
   4.  产品如有扎带口要剪平，不能刮手。
   5.  此单需要验货，请多备料
   6.  此单以Slip  sheet出货，960pcs/60CTNS/Slip  sheet</t>
  </si>
  <si>
    <t>0983717849</t>
  </si>
  <si>
    <t>4500207470-20</t>
  </si>
  <si>
    <t>0983717891</t>
  </si>
  <si>
    <t>4500207470-30</t>
  </si>
  <si>
    <t>0983717927</t>
  </si>
  <si>
    <t>4500207470-40</t>
  </si>
  <si>
    <t>4500207471</t>
  </si>
  <si>
    <t>0983717903</t>
  </si>
  <si>
    <t>4500207471-10</t>
  </si>
  <si>
    <t>0983717960</t>
  </si>
  <si>
    <t>4500207471-20</t>
  </si>
  <si>
    <t>0983718043</t>
  </si>
  <si>
    <t>4500207471-30</t>
  </si>
  <si>
    <t>4500207484</t>
  </si>
  <si>
    <t>0983717872</t>
  </si>
  <si>
    <t>4500207484-10</t>
  </si>
  <si>
    <t>5/26张RFID贴纸，贴纸由ZURU提供，贴纸位置请严格按照我们签回的签板；</t>
  </si>
  <si>
    <t>0983718067</t>
  </si>
  <si>
    <t>4500207484-20</t>
  </si>
  <si>
    <t>0983717782</t>
  </si>
  <si>
    <t>4500207484-30</t>
  </si>
  <si>
    <t>0983717871</t>
  </si>
  <si>
    <t>4500207484-40</t>
  </si>
  <si>
    <t>4500207493</t>
  </si>
  <si>
    <t>0983717809</t>
  </si>
  <si>
    <t>4500207493-10</t>
  </si>
  <si>
    <t>日期码格式：ZURU  INC(BVI)  标准格式                                    日期：按实际生产日期
Packaging Info: 77772SLB-S001
1.包装要求：
MA  1L  A版收缩膜+MA  5L  A版收藏指南+MA  23L  A版说明书+MA  A版纸袋+客版1L  PDQ，翻单：4500195546
每pcs产品上要贴1张RFID贴纸，贴纸由ZURU提供，贴纸位置请严格按照我们签回的签板；
Remark: 77772SLB-S001
1.包装要求：
MA  1L  A版收缩膜+MA  5L  A版收藏指南+MA  23L  A版说明书+MA  A版纸袋+客版1L  PDQ，翻单：4500195546
每pcs产品上要贴1张RFID贴纸，贴纸由ZURU提供，贴纸位置请严格按照我们签回的签板；
  2.  外箱印刷带条码的RFID箱唛：RFID紫色色带+WM  Dept. 图标+RFID图标+ITF-14条码，四面右下角印刷ZURU  logo,  ITFF条码只印刷在正唛一面，在加印的时候确保
条形码能扫描出来，外箱侧面任一角落加印："MADE  IN  CHINA"  字样；箱唛翻单：4500195546
  3.  在产品上和包装上要有日期码、以及要有MADE  IN  CHINA和ZURU字样；
  4.  产品如有扎带口要剪平，不能刮手。
  5.  此单需要验货，请多备料
  6.  此单以Slip  sheet出货，960pcs/60CTNS/Slip  sheet</t>
  </si>
  <si>
    <t>0983717806</t>
  </si>
  <si>
    <t>4500207493-20</t>
  </si>
  <si>
    <t>0983717880</t>
  </si>
  <si>
    <t>4500207493-30</t>
  </si>
  <si>
    <t>0983717921</t>
  </si>
  <si>
    <t>4500207493-40</t>
  </si>
  <si>
    <t>0983717955</t>
  </si>
  <si>
    <t>4500207493-50</t>
  </si>
  <si>
    <t>4500207853</t>
  </si>
  <si>
    <t>0983717995</t>
  </si>
  <si>
    <t>4500207853-10</t>
  </si>
  <si>
    <t>日期码格式：ZURU DGYYYYMMDD CHINA(日期避开周末和法定节假日即可）                   日期：按实际生产日期
Remark: 77772SLB-S001
1.包装要求：
MA 1L A版收缩膜+MA 5L A版收藏指南+MA 23L A版说明书+MA A版纸袋+客版1L PDQ，翻单：4500195546
每pcs产品上要贴1张RFID贴纸，贴纸由ZURU提供，贴纸位置请严格按照我们签回的签板；
 2. 外箱印刷带条码的RFID箱唛：RFID紫色色带+WM Dept.图标+RFID图标+ITF-14条码，四面右下角印刷ZURU logo, ITFF条码只印刷在正唛一面，在加印的时候确保
条形码能扫描出来，外箱侧面任一角落加印："MADE IN CHINA" 字样；箱唛翻单：4500195546
 3. 在产品上和包装上要有日期码、以及要有MADE IN CHINA和ZURU字样；
 4. 产品如有扎带口要剪平，不能刮手。
 5. 此单需要验货，请多备料
 6. 此单以Slip sheet出货，960pcs/60CTNS/Slip sheet</t>
  </si>
  <si>
    <t>0983717879</t>
  </si>
  <si>
    <t>4500207853-20</t>
  </si>
  <si>
    <t>0983718022</t>
  </si>
  <si>
    <t>4500207853-30</t>
  </si>
  <si>
    <t>0983718057</t>
  </si>
  <si>
    <t>4500207853-40</t>
  </si>
  <si>
    <t>0983717789</t>
  </si>
  <si>
    <t>4500207853-50</t>
  </si>
  <si>
    <t>0983717968</t>
  </si>
  <si>
    <t>4500207853-60</t>
  </si>
  <si>
    <t>0983717946</t>
  </si>
  <si>
    <t>4500207853-110</t>
  </si>
  <si>
    <t>0983718008</t>
  </si>
  <si>
    <t>4500207853-120</t>
  </si>
  <si>
    <t>0983717896</t>
  </si>
  <si>
    <t>4500207853-130</t>
  </si>
  <si>
    <t>0983718056</t>
  </si>
  <si>
    <t>4500207853-150</t>
  </si>
  <si>
    <t>0983717867</t>
  </si>
  <si>
    <t>4500207853-70</t>
  </si>
  <si>
    <t>0983717945</t>
  </si>
  <si>
    <t>4500207853-80</t>
  </si>
  <si>
    <t>0983717928</t>
  </si>
  <si>
    <t>4500207853-90</t>
  </si>
  <si>
    <t>0983717878</t>
  </si>
  <si>
    <t>4500207853-100</t>
  </si>
  <si>
    <t>0983717964</t>
  </si>
  <si>
    <t>4500207853-140</t>
  </si>
  <si>
    <t>4500208556</t>
  </si>
  <si>
    <t>0983718050</t>
  </si>
  <si>
    <t>4500208556-10</t>
  </si>
  <si>
    <t>日期码格式：ZURU  INC(BVI)  标准格式                                    日期：按实际生产日期
Packaging Info: 77772GQ3-SLB-S001
1.包装要求：
MA  1L  A版收缩膜+MA  5L  A版收藏指南+MA  23L  A版说明书+MA  A版纸袋+客版1L  PDQ，翻单：4500195546
每pcs产品上要贴1张RFID贴纸，贴纸由ZURU提供，贴纸位置请严格按照我们签回的签板；
Remark: 77772GQ3-SLB-S001
1.包装要求：
MA  1L  A版收缩膜+MA  5L  A版收藏指南+MA  23L  A版说明书+MA  A版纸袋+客版1L  PDQ，翻单：4500195546
每pcs产品上要贴1张RFID贴纸，贴纸由ZURU提供，贴纸位置请严格按照我们签回的签板；
   2.  外箱印刷带条码的RFID箱唛：RFID紫色色带+WM  Dept. 图标+RFID图标+ITF-14条码，四面右下角印刷ZURU  logo,  ITFF条码只印刷在正唛一面，在加印的时候确保
条形码能扫描出来，外箱侧面任一角落加印："MADE  IN  CHINA"  字样；箱唛翻单：4500195546
   3.  在产品上和包装上要有日期码、以及要有MADE  IN  CHINA和ZURU字样；
   4.  产品如有扎带口要剪平，不能刮手。
   5.  此单需要验货，请多备料
   6.  此单以Slip  sheet出货，960pcs/60CTNS/Slip  sheet</t>
  </si>
  <si>
    <t>0983718017</t>
  </si>
  <si>
    <t>4500208556-20</t>
  </si>
  <si>
    <t>4500208557</t>
  </si>
  <si>
    <t>0983717935</t>
  </si>
  <si>
    <t>4500208557-10</t>
  </si>
  <si>
    <t>0983717905</t>
  </si>
  <si>
    <t>4500208557-20</t>
  </si>
  <si>
    <t>0983718074</t>
  </si>
  <si>
    <t>4500208557-30</t>
  </si>
  <si>
    <t>0983717886</t>
  </si>
  <si>
    <t>4500208557-40</t>
  </si>
  <si>
    <t>0983718012</t>
  </si>
  <si>
    <t>4500197357-10</t>
  </si>
  <si>
    <t>4500212213</t>
  </si>
  <si>
    <t>1007840659</t>
  </si>
  <si>
    <t>4500212213-10</t>
  </si>
  <si>
    <t>3KO941ND</t>
  </si>
  <si>
    <t>4500205973-140</t>
  </si>
  <si>
    <t>2026/7/16周四</t>
  </si>
  <si>
    <t>2026/7/13周一</t>
  </si>
  <si>
    <t>日期码格式：ZURU INC(BVI) 标准格式 日期：按实际生产日期
Packaging Info:#77876:2PK MA 1L UPC版#77772入PVC桶，3L无UPC客版收缩膜，客版收缩膜和3L铜版纸图稿翻单4500192514.（两个球的配比不能重复）。
Remark: 1. Amazon MDDP订单，出口US。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</si>
  <si>
    <t>Kelly  Shen/Mia  Pan/P</t>
  </si>
  <si>
    <t>4500204396</t>
  </si>
  <si>
    <t>46LPYSQT</t>
  </si>
  <si>
    <t>4500204396-250</t>
  </si>
  <si>
    <t>6/25 寄出外箱贴纸</t>
  </si>
  <si>
    <t>4500200707</t>
  </si>
  <si>
    <t>8D3NPCKG</t>
  </si>
  <si>
    <t>4500200707-10</t>
  </si>
  <si>
    <t>欠SSCC Label</t>
  </si>
  <si>
    <t>1L9GAHLC</t>
  </si>
  <si>
    <t>4500200707-20</t>
  </si>
  <si>
    <t>4500200682</t>
  </si>
  <si>
    <t>7YBZVQTD</t>
  </si>
  <si>
    <t>4500200682-10</t>
  </si>
  <si>
    <t>4500200679</t>
  </si>
  <si>
    <t>7EVR43JJ</t>
  </si>
  <si>
    <t>4500200679-10</t>
  </si>
  <si>
    <t>2PXC5WIJ</t>
  </si>
  <si>
    <t>4500205996-230</t>
  </si>
  <si>
    <t>日期码格式：ZURU INC(BVI) 标准格式 日期：按实际生产日期
Packaging Info: #77809: 2PK STD #77773入PVC筒,客版3L无UPC版收缩膜，客版3L铜版纸，客版收缩膜和铜版纸翻单4500179751。收藏指南和说明书为MA版本。（两个球的配比不能
重复）。
#77858: STD 77858带MA包装入邮包盒，邮包盒图稿翻单4500195266。
#77876:2PK MA 1L UPC版#77772入PVC桶，3L无UPC客版收缩膜，客版收缩膜和3L铜版纸图稿翻单4500192514.（两个球的配比不能重复）。
#9572：9572A=2PK 9565 (Pink + Brown) ，9572B=2PK 9565 (Blue + Orange) MA 1L包装入邮包盒，邮包盒图稿翻单4500192963。
9574: MA UPC版包装(1L或3L都可,3L是EAN版本的话需要另外加UPC贴纸)，出口美国。
Remark: 1. Amazon MDDP订单，出口US。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</si>
  <si>
    <t>3TMDR7LU</t>
  </si>
  <si>
    <t>4500205996-240</t>
  </si>
  <si>
    <t>4500195685-10</t>
  </si>
  <si>
    <t>3/10 确认</t>
  </si>
  <si>
    <t>日期码格式：ZURU INC(BVI) 标准格式 日期：按实际生产日期
Packaging Info: #77876:2PK MA 1L UPC版#77772入PVC桶，3L无UPC客版收缩膜，客版收缩膜和3L铜版纸图稿翻单4500192506.（两个球的配比不能重复）。77876需要返工移除两款唱
片（具体唱片以SP通知为准），返工后的产品需要加UPC贴纸 (新UPC-193052118752)，覆盖原铜板纸上的旧UPC。
Remark: 1.Amazon domestic 订单。出口美国。外箱最长边不能超过25" （超过了，case pack只能为1），不符合要求的大货，一律不接受。
2.无第三方验货/测试要求。
3.日期码使用ZURU标准版本。
4.如果大货有要求入邮包盒，则对应的邮包盒上面要打上日期码。</t>
  </si>
  <si>
    <t>4500195685-20</t>
  </si>
  <si>
    <t>7/12号完成</t>
  </si>
  <si>
    <t>4500211227</t>
  </si>
  <si>
    <t>4400575074</t>
  </si>
  <si>
    <t>4500211227-40</t>
  </si>
  <si>
    <t>收藏指南新资料</t>
  </si>
  <si>
    <t>日期码格式： ZURU INC(BVI) 标准格式 日期：按实际生产日期
Packaging Info: 25282B: 最新MA3L+23L警告语 MA彩盒+一张新的UPC条码贴纸(25282B#193052063182; 翻PO#4500116913)+最新MA 9L说明书+WEEE声明通用29L-D版说明书（带电池）
77673TQ1: 最新MA 3L EAN配套包装+WEEE声明(带电池)走货欧洲通用29L-D版说明书
EAN: 4894680042773
77711GQ2: 最新MA PDQ(优先3L)+MA-3L EAN收缩膜+1张法国sorting label贴纸(翻PO#4500182619) + MA-23L说明书 + MA-5-23L警语收藏指南 + MA-5L creative说
明书
EAN: 4894680043350
77772GQ2: MA PDQ (优先多语)+客版5L收缩膜 (翻PO#4500191961) +客版5L收藏指南(本单放新稿)+MA 23L组装说明书+MA内袋
EAN#4894680051133
*必须移除Messy Lola Young (VINYL-S1-021) 这个唱片, 比例按PM更新的安排, 如未按要求做货被客罚由工厂承担责任*
77794UQ1: 最新MA 3L底座/纸卡/贴纸+MA 23L游戏说明书+MA 23L锂电池说明书+MA 23L警示说明书+MA PDQ (优先多语)
EAN#4894680051430
RECHARGEABLE LITHIUM BATTERY(INCLUDED)*外箱需加一张UN3481锂电池运输标签*
92147D: MA 3L-8Lwarning EAN包装+MA 3L吊牌+MA 5L贴纸+MA5L-23Lwarning袋子+MA 5L-19Lwarning收藏指南+MA 5L-19Lwarning指南书+1张EAN条码贴纸(EAN#
4894680060760), 翻PO#4500193518
25282A: 最新MA3L+23L警告语 MA彩盒+一张UPC条码贴纸(25282A#193052062611; 翻PO#4500192931)+最新MA 9L说明书+WEEE声明通用29L-D版说明书（带电池）
Remark: Smyths 英国/爱尔兰
1. 请准时出货，推期会有罚款；
2. 所有产品按符合欧洲标准走货，需要是不含微塑料版本。
3.包装日期码按ZURU格式即可，请确保不迟于外箱日期码，可等于或者早于外箱日期码，必须为法定工作日，印刷前请先检查外箱日期码。
4.请注意检查产品及包装应带UKCA图标（14+产品除外）， 包装显示ZURU UK LTD/ZURU France地址信息，QC部门请查核，如有问题与跟单确认
5.电子产品需增加一张WEEE声明29L通用黑白说明书，区分带电池(D版)和不带电池(C版)出货版本, 如已做带WEEE声明的客版说明书可忽略此要求；如包装备注上缺
少此部分信息，请提醒跟单更新备注。
6.订单备注显示有分批的(不同仓库/订单号), 一定要区分客户订单号做货出货，否则会导致罚款 。
7.做货前请先复核包装条码与订单是否一致再安排，对不上的需与ZURU跟单确认再安排。
8.包装必须含法国回收标(Sorting Label)，如没有，请提醒跟单提供贴纸资料。</t>
  </si>
  <si>
    <t>4400558693</t>
  </si>
  <si>
    <t>4500211227-90</t>
  </si>
  <si>
    <t>日期码格式：ZURU INC(BVI) 标准格式                  日期：按实际生产日期
Packaging Info:
77772GQ2: MA PDQ (优先多语)+客版5L收缩膜 (翻PO#4500191961) +客版5L收藏指南(翻PO#4500200925)+MA 23L组装说明书+MA内袋
EAN#4894680051133
*必须移除Messy Lola Young (VINYL-S1-021) 这个唱片, 比例按PM更新的安排, 如未按要求做货被客罚由工厂承担责任*
Remark: Smyths 英国/爱尔兰
 1. 请准时出货，推期会有罚款；
 2. 所有产品按符合欧洲标准走货，需要是不含微塑料版本。
3.包装日期码按ZURU格式即可，请确保不迟于外箱日期码，可等于或者早于外箱日期码，必须为法定工作日，印刷前请先检查外箱日期码。
4.请注意检查产品及包装应带UKCA图标（14+产品除外），包装显示ZURU UK LTD/ZURU France地址信息，QC部门请查核，如有问题与跟单确认
5.电子产品需增加一张WEEE声明29L通用黑白说明书，区分带电池(D版)和不带电池(C版)出货版本, 如已做带WEEE声明的客版说明书可忽略此要求；如包装备注上缺
少此部分信息，请提醒跟单更新备注。
6.订单备注显示有分批的(不同仓库/订单号), 一定要区分客户订单号做货出货，否则会导致罚款  。
7.做货前请先复核包装条码与订单是否一致再安排，对不上的需与ZURU跟单确认再安排。
8.包装必须含法国回收标(Sorting Label)，如没有，请提醒跟单提供贴纸资料。</t>
  </si>
  <si>
    <t>4500211227-50</t>
  </si>
  <si>
    <t>日期码格式：ZURU INC(BVI) 标准格式                  日期：按实际生产日期
Packaging Info: 
77794UQ1: 最新MA 3L底座/纸卡/贴纸+MA 23L游戏说明书+MA 23L锂电池说明书+MA 23L警示说明书+MA PDQ (优先多语)
EAN#4894680051430
RECHARGEABLE LITHIUM BATTERY(INCLUDED)
*外箱需加一张UN3481锂电池运输标签*
Remark: Smyths 英国/爱尔兰
 1. 请准时出货，推期会有罚款；
 2. 所有产品按符合欧洲标准走货，需要是不含微塑料版本。
3.包装日期码按ZURU格式即可，请确保不迟于外箱日期码，可等于或者早于外箱日期码，必须为法定工作日，印刷前请先检查外箱日期码。
4.请注意检查产品及包装应带UKCA图标（14+产品除外），包装显示ZURU UK LTD/ZURU France地址信息，QC部门请查核，如有问题与跟单确认
5.电子产品需增加一张WEEE声明29L通用黑白说明书，区分带电池(D版)和不带电池(C版)出货版本, 如已做带WEEE声明的客版说明书可忽略此要求；如包装备注上缺
少此部分信息，请提醒跟单更新备注。
6.订单备注显示有分批的(不同仓库/订单号), 一定要区分客户订单号做货出货，否则会导致罚款  。
7.做货前请先复核包装条码与订单是否一致再安排，对不上的需与ZURU跟单确认再安排。
8.包装必须含法国回收标(Sorting Label)，如没有，请提醒跟单提供贴纸资料。</t>
  </si>
  <si>
    <t>4500207581</t>
  </si>
  <si>
    <t>4400561411</t>
  </si>
  <si>
    <t>4500207581-40</t>
  </si>
  <si>
    <t>日期码格式：ZURU INC(BVI) 标准格式                  日期：按实际生产日期
Packaging Info: 
77794UQ1: 最新MA 3L底座/纸卡/贴纸+MA 23L游戏说明书+MA 23L锂电池说明书+MA 23L警示说明书+MA PDQ (优先多语)
EAN#4894680051430
RECHARGEABLE LITHIUM BATTERY(INCLUDED)
*外箱需加一张UN3481锂电池运输标签*
Remark: Smyths 英国/爱尔兰
 1. 请准时出货，推期会有罚款；
 2. 所有产品按符合欧洲标准走货，需要是不含微塑料版本。
3.包装日期码按ZURU格式即可，请确保不迟于外箱日期码，可等于或者早于外箱日期码，必须为法定工作日，印刷前请先检查外箱日期码。
4.请注意检查产品及包装应带UKCA图标（14+产品除外），包装显示ZURU UK LTD/ZURU France地址信息，QC部门请查核，如有问题与跟单确认
5.电子产品需增加一张WEEE声明30L通用黑白说明书(不接受A版本，翻译有误)，区分带电池和不带电池出货版本, 如已做客版说明书可忽略此要求；
6.订单备注显示有分批的（不同仓库/订单号）  ，注意分开做货出货，否则会导致罚款  。
7.做货前请先复核包装条码与订单是否一致再安排，对不上的需与ZURU跟单确认再安排。</t>
  </si>
  <si>
    <t>4500207581-50</t>
  </si>
  <si>
    <t>日期码格式：ZURU INC(BVI) 标准格式                  日期：按实际生产日期
Packaging Info: 
77772GQ2: MA PDQ (优先多语)+客版5L收缩膜 (翻PO#4500191961) +客版5L收藏指南(翻PO#4500200925)+MA 23L组装说明书+MA内袋
EAN#4894680051133
*必须移除Messy Lola Young (VINYL-S1-021) 这个唱片, 比例按PM更新的安排, 如未按要求做货被客罚由工厂承担责任*
如达不到包材MOQ-
Remark: Smyths 英国/爱尔兰
 1. 请准时出货，推期会有罚款；
 2. 所有产品按符合欧洲标准走货，需要是不含微塑料版本。
3.包装日期码按ZURU格式即可，请确保不迟于外箱日期码，可等于或者早于外箱日期码，必须为法定工作日，印刷前请先检查外箱日期码。
4.请注意检查产品及包装应带UKCA图标（14+产品除外），包装显示ZURU UK LTD/ZURU France地址信息，QC部门请查核，如有问题与跟单确认
5.电子产品需增加一张WEEE声明30L通用黑白说明书(不接受A版本，翻译有误)，区分带电池和不带电池出货版本, 如已做客版说明书可忽略此要求；
6.订单备注显示有分批的（不同仓库/订单号）  ，注意分开做货出货，否则会导致罚款  。
7.做货前请先复核包装条码与订单是否一致再安排，对不上的需与ZURU跟单确认再安排。</t>
  </si>
  <si>
    <t>4400560175</t>
  </si>
  <si>
    <t>4500207207-20</t>
  </si>
  <si>
    <t>7/11 空运</t>
  </si>
  <si>
    <t>4500211904-20</t>
  </si>
  <si>
    <t>日期码格式：ZURU INC(BVI) 标准格式                  日期：按实际生产日期
Packaging Info: 
77772GQ2: MA PDQ (优先多语)+客版5L收缩膜 (翻PO#4500191961) +客版5L收藏指南(翻PO#4500211229)+MA 23L组装说明书+MA内袋
EAN#4894680051133
*必须移除Messy Lola Young (VINYL-S1-021) 这个唱片, 比例按PM更新的安排, 如未按要求做货被客罚由工厂承担责任*
Remark: Smyths 英国/爱尔兰
 1. 请准时出货，推期会有罚款；
 2. 所有产品按符合欧洲标准走货，需要是不含微塑料版本。
3.包装日期码按ZURU格式即可，请确保不迟于外箱日期码，可等于或者早于外箱日期码，必须为法定工作日，印刷前请先检查外箱日期码。
4.请注意检查产品及包装应带UKCA图标（14+产品除外），包装显示ZURU UK LTD/ZURU France地址信息，QC部门请查核，如有问题与跟单确认
5.电子产品需增加一张WEEE声明29L通用黑白说明书，区分带电池(D版)和不带电池(C版)出货版本, 如已做带WEEE声明的客版说明书可忽略此要求；如包装备注上缺
少此部分信息，请提醒跟单更新备注。
6.订单备注显示有分批的(不同仓库/订单号), 一定要区分客户订单号做货出货，否则会导致罚款  。
7.做货前请先复核包装条码与订单是否一致再安排，对不上的需与ZURU跟单确认再安排。
8.包装必须含法国回收标(Sorting Label)，如没有，请提醒跟单提供贴纸资料。</t>
  </si>
  <si>
    <t>4500211904-30</t>
  </si>
  <si>
    <t>日期码格式：ZURU INC(BVI) 标准格式                  日期：按实际生产日期
Packaging Info: 
77794UQ1: 最新MA 3L底座/纸卡/贴纸+MA 23L游戏说明书+MA 23L锂电池说明书+MA 23L警示说明书+MA PDQ (优先多语)
EAN#4894680051430
RECHARGEABLE LITHIUM BATTERY(INCLUDED)
*外箱需加一张UN3481锂电池运输标签*
Remark: Smyths 英国/爱尔兰
 1. 请准时出货，推期会有罚款；
 2. 所有产品按符合欧洲标准走货，需要是不含微塑料版本。
3.包装日期码按ZURU格式即可，请确保不迟于外箱日期码，可等于或者早于外箱日期码，必须为法定工作日，印刷前请先检查外箱日期码。
4.请注意检查产品及包装应带UKCA图标（14+产品除外），包装显示ZURU UK LTD/ZURU France地址信息，QC部门请查核，如有问题与跟单确认
5.电子产品需增加一张WEEE声明29L通用黑白说明书，区分带电池(D版)和不带电池(C版)出货版本, 如已做带WEEE声明的客版说明书可忽略此要求；如包装备注上缺
少此部分信息，请提醒跟单更新备注。
6.订单备注显示有分批的(不同仓库/订单号), 一定要区分客户订单号做货出货，否则会导致罚款  。
7.做货前请先复核包装条码与订单是否一致再安排，对不上的需与ZURU跟单确认再安排。
8.包装必须含法国回收标(Sorting Label)，如没有，请提醒跟单提供贴纸资料。</t>
  </si>
  <si>
    <t>4500211354</t>
  </si>
  <si>
    <t>4400561416</t>
  </si>
  <si>
    <t>4500211354-10</t>
  </si>
  <si>
    <t>日期码格式：ZURU INC(BVI) 标准格式                  日期：按实际生产日期
Packaging Info: 77772GQ2: MA PDQ (优先多语)+客版5L收缩膜 (翻PO#4500191961) +客版5L收藏指南(翻PO#4500200925)+MA 23L组装说明书+MA内袋
EAN#4894680051133
*必须移除Messy Lola Young (VINYL-S1-021) 这个唱片, 比例按PM更新的安排, 如未按要求做货被客罚由工厂承担责任*
Remark: Smyths 英国/爱尔兰
 1. 请准时出货，推期会有罚款；
 2. 所有产品按符合欧洲标准走货，需要是不含微塑料版本。
3.包装日期码按ZURU格式即可，请确保不迟于外箱日期码，可等于或者早于外箱日期码，必须为法定工作日，印刷前请先检查外箱日期码。
4.请注意检查产品及包装应带UKCA图标（14+产品除外），包装显示ZURU UK LTD/ZURU France地址信息，QC部门请查核，如有问题与跟单确认
5.电子产品需增加一张WEEE声明29L通用黑白说明书，区分带电池(D版)和不带电池(C版)出货版本, 如已做带WEEE声明的客版说明书可忽略此要求；如包装备注上缺
少此部分信息，请提醒跟单更新备注。
6.订单备注显示有分批的(不同仓库/订单号), 一定要区分客户订单号做货出货，否则会导致罚款  。
7.做货前请先复核包装条码与订单是否一致再安排，对不上的需与ZURU跟单确认再安排。
8.包装必须含法国回收标(Sorting Label)，如没有，请提醒跟单提供贴纸资料。</t>
  </si>
  <si>
    <t>4400575075</t>
  </si>
  <si>
    <t>4500211354-70</t>
  </si>
  <si>
    <t>日期码格式：ZURU INC(BVI) 标准格式                  日期：按实际生产日期
Packaging Info: 77772GQ2: MA PDQ (优先多语)+客版5L收缩膜 (翻PO#4500191961) +客版5L收藏指南(翻PO#4500200925)+MA 23L组装说明书+MA内袋
EAN#4894680051133
*必须移除Messy Lola Young (VINYL-S1-021) 这个唱片, 比例按PM更新的安排, 如未按要求做货被客罚由工厂承担责任*
Remark: Smyths 英国/爱尔兰
 1. 请准时出货，推期会有罚款；
 2. 所有产品按符合欧洲标准走货，需要是不含微塑料版本。
3.包装日期码按ZURU格式即可，请确保不迟于外箱日期码，可等于或者早于外箱日期码，必须为法定工作日，印刷前请先检查外箱日期码。
4.请注意检查产品及包装应带UKCA图标（14+产品除外），包装显示ZURU UK LTD/ZURU France地址信息，QC部门请查核，如有问题与跟单确认
5.电子产品需增加一张WEEE声明29L通用黑白说明书，区分带电池(D版)和不带电池(C版)出货版本, 如已做带WEEE声明的客版说明书可忽略此要求；如包装备注上缺
少此部分信息，请提醒跟单更新备注。
6.订单备注显示有分批的(不同仓库/订单号), 一定要区分客户订单号做货出货，否则会导致罚款  。
7.做货前请先复核包装条码与订单是否一致再安排，对不上的需与ZURU跟单确认再安排。
8.包装必须含法国回收标(Sorting Label)，如没有，请提醒跟单提供贴纸资料。</t>
  </si>
  <si>
    <t>4500211354-20</t>
  </si>
  <si>
    <t>日期码格式：ZURU INC(BVI) 标准格式                  日期：按实际生产日期
Packaging Info:
77794UQ1: 最新MA 3L底座/纸卡/贴纸+MA 23L游戏说明书+MA 23L锂电池说明书+MA 23L警示说明书+MA PDQ (优先多语)
EAN#4894680051430
RECHARGEABLE LITHIUM BATTERY(INCLUDED)
*外箱需加一张UN3481锂电池运输标签*
Remark: Smyths 英国/爱尔兰
 1. 请准时出货，推期会有罚款；
 2. 所有产品按符合欧洲标准走货，需要是不含微塑料版本。
3.包装日期码按ZURU格式即可，请确保不迟于外箱日期码，可等于或者早于外箱日期码，必须为法定工作日，印刷前请先检查外箱日期码。
4.请注意检查产品及包装应带UKCA图标（14+产品除外），包装显示ZURU UK LTD/ZURU France地址信息，QC部门请查核，如有问题与跟单确认
5.电子产品需增加一张WEEE声明29L通用黑白说明书，区分带电池(D版)和不带电池(C版)出货版本, 如已做带WEEE声明的客版说明书可忽略此要求；如包装备注上缺
少此部分信息，请提醒跟单更新备注。
6.订单备注显示有分批的(不同仓库/订单号), 一定要区分客户订单号做货出货，否则会导致罚款  。
7.做货前请先复核包装条码与订单是否一致再安排，对不上的需与ZURU跟单确认再安排。
8.包装必须含法国回收标(Sorting Label)，如没有，请提醒跟单提供贴纸资料。</t>
  </si>
  <si>
    <t>4500211354-80</t>
  </si>
  <si>
    <t>日期码格式：ZURU INC(BVI) 标准格式                  日期：按实际生产日期
Packaging Info:
77794UQ1: 最新MA 3L底座/纸卡/贴纸+MA 23L游戏说明书+MA 23L锂电池说明书+MA 23L警示说明书+MA PDQ (优先多语)
EAN#4894680051430
RECHARGEABLE LITHIUM BATTERY(INCLUDED)
*外箱需加一张UN3481锂电池运输标签*
Remark: Smyths 英国/爱尔兰
 1. 请准时出货，推期会有罚款；
 2. 所有产品按符合欧洲标准走货，需要是不含微塑料版本。
3.包装日期码按ZURU格式即可，请确保不迟于外箱日期码，可等于或者早于外箱日期码，必须为法定工作日，印刷前请先检查外箱日期码。
4.请注意检查产品及包装应带UKCA图标（14+产品除外），包装显示ZURU UK LTD/ZURU France地址信息，QC部门请查核，如有问题与跟单确认
5.电子产品需增加一张WEEE声明29L通用黑白说明书，区分带电池(D版)和不带电池(C版)出货版本, 如已做带WEEE声明的客版说明书可忽略此要求；如包装备注上缺
少此部分信息，请提醒跟单更新备注。
6.订单备注显示有分批的(不同仓库/订单号), 一定要区分客户订单号做货出货，否则会导致罚款  。
7.做货前请先复核包装条码与订单是否一致再安排，对不上的需与ZURU跟单确认再安排。
8.包装必须含法国回收标(Sorting Label)，如没有，请提醒跟单提供贴纸资料。</t>
  </si>
  <si>
    <t>4500213975</t>
  </si>
  <si>
    <t>4400577351</t>
  </si>
  <si>
    <t>4500213975-10</t>
  </si>
  <si>
    <t>日期码格式：ZURU INC(BVI) 标准格式                  日期：按实际生产日期
Packaging Info: 
"77794UQ1: 最新MA 3L底座/纸卡/贴纸+MA 23L游戏说明书+MA 23L锂电池说明书+MA 23L警示说明书+MA PDQ (优先多语)
EAN#4894680051430
RECHARGEABLE LITHIUM BATTERY(INCLUDED)
*外箱需加一张UN3481锂电池运输标签*"
Remark: Smyths 英国/爱尔兰
 1. 请准时出货，推期会有罚款；
 2. 所有产品按符合欧洲标准走货，需要是不含微塑料版本。
3.包装日期码按ZURU格式即可，请确保不迟于外箱日期码，可等于或者早于外箱日期码，必须为法定工作日，印刷前请先检查外箱日期码。
4.请注意检查产品及包装应带UKCA图标（14+产品除外），包装显示ZURU UK LTD/ZURU France地址信息，QC部门请查核，如有问题与跟单确认
5.电子产品需增加一张WEEE声明29L通用黑白说明书，区分带电池(D版)和不带电池(C版)出货版本, 如已做带WEEE声明的客版说明书可忽略此要求；如包装备注上缺
少此部分信息，请提醒跟单更新备注。
6.订单备注显示有分批的(不同仓库/订单号), 一定要区分客户订单号做货出货，否则会导致罚款  。
7.做货前请先复核包装条码与订单是否一致再安排，对不上的需与ZURU跟单确认再安排。
8.包装必须含法国回收标(Sorting Label)，如没有，请提醒跟单提供贴纸资料。</t>
  </si>
  <si>
    <t>4400577352</t>
  </si>
  <si>
    <t>4500213975-20</t>
  </si>
  <si>
    <t>移除#21唱片客版5L收缩膜 (翻PO#4500191961) +客版5L收藏指南(翻PO#4500211227)</t>
  </si>
  <si>
    <t>日期码格式：ZURU INC(BVI) 标准格式                  日期：按实际生产日期
Packaging Info: 
"77772GQ2: MA PDQ (优先多语)+客版5L收缩膜 (翻PO#4500191961) +客版5L收藏指南(翻PO#4500211227)+MA 23L组装说明书+MA内袋
EAN#4894680051133
*必须移除Messy Lola Young (VINYL-S1-021) 这个唱片, 比例按PM更新的安排, 如未按要求做货被客罚由工厂承担责任*
如达不到包材MOQ-
77772GQ2: MA PDQ (优先多语)+MA 3L-EAN收缩膜+1张含德语callout/德意荷警语/法国sorting label贴纸(翻单PO#4500196046)+客版5L收藏指南(不含Messy唱片,
翻PO#4500211227)
EAN#4894680051133
*必须移除Messy Lola Young (VINYL-S1-021) 这个唱片, 比例按PM更新的安排, 如未按要求做货被客罚由工厂承担责任*"
Remark: Smyths 英国/爱尔兰
 1. 请准时出货，推期会有罚款；
 2. 所有产品按符合欧洲标准走货，需要是不含微塑料版本。
3.包装日期码按ZURU格式即可，请确保不迟于外箱日期码，可等于或者早于外箱日期码，必须为法定工作日，印刷前请先检查外箱日期码。
4.请注意检查产品及包装应带UKCA图标（14+产品除外），包装显示ZURU UK LTD/ZURU France地址信息，QC部门请查核，如有问题与跟单确认
5.电子产品需增加一张WEEE声明29L通用黑白说明书，区分带电池(D版)和不带电池(C版)出货版本, 如已做带WEEE声明的客版说明书可忽略此要求；如包装备注上缺
少此部分信息，请提醒跟单更新备注。
6.订单备注显示有分批的(不同仓库/订单号), 一定要区分客户订单号做货出货，否则会导致罚款  。
7.做货前请先复核包装条码与订单是否一致再安排，对不上的需与ZURU跟单确认再安排。
8.包装必须含法国回收标(Sorting Label)，如没有，请提醒跟单提供贴纸资料。</t>
  </si>
  <si>
    <t>4400577353</t>
  </si>
  <si>
    <t>4500213975-30</t>
  </si>
  <si>
    <t>4500211924-10</t>
  </si>
  <si>
    <t>4500211924-60</t>
  </si>
  <si>
    <r>
      <rPr>
        <sz val="12"/>
        <color rgb="FFFF0000"/>
        <rFont val="宋体"/>
        <charset val="134"/>
        <scheme val="minor"/>
      </rPr>
      <t>日期码格式：ZURU INC(BVI) 标准格式</t>
    </r>
    <r>
      <rPr>
        <sz val="12"/>
        <color rgb="FFFF0000"/>
        <rFont val="等线"/>
        <charset val="134"/>
      </rPr>
      <t xml:space="preserve">                  日期</t>
    </r>
    <r>
      <rPr>
        <sz val="12"/>
        <color rgb="FFFF0000"/>
        <rFont val="汉仪书宋二KW"/>
        <charset val="134"/>
      </rPr>
      <t>：</t>
    </r>
    <r>
      <rPr>
        <sz val="12"/>
        <color rgb="FFFF0000"/>
        <rFont val="等线"/>
        <charset val="134"/>
      </rPr>
      <t>按实际生产日期
Packaging Info: 77794UQ1: 最新MA 3L底座/纸卡/贴纸+MA 23L游戏说明书+MA 23L锂电池说明书+MA 23L警示说明书+MA PDQ (优先多语)
EAN#4894680051430
RECHARGEABLE LITHIUM BATTERY(INCLUDED)
*外箱需加一张UN3481锂电池运输标签*
Remark: Smyths 英国/爱尔兰
 1. 请准时出货</t>
    </r>
    <r>
      <rPr>
        <sz val="12"/>
        <color rgb="FFFF0000"/>
        <rFont val="汉仪书宋二KW"/>
        <charset val="134"/>
      </rPr>
      <t>，</t>
    </r>
    <r>
      <rPr>
        <sz val="12"/>
        <color rgb="FFFF0000"/>
        <rFont val="等线"/>
        <charset val="134"/>
      </rPr>
      <t>推期会有罚款</t>
    </r>
    <r>
      <rPr>
        <sz val="12"/>
        <color rgb="FFFF0000"/>
        <rFont val="汉仪书宋二KW"/>
        <charset val="134"/>
      </rPr>
      <t>；</t>
    </r>
    <r>
      <rPr>
        <sz val="12"/>
        <color rgb="FFFF0000"/>
        <rFont val="等线"/>
        <charset val="134"/>
      </rPr>
      <t xml:space="preserve">
 2. 所有产品按符合欧洲标准走货</t>
    </r>
    <r>
      <rPr>
        <sz val="12"/>
        <color rgb="FFFF0000"/>
        <rFont val="汉仪书宋二KW"/>
        <charset val="134"/>
      </rPr>
      <t>，</t>
    </r>
    <r>
      <rPr>
        <sz val="12"/>
        <color rgb="FFFF0000"/>
        <rFont val="等线"/>
        <charset val="134"/>
      </rPr>
      <t>需要是不含微塑料版本。
3.包装日期码按ZURU格式即可</t>
    </r>
    <r>
      <rPr>
        <sz val="12"/>
        <color rgb="FFFF0000"/>
        <rFont val="汉仪书宋二KW"/>
        <charset val="134"/>
      </rPr>
      <t>，</t>
    </r>
    <r>
      <rPr>
        <sz val="12"/>
        <color rgb="FFFF0000"/>
        <rFont val="等线"/>
        <charset val="134"/>
      </rPr>
      <t>请确保不迟于外箱日期码</t>
    </r>
    <r>
      <rPr>
        <sz val="12"/>
        <color rgb="FFFF0000"/>
        <rFont val="汉仪书宋二KW"/>
        <charset val="134"/>
      </rPr>
      <t>，</t>
    </r>
    <r>
      <rPr>
        <sz val="12"/>
        <color rgb="FFFF0000"/>
        <rFont val="等线"/>
        <charset val="134"/>
      </rPr>
      <t>可等于或者早于外箱日期码</t>
    </r>
    <r>
      <rPr>
        <sz val="12"/>
        <color rgb="FFFF0000"/>
        <rFont val="汉仪书宋二KW"/>
        <charset val="134"/>
      </rPr>
      <t>，</t>
    </r>
    <r>
      <rPr>
        <sz val="12"/>
        <color rgb="FFFF0000"/>
        <rFont val="等线"/>
        <charset val="134"/>
      </rPr>
      <t>必须为法定工作日</t>
    </r>
    <r>
      <rPr>
        <sz val="12"/>
        <color rgb="FFFF0000"/>
        <rFont val="汉仪书宋二KW"/>
        <charset val="134"/>
      </rPr>
      <t>，</t>
    </r>
    <r>
      <rPr>
        <sz val="12"/>
        <color rgb="FFFF0000"/>
        <rFont val="等线"/>
        <charset val="134"/>
      </rPr>
      <t>印刷前请先检查外箱日期码。
4.请注意检查产品及包装应带UKCA图标</t>
    </r>
    <r>
      <rPr>
        <sz val="12"/>
        <color rgb="FFFF0000"/>
        <rFont val="汉仪书宋二KW"/>
        <charset val="134"/>
      </rPr>
      <t>（</t>
    </r>
    <r>
      <rPr>
        <sz val="12"/>
        <color rgb="FFFF0000"/>
        <rFont val="等线"/>
        <charset val="134"/>
      </rPr>
      <t>14+产品除外</t>
    </r>
    <r>
      <rPr>
        <sz val="12"/>
        <color rgb="FFFF0000"/>
        <rFont val="汉仪书宋二KW"/>
        <charset val="134"/>
      </rPr>
      <t>），</t>
    </r>
    <r>
      <rPr>
        <sz val="12"/>
        <color rgb="FFFF0000"/>
        <rFont val="等线"/>
        <charset val="134"/>
      </rPr>
      <t>包装显示ZURU UK LTD/ZURU France地址信息</t>
    </r>
    <r>
      <rPr>
        <sz val="12"/>
        <color rgb="FFFF0000"/>
        <rFont val="汉仪书宋二KW"/>
        <charset val="134"/>
      </rPr>
      <t>，</t>
    </r>
    <r>
      <rPr>
        <sz val="12"/>
        <color rgb="FFFF0000"/>
        <rFont val="等线"/>
        <charset val="134"/>
      </rPr>
      <t>QC部门请查核</t>
    </r>
    <r>
      <rPr>
        <sz val="12"/>
        <color rgb="FFFF0000"/>
        <rFont val="汉仪书宋二KW"/>
        <charset val="134"/>
      </rPr>
      <t>，</t>
    </r>
    <r>
      <rPr>
        <sz val="12"/>
        <color rgb="FFFF0000"/>
        <rFont val="等线"/>
        <charset val="134"/>
      </rPr>
      <t>如有问题与跟单确认
5.电子产品需增加一张WEEE声明29L通用黑白说明书</t>
    </r>
    <r>
      <rPr>
        <sz val="12"/>
        <color rgb="FFFF0000"/>
        <rFont val="汉仪书宋二KW"/>
        <charset val="134"/>
      </rPr>
      <t>，</t>
    </r>
    <r>
      <rPr>
        <sz val="12"/>
        <color rgb="FFFF0000"/>
        <rFont val="等线"/>
        <charset val="134"/>
      </rPr>
      <t>区分带电池(D版)和不带电池(C版)出货版本, 如已做带WEEE声明的客版说明书可忽略此要求</t>
    </r>
    <r>
      <rPr>
        <sz val="12"/>
        <color rgb="FFFF0000"/>
        <rFont val="汉仪书宋二KW"/>
        <charset val="134"/>
      </rPr>
      <t>；</t>
    </r>
    <r>
      <rPr>
        <sz val="12"/>
        <color rgb="FFFF0000"/>
        <rFont val="等线"/>
        <charset val="134"/>
      </rPr>
      <t>如包装备注上缺
少此部分信息</t>
    </r>
    <r>
      <rPr>
        <sz val="12"/>
        <color rgb="FFFF0000"/>
        <rFont val="汉仪书宋二KW"/>
        <charset val="134"/>
      </rPr>
      <t>，</t>
    </r>
    <r>
      <rPr>
        <sz val="12"/>
        <color rgb="FFFF0000"/>
        <rFont val="等线"/>
        <charset val="134"/>
      </rPr>
      <t>请提醒跟单更新备注。
6.订单备注显示有分批的(不同仓库/订单号), 一定要区分客户订单号做货出货</t>
    </r>
    <r>
      <rPr>
        <sz val="12"/>
        <color rgb="FFFF0000"/>
        <rFont val="汉仪书宋二KW"/>
        <charset val="134"/>
      </rPr>
      <t>，</t>
    </r>
    <r>
      <rPr>
        <sz val="12"/>
        <color rgb="FFFF0000"/>
        <rFont val="等线"/>
        <charset val="134"/>
      </rPr>
      <t>否则会导致罚款  。
7.做货前请先复核包装条码与订单是否一致再安排</t>
    </r>
    <r>
      <rPr>
        <sz val="12"/>
        <color rgb="FFFF0000"/>
        <rFont val="汉仪书宋二KW"/>
        <charset val="134"/>
      </rPr>
      <t>，</t>
    </r>
    <r>
      <rPr>
        <sz val="12"/>
        <color rgb="FFFF0000"/>
        <rFont val="等线"/>
        <charset val="134"/>
      </rPr>
      <t>对不上的需与ZURU跟单确认再安排。
8.包装必须含法国回收标(Sorting Label)</t>
    </r>
    <r>
      <rPr>
        <sz val="12"/>
        <color rgb="FFFF0000"/>
        <rFont val="汉仪书宋二KW"/>
        <charset val="134"/>
      </rPr>
      <t>，</t>
    </r>
    <r>
      <rPr>
        <sz val="12"/>
        <color rgb="FFFF0000"/>
        <rFont val="等线"/>
        <charset val="134"/>
      </rPr>
      <t>如没有</t>
    </r>
    <r>
      <rPr>
        <sz val="12"/>
        <color rgb="FFFF0000"/>
        <rFont val="汉仪书宋二KW"/>
        <charset val="134"/>
      </rPr>
      <t>，</t>
    </r>
    <r>
      <rPr>
        <sz val="12"/>
        <color rgb="FFFF0000"/>
        <rFont val="等线"/>
        <charset val="134"/>
      </rPr>
      <t>请提醒跟单提供贴纸资料。</t>
    </r>
  </si>
  <si>
    <t>4500211924-20</t>
  </si>
  <si>
    <t>4500211924-50</t>
  </si>
  <si>
    <t>日期码格式：ZURU INC(BVI) 标准格式                  日期：按实际生产日期
Packaging Info: 
77772GQ2: MA PDQ (优先多语)+客版5L收缩膜 (翻PO#4500191961) +客版5L收藏指南(翻PO#4500211229)+MA 23L组装说明书+MA内袋
EAN#4894680051133
*必须移除Messy Lola Young (VINYL-S1-021) 这个唱片, 比例按PM更新的安排, 如未按要求做货被客罚由工厂承担责任*
Remark: Smyths 英国/爱尔兰
 1. 请准时出货，推期会有罚款；
 2. 所有产品按符合欧洲标准走货，需要是不含微塑料版本。
3.包装日期码按ZURU格式即可，请确保不迟于外箱日期码，可等于或者早于外箱日期码，必须为法定工作日，印刷前请先检查外箱日期码。
4.请注意检查产品及包装应带UKCA图标（14+产品除外），包装显示ZURU UK LTD/ZURU France地址信息，QC部门请查核，如有问题与跟单确认
5.电子产品需增加一张WEEE声明29L通用黑白说明书，区分带电池(D版)和不带电池(C版)出货版本, 如已做带WEEE声明的客版说明书可忽略此要求；如包装备注上缺
少此部分信息，请提醒跟单更新备注。
6.订单备注显示有分批的(不同仓库/订单号), 一定要区分客户订单号做货出货，否则会导致罚款  。
7.做货前请先复核包装条码与订单是否一致再安排，对不上的需与ZURU跟单确认再安排。
8.包装必须含法国回收标(Sorting Label)，如没有，请提醒跟单提供贴纸资料。</t>
  </si>
  <si>
    <t>4500211924-70</t>
  </si>
  <si>
    <t>4500208855</t>
  </si>
  <si>
    <t>4400573265</t>
  </si>
  <si>
    <t>4500208855-30</t>
  </si>
  <si>
    <t>450021676转po4500208855</t>
  </si>
  <si>
    <t>日期码格式：ZURU INC(BVI) 标准格式                  日期：按实际生产日期
Packaging Info: 
77772GQ2: MA PDQ (优先多语)+客版5L收缩膜 (翻PO#4500191961) +客版5L收藏指南(翻PO#4500200925)+MA 23L组装说明书+MA内袋
EAN#4894680051133
*必须移除Messy Lola Young (VINYL-S1-021) 这个唱片, 比例按PM更新的安排, 如未按要求做货被客罚由工厂承担责任*
如达不到包材MOQ-
77772GQ2: MA PDQ (优先多语)+MA 3L-EAN收缩膜+1张含德语callout/德意荷警语/法国sorting label贴纸(翻单PO#4500196046)+客版5L收藏指南(不含Messy唱片,
翻PO#4500200925)
EAN#4894680051133
*必须移除Messy Lola Young (VINYL-S1-021) 这个唱片, 比例按PM更新的安排, 如未按要求做货被客罚由工厂承担责任*
Remark: Smyths 德国
 1. 请准时出货，推期会有罚款；
 2. 所有产品按符合欧洲标准走货，需要是不含微塑料版本。
 3. 所有电子产品身上需要加字唛，为ZURU FRANCE 地址 (如无电子产品，产品布标有此地址，或产品太小无法增加可忽略此信息)，新地址ZURU FRANCE.33 rue Pa
 ul Meurice 75020 Paris, France.
 4. 包装/说明书(如有)/产品(如有)上的法国地址信息必须保持一致，不可出现包装上是新地址，说明书上是旧地址；如地址信息不一致请通知跟单更新文件；
 5. 电子产品需增加一张WEEE声明29L通用黑白说明书，区分带电池(D版)和不带电池(C版)出货版本, 如已做带WEEE声明的客版说明书可忽略此要求；如包装备注上
缺少此部分信息，请提醒跟单更新备注。
6.所有出往德国市场有关slime和带香味的都需要出无硼无香版本；
7.订单备注显示有分批的(不同仓库/订单号), 一定要区分客户订单号做货出货，否则会导致罚款  。
8.包装日期码按ZURU格式即可，请确保不迟于外箱日期码，可等于或者早于外箱日期码，必须为法定工作日。
9.做货前请先复核包装条码与订单是否一致再安排，对不上的需与ZURU跟单确认再安排。
10.包装必须含法国回收标(Sorting Label)，如没有，请提醒跟单提供贴纸资料。</t>
  </si>
  <si>
    <t>4500204062</t>
  </si>
  <si>
    <t>4400564350</t>
  </si>
  <si>
    <t>4500204062-40</t>
  </si>
  <si>
    <t>450021677转po4500204062</t>
  </si>
  <si>
    <t>日期码格式：ZURU INC(BVI) 标准格式                  日期：按实际生产日期
Packaging Info: 
"77772GQ2: MA PDQ (优先多语)+客版5L收缩膜 (翻PO#4500191961) +客版5L收藏指南(不含Messy唱片, 翻PO#4500200925)+MA 23L组装说明书+MA内袋+C版WEEE声明
(不带电池)走货欧洲通用29L说明书
EAN#4894680051133
*必须移除Messy Lola Young (VINYL-S1-021) 这个唱片, 比例按PM更新的安排, 如未按要求做货被客罚由工厂承担责任*
Remark: Smyths 德国
 1. 请准时出货，推期会有罚款；
 2. 所有产品按符合欧洲标准走货，需要是不含微塑料版本。
 3. 所有电子产品身上需要加字唛，为ZURU FRANCE 地址 (如无电子产品，产品布标有此地址，或产品太小无法增加可忽略此信息)，新地址ZURU FRANCE.33 rue Pa
 ul Meurice 75020 Paris, France.
 4. 包装/说明书(如有)/产品(如有)上的法国地址信息必须保持一致，不可出现包装上是新地址，说明书上是旧地址；如地址信息不一致请通知跟单更新文件；
 5. 电子产品需增加一张C版WEEE声明29L通用黑白说明书(不接受A版本，翻译有误)，区分带电池和不带电池出货版本, 如已做客版说明书可忽略此要求；如包装备注
上缺少此部分信息，请提醒跟单更新备注。
6.所有出往德国市场有关slime和带香味的都需要出无硼无香版本；
7.订单备注显示有分批的(不同仓库/订单号), 一定要区分客户订单号做货出货，否则会导致罚款  。
8.包装日期码按ZURU格式即可，请确保不迟于外箱日期码，可等于或者早于外箱日期码，必须为法定工作日。
9.做货前请先复核包装条码与订单是否一致再安排，对不上的需与ZURU跟单确认再安排。
10.包装必须含法国回收标(Sorting Label)，如没有，请提醒跟单提供贴纸资料。</t>
  </si>
  <si>
    <t>4500207585</t>
  </si>
  <si>
    <t>4500207585-30</t>
  </si>
  <si>
    <t>转单到4500216772</t>
  </si>
  <si>
    <t>日期码格式：ZURU INC(BVI) 标准格式                  日期：按实际生产日期
Packaging Info:
77794UQ1: MA PDQ (优先多语)+客版5L(英法德意荷)底座/纸卡/贴纸(翻PO#4500200925) +MA 23L游戏说明书+MA 23L锂电池说明书+MA 23L警示说明书
EAN#4894680051430
RECHARGEABLE LITHIUM BATTERY(INCLUDED)
*外箱需加一张UN3481锂电池运输标签*
如达不到包材MOQ-
77794UQ1: 最新MA 3L底座/纸卡/贴纸+1张含德语callout/德意荷警语贴纸(翻单PO#4500196046)+MA 23L游戏说明书+MA 23L锂电池说明书+MA 23L警示说明书
EAN#4894680051430
RECHARGEABLE LITHIUM BATTERY(INCLUDED)
*外箱需加一张UN3481锂电池运输标签*
77711GQ2: 最新MA 3L PDQ+客版收缩膜(英法德callout/英法德意荷警语/法国环保logo)翻单4500155592 +MA23L 说明书+MA 5+23L警语收藏指南+ MA 5L creative说
明书 + creative说明书荷兰语贴纸(翻单4500155592）
EAN: 4894680043350
收缩膜不足MOQ时：
Remark: Smyths 德国
 1. 请准时出货，推期会有罚款；
 2. 所有产品按符合欧洲标准走货，需要是不含微塑料版本。
 3. 所有电子产品身上需要加字唛，为ZURU FRANCE 地址 (如无电子产品，产品布标有此地址，或产品太小无法增加可忽略此信息)，新地址ZURU FRANCE.33 rue Pa
 ul Meurice 75020 Paris, France.
 4. 电子产品需增加一张WEEE声明30L通用黑白说明书(不接受A版本，翻译有误)，区分带电池和不带电池出货版本, 如已做客版说明书可忽略此要求；
 5.所有出往德国市场有关slime和带香味的都需要出无硼无香版本；
6.订单备注显示有分批的（不同仓库/订单号）  ，注意分开做货出货，否则会导致罚款  。
7.包装日期码按ZURU格式即可，请确保不迟于外箱日期码，可等于或者早于外箱日期码，必须为法定工作日。
8.做货前请先复核包装条码与订单是否一致再安排，对不上的需与ZURU跟单确认再安排。</t>
  </si>
  <si>
    <t>Army &amp; Air Force Exchange Service</t>
  </si>
  <si>
    <t>AAFES02</t>
  </si>
  <si>
    <t>转实单4500215867</t>
  </si>
  <si>
    <t>Date code format：ZURU Standard format                   Date：按实际生产日期
Packaging Info: 收到正式PO后再改单和提供外箱资料
Remark: MA包装，出口美国，优先1L
ZURU Inc(BVI)
FLAT/RM 1201-04,06-07 12/F Energy Plaza,92 Granville Road, Tel: +852 37469003
Loading Port: Shenzhen</t>
  </si>
  <si>
    <t>AAFES02-10</t>
  </si>
  <si>
    <t>已转实单4500215867</t>
  </si>
  <si>
    <t>K303257X</t>
  </si>
  <si>
    <t>K303257X-10</t>
  </si>
  <si>
    <r>
      <rPr>
        <sz val="12"/>
        <color rgb="FFFF0000"/>
        <rFont val="宋体"/>
        <charset val="134"/>
        <scheme val="minor"/>
      </rPr>
      <t>Date code format: Standard format</t>
    </r>
    <r>
      <rPr>
        <sz val="12"/>
        <color rgb="FFFF0000"/>
        <rFont val="等线"/>
        <charset val="134"/>
      </rPr>
      <t xml:space="preserve">                  Date</t>
    </r>
    <r>
      <rPr>
        <sz val="12"/>
        <color rgb="FFFF0000"/>
        <rFont val="汉仪书宋二KW"/>
        <charset val="134"/>
      </rPr>
      <t>：</t>
    </r>
    <r>
      <rPr>
        <sz val="12"/>
        <color rgb="FFFF0000"/>
        <rFont val="等线"/>
        <charset val="134"/>
      </rPr>
      <t>Manufactory Date
Packaging Info:1. MA (首选1L UPC/ 多语 UPC) 包装
Remark:2. 产品和包装上印刷tracking code信息</t>
    </r>
    <r>
      <rPr>
        <sz val="12"/>
        <color rgb="FFFF0000"/>
        <rFont val="汉仪书宋二KW"/>
        <charset val="134"/>
      </rPr>
      <t>，</t>
    </r>
    <r>
      <rPr>
        <sz val="12"/>
        <color rgb="FFFF0000"/>
        <rFont val="等线"/>
        <charset val="134"/>
      </rPr>
      <t>格式为ZURU常规。
3. 需ZURU QC 验货合格后方可出货</t>
    </r>
  </si>
  <si>
    <t>COSTCO WHOLESALE NEW ZEALAND LIMITE</t>
  </si>
  <si>
    <t>4500209282</t>
  </si>
  <si>
    <t>1924640134</t>
  </si>
  <si>
    <t>4500209282-10</t>
  </si>
  <si>
    <t>日期码格式： ZURU INC(BVI) 标准格式 日期：按实际生产日期
Packaging Info: 77896SLT-S003: S003-MINI BRANDS-VINYL-SERIES 1-1PK PLAYSET AND 3PK CAPSULES(Remove 2minis)-COMBO IN COLOR BOX,120PCS/DISPLAY/SLIP SHEET
1.客版包装: 客版PDQ+球客版收缩膜+球组装说明+客版唱片机玩法说明书+箱唛+MA纸袋 等其他内包材（翻单COSTCO US#4500209267）+客版5L电池说明书+77896客版彩盒（新资料）+77772客版收藏指南（新资料）(注意：彩盒+收藏指南等包装信息上显示为"43"张唱片)
2.配比信息：77772: 4 mini vinyls(except Messy +Delicious vinyl minis),1 accessory
3.移除了 ""Messy 和 Delicious""两张唱片
Remark: 1. 所有日期码印在彩盒上，产品上也需要印日期码. 按实际生产日期，ZURU 标准版格式的日期码。
2. 纸箱唛头：纸箱四面，正唛和背面两面都需印刷，其他2面侧面留空,按照箱唛要求排版。产品带锂电池外箱加贴U3481贴纸
3. 确保展示架在入外箱的时候一定要正面对着有印刷箱唛的那面,不可以装反。
4.AU电商和AU Ecom(PO#4500209281)+NZ(PO#4500209282)拼柜
货：4,320 pcs=AU:3960units+ AU E-com: 120 Units + NZ: 240 Units ,All ship to AU together as 1*40HQ；注意！此单目的地是澳大利亚！！！
5.需要ITS 10%产中抽板时间：7/24+第三方验货：8/10</t>
  </si>
  <si>
    <t>日期码格式：ZURU INC(BVI) 标准格式                  日期：按实际生产日期
Packaging Info: 77896SLT-S003: S003-MINI BRANDS-VINYL-SERIES 1-1PK PLAYSET AND 3PK CAPSULES-COMBO IN COLOR BOX,120PCS/DISPLAY/SLIP SHEET
1.客版包装: 客版彩盒+ 客版PDQ+客版收缩膜+组装说明+唱片机安装指南+客版收藏指南+客版说明书+锂电池警告语贴纸+客版纸袋 等其他内包材+箱唛(注意：彩盒
+收藏指南等包装信息上显示为"43"张唱片)
2.配比信息：77772: 4  mini vinyls(except Messy +Delicious vinyl minis),1 accessory
3.移除了 ""Messy 和 Delicious""两张唱片
Remark: 1. 所有日期码印在彩盒上，产品上也需要印日期码. 按实际生产日期，ZURU 标准版格式的日期码。
 2. 纸箱唛头：纸箱四面，正唛和背面两面都需印刷，其他2面侧面留空,按照箱唛要求排版。
 3. 确保展示架在入外箱的时候一定要正面对着有印刷箱唛的那面,不可以装反。
 4.AU电商和AU Ecom(PO#4500209281)+NZ(PO#4500209282)拼柜
货：4,320 pcs=AU:3960units+ AU E-com: 120 Units +  NZ: 240 Units ,All ship to AU together as 1*40HQ；注意！此单目的地是澳大利亚！！！</t>
  </si>
  <si>
    <t>AMAZON  MEXICO,  S.  DE  R.L.  DE  CV</t>
  </si>
  <si>
    <t>4500207304</t>
  </si>
  <si>
    <t>61G2F6PO</t>
  </si>
  <si>
    <t>4500207304-20</t>
  </si>
  <si>
    <t>暂停</t>
  </si>
  <si>
    <t>空白外箱加印ZURU Logo+MADE IN CHINA+SSCC LABEL(客供贴纸），无shippingmark,日期使用ZURU 标准版本</t>
  </si>
  <si>
    <t>6/8SSCC Label</t>
  </si>
  <si>
    <t>日期码格式：ZURU INC(BVI) 标准格式 日期：按实际生产日期
Packaging Info: 
77876:2PK MA 1L UPC版#77772入PVC桶，3L无UPC客版收缩膜，客版收缩膜和3L铜版纸图稿翻单4500192514.（两个球的配比不能重复）；SSCC lable+进口商贴纸
Remark: Amazon FOB订单，出口Mexico，外箱最长边不能超过25" （超过了，casepack只能为1），不符合要求的大货，一律不接受。
1.空白外箱加印ZURU Logo+MADE IN CHINA+SSCC LABEL(客供贴纸），无shippingmark,日期使用ZURU 标准版本。SSCC Label显示的是客人自己的item#，SSCC Label
贴在外箱正面的正中间，贴一面即可，跟单订购，贴纸离外箱距必须至少3cm,每一张SSCC Label都是唯一且有不同流水及条码的，没有损耗，绝对不可贴错，否
则贴错或损坏一张会导致全部都错，千万要注意！
2. 日期码使用ZURU标准版</t>
  </si>
  <si>
    <t>Candy  Liu</t>
  </si>
  <si>
    <t>77876-S001-1L</t>
  </si>
  <si>
    <t>2QGM8HXH</t>
  </si>
  <si>
    <t>4500207304-50</t>
  </si>
  <si>
    <t>4400568224</t>
  </si>
  <si>
    <t>4500215969-20</t>
  </si>
  <si>
    <t>4400568228</t>
  </si>
  <si>
    <t>4500215969-30</t>
  </si>
  <si>
    <t>4500191969-30</t>
  </si>
  <si>
    <t>日期码格式：ZURU INC(BVI) 标准格式 日期：按实际生产日期
Packaging Info: 77772GQ2客版5L(英法德意荷)配套包装=MA PDQ (优先多语)+客版3L-5Lwarning收缩膜(翻PO#4500191961)+客版5L收藏指南(翻PO#4500191961)+MA 23L组装说明+MA
复合袋
EAN#4894680051133
77772GQ2必须移除Messy Lola Young (VINYL-S1-021) 这个唱片 ,比例按Una 更新的安排，如未按要求做货被客罚由工厂承担责任。
-------------------------------------------------------------------
Remark: Smyths 英国/爱尔兰
1. 请准时出货，推期会有罚款；
2. 所有产品按符合欧洲标准走货，需要是不含微塑料版本。
3.包装日期码按ZURU格式即可，请确保不迟于外箱日期码，可等于或者早于外箱日期码，必须为法定工作日，印刷前请先检查外箱日期码。
4.请注意检查产品及包装应带UKCA图标（14+产品除外），包装显示ZURU UK LTD/ZURU France地址信息，QC部门请查核，如有问题与跟单确认
5.电子产品需增加一张WEEE声明30L通用黑白说明书(不接受A版本，翻译有误)，区分带电池和不带电池出货版本, 如已做客版说明书可忽略此要求；
6.订单备注显示有分批的（不同仓库/订单号） ，注意分开做货出货，否则会导致罚款 。
7.做货前请先复核包装条码与订单是否一致再安排，对不上的需与ZURU跟单确认再安排。</t>
  </si>
  <si>
    <t>4500217076-20</t>
  </si>
  <si>
    <t>日期码格式：ZURU  INC(BVI) 标准格式                                    日期：按实际生产日期
Packaging Info: 1.包装：    ZURU MA 包装  + ZURU MA PDQ（如带PDQ）+ ZURU说明书或收藏指南（如带有）。MA包材优选1L。
大货外箱材质用ZURU MA的标准规格即可。
Remark: 1.包装：    ZURU MA 包装  + ZURU MA PDQ（如带PDQ）+ ZURU说明书或收藏指南（如带有）。MA包材优选1L。
大货外箱材质用ZURU MA的标准规格即可。
客户要求：     "产品和包装不能含有PFAS  物质以及1,4  dioxane"出口美国，客户指定实验室做产品测美国标准的实际测试。On  and  after 20  April 2024, toys mus
t comply with  ASTM  F963-23.
  2.日期码：产品和包装上必须有ZURU MA格式日期码。2者保持一致，避开周末。
  3. 此单无价贴。
  4. 无样板需求
  5.此单是DDP  term，无第三方验货要求。
  6 .箱唛：此客人要求严格，外箱不接受水贴纸，外箱唛头是客户版本的，跟单邮件发送。
  7 .此客人不接受任何理由的延期，会有高额罚金产生.
  8.此单每款打SLIP  SHEET纸滑托后整柜出货.跟单邮件发送打SLIP  SHEET的装载图和具体要求。
  9.出货配比：MA配比。
  10.以下是每款的spec：
77772GQ8-SLB-S001-MINI BRANDS-VINYL-SERIES 1-CAPSULE,WITH DEMO,24PCS/GRAVITY PDQ/CTN,720PCS/30CTN/SLIP SHEET
具体产品item：77772GQ8-S002
客人SKU#45494901
产品描述：PSZ26 DDP MB VINYL CAPS
ZURU MA UPC#  193052090065</t>
  </si>
  <si>
    <t>4500217076-10</t>
  </si>
  <si>
    <t>日期码格式：ZURU  INC(BVI) 标准格式                                    日期：按实际生产日期
Packaging Info: 1.包装：    ZURU MA 包装  + ZURU MA PDQ（如带PDQ）+ ZURU说明书或收藏指南（如带有）。MA包材优选1L。
大货外箱材质用ZURU MA的标准规格即可。
Remark: 1.包装：    ZURU MA 包装  + ZURU MA PDQ（如带PDQ）+ ZURU说明书或收藏指南（如带有）。MA包材优选1L。
大货外箱材质用ZURU MA的标准规格即可。
客户要求：     "产品和包装不能含有PFAS  物质以及1,4  dioxane"出口美国，客户指定实验室做产品测美国标准的实际测试。On  and  after 20  April 2024, toys mus
t comply with  ASTM  F963-23.
  2.日期码：产品和包装上必须有ZURU MA格式日期码。2者保持一致，避开周末。
  3. 此单无价贴。
  4. 无样板需求
  5.此单是DDP  term，无第三方验货要求。
  6 .箱唛：此客人要求严格，外箱不接受水贴纸，外箱唛头是客户版本的，跟单邮件发送。
  7 .此客人不接受任何理由的延期，会有高额罚金产生.
  8.此单每款打SLIP  SHEET纸滑托后整柜出货.跟单邮件发送打SLIP  SHEET的装载图和具体要求。
  9.出货配比：MA配比。
  10.以下是每款的spec：
77794UQ1-SLB-S002-MINI BRANDS-VINYL-PLAYSET-SERIES 1-CUBE,8PCS/PDQ/CTN,432PCS/54CTN/SLIP SHEET
具体产品item：77794UQ1-S002
客人SKU#45494701
产品描述：PSZ26 DDP MB VINYL PLYST
ZURU MA UPC#193052090409</t>
  </si>
  <si>
    <t>PURCHASE ORDER</t>
  </si>
  <si>
    <t>4500218XXX</t>
  </si>
  <si>
    <t>4500218XXX-10</t>
  </si>
  <si>
    <t>日期码格式：ZURU  INC(BVI) 标准格式                                    日期：按实际生产日期
Packaging Info: MA  3L 加UPC贴纸，UPC贴纸翻单4500200392
Remark: 出加拿大
Zuru验货.日期跟踪码：产品外包装及产品本身都必须有日期跟踪码，ZURU标准格式日期码</t>
  </si>
  <si>
    <r>
      <rPr>
        <sz val="12"/>
        <color rgb="FFFF0000"/>
        <rFont val="宋体"/>
        <charset val="134"/>
        <scheme val="minor"/>
      </rPr>
      <t>Bella</t>
    </r>
    <r>
      <rPr>
        <sz val="10"/>
        <color rgb="FFFF0000"/>
        <rFont val="等线"/>
        <charset val="134"/>
      </rPr>
      <t xml:space="preserve">  Tan</t>
    </r>
  </si>
  <si>
    <t>4500218YYY</t>
  </si>
  <si>
    <t>4500218YYY-10</t>
  </si>
  <si>
    <t>日期码格式：ZURU  INC(BVI) 标准格式                                    日期：按实际生产日期
Packaging Info: 77772GQ2: 收缩膜&lt;(&gt;&amp;&lt;)&gt;PDQ：    MA 3L，    收缩膜加UPC贴纸
Remark: 出加拿大
Zuru验货.日期跟踪码：产品外包装及产品本身都必须有日期跟踪码，ZURU标准格式日期码</t>
  </si>
  <si>
    <r>
      <rPr>
        <sz val="12"/>
        <color rgb="FFFF0000"/>
        <rFont val="宋体"/>
        <charset val="134"/>
      </rPr>
      <t>Bella</t>
    </r>
    <r>
      <rPr>
        <sz val="10"/>
        <color rgb="FFFF0000"/>
        <rFont val="等线"/>
        <charset val="134"/>
      </rPr>
      <t xml:space="preserve">  Tan</t>
    </r>
  </si>
  <si>
    <t>4500216502-80</t>
  </si>
  <si>
    <r>
      <rPr>
        <sz val="12"/>
        <color rgb="FFFF0000"/>
        <rFont val="宋体"/>
        <charset val="134"/>
        <scheme val="minor"/>
      </rPr>
      <t>日期码格式：ZURU INC(BVI) 标准格式</t>
    </r>
    <r>
      <rPr>
        <sz val="10"/>
        <color rgb="FFFF0000"/>
        <rFont val="宋体"/>
        <charset val="134"/>
        <scheme val="minor"/>
      </rPr>
      <t xml:space="preserve">                  日期：按实际生产日期
Packaging Info: 
77794UQ1: 最新MA 3L底座/纸卡/贴纸+1张含德语callout/德意荷警语贴纸(翻单PO#4500196046)+MA 23L游戏说明书+MA 23L锂电池说明书+MA 23L警示说明书
EAN#4894680051430
RECHARGEABLE LITHIUM BATTERY(INCLUDED)
*外箱需加一张UN3481锂电池运输标签*"
Remark: Smyths 德国
 1. 请准时出货，推期会有罚款；
 2. 所有产品按符合欧洲标准走货，需要是不含微塑料版本。
 3. 所有电子产品身上需要加字唛，为ZURU FRANCE 地址 (如无电子产品，产品布标有此地址，或产品太小无法增加可忽略此信息)，新地址ZURU FRANCE.33 rue Pa
 ul Meurice 75020 Paris, France.
 4. 包装/说明书(如有)/产品(如有)上的法国地址信息必须保持一致，不可出现包装上是新地址，说明书上是旧地址；如地址信息不一致请通知跟单更新文件；
 5. 电子产品需增加一张WEEE声明29L通用黑白说明书，区分带电池(D版)和不带电池(C版)出货版本, 如已做带WEEE声明的客版说明书可忽略此要求；如包装备注上
缺少此部分信息，请提醒跟单更新备注。
6.所有出往德国市场有关slime和带香味的都需要出无硼无香版本；
7.订单备注显示有分批的(不同仓库/订单号), 一定要区分客户订单号做货出货，否则会导致罚款  。
8.包装日期码按ZURU格式即可，请确保不迟于外箱日期码，可等于或者早于外箱日期码，必须为法定工作日。
9.做货前请先复核包装条码与订单是否一致再安排，对不上的需与ZURU跟单确认再安排。
10.包装必须含法国回收标(Sorting Label)，如没有，请提醒跟单提供贴纸资料。</t>
    </r>
  </si>
  <si>
    <t>4500216502-90</t>
  </si>
  <si>
    <t>4500212131-80</t>
  </si>
  <si>
    <r>
      <rPr>
        <sz val="12"/>
        <color rgb="FFFF0000"/>
        <rFont val="宋体"/>
        <charset val="134"/>
        <scheme val="minor"/>
      </rPr>
      <t>日期码格式：ZURU</t>
    </r>
    <r>
      <rPr>
        <sz val="12"/>
        <color rgb="FFFF0000"/>
        <rFont val="等线"/>
        <charset val="134"/>
      </rPr>
      <t xml:space="preserve">  INC(BVI)  标准格式                                    日期</t>
    </r>
    <r>
      <rPr>
        <sz val="12"/>
        <color rgb="FFFF0000"/>
        <rFont val="汉仪书宋二KW"/>
        <charset val="134"/>
      </rPr>
      <t>：</t>
    </r>
    <r>
      <rPr>
        <sz val="12"/>
        <color rgb="FFFF0000"/>
        <rFont val="等线"/>
        <charset val="134"/>
      </rPr>
      <t>按实际生产日期
Packaging Info: 
"77794UQ1:  MA  PDQ  (优先多语)+客版5L(英法德意荷)底座/纸卡/贴纸(翻PO#4500200925)  +MA  23L游戏说明书+MA  23L锂电池说明书+MA  23L警示说明书+D版WEEE声明
(带电池)走货欧洲通用29L说明书
EAN#4894680051430
RECHARGEABLE  LITHIUM  BATTERY(INCLUDED)
*外箱需加一张UN3481锂电池运输标签*"
Remark: Smyths  德国
   1.  请准时出货</t>
    </r>
    <r>
      <rPr>
        <sz val="12"/>
        <color rgb="FFFF0000"/>
        <rFont val="汉仪书宋二KW"/>
        <charset val="134"/>
      </rPr>
      <t>，</t>
    </r>
    <r>
      <rPr>
        <sz val="12"/>
        <color rgb="FFFF0000"/>
        <rFont val="等线"/>
        <charset val="134"/>
      </rPr>
      <t>推期会有罚款</t>
    </r>
    <r>
      <rPr>
        <sz val="12"/>
        <color rgb="FFFF0000"/>
        <rFont val="汉仪书宋二KW"/>
        <charset val="134"/>
      </rPr>
      <t>；</t>
    </r>
    <r>
      <rPr>
        <sz val="12"/>
        <color rgb="FFFF0000"/>
        <rFont val="等线"/>
        <charset val="134"/>
      </rPr>
      <t xml:space="preserve">
   2.  所有产品按符合欧洲标准走货</t>
    </r>
    <r>
      <rPr>
        <sz val="12"/>
        <color rgb="FFFF0000"/>
        <rFont val="汉仪书宋二KW"/>
        <charset val="134"/>
      </rPr>
      <t>，</t>
    </r>
    <r>
      <rPr>
        <sz val="12"/>
        <color rgb="FFFF0000"/>
        <rFont val="等线"/>
        <charset val="134"/>
      </rPr>
      <t>需要是不含微塑料版本。
   3.  所有电子产品身上需要加字唛</t>
    </r>
    <r>
      <rPr>
        <sz val="12"/>
        <color rgb="FFFF0000"/>
        <rFont val="汉仪书宋二KW"/>
        <charset val="134"/>
      </rPr>
      <t>，</t>
    </r>
    <r>
      <rPr>
        <sz val="12"/>
        <color rgb="FFFF0000"/>
        <rFont val="等线"/>
        <charset val="134"/>
      </rPr>
      <t>为ZURU  FRANCE  地址  (如无电子产品</t>
    </r>
    <r>
      <rPr>
        <sz val="12"/>
        <color rgb="FFFF0000"/>
        <rFont val="汉仪书宋二KW"/>
        <charset val="134"/>
      </rPr>
      <t>，</t>
    </r>
    <r>
      <rPr>
        <sz val="12"/>
        <color rgb="FFFF0000"/>
        <rFont val="等线"/>
        <charset val="134"/>
      </rPr>
      <t>产品布标有此地址</t>
    </r>
    <r>
      <rPr>
        <sz val="12"/>
        <color rgb="FFFF0000"/>
        <rFont val="汉仪书宋二KW"/>
        <charset val="134"/>
      </rPr>
      <t>，</t>
    </r>
    <r>
      <rPr>
        <sz val="12"/>
        <color rgb="FFFF0000"/>
        <rFont val="等线"/>
        <charset val="134"/>
      </rPr>
      <t>或产品太小无法增加可忽略此信息)</t>
    </r>
    <r>
      <rPr>
        <sz val="12"/>
        <color rgb="FFFF0000"/>
        <rFont val="汉仪书宋二KW"/>
        <charset val="134"/>
      </rPr>
      <t>，</t>
    </r>
    <r>
      <rPr>
        <sz val="12"/>
        <color rgb="FFFF0000"/>
        <rFont val="等线"/>
        <charset val="134"/>
      </rPr>
      <t>新地址ZURU  FRANCE.33  rue  Pa
   ul  Meurice  75020  Paris,  France.
   4.  包装/说明书(如有)/产品(如有)上的法国地址信息必须保持一致</t>
    </r>
    <r>
      <rPr>
        <sz val="12"/>
        <color rgb="FFFF0000"/>
        <rFont val="汉仪书宋二KW"/>
        <charset val="134"/>
      </rPr>
      <t>，</t>
    </r>
    <r>
      <rPr>
        <sz val="12"/>
        <color rgb="FFFF0000"/>
        <rFont val="等线"/>
        <charset val="134"/>
      </rPr>
      <t>不可出现包装上是新地址</t>
    </r>
    <r>
      <rPr>
        <sz val="12"/>
        <color rgb="FFFF0000"/>
        <rFont val="汉仪书宋二KW"/>
        <charset val="134"/>
      </rPr>
      <t>，</t>
    </r>
    <r>
      <rPr>
        <sz val="12"/>
        <color rgb="FFFF0000"/>
        <rFont val="等线"/>
        <charset val="134"/>
      </rPr>
      <t>说明书上是旧地址</t>
    </r>
    <r>
      <rPr>
        <sz val="12"/>
        <color rgb="FFFF0000"/>
        <rFont val="汉仪书宋二KW"/>
        <charset val="134"/>
      </rPr>
      <t>；</t>
    </r>
    <r>
      <rPr>
        <sz val="12"/>
        <color rgb="FFFF0000"/>
        <rFont val="等线"/>
        <charset val="134"/>
      </rPr>
      <t>如地址信息不一致请通知跟单更新文件</t>
    </r>
    <r>
      <rPr>
        <sz val="12"/>
        <color rgb="FFFF0000"/>
        <rFont val="汉仪书宋二KW"/>
        <charset val="134"/>
      </rPr>
      <t>；</t>
    </r>
    <r>
      <rPr>
        <sz val="12"/>
        <color rgb="FFFF0000"/>
        <rFont val="等线"/>
        <charset val="134"/>
      </rPr>
      <t xml:space="preserve">
   5.  电子产品需增加一张WEEE声明29L通用黑白说明书</t>
    </r>
    <r>
      <rPr>
        <sz val="12"/>
        <color rgb="FFFF0000"/>
        <rFont val="汉仪书宋二KW"/>
        <charset val="134"/>
      </rPr>
      <t>，</t>
    </r>
    <r>
      <rPr>
        <sz val="12"/>
        <color rgb="FFFF0000"/>
        <rFont val="等线"/>
        <charset val="134"/>
      </rPr>
      <t>区分带电池(D版)和不带电池(C版)出货版本,  如已做带WEEE声明的客版说明书可忽略此要求</t>
    </r>
    <r>
      <rPr>
        <sz val="12"/>
        <color rgb="FFFF0000"/>
        <rFont val="汉仪书宋二KW"/>
        <charset val="134"/>
      </rPr>
      <t>；</t>
    </r>
    <r>
      <rPr>
        <sz val="12"/>
        <color rgb="FFFF0000"/>
        <rFont val="等线"/>
        <charset val="134"/>
      </rPr>
      <t>如包装备注上
缺少此部分信息</t>
    </r>
    <r>
      <rPr>
        <sz val="12"/>
        <color rgb="FFFF0000"/>
        <rFont val="汉仪书宋二KW"/>
        <charset val="134"/>
      </rPr>
      <t>，</t>
    </r>
    <r>
      <rPr>
        <sz val="12"/>
        <color rgb="FFFF0000"/>
        <rFont val="等线"/>
        <charset val="134"/>
      </rPr>
      <t>请提醒跟单更新备注。
6.所有出往德国市场有关slime和带香味的都需要出无硼无香版本</t>
    </r>
    <r>
      <rPr>
        <sz val="12"/>
        <color rgb="FFFF0000"/>
        <rFont val="汉仪书宋二KW"/>
        <charset val="134"/>
      </rPr>
      <t>；</t>
    </r>
    <r>
      <rPr>
        <sz val="12"/>
        <color rgb="FFFF0000"/>
        <rFont val="等线"/>
        <charset val="134"/>
      </rPr>
      <t xml:space="preserve">
7.订单备注显示有分批的(不同仓库/订单号),  一定要区分客户订单号做货出货</t>
    </r>
    <r>
      <rPr>
        <sz val="12"/>
        <color rgb="FFFF0000"/>
        <rFont val="汉仪书宋二KW"/>
        <charset val="134"/>
      </rPr>
      <t>，</t>
    </r>
    <r>
      <rPr>
        <sz val="12"/>
        <color rgb="FFFF0000"/>
        <rFont val="等线"/>
        <charset val="134"/>
      </rPr>
      <t>否则会导致罚款    。
8.包装日期码按ZURU格式即可</t>
    </r>
    <r>
      <rPr>
        <sz val="12"/>
        <color rgb="FFFF0000"/>
        <rFont val="汉仪书宋二KW"/>
        <charset val="134"/>
      </rPr>
      <t>，</t>
    </r>
    <r>
      <rPr>
        <sz val="12"/>
        <color rgb="FFFF0000"/>
        <rFont val="等线"/>
        <charset val="134"/>
      </rPr>
      <t>请确保不迟于外箱日期码</t>
    </r>
    <r>
      <rPr>
        <sz val="12"/>
        <color rgb="FFFF0000"/>
        <rFont val="汉仪书宋二KW"/>
        <charset val="134"/>
      </rPr>
      <t>，</t>
    </r>
    <r>
      <rPr>
        <sz val="12"/>
        <color rgb="FFFF0000"/>
        <rFont val="等线"/>
        <charset val="134"/>
      </rPr>
      <t>可等于或者早于外箱日期码</t>
    </r>
    <r>
      <rPr>
        <sz val="12"/>
        <color rgb="FFFF0000"/>
        <rFont val="汉仪书宋二KW"/>
        <charset val="134"/>
      </rPr>
      <t>，</t>
    </r>
    <r>
      <rPr>
        <sz val="12"/>
        <color rgb="FFFF0000"/>
        <rFont val="等线"/>
        <charset val="134"/>
      </rPr>
      <t>必须为法定工作日。
9.做货前请先复核包装条码与订单是否一致再安排</t>
    </r>
    <r>
      <rPr>
        <sz val="12"/>
        <color rgb="FFFF0000"/>
        <rFont val="汉仪书宋二KW"/>
        <charset val="134"/>
      </rPr>
      <t>，</t>
    </r>
    <r>
      <rPr>
        <sz val="12"/>
        <color rgb="FFFF0000"/>
        <rFont val="等线"/>
        <charset val="134"/>
      </rPr>
      <t>对不上的需与ZURU跟单确认再安排。
10.包装必须含法国回收标(Sorting  Label)</t>
    </r>
    <r>
      <rPr>
        <sz val="12"/>
        <color rgb="FFFF0000"/>
        <rFont val="汉仪书宋二KW"/>
        <charset val="134"/>
      </rPr>
      <t>，</t>
    </r>
    <r>
      <rPr>
        <sz val="12"/>
        <color rgb="FFFF0000"/>
        <rFont val="等线"/>
        <charset val="134"/>
      </rPr>
      <t>如没有</t>
    </r>
    <r>
      <rPr>
        <sz val="12"/>
        <color rgb="FFFF0000"/>
        <rFont val="汉仪书宋二KW"/>
        <charset val="134"/>
      </rPr>
      <t>，</t>
    </r>
    <r>
      <rPr>
        <sz val="12"/>
        <color rgb="FFFF0000"/>
        <rFont val="等线"/>
        <charset val="134"/>
      </rPr>
      <t>请提醒跟单提供贴纸资料。</t>
    </r>
  </si>
  <si>
    <r>
      <rPr>
        <sz val="12"/>
        <color rgb="FFFF0000"/>
        <rFont val="宋体"/>
        <charset val="134"/>
        <scheme val="minor"/>
      </rPr>
      <t>Mary</t>
    </r>
    <r>
      <rPr>
        <sz val="10"/>
        <color rgb="FFFF0000"/>
        <rFont val="等线"/>
        <charset val="134"/>
      </rPr>
      <t xml:space="preserve">  Qu</t>
    </r>
  </si>
  <si>
    <r>
      <rPr>
        <sz val="12"/>
        <color rgb="FFFF0000"/>
        <rFont val="宋体"/>
        <charset val="134"/>
      </rPr>
      <t>SMYTHS</t>
    </r>
    <r>
      <rPr>
        <sz val="12"/>
        <color rgb="FFFF0000"/>
        <rFont val="宋体"/>
        <charset val="134"/>
        <scheme val="minor"/>
      </rPr>
      <t xml:space="preserve">  TOYS  EU  HQ  UC</t>
    </r>
  </si>
  <si>
    <t>4500212131-90</t>
  </si>
  <si>
    <t>日期码格式：ZURU  INC(BVI)  标准格式                                    日期：按实际生产日期
Packaging Info: 
"77772GQ2:  MA  PDQ  (优先多语)+客版5L收缩膜  (翻PO#4500191961)  +客版5L收藏指南(不含Messy唱片,  翻PO#4500211227)+MA  23L组装说明书+MA内袋+C版WEEE声明
(不带电池)走货欧洲通用29L说明书
EAN#4894680051133
*必须移除Messy  Lola  Young  (VINYL-S1-021)  这个唱片,  比例按PM更新的安排,  如未按要求做货被客罚由工厂承担责任*"
Remark: Smyths  德国
   1.  请准时出货，推期会有罚款；
   2.  所有产品按符合欧洲标准走货，需要是不含微塑料版本。
   3.  所有电子产品身上需要加字唛，为ZURU  FRANCE  地址  (如无电子产品，产品布标有此地址，或产品太小无法增加可忽略此信息)，新地址ZURU  FRANCE.33  rue  Pa
   ul  Meurice  75020  Paris,  France.
   4.  包装/说明书(如有)/产品(如有)上的法国地址信息必须保持一致，不可出现包装上是新地址，说明书上是旧地址；如地址信息不一致请通知跟单更新文件；
   5.  电子产品需增加一张WEEE声明29L通用黑白说明书，区分带电池(D版)和不带电池(C版)出货版本,  如已做带WEEE声明的客版说明书可忽略此要求；如包装备注上
缺少此部分信息，请提醒跟单更新备注。
6.所有出往德国市场有关slime和带香味的都需要出无硼无香版本；
7.订单备注显示有分批的(不同仓库/订单号),  一定要区分客户订单号做货出货，否则会导致罚款    。
8.包装日期码按ZURU格式即可，请确保不迟于外箱日期码，可等于或者早于外箱日期码，必须为法定工作日。
9.做货前请先复核包装条码与订单是否一致再安排，对不上的需与ZURU跟单确认再安排。
10.包装必须含法国回收标(Sorting  Label)，如没有，请提醒跟单提供贴纸资料。</t>
  </si>
  <si>
    <r>
      <rPr>
        <sz val="12"/>
        <color rgb="FFFF0000"/>
        <rFont val="宋体"/>
        <charset val="134"/>
      </rPr>
      <t>Mary</t>
    </r>
    <r>
      <rPr>
        <sz val="10"/>
        <color rgb="FFFF0000"/>
        <rFont val="等线"/>
        <charset val="134"/>
      </rPr>
      <t xml:space="preserve">  Qu</t>
    </r>
  </si>
  <si>
    <t>4500214050-10</t>
  </si>
  <si>
    <t>固定进口商贴纸,贴纸图稿和位置图翻单4500197643</t>
  </si>
  <si>
    <t>日期码格式：ZURU  INC(BVI)  标准格式                                    日期：按实际生产日期
Packaging Info: MA  UPC包装(优先1L)+固定进口商贴纸,贴纸图稿和位置图翻单4500197643
Remark: 77772GQ2-4    mini  vinyls,1  accessory</t>
  </si>
  <si>
    <t>4500214050</t>
  </si>
  <si>
    <t>4500214050-20</t>
  </si>
  <si>
    <t>固定进口商贴纸,贴纸图稿和位置图翻单45001976</t>
  </si>
  <si>
    <t>4500214056</t>
  </si>
  <si>
    <t>4500214056-20</t>
  </si>
  <si>
    <t>4500214056-10</t>
  </si>
  <si>
    <t>4500214355-60</t>
  </si>
  <si>
    <t>日期码格式：ZURU INC(BVI) 标准格式                  日期：按实际生产日期
Packaging Info: 
77772GQ1:MA英语UPC版本包装（收缩膜和说明书, MA首选1L，如无1L可用多语且含英语的配套多语包装) +一张防盜贴纸(贴纸以及防盜贴纸位置图翻单PO#450019353
9)+客制PDQ（PDQ翻单PO#4500197999）+客制B版收藏指南（收藏指南翻单PO#4500202802的77869的子件77772）+箱唛+外箱贴纸SSCC Label
配比信息：4  mini vinyls,1 accessory
Removed了 """"Messy &lt;(&gt;&amp;&lt;)&gt; Delicious""""两张唱片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10.所有带纽扣电池的产品都需要在产品包装以及说明书上贴纽扣电池警告语贴纸
此单需要与AU PO#4500214354一起合并计算</t>
  </si>
  <si>
    <t>4500214354-50</t>
  </si>
  <si>
    <t>4500216475-10</t>
  </si>
  <si>
    <t>4500216475-20</t>
  </si>
  <si>
    <t>4500217363-20</t>
  </si>
  <si>
    <t>UPC贴纸(UPC:193052118721)翻单：4500213633</t>
  </si>
  <si>
    <t>日期码格式：ZURU INC(BVI) 标准格式 日期：按实际生产日期 Tracking Code:
Packaging Info: 
 #77772---留意剔除有问题的唱片
客版3LPDQ(16装)+客版3L收缩膜(UPC:193052118721)+MA5L收藏指南+MA23L拼装说明书+MA5L复合袋+DEMO纸卡
 翻单：4500210724
Remark: 1. 此单有箱唛;
 2. UPC贴纸：必须在原来错误的条码上用黑色粗头笔涂黑直至不能扫描，再贴上正确的UPC;
 3. 此单有第三方验货，烦请多备包装物料；
 4. #77794带锂电池出货，使用英法双语电池，外箱需在正唛空白位置贴一张UN3481锂电池标识贴纸(带电话号码)；
 *********************
 a. 请确保产品符合1999年版本的加拿大环境保护法(CEPA)和2012年禁止某些有毒物质法规的要求。该产品不含任何在加拿大禁用的化学物质，包括但不限于有毒物
 质清单中列出的化学物质，并且在为加拿大沃尔玛生产产品期间没有使用任何禁用化学物质。
 Supplier certify that the products comply with the requirements of Canadian Environmental Protection Act, 1999 (CEPA), Prohibition of Certain To
 xic Substances Regulations, 2012.
 The products do not contain any chemicals that are banned in Canada, including but not limited to those listed in the Toxic Substances List and
 no banned chemicals were used during the manufacturing of product for Walmart Canada.
 附件列表：
 (1) Letter of Guarantee for Canada banned chemicals - (1-5CA)
 b. 请确保产品在均质材料中的汞浓度不超过0.1%（按重量计）。
 Supplier certify that the WAL-MART vendor products does not have a mercury concentration of more than 0.1% by weight in homogeneous material.
 附件列表：
 (1) Letter of Guarantee for Mercury COC
 c. 请确保产品的塑料材料不含以下物质（SOR 2011-17 27B):
 Supplier certify that the plastic materials do not contain the following substances(SOR 2011-17 27B):
 (a) carbon tetrachloride or any substance that contains it;
 (b) methyl alcohol or any substance thay contains &gt;1.0%;
 (c) petroleum distillates or any substance that contains &gt;10% weight to volume of petroleum distillates;
 (d) benzene;
 (e) turpentine or any substance that contains &gt;10% weight to volume of turpentine;
 (f) boric acid or salts of boric acid; or (g) ethyl ether.
 附件列表：
 (1) Letter of Guarantee for WM CA-Other prohibited substances in plastic(less than 3 years)</t>
  </si>
  <si>
    <t>4500217362-20</t>
  </si>
  <si>
    <t>日期码格式：ZURU INC(BVI) 标准格式 日期：按实际生产日期 Tracking Code:
Packaging Info: #77772---留意剔除有问题的唱片
客版3LPDQ(16装)+客版3L收缩膜(UPC:193052118721)+MA5L收藏指南+MA23L拼装说明书+MA5L复合袋+DEMO纸卡
 翻单：4500210724
Remark: 1. 此单有箱唛;
 2. UPC贴纸：必须在原来错误的条码上用黑色粗头笔涂黑直至不能扫描，再贴上正确的UPC;
 3. 此单有第三方验货，烦请多备包装物料；
 4. #77794带锂电池出货，使用英法双语电池，外箱需在正唛空白位置贴一张UN3481锂电池标识贴纸(带电话号码)；
 *********************
 a. 请确保产品符合1999年版本的加拿大环境保护法(CEPA)和2012年禁止某些有毒物质法规的要求。该产品不含任何在加拿大禁用的化学物质，包括但不限于有毒物
 质清单中列出的化学物质，并且在为加拿大沃尔玛生产产品期间没有使用任何禁用化学物质。
 Supplier certify that the products comply with the requirements of Canadian Environmental Protection Act, 1999 (CEPA), Prohibition of Certain To
 xic Substances Regulations, 2012.
 The products do not contain any chemicals that are banned in Canada, including but not limited to those listed in the Toxic Substances List and
 no banned chemicals were used during the manufacturing of product for Walmart Canada.
 附件列表：
 (1) Letter of Guarantee for Canada banned chemicals - (1-5CA)
 b. 请确保产品在均质材料中的汞浓度不超过0.1%（按重量计）。
 Supplier certify that the WAL-MART vendor products does not have a mercury concentration of more than 0.1% by weight in homogeneous material.
 附件列表：
 (1) Letter of Guarantee for Mercury COC
 c. 请确保产品的塑料材料不含以下物质（SOR 2011-17 27B):
 Supplier certify that the plastic materials do not contain the following substances(SOR 2011-17 27B):
 (a) carbon tetrachloride or any substance that contains it;
 (b) methyl alcohol or any substance thay contains &gt;1.0%;
 (c) petroleum distillates or any substance that contains &gt;10% weight to volume of petroleum distillates;
 (d) benzene;
 (e) turpentine or any substance that contains &gt;10% weight to volume of turpentine;
 (f) boric acid or salts of boric acid; or (g) ethyl ether.
 附件列表：
 (1) Letter of Guarantee for WM CA-Other prohibited substances in plastic(less than 3 years)</t>
  </si>
  <si>
    <t>4500215474-10</t>
  </si>
  <si>
    <t>取消订单</t>
  </si>
  <si>
    <t>4500216448-40</t>
  </si>
  <si>
    <t>唱片球</t>
  </si>
  <si>
    <t>负责</t>
  </si>
  <si>
    <t>货号</t>
  </si>
  <si>
    <t>名称</t>
  </si>
  <si>
    <t>PO号码</t>
  </si>
  <si>
    <t>放MA日期</t>
  </si>
  <si>
    <t>语言</t>
  </si>
  <si>
    <t>版本</t>
  </si>
  <si>
    <t>数量</t>
  </si>
  <si>
    <t>MA 1L 收缩膜（NA）</t>
  </si>
  <si>
    <t>MA 3L   收缩膜</t>
  </si>
  <si>
    <t>客版3L无条码收缩膜</t>
  </si>
  <si>
    <t>SMYTHS客版收缩膜</t>
  </si>
  <si>
    <t>MA 5L 收藏指南</t>
  </si>
  <si>
    <t>黑白说明书</t>
  </si>
  <si>
    <t>GQ1 1L 13PCS</t>
  </si>
  <si>
    <t>GQ1 3L  13PCS</t>
  </si>
  <si>
    <t xml:space="preserve">GQ2 1L 25pcs
</t>
  </si>
  <si>
    <t xml:space="preserve">GQ2 3L 25pcs
</t>
  </si>
  <si>
    <t xml:space="preserve">GQ1 1L 13pcs
（客版）
</t>
  </si>
  <si>
    <t xml:space="preserve">GQ2 1L 25pcs
（客版）
</t>
  </si>
  <si>
    <t>客版GQ3 2L</t>
  </si>
  <si>
    <t xml:space="preserve">客版GQ4 </t>
  </si>
  <si>
    <t>SK-S001无底座 (MA-1L)</t>
  </si>
  <si>
    <t>SK-S002 底座 (MA-1L)</t>
  </si>
  <si>
    <t>SK-S002 带底座(MA-3L)</t>
  </si>
  <si>
    <t>1L SK1-S002 30pcs带底座</t>
  </si>
  <si>
    <t>3L SK1-S002 30pcs带底座</t>
  </si>
  <si>
    <t>77876 圆筒</t>
  </si>
  <si>
    <t>77876 彩纸</t>
  </si>
  <si>
    <t>77876 贴纸</t>
  </si>
  <si>
    <t>Joy Wan</t>
  </si>
  <si>
    <t>Shrink Wrap</t>
  </si>
  <si>
    <t>1000035794</t>
  </si>
  <si>
    <t>1L</t>
  </si>
  <si>
    <t>A</t>
  </si>
  <si>
    <t>Collect Guide</t>
  </si>
  <si>
    <t>1000035795</t>
  </si>
  <si>
    <t>5L</t>
  </si>
  <si>
    <t>77772GQ1</t>
  </si>
  <si>
    <t>PDQ</t>
  </si>
  <si>
    <t>1000035796</t>
  </si>
  <si>
    <t>77772GQ2</t>
  </si>
  <si>
    <t>1000035797</t>
  </si>
  <si>
    <t>3L</t>
  </si>
  <si>
    <t>Babbit Zhong</t>
  </si>
  <si>
    <t>1000036182</t>
  </si>
  <si>
    <t>Jamie Liu</t>
  </si>
  <si>
    <t>1000036134</t>
  </si>
  <si>
    <t>1000036150</t>
  </si>
  <si>
    <t>1000036135</t>
  </si>
  <si>
    <t>1000036151</t>
  </si>
  <si>
    <t>1000036152</t>
  </si>
  <si>
    <t>1000036136</t>
  </si>
  <si>
    <t>Mina Pan</t>
  </si>
  <si>
    <t>77772GQ5</t>
  </si>
  <si>
    <t>1000036301</t>
  </si>
  <si>
    <t>Curry用于订单4500189603和4500189608</t>
  </si>
  <si>
    <t>此单按单订购不另建MA PO#</t>
  </si>
  <si>
    <t>Curry用于订单4500190738</t>
  </si>
  <si>
    <t>Fiona Huang</t>
  </si>
  <si>
    <t>77772GQ4</t>
  </si>
  <si>
    <t>Curry用于订单4500194290/4500194297/4500194303</t>
  </si>
  <si>
    <t>Curry用于订单4500194699/4500194700</t>
  </si>
  <si>
    <t>77772GQ3</t>
  </si>
  <si>
    <t>Maggie用于4500195546</t>
  </si>
  <si>
    <t>1000037381</t>
  </si>
  <si>
    <t>1000037382</t>
  </si>
  <si>
    <t>1000037383</t>
  </si>
  <si>
    <t>1000037384</t>
  </si>
  <si>
    <t>1000037385</t>
  </si>
  <si>
    <t>1000037386</t>
  </si>
  <si>
    <t>1000037387</t>
  </si>
  <si>
    <t>Daisy .Li</t>
  </si>
  <si>
    <t>1000037175</t>
  </si>
  <si>
    <t>2L</t>
  </si>
  <si>
    <t>EF</t>
  </si>
  <si>
    <t>"Willow用于订单4500195369，4500196563
；4500202338；4500202342；4500204887；4500208673；4500208684
；4500210722；4500210723；4500210724
"
"Willow用于订单4500195369，4500196563
；4500202338；4500202342；4500204887；4500208673；4500208684
；4500210722；4500210723；4500210724</t>
  </si>
  <si>
    <t>1000037176</t>
  </si>
  <si>
    <t>Willow用于订单4500195369，4500196563
；4500202338；4500202342；4500204887；4500208673；4500208684
；4500210722；4500210723；4500210724</t>
  </si>
  <si>
    <t>1000037410</t>
  </si>
  <si>
    <t>1000037411</t>
  </si>
  <si>
    <t>1000037412</t>
  </si>
  <si>
    <t>1000037413</t>
  </si>
  <si>
    <t xml:space="preserve"> Violet Chen</t>
  </si>
  <si>
    <t>1000037972</t>
  </si>
  <si>
    <t>Curry用于订单4500199055/ 4500199078 /  4500199079 / 4500199086</t>
  </si>
  <si>
    <t>1000038495</t>
  </si>
  <si>
    <t>1000038496</t>
  </si>
  <si>
    <t>1000038497</t>
  </si>
  <si>
    <t>1000038499</t>
  </si>
  <si>
    <t>1000038500</t>
  </si>
  <si>
    <t>1000038502</t>
  </si>
  <si>
    <t>1000038505</t>
  </si>
  <si>
    <t>MEC426-S001</t>
  </si>
  <si>
    <t>ENDCAP</t>
  </si>
  <si>
    <t>1000038510</t>
  </si>
  <si>
    <t>SIDEKICK</t>
  </si>
  <si>
    <t>1000038511</t>
  </si>
  <si>
    <t>Curry用于订单4500195757</t>
  </si>
  <si>
    <t>Curry用于订单4500196785</t>
  </si>
  <si>
    <t>1000038379</t>
  </si>
  <si>
    <t>Louise-PO#4500200163消耗80pcs，剩余366pcs用于后续订单(REWE-ZENTRAL GMBH 25座 &amp; Famous Toys 299座 &amp; YUG 42座)；Katrina-Loblaw客户 -149座</t>
  </si>
  <si>
    <t>Violet Chen</t>
  </si>
  <si>
    <t>1000038489</t>
  </si>
  <si>
    <t>Curry用于订单4500200932 / 4500200933 / 4500200936 / 4500200940 / 4500200942</t>
  </si>
  <si>
    <t>1000037416</t>
  </si>
  <si>
    <t>Maggie用于4500196503 4500196504 4500196505 4500196506</t>
  </si>
  <si>
    <t>1000037898</t>
  </si>
  <si>
    <t>Maggie用于4500197357;4500197278;4500197336;4500197333;4500197340;4500197250;4500197363;4500197343;4500197368;4500197370;4500197348</t>
  </si>
  <si>
    <t>1000038877</t>
  </si>
  <si>
    <t>Maggie用于4500202749；4500202751</t>
  </si>
  <si>
    <t>1000038945</t>
  </si>
  <si>
    <t xml:space="preserve"> N/A</t>
  </si>
  <si>
    <t>Hailey Ye:
1. 64pcs用于Harvey订单#4500193278
2. 104pcs用于The Warehouse NZ订单#4500197867
3. 48pcs用于The Warehouse NZ订单#4500198032
4. 780pcs用于The Warehouse NZ后续订单(Amy Yang用于Farmers订单#4500201073-250pcs，余530pcs)</t>
  </si>
  <si>
    <t>Collector Guide</t>
  </si>
  <si>
    <t>1000038946</t>
  </si>
  <si>
    <t xml:space="preserve">Hailey Ye:
1. 1600pcs用于Harvey订单#4500193278
2. 2600pcs用于The Warehouse NZ订单#4500197867
3. 1200pcs用于The Warehouse NZ订单#4500198032
4. 19500pcs用于The Warehouse NZ后续订单(Amy Yang用于Farmers订单#4500201073-6250pcs，Judy用于4500213385-585pcs，4500213421- 5460pcs，余7205pcs)
Christine Liao:
1. 8400pcs 用于Target AU PO 4500199929
Alex:
1. 15600pcs用于4500197999/ 4500198000
2. 6500pcs用于4500198150 /  4500198152， 6500pcs用于4500198146 /  4500198149，6500pcs用于4500198158 /  4500198161，6500pcs用于4500202800 / 4500202801， 6500pcs用于4500202802 /  4500202803
3. 6340pcs用于PO#4500200163
4. 7500pcs用于PO#4500204112 </t>
  </si>
  <si>
    <t>Ariel Peng</t>
  </si>
  <si>
    <t xml:space="preserve">PDQ </t>
  </si>
  <si>
    <r>
      <rPr>
        <sz val="12"/>
        <rFont val="Calibri"/>
        <charset val="134"/>
      </rPr>
      <t>1200pcs-Alex</t>
    </r>
    <r>
      <rPr>
        <sz val="12"/>
        <rFont val="宋体"/>
        <charset val="134"/>
      </rPr>
      <t>用于</t>
    </r>
    <r>
      <rPr>
        <sz val="12"/>
        <rFont val="Calibri"/>
        <charset val="134"/>
      </rPr>
      <t>4500197999 /  4500198000</t>
    </r>
    <r>
      <rPr>
        <sz val="12"/>
        <rFont val="宋体"/>
        <charset val="134"/>
      </rPr>
      <t>，</t>
    </r>
    <r>
      <rPr>
        <sz val="12"/>
        <rFont val="Calibri"/>
        <charset val="134"/>
      </rPr>
      <t>500pcs</t>
    </r>
    <r>
      <rPr>
        <sz val="12"/>
        <rFont val="宋体"/>
        <charset val="134"/>
      </rPr>
      <t>用于</t>
    </r>
    <r>
      <rPr>
        <sz val="12"/>
        <rFont val="Calibri"/>
        <charset val="134"/>
      </rPr>
      <t>4500198150 / 4500198152</t>
    </r>
    <r>
      <rPr>
        <sz val="12"/>
        <rFont val="宋体"/>
        <charset val="134"/>
      </rPr>
      <t>，</t>
    </r>
    <r>
      <rPr>
        <sz val="12"/>
        <rFont val="Calibri"/>
        <charset val="134"/>
      </rPr>
      <t>500pcs</t>
    </r>
    <r>
      <rPr>
        <sz val="12"/>
        <rFont val="宋体"/>
        <charset val="134"/>
      </rPr>
      <t>用于</t>
    </r>
    <r>
      <rPr>
        <sz val="12"/>
        <rFont val="Calibri"/>
        <charset val="134"/>
      </rPr>
      <t xml:space="preserve">4500198146 /  4500198149  </t>
    </r>
    <r>
      <rPr>
        <sz val="12"/>
        <rFont val="宋体"/>
        <charset val="134"/>
      </rPr>
      <t>剩余</t>
    </r>
    <r>
      <rPr>
        <sz val="12"/>
        <rFont val="Calibri"/>
        <charset val="134"/>
      </rPr>
      <t>1500pcs</t>
    </r>
    <r>
      <rPr>
        <sz val="12"/>
        <rFont val="宋体"/>
        <charset val="134"/>
      </rPr>
      <t>供后续订单使用</t>
    </r>
  </si>
  <si>
    <t>PVC  Tube</t>
  </si>
  <si>
    <t>1000039037</t>
  </si>
  <si>
    <t>Luna-4500199193/4500198654/4500199191/4500198642/4500201277/4500199194/4500200368、Lena-Argos</t>
  </si>
  <si>
    <t>Sticker</t>
  </si>
  <si>
    <t>1000039038</t>
  </si>
  <si>
    <t>Art Paper</t>
  </si>
  <si>
    <t>1000039039</t>
  </si>
  <si>
    <t>Shrink Wrap（无UPC））</t>
  </si>
  <si>
    <t>1000039040</t>
  </si>
  <si>
    <t>1000039041</t>
  </si>
  <si>
    <t>1000039256</t>
  </si>
  <si>
    <t>Maggie用于4500203542</t>
  </si>
  <si>
    <t>1000039260</t>
  </si>
  <si>
    <t>Maggie用于4500204122；4500204119；4500204118 ；
4500204120 ；4500204121</t>
  </si>
  <si>
    <t>Alex：
100pcs用于4500200163，300pcs用于4500204112，100pcs用于4500209403</t>
  </si>
  <si>
    <t>1000040208</t>
  </si>
  <si>
    <t>B</t>
  </si>
  <si>
    <t>新版 B版本</t>
  </si>
  <si>
    <t>1000039726</t>
  </si>
  <si>
    <t>Maggie用于4500205774；4500205775</t>
  </si>
  <si>
    <t>Maggie用于4500206385,4500206387</t>
  </si>
  <si>
    <t>1000040093</t>
  </si>
  <si>
    <t>Curry用于订单用于订单4500207477 / 4500207482 / 4500207496</t>
  </si>
  <si>
    <t>1000040091</t>
  </si>
  <si>
    <t>Maggie用于4500207470；4500207471；4500207484；4500207493</t>
  </si>
  <si>
    <t>1000040164</t>
  </si>
  <si>
    <t>1000040165</t>
  </si>
  <si>
    <t>1000040209</t>
  </si>
  <si>
    <t>1000040166</t>
  </si>
  <si>
    <t>1000040167</t>
  </si>
  <si>
    <t>1000040168</t>
  </si>
  <si>
    <t>1000040169</t>
  </si>
  <si>
    <t>1000040177</t>
  </si>
  <si>
    <t>1000040176</t>
  </si>
  <si>
    <t>1000040252</t>
  </si>
  <si>
    <t>Maggie用于4500207853</t>
  </si>
  <si>
    <t>Maggie用于4500208556
;4500208557</t>
  </si>
  <si>
    <t>Maggie用于
4500208739</t>
  </si>
  <si>
    <t>1000040212</t>
  </si>
  <si>
    <t>Curry用于订单用于订单4500207830/ 4500207832 / 4500207834</t>
  </si>
  <si>
    <t>Alex:共165873pcs
10008pcs用于4500202802/  4500202803，
10994pcs用于4500207489/  4500207492，
6590pcs用于4500208581/  4500208584，
19360pcs用于MPO10682，
3003pcs用于4500209728 &amp; 4500209731
8000pcs用于4500209403
27500pcs用于4500209239
5005pcs用于4500211272 &amp; 4500211275，
14406pcs用于4500211288 &amp; 4500211292，
4500212942-2500pcs
4500213824-20000pcs
4500214382-20000pcs
4500215474-5000pcs
4500214354 &amp; 4500214355-13507pcs
Judy:共15041pcs
3198pcs 用于4500210567，
2769pcs 用于4500210792
4030pcs 用于4500212222
3614pcs 用于4500212482
1430pcs 用于 4500213385</t>
  </si>
  <si>
    <t>Alex:
10008pcs用于4500202802/  4500202803，
8004pcs用于4500207489/  4500207492，
3600pcs用于4500208581/  4500208584，
8400pcs用于4500211288 &amp; 4500211292
4500214354 &amp; 4500214355-6996pcs，
4500214359 &amp; 4500214361-3000pcs</t>
  </si>
  <si>
    <t>无条码</t>
  </si>
  <si>
    <t>Judy: 共1157PCS
246pcs 用于4500210567，
213pcs 用于4500210792
310pcs 用于4500212222
278pcs 用于4500212482
110pcs 用于4500213385
Alex: 共2385PCS
 230pcs用于4500207489/  4500207492，
230pcs用于4500208581/  4500208584，
231pcs用于4500209728/  4500209731，
385pcs用于4500211272 &amp; 4500211275
462pcs用于4500211288 &amp; 4500211292
4500214354 &amp; 4500214355-847pcs</t>
  </si>
  <si>
    <t>Alex: 
220PCS用于4500209403；
1100pcs用于4500209239；
4500212942-100pcs
4500213824-800pcs
4500214382-800pcs
4500215474-200pcs</t>
  </si>
  <si>
    <t>Curry用于订单4500211708和4500211709</t>
  </si>
  <si>
    <t>Nicole用于订单4500211685，剩16224PCS待后续订单消耗</t>
  </si>
  <si>
    <t>Curry用于订单4500212069和4500212072</t>
  </si>
  <si>
    <t>PVC  Tube</t>
  </si>
  <si>
    <t>katrina订单4500208841+4500208821/kelly 订单4500211453</t>
  </si>
  <si>
    <t>"Maggie用于
MO20260615"</t>
  </si>
  <si>
    <t xml:space="preserve">Judy用于4500213385-45pcs，4500213421-420pcs，4500217813-35pcs </t>
  </si>
  <si>
    <t>Endcap</t>
  </si>
  <si>
    <t>Curry用于4500211962</t>
  </si>
  <si>
    <t>Shrink wrap</t>
  </si>
  <si>
    <t>Nicole 用于订单4500213633
;4500213635</t>
  </si>
  <si>
    <t>Maggie用于MO20260625（107pcs），4500214280（11686pcs），4500214386/4500214388/4500214387（5757pcs）</t>
  </si>
  <si>
    <t>Curry用于订单4500214215 / 4500214216 / 4500214218</t>
  </si>
  <si>
    <t>Curry用于订单4500214411</t>
  </si>
  <si>
    <t>77772SK-S002</t>
  </si>
  <si>
    <t>Maggie用于PO#4500214410</t>
  </si>
  <si>
    <t>Curry用于订单用于订单4500214707 / 4500214709 / 4500214710 / 4500214711 /  4500214714，多的后续订单消耗</t>
  </si>
  <si>
    <t>Curry用于订单4500214411/4500214707/4500214709/4500214714/4500214711/4500214710</t>
  </si>
  <si>
    <t>Maggie用于PO#4500214817,4500214828</t>
  </si>
  <si>
    <t>Nina Liu</t>
  </si>
  <si>
    <t>Maggie用于PO#  4500215859 4500215861 4500215862</t>
  </si>
  <si>
    <t>Kori用于4500208584-116pcs，4500211288 &amp; 4500211292 -922pcs，4500214354 &amp; 4500214355-1153pcs</t>
  </si>
  <si>
    <t>Kori:
4500214354 &amp; 4500214355-4500pcs，
4500214359 &amp; 4500214361-3000pcs
4500208584-1508pcs
4500214382-7200pcs，4500211288 &amp; 4500211292 -11986pcs，4500214354 &amp; 4500214355-14989pcs</t>
  </si>
  <si>
    <t>Luna-4500208529/4500210819/4500210816/4500211821/4500211827/4500211828/4500211856/4500213137/4500213130/4500213970</t>
  </si>
  <si>
    <t>关联单号4500198654</t>
  </si>
  <si>
    <t>关联单号4500208529</t>
  </si>
  <si>
    <t>Curry用于订单4500216601</t>
  </si>
  <si>
    <t>Curry用于订单4500216871 / 4500216875 / 4500216876</t>
  </si>
  <si>
    <t>Curry用于订单4500217688 / 4500217690</t>
  </si>
  <si>
    <t>Curry用于订单4500218119 / 4500218121 / 4500218122</t>
  </si>
  <si>
    <t>Jorphy: 共3196pcs
2042pcs 用于4500217813
769pcs 用于4500217987 
剩余的385pcs 供后续订单使用
Kori: 共10773pcs
4500214354 &amp; 4500214355-1539pcs，
剩余9234pcs用于后续订单</t>
  </si>
  <si>
    <t>Jorphy: 共50403pcs
27001pcs 用于4500217813
9997pcs 用于4500217987 
剩余的13405pcs 供后续订单使用
Kori: 共151299pcs
4500214354 &amp; 4500214355-20007pcs，
还剩131292pcs供后续订单使用</t>
  </si>
  <si>
    <t>c</t>
  </si>
  <si>
    <t xml:space="preserve">"Jorphy: 共3196pcs
2042pcs 用于4500217813
769pcs 用于4500217987 
385pcs 用于4500218366
Kori: 共10542pcs
4500214354 &amp; 4500214355-1539pcs，
4500214359 &amp; 4500214361-1539pcs
剩余7464pcs用于后续订单"
</t>
  </si>
  <si>
    <t xml:space="preserve">Collector Guide
</t>
  </si>
  <si>
    <t xml:space="preserve">"Jorphy: 共50403pcs
27001pcs 用于4500217813
9997pcs 用于4500217987 
5005用于4500218366
8400pcs用于4500218652
Kori: 共148296pcs
4500214354 &amp; 4500214355-20007pcs，
4500214359 &amp; 4500214361-20007pcs，
还剩108282pcs供后续订单使用"
</t>
  </si>
  <si>
    <t>Nicole Yao</t>
  </si>
  <si>
    <t xml:space="preserve">
Nicole用于订单4500217362，4500217363
</t>
  </si>
  <si>
    <t>1000043347</t>
  </si>
  <si>
    <t>1000043348</t>
  </si>
  <si>
    <t>1000043777</t>
  </si>
  <si>
    <t>1000043778</t>
  </si>
  <si>
    <t xml:space="preserve">Curry用于订单4500219822和4500219823
</t>
  </si>
  <si>
    <t>配套半成品MA订购</t>
  </si>
  <si>
    <t>包材合计</t>
  </si>
  <si>
    <t>接单汇总数</t>
  </si>
  <si>
    <t>迷你唱片机</t>
  </si>
  <si>
    <t>1L 彩盒</t>
  </si>
  <si>
    <t>3L 彩盒</t>
  </si>
  <si>
    <t>23L电池说明</t>
  </si>
  <si>
    <t>玩法说明书</t>
  </si>
  <si>
    <t>1L UQ1</t>
  </si>
  <si>
    <t>3L UQ1</t>
  </si>
  <si>
    <t>Smyths客版彩盒</t>
  </si>
  <si>
    <t>77896彩盒</t>
  </si>
  <si>
    <t>Outer tray</t>
  </si>
  <si>
    <t>1000035798</t>
  </si>
  <si>
    <t>1000035799</t>
  </si>
  <si>
    <t>77794UQ</t>
  </si>
  <si>
    <t>1000035800</t>
  </si>
  <si>
    <t>1000035801</t>
  </si>
  <si>
    <t>77794UQ1</t>
  </si>
  <si>
    <t>Base</t>
  </si>
  <si>
    <t>1000036183</t>
  </si>
  <si>
    <t>1000036137</t>
  </si>
  <si>
    <t>说明书，箭头卡和镭射贴纸跟彩盒版本配套订购</t>
  </si>
  <si>
    <t>1000036138</t>
  </si>
  <si>
    <t>1000036139</t>
  </si>
  <si>
    <t>1000036140</t>
  </si>
  <si>
    <t>1000037388</t>
  </si>
  <si>
    <t>1000037389</t>
  </si>
  <si>
    <t>1000037390</t>
  </si>
  <si>
    <t>1000037391</t>
  </si>
  <si>
    <t>Battery manual (23L)</t>
  </si>
  <si>
    <t>1000038206</t>
  </si>
  <si>
    <t>23L</t>
  </si>
  <si>
    <t>Playset Instruction</t>
  </si>
  <si>
    <t>1000038207</t>
  </si>
  <si>
    <t>1000038506</t>
  </si>
  <si>
    <t>1000038507</t>
  </si>
  <si>
    <t>1000038508</t>
  </si>
  <si>
    <t>1000038509</t>
  </si>
  <si>
    <t>77896SLT</t>
  </si>
  <si>
    <t>Instruction Sheet</t>
  </si>
  <si>
    <t>1000038716</t>
  </si>
  <si>
    <t>Cherish用于COSTCO USA订单4500194937-4500201206(CRDfrom 5/8-6/19)共26张单</t>
  </si>
  <si>
    <t>Collector's Guide</t>
  </si>
  <si>
    <t>1000038717</t>
  </si>
  <si>
    <t>1000038718</t>
  </si>
  <si>
    <t>Color box</t>
  </si>
  <si>
    <t>1000038719</t>
  </si>
  <si>
    <t>Tray</t>
  </si>
  <si>
    <t>1000038720</t>
  </si>
  <si>
    <t>1000038947</t>
  </si>
  <si>
    <t>1. 1062pcs用于(Louise LU) Kmart-AU的订单,每单分别177pcs
(4500197999,4500198146,4500198150,4500198158,4500202800, 4500202802)
2. 66pcs用于(Louise LU) Kmart-NZ的订单,每单分别11pcs
(4500198000,4500198149,4500198152,4500198161,4500202801,4500202803)
3. 150pcs用于(Louise LU) All brands的订单#4500200163
4. 154pcs用于The Warehouse NZ订单#4500197867
5. 72pcs用于The Warehouse NZ订单#4500198032
6. 726pcs用于The Warehouse NZ后续订单(Amy Yang用于Farmers订单#4500201073-250pcs，余476pcs)
7. 100pcs用于Harvey订单#4500193278</t>
  </si>
  <si>
    <t>Display</t>
  </si>
  <si>
    <t xml:space="preserve">Maggie用于4500204122；4500204119；4500204118 ；
4500204120 ；4500204121
</t>
  </si>
  <si>
    <t>77794-电池说明书(23L)</t>
  </si>
  <si>
    <t>77794-唱片机说明书(23L)</t>
  </si>
  <si>
    <t>1000040170</t>
  </si>
  <si>
    <t>1000040171</t>
  </si>
  <si>
    <t>1000040172</t>
  </si>
  <si>
    <t>1000040173</t>
  </si>
  <si>
    <t>1000040174</t>
  </si>
  <si>
    <t>1000040175</t>
  </si>
  <si>
    <t xml:space="preserve">Kori: 共4429PCS
用于4500206438 &amp; 4500206439-188PCS,
4500206440 &amp; 4500206441-188pcs，
4500207489 &amp; 4500207492-375pcs，
4500209403-250pcs，
4500209239-450pcs
4500210834 &amp; 4500210835-188pcs
4500209728 &amp; 4500209731-188pcs，
4500208581 &amp; 4500208584-625pcs，
4500211272 &amp; 4500211275-188pcs，
4500211288 &amp; 4500211292-376pcs，
4500212942-120pcs
4500213824-300pcs
4500213830-800pcs
4500215474-150pcs
4500214382-43pcs
Judy: 共567PCS
 用于4500210568-189pcs，
用于4500210791-189pcs
用于4500217987-189pcs </t>
  </si>
  <si>
    <t>Cherish用于Costco USA订单CRD from 6/19-7/3</t>
  </si>
  <si>
    <t>4500203849/ 4500203869/ 4500203871/ 4500203872/ 4500203878/ 4500203893/ 4500203895/ 4500203900/ 4500203906/ 4500203935/ 4500203940/ 4500203944/ 4500203948/ 4500203952/ 4500203956/ 4500203957/ 4500203958/ 4500203960/ 4500203961/ 4500203962/ 4500203964/ 4500203966/ 4500203968</t>
  </si>
  <si>
    <t>Color Box</t>
  </si>
  <si>
    <t>Alex:
5004pcs用于4500202802/  4500202803，
4002pcs用于4500207489/  4500207492，
1800pcs用于4500208581/  4500208584
4200pcs用于4500211288/ 4500211292
4500214354 &amp; 4500214355-3498pcs，
4500214359 &amp; 4500214361-1500pcs，</t>
  </si>
  <si>
    <t>Battery manual (23L)</t>
  </si>
  <si>
    <t>Cherish用于Costco USA订单CRD from 7/3-7/30</t>
  </si>
  <si>
    <t>4500203972/4500203976/4500203982/4500203985/4500203986/4500203988/4500203991/4500203995/4500206878/4500206879/4500206880/4500206881/4500206882/4500206884/4500206886/4500206887/4500206888/4500206889/4500206890/4500206891/4500209267</t>
  </si>
  <si>
    <t xml:space="preserve">Cynthia用于COSTCO CA </t>
  </si>
  <si>
    <r>
      <rPr>
        <sz val="8"/>
        <color rgb="FF000000"/>
        <rFont val="宋体"/>
        <charset val="134"/>
        <scheme val="minor"/>
      </rPr>
      <t>4500200043</t>
    </r>
    <r>
      <rPr>
        <sz val="8"/>
        <color rgb="FF000000"/>
        <rFont val="宋体"/>
        <charset val="134"/>
        <scheme val="minor"/>
      </rPr>
      <t xml:space="preserve">
</t>
    </r>
    <r>
      <rPr>
        <sz val="8"/>
        <color rgb="FF000000"/>
        <rFont val="宋体"/>
        <charset val="134"/>
        <scheme val="minor"/>
      </rPr>
      <t>4500200090</t>
    </r>
    <r>
      <rPr>
        <sz val="8"/>
        <color rgb="FF000000"/>
        <rFont val="宋体"/>
        <charset val="134"/>
        <scheme val="minor"/>
      </rPr>
      <t xml:space="preserve">
</t>
    </r>
    <r>
      <rPr>
        <sz val="8"/>
        <color rgb="FF000000"/>
        <rFont val="宋体"/>
        <charset val="134"/>
        <scheme val="minor"/>
      </rPr>
      <t>4500200092</t>
    </r>
    <r>
      <rPr>
        <sz val="8"/>
        <color rgb="FF000000"/>
        <rFont val="宋体"/>
        <charset val="134"/>
        <scheme val="minor"/>
      </rPr>
      <t xml:space="preserve">
</t>
    </r>
    <r>
      <rPr>
        <sz val="8"/>
        <color rgb="FF000000"/>
        <rFont val="宋体"/>
        <charset val="134"/>
        <scheme val="minor"/>
      </rPr>
      <t>4500200094</t>
    </r>
    <r>
      <rPr>
        <sz val="8"/>
        <color rgb="FF000000"/>
        <rFont val="宋体"/>
        <charset val="134"/>
        <scheme val="minor"/>
      </rPr>
      <t xml:space="preserve">
</t>
    </r>
    <r>
      <rPr>
        <sz val="8"/>
        <color rgb="FF000000"/>
        <rFont val="宋体"/>
        <charset val="134"/>
        <scheme val="minor"/>
      </rPr>
      <t>4500200098</t>
    </r>
    <r>
      <rPr>
        <sz val="8"/>
        <color rgb="FF000000"/>
        <rFont val="宋体"/>
        <charset val="134"/>
        <scheme val="minor"/>
      </rPr>
      <t xml:space="preserve">
</t>
    </r>
    <r>
      <rPr>
        <sz val="8"/>
        <color rgb="FF000000"/>
        <rFont val="宋体"/>
        <charset val="134"/>
        <scheme val="minor"/>
      </rPr>
      <t>4500200103</t>
    </r>
    <r>
      <rPr>
        <sz val="8"/>
        <color rgb="FF000000"/>
        <rFont val="宋体"/>
        <charset val="134"/>
        <scheme val="minor"/>
      </rPr>
      <t xml:space="preserve">
</t>
    </r>
    <r>
      <rPr>
        <sz val="8"/>
        <color rgb="FF000000"/>
        <rFont val="宋体"/>
        <charset val="134"/>
        <scheme val="minor"/>
      </rPr>
      <t>4500200104</t>
    </r>
    <r>
      <rPr>
        <sz val="8"/>
        <color rgb="FF000000"/>
        <rFont val="宋体"/>
        <charset val="134"/>
        <scheme val="minor"/>
      </rPr>
      <t xml:space="preserve">
</t>
    </r>
    <r>
      <rPr>
        <sz val="8"/>
        <color rgb="FF000000"/>
        <rFont val="宋体"/>
        <charset val="134"/>
        <scheme val="minor"/>
      </rPr>
      <t>4500200105</t>
    </r>
    <r>
      <rPr>
        <sz val="8"/>
        <color rgb="FF000000"/>
        <rFont val="宋体"/>
        <charset val="134"/>
        <scheme val="minor"/>
      </rPr>
      <t xml:space="preserve">
</t>
    </r>
    <r>
      <rPr>
        <sz val="8"/>
        <color rgb="FF000000"/>
        <rFont val="宋体"/>
        <charset val="134"/>
        <scheme val="minor"/>
      </rPr>
      <t>4500200110</t>
    </r>
    <r>
      <rPr>
        <sz val="8"/>
        <color rgb="FF000000"/>
        <rFont val="宋体"/>
        <charset val="134"/>
        <scheme val="minor"/>
      </rPr>
      <t xml:space="preserve">
</t>
    </r>
    <r>
      <rPr>
        <sz val="8"/>
        <color rgb="FF000000"/>
        <rFont val="宋体"/>
        <charset val="134"/>
        <scheme val="minor"/>
      </rPr>
      <t>4500200113</t>
    </r>
    <r>
      <rPr>
        <sz val="8"/>
        <color rgb="FF000000"/>
        <rFont val="宋体"/>
        <charset val="134"/>
        <scheme val="minor"/>
      </rPr>
      <t xml:space="preserve">
</t>
    </r>
    <r>
      <rPr>
        <sz val="8"/>
        <color rgb="FF000000"/>
        <rFont val="宋体"/>
        <charset val="134"/>
        <scheme val="minor"/>
      </rPr>
      <t>4500200114</t>
    </r>
    <r>
      <rPr>
        <sz val="8"/>
        <color rgb="FF000000"/>
        <rFont val="宋体"/>
        <charset val="134"/>
        <scheme val="minor"/>
      </rPr>
      <t xml:space="preserve">
</t>
    </r>
    <r>
      <rPr>
        <sz val="8"/>
        <color rgb="FF000000"/>
        <rFont val="宋体"/>
        <charset val="134"/>
        <scheme val="minor"/>
      </rPr>
      <t>4500200117</t>
    </r>
    <r>
      <rPr>
        <sz val="8"/>
        <color rgb="FF000000"/>
        <rFont val="宋体"/>
        <charset val="134"/>
        <scheme val="minor"/>
      </rPr>
      <t xml:space="preserve">
</t>
    </r>
    <r>
      <rPr>
        <sz val="8"/>
        <color rgb="FF000000"/>
        <rFont val="宋体"/>
        <charset val="134"/>
        <scheme val="minor"/>
      </rPr>
      <t>4500200118</t>
    </r>
  </si>
  <si>
    <t>Kori: 
4500214382-257pcs，
4500207489 &amp; 4500207492-625pcs，
4500211288 &amp; 4500211292-1125pcs，
4500214354 &amp; 4500214355-1313pcs，
4500214359 &amp; 4500214361-500pcs，
4500215423 &amp; 4500215424-374pcs，
4500215427 &amp; 4500215428-374pcs，
4500215429 &amp; 4500215430-625pcs，
剩余的1600pcs供后续订单使用</t>
  </si>
  <si>
    <t>Jorphy: 501pcs 用于4500218134
剩余的954pcs 供后续订单使用</t>
  </si>
  <si>
    <r>
      <rPr>
        <sz val="9"/>
        <rFont val="宋体"/>
        <charset val="134"/>
        <scheme val="minor"/>
      </rPr>
      <t>Battery</t>
    </r>
    <r>
      <rPr>
        <sz val="12"/>
        <color rgb="FF000000"/>
        <rFont val="Calibri"/>
        <charset val="134"/>
      </rPr>
      <t xml:space="preserve"> </t>
    </r>
    <r>
      <rPr>
        <sz val="12"/>
        <color rgb="FF000000"/>
        <rFont val="Calibri"/>
        <charset val="134"/>
      </rPr>
      <t>manual</t>
    </r>
    <r>
      <rPr>
        <sz val="12"/>
        <color rgb="FF000000"/>
        <rFont val="Calibri"/>
        <charset val="134"/>
      </rPr>
      <t xml:space="preserve"> </t>
    </r>
    <r>
      <rPr>
        <sz val="12"/>
        <color rgb="FF000000"/>
        <rFont val="Calibri"/>
        <charset val="134"/>
      </rPr>
      <t>(23L)</t>
    </r>
  </si>
  <si>
    <t>补齐订单</t>
  </si>
  <si>
    <t>MA Order No. :</t>
  </si>
  <si>
    <t>MA-RR-2012</t>
  </si>
  <si>
    <t>MA-RR-2043</t>
  </si>
  <si>
    <t>MA-RR-2071</t>
  </si>
  <si>
    <t>MA-RR-2106</t>
  </si>
  <si>
    <t>MA-RR-2174</t>
  </si>
  <si>
    <t>MA-RR-2194</t>
  </si>
  <si>
    <t>MA-RR-2280</t>
  </si>
  <si>
    <t>MA-RR-2334</t>
  </si>
  <si>
    <t>MA-RR-2388</t>
  </si>
  <si>
    <t>MA-RR-2427</t>
  </si>
  <si>
    <t>MA-RR-2452</t>
  </si>
  <si>
    <t>Order Date:</t>
  </si>
  <si>
    <t>Required CRD:</t>
  </si>
  <si>
    <t>New Code (New Matrix)</t>
  </si>
  <si>
    <t>标准版本 配比</t>
  </si>
  <si>
    <t>Target版本配比</t>
  </si>
  <si>
    <t>Costco US版本配比</t>
  </si>
  <si>
    <t>标准版本</t>
  </si>
  <si>
    <r>
      <rPr>
        <b/>
        <sz val="12"/>
        <color theme="0"/>
        <rFont val="Tahoma"/>
        <charset val="134"/>
      </rPr>
      <t>Target</t>
    </r>
    <r>
      <rPr>
        <b/>
        <sz val="12"/>
        <color theme="0"/>
        <rFont val="宋体"/>
        <charset val="134"/>
      </rPr>
      <t>版本</t>
    </r>
  </si>
  <si>
    <t>Target版本</t>
  </si>
  <si>
    <r>
      <rPr>
        <b/>
        <sz val="12"/>
        <color theme="0"/>
        <rFont val="Tahoma"/>
        <charset val="134"/>
      </rPr>
      <t>Costco US</t>
    </r>
    <r>
      <rPr>
        <b/>
        <sz val="12"/>
        <color theme="0"/>
        <rFont val="宋体"/>
        <charset val="134"/>
      </rPr>
      <t>版本</t>
    </r>
  </si>
  <si>
    <t>Costco US版本</t>
  </si>
  <si>
    <r>
      <rPr>
        <b/>
        <sz val="12"/>
        <color theme="0"/>
        <rFont val="宋体"/>
        <charset val="134"/>
      </rPr>
      <t>标准版本</t>
    </r>
    <r>
      <rPr>
        <b/>
        <sz val="12"/>
        <color theme="0"/>
        <rFont val="Tahoma"/>
        <charset val="134"/>
      </rPr>
      <t>MA</t>
    </r>
    <r>
      <rPr>
        <b/>
        <sz val="12"/>
        <color theme="0"/>
        <rFont val="宋体"/>
        <charset val="134"/>
      </rPr>
      <t>合计</t>
    </r>
  </si>
  <si>
    <r>
      <rPr>
        <b/>
        <sz val="12"/>
        <color theme="0"/>
        <rFont val="Tahoma"/>
        <charset val="134"/>
      </rPr>
      <t>Target</t>
    </r>
    <r>
      <rPr>
        <b/>
        <sz val="12"/>
        <color theme="0"/>
        <rFont val="宋体"/>
        <charset val="134"/>
      </rPr>
      <t>版本</t>
    </r>
    <r>
      <rPr>
        <b/>
        <sz val="12"/>
        <color theme="0"/>
        <rFont val="Tahoma"/>
        <charset val="134"/>
      </rPr>
      <t>MA</t>
    </r>
    <r>
      <rPr>
        <b/>
        <sz val="12"/>
        <color theme="0"/>
        <rFont val="宋体"/>
        <charset val="134"/>
      </rPr>
      <t>合计</t>
    </r>
  </si>
  <si>
    <r>
      <rPr>
        <b/>
        <sz val="12"/>
        <color theme="0"/>
        <rFont val="Tahoma"/>
        <charset val="134"/>
      </rPr>
      <t>Costco US</t>
    </r>
    <r>
      <rPr>
        <b/>
        <sz val="12"/>
        <color theme="0"/>
        <rFont val="宋体"/>
        <charset val="134"/>
      </rPr>
      <t>版本</t>
    </r>
    <r>
      <rPr>
        <b/>
        <sz val="12"/>
        <color theme="0"/>
        <rFont val="Tahoma"/>
        <charset val="134"/>
      </rPr>
      <t>MA</t>
    </r>
    <r>
      <rPr>
        <b/>
        <sz val="12"/>
        <color theme="0"/>
        <rFont val="宋体"/>
        <charset val="134"/>
      </rPr>
      <t>合计</t>
    </r>
  </si>
  <si>
    <t>标准版本接单数</t>
  </si>
  <si>
    <t>Target版本接单数</t>
  </si>
  <si>
    <r>
      <rPr>
        <b/>
        <sz val="12"/>
        <color theme="0"/>
        <rFont val="宋体"/>
        <charset val="134"/>
      </rPr>
      <t>标准版本剩余</t>
    </r>
    <r>
      <rPr>
        <b/>
        <sz val="12"/>
        <color theme="0"/>
        <rFont val="Tahoma"/>
        <charset val="134"/>
      </rPr>
      <t>MA</t>
    </r>
    <r>
      <rPr>
        <b/>
        <sz val="12"/>
        <color theme="0"/>
        <rFont val="宋体"/>
        <charset val="134"/>
      </rPr>
      <t>数量</t>
    </r>
  </si>
  <si>
    <r>
      <rPr>
        <b/>
        <sz val="12"/>
        <color theme="0"/>
        <rFont val="Tahoma"/>
        <charset val="134"/>
      </rPr>
      <t>Target</t>
    </r>
    <r>
      <rPr>
        <b/>
        <sz val="12"/>
        <color theme="0"/>
        <rFont val="宋体"/>
        <charset val="134"/>
      </rPr>
      <t>版本剩余</t>
    </r>
    <r>
      <rPr>
        <b/>
        <sz val="12"/>
        <color theme="0"/>
        <rFont val="Tahoma"/>
        <charset val="134"/>
      </rPr>
      <t>MA</t>
    </r>
    <r>
      <rPr>
        <b/>
        <sz val="12"/>
        <color theme="0"/>
        <rFont val="宋体"/>
        <charset val="134"/>
      </rPr>
      <t>数量</t>
    </r>
  </si>
  <si>
    <r>
      <rPr>
        <b/>
        <sz val="12"/>
        <color rgb="FFFFFFFF"/>
        <rFont val="Tahoma"/>
        <charset val="134"/>
      </rPr>
      <t>COSTCO</t>
    </r>
    <r>
      <rPr>
        <b/>
        <sz val="12"/>
        <color rgb="FFFFFFFF"/>
        <rFont val="宋体"/>
        <charset val="134"/>
      </rPr>
      <t>版本剩余</t>
    </r>
    <r>
      <rPr>
        <b/>
        <sz val="12"/>
        <color rgb="FFFFFFFF"/>
        <rFont val="Tahoma"/>
        <charset val="134"/>
      </rPr>
      <t>MA</t>
    </r>
    <r>
      <rPr>
        <b/>
        <sz val="12"/>
        <color rgb="FFFFFFFF"/>
        <rFont val="宋体"/>
        <charset val="134"/>
      </rPr>
      <t>数量</t>
    </r>
  </si>
  <si>
    <t>Remark</t>
  </si>
  <si>
    <t>Item NO.</t>
  </si>
  <si>
    <t>两款合计MA数</t>
  </si>
  <si>
    <t>Mold no.</t>
  </si>
  <si>
    <t>展示吸塑</t>
  </si>
  <si>
    <t>GQ2/GQ3</t>
  </si>
  <si>
    <t>Target-US GQ5</t>
  </si>
  <si>
    <t>SK</t>
  </si>
  <si>
    <t>Costco 客版包装配件套数</t>
  </si>
  <si>
    <t>MINIS</t>
  </si>
  <si>
    <t>S1 Capsules &amp; playset Minis</t>
  </si>
  <si>
    <t>VINYL-S1-A01</t>
  </si>
  <si>
    <t>MNVN-12M-01</t>
  </si>
  <si>
    <t>MA</t>
  </si>
  <si>
    <t>VINYL-S1-A02</t>
  </si>
  <si>
    <t>MNVN-13M-01</t>
  </si>
  <si>
    <t>外购件配套采购</t>
  </si>
  <si>
    <t>实单</t>
  </si>
  <si>
    <t>VINYL-S1-A03</t>
  </si>
  <si>
    <t>MNVN-9M-01.MNVN-10M-01,MNVN-11M-01</t>
  </si>
  <si>
    <t>剩余数</t>
  </si>
  <si>
    <t>VINYL-S1-A04</t>
  </si>
  <si>
    <t>MNVN-07M-01,MNVN-08M-01,MNVN-15M-01</t>
  </si>
  <si>
    <t>VINYL-S1-A05</t>
  </si>
  <si>
    <t>MNVN-14M-01,MNVN-15M-01</t>
  </si>
  <si>
    <t>按方形座*2+三角架*1比例生产</t>
  </si>
  <si>
    <t>VINYL-S1-A06</t>
  </si>
  <si>
    <t>MNVN-08M-01，MNVN-16M-01，MNVN-17M-01</t>
  </si>
  <si>
    <t>VINYL-S1-A07</t>
  </si>
  <si>
    <t>VINYL-S1-A08</t>
  </si>
  <si>
    <t>MNVN-17M-01，MNVN-05M-01</t>
  </si>
  <si>
    <t>VINYL-S1-001</t>
  </si>
  <si>
    <t>MNVN-05M-01</t>
  </si>
  <si>
    <t>请配套采购NFC感应贴纸</t>
  </si>
  <si>
    <t>VINYL-S1-002</t>
  </si>
  <si>
    <t>VINYL-S1-004</t>
  </si>
  <si>
    <t>VINYL-S1-007</t>
  </si>
  <si>
    <t>VINYL-S1-008</t>
  </si>
  <si>
    <t>VINYL-S1-010</t>
  </si>
  <si>
    <t>VINYL-S1-017</t>
  </si>
  <si>
    <t>VINYL-S1-019</t>
  </si>
  <si>
    <t>VINYL-S1-020</t>
  </si>
  <si>
    <t>VINYL-S1-021</t>
  </si>
  <si>
    <t>VINYL-S1-023</t>
  </si>
  <si>
    <t>VINYL-S1-024</t>
  </si>
  <si>
    <t>VINYL-S1-025</t>
  </si>
  <si>
    <t>VINYL-S1-026</t>
  </si>
  <si>
    <t>VINYL-S1-027</t>
  </si>
  <si>
    <t>VINYL-S1-029</t>
  </si>
  <si>
    <t>VINYL-S1-030</t>
  </si>
  <si>
    <t>VINYL-S1-032</t>
  </si>
  <si>
    <t>VINYL-S1-033</t>
  </si>
  <si>
    <t>VINYL-S1-034</t>
  </si>
  <si>
    <t>VINYL-S1-035</t>
  </si>
  <si>
    <t>VINYL-S1-037</t>
  </si>
  <si>
    <t>VINYL-S1-039</t>
  </si>
  <si>
    <t>VINYL-S1-041</t>
  </si>
  <si>
    <t>VINYL-S1-042</t>
  </si>
  <si>
    <t>VINYL-S1-005</t>
  </si>
  <si>
    <t>VINYL-S1-006</t>
  </si>
  <si>
    <t>VINYL-S1-009</t>
  </si>
  <si>
    <t>VINYL-S1-013</t>
  </si>
  <si>
    <t>VINYL-S1-016</t>
  </si>
  <si>
    <t>VINYL-S1-022</t>
  </si>
  <si>
    <t>VINYL-S1-031</t>
  </si>
  <si>
    <t>VINYL-S1-038</t>
  </si>
  <si>
    <t>VINYL-S1-040</t>
  </si>
  <si>
    <t>VINYL-S1-043</t>
  </si>
  <si>
    <t>VINYL-S1-044</t>
  </si>
  <si>
    <t>VINYL-S1-045</t>
  </si>
  <si>
    <t>VINYL-S1-003</t>
  </si>
  <si>
    <t>VINYL-S1-012</t>
  </si>
  <si>
    <t>VINYL-S1-014</t>
  </si>
  <si>
    <t>VINYL-S1-015</t>
  </si>
  <si>
    <t>VINYL-S1-018</t>
  </si>
  <si>
    <t>VINYL-S1-028</t>
  </si>
  <si>
    <t>VINYL-S1-011</t>
  </si>
  <si>
    <t xml:space="preserve"> Minis SUM</t>
  </si>
  <si>
    <t>CONFIRMED AND ACCEPTED BY:</t>
  </si>
  <si>
    <t>FOR AND ON BEHALF OF ZURU INC</t>
  </si>
  <si>
    <t>SIGNATURE &amp; COMPANY CHOP</t>
  </si>
  <si>
    <t>Material Authorization (Production)</t>
  </si>
  <si>
    <t>放订日期</t>
  </si>
  <si>
    <t xml:space="preserve">2026/8/6
</t>
  </si>
  <si>
    <t>要求完成日期</t>
  </si>
  <si>
    <t>MA号</t>
  </si>
  <si>
    <t>合计</t>
  </si>
  <si>
    <t>接单数</t>
  </si>
  <si>
    <t>STD Playset #77794 （胶件）</t>
  </si>
  <si>
    <r>
      <rPr>
        <sz val="12"/>
        <color theme="1"/>
        <rFont val="Tahoma"/>
        <charset val="134"/>
      </rPr>
      <t xml:space="preserve">playset </t>
    </r>
    <r>
      <rPr>
        <sz val="12"/>
        <color indexed="8"/>
        <rFont val="宋体"/>
        <charset val="134"/>
      </rPr>
      <t>注塑组件</t>
    </r>
  </si>
  <si>
    <t>Item Name</t>
  </si>
  <si>
    <t>Brand</t>
  </si>
  <si>
    <t>VINYL-S1-036</t>
  </si>
  <si>
    <t>APT - Bruno Mars &amp; Rose</t>
  </si>
  <si>
    <t>OLIPOP</t>
  </si>
  <si>
    <t>#77794 Playset exclusive，配套采购NFC感应贴纸</t>
  </si>
  <si>
    <t>Limitted Record Stand</t>
  </si>
  <si>
    <t>MNVN-14M-01</t>
  </si>
  <si>
    <t>#77794,和Vinyl Record Stand x 3共模</t>
  </si>
  <si>
    <t>Remark: 
1)请满产能安排啤件备库，请勿中途停机，直至完成MA数量。
2)请安排提前装配，以便最大限度利用产能，待收到大货订单后收缩、包装。</t>
  </si>
  <si>
    <t>77794 IC MA</t>
  </si>
  <si>
    <t>日期</t>
  </si>
  <si>
    <t>MA订单号码</t>
  </si>
  <si>
    <t>ITEM</t>
  </si>
  <si>
    <t>要求交货日期</t>
  </si>
  <si>
    <t>交货情况</t>
  </si>
  <si>
    <t>合计单价</t>
  </si>
  <si>
    <t>涨价</t>
  </si>
  <si>
    <t>MA_1984</t>
  </si>
  <si>
    <t>IC</t>
  </si>
  <si>
    <t>已交货</t>
  </si>
  <si>
    <r>
      <rPr>
        <sz val="12"/>
        <rFont val="Tahoma"/>
        <charset val="0"/>
      </rPr>
      <t>NFC</t>
    </r>
    <r>
      <rPr>
        <sz val="12"/>
        <rFont val="宋体"/>
        <charset val="0"/>
      </rPr>
      <t>贴纸、贴片</t>
    </r>
    <r>
      <rPr>
        <sz val="12"/>
        <rFont val="Tahoma"/>
        <charset val="0"/>
      </rPr>
      <t>IC</t>
    </r>
    <r>
      <rPr>
        <sz val="12"/>
        <rFont val="宋体"/>
        <charset val="0"/>
      </rPr>
      <t>、</t>
    </r>
    <r>
      <rPr>
        <sz val="12"/>
        <rFont val="Tahoma"/>
        <charset val="0"/>
      </rPr>
      <t>PCB</t>
    </r>
    <r>
      <rPr>
        <sz val="12"/>
        <rFont val="宋体"/>
        <charset val="0"/>
      </rPr>
      <t>板配套订购</t>
    </r>
  </si>
  <si>
    <t>单价1.5</t>
  </si>
  <si>
    <t>MA_2026</t>
  </si>
  <si>
    <t>MA_RR_2044</t>
  </si>
  <si>
    <t>单价1.95</t>
  </si>
  <si>
    <t>增加0.45</t>
  </si>
  <si>
    <t>MA_RR_2070</t>
  </si>
  <si>
    <t>MA_RR_2105</t>
  </si>
  <si>
    <t>单价2.36</t>
  </si>
  <si>
    <t>增加0.41</t>
  </si>
  <si>
    <t>MA_RR_2150</t>
  </si>
  <si>
    <t>MA_RR_2193</t>
  </si>
  <si>
    <t>已交货60万，40万未交货</t>
  </si>
  <si>
    <r>
      <rPr>
        <sz val="12"/>
        <color rgb="FFFF0000"/>
        <rFont val="Tahoma"/>
        <charset val="0"/>
      </rPr>
      <t>NFC</t>
    </r>
    <r>
      <rPr>
        <sz val="12"/>
        <color rgb="FFFF0000"/>
        <rFont val="宋体"/>
        <charset val="0"/>
      </rPr>
      <t>贴纸、贴片</t>
    </r>
    <r>
      <rPr>
        <sz val="12"/>
        <color rgb="FFFF0000"/>
        <rFont val="Tahoma"/>
        <charset val="0"/>
      </rPr>
      <t>IC</t>
    </r>
    <r>
      <rPr>
        <sz val="12"/>
        <color rgb="FFFF0000"/>
        <rFont val="宋体"/>
        <charset val="0"/>
      </rPr>
      <t>、</t>
    </r>
    <r>
      <rPr>
        <sz val="12"/>
        <color rgb="FFFF0000"/>
        <rFont val="Tahoma"/>
        <charset val="0"/>
      </rPr>
      <t>PCB</t>
    </r>
    <r>
      <rPr>
        <sz val="12"/>
        <color rgb="FFFF0000"/>
        <rFont val="宋体"/>
        <charset val="0"/>
      </rPr>
      <t>板配套订购</t>
    </r>
  </si>
  <si>
    <t>MA_RR_2259</t>
  </si>
  <si>
    <t>未交货</t>
  </si>
  <si>
    <t>MA_RR_2310</t>
  </si>
  <si>
    <t>单价1.66</t>
  </si>
  <si>
    <t>MA_RR_2331</t>
  </si>
  <si>
    <t>单价1.79</t>
  </si>
  <si>
    <t>MA_RR_2374</t>
  </si>
  <si>
    <t>MA_RR_2376</t>
  </si>
  <si>
    <t>MA_RR_2398</t>
  </si>
  <si>
    <t>MA_RR_2413</t>
  </si>
  <si>
    <t>扣除半成品剩余数</t>
  </si>
</sst>
</file>

<file path=xl/styles.xml><?xml version="1.0" encoding="utf-8"?>
<styleSheet xmlns="http://schemas.openxmlformats.org/spreadsheetml/2006/main" xmlns:mc="http://schemas.openxmlformats.org/markup-compatibility/2006" xmlns:xr9="http://schemas.microsoft.com/office/spreadsheetml/2016/revision9" mc:Ignorable="xr9">
  <numFmts count="23">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409]#,##0.0000;\-[$$-409]#,##0.0000"/>
    <numFmt numFmtId="177" formatCode="_-* #,##0.00_-;\-* #,##0.00_-;_-* &quot;-&quot;??_-;_-@_-"/>
    <numFmt numFmtId="178" formatCode="_-* #,##0_-;\-* #,##0_-;_-* &quot;-&quot;??_-;_-@_-"/>
    <numFmt numFmtId="179" formatCode="yyyy/m/d;@"/>
    <numFmt numFmtId="180" formatCode="#,##0_);[Red]\(#,##0\)"/>
    <numFmt numFmtId="181" formatCode="#,##0_ "/>
    <numFmt numFmtId="182" formatCode="[$-409]d/mmm/yy;@"/>
    <numFmt numFmtId="183" formatCode="#,##0.00_);[Red]\(#,##0.00\)"/>
    <numFmt numFmtId="184" formatCode="0.000%"/>
    <numFmt numFmtId="185" formatCode="0_);[Red]\(0\)"/>
    <numFmt numFmtId="186" formatCode="yyyy/m/d&quot;周&quot;aaa"/>
    <numFmt numFmtId="187" formatCode="m/d;@"/>
    <numFmt numFmtId="188" formatCode="0.0000_);[Red]\(0.0000\)"/>
    <numFmt numFmtId="189" formatCode="0_ "/>
    <numFmt numFmtId="190" formatCode="0.00_);[Red]\(0.00\)"/>
    <numFmt numFmtId="191" formatCode="0.00##"/>
    <numFmt numFmtId="192" formatCode="0.0000_ "/>
    <numFmt numFmtId="193" formatCode="&quot;US$&quot;#,##0.00;\-&quot;US$&quot;#,##0.00"/>
    <numFmt numFmtId="194" formatCode="0_ ;[Red]\-0\ "/>
  </numFmts>
  <fonts count="164">
    <font>
      <sz val="11"/>
      <color theme="1"/>
      <name val="宋体"/>
      <charset val="134"/>
      <scheme val="minor"/>
    </font>
    <font>
      <sz val="12"/>
      <name val="Tahoma"/>
      <charset val="0"/>
    </font>
    <font>
      <sz val="11"/>
      <color theme="1"/>
      <name val="Tahoma"/>
      <charset val="134"/>
    </font>
    <font>
      <b/>
      <sz val="11"/>
      <name val="Tahoma"/>
      <charset val="0"/>
    </font>
    <font>
      <sz val="12"/>
      <name val="宋体"/>
      <charset val="0"/>
    </font>
    <font>
      <b/>
      <u/>
      <sz val="18"/>
      <name val="Tahoma"/>
      <charset val="0"/>
    </font>
    <font>
      <b/>
      <sz val="12"/>
      <name val="Tahoma"/>
      <charset val="0"/>
    </font>
    <font>
      <sz val="10"/>
      <name val="Times New Roman"/>
      <charset val="0"/>
    </font>
    <font>
      <sz val="11"/>
      <name val="宋体"/>
      <charset val="0"/>
    </font>
    <font>
      <sz val="12"/>
      <color theme="1"/>
      <name val="Tahoma"/>
      <charset val="134"/>
    </font>
    <font>
      <b/>
      <sz val="12"/>
      <name val="宋体"/>
      <charset val="0"/>
    </font>
    <font>
      <sz val="12"/>
      <name val="Tahoma"/>
      <charset val="134"/>
    </font>
    <font>
      <sz val="12"/>
      <color theme="1"/>
      <name val="宋体"/>
      <charset val="134"/>
    </font>
    <font>
      <sz val="11"/>
      <name val="Times New Roman"/>
      <charset val="0"/>
    </font>
    <font>
      <b/>
      <sz val="12"/>
      <name val="宋体"/>
      <charset val="134"/>
    </font>
    <font>
      <b/>
      <sz val="12"/>
      <color theme="0"/>
      <name val="Tahoma"/>
      <charset val="134"/>
    </font>
    <font>
      <sz val="12"/>
      <color theme="0"/>
      <name val="Tahoma"/>
      <charset val="134"/>
    </font>
    <font>
      <b/>
      <sz val="11"/>
      <color theme="1"/>
      <name val="Tahoma"/>
      <charset val="134"/>
    </font>
    <font>
      <sz val="11"/>
      <name val="Tahoma"/>
      <charset val="0"/>
    </font>
    <font>
      <sz val="11"/>
      <color rgb="FF0070C0"/>
      <name val="Tahoma"/>
      <charset val="134"/>
    </font>
    <font>
      <sz val="11"/>
      <color theme="0"/>
      <name val="Tahoma"/>
      <charset val="134"/>
    </font>
    <font>
      <b/>
      <sz val="12"/>
      <color rgb="FF0000CC"/>
      <name val="Tahoma"/>
      <charset val="134"/>
    </font>
    <font>
      <b/>
      <sz val="12"/>
      <color indexed="9"/>
      <name val="Tahoma"/>
      <charset val="0"/>
    </font>
    <font>
      <b/>
      <sz val="16"/>
      <name val="Tahoma"/>
      <charset val="0"/>
    </font>
    <font>
      <sz val="14"/>
      <color theme="1"/>
      <name val="宋体"/>
      <charset val="134"/>
      <scheme val="minor"/>
    </font>
    <font>
      <sz val="14"/>
      <color rgb="FF000000"/>
      <name val="宋体"/>
      <charset val="134"/>
    </font>
    <font>
      <sz val="12"/>
      <color rgb="FF000000"/>
      <name val="Tahoma"/>
      <charset val="0"/>
    </font>
    <font>
      <sz val="12"/>
      <color rgb="FFFF0000"/>
      <name val="Tahoma"/>
      <charset val="0"/>
    </font>
    <font>
      <sz val="12"/>
      <color theme="0" tint="-0.499984740745262"/>
      <name val="Times New Roman"/>
      <charset val="134"/>
    </font>
    <font>
      <b/>
      <sz val="12"/>
      <name val="Times New Roman"/>
      <charset val="134"/>
    </font>
    <font>
      <b/>
      <sz val="12"/>
      <color rgb="FFFFFF00"/>
      <name val="Times New Roman"/>
      <charset val="134"/>
    </font>
    <font>
      <b/>
      <sz val="12"/>
      <color rgb="FFFFFF00"/>
      <name val="宋体"/>
      <charset val="134"/>
    </font>
    <font>
      <b/>
      <sz val="12"/>
      <color theme="8" tint="0.4"/>
      <name val="宋体"/>
      <charset val="134"/>
    </font>
    <font>
      <b/>
      <sz val="12"/>
      <color theme="0"/>
      <name val="宋体"/>
      <charset val="134"/>
    </font>
    <font>
      <b/>
      <sz val="12"/>
      <color rgb="FFFFFFFF"/>
      <name val="Tahoma"/>
      <charset val="134"/>
    </font>
    <font>
      <sz val="14"/>
      <name val="宋体"/>
      <charset val="0"/>
    </font>
    <font>
      <sz val="16"/>
      <name val="宋体"/>
      <charset val="0"/>
    </font>
    <font>
      <b/>
      <sz val="11"/>
      <color theme="1"/>
      <name val="宋体"/>
      <charset val="134"/>
    </font>
    <font>
      <b/>
      <sz val="10"/>
      <color theme="1"/>
      <name val="Tahoma"/>
      <charset val="134"/>
    </font>
    <font>
      <b/>
      <sz val="12"/>
      <name val="Tahoma"/>
      <charset val="134"/>
    </font>
    <font>
      <u/>
      <sz val="12"/>
      <name val="Tahoma"/>
      <charset val="0"/>
    </font>
    <font>
      <sz val="9"/>
      <color theme="1"/>
      <name val="宋体"/>
      <charset val="134"/>
      <scheme val="minor"/>
    </font>
    <font>
      <b/>
      <sz val="20"/>
      <color theme="1"/>
      <name val="宋体"/>
      <charset val="134"/>
      <scheme val="minor"/>
    </font>
    <font>
      <b/>
      <sz val="20"/>
      <color rgb="FF000000"/>
      <name val="宋体"/>
      <charset val="134"/>
    </font>
    <font>
      <b/>
      <sz val="9"/>
      <name val="宋体"/>
      <charset val="134"/>
      <scheme val="minor"/>
    </font>
    <font>
      <b/>
      <sz val="9"/>
      <color theme="1"/>
      <name val="宋体"/>
      <charset val="134"/>
      <scheme val="minor"/>
    </font>
    <font>
      <b/>
      <sz val="9"/>
      <color rgb="FFFF0000"/>
      <name val="宋体"/>
      <charset val="134"/>
      <scheme val="minor"/>
    </font>
    <font>
      <b/>
      <sz val="9"/>
      <color rgb="FF000000"/>
      <name val="宋体"/>
      <charset val="134"/>
    </font>
    <font>
      <sz val="9"/>
      <name val="宋体"/>
      <charset val="134"/>
      <scheme val="minor"/>
    </font>
    <font>
      <sz val="9"/>
      <color rgb="FF000000"/>
      <name val="宋体"/>
      <charset val="134"/>
    </font>
    <font>
      <sz val="8"/>
      <color rgb="FF000000"/>
      <name val="宋体"/>
      <charset val="134"/>
      <scheme val="minor"/>
    </font>
    <font>
      <b/>
      <sz val="6"/>
      <name val="宋体"/>
      <charset val="134"/>
      <scheme val="minor"/>
    </font>
    <font>
      <sz val="9"/>
      <name val="仿宋"/>
      <charset val="134"/>
    </font>
    <font>
      <sz val="9"/>
      <color theme="1"/>
      <name val="仿宋"/>
      <charset val="134"/>
    </font>
    <font>
      <b/>
      <sz val="11"/>
      <color theme="1"/>
      <name val="宋体"/>
      <charset val="134"/>
      <scheme val="minor"/>
    </font>
    <font>
      <sz val="8"/>
      <color theme="1"/>
      <name val="宋体"/>
      <charset val="134"/>
      <scheme val="minor"/>
    </font>
    <font>
      <b/>
      <sz val="8"/>
      <name val="宋体"/>
      <charset val="134"/>
      <scheme val="minor"/>
    </font>
    <font>
      <b/>
      <sz val="9"/>
      <color rgb="FFFF0000"/>
      <name val="宋体"/>
      <charset val="134"/>
    </font>
    <font>
      <b/>
      <sz val="9"/>
      <color rgb="FF000000"/>
      <name val="宋体"/>
      <charset val="134"/>
      <scheme val="minor"/>
    </font>
    <font>
      <sz val="12"/>
      <color rgb="FF000000"/>
      <name val="Calibri"/>
      <charset val="134"/>
    </font>
    <font>
      <sz val="12"/>
      <name val="Calibri"/>
      <charset val="134"/>
    </font>
    <font>
      <sz val="9"/>
      <color rgb="FFFF0000"/>
      <name val="宋体"/>
      <charset val="134"/>
      <scheme val="minor"/>
    </font>
    <font>
      <sz val="9"/>
      <color rgb="FF0D0D0D"/>
      <name val="宋体"/>
      <charset val="134"/>
      <scheme val="minor"/>
    </font>
    <font>
      <sz val="11"/>
      <name val="宋体"/>
      <charset val="134"/>
      <scheme val="minor"/>
    </font>
    <font>
      <sz val="11"/>
      <color rgb="FFFF0000"/>
      <name val="宋体"/>
      <charset val="134"/>
      <scheme val="minor"/>
    </font>
    <font>
      <sz val="12"/>
      <color rgb="FFFF0000"/>
      <name val="宋体"/>
      <charset val="134"/>
      <scheme val="minor"/>
    </font>
    <font>
      <sz val="12"/>
      <color rgb="FFFF0000"/>
      <name val="宋体"/>
      <charset val="134"/>
    </font>
    <font>
      <sz val="11"/>
      <color rgb="FF010CDD"/>
      <name val="宋体"/>
      <charset val="134"/>
      <scheme val="minor"/>
    </font>
    <font>
      <sz val="11"/>
      <color rgb="FFFF0000"/>
      <name val="宋体"/>
      <charset val="134"/>
    </font>
    <font>
      <b/>
      <sz val="12"/>
      <name val="宋体"/>
      <charset val="134"/>
      <scheme val="minor"/>
    </font>
    <font>
      <b/>
      <sz val="12"/>
      <color rgb="FF000000"/>
      <name val="宋体"/>
      <charset val="134"/>
    </font>
    <font>
      <b/>
      <sz val="12"/>
      <color theme="1"/>
      <name val="宋体"/>
      <charset val="134"/>
    </font>
    <font>
      <b/>
      <sz val="12"/>
      <name val="等线"/>
      <charset val="134"/>
    </font>
    <font>
      <b/>
      <sz val="12"/>
      <color rgb="FF0000FF"/>
      <name val="宋体"/>
      <charset val="134"/>
      <scheme val="minor"/>
    </font>
    <font>
      <b/>
      <sz val="12"/>
      <color rgb="FF7030A0"/>
      <name val="宋体"/>
      <charset val="134"/>
      <scheme val="minor"/>
    </font>
    <font>
      <b/>
      <sz val="12"/>
      <color theme="1"/>
      <name val="宋体"/>
      <charset val="134"/>
      <scheme val="minor"/>
    </font>
    <font>
      <b/>
      <sz val="12"/>
      <color rgb="FFFF0000"/>
      <name val="宋体"/>
      <charset val="134"/>
      <scheme val="minor"/>
    </font>
    <font>
      <b/>
      <sz val="12"/>
      <color rgb="FF010CDD"/>
      <name val="宋体"/>
      <charset val="134"/>
      <scheme val="minor"/>
    </font>
    <font>
      <b/>
      <sz val="12"/>
      <color rgb="FF00B050"/>
      <name val="宋体"/>
      <charset val="134"/>
      <scheme val="minor"/>
    </font>
    <font>
      <sz val="12"/>
      <color rgb="FF000000"/>
      <name val="宋体"/>
      <charset val="134"/>
    </font>
    <font>
      <sz val="12"/>
      <color theme="1"/>
      <name val="宋体"/>
      <charset val="134"/>
      <scheme val="minor"/>
    </font>
    <font>
      <b/>
      <sz val="12"/>
      <color rgb="FF0000FF"/>
      <name val="宋体"/>
      <charset val="134"/>
    </font>
    <font>
      <sz val="12"/>
      <name val="宋体"/>
      <charset val="134"/>
      <scheme val="minor"/>
    </font>
    <font>
      <sz val="12"/>
      <color rgb="FFFF0000"/>
      <name val="宋体"/>
      <charset val="0"/>
    </font>
    <font>
      <sz val="10.5"/>
      <color rgb="FFFF0000"/>
      <name val="等线"/>
      <charset val="134"/>
    </font>
    <font>
      <sz val="12"/>
      <color rgb="FF000000"/>
      <name val="宋体"/>
      <charset val="134"/>
      <scheme val="minor"/>
    </font>
    <font>
      <sz val="12"/>
      <color rgb="FF0000FF"/>
      <name val="宋体"/>
      <charset val="134"/>
    </font>
    <font>
      <sz val="12"/>
      <name val="宋体"/>
      <charset val="134"/>
    </font>
    <font>
      <sz val="10"/>
      <color rgb="FFFF0000"/>
      <name val="宋体"/>
      <charset val="134"/>
      <scheme val="minor"/>
    </font>
    <font>
      <sz val="11"/>
      <color rgb="FFFF0000"/>
      <name val="宋体"/>
      <charset val="0"/>
      <scheme val="minor"/>
    </font>
    <font>
      <sz val="11"/>
      <color theme="1"/>
      <name val="宋体"/>
      <charset val="134"/>
    </font>
    <font>
      <sz val="11"/>
      <color rgb="FF0000FF"/>
      <name val="宋体"/>
      <charset val="134"/>
    </font>
    <font>
      <sz val="11"/>
      <color rgb="FF010CDD"/>
      <name val="宋体"/>
      <charset val="134"/>
    </font>
    <font>
      <sz val="11"/>
      <name val="宋体"/>
      <charset val="134"/>
    </font>
    <font>
      <sz val="11"/>
      <color rgb="FF0000CC"/>
      <name val="宋体"/>
      <charset val="134"/>
    </font>
    <font>
      <sz val="11"/>
      <color rgb="FF000000"/>
      <name val="宋体"/>
      <charset val="134"/>
    </font>
    <font>
      <sz val="11"/>
      <color rgb="FF7030A0"/>
      <name val="宋体"/>
      <charset val="134"/>
    </font>
    <font>
      <b/>
      <sz val="11"/>
      <color rgb="FF2727F0"/>
      <name val="宋体"/>
      <charset val="134"/>
    </font>
    <font>
      <b/>
      <sz val="11"/>
      <name val="宋体"/>
      <charset val="134"/>
    </font>
    <font>
      <b/>
      <sz val="11"/>
      <color rgb="FF000000"/>
      <name val="宋体"/>
      <charset val="134"/>
    </font>
    <font>
      <b/>
      <sz val="11"/>
      <color rgb="FF0000FF"/>
      <name val="宋体"/>
      <charset val="134"/>
    </font>
    <font>
      <b/>
      <sz val="11"/>
      <color rgb="FF7030A0"/>
      <name val="宋体"/>
      <charset val="134"/>
    </font>
    <font>
      <b/>
      <sz val="11"/>
      <color rgb="FFFF0000"/>
      <name val="宋体"/>
      <charset val="134"/>
    </font>
    <font>
      <sz val="11"/>
      <color rgb="FF0000FF"/>
      <name val="宋体"/>
      <charset val="134"/>
      <scheme val="minor"/>
    </font>
    <font>
      <sz val="11"/>
      <color rgb="FF0000FF"/>
      <name val="宋体"/>
      <charset val="0"/>
    </font>
    <font>
      <sz val="11"/>
      <color rgb="FF000000"/>
      <name val="宋体"/>
      <charset val="134"/>
      <scheme val="minor"/>
    </font>
    <font>
      <sz val="11"/>
      <color rgb="FFFFFFFF"/>
      <name val="宋体"/>
      <charset val="134"/>
    </font>
    <font>
      <sz val="12"/>
      <color rgb="FF010CDD"/>
      <name val="宋体"/>
      <charset val="134"/>
    </font>
    <font>
      <sz val="12"/>
      <color rgb="FF0000CC"/>
      <name val="宋体"/>
      <charset val="134"/>
    </font>
    <font>
      <sz val="12"/>
      <color rgb="FF7030A0"/>
      <name val="宋体"/>
      <charset val="134"/>
    </font>
    <font>
      <sz val="12"/>
      <color rgb="FF2727F0"/>
      <name val="宋体"/>
      <charset val="134"/>
    </font>
    <font>
      <b/>
      <sz val="12"/>
      <color rgb="FF7030A0"/>
      <name val="宋体"/>
      <charset val="134"/>
    </font>
    <font>
      <b/>
      <sz val="12"/>
      <color rgb="FFFF0000"/>
      <name val="宋体"/>
      <charset val="134"/>
    </font>
    <font>
      <b/>
      <sz val="12"/>
      <color rgb="FF010CDD"/>
      <name val="宋体"/>
      <charset val="134"/>
    </font>
    <font>
      <b/>
      <sz val="12"/>
      <color rgb="FF00B050"/>
      <name val="宋体"/>
      <charset val="134"/>
    </font>
    <font>
      <sz val="12"/>
      <color rgb="FF010CDD"/>
      <name val="宋体"/>
      <charset val="134"/>
      <scheme val="minor"/>
    </font>
    <font>
      <sz val="12"/>
      <color rgb="FF010CDD"/>
      <name val="宋体"/>
      <charset val="0"/>
    </font>
    <font>
      <sz val="12"/>
      <color rgb="FF0000FF"/>
      <name val="宋体"/>
      <charset val="134"/>
      <scheme val="minor"/>
    </font>
    <font>
      <sz val="12"/>
      <color rgb="FF0000FF"/>
      <name val="宋体"/>
      <charset val="0"/>
    </font>
    <font>
      <sz val="12"/>
      <color rgb="FF000000"/>
      <name val="宋体"/>
      <charset val="0"/>
    </font>
    <font>
      <sz val="12"/>
      <color rgb="FF417FF9"/>
      <name val="宋体"/>
      <charset val="134"/>
    </font>
    <font>
      <sz val="12"/>
      <color rgb="FF0D0D0D"/>
      <name val="宋体"/>
      <charset val="134"/>
    </font>
    <font>
      <u/>
      <sz val="11"/>
      <color rgb="FF0000FF"/>
      <name val="宋体"/>
      <charset val="0"/>
      <scheme val="minor"/>
    </font>
    <font>
      <u/>
      <sz val="11"/>
      <color rgb="FF80008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name val="Helv"/>
      <charset val="0"/>
    </font>
    <font>
      <sz val="12"/>
      <name val="新細明體"/>
      <charset val="136"/>
    </font>
    <font>
      <sz val="10"/>
      <name val="Arial"/>
      <charset val="134"/>
    </font>
    <font>
      <sz val="10"/>
      <name val="Arial"/>
      <charset val="0"/>
    </font>
    <font>
      <b/>
      <sz val="12"/>
      <color rgb="FFFFFFFF"/>
      <name val="宋体"/>
      <charset val="134"/>
    </font>
    <font>
      <sz val="10"/>
      <color rgb="FFFF0000"/>
      <name val="等线"/>
      <charset val="134"/>
    </font>
    <font>
      <sz val="10"/>
      <color rgb="FFFF0000"/>
      <name val="汉仪书宋二KW"/>
      <charset val="134"/>
    </font>
    <font>
      <sz val="12"/>
      <color rgb="FFFF0000"/>
      <name val="等线"/>
      <charset val="134"/>
    </font>
    <font>
      <sz val="12"/>
      <color rgb="FFFF0000"/>
      <name val="汉仪书宋二KW"/>
      <charset val="134"/>
    </font>
    <font>
      <sz val="11"/>
      <color rgb="FF000000"/>
      <name val="宋体"/>
      <charset val="0"/>
    </font>
    <font>
      <sz val="12"/>
      <color rgb="FF010CDD"/>
      <name val="Arial"/>
      <charset val="134"/>
    </font>
    <font>
      <sz val="10"/>
      <color rgb="FF000000"/>
      <name val="宋体"/>
      <charset val="134"/>
      <scheme val="minor"/>
    </font>
    <font>
      <sz val="12"/>
      <color indexed="8"/>
      <name val="宋体"/>
      <charset val="134"/>
    </font>
    <font>
      <sz val="11"/>
      <color rgb="FF0000CC"/>
      <name val="宋体"/>
      <charset val="0"/>
    </font>
    <font>
      <sz val="11"/>
      <name val="宋体"/>
      <charset val="134"/>
    </font>
    <font>
      <sz val="13"/>
      <name val="宋体"/>
      <charset val="134"/>
    </font>
    <font>
      <b/>
      <sz val="13"/>
      <name val="宋体"/>
      <charset val="134"/>
    </font>
    <font>
      <b/>
      <sz val="9"/>
      <name val="宋体"/>
      <charset val="0"/>
    </font>
    <font>
      <b/>
      <sz val="11"/>
      <name val="宋体"/>
      <charset val="134"/>
    </font>
    <font>
      <sz val="9"/>
      <name val="宋体"/>
      <charset val="0"/>
    </font>
    <font>
      <sz val="9"/>
      <name val="宋体"/>
      <charset val="134"/>
    </font>
    <font>
      <b/>
      <sz val="9"/>
      <name val="宋体"/>
      <charset val="134"/>
    </font>
    <font>
      <sz val="12"/>
      <name val="宋体"/>
      <charset val="134"/>
    </font>
    <font>
      <b/>
      <sz val="12"/>
      <name val="宋体"/>
      <charset val="134"/>
    </font>
  </fonts>
  <fills count="49">
    <fill>
      <patternFill patternType="none"/>
    </fill>
    <fill>
      <patternFill patternType="gray125"/>
    </fill>
    <fill>
      <patternFill patternType="solid">
        <fgColor indexed="9"/>
        <bgColor indexed="64"/>
      </patternFill>
    </fill>
    <fill>
      <patternFill patternType="solid">
        <fgColor rgb="FF99FF99"/>
        <bgColor indexed="64"/>
      </patternFill>
    </fill>
    <fill>
      <patternFill patternType="solid">
        <fgColor theme="8" tint="0.799981688894314"/>
        <bgColor indexed="64"/>
      </patternFill>
    </fill>
    <fill>
      <patternFill patternType="solid">
        <fgColor rgb="FFFFFF99"/>
        <bgColor indexed="64"/>
      </patternFill>
    </fill>
    <fill>
      <patternFill patternType="solid">
        <fgColor rgb="FFFFFF00"/>
        <bgColor indexed="64"/>
      </patternFill>
    </fill>
    <fill>
      <patternFill patternType="solid">
        <fgColor theme="1" tint="0.349986266670736"/>
        <bgColor indexed="64"/>
      </patternFill>
    </fill>
    <fill>
      <patternFill patternType="solid">
        <fgColor theme="6" tint="0.799981688894314"/>
        <bgColor indexed="64"/>
      </patternFill>
    </fill>
    <fill>
      <patternFill patternType="solid">
        <fgColor theme="9" tint="0.799981688894314"/>
        <bgColor indexed="64"/>
      </patternFill>
    </fill>
    <fill>
      <patternFill patternType="solid">
        <fgColor theme="6" tint="0.599993896298105"/>
        <bgColor indexed="64"/>
      </patternFill>
    </fill>
    <fill>
      <patternFill patternType="solid">
        <fgColor theme="1" tint="0.499984740745262"/>
        <bgColor indexed="64"/>
      </patternFill>
    </fill>
    <fill>
      <patternFill patternType="solid">
        <fgColor theme="4" tint="0.6"/>
        <bgColor indexed="64"/>
      </patternFill>
    </fill>
    <fill>
      <patternFill patternType="solid">
        <fgColor theme="9" tint="0.6"/>
        <bgColor indexed="64"/>
      </patternFill>
    </fill>
    <fill>
      <patternFill patternType="solid">
        <fgColor rgb="FFFFFFFF"/>
        <bgColor indexed="64"/>
      </patternFill>
    </fill>
    <fill>
      <patternFill patternType="solid">
        <fgColor rgb="FFFFC000"/>
        <bgColor indexed="64"/>
      </patternFill>
    </fill>
    <fill>
      <patternFill patternType="solid">
        <fgColor theme="0"/>
        <bgColor indexed="64"/>
      </patternFill>
    </fill>
    <fill>
      <patternFill patternType="solid">
        <fgColor rgb="FF00B0F0"/>
        <bgColor indexed="64"/>
      </patternFill>
    </fill>
    <fill>
      <patternFill patternType="solid">
        <fgColor rgb="FF92D050"/>
        <bgColor indexed="64"/>
      </patternFill>
    </fill>
    <fill>
      <patternFill patternType="solid">
        <fgColor rgb="FFC6EFCE"/>
        <bgColor indexed="64"/>
      </patternFill>
    </fill>
    <fill>
      <patternFill patternType="solid">
        <fgColor rgb="FFFFB6C1"/>
        <bgColor indexed="64"/>
      </patternFill>
    </fill>
    <fill>
      <patternFill patternType="solid">
        <fgColor rgb="FFC5E0B4"/>
        <bgColor indexed="64"/>
      </patternFill>
    </fill>
    <fill>
      <patternFill patternType="solid">
        <fgColor rgb="FFF4B18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52">
    <border>
      <left/>
      <right/>
      <top/>
      <bottom/>
      <diagonal/>
    </border>
    <border>
      <left style="thin">
        <color auto="1"/>
      </left>
      <right/>
      <top/>
      <bottom/>
      <diagonal/>
    </border>
    <border>
      <left/>
      <right style="thin">
        <color auto="1"/>
      </right>
      <top/>
      <bottom/>
      <diagonal/>
    </border>
    <border>
      <left style="thin">
        <color auto="1"/>
      </left>
      <right style="thin">
        <color auto="1"/>
      </right>
      <top style="thin">
        <color auto="1"/>
      </top>
      <bottom style="thin">
        <color auto="1"/>
      </bottom>
      <diagonal/>
    </border>
    <border>
      <left style="medium">
        <color auto="1"/>
      </left>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medium">
        <color auto="1"/>
      </right>
      <top style="thin">
        <color auto="1"/>
      </top>
      <bottom style="thin">
        <color auto="1"/>
      </bottom>
      <diagonal/>
    </border>
    <border>
      <left style="medium">
        <color auto="1"/>
      </left>
      <right style="thin">
        <color auto="1"/>
      </right>
      <top/>
      <bottom/>
      <diagonal/>
    </border>
    <border>
      <left style="medium">
        <color auto="1"/>
      </left>
      <right style="thin">
        <color auto="1"/>
      </right>
      <top/>
      <bottom style="medium">
        <color auto="1"/>
      </bottom>
      <diagonal/>
    </border>
    <border>
      <left style="thin">
        <color auto="1"/>
      </left>
      <right/>
      <top/>
      <bottom style="medium">
        <color auto="1"/>
      </bottom>
      <diagonal/>
    </border>
    <border>
      <left/>
      <right/>
      <top/>
      <bottom style="medium">
        <color auto="1"/>
      </bottom>
      <diagonal/>
    </border>
    <border>
      <left/>
      <right style="thin">
        <color auto="1"/>
      </right>
      <top/>
      <bottom style="medium">
        <color auto="1"/>
      </bottom>
      <diagonal/>
    </border>
    <border>
      <left/>
      <right style="medium">
        <color auto="1"/>
      </right>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top style="medium">
        <color auto="1"/>
      </top>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right style="thin">
        <color auto="1"/>
      </right>
      <top/>
      <bottom style="thin">
        <color auto="1"/>
      </bottom>
      <diagonal/>
    </border>
    <border>
      <left style="thin">
        <color auto="1"/>
      </left>
      <right style="thin">
        <color auto="1"/>
      </right>
      <top style="medium">
        <color auto="1"/>
      </top>
      <bottom style="thin">
        <color auto="1"/>
      </bottom>
      <diagonal/>
    </border>
    <border>
      <left/>
      <right style="thin">
        <color auto="1"/>
      </right>
      <top style="medium">
        <color auto="1"/>
      </top>
      <bottom style="thin">
        <color auto="1"/>
      </bottom>
      <diagonal/>
    </border>
    <border>
      <left style="medium">
        <color auto="1"/>
      </left>
      <right style="thin">
        <color auto="1"/>
      </right>
      <top style="thin">
        <color auto="1"/>
      </top>
      <bottom/>
      <diagonal/>
    </border>
    <border>
      <left/>
      <right style="thin">
        <color rgb="FF000000"/>
      </right>
      <top style="thin">
        <color rgb="FF000000"/>
      </top>
      <bottom style="thin">
        <color rgb="FF000000"/>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thin">
        <color auto="1"/>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auto="1"/>
      </left>
      <right/>
      <top style="thin">
        <color auto="1"/>
      </top>
      <bottom/>
      <diagonal/>
    </border>
    <border>
      <left/>
      <right style="thin">
        <color auto="1"/>
      </right>
      <top style="thin">
        <color auto="1"/>
      </top>
      <bottom/>
      <diagonal/>
    </border>
    <border>
      <left style="thin">
        <color rgb="FF000000"/>
      </left>
      <right style="thin">
        <color rgb="FF000000"/>
      </right>
      <top/>
      <bottom style="thin">
        <color rgb="FF000000"/>
      </bottom>
      <diagonal/>
    </border>
    <border>
      <left style="thin">
        <color auto="1"/>
      </left>
      <right style="thin">
        <color auto="1"/>
      </right>
      <top/>
      <bottom/>
      <diagonal/>
    </border>
    <border>
      <left style="thin">
        <color rgb="FF000000"/>
      </left>
      <right style="thin">
        <color rgb="FF000000"/>
      </right>
      <top/>
      <bottom/>
      <diagonal/>
    </border>
    <border>
      <left style="thin">
        <color auto="1"/>
      </left>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7">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22"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0" fillId="23" borderId="44" applyNumberFormat="0" applyFont="0" applyAlignment="0" applyProtection="0">
      <alignment vertical="center"/>
    </xf>
    <xf numFmtId="0" fontId="89"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5" fillId="0" borderId="0" applyNumberFormat="0" applyFill="0" applyBorder="0" applyAlignment="0" applyProtection="0">
      <alignment vertical="center"/>
    </xf>
    <xf numFmtId="0" fontId="126" fillId="0" borderId="45" applyNumberFormat="0" applyFill="0" applyAlignment="0" applyProtection="0">
      <alignment vertical="center"/>
    </xf>
    <xf numFmtId="0" fontId="127" fillId="0" borderId="45" applyNumberFormat="0" applyFill="0" applyAlignment="0" applyProtection="0">
      <alignment vertical="center"/>
    </xf>
    <xf numFmtId="0" fontId="128" fillId="0" borderId="46" applyNumberFormat="0" applyFill="0" applyAlignment="0" applyProtection="0">
      <alignment vertical="center"/>
    </xf>
    <xf numFmtId="0" fontId="128" fillId="0" borderId="0" applyNumberFormat="0" applyFill="0" applyBorder="0" applyAlignment="0" applyProtection="0">
      <alignment vertical="center"/>
    </xf>
    <xf numFmtId="0" fontId="129" fillId="24" borderId="47" applyNumberFormat="0" applyAlignment="0" applyProtection="0">
      <alignment vertical="center"/>
    </xf>
    <xf numFmtId="0" fontId="130" fillId="25" borderId="48" applyNumberFormat="0" applyAlignment="0" applyProtection="0">
      <alignment vertical="center"/>
    </xf>
    <xf numFmtId="0" fontId="131" fillId="25" borderId="47" applyNumberFormat="0" applyAlignment="0" applyProtection="0">
      <alignment vertical="center"/>
    </xf>
    <xf numFmtId="0" fontId="132" fillId="26" borderId="49" applyNumberFormat="0" applyAlignment="0" applyProtection="0">
      <alignment vertical="center"/>
    </xf>
    <xf numFmtId="0" fontId="133" fillId="0" borderId="50" applyNumberFormat="0" applyFill="0" applyAlignment="0" applyProtection="0">
      <alignment vertical="center"/>
    </xf>
    <xf numFmtId="0" fontId="134" fillId="0" borderId="51" applyNumberFormat="0" applyFill="0" applyAlignment="0" applyProtection="0">
      <alignment vertical="center"/>
    </xf>
    <xf numFmtId="0" fontId="135" fillId="19" borderId="0" applyNumberFormat="0" applyBorder="0" applyAlignment="0" applyProtection="0">
      <alignment vertical="center"/>
    </xf>
    <xf numFmtId="0" fontId="136" fillId="27" borderId="0" applyNumberFormat="0" applyBorder="0" applyAlignment="0" applyProtection="0">
      <alignment vertical="center"/>
    </xf>
    <xf numFmtId="0" fontId="137" fillId="28" borderId="0" applyNumberFormat="0" applyBorder="0" applyAlignment="0" applyProtection="0">
      <alignment vertical="center"/>
    </xf>
    <xf numFmtId="0" fontId="138" fillId="29" borderId="0" applyNumberFormat="0" applyBorder="0" applyAlignment="0" applyProtection="0">
      <alignment vertical="center"/>
    </xf>
    <xf numFmtId="0" fontId="139" fillId="30" borderId="0" applyNumberFormat="0" applyBorder="0" applyAlignment="0" applyProtection="0">
      <alignment vertical="center"/>
    </xf>
    <xf numFmtId="0" fontId="139" fillId="31" borderId="0" applyNumberFormat="0" applyBorder="0" applyAlignment="0" applyProtection="0">
      <alignment vertical="center"/>
    </xf>
    <xf numFmtId="0" fontId="138" fillId="32" borderId="0" applyNumberFormat="0" applyBorder="0" applyAlignment="0" applyProtection="0">
      <alignment vertical="center"/>
    </xf>
    <xf numFmtId="0" fontId="138" fillId="33" borderId="0" applyNumberFormat="0" applyBorder="0" applyAlignment="0" applyProtection="0">
      <alignment vertical="center"/>
    </xf>
    <xf numFmtId="0" fontId="139" fillId="34" borderId="0" applyNumberFormat="0" applyBorder="0" applyAlignment="0" applyProtection="0">
      <alignment vertical="center"/>
    </xf>
    <xf numFmtId="0" fontId="139" fillId="35" borderId="0" applyNumberFormat="0" applyBorder="0" applyAlignment="0" applyProtection="0">
      <alignment vertical="center"/>
    </xf>
    <xf numFmtId="0" fontId="138" fillId="36" borderId="0" applyNumberFormat="0" applyBorder="0" applyAlignment="0" applyProtection="0">
      <alignment vertical="center"/>
    </xf>
    <xf numFmtId="0" fontId="138" fillId="37" borderId="0" applyNumberFormat="0" applyBorder="0" applyAlignment="0" applyProtection="0">
      <alignment vertical="center"/>
    </xf>
    <xf numFmtId="0" fontId="139" fillId="8" borderId="0" applyNumberFormat="0" applyBorder="0" applyAlignment="0" applyProtection="0">
      <alignment vertical="center"/>
    </xf>
    <xf numFmtId="0" fontId="139" fillId="10" borderId="0" applyNumberFormat="0" applyBorder="0" applyAlignment="0" applyProtection="0">
      <alignment vertical="center"/>
    </xf>
    <xf numFmtId="0" fontId="138" fillId="38" borderId="0" applyNumberFormat="0" applyBorder="0" applyAlignment="0" applyProtection="0">
      <alignment vertical="center"/>
    </xf>
    <xf numFmtId="0" fontId="138" fillId="39" borderId="0" applyNumberFormat="0" applyBorder="0" applyAlignment="0" applyProtection="0">
      <alignment vertical="center"/>
    </xf>
    <xf numFmtId="0" fontId="139" fillId="40" borderId="0" applyNumberFormat="0" applyBorder="0" applyAlignment="0" applyProtection="0">
      <alignment vertical="center"/>
    </xf>
    <xf numFmtId="0" fontId="139" fillId="41" borderId="0" applyNumberFormat="0" applyBorder="0" applyAlignment="0" applyProtection="0">
      <alignment vertical="center"/>
    </xf>
    <xf numFmtId="0" fontId="138" fillId="42" borderId="0" applyNumberFormat="0" applyBorder="0" applyAlignment="0" applyProtection="0">
      <alignment vertical="center"/>
    </xf>
    <xf numFmtId="0" fontId="138" fillId="43" borderId="0" applyNumberFormat="0" applyBorder="0" applyAlignment="0" applyProtection="0">
      <alignment vertical="center"/>
    </xf>
    <xf numFmtId="0" fontId="139" fillId="4" borderId="0" applyNumberFormat="0" applyBorder="0" applyAlignment="0" applyProtection="0">
      <alignment vertical="center"/>
    </xf>
    <xf numFmtId="0" fontId="139" fillId="44" borderId="0" applyNumberFormat="0" applyBorder="0" applyAlignment="0" applyProtection="0">
      <alignment vertical="center"/>
    </xf>
    <xf numFmtId="0" fontId="138" fillId="45" borderId="0" applyNumberFormat="0" applyBorder="0" applyAlignment="0" applyProtection="0">
      <alignment vertical="center"/>
    </xf>
    <xf numFmtId="0" fontId="138" fillId="46" borderId="0" applyNumberFormat="0" applyBorder="0" applyAlignment="0" applyProtection="0">
      <alignment vertical="center"/>
    </xf>
    <xf numFmtId="0" fontId="139" fillId="9" borderId="0" applyNumberFormat="0" applyBorder="0" applyAlignment="0" applyProtection="0">
      <alignment vertical="center"/>
    </xf>
    <xf numFmtId="0" fontId="139" fillId="47" borderId="0" applyNumberFormat="0" applyBorder="0" applyAlignment="0" applyProtection="0">
      <alignment vertical="center"/>
    </xf>
    <xf numFmtId="0" fontId="138" fillId="48" borderId="0" applyNumberFormat="0" applyBorder="0" applyAlignment="0" applyProtection="0">
      <alignment vertical="center"/>
    </xf>
    <xf numFmtId="176" fontId="0" fillId="0" borderId="0">
      <alignment vertical="center"/>
    </xf>
    <xf numFmtId="0" fontId="140" fillId="0" borderId="0"/>
    <xf numFmtId="0" fontId="87" fillId="0" borderId="0">
      <alignment vertical="center"/>
    </xf>
    <xf numFmtId="0" fontId="141" fillId="0" borderId="0">
      <alignment vertical="center"/>
    </xf>
    <xf numFmtId="0" fontId="87" fillId="0" borderId="0"/>
    <xf numFmtId="0" fontId="0" fillId="0" borderId="0"/>
    <xf numFmtId="0" fontId="142" fillId="0" borderId="0"/>
    <xf numFmtId="177" fontId="143" fillId="0" borderId="0" applyFont="0" applyFill="0" applyBorder="0" applyAlignment="0" applyProtection="0">
      <alignment vertical="center"/>
    </xf>
  </cellStyleXfs>
  <cellXfs count="1890">
    <xf numFmtId="0" fontId="0" fillId="0" borderId="0" xfId="0">
      <alignment vertical="center"/>
    </xf>
    <xf numFmtId="0" fontId="1" fillId="0" borderId="0" xfId="0" applyFont="1" applyFill="1" applyBorder="1" applyAlignment="1">
      <alignment horizontal="center" vertical="center"/>
    </xf>
    <xf numFmtId="0" fontId="2" fillId="0" borderId="0" xfId="0" applyFont="1" applyFill="1" applyBorder="1" applyAlignment="1">
      <alignment horizontal="center" vertical="center"/>
    </xf>
    <xf numFmtId="0" fontId="3" fillId="0" borderId="0" xfId="0" applyFont="1" applyFill="1" applyBorder="1" applyAlignment="1">
      <alignment horizontal="center" vertical="center"/>
    </xf>
    <xf numFmtId="0" fontId="1" fillId="2" borderId="1" xfId="0" applyFont="1" applyFill="1" applyBorder="1" applyAlignment="1">
      <alignment horizontal="center" vertical="center"/>
    </xf>
    <xf numFmtId="0" fontId="1" fillId="2" borderId="0" xfId="0" applyFont="1" applyFill="1" applyBorder="1" applyAlignment="1">
      <alignment horizontal="center" vertical="center"/>
    </xf>
    <xf numFmtId="0" fontId="4" fillId="2" borderId="0" xfId="0" applyFont="1" applyFill="1" applyBorder="1" applyAlignment="1">
      <alignment horizontal="center" vertical="center"/>
    </xf>
    <xf numFmtId="0" fontId="5" fillId="3" borderId="0" xfId="0" applyFont="1" applyFill="1" applyAlignment="1">
      <alignment horizontal="center" vertical="center"/>
    </xf>
    <xf numFmtId="0" fontId="5" fillId="3" borderId="2" xfId="0" applyFont="1" applyFill="1" applyBorder="1" applyAlignment="1">
      <alignment horizontal="center" vertical="center"/>
    </xf>
    <xf numFmtId="178" fontId="1" fillId="0" borderId="0" xfId="56" applyNumberFormat="1" applyFont="1" applyAlignment="1">
      <alignment horizontal="center" vertical="center"/>
    </xf>
    <xf numFmtId="0" fontId="6" fillId="0" borderId="3" xfId="0" applyFont="1" applyFill="1" applyBorder="1" applyAlignment="1">
      <alignment horizontal="center" vertical="center" wrapText="1"/>
    </xf>
    <xf numFmtId="0" fontId="7" fillId="4" borderId="3" xfId="0" applyFont="1" applyFill="1" applyBorder="1" applyAlignment="1">
      <alignment horizontal="center" vertical="center" shrinkToFit="1"/>
    </xf>
    <xf numFmtId="58" fontId="8" fillId="4" borderId="3" xfId="0" applyNumberFormat="1" applyFont="1" applyFill="1" applyBorder="1" applyAlignment="1">
      <alignment horizontal="center" vertical="center" shrinkToFit="1"/>
    </xf>
    <xf numFmtId="0" fontId="6" fillId="4" borderId="3" xfId="0" applyFont="1" applyFill="1" applyBorder="1" applyAlignment="1">
      <alignment horizontal="center" vertical="center"/>
    </xf>
    <xf numFmtId="0" fontId="9" fillId="0" borderId="3" xfId="0" applyFont="1" applyFill="1" applyBorder="1" applyAlignment="1">
      <alignment horizontal="center" vertical="center"/>
    </xf>
    <xf numFmtId="179" fontId="6" fillId="3" borderId="3" xfId="0" applyNumberFormat="1" applyFont="1" applyFill="1" applyBorder="1" applyAlignment="1">
      <alignment horizontal="center" vertical="center"/>
    </xf>
    <xf numFmtId="180" fontId="10" fillId="5" borderId="3" xfId="0" applyNumberFormat="1" applyFont="1" applyFill="1" applyBorder="1" applyAlignment="1">
      <alignment horizontal="center" vertical="center"/>
    </xf>
    <xf numFmtId="0" fontId="11" fillId="4" borderId="3" xfId="0" applyFont="1" applyFill="1" applyBorder="1" applyAlignment="1">
      <alignment horizontal="center" vertical="center" wrapText="1"/>
    </xf>
    <xf numFmtId="0" fontId="12" fillId="0" borderId="3" xfId="0" applyFont="1" applyFill="1" applyBorder="1" applyAlignment="1">
      <alignment horizontal="center" vertical="center"/>
    </xf>
    <xf numFmtId="58" fontId="13" fillId="4" borderId="3" xfId="0" applyNumberFormat="1" applyFont="1" applyFill="1" applyBorder="1" applyAlignment="1">
      <alignment horizontal="center" vertical="center" shrinkToFit="1"/>
    </xf>
    <xf numFmtId="180" fontId="6" fillId="3" borderId="3" xfId="0" applyNumberFormat="1" applyFont="1" applyFill="1" applyBorder="1" applyAlignment="1">
      <alignment horizontal="center" vertical="center"/>
    </xf>
    <xf numFmtId="180" fontId="6" fillId="5" borderId="3" xfId="0" applyNumberFormat="1" applyFont="1" applyFill="1" applyBorder="1" applyAlignment="1">
      <alignment horizontal="center" vertical="center"/>
    </xf>
    <xf numFmtId="0" fontId="14" fillId="6" borderId="3" xfId="0" applyFont="1" applyFill="1" applyBorder="1" applyAlignment="1">
      <alignment horizontal="center" vertical="center" wrapText="1"/>
    </xf>
    <xf numFmtId="58" fontId="7" fillId="4" borderId="3" xfId="0" applyNumberFormat="1" applyFont="1" applyFill="1" applyBorder="1" applyAlignment="1">
      <alignment horizontal="center" vertical="center" shrinkToFit="1"/>
    </xf>
    <xf numFmtId="0" fontId="15" fillId="7" borderId="4" xfId="0" applyFont="1" applyFill="1" applyBorder="1" applyAlignment="1">
      <alignment horizontal="center" vertical="center"/>
    </xf>
    <xf numFmtId="0" fontId="15" fillId="7" borderId="5" xfId="0" applyFont="1" applyFill="1" applyBorder="1" applyAlignment="1">
      <alignment horizontal="center" vertical="center"/>
    </xf>
    <xf numFmtId="0" fontId="16" fillId="7" borderId="6" xfId="0" applyFont="1" applyFill="1" applyBorder="1" applyAlignment="1">
      <alignment horizontal="center" vertical="center"/>
    </xf>
    <xf numFmtId="0" fontId="16" fillId="7" borderId="3" xfId="0" applyFont="1" applyFill="1" applyBorder="1" applyAlignment="1">
      <alignment horizontal="center" vertical="center"/>
    </xf>
    <xf numFmtId="180" fontId="15" fillId="7" borderId="7" xfId="0" applyNumberFormat="1" applyFont="1" applyFill="1" applyBorder="1" applyAlignment="1">
      <alignment horizontal="center" vertical="center"/>
    </xf>
    <xf numFmtId="0" fontId="15" fillId="7" borderId="8" xfId="0" applyFont="1" applyFill="1" applyBorder="1" applyAlignment="1">
      <alignment horizontal="center" vertical="center"/>
    </xf>
    <xf numFmtId="0" fontId="3" fillId="0" borderId="9" xfId="0" applyFont="1" applyFill="1" applyBorder="1" applyAlignment="1">
      <alignment horizontal="center" vertical="center" wrapText="1"/>
    </xf>
    <xf numFmtId="0" fontId="17" fillId="0" borderId="3" xfId="0" applyFont="1" applyFill="1" applyBorder="1" applyAlignment="1">
      <alignment horizontal="center" vertical="center" shrinkToFit="1"/>
    </xf>
    <xf numFmtId="0" fontId="17" fillId="8" borderId="3" xfId="0" applyFont="1" applyFill="1" applyBorder="1" applyAlignment="1">
      <alignment horizontal="center" vertical="center" wrapText="1" shrinkToFit="1"/>
    </xf>
    <xf numFmtId="0" fontId="17" fillId="8" borderId="3" xfId="0" applyFont="1" applyFill="1" applyBorder="1" applyAlignment="1">
      <alignment horizontal="center" vertical="center" shrinkToFit="1"/>
    </xf>
    <xf numFmtId="0" fontId="18" fillId="0" borderId="3" xfId="0" applyFont="1" applyFill="1" applyBorder="1" applyAlignment="1">
      <alignment horizontal="center" vertical="center"/>
    </xf>
    <xf numFmtId="180" fontId="18" fillId="3" borderId="7" xfId="0" applyNumberFormat="1" applyFont="1" applyFill="1" applyBorder="1" applyAlignment="1">
      <alignment horizontal="center" vertical="center"/>
    </xf>
    <xf numFmtId="180" fontId="3" fillId="5" borderId="7" xfId="0" applyNumberFormat="1" applyFont="1" applyFill="1" applyBorder="1" applyAlignment="1">
      <alignment horizontal="center" vertical="center"/>
    </xf>
    <xf numFmtId="0" fontId="19" fillId="9" borderId="5" xfId="0" applyFont="1" applyFill="1" applyBorder="1" applyAlignment="1">
      <alignment horizontal="center" vertical="center" wrapText="1"/>
    </xf>
    <xf numFmtId="0" fontId="19" fillId="9" borderId="7" xfId="0" applyFont="1" applyFill="1" applyBorder="1" applyAlignment="1">
      <alignment horizontal="center" vertical="center" wrapText="1"/>
    </xf>
    <xf numFmtId="181" fontId="20" fillId="0" borderId="0" xfId="0" applyNumberFormat="1" applyFont="1" applyFill="1" applyBorder="1" applyAlignment="1">
      <alignment horizontal="center" vertical="center"/>
    </xf>
    <xf numFmtId="178" fontId="3" fillId="0" borderId="0" xfId="1" applyNumberFormat="1" applyFont="1" applyFill="1" applyAlignment="1">
      <alignment horizontal="center" vertical="center"/>
    </xf>
    <xf numFmtId="14" fontId="2" fillId="0" borderId="0" xfId="0" applyNumberFormat="1" applyFont="1" applyFill="1" applyBorder="1" applyAlignment="1">
      <alignment horizontal="center" vertical="center"/>
    </xf>
    <xf numFmtId="0" fontId="6" fillId="7" borderId="10" xfId="0" applyFont="1" applyFill="1" applyBorder="1" applyAlignment="1">
      <alignment horizontal="center" vertical="center" wrapText="1"/>
    </xf>
    <xf numFmtId="0" fontId="15" fillId="7" borderId="11" xfId="0" applyFont="1" applyFill="1" applyBorder="1" applyAlignment="1">
      <alignment horizontal="center" vertical="center"/>
    </xf>
    <xf numFmtId="0" fontId="16" fillId="7" borderId="12" xfId="0" applyFont="1" applyFill="1" applyBorder="1" applyAlignment="1">
      <alignment horizontal="center" vertical="center"/>
    </xf>
    <xf numFmtId="0" fontId="16" fillId="7" borderId="13" xfId="0" applyFont="1" applyFill="1" applyBorder="1" applyAlignment="1">
      <alignment horizontal="center" vertical="center"/>
    </xf>
    <xf numFmtId="181" fontId="15" fillId="7" borderId="3" xfId="0" applyNumberFormat="1" applyFont="1" applyFill="1" applyBorder="1" applyAlignment="1">
      <alignment horizontal="center" vertical="center"/>
    </xf>
    <xf numFmtId="180" fontId="15" fillId="7" borderId="3" xfId="0" applyNumberFormat="1" applyFont="1" applyFill="1" applyBorder="1" applyAlignment="1">
      <alignment horizontal="center" vertical="center"/>
    </xf>
    <xf numFmtId="0" fontId="16" fillId="7" borderId="11" xfId="0" applyFont="1" applyFill="1" applyBorder="1" applyAlignment="1">
      <alignment horizontal="center" vertical="center"/>
    </xf>
    <xf numFmtId="0" fontId="15" fillId="7" borderId="14" xfId="0" applyFont="1" applyFill="1" applyBorder="1" applyAlignment="1">
      <alignment horizontal="center" vertical="center"/>
    </xf>
    <xf numFmtId="178" fontId="1" fillId="0" borderId="0" xfId="56" applyNumberFormat="1" applyFont="1" applyFill="1" applyAlignment="1">
      <alignment horizontal="center" vertical="center"/>
    </xf>
    <xf numFmtId="0" fontId="21" fillId="0" borderId="15" xfId="0" applyFont="1" applyFill="1" applyBorder="1" applyAlignment="1">
      <alignment horizontal="left" vertical="center" wrapText="1"/>
    </xf>
    <xf numFmtId="0" fontId="21" fillId="0" borderId="16" xfId="0" applyFont="1" applyFill="1" applyBorder="1" applyAlignment="1">
      <alignment horizontal="left" vertical="center"/>
    </xf>
    <xf numFmtId="0" fontId="21" fillId="0" borderId="12" xfId="0" applyFont="1" applyFill="1" applyBorder="1" applyAlignment="1">
      <alignment horizontal="left" vertical="center"/>
    </xf>
    <xf numFmtId="0" fontId="21" fillId="0" borderId="17" xfId="0" applyFont="1" applyFill="1" applyBorder="1" applyAlignment="1">
      <alignment horizontal="left" vertical="center"/>
    </xf>
    <xf numFmtId="0" fontId="1" fillId="0" borderId="18" xfId="0" applyFont="1" applyFill="1" applyBorder="1" applyAlignment="1">
      <alignment horizontal="center" vertical="center"/>
    </xf>
    <xf numFmtId="2" fontId="1" fillId="0" borderId="18" xfId="0" applyNumberFormat="1" applyFont="1" applyFill="1" applyBorder="1" applyAlignment="1">
      <alignment horizontal="center" vertical="center"/>
    </xf>
    <xf numFmtId="4" fontId="1" fillId="0" borderId="18" xfId="0" applyNumberFormat="1" applyFont="1" applyFill="1" applyBorder="1" applyAlignment="1">
      <alignment horizontal="center" vertical="center"/>
    </xf>
    <xf numFmtId="4" fontId="1" fillId="0" borderId="0" xfId="0" applyNumberFormat="1" applyFont="1" applyFill="1" applyBorder="1" applyAlignment="1">
      <alignment horizontal="center" vertical="center"/>
    </xf>
    <xf numFmtId="180" fontId="1" fillId="0" borderId="0" xfId="0" applyNumberFormat="1" applyFont="1" applyFill="1" applyBorder="1" applyAlignment="1">
      <alignment horizontal="center" vertical="center"/>
    </xf>
    <xf numFmtId="4" fontId="6" fillId="0" borderId="0" xfId="0" applyNumberFormat="1" applyFont="1" applyFill="1" applyBorder="1" applyAlignment="1">
      <alignment horizontal="center" vertical="center"/>
    </xf>
    <xf numFmtId="0" fontId="22" fillId="0" borderId="0" xfId="0" applyFont="1" applyFill="1" applyBorder="1" applyAlignment="1">
      <alignment horizontal="center" vertical="center"/>
    </xf>
    <xf numFmtId="58" fontId="23" fillId="0" borderId="5" xfId="0" applyNumberFormat="1" applyFont="1" applyFill="1" applyBorder="1" applyAlignment="1">
      <alignment horizontal="center" vertical="center"/>
    </xf>
    <xf numFmtId="58" fontId="23" fillId="0" borderId="6" xfId="0" applyNumberFormat="1" applyFont="1" applyFill="1" applyBorder="1" applyAlignment="1">
      <alignment horizontal="center" vertical="center"/>
    </xf>
    <xf numFmtId="58" fontId="23" fillId="0" borderId="7" xfId="0" applyNumberFormat="1" applyFont="1" applyFill="1" applyBorder="1" applyAlignment="1">
      <alignment horizontal="center" vertical="center"/>
    </xf>
    <xf numFmtId="58" fontId="1" fillId="0" borderId="0" xfId="0" applyNumberFormat="1" applyFont="1" applyFill="1" applyBorder="1" applyAlignment="1">
      <alignment horizontal="center" vertical="center"/>
    </xf>
    <xf numFmtId="180" fontId="22" fillId="0" borderId="0" xfId="0" applyNumberFormat="1" applyFont="1" applyFill="1" applyBorder="1" applyAlignment="1">
      <alignment horizontal="center" vertical="center"/>
    </xf>
    <xf numFmtId="178" fontId="1" fillId="0" borderId="0" xfId="56" applyNumberFormat="1" applyFont="1" applyFill="1" applyBorder="1" applyAlignment="1">
      <alignment horizontal="center" vertical="center"/>
    </xf>
    <xf numFmtId="182" fontId="24" fillId="0" borderId="19" xfId="0" applyNumberFormat="1" applyFont="1" applyFill="1" applyBorder="1" applyAlignment="1">
      <alignment horizontal="center" vertical="center"/>
    </xf>
    <xf numFmtId="0" fontId="24" fillId="0" borderId="20" xfId="0" applyNumberFormat="1" applyFont="1" applyFill="1" applyBorder="1" applyAlignment="1">
      <alignment horizontal="center" vertical="center"/>
    </xf>
    <xf numFmtId="182" fontId="24" fillId="0" borderId="20" xfId="0" applyNumberFormat="1" applyFont="1" applyFill="1" applyBorder="1" applyAlignment="1">
      <alignment horizontal="center" vertical="center"/>
    </xf>
    <xf numFmtId="182" fontId="25" fillId="0" borderId="20" xfId="0" applyNumberFormat="1" applyFont="1" applyFill="1" applyBorder="1" applyAlignment="1">
      <alignment horizontal="center" vertical="center"/>
    </xf>
    <xf numFmtId="182" fontId="24" fillId="0" borderId="21" xfId="0" applyNumberFormat="1" applyFont="1" applyFill="1" applyBorder="1" applyAlignment="1">
      <alignment horizontal="center" vertical="center"/>
    </xf>
    <xf numFmtId="182" fontId="24" fillId="0" borderId="0" xfId="0" applyNumberFormat="1" applyFont="1" applyFill="1" applyBorder="1" applyAlignment="1">
      <alignment horizontal="center" vertical="center"/>
    </xf>
    <xf numFmtId="180" fontId="26" fillId="0" borderId="0" xfId="0" applyNumberFormat="1" applyFont="1" applyFill="1" applyBorder="1" applyAlignment="1">
      <alignment horizontal="center" vertical="center"/>
    </xf>
    <xf numFmtId="0" fontId="6" fillId="0" borderId="0" xfId="0" applyFont="1" applyFill="1" applyBorder="1" applyAlignment="1">
      <alignment horizontal="center" vertical="center"/>
    </xf>
    <xf numFmtId="58" fontId="1" fillId="0" borderId="22" xfId="0" applyNumberFormat="1" applyFont="1" applyFill="1" applyBorder="1" applyAlignment="1">
      <alignment horizontal="center" vertical="center"/>
    </xf>
    <xf numFmtId="0" fontId="1" fillId="0" borderId="3" xfId="0" applyFont="1" applyFill="1" applyBorder="1" applyAlignment="1">
      <alignment horizontal="center" vertical="center"/>
    </xf>
    <xf numFmtId="58" fontId="1" fillId="0" borderId="3" xfId="0" applyNumberFormat="1" applyFont="1" applyFill="1" applyBorder="1" applyAlignment="1">
      <alignment horizontal="center" vertical="center"/>
    </xf>
    <xf numFmtId="58" fontId="26" fillId="0" borderId="3" xfId="0" applyNumberFormat="1" applyFont="1" applyFill="1" applyBorder="1" applyAlignment="1">
      <alignment horizontal="center" vertical="center"/>
    </xf>
    <xf numFmtId="58" fontId="1" fillId="0" borderId="23" xfId="0" applyNumberFormat="1" applyFont="1" applyFill="1" applyBorder="1" applyAlignment="1">
      <alignment horizontal="center" vertical="center" wrapText="1"/>
    </xf>
    <xf numFmtId="58" fontId="26" fillId="0" borderId="0" xfId="0" applyNumberFormat="1" applyFont="1" applyFill="1" applyBorder="1" applyAlignment="1">
      <alignment horizontal="center" vertical="center"/>
    </xf>
    <xf numFmtId="183" fontId="26" fillId="0" borderId="0" xfId="0" applyNumberFormat="1" applyFont="1" applyFill="1" applyBorder="1" applyAlignment="1">
      <alignment horizontal="center" vertical="center"/>
    </xf>
    <xf numFmtId="183" fontId="1" fillId="0" borderId="0" xfId="0" applyNumberFormat="1" applyFont="1" applyFill="1" applyBorder="1" applyAlignment="1">
      <alignment horizontal="center" vertical="center"/>
    </xf>
    <xf numFmtId="58" fontId="27" fillId="0" borderId="22" xfId="0" applyNumberFormat="1" applyFont="1" applyFill="1" applyBorder="1" applyAlignment="1">
      <alignment horizontal="center" vertical="center"/>
    </xf>
    <xf numFmtId="0" fontId="27" fillId="0" borderId="3" xfId="0" applyFont="1" applyFill="1" applyBorder="1" applyAlignment="1">
      <alignment horizontal="center" vertical="center"/>
    </xf>
    <xf numFmtId="58" fontId="27" fillId="0" borderId="3" xfId="0" applyNumberFormat="1" applyFont="1" applyFill="1" applyBorder="1" applyAlignment="1">
      <alignment horizontal="center" vertical="center"/>
    </xf>
    <xf numFmtId="58" fontId="27" fillId="0" borderId="23" xfId="0" applyNumberFormat="1" applyFont="1" applyFill="1" applyBorder="1" applyAlignment="1">
      <alignment horizontal="center" vertical="center" wrapText="1"/>
    </xf>
    <xf numFmtId="58" fontId="1" fillId="6" borderId="3" xfId="0" applyNumberFormat="1" applyFont="1" applyFill="1" applyBorder="1" applyAlignment="1">
      <alignment horizontal="center" vertical="center"/>
    </xf>
    <xf numFmtId="0" fontId="26" fillId="6" borderId="3" xfId="0" applyFont="1" applyFill="1" applyBorder="1" applyAlignment="1">
      <alignment horizontal="center" vertical="center"/>
    </xf>
    <xf numFmtId="0" fontId="1" fillId="6" borderId="3" xfId="0" applyFont="1" applyFill="1" applyBorder="1" applyAlignment="1">
      <alignment horizontal="center" vertical="center"/>
    </xf>
    <xf numFmtId="0" fontId="4" fillId="0" borderId="3" xfId="0" applyFont="1" applyFill="1" applyBorder="1" applyAlignment="1">
      <alignment horizontal="center" vertical="center"/>
    </xf>
    <xf numFmtId="0" fontId="1" fillId="0" borderId="23" xfId="0" applyFont="1" applyFill="1" applyBorder="1" applyAlignment="1">
      <alignment horizontal="center" vertical="center"/>
    </xf>
    <xf numFmtId="0" fontId="1" fillId="0" borderId="22" xfId="0" applyFont="1" applyFill="1" applyBorder="1" applyAlignment="1">
      <alignment horizontal="center" vertical="center"/>
    </xf>
    <xf numFmtId="0" fontId="1" fillId="0" borderId="24" xfId="0" applyFont="1" applyFill="1" applyBorder="1" applyAlignment="1">
      <alignment horizontal="center" vertical="center"/>
    </xf>
    <xf numFmtId="0" fontId="1" fillId="0" borderId="25" xfId="0" applyFont="1" applyFill="1" applyBorder="1" applyAlignment="1">
      <alignment horizontal="center" vertical="center"/>
    </xf>
    <xf numFmtId="0" fontId="4" fillId="0" borderId="25" xfId="0" applyFont="1" applyFill="1" applyBorder="1" applyAlignment="1">
      <alignment horizontal="center" vertical="center"/>
    </xf>
    <xf numFmtId="0" fontId="1" fillId="0" borderId="26" xfId="0" applyFont="1" applyFill="1" applyBorder="1" applyAlignment="1">
      <alignment horizontal="center" vertical="center"/>
    </xf>
    <xf numFmtId="0" fontId="9" fillId="0" borderId="0" xfId="0" applyFont="1" applyFill="1" applyBorder="1" applyAlignment="1">
      <alignment horizontal="left" vertical="center"/>
    </xf>
    <xf numFmtId="0" fontId="2" fillId="0" borderId="0" xfId="0" applyFont="1" applyFill="1" applyBorder="1" applyAlignment="1">
      <alignment horizontal="left" vertical="center"/>
    </xf>
    <xf numFmtId="0" fontId="6" fillId="0" borderId="0" xfId="0" applyFont="1" applyFill="1" applyBorder="1" applyAlignment="1">
      <alignment horizontal="left" vertical="center"/>
    </xf>
    <xf numFmtId="0" fontId="1" fillId="0" borderId="0" xfId="0" applyFont="1" applyFill="1" applyBorder="1" applyAlignment="1">
      <alignment horizontal="left" vertical="center"/>
    </xf>
    <xf numFmtId="0" fontId="28" fillId="0" borderId="0" xfId="53" applyFont="1" applyFill="1" applyAlignment="1">
      <alignment horizontal="left" vertical="center"/>
    </xf>
    <xf numFmtId="0" fontId="29" fillId="10" borderId="3" xfId="53" applyFont="1" applyFill="1" applyBorder="1" applyAlignment="1">
      <alignment horizontal="left" vertical="center"/>
    </xf>
    <xf numFmtId="184" fontId="1" fillId="3" borderId="6" xfId="3" applyNumberFormat="1" applyFont="1" applyFill="1" applyBorder="1" applyAlignment="1">
      <alignment horizontal="left" vertical="center"/>
    </xf>
    <xf numFmtId="0" fontId="29" fillId="10" borderId="7" xfId="53" applyFont="1" applyFill="1" applyBorder="1" applyAlignment="1">
      <alignment horizontal="left" vertical="center"/>
    </xf>
    <xf numFmtId="0" fontId="29" fillId="10" borderId="7" xfId="53" applyFont="1" applyFill="1" applyBorder="1" applyAlignment="1">
      <alignment horizontal="center" vertical="center"/>
    </xf>
    <xf numFmtId="180" fontId="6" fillId="5" borderId="7" xfId="0" applyNumberFormat="1" applyFont="1" applyFill="1" applyBorder="1" applyAlignment="1">
      <alignment horizontal="left" vertical="center"/>
    </xf>
    <xf numFmtId="180" fontId="30" fillId="11" borderId="3" xfId="53" applyNumberFormat="1" applyFont="1" applyFill="1" applyBorder="1" applyAlignment="1">
      <alignment horizontal="left" vertical="center" wrapText="1"/>
    </xf>
    <xf numFmtId="180" fontId="30" fillId="11" borderId="5" xfId="53" applyNumberFormat="1" applyFont="1" applyFill="1" applyBorder="1" applyAlignment="1">
      <alignment horizontal="left" vertical="center" wrapText="1"/>
    </xf>
    <xf numFmtId="58" fontId="29" fillId="10" borderId="7" xfId="53" applyNumberFormat="1" applyFont="1" applyFill="1" applyBorder="1" applyAlignment="1">
      <alignment horizontal="left" vertical="center"/>
    </xf>
    <xf numFmtId="14" fontId="30" fillId="11" borderId="3" xfId="53" applyNumberFormat="1" applyFont="1" applyFill="1" applyBorder="1" applyAlignment="1">
      <alignment horizontal="left" vertical="center" wrapText="1"/>
    </xf>
    <xf numFmtId="14" fontId="30" fillId="11" borderId="5" xfId="53" applyNumberFormat="1" applyFont="1" applyFill="1" applyBorder="1" applyAlignment="1">
      <alignment horizontal="left" vertical="center" wrapText="1"/>
    </xf>
    <xf numFmtId="14" fontId="31" fillId="11" borderId="3" xfId="53" applyNumberFormat="1" applyFont="1" applyFill="1" applyBorder="1" applyAlignment="1">
      <alignment horizontal="left" vertical="center" wrapText="1"/>
    </xf>
    <xf numFmtId="185" fontId="31" fillId="11" borderId="3" xfId="53" applyNumberFormat="1" applyFont="1" applyFill="1" applyBorder="1" applyAlignment="1">
      <alignment horizontal="left" vertical="center" wrapText="1"/>
    </xf>
    <xf numFmtId="0" fontId="15" fillId="7" borderId="27" xfId="0" applyFont="1" applyFill="1" applyBorder="1" applyAlignment="1">
      <alignment horizontal="left" vertical="center"/>
    </xf>
    <xf numFmtId="0" fontId="15" fillId="7" borderId="20" xfId="0" applyFont="1" applyFill="1" applyBorder="1" applyAlignment="1">
      <alignment horizontal="left" vertical="center" wrapText="1" shrinkToFit="1"/>
    </xf>
    <xf numFmtId="0" fontId="15" fillId="7" borderId="28" xfId="0" applyFont="1" applyFill="1" applyBorder="1" applyAlignment="1">
      <alignment horizontal="left" vertical="center" wrapText="1" shrinkToFit="1"/>
    </xf>
    <xf numFmtId="180" fontId="32" fillId="7" borderId="28" xfId="0" applyNumberFormat="1" applyFont="1" applyFill="1" applyBorder="1" applyAlignment="1">
      <alignment horizontal="left" vertical="center" wrapText="1"/>
    </xf>
    <xf numFmtId="180" fontId="33" fillId="7" borderId="28" xfId="0" applyNumberFormat="1" applyFont="1" applyFill="1" applyBorder="1" applyAlignment="1">
      <alignment horizontal="left" vertical="center" wrapText="1"/>
    </xf>
    <xf numFmtId="180" fontId="32" fillId="7" borderId="29" xfId="0" applyNumberFormat="1" applyFont="1" applyFill="1" applyBorder="1" applyAlignment="1">
      <alignment horizontal="left" vertical="center"/>
    </xf>
    <xf numFmtId="180" fontId="15" fillId="7" borderId="29" xfId="0" applyNumberFormat="1" applyFont="1" applyFill="1" applyBorder="1" applyAlignment="1">
      <alignment horizontal="left" vertical="center"/>
    </xf>
    <xf numFmtId="180" fontId="15" fillId="7" borderId="30" xfId="0" applyNumberFormat="1" applyFont="1" applyFill="1" applyBorder="1" applyAlignment="1">
      <alignment horizontal="left" vertical="center"/>
    </xf>
    <xf numFmtId="180" fontId="33" fillId="7" borderId="30" xfId="0" applyNumberFormat="1" applyFont="1" applyFill="1" applyBorder="1" applyAlignment="1">
      <alignment horizontal="left" vertical="center"/>
    </xf>
    <xf numFmtId="180" fontId="15" fillId="7" borderId="30" xfId="0" applyNumberFormat="1" applyFont="1" applyFill="1" applyBorder="1" applyAlignment="1">
      <alignment horizontal="left" vertical="center" wrapText="1"/>
    </xf>
    <xf numFmtId="180" fontId="14" fillId="6" borderId="30" xfId="0" applyNumberFormat="1" applyFont="1" applyFill="1" applyBorder="1" applyAlignment="1">
      <alignment horizontal="left" vertical="center" wrapText="1"/>
    </xf>
    <xf numFmtId="180" fontId="33" fillId="7" borderId="30" xfId="0" applyNumberFormat="1" applyFont="1" applyFill="1" applyBorder="1" applyAlignment="1">
      <alignment horizontal="left" vertical="center" wrapText="1"/>
    </xf>
    <xf numFmtId="180" fontId="34" fillId="7" borderId="30" xfId="0" applyNumberFormat="1" applyFont="1" applyFill="1" applyBorder="1" applyAlignment="1">
      <alignment horizontal="left" vertical="center" wrapText="1"/>
    </xf>
    <xf numFmtId="0" fontId="15" fillId="7" borderId="3" xfId="0" applyFont="1" applyFill="1" applyBorder="1" applyAlignment="1">
      <alignment horizontal="left" vertical="center"/>
    </xf>
    <xf numFmtId="0" fontId="6" fillId="0" borderId="22" xfId="0" applyFont="1" applyFill="1" applyBorder="1" applyAlignment="1">
      <alignment horizontal="left" vertical="center" wrapText="1"/>
    </xf>
    <xf numFmtId="0" fontId="35" fillId="4" borderId="3" xfId="0" applyFont="1" applyFill="1" applyBorder="1" applyAlignment="1">
      <alignment horizontal="left" vertical="center" shrinkToFit="1"/>
    </xf>
    <xf numFmtId="0" fontId="36" fillId="4" borderId="3" xfId="0" applyFont="1" applyFill="1" applyBorder="1" applyAlignment="1">
      <alignment horizontal="left" vertical="center" shrinkToFit="1"/>
    </xf>
    <xf numFmtId="9" fontId="6" fillId="3" borderId="3" xfId="3" applyFont="1" applyFill="1" applyBorder="1" applyAlignment="1">
      <alignment horizontal="left" vertical="center"/>
    </xf>
    <xf numFmtId="180" fontId="6" fillId="5" borderId="7" xfId="0" applyNumberFormat="1" applyFont="1" applyFill="1" applyBorder="1" applyAlignment="1">
      <alignment horizontal="left" vertical="center" wrapText="1"/>
    </xf>
    <xf numFmtId="180" fontId="6" fillId="5" borderId="6" xfId="0" applyNumberFormat="1" applyFont="1" applyFill="1" applyBorder="1" applyAlignment="1">
      <alignment horizontal="left" vertical="center"/>
    </xf>
    <xf numFmtId="0" fontId="1" fillId="4" borderId="5" xfId="0" applyFont="1" applyFill="1" applyBorder="1" applyAlignment="1">
      <alignment horizontal="left" vertical="center" wrapText="1"/>
    </xf>
    <xf numFmtId="0" fontId="4" fillId="4" borderId="5" xfId="0" applyFont="1" applyFill="1" applyBorder="1" applyAlignment="1">
      <alignment horizontal="left" vertical="center" wrapText="1"/>
    </xf>
    <xf numFmtId="0" fontId="37" fillId="6" borderId="3" xfId="0" applyFont="1" applyFill="1" applyBorder="1" applyAlignment="1">
      <alignment horizontal="left" vertical="center"/>
    </xf>
    <xf numFmtId="0" fontId="17" fillId="6" borderId="3" xfId="0" applyFont="1" applyFill="1" applyBorder="1" applyAlignment="1">
      <alignment horizontal="center" vertical="center"/>
    </xf>
    <xf numFmtId="0" fontId="17" fillId="6" borderId="3" xfId="0" applyFont="1" applyFill="1" applyBorder="1" applyAlignment="1">
      <alignment horizontal="center" vertical="center" wrapText="1"/>
    </xf>
    <xf numFmtId="0" fontId="17" fillId="12" borderId="3" xfId="0" applyFont="1" applyFill="1" applyBorder="1" applyAlignment="1">
      <alignment horizontal="center" vertical="center"/>
    </xf>
    <xf numFmtId="0" fontId="17" fillId="12" borderId="3" xfId="0" applyFont="1" applyFill="1" applyBorder="1" applyAlignment="1">
      <alignment horizontal="center" vertical="center" wrapText="1"/>
    </xf>
    <xf numFmtId="0" fontId="15" fillId="7" borderId="4" xfId="0" applyFont="1" applyFill="1" applyBorder="1" applyAlignment="1">
      <alignment horizontal="left" vertical="center"/>
    </xf>
    <xf numFmtId="0" fontId="15" fillId="7" borderId="5" xfId="0" applyFont="1" applyFill="1" applyBorder="1" applyAlignment="1">
      <alignment horizontal="left" vertical="center"/>
    </xf>
    <xf numFmtId="0" fontId="15" fillId="7" borderId="6" xfId="0" applyFont="1" applyFill="1" applyBorder="1" applyAlignment="1">
      <alignment horizontal="left" vertical="center"/>
    </xf>
    <xf numFmtId="180" fontId="15" fillId="7" borderId="7" xfId="0" applyNumberFormat="1" applyFont="1" applyFill="1" applyBorder="1" applyAlignment="1">
      <alignment horizontal="left" vertical="center"/>
    </xf>
    <xf numFmtId="180" fontId="15" fillId="7" borderId="6" xfId="0" applyNumberFormat="1" applyFont="1" applyFill="1" applyBorder="1" applyAlignment="1">
      <alignment horizontal="left" vertical="center"/>
    </xf>
    <xf numFmtId="0" fontId="17" fillId="0" borderId="3" xfId="0" applyFont="1" applyFill="1" applyBorder="1" applyAlignment="1">
      <alignment horizontal="left" vertical="center"/>
    </xf>
    <xf numFmtId="0" fontId="6" fillId="0" borderId="31" xfId="0" applyFont="1" applyFill="1" applyBorder="1" applyAlignment="1">
      <alignment horizontal="left" vertical="center" wrapText="1"/>
    </xf>
    <xf numFmtId="0" fontId="38" fillId="8" borderId="3" xfId="55" applyFont="1" applyFill="1" applyBorder="1" applyAlignment="1">
      <alignment horizontal="left" vertical="center" shrinkToFit="1"/>
    </xf>
    <xf numFmtId="184" fontId="1" fillId="3" borderId="7" xfId="3" applyNumberFormat="1" applyFont="1" applyFill="1" applyBorder="1" applyAlignment="1">
      <alignment horizontal="left" vertical="center"/>
    </xf>
    <xf numFmtId="180" fontId="6" fillId="5" borderId="5" xfId="0" applyNumberFormat="1" applyFont="1" applyFill="1" applyBorder="1" applyAlignment="1">
      <alignment horizontal="center" vertical="center"/>
    </xf>
    <xf numFmtId="180" fontId="6" fillId="5" borderId="7" xfId="0" applyNumberFormat="1" applyFont="1" applyFill="1" applyBorder="1" applyAlignment="1">
      <alignment horizontal="center" vertical="center"/>
    </xf>
    <xf numFmtId="180" fontId="6" fillId="5" borderId="6" xfId="0" applyNumberFormat="1" applyFont="1" applyFill="1" applyBorder="1" applyAlignment="1">
      <alignment horizontal="center" vertical="center"/>
    </xf>
    <xf numFmtId="180" fontId="6" fillId="5" borderId="3" xfId="0" applyNumberFormat="1" applyFont="1" applyFill="1" applyBorder="1" applyAlignment="1">
      <alignment horizontal="center" vertical="center" wrapText="1"/>
    </xf>
    <xf numFmtId="0" fontId="18" fillId="9" borderId="5" xfId="0" applyFont="1" applyFill="1" applyBorder="1" applyAlignment="1">
      <alignment horizontal="left" vertical="center" wrapText="1"/>
    </xf>
    <xf numFmtId="0" fontId="18" fillId="9" borderId="3" xfId="0" applyFont="1" applyFill="1" applyBorder="1" applyAlignment="1">
      <alignment horizontal="left" vertical="center" wrapText="1"/>
    </xf>
    <xf numFmtId="0" fontId="17" fillId="0" borderId="7" xfId="0" applyFont="1" applyFill="1" applyBorder="1" applyAlignment="1">
      <alignment horizontal="left" vertical="center"/>
    </xf>
    <xf numFmtId="0" fontId="6" fillId="0" borderId="9" xfId="0" applyFont="1" applyFill="1" applyBorder="1" applyAlignment="1">
      <alignment horizontal="left" vertical="center" wrapText="1"/>
    </xf>
    <xf numFmtId="0" fontId="37" fillId="0" borderId="7" xfId="0" applyFont="1" applyFill="1" applyBorder="1" applyAlignment="1">
      <alignment horizontal="left" vertical="center"/>
    </xf>
    <xf numFmtId="0" fontId="39" fillId="7" borderId="10" xfId="55" applyFont="1" applyFill="1" applyBorder="1" applyAlignment="1">
      <alignment vertical="center" wrapText="1"/>
    </xf>
    <xf numFmtId="0" fontId="15" fillId="7" borderId="11" xfId="55" applyFont="1" applyFill="1" applyBorder="1" applyAlignment="1">
      <alignment vertical="center"/>
    </xf>
    <xf numFmtId="0" fontId="16" fillId="7" borderId="11" xfId="55" applyFont="1" applyFill="1" applyBorder="1" applyAlignment="1">
      <alignment horizontal="left" vertical="center" indent="2"/>
    </xf>
    <xf numFmtId="0" fontId="16" fillId="7" borderId="12" xfId="55" applyFont="1" applyFill="1" applyBorder="1" applyAlignment="1">
      <alignment horizontal="left" vertical="center" indent="1"/>
    </xf>
    <xf numFmtId="180" fontId="16" fillId="7" borderId="12" xfId="55" applyNumberFormat="1" applyFont="1" applyFill="1" applyBorder="1" applyAlignment="1">
      <alignment horizontal="center" vertical="center"/>
    </xf>
    <xf numFmtId="180" fontId="15" fillId="7" borderId="3" xfId="55" applyNumberFormat="1" applyFont="1" applyFill="1" applyBorder="1" applyAlignment="1">
      <alignment vertical="center"/>
    </xf>
    <xf numFmtId="180" fontId="15" fillId="7" borderId="1" xfId="55" applyNumberFormat="1" applyFont="1" applyFill="1" applyBorder="1" applyAlignment="1">
      <alignment vertical="center"/>
    </xf>
    <xf numFmtId="0" fontId="16" fillId="7" borderId="11" xfId="55" applyFont="1" applyFill="1" applyBorder="1" applyAlignment="1">
      <alignment vertical="center"/>
    </xf>
    <xf numFmtId="0" fontId="15" fillId="7" borderId="12" xfId="55" applyFont="1" applyFill="1" applyBorder="1" applyAlignment="1">
      <alignment vertical="center"/>
    </xf>
    <xf numFmtId="181" fontId="15" fillId="7" borderId="12" xfId="55" applyNumberFormat="1" applyFont="1" applyFill="1" applyBorder="1" applyAlignment="1">
      <alignment vertical="center"/>
    </xf>
    <xf numFmtId="181" fontId="15" fillId="7" borderId="3" xfId="55" applyNumberFormat="1" applyFont="1" applyFill="1" applyBorder="1" applyAlignment="1">
      <alignment vertical="center"/>
    </xf>
    <xf numFmtId="178" fontId="1" fillId="0" borderId="0" xfId="56" applyNumberFormat="1" applyFont="1" applyFill="1" applyAlignment="1">
      <alignment horizontal="left" vertical="center"/>
    </xf>
    <xf numFmtId="0" fontId="21" fillId="0" borderId="0" xfId="0" applyFont="1" applyFill="1" applyBorder="1" applyAlignment="1">
      <alignment horizontal="left" vertical="center"/>
    </xf>
    <xf numFmtId="0" fontId="1" fillId="0" borderId="18" xfId="0" applyFont="1" applyFill="1" applyBorder="1" applyAlignment="1">
      <alignment horizontal="left" vertical="center"/>
    </xf>
    <xf numFmtId="4" fontId="1" fillId="0" borderId="0" xfId="0" applyNumberFormat="1" applyFont="1" applyFill="1" applyBorder="1" applyAlignment="1">
      <alignment horizontal="left" vertical="center"/>
    </xf>
    <xf numFmtId="180" fontId="1" fillId="0" borderId="0" xfId="0" applyNumberFormat="1" applyFont="1" applyFill="1" applyBorder="1" applyAlignment="1">
      <alignment horizontal="left" vertical="center"/>
    </xf>
    <xf numFmtId="4" fontId="1" fillId="0" borderId="0" xfId="0" applyNumberFormat="1" applyFont="1" applyFill="1" applyAlignment="1">
      <alignment horizontal="left" vertical="center"/>
    </xf>
    <xf numFmtId="0" fontId="22" fillId="0" borderId="0" xfId="0" applyFont="1" applyFill="1" applyBorder="1" applyAlignment="1">
      <alignment horizontal="left" vertical="center"/>
    </xf>
    <xf numFmtId="180" fontId="22" fillId="0" borderId="0" xfId="0" applyNumberFormat="1" applyFont="1" applyFill="1" applyBorder="1" applyAlignment="1">
      <alignment horizontal="left" vertical="center"/>
    </xf>
    <xf numFmtId="178" fontId="1" fillId="0" borderId="0" xfId="56" applyNumberFormat="1" applyFont="1" applyFill="1" applyBorder="1" applyAlignment="1">
      <alignment horizontal="left" vertical="center"/>
    </xf>
    <xf numFmtId="0" fontId="40" fillId="0" borderId="0" xfId="0" applyFont="1" applyFill="1" applyBorder="1" applyAlignment="1">
      <alignment horizontal="left" vertical="center"/>
    </xf>
    <xf numFmtId="0" fontId="41" fillId="0" borderId="0" xfId="0" applyFont="1" applyAlignment="1">
      <alignment horizontal="center" vertical="center"/>
    </xf>
    <xf numFmtId="0" fontId="0" fillId="0" borderId="0" xfId="0" applyFill="1" applyAlignment="1">
      <alignment horizontal="center" vertical="center"/>
    </xf>
    <xf numFmtId="0" fontId="0" fillId="6" borderId="0" xfId="0" applyFill="1" applyAlignment="1">
      <alignment horizontal="center" vertical="center"/>
    </xf>
    <xf numFmtId="0" fontId="0" fillId="0" borderId="0" xfId="0" applyAlignment="1">
      <alignment horizontal="center" vertical="center"/>
    </xf>
    <xf numFmtId="0" fontId="42" fillId="0" borderId="0" xfId="0" applyFont="1" applyAlignment="1">
      <alignment vertical="center"/>
    </xf>
    <xf numFmtId="0" fontId="43" fillId="0" borderId="0" xfId="0" applyFont="1" applyAlignment="1">
      <alignment vertical="center"/>
    </xf>
    <xf numFmtId="0" fontId="42" fillId="0" borderId="0" xfId="0" applyFont="1" applyAlignment="1">
      <alignment horizontal="center" vertical="center"/>
    </xf>
    <xf numFmtId="0" fontId="44" fillId="0" borderId="3" xfId="0" applyFont="1" applyFill="1" applyBorder="1" applyAlignment="1">
      <alignment horizontal="center" vertical="center" wrapText="1"/>
    </xf>
    <xf numFmtId="0" fontId="45" fillId="13" borderId="3" xfId="0" applyFont="1" applyFill="1" applyBorder="1" applyAlignment="1">
      <alignment horizontal="center" vertical="center" wrapText="1"/>
    </xf>
    <xf numFmtId="0" fontId="46" fillId="13" borderId="3" xfId="0" applyFont="1" applyFill="1" applyBorder="1" applyAlignment="1">
      <alignment horizontal="center" vertical="center" wrapText="1"/>
    </xf>
    <xf numFmtId="0" fontId="47" fillId="13" borderId="3" xfId="0" applyFont="1" applyFill="1" applyBorder="1" applyAlignment="1">
      <alignment horizontal="center" vertical="center" wrapText="1"/>
    </xf>
    <xf numFmtId="0" fontId="45" fillId="0" borderId="3" xfId="0" applyFont="1" applyFill="1" applyBorder="1" applyAlignment="1">
      <alignment horizontal="center" vertical="center"/>
    </xf>
    <xf numFmtId="0" fontId="48" fillId="0" borderId="3" xfId="0" applyFont="1" applyFill="1" applyBorder="1" applyAlignment="1">
      <alignment horizontal="center" vertical="center" wrapText="1"/>
    </xf>
    <xf numFmtId="0" fontId="48" fillId="0" borderId="3" xfId="0" applyFont="1" applyFill="1" applyBorder="1" applyAlignment="1">
      <alignment horizontal="center" vertical="center"/>
    </xf>
    <xf numFmtId="0" fontId="48" fillId="0" borderId="3" xfId="0" applyFont="1" applyFill="1" applyBorder="1" applyAlignment="1">
      <alignment horizontal="left" vertical="center"/>
    </xf>
    <xf numFmtId="58" fontId="48" fillId="0" borderId="3" xfId="0" applyNumberFormat="1" applyFont="1" applyFill="1" applyBorder="1" applyAlignment="1">
      <alignment horizontal="center" vertical="center"/>
    </xf>
    <xf numFmtId="0" fontId="41" fillId="0" borderId="3" xfId="0" applyFont="1" applyFill="1" applyBorder="1" applyAlignment="1">
      <alignment horizontal="center" vertical="center"/>
    </xf>
    <xf numFmtId="0" fontId="41" fillId="0" borderId="3" xfId="0" applyFont="1" applyFill="1" applyBorder="1" applyAlignment="1">
      <alignment horizontal="left"/>
    </xf>
    <xf numFmtId="0" fontId="41" fillId="6" borderId="3" xfId="0" applyFont="1" applyFill="1" applyBorder="1" applyAlignment="1">
      <alignment horizontal="left" wrapText="1"/>
    </xf>
    <xf numFmtId="0" fontId="49" fillId="0" borderId="3" xfId="0" applyFont="1" applyFill="1" applyBorder="1" applyAlignment="1">
      <alignment horizontal="center" vertical="center" wrapText="1"/>
    </xf>
    <xf numFmtId="0" fontId="49" fillId="0" borderId="3" xfId="0" applyFont="1" applyFill="1" applyBorder="1" applyAlignment="1">
      <alignment horizontal="center" vertical="center"/>
    </xf>
    <xf numFmtId="0" fontId="49" fillId="6" borderId="3" xfId="0" applyFont="1" applyFill="1" applyBorder="1" applyAlignment="1">
      <alignment horizontal="left" wrapText="1"/>
    </xf>
    <xf numFmtId="0" fontId="49" fillId="0" borderId="3" xfId="0" applyFont="1" applyFill="1" applyBorder="1" applyAlignment="1">
      <alignment horizontal="left" wrapText="1"/>
    </xf>
    <xf numFmtId="0" fontId="50" fillId="0" borderId="32" xfId="0" applyFont="1" applyFill="1" applyBorder="1" applyAlignment="1">
      <alignment vertical="center" wrapText="1"/>
    </xf>
    <xf numFmtId="0" fontId="49" fillId="6" borderId="3" xfId="0" applyFont="1" applyFill="1" applyBorder="1" applyAlignment="1">
      <alignment horizontal="center" vertical="center" wrapText="1"/>
    </xf>
    <xf numFmtId="0" fontId="48" fillId="6" borderId="3" xfId="0" applyFont="1" applyFill="1" applyBorder="1" applyAlignment="1">
      <alignment horizontal="center" vertical="center"/>
    </xf>
    <xf numFmtId="0" fontId="48" fillId="6" borderId="3" xfId="0" applyFont="1" applyFill="1" applyBorder="1" applyAlignment="1">
      <alignment horizontal="center" vertical="center" wrapText="1"/>
    </xf>
    <xf numFmtId="0" fontId="48" fillId="6" borderId="3" xfId="0" applyFont="1" applyFill="1" applyBorder="1" applyAlignment="1">
      <alignment horizontal="left" vertical="center"/>
    </xf>
    <xf numFmtId="58" fontId="48" fillId="6" borderId="3" xfId="0" applyNumberFormat="1" applyFont="1" applyFill="1" applyBorder="1" applyAlignment="1">
      <alignment horizontal="center" vertical="center"/>
    </xf>
    <xf numFmtId="0" fontId="49" fillId="6" borderId="3" xfId="0" applyFont="1" applyFill="1" applyBorder="1" applyAlignment="1">
      <alignment horizontal="center" vertical="center"/>
    </xf>
    <xf numFmtId="0" fontId="41" fillId="6" borderId="3" xfId="0" applyFont="1" applyFill="1" applyBorder="1" applyAlignment="1">
      <alignment horizontal="center" vertical="center"/>
    </xf>
    <xf numFmtId="0" fontId="51" fillId="6" borderId="3" xfId="0" applyFont="1" applyFill="1" applyBorder="1" applyAlignment="1">
      <alignment horizontal="center" vertical="center" wrapText="1"/>
    </xf>
    <xf numFmtId="0" fontId="52" fillId="0" borderId="3" xfId="0" applyFont="1" applyFill="1" applyBorder="1" applyAlignment="1">
      <alignment horizontal="center" vertical="center"/>
    </xf>
    <xf numFmtId="0" fontId="52" fillId="0" borderId="3" xfId="0" applyFont="1" applyFill="1" applyBorder="1" applyAlignment="1">
      <alignment horizontal="center" vertical="center" wrapText="1"/>
    </xf>
    <xf numFmtId="58" fontId="52" fillId="0" borderId="3" xfId="0" applyNumberFormat="1" applyFont="1" applyFill="1" applyBorder="1" applyAlignment="1">
      <alignment horizontal="center" vertical="center"/>
    </xf>
    <xf numFmtId="0" fontId="53" fillId="0" borderId="3" xfId="0" applyFont="1" applyFill="1" applyBorder="1" applyAlignment="1">
      <alignment horizontal="center" vertical="center"/>
    </xf>
    <xf numFmtId="0" fontId="41" fillId="0" borderId="3" xfId="0" applyFont="1" applyFill="1" applyBorder="1" applyAlignment="1">
      <alignment horizontal="center"/>
    </xf>
    <xf numFmtId="0" fontId="53" fillId="0" borderId="3" xfId="0" applyFont="1" applyFill="1" applyBorder="1" applyAlignment="1">
      <alignment vertical="center"/>
    </xf>
    <xf numFmtId="0" fontId="53" fillId="14" borderId="3" xfId="0" applyFont="1" applyFill="1" applyBorder="1" applyAlignment="1">
      <alignment vertical="center"/>
    </xf>
    <xf numFmtId="0" fontId="53" fillId="0" borderId="3" xfId="0" applyFont="1" applyFill="1" applyBorder="1" applyAlignment="1"/>
    <xf numFmtId="58" fontId="53" fillId="0" borderId="3" xfId="0" applyNumberFormat="1" applyFont="1" applyFill="1" applyBorder="1" applyAlignment="1">
      <alignment vertical="center"/>
    </xf>
    <xf numFmtId="0" fontId="54" fillId="15" borderId="6" xfId="0" applyFont="1" applyFill="1" applyBorder="1" applyAlignment="1">
      <alignment vertical="center" wrapText="1"/>
    </xf>
    <xf numFmtId="0" fontId="54" fillId="15" borderId="5" xfId="0" applyFont="1" applyFill="1" applyBorder="1" applyAlignment="1">
      <alignment vertical="center" wrapText="1"/>
    </xf>
    <xf numFmtId="0" fontId="54" fillId="15" borderId="7" xfId="0" applyFont="1" applyFill="1" applyBorder="1" applyAlignment="1">
      <alignment vertical="center" wrapText="1"/>
    </xf>
    <xf numFmtId="3" fontId="55" fillId="15" borderId="3" xfId="0" applyNumberFormat="1" applyFont="1" applyFill="1" applyBorder="1" applyAlignment="1">
      <alignment horizontal="center" vertical="center"/>
    </xf>
    <xf numFmtId="3" fontId="41" fillId="0" borderId="3" xfId="0" applyNumberFormat="1" applyFont="1" applyFill="1" applyBorder="1" applyAlignment="1">
      <alignment horizontal="center" vertical="center"/>
    </xf>
    <xf numFmtId="0" fontId="54" fillId="0" borderId="6" xfId="0" applyFont="1" applyFill="1" applyBorder="1" applyAlignment="1">
      <alignment vertical="center" wrapText="1"/>
    </xf>
    <xf numFmtId="0" fontId="54" fillId="0" borderId="5" xfId="0" applyFont="1" applyFill="1" applyBorder="1" applyAlignment="1">
      <alignment vertical="center" wrapText="1"/>
    </xf>
    <xf numFmtId="0" fontId="54" fillId="0" borderId="7" xfId="0" applyFont="1" applyFill="1" applyBorder="1" applyAlignment="1">
      <alignment vertical="center" wrapText="1"/>
    </xf>
    <xf numFmtId="0" fontId="0" fillId="0" borderId="0" xfId="0" applyFont="1" applyFill="1" applyAlignment="1">
      <alignment horizontal="center"/>
    </xf>
    <xf numFmtId="0" fontId="41" fillId="0" borderId="0" xfId="0" applyFont="1" applyFill="1" applyAlignment="1">
      <alignment horizontal="center"/>
    </xf>
    <xf numFmtId="0" fontId="54" fillId="0" borderId="0" xfId="0" applyFont="1" applyFill="1" applyAlignment="1">
      <alignment vertical="center"/>
    </xf>
    <xf numFmtId="0" fontId="54" fillId="0" borderId="0" xfId="0" applyFont="1" applyFill="1" applyAlignment="1">
      <alignment vertical="center" wrapText="1"/>
    </xf>
    <xf numFmtId="3" fontId="55" fillId="0" borderId="3" xfId="0" applyNumberFormat="1" applyFont="1" applyFill="1" applyBorder="1" applyAlignment="1">
      <alignment horizontal="center" vertical="center"/>
    </xf>
    <xf numFmtId="0" fontId="0" fillId="0" borderId="0" xfId="0" applyAlignment="1">
      <alignment vertical="center"/>
    </xf>
    <xf numFmtId="0" fontId="0" fillId="0" borderId="3" xfId="0" applyFill="1" applyBorder="1" applyAlignment="1">
      <alignment horizontal="center" vertical="center"/>
    </xf>
    <xf numFmtId="0" fontId="45" fillId="0" borderId="0" xfId="0" applyFont="1" applyAlignment="1">
      <alignment horizontal="center" vertical="center"/>
    </xf>
    <xf numFmtId="0" fontId="56" fillId="0" borderId="3" xfId="0" applyFont="1" applyFill="1" applyBorder="1" applyAlignment="1">
      <alignment horizontal="center" vertical="center" wrapText="1"/>
    </xf>
    <xf numFmtId="0" fontId="45" fillId="16" borderId="3" xfId="0" applyFont="1" applyFill="1" applyBorder="1" applyAlignment="1">
      <alignment horizontal="center" vertical="center" wrapText="1"/>
    </xf>
    <xf numFmtId="0" fontId="46" fillId="16" borderId="3" xfId="0" applyFont="1" applyFill="1" applyBorder="1" applyAlignment="1">
      <alignment horizontal="center" vertical="center" wrapText="1"/>
    </xf>
    <xf numFmtId="0" fontId="57" fillId="16" borderId="3" xfId="0" applyFont="1" applyFill="1" applyBorder="1" applyAlignment="1">
      <alignment horizontal="center" vertical="center" wrapText="1"/>
    </xf>
    <xf numFmtId="0" fontId="44" fillId="16" borderId="3" xfId="0" applyFont="1" applyFill="1" applyBorder="1" applyAlignment="1">
      <alignment horizontal="center" vertical="center" wrapText="1"/>
    </xf>
    <xf numFmtId="0" fontId="44" fillId="16" borderId="33" xfId="0" applyFont="1" applyFill="1" applyBorder="1" applyAlignment="1">
      <alignment horizontal="center" vertical="center" wrapText="1"/>
    </xf>
    <xf numFmtId="0" fontId="46" fillId="16" borderId="34" xfId="0" applyFont="1" applyFill="1" applyBorder="1" applyAlignment="1">
      <alignment horizontal="center" vertical="center" wrapText="1"/>
    </xf>
    <xf numFmtId="0" fontId="45" fillId="16" borderId="33" xfId="0" applyFont="1" applyFill="1" applyBorder="1" applyAlignment="1">
      <alignment horizontal="center" vertical="center" wrapText="1"/>
    </xf>
    <xf numFmtId="0" fontId="47" fillId="16" borderId="33" xfId="0" applyFont="1" applyFill="1" applyBorder="1" applyAlignment="1">
      <alignment horizontal="center" vertical="center" wrapText="1"/>
    </xf>
    <xf numFmtId="0" fontId="58" fillId="16" borderId="7" xfId="0" applyFont="1" applyFill="1" applyBorder="1" applyAlignment="1">
      <alignment horizontal="center" vertical="center" wrapText="1"/>
    </xf>
    <xf numFmtId="0" fontId="47" fillId="16" borderId="7" xfId="0" applyFont="1" applyFill="1" applyBorder="1" applyAlignment="1">
      <alignment horizontal="center" vertical="center" wrapText="1"/>
    </xf>
    <xf numFmtId="0" fontId="47" fillId="16" borderId="3" xfId="0" applyFont="1" applyFill="1" applyBorder="1" applyAlignment="1">
      <alignment horizontal="center" vertical="center" wrapText="1"/>
    </xf>
    <xf numFmtId="0" fontId="58" fillId="16" borderId="3" xfId="0" applyFont="1" applyFill="1" applyBorder="1" applyAlignment="1">
      <alignment horizontal="center" vertical="center" wrapText="1"/>
    </xf>
    <xf numFmtId="0" fontId="57" fillId="0" borderId="3" xfId="0" applyFont="1" applyFill="1" applyBorder="1" applyAlignment="1">
      <alignment horizontal="center" vertical="center" wrapText="1"/>
    </xf>
    <xf numFmtId="0" fontId="41" fillId="0" borderId="20" xfId="0" applyFont="1" applyFill="1" applyBorder="1" applyAlignment="1">
      <alignment horizontal="center" vertical="center"/>
    </xf>
    <xf numFmtId="0" fontId="49" fillId="0" borderId="3" xfId="0" applyFont="1" applyFill="1" applyBorder="1" applyAlignment="1">
      <alignment horizontal="center"/>
    </xf>
    <xf numFmtId="0" fontId="49" fillId="0" borderId="3" xfId="0" applyFont="1" applyFill="1" applyBorder="1" applyAlignment="1">
      <alignment horizontal="center" wrapText="1"/>
    </xf>
    <xf numFmtId="0" fontId="49" fillId="6" borderId="3" xfId="0" applyFont="1" applyFill="1" applyBorder="1" applyAlignment="1">
      <alignment horizontal="center" wrapText="1"/>
    </xf>
    <xf numFmtId="0" fontId="41" fillId="6" borderId="3" xfId="0" applyFont="1" applyFill="1" applyBorder="1" applyAlignment="1">
      <alignment horizontal="center"/>
    </xf>
    <xf numFmtId="0" fontId="59" fillId="0" borderId="20" xfId="0" applyFont="1" applyFill="1" applyBorder="1" applyAlignment="1">
      <alignment horizontal="center" vertical="center" wrapText="1"/>
    </xf>
    <xf numFmtId="0" fontId="41" fillId="6" borderId="3" xfId="0" applyFont="1" applyFill="1" applyBorder="1" applyAlignment="1">
      <alignment horizontal="center" wrapText="1"/>
    </xf>
    <xf numFmtId="0" fontId="59" fillId="6" borderId="20" xfId="0" applyFont="1" applyFill="1" applyBorder="1" applyAlignment="1">
      <alignment horizontal="center" vertical="center" wrapText="1"/>
    </xf>
    <xf numFmtId="0" fontId="60" fillId="6" borderId="3" xfId="0" applyFont="1" applyFill="1" applyBorder="1" applyAlignment="1">
      <alignment horizontal="center" vertical="center" wrapText="1"/>
    </xf>
    <xf numFmtId="0" fontId="49" fillId="0" borderId="20" xfId="0" applyFont="1" applyFill="1" applyBorder="1" applyAlignment="1">
      <alignment horizontal="center" wrapText="1"/>
    </xf>
    <xf numFmtId="0" fontId="48" fillId="0" borderId="35" xfId="0" applyFont="1" applyFill="1" applyBorder="1" applyAlignment="1">
      <alignment horizontal="center" vertical="center" wrapText="1"/>
    </xf>
    <xf numFmtId="0" fontId="48" fillId="0" borderId="35" xfId="0" applyFont="1" applyFill="1" applyBorder="1" applyAlignment="1">
      <alignment horizontal="center" vertical="center"/>
    </xf>
    <xf numFmtId="58" fontId="48" fillId="0" borderId="35" xfId="0" applyNumberFormat="1" applyFont="1" applyFill="1" applyBorder="1" applyAlignment="1">
      <alignment horizontal="center" vertical="center"/>
    </xf>
    <xf numFmtId="0" fontId="41" fillId="0" borderId="35" xfId="0" applyFont="1" applyFill="1" applyBorder="1" applyAlignment="1">
      <alignment horizontal="center" vertical="center"/>
    </xf>
    <xf numFmtId="0" fontId="49" fillId="0" borderId="35" xfId="0" applyFont="1" applyFill="1" applyBorder="1" applyAlignment="1">
      <alignment horizontal="center" wrapText="1"/>
    </xf>
    <xf numFmtId="0" fontId="48" fillId="0" borderId="20" xfId="0" applyFont="1" applyFill="1" applyBorder="1" applyAlignment="1">
      <alignment horizontal="center" vertical="center"/>
    </xf>
    <xf numFmtId="0" fontId="48" fillId="0" borderId="20" xfId="0" applyFont="1" applyFill="1" applyBorder="1" applyAlignment="1">
      <alignment horizontal="center" vertical="center" wrapText="1"/>
    </xf>
    <xf numFmtId="58" fontId="48" fillId="0" borderId="20" xfId="0" applyNumberFormat="1" applyFont="1" applyFill="1" applyBorder="1" applyAlignment="1">
      <alignment horizontal="center" vertical="center"/>
    </xf>
    <xf numFmtId="0" fontId="49" fillId="6" borderId="3" xfId="0" applyFont="1" applyFill="1" applyBorder="1" applyAlignment="1">
      <alignment horizontal="center"/>
    </xf>
    <xf numFmtId="0" fontId="61" fillId="0" borderId="3" xfId="0" applyFont="1" applyFill="1" applyBorder="1" applyAlignment="1">
      <alignment horizontal="center" vertical="center"/>
    </xf>
    <xf numFmtId="0" fontId="62" fillId="6" borderId="3" xfId="0" applyFont="1" applyFill="1" applyBorder="1" applyAlignment="1">
      <alignment horizontal="center" vertical="center"/>
    </xf>
    <xf numFmtId="0" fontId="53" fillId="0" borderId="3" xfId="0" applyFont="1" applyFill="1" applyBorder="1" applyAlignment="1">
      <alignment horizontal="center"/>
    </xf>
    <xf numFmtId="0" fontId="53" fillId="14" borderId="3" xfId="0" applyFont="1" applyFill="1" applyBorder="1" applyAlignment="1">
      <alignment horizontal="center" vertical="center"/>
    </xf>
    <xf numFmtId="58" fontId="53" fillId="0" borderId="3" xfId="0" applyNumberFormat="1" applyFont="1" applyFill="1" applyBorder="1" applyAlignment="1">
      <alignment horizontal="center" vertical="center"/>
    </xf>
    <xf numFmtId="0" fontId="54" fillId="15" borderId="6" xfId="0" applyFont="1" applyFill="1" applyBorder="1" applyAlignment="1">
      <alignment horizontal="center" vertical="center" wrapText="1"/>
    </xf>
    <xf numFmtId="0" fontId="54" fillId="15" borderId="7" xfId="0" applyFont="1" applyFill="1" applyBorder="1" applyAlignment="1">
      <alignment horizontal="center" vertical="center" wrapText="1"/>
    </xf>
    <xf numFmtId="0" fontId="54" fillId="0" borderId="6" xfId="0" applyFont="1" applyFill="1" applyBorder="1" applyAlignment="1">
      <alignment horizontal="center" vertical="center" wrapText="1"/>
    </xf>
    <xf numFmtId="0" fontId="54" fillId="0" borderId="5" xfId="0" applyFont="1" applyFill="1" applyBorder="1" applyAlignment="1">
      <alignment horizontal="center" vertical="center" wrapText="1"/>
    </xf>
    <xf numFmtId="0" fontId="54" fillId="0" borderId="7" xfId="0" applyFont="1" applyFill="1" applyBorder="1" applyAlignment="1">
      <alignment horizontal="center" vertical="center" wrapText="1"/>
    </xf>
    <xf numFmtId="0" fontId="54" fillId="0" borderId="0" xfId="0" applyFont="1" applyFill="1" applyAlignment="1">
      <alignment horizontal="center" vertical="center"/>
    </xf>
    <xf numFmtId="0" fontId="54" fillId="0" borderId="0" xfId="0" applyFont="1" applyFill="1" applyAlignment="1">
      <alignment horizontal="center" vertical="center" wrapText="1"/>
    </xf>
    <xf numFmtId="0" fontId="0" fillId="0" borderId="0" xfId="0" applyFill="1" applyAlignment="1" applyProtection="1">
      <alignment horizontal="center" vertical="center"/>
      <protection locked="0"/>
    </xf>
    <xf numFmtId="0" fontId="63" fillId="0" borderId="0" xfId="0" applyFont="1" applyFill="1" applyProtection="1">
      <alignment vertical="center"/>
      <protection locked="0"/>
    </xf>
    <xf numFmtId="0" fontId="64" fillId="0" borderId="0" xfId="0" applyFont="1" applyFill="1" applyProtection="1">
      <alignment vertical="center"/>
      <protection locked="0"/>
    </xf>
    <xf numFmtId="0" fontId="64" fillId="0" borderId="0" xfId="0" applyFont="1" applyFill="1" applyAlignment="1" applyProtection="1">
      <alignment horizontal="center" vertical="center"/>
      <protection locked="0"/>
    </xf>
    <xf numFmtId="0" fontId="64" fillId="6" borderId="0" xfId="0" applyFont="1" applyFill="1" applyAlignment="1" applyProtection="1">
      <alignment horizontal="center" vertical="center"/>
      <protection locked="0"/>
    </xf>
    <xf numFmtId="0" fontId="65" fillId="17" borderId="0" xfId="0" applyFont="1" applyFill="1" applyAlignment="1" applyProtection="1">
      <alignment horizontal="center" vertical="center"/>
      <protection locked="0"/>
    </xf>
    <xf numFmtId="0" fontId="65" fillId="0" borderId="0" xfId="0" applyFont="1" applyFill="1" applyAlignment="1" applyProtection="1">
      <alignment horizontal="center" vertical="center"/>
      <protection locked="0"/>
    </xf>
    <xf numFmtId="0" fontId="65" fillId="6" borderId="0" xfId="0" applyFont="1" applyFill="1" applyAlignment="1" applyProtection="1">
      <alignment horizontal="center" vertical="center"/>
      <protection locked="0"/>
    </xf>
    <xf numFmtId="0" fontId="66" fillId="0" borderId="0" xfId="0" applyFont="1" applyFill="1" applyAlignment="1" applyProtection="1">
      <alignment horizontal="center" vertical="center"/>
      <protection locked="0"/>
    </xf>
    <xf numFmtId="0" fontId="67" fillId="0" borderId="0" xfId="0" applyFont="1" applyFill="1" applyAlignment="1" applyProtection="1">
      <alignment horizontal="center" vertical="center"/>
      <protection locked="0"/>
    </xf>
    <xf numFmtId="0" fontId="12" fillId="0" borderId="0" xfId="0" applyFont="1" applyFill="1" applyAlignment="1" applyProtection="1">
      <alignment horizontal="center" vertical="center"/>
      <protection locked="0"/>
    </xf>
    <xf numFmtId="0" fontId="12" fillId="6" borderId="0" xfId="0" applyFont="1" applyFill="1" applyAlignment="1" applyProtection="1">
      <alignment horizontal="center" vertical="center"/>
      <protection locked="0"/>
    </xf>
    <xf numFmtId="0" fontId="64" fillId="17" borderId="0" xfId="0" applyFont="1" applyFill="1" applyAlignment="1" applyProtection="1">
      <alignment horizontal="center" vertical="center"/>
      <protection locked="0"/>
    </xf>
    <xf numFmtId="0" fontId="66" fillId="6" borderId="0" xfId="0" applyFont="1" applyFill="1" applyAlignment="1" applyProtection="1">
      <alignment horizontal="center" vertical="center"/>
      <protection locked="0"/>
    </xf>
    <xf numFmtId="0" fontId="65" fillId="0" borderId="36" xfId="0" applyFont="1" applyFill="1" applyBorder="1" applyAlignment="1" applyProtection="1">
      <alignment horizontal="center" vertical="center"/>
      <protection locked="0"/>
    </xf>
    <xf numFmtId="0" fontId="64" fillId="0" borderId="36" xfId="0" applyFont="1" applyFill="1" applyBorder="1" applyAlignment="1" applyProtection="1">
      <alignment horizontal="center" vertical="center"/>
      <protection locked="0"/>
    </xf>
    <xf numFmtId="0" fontId="65" fillId="17" borderId="37" xfId="0" applyFont="1" applyFill="1" applyBorder="1" applyAlignment="1" applyProtection="1">
      <alignment horizontal="center" vertical="center"/>
      <protection locked="0"/>
    </xf>
    <xf numFmtId="0" fontId="65" fillId="0" borderId="37" xfId="0" applyFont="1" applyFill="1" applyBorder="1" applyAlignment="1" applyProtection="1">
      <alignment horizontal="center" vertical="center"/>
      <protection locked="0"/>
    </xf>
    <xf numFmtId="0" fontId="68" fillId="0" borderId="0" xfId="0" applyFont="1" applyFill="1" applyAlignment="1" applyProtection="1">
      <alignment horizontal="center" vertical="center"/>
      <protection locked="0"/>
    </xf>
    <xf numFmtId="0" fontId="68" fillId="0" borderId="36" xfId="0" applyFont="1" applyFill="1" applyBorder="1" applyAlignment="1" applyProtection="1">
      <alignment horizontal="center" vertical="center"/>
      <protection locked="0"/>
    </xf>
    <xf numFmtId="179" fontId="69" fillId="0" borderId="3" xfId="0" applyNumberFormat="1" applyFont="1" applyFill="1" applyBorder="1" applyAlignment="1" applyProtection="1">
      <alignment horizontal="center" vertical="center" wrapText="1" shrinkToFit="1"/>
    </xf>
    <xf numFmtId="0" fontId="69" fillId="0" borderId="3" xfId="0" applyFont="1" applyFill="1" applyBorder="1" applyAlignment="1" applyProtection="1">
      <alignment horizontal="center" vertical="center" wrapText="1" shrinkToFit="1"/>
      <protection locked="0"/>
    </xf>
    <xf numFmtId="49" fontId="69" fillId="0" borderId="3" xfId="0" applyNumberFormat="1" applyFont="1" applyFill="1" applyBorder="1" applyAlignment="1" applyProtection="1">
      <alignment horizontal="center" vertical="center" wrapText="1" shrinkToFit="1"/>
      <protection locked="0"/>
    </xf>
    <xf numFmtId="186" fontId="69" fillId="0" borderId="3" xfId="0" applyNumberFormat="1" applyFont="1" applyFill="1" applyBorder="1" applyAlignment="1" applyProtection="1">
      <alignment horizontal="center" vertical="center" wrapText="1" shrinkToFit="1"/>
      <protection locked="0"/>
    </xf>
    <xf numFmtId="0" fontId="69" fillId="0" borderId="3" xfId="0" applyNumberFormat="1" applyFont="1" applyFill="1" applyBorder="1" applyAlignment="1" applyProtection="1">
      <alignment horizontal="center" vertical="center" wrapText="1" shrinkToFit="1"/>
      <protection locked="0"/>
    </xf>
    <xf numFmtId="187" fontId="69" fillId="0" borderId="3" xfId="0" applyNumberFormat="1" applyFont="1" applyFill="1" applyBorder="1" applyAlignment="1" applyProtection="1">
      <alignment horizontal="center" vertical="center" wrapText="1" shrinkToFit="1"/>
      <protection locked="0"/>
    </xf>
    <xf numFmtId="187" fontId="70" fillId="0" borderId="3" xfId="0" applyNumberFormat="1" applyFont="1" applyFill="1" applyBorder="1" applyAlignment="1" applyProtection="1">
      <alignment horizontal="center" vertical="center" wrapText="1" shrinkToFit="1"/>
      <protection locked="0"/>
    </xf>
    <xf numFmtId="0" fontId="71" fillId="0" borderId="3" xfId="0" applyFont="1" applyFill="1" applyBorder="1" applyAlignment="1" applyProtection="1">
      <alignment horizontal="center" vertical="center"/>
      <protection locked="0"/>
    </xf>
    <xf numFmtId="188" fontId="72" fillId="0" borderId="3" xfId="0" applyNumberFormat="1" applyFont="1" applyFill="1" applyBorder="1" applyAlignment="1" applyProtection="1">
      <alignment horizontal="center" vertical="center" wrapText="1" shrinkToFit="1"/>
      <protection locked="0"/>
    </xf>
    <xf numFmtId="185" fontId="72" fillId="0" borderId="3" xfId="0" applyNumberFormat="1" applyFont="1" applyFill="1" applyBorder="1" applyAlignment="1" applyProtection="1">
      <alignment horizontal="center" vertical="center" wrapText="1" shrinkToFit="1"/>
      <protection locked="0"/>
    </xf>
    <xf numFmtId="0" fontId="73" fillId="0" borderId="3" xfId="0" applyFont="1" applyFill="1" applyBorder="1" applyAlignment="1" applyProtection="1">
      <alignment horizontal="center" vertical="center" wrapText="1" shrinkToFit="1"/>
      <protection locked="0"/>
    </xf>
    <xf numFmtId="0" fontId="74" fillId="0" borderId="3" xfId="0" applyNumberFormat="1" applyFont="1" applyFill="1" applyBorder="1" applyAlignment="1" applyProtection="1">
      <alignment horizontal="center" vertical="center" wrapText="1" shrinkToFit="1"/>
      <protection locked="0"/>
    </xf>
    <xf numFmtId="0" fontId="74" fillId="0" borderId="3" xfId="0" applyFont="1" applyFill="1" applyBorder="1" applyAlignment="1" applyProtection="1">
      <alignment horizontal="center" vertical="center" wrapText="1" shrinkToFit="1"/>
      <protection locked="0"/>
    </xf>
    <xf numFmtId="0" fontId="75" fillId="0" borderId="3" xfId="0" applyFont="1" applyFill="1" applyBorder="1" applyAlignment="1" applyProtection="1">
      <alignment horizontal="center" vertical="center" wrapText="1"/>
      <protection locked="0"/>
    </xf>
    <xf numFmtId="0" fontId="76" fillId="0" borderId="3" xfId="0" applyFont="1" applyFill="1" applyBorder="1" applyAlignment="1" applyProtection="1">
      <alignment horizontal="center" vertical="center" wrapText="1"/>
      <protection locked="0"/>
    </xf>
    <xf numFmtId="0" fontId="77" fillId="0" borderId="5" xfId="0" applyFont="1" applyFill="1" applyBorder="1" applyAlignment="1" applyProtection="1">
      <alignment horizontal="center" vertical="center" wrapText="1"/>
      <protection locked="0"/>
    </xf>
    <xf numFmtId="0" fontId="76" fillId="0" borderId="7" xfId="0" applyFont="1" applyFill="1" applyBorder="1" applyAlignment="1" applyProtection="1">
      <alignment horizontal="center" vertical="center" wrapText="1"/>
      <protection locked="0"/>
    </xf>
    <xf numFmtId="189" fontId="75" fillId="0" borderId="3" xfId="0" applyNumberFormat="1" applyFont="1" applyFill="1" applyBorder="1" applyAlignment="1" applyProtection="1">
      <alignment horizontal="center" vertical="center" wrapText="1"/>
      <protection locked="0"/>
    </xf>
    <xf numFmtId="0" fontId="78" fillId="0" borderId="3" xfId="0" applyFont="1" applyFill="1" applyBorder="1" applyAlignment="1" applyProtection="1">
      <alignment horizontal="center" vertical="center" wrapText="1"/>
      <protection locked="0"/>
    </xf>
    <xf numFmtId="0" fontId="76" fillId="0" borderId="5" xfId="0" applyFont="1" applyFill="1" applyBorder="1" applyAlignment="1" applyProtection="1">
      <alignment horizontal="center" vertical="center" wrapText="1"/>
      <protection locked="0"/>
    </xf>
    <xf numFmtId="0" fontId="70" fillId="0" borderId="3" xfId="0" applyFont="1" applyFill="1" applyBorder="1" applyAlignment="1" applyProtection="1">
      <alignment horizontal="center" vertical="center" wrapText="1"/>
      <protection locked="0"/>
    </xf>
    <xf numFmtId="0" fontId="69" fillId="0" borderId="3" xfId="0" applyFont="1" applyFill="1" applyBorder="1" applyAlignment="1" applyProtection="1">
      <alignment horizontal="center" vertical="center" wrapText="1"/>
      <protection locked="0"/>
    </xf>
    <xf numFmtId="0" fontId="69" fillId="0" borderId="7" xfId="0" applyFont="1" applyFill="1" applyBorder="1" applyAlignment="1" applyProtection="1">
      <alignment horizontal="center" vertical="center" wrapText="1"/>
      <protection locked="0"/>
    </xf>
    <xf numFmtId="0" fontId="75" fillId="0" borderId="5" xfId="0" applyFont="1" applyFill="1" applyBorder="1" applyAlignment="1" applyProtection="1">
      <alignment horizontal="center" vertical="center" wrapText="1"/>
      <protection locked="0"/>
    </xf>
    <xf numFmtId="0" fontId="79" fillId="0" borderId="3" xfId="0" applyFont="1" applyFill="1" applyBorder="1" applyAlignment="1" applyProtection="1">
      <alignment horizontal="center" vertical="center"/>
      <protection locked="0"/>
    </xf>
    <xf numFmtId="0" fontId="80" fillId="0" borderId="3" xfId="0" applyFont="1" applyFill="1" applyBorder="1" applyAlignment="1" applyProtection="1">
      <alignment horizontal="center" vertical="center"/>
      <protection locked="0"/>
    </xf>
    <xf numFmtId="0" fontId="73" fillId="0" borderId="3" xfId="0" applyFont="1" applyFill="1" applyBorder="1" applyAlignment="1" applyProtection="1">
      <alignment horizontal="center" vertical="center" wrapText="1"/>
      <protection locked="0"/>
    </xf>
    <xf numFmtId="0" fontId="81" fillId="0" borderId="3" xfId="0" applyFont="1" applyFill="1" applyBorder="1" applyAlignment="1" applyProtection="1">
      <alignment horizontal="center" vertical="center" wrapText="1"/>
      <protection locked="0"/>
    </xf>
    <xf numFmtId="179" fontId="82" fillId="0" borderId="3" xfId="0" applyNumberFormat="1" applyFont="1" applyFill="1" applyBorder="1" applyAlignment="1" applyProtection="1">
      <alignment horizontal="center" vertical="center" wrapText="1" shrinkToFit="1"/>
    </xf>
    <xf numFmtId="0" fontId="82" fillId="0" borderId="3" xfId="0" applyFont="1" applyFill="1" applyBorder="1" applyAlignment="1" applyProtection="1">
      <alignment horizontal="center" vertical="center" wrapText="1"/>
      <protection locked="0"/>
    </xf>
    <xf numFmtId="0" fontId="82" fillId="0" borderId="3" xfId="0" applyFont="1" applyFill="1" applyBorder="1" applyAlignment="1" applyProtection="1">
      <alignment horizontal="center" vertical="center" wrapText="1" shrinkToFit="1"/>
      <protection locked="0"/>
    </xf>
    <xf numFmtId="0" fontId="82" fillId="0" borderId="3" xfId="0" applyFont="1" applyFill="1" applyBorder="1" applyAlignment="1" applyProtection="1">
      <alignment horizontal="center" vertical="center"/>
      <protection locked="0"/>
    </xf>
    <xf numFmtId="49" fontId="82" fillId="0" borderId="3" xfId="0" applyNumberFormat="1" applyFont="1" applyFill="1" applyBorder="1" applyAlignment="1" applyProtection="1">
      <alignment horizontal="center" vertical="center" wrapText="1" shrinkToFit="1"/>
      <protection locked="0"/>
    </xf>
    <xf numFmtId="189" fontId="82" fillId="0" borderId="3" xfId="0" applyNumberFormat="1" applyFont="1" applyFill="1" applyBorder="1" applyAlignment="1" applyProtection="1">
      <alignment horizontal="center" vertical="center" wrapText="1" shrinkToFit="1"/>
      <protection locked="0"/>
    </xf>
    <xf numFmtId="186" fontId="82" fillId="0" borderId="3" xfId="0" applyNumberFormat="1" applyFont="1" applyFill="1" applyBorder="1" applyAlignment="1" applyProtection="1">
      <alignment horizontal="center" vertical="center" wrapText="1" shrinkToFit="1"/>
      <protection locked="0"/>
    </xf>
    <xf numFmtId="0" fontId="82" fillId="0" borderId="3" xfId="0" applyNumberFormat="1" applyFont="1" applyFill="1" applyBorder="1" applyAlignment="1" applyProtection="1">
      <alignment horizontal="center" vertical="center" wrapText="1" shrinkToFit="1"/>
      <protection locked="0"/>
    </xf>
    <xf numFmtId="187" fontId="82" fillId="0" borderId="3" xfId="0" applyNumberFormat="1" applyFont="1" applyFill="1" applyBorder="1" applyAlignment="1" applyProtection="1">
      <alignment horizontal="center" vertical="center" wrapText="1" shrinkToFit="1"/>
      <protection locked="0"/>
    </xf>
    <xf numFmtId="0" fontId="63" fillId="0" borderId="3" xfId="0" applyFont="1" applyFill="1" applyBorder="1" applyAlignment="1" applyProtection="1">
      <alignment horizontal="center" vertical="center" wrapText="1" shrinkToFit="1"/>
      <protection locked="0"/>
    </xf>
    <xf numFmtId="190" fontId="82" fillId="0" borderId="3" xfId="0" applyNumberFormat="1" applyFont="1" applyFill="1" applyBorder="1" applyAlignment="1" applyProtection="1">
      <alignment horizontal="center" vertical="center" wrapText="1" shrinkToFit="1"/>
      <protection locked="0"/>
    </xf>
    <xf numFmtId="185" fontId="82" fillId="0" borderId="3" xfId="0" applyNumberFormat="1" applyFont="1" applyFill="1" applyBorder="1" applyAlignment="1" applyProtection="1">
      <alignment horizontal="center" vertical="center" wrapText="1" shrinkToFit="1"/>
      <protection locked="0"/>
    </xf>
    <xf numFmtId="0" fontId="63" fillId="0" borderId="3" xfId="0" applyFont="1" applyFill="1" applyBorder="1" applyAlignment="1" applyProtection="1">
      <alignment horizontal="center" vertical="center"/>
      <protection locked="0"/>
    </xf>
    <xf numFmtId="0" fontId="63" fillId="0" borderId="3" xfId="0" applyFont="1" applyFill="1" applyBorder="1" applyProtection="1">
      <alignment vertical="center"/>
      <protection locked="0"/>
    </xf>
    <xf numFmtId="179" fontId="65" fillId="0" borderId="3" xfId="0" applyNumberFormat="1" applyFont="1" applyFill="1" applyBorder="1" applyAlignment="1" applyProtection="1">
      <alignment horizontal="center" vertical="center" wrapText="1" shrinkToFit="1"/>
    </xf>
    <xf numFmtId="0" fontId="65" fillId="0" borderId="3" xfId="0" applyFont="1" applyFill="1" applyBorder="1" applyAlignment="1" applyProtection="1">
      <alignment horizontal="center" vertical="center" wrapText="1"/>
      <protection locked="0"/>
    </xf>
    <xf numFmtId="0" fontId="65" fillId="0" borderId="3" xfId="0" applyFont="1" applyFill="1" applyBorder="1" applyAlignment="1" applyProtection="1">
      <alignment horizontal="center" vertical="center" wrapText="1" shrinkToFit="1"/>
      <protection locked="0"/>
    </xf>
    <xf numFmtId="0" fontId="65" fillId="0" borderId="3" xfId="0" applyFont="1" applyFill="1" applyBorder="1" applyAlignment="1" applyProtection="1">
      <alignment horizontal="center" vertical="center"/>
      <protection locked="0"/>
    </xf>
    <xf numFmtId="49" fontId="65" fillId="0" borderId="3" xfId="0" applyNumberFormat="1" applyFont="1" applyFill="1" applyBorder="1" applyAlignment="1" applyProtection="1">
      <alignment horizontal="center" vertical="center" wrapText="1" shrinkToFit="1"/>
      <protection locked="0"/>
    </xf>
    <xf numFmtId="189" fontId="65" fillId="0" borderId="3" xfId="0" applyNumberFormat="1" applyFont="1" applyFill="1" applyBorder="1" applyAlignment="1" applyProtection="1">
      <alignment horizontal="center" vertical="center" wrapText="1" shrinkToFit="1"/>
      <protection locked="0"/>
    </xf>
    <xf numFmtId="186" fontId="65" fillId="0" borderId="3" xfId="0" applyNumberFormat="1" applyFont="1" applyFill="1" applyBorder="1" applyAlignment="1" applyProtection="1">
      <alignment horizontal="center" vertical="center" wrapText="1" shrinkToFit="1"/>
      <protection locked="0"/>
    </xf>
    <xf numFmtId="0" fontId="65" fillId="0" borderId="3" xfId="0" applyNumberFormat="1" applyFont="1" applyFill="1" applyBorder="1" applyAlignment="1" applyProtection="1">
      <alignment horizontal="center" vertical="center" wrapText="1" shrinkToFit="1"/>
      <protection locked="0"/>
    </xf>
    <xf numFmtId="187" fontId="65" fillId="0" borderId="3" xfId="0" applyNumberFormat="1" applyFont="1" applyFill="1" applyBorder="1" applyAlignment="1" applyProtection="1">
      <alignment horizontal="center" vertical="center" wrapText="1" shrinkToFit="1"/>
      <protection locked="0"/>
    </xf>
    <xf numFmtId="0" fontId="64" fillId="0" borderId="3" xfId="0" applyFont="1" applyFill="1" applyBorder="1" applyAlignment="1" applyProtection="1">
      <alignment horizontal="center" vertical="center" wrapText="1" shrinkToFit="1"/>
      <protection locked="0"/>
    </xf>
    <xf numFmtId="190" fontId="65" fillId="0" borderId="3" xfId="0" applyNumberFormat="1" applyFont="1" applyFill="1" applyBorder="1" applyAlignment="1" applyProtection="1">
      <alignment horizontal="center" vertical="center" wrapText="1" shrinkToFit="1"/>
      <protection locked="0"/>
    </xf>
    <xf numFmtId="185" fontId="65" fillId="0" borderId="3" xfId="0" applyNumberFormat="1" applyFont="1" applyFill="1" applyBorder="1" applyAlignment="1" applyProtection="1">
      <alignment horizontal="center" vertical="center" wrapText="1" shrinkToFit="1"/>
      <protection locked="0"/>
    </xf>
    <xf numFmtId="0" fontId="64" fillId="0" borderId="3" xfId="0" applyFont="1" applyFill="1" applyBorder="1" applyAlignment="1" applyProtection="1">
      <alignment horizontal="center" vertical="center"/>
      <protection locked="0"/>
    </xf>
    <xf numFmtId="0" fontId="64" fillId="0" borderId="3" xfId="0" applyFont="1" applyFill="1" applyBorder="1" applyProtection="1">
      <alignment vertical="center"/>
      <protection locked="0"/>
    </xf>
    <xf numFmtId="179" fontId="64" fillId="0" borderId="3" xfId="0" applyNumberFormat="1" applyFont="1" applyFill="1" applyBorder="1" applyAlignment="1" applyProtection="1">
      <alignment horizontal="center" vertical="center" wrapText="1" shrinkToFit="1"/>
    </xf>
    <xf numFmtId="0" fontId="64" fillId="0" borderId="3" xfId="0" applyFont="1" applyFill="1" applyBorder="1" applyAlignment="1" applyProtection="1">
      <alignment horizontal="center" vertical="center" wrapText="1"/>
      <protection locked="0"/>
    </xf>
    <xf numFmtId="49" fontId="64" fillId="0" borderId="3" xfId="0" applyNumberFormat="1" applyFont="1" applyFill="1" applyBorder="1" applyAlignment="1" applyProtection="1">
      <alignment horizontal="center" vertical="center" wrapText="1" shrinkToFit="1"/>
      <protection locked="0"/>
    </xf>
    <xf numFmtId="3" fontId="64" fillId="0" borderId="3" xfId="0" applyNumberFormat="1" applyFont="1" applyFill="1" applyBorder="1" applyAlignment="1" applyProtection="1">
      <alignment horizontal="center" vertical="center" wrapText="1" shrinkToFit="1"/>
      <protection locked="0"/>
    </xf>
    <xf numFmtId="189" fontId="64" fillId="0" borderId="3" xfId="0" applyNumberFormat="1" applyFont="1" applyFill="1" applyBorder="1" applyAlignment="1" applyProtection="1">
      <alignment horizontal="center" vertical="center" wrapText="1" shrinkToFit="1"/>
      <protection locked="0"/>
    </xf>
    <xf numFmtId="186" fontId="64" fillId="0" borderId="3" xfId="0" applyNumberFormat="1" applyFont="1" applyFill="1" applyBorder="1" applyAlignment="1" applyProtection="1">
      <alignment horizontal="center" vertical="center" wrapText="1" shrinkToFit="1"/>
      <protection locked="0"/>
    </xf>
    <xf numFmtId="0" fontId="64" fillId="0" borderId="3" xfId="0" applyNumberFormat="1" applyFont="1" applyFill="1" applyBorder="1" applyAlignment="1" applyProtection="1">
      <alignment horizontal="center" vertical="center" wrapText="1" shrinkToFit="1"/>
      <protection locked="0"/>
    </xf>
    <xf numFmtId="58" fontId="64" fillId="0" borderId="3" xfId="0" applyNumberFormat="1" applyFont="1" applyFill="1" applyBorder="1" applyAlignment="1" applyProtection="1">
      <alignment horizontal="center" vertical="center" wrapText="1" shrinkToFit="1"/>
      <protection locked="0"/>
    </xf>
    <xf numFmtId="187" fontId="64" fillId="0" borderId="3" xfId="0" applyNumberFormat="1" applyFont="1" applyFill="1" applyBorder="1" applyAlignment="1" applyProtection="1">
      <alignment horizontal="center" vertical="center" wrapText="1" shrinkToFit="1"/>
      <protection locked="0"/>
    </xf>
    <xf numFmtId="185" fontId="64" fillId="0" borderId="3" xfId="0" applyNumberFormat="1" applyFont="1" applyFill="1" applyBorder="1" applyAlignment="1" applyProtection="1">
      <alignment horizontal="center" vertical="center" wrapText="1" shrinkToFit="1"/>
      <protection locked="0"/>
    </xf>
    <xf numFmtId="3" fontId="65" fillId="0" borderId="3" xfId="0" applyNumberFormat="1" applyFont="1" applyFill="1" applyBorder="1" applyAlignment="1" applyProtection="1">
      <alignment horizontal="center" vertical="center" wrapText="1" shrinkToFit="1"/>
      <protection locked="0"/>
    </xf>
    <xf numFmtId="58" fontId="65" fillId="0" borderId="3" xfId="0" applyNumberFormat="1" applyFont="1" applyFill="1" applyBorder="1" applyAlignment="1" applyProtection="1">
      <alignment horizontal="center" vertical="center" wrapText="1" shrinkToFit="1"/>
      <protection locked="0"/>
    </xf>
    <xf numFmtId="0" fontId="0" fillId="0" borderId="3" xfId="0" applyFont="1" applyFill="1" applyBorder="1" applyAlignment="1" applyProtection="1">
      <alignment horizontal="center" vertical="center"/>
      <protection locked="0"/>
    </xf>
    <xf numFmtId="179" fontId="64" fillId="17" borderId="3" xfId="0" applyNumberFormat="1" applyFont="1" applyFill="1" applyBorder="1" applyAlignment="1" applyProtection="1">
      <alignment horizontal="center" vertical="center" wrapText="1" shrinkToFit="1"/>
    </xf>
    <xf numFmtId="0" fontId="64" fillId="17" borderId="3" xfId="0" applyFont="1" applyFill="1" applyBorder="1" applyAlignment="1" applyProtection="1">
      <alignment horizontal="center" vertical="center" wrapText="1"/>
      <protection locked="0"/>
    </xf>
    <xf numFmtId="0" fontId="64" fillId="17" borderId="3" xfId="0" applyFont="1" applyFill="1" applyBorder="1" applyAlignment="1" applyProtection="1">
      <alignment horizontal="center" vertical="center" wrapText="1" shrinkToFit="1"/>
      <protection locked="0"/>
    </xf>
    <xf numFmtId="0" fontId="64" fillId="17" borderId="3" xfId="0" applyFont="1" applyFill="1" applyBorder="1" applyAlignment="1" applyProtection="1">
      <alignment horizontal="center" vertical="center"/>
      <protection locked="0"/>
    </xf>
    <xf numFmtId="49" fontId="64" fillId="17" borderId="3" xfId="0" applyNumberFormat="1" applyFont="1" applyFill="1" applyBorder="1" applyAlignment="1" applyProtection="1">
      <alignment horizontal="center" vertical="center" wrapText="1" shrinkToFit="1"/>
      <protection locked="0"/>
    </xf>
    <xf numFmtId="3" fontId="64" fillId="17" borderId="3" xfId="0" applyNumberFormat="1" applyFont="1" applyFill="1" applyBorder="1" applyAlignment="1" applyProtection="1">
      <alignment horizontal="center" vertical="center" wrapText="1" shrinkToFit="1"/>
      <protection locked="0"/>
    </xf>
    <xf numFmtId="189" fontId="64" fillId="17" borderId="3" xfId="0" applyNumberFormat="1" applyFont="1" applyFill="1" applyBorder="1" applyAlignment="1" applyProtection="1">
      <alignment horizontal="center" vertical="center" wrapText="1" shrinkToFit="1"/>
      <protection locked="0"/>
    </xf>
    <xf numFmtId="186" fontId="64" fillId="17" borderId="3" xfId="0" applyNumberFormat="1" applyFont="1" applyFill="1" applyBorder="1" applyAlignment="1" applyProtection="1">
      <alignment horizontal="center" vertical="center" wrapText="1" shrinkToFit="1"/>
      <protection locked="0"/>
    </xf>
    <xf numFmtId="0" fontId="64" fillId="17" borderId="3" xfId="0" applyNumberFormat="1" applyFont="1" applyFill="1" applyBorder="1" applyAlignment="1" applyProtection="1">
      <alignment horizontal="center" vertical="center" wrapText="1" shrinkToFit="1"/>
      <protection locked="0"/>
    </xf>
    <xf numFmtId="58" fontId="64" fillId="17" borderId="3" xfId="0" applyNumberFormat="1" applyFont="1" applyFill="1" applyBorder="1" applyAlignment="1" applyProtection="1">
      <alignment horizontal="center" vertical="center" wrapText="1" shrinkToFit="1"/>
      <protection locked="0"/>
    </xf>
    <xf numFmtId="187" fontId="64" fillId="17" borderId="3" xfId="0" applyNumberFormat="1" applyFont="1" applyFill="1" applyBorder="1" applyAlignment="1" applyProtection="1">
      <alignment horizontal="center" vertical="center" wrapText="1" shrinkToFit="1"/>
      <protection locked="0"/>
    </xf>
    <xf numFmtId="185" fontId="64" fillId="17" borderId="3" xfId="0" applyNumberFormat="1" applyFont="1" applyFill="1" applyBorder="1" applyAlignment="1" applyProtection="1">
      <alignment horizontal="center" vertical="center" wrapText="1" shrinkToFit="1"/>
      <protection locked="0"/>
    </xf>
    <xf numFmtId="0" fontId="64" fillId="17" borderId="3" xfId="0" applyFont="1" applyFill="1" applyBorder="1" applyProtection="1">
      <alignment vertical="center"/>
      <protection locked="0"/>
    </xf>
    <xf numFmtId="0" fontId="64" fillId="17" borderId="0" xfId="0" applyFont="1" applyFill="1" applyProtection="1">
      <alignment vertical="center"/>
      <protection locked="0"/>
    </xf>
    <xf numFmtId="179" fontId="65" fillId="17" borderId="3" xfId="0" applyNumberFormat="1" applyFont="1" applyFill="1" applyBorder="1" applyAlignment="1" applyProtection="1">
      <alignment horizontal="center" vertical="center" wrapText="1" shrinkToFit="1"/>
    </xf>
    <xf numFmtId="0" fontId="65" fillId="17" borderId="3" xfId="0" applyFont="1" applyFill="1" applyBorder="1" applyAlignment="1" applyProtection="1">
      <alignment horizontal="center" vertical="center" wrapText="1"/>
      <protection locked="0"/>
    </xf>
    <xf numFmtId="0" fontId="65" fillId="17" borderId="3" xfId="0" applyFont="1" applyFill="1" applyBorder="1" applyAlignment="1" applyProtection="1">
      <alignment horizontal="center" vertical="center" wrapText="1" shrinkToFit="1"/>
      <protection locked="0"/>
    </xf>
    <xf numFmtId="0" fontId="65" fillId="17" borderId="3" xfId="0" applyFont="1" applyFill="1" applyBorder="1" applyAlignment="1" applyProtection="1">
      <alignment horizontal="center" vertical="center"/>
      <protection locked="0"/>
    </xf>
    <xf numFmtId="49" fontId="65" fillId="17" borderId="3" xfId="0" applyNumberFormat="1" applyFont="1" applyFill="1" applyBorder="1" applyAlignment="1" applyProtection="1">
      <alignment horizontal="center" vertical="center" wrapText="1" shrinkToFit="1"/>
      <protection locked="0"/>
    </xf>
    <xf numFmtId="186" fontId="65" fillId="17" borderId="3" xfId="0" applyNumberFormat="1" applyFont="1" applyFill="1" applyBorder="1" applyAlignment="1" applyProtection="1">
      <alignment horizontal="center" vertical="center" wrapText="1" shrinkToFit="1"/>
      <protection locked="0"/>
    </xf>
    <xf numFmtId="58" fontId="64" fillId="17" borderId="35" xfId="0" applyNumberFormat="1" applyFont="1" applyFill="1" applyBorder="1" applyAlignment="1" applyProtection="1">
      <alignment horizontal="center" vertical="center" wrapText="1" shrinkToFit="1"/>
      <protection locked="0"/>
    </xf>
    <xf numFmtId="187" fontId="65" fillId="17" borderId="35" xfId="0" applyNumberFormat="1" applyFont="1" applyFill="1" applyBorder="1" applyAlignment="1" applyProtection="1">
      <alignment horizontal="center" vertical="center" wrapText="1" shrinkToFit="1"/>
      <protection locked="0"/>
    </xf>
    <xf numFmtId="187" fontId="64" fillId="17" borderId="35" xfId="0" applyNumberFormat="1" applyFont="1" applyFill="1" applyBorder="1" applyAlignment="1" applyProtection="1">
      <alignment horizontal="center" vertical="center" wrapText="1" shrinkToFit="1"/>
      <protection locked="0"/>
    </xf>
    <xf numFmtId="187" fontId="65" fillId="17" borderId="3" xfId="0" applyNumberFormat="1" applyFont="1" applyFill="1" applyBorder="1" applyAlignment="1" applyProtection="1">
      <alignment horizontal="center" vertical="center" wrapText="1" shrinkToFit="1"/>
      <protection locked="0"/>
    </xf>
    <xf numFmtId="185" fontId="65" fillId="17" borderId="3" xfId="0" applyNumberFormat="1" applyFont="1" applyFill="1" applyBorder="1" applyAlignment="1" applyProtection="1">
      <alignment horizontal="center" vertical="center" wrapText="1" shrinkToFit="1"/>
      <protection locked="0"/>
    </xf>
    <xf numFmtId="0" fontId="64" fillId="17" borderId="7" xfId="0" applyFont="1" applyFill="1" applyBorder="1" applyAlignment="1" applyProtection="1">
      <alignment horizontal="center" vertical="center"/>
      <protection locked="0"/>
    </xf>
    <xf numFmtId="179" fontId="64" fillId="6" borderId="3" xfId="0" applyNumberFormat="1" applyFont="1" applyFill="1" applyBorder="1" applyAlignment="1" applyProtection="1">
      <alignment horizontal="center" vertical="center" wrapText="1" shrinkToFit="1"/>
    </xf>
    <xf numFmtId="0" fontId="64" fillId="6" borderId="3" xfId="0" applyFont="1" applyFill="1" applyBorder="1" applyAlignment="1" applyProtection="1">
      <alignment horizontal="center" vertical="center" wrapText="1"/>
      <protection locked="0"/>
    </xf>
    <xf numFmtId="0" fontId="64" fillId="6" borderId="3" xfId="0" applyFont="1" applyFill="1" applyBorder="1" applyAlignment="1" applyProtection="1">
      <alignment horizontal="center" vertical="center" wrapText="1" shrinkToFit="1"/>
      <protection locked="0"/>
    </xf>
    <xf numFmtId="0" fontId="64" fillId="6" borderId="3" xfId="0" applyFont="1" applyFill="1" applyBorder="1" applyAlignment="1" applyProtection="1">
      <alignment horizontal="center" vertical="center"/>
      <protection locked="0"/>
    </xf>
    <xf numFmtId="49" fontId="64" fillId="6" borderId="3" xfId="0" applyNumberFormat="1" applyFont="1" applyFill="1" applyBorder="1" applyAlignment="1" applyProtection="1">
      <alignment horizontal="center" vertical="center" wrapText="1" shrinkToFit="1"/>
      <protection locked="0"/>
    </xf>
    <xf numFmtId="3" fontId="64" fillId="6" borderId="3" xfId="0" applyNumberFormat="1" applyFont="1" applyFill="1" applyBorder="1" applyAlignment="1" applyProtection="1">
      <alignment horizontal="center" vertical="center" wrapText="1" shrinkToFit="1"/>
      <protection locked="0"/>
    </xf>
    <xf numFmtId="189" fontId="64" fillId="6" borderId="3" xfId="0" applyNumberFormat="1" applyFont="1" applyFill="1" applyBorder="1" applyAlignment="1" applyProtection="1">
      <alignment horizontal="center" vertical="center" wrapText="1" shrinkToFit="1"/>
      <protection locked="0"/>
    </xf>
    <xf numFmtId="186" fontId="64" fillId="6" borderId="3" xfId="0" applyNumberFormat="1" applyFont="1" applyFill="1" applyBorder="1" applyAlignment="1" applyProtection="1">
      <alignment horizontal="center" vertical="center" wrapText="1" shrinkToFit="1"/>
      <protection locked="0"/>
    </xf>
    <xf numFmtId="0" fontId="64" fillId="6" borderId="3" xfId="0" applyNumberFormat="1" applyFont="1" applyFill="1" applyBorder="1" applyAlignment="1" applyProtection="1">
      <alignment horizontal="center" vertical="center" wrapText="1" shrinkToFit="1"/>
      <protection locked="0"/>
    </xf>
    <xf numFmtId="58" fontId="65" fillId="6" borderId="35" xfId="0" applyNumberFormat="1" applyFont="1" applyFill="1" applyBorder="1" applyAlignment="1" applyProtection="1">
      <alignment horizontal="center" vertical="center" wrapText="1" shrinkToFit="1"/>
      <protection locked="0"/>
    </xf>
    <xf numFmtId="187" fontId="65" fillId="6" borderId="35" xfId="0" applyNumberFormat="1" applyFont="1" applyFill="1" applyBorder="1" applyAlignment="1" applyProtection="1">
      <alignment horizontal="center" vertical="center" wrapText="1" shrinkToFit="1"/>
      <protection locked="0"/>
    </xf>
    <xf numFmtId="185" fontId="64" fillId="6" borderId="3" xfId="0" applyNumberFormat="1" applyFont="1" applyFill="1" applyBorder="1" applyAlignment="1" applyProtection="1">
      <alignment horizontal="center" vertical="center" wrapText="1" shrinkToFit="1"/>
      <protection locked="0"/>
    </xf>
    <xf numFmtId="0" fontId="64" fillId="6" borderId="5" xfId="0" applyFont="1" applyFill="1" applyBorder="1" applyAlignment="1" applyProtection="1">
      <alignment horizontal="center" vertical="center"/>
      <protection locked="0"/>
    </xf>
    <xf numFmtId="0" fontId="64" fillId="6" borderId="7" xfId="0" applyFont="1" applyFill="1" applyBorder="1" applyAlignment="1" applyProtection="1">
      <alignment horizontal="center" vertical="center"/>
      <protection locked="0"/>
    </xf>
    <xf numFmtId="58" fontId="65" fillId="0" borderId="35" xfId="0" applyNumberFormat="1" applyFont="1" applyFill="1" applyBorder="1" applyAlignment="1" applyProtection="1">
      <alignment horizontal="center" vertical="center" wrapText="1" shrinkToFit="1"/>
      <protection locked="0"/>
    </xf>
    <xf numFmtId="0" fontId="64" fillId="0" borderId="0" xfId="0" applyFont="1" applyBorder="1">
      <alignment vertical="center"/>
    </xf>
    <xf numFmtId="187" fontId="65" fillId="0" borderId="35" xfId="0" applyNumberFormat="1" applyFont="1" applyFill="1" applyBorder="1" applyAlignment="1" applyProtection="1">
      <alignment horizontal="center" vertical="center" wrapText="1" shrinkToFit="1"/>
      <protection locked="0"/>
    </xf>
    <xf numFmtId="0" fontId="64" fillId="0" borderId="3" xfId="0" applyFont="1" applyFill="1" applyBorder="1" applyAlignment="1">
      <alignment horizontal="center" vertical="center"/>
    </xf>
    <xf numFmtId="0" fontId="64" fillId="0" borderId="5" xfId="0" applyFont="1" applyFill="1" applyBorder="1" applyAlignment="1" applyProtection="1">
      <alignment horizontal="center" vertical="center"/>
      <protection locked="0"/>
    </xf>
    <xf numFmtId="189" fontId="64" fillId="0" borderId="3" xfId="0" applyNumberFormat="1" applyFont="1" applyFill="1" applyBorder="1" applyAlignment="1" applyProtection="1">
      <alignment horizontal="center" vertical="center"/>
      <protection locked="0"/>
    </xf>
    <xf numFmtId="0" fontId="64" fillId="0" borderId="7" xfId="0" applyFont="1" applyFill="1" applyBorder="1" applyAlignment="1" applyProtection="1">
      <alignment horizontal="center" vertical="center"/>
      <protection locked="0"/>
    </xf>
    <xf numFmtId="191" fontId="64" fillId="0" borderId="3" xfId="0" applyNumberFormat="1" applyFont="1" applyFill="1" applyBorder="1" applyAlignment="1" applyProtection="1">
      <alignment horizontal="center" vertical="center" wrapText="1" shrinkToFit="1"/>
      <protection locked="0"/>
    </xf>
    <xf numFmtId="0" fontId="65" fillId="0" borderId="5" xfId="0" applyFont="1" applyFill="1" applyBorder="1" applyAlignment="1" applyProtection="1">
      <alignment horizontal="center" vertical="center"/>
      <protection locked="0"/>
    </xf>
    <xf numFmtId="0" fontId="65" fillId="0" borderId="7" xfId="0" applyFont="1" applyFill="1" applyBorder="1" applyAlignment="1" applyProtection="1">
      <alignment horizontal="center" vertical="center"/>
      <protection locked="0"/>
    </xf>
    <xf numFmtId="189" fontId="65" fillId="0" borderId="3" xfId="0" applyNumberFormat="1" applyFont="1" applyFill="1" applyBorder="1" applyAlignment="1" applyProtection="1">
      <alignment horizontal="center" vertical="center"/>
      <protection locked="0"/>
    </xf>
    <xf numFmtId="3" fontId="65" fillId="17" borderId="3" xfId="0" applyNumberFormat="1" applyFont="1" applyFill="1" applyBorder="1" applyAlignment="1" applyProtection="1">
      <alignment horizontal="center" vertical="center" wrapText="1" shrinkToFit="1"/>
      <protection locked="0"/>
    </xf>
    <xf numFmtId="0" fontId="65" fillId="17" borderId="3" xfId="0" applyNumberFormat="1" applyFont="1" applyFill="1" applyBorder="1" applyAlignment="1" applyProtection="1">
      <alignment horizontal="center" vertical="center" wrapText="1" shrinkToFit="1"/>
      <protection locked="0"/>
    </xf>
    <xf numFmtId="58" fontId="65" fillId="17" borderId="3" xfId="0" applyNumberFormat="1" applyFont="1" applyFill="1" applyBorder="1" applyAlignment="1" applyProtection="1">
      <alignment horizontal="center" vertical="center" wrapText="1" shrinkToFit="1"/>
      <protection locked="0"/>
    </xf>
    <xf numFmtId="191" fontId="65" fillId="17" borderId="3" xfId="0" applyNumberFormat="1" applyFont="1" applyFill="1" applyBorder="1" applyAlignment="1" applyProtection="1">
      <alignment horizontal="center" vertical="center" wrapText="1" shrinkToFit="1"/>
      <protection locked="0"/>
    </xf>
    <xf numFmtId="190" fontId="65" fillId="17" borderId="3" xfId="0" applyNumberFormat="1" applyFont="1" applyFill="1" applyBorder="1" applyAlignment="1" applyProtection="1">
      <alignment horizontal="center" vertical="center" wrapText="1" shrinkToFit="1"/>
      <protection locked="0"/>
    </xf>
    <xf numFmtId="0" fontId="65" fillId="17" borderId="3" xfId="0" applyFont="1" applyFill="1" applyBorder="1" applyAlignment="1">
      <alignment horizontal="center" vertical="center"/>
    </xf>
    <xf numFmtId="0" fontId="65" fillId="0" borderId="0" xfId="0" applyFont="1" applyBorder="1">
      <alignment vertical="center"/>
    </xf>
    <xf numFmtId="186" fontId="65" fillId="6" borderId="3" xfId="0" applyNumberFormat="1" applyFont="1" applyFill="1" applyBorder="1" applyAlignment="1" applyProtection="1">
      <alignment horizontal="center" vertical="center" wrapText="1" shrinkToFit="1"/>
      <protection locked="0"/>
    </xf>
    <xf numFmtId="191" fontId="65" fillId="0" borderId="3" xfId="0" applyNumberFormat="1" applyFont="1" applyFill="1" applyBorder="1" applyAlignment="1" applyProtection="1">
      <alignment horizontal="center" vertical="center" wrapText="1" shrinkToFit="1"/>
      <protection locked="0"/>
    </xf>
    <xf numFmtId="0" fontId="65" fillId="6" borderId="0" xfId="0" applyFont="1" applyFill="1" applyBorder="1" applyAlignment="1" applyProtection="1">
      <alignment horizontal="center" vertical="center"/>
      <protection locked="0"/>
    </xf>
    <xf numFmtId="0" fontId="65" fillId="0" borderId="0" xfId="0" applyFont="1" applyFill="1" applyBorder="1" applyAlignment="1" applyProtection="1">
      <alignment horizontal="center" vertical="center"/>
      <protection locked="0"/>
    </xf>
    <xf numFmtId="186" fontId="66" fillId="6" borderId="3" xfId="0" applyNumberFormat="1" applyFont="1" applyFill="1" applyBorder="1" applyAlignment="1" applyProtection="1">
      <alignment horizontal="center" vertical="center" wrapText="1" shrinkToFit="1"/>
      <protection locked="0"/>
    </xf>
    <xf numFmtId="179" fontId="66" fillId="0" borderId="3" xfId="0" applyNumberFormat="1" applyFont="1" applyFill="1" applyBorder="1" applyAlignment="1" applyProtection="1">
      <alignment horizontal="center" vertical="center" wrapText="1" shrinkToFit="1"/>
    </xf>
    <xf numFmtId="0" fontId="66" fillId="0" borderId="3" xfId="0" applyFont="1" applyFill="1" applyBorder="1" applyAlignment="1" applyProtection="1">
      <alignment horizontal="center" vertical="center" wrapText="1"/>
      <protection locked="0"/>
    </xf>
    <xf numFmtId="0" fontId="66" fillId="0" borderId="3" xfId="0" applyFont="1" applyFill="1" applyBorder="1" applyAlignment="1" applyProtection="1">
      <alignment horizontal="center" vertical="center" wrapText="1" shrinkToFit="1"/>
      <protection locked="0"/>
    </xf>
    <xf numFmtId="0" fontId="66" fillId="0" borderId="3" xfId="0" applyFont="1" applyFill="1" applyBorder="1" applyAlignment="1" applyProtection="1">
      <alignment horizontal="center" vertical="center"/>
      <protection locked="0"/>
    </xf>
    <xf numFmtId="49" fontId="66" fillId="0" borderId="3" xfId="0" applyNumberFormat="1" applyFont="1" applyFill="1" applyBorder="1" applyAlignment="1" applyProtection="1">
      <alignment horizontal="center" vertical="center" wrapText="1" shrinkToFit="1"/>
      <protection locked="0"/>
    </xf>
    <xf numFmtId="3" fontId="66" fillId="0" borderId="3" xfId="0" applyNumberFormat="1" applyFont="1" applyFill="1" applyBorder="1" applyAlignment="1" applyProtection="1">
      <alignment horizontal="center" vertical="center" wrapText="1" shrinkToFit="1"/>
      <protection locked="0"/>
    </xf>
    <xf numFmtId="189" fontId="66" fillId="0" borderId="3" xfId="0" applyNumberFormat="1" applyFont="1" applyFill="1" applyBorder="1" applyAlignment="1" applyProtection="1">
      <alignment horizontal="center" vertical="center" wrapText="1" shrinkToFit="1"/>
      <protection locked="0"/>
    </xf>
    <xf numFmtId="0" fontId="66" fillId="0" borderId="3" xfId="0" applyNumberFormat="1" applyFont="1" applyFill="1" applyBorder="1" applyAlignment="1" applyProtection="1">
      <alignment horizontal="center" vertical="center" wrapText="1" shrinkToFit="1"/>
      <protection locked="0"/>
    </xf>
    <xf numFmtId="58" fontId="66" fillId="0" borderId="35" xfId="0" applyNumberFormat="1" applyFont="1" applyFill="1" applyBorder="1" applyAlignment="1" applyProtection="1">
      <alignment horizontal="center" vertical="center" wrapText="1" shrinkToFit="1"/>
      <protection locked="0"/>
    </xf>
    <xf numFmtId="187" fontId="66" fillId="0" borderId="3" xfId="0" applyNumberFormat="1" applyFont="1" applyFill="1" applyBorder="1" applyAlignment="1" applyProtection="1">
      <alignment horizontal="center" vertical="center" wrapText="1" shrinkToFit="1"/>
      <protection locked="0"/>
    </xf>
    <xf numFmtId="186" fontId="66" fillId="0" borderId="3" xfId="0" applyNumberFormat="1" applyFont="1" applyFill="1" applyBorder="1" applyAlignment="1" applyProtection="1">
      <alignment horizontal="center" vertical="center" wrapText="1" shrinkToFit="1"/>
      <protection locked="0"/>
    </xf>
    <xf numFmtId="185" fontId="66" fillId="0" borderId="3" xfId="0" applyNumberFormat="1" applyFont="1" applyFill="1" applyBorder="1" applyAlignment="1" applyProtection="1">
      <alignment horizontal="center" vertical="center" wrapText="1" shrinkToFit="1"/>
      <protection locked="0"/>
    </xf>
    <xf numFmtId="0" fontId="66" fillId="0" borderId="5" xfId="0" applyFont="1" applyFill="1" applyBorder="1" applyAlignment="1" applyProtection="1">
      <alignment horizontal="center" vertical="center"/>
      <protection locked="0"/>
    </xf>
    <xf numFmtId="0" fontId="66" fillId="0" borderId="7" xfId="0" applyFont="1" applyFill="1" applyBorder="1" applyAlignment="1" applyProtection="1">
      <alignment horizontal="center" vertical="center"/>
      <protection locked="0"/>
    </xf>
    <xf numFmtId="189" fontId="66" fillId="0" borderId="3" xfId="0" applyNumberFormat="1" applyFont="1" applyFill="1" applyBorder="1" applyAlignment="1" applyProtection="1">
      <alignment horizontal="center" vertical="center"/>
      <protection locked="0"/>
    </xf>
    <xf numFmtId="58" fontId="65" fillId="6" borderId="3" xfId="0" applyNumberFormat="1" applyFont="1" applyFill="1" applyBorder="1" applyAlignment="1" applyProtection="1">
      <alignment horizontal="center" vertical="center" wrapText="1" shrinkToFit="1"/>
      <protection locked="0"/>
    </xf>
    <xf numFmtId="58" fontId="66" fillId="0" borderId="3" xfId="0" applyNumberFormat="1" applyFont="1" applyFill="1" applyBorder="1" applyAlignment="1" applyProtection="1">
      <alignment horizontal="center" vertical="center" wrapText="1" shrinkToFit="1"/>
      <protection locked="0"/>
    </xf>
    <xf numFmtId="187" fontId="66" fillId="0" borderId="35" xfId="0" applyNumberFormat="1" applyFont="1" applyFill="1" applyBorder="1" applyAlignment="1" applyProtection="1">
      <alignment horizontal="center" vertical="center" wrapText="1" shrinkToFit="1"/>
      <protection locked="0"/>
    </xf>
    <xf numFmtId="0" fontId="66" fillId="6" borderId="3" xfId="0" applyFont="1" applyFill="1" applyBorder="1" applyAlignment="1" applyProtection="1">
      <alignment horizontal="center" vertical="center"/>
      <protection locked="0"/>
    </xf>
    <xf numFmtId="0" fontId="66" fillId="0" borderId="35" xfId="0" applyFont="1" applyFill="1" applyBorder="1" applyAlignment="1" applyProtection="1">
      <alignment horizontal="center" vertical="center" wrapText="1"/>
      <protection locked="0"/>
    </xf>
    <xf numFmtId="0" fontId="66" fillId="0" borderId="35" xfId="0" applyFont="1" applyFill="1" applyBorder="1" applyAlignment="1" applyProtection="1">
      <alignment horizontal="center" vertical="center" wrapText="1" shrinkToFit="1"/>
      <protection locked="0"/>
    </xf>
    <xf numFmtId="0" fontId="66" fillId="0" borderId="35" xfId="0" applyFont="1" applyFill="1" applyBorder="1" applyAlignment="1" applyProtection="1">
      <alignment horizontal="center" vertical="center"/>
      <protection locked="0"/>
    </xf>
    <xf numFmtId="49" fontId="66" fillId="0" borderId="35" xfId="0" applyNumberFormat="1" applyFont="1" applyFill="1" applyBorder="1" applyAlignment="1" applyProtection="1">
      <alignment horizontal="center" vertical="center" wrapText="1" shrinkToFit="1"/>
      <protection locked="0"/>
    </xf>
    <xf numFmtId="3" fontId="66" fillId="0" borderId="35" xfId="0" applyNumberFormat="1" applyFont="1" applyFill="1" applyBorder="1" applyAlignment="1" applyProtection="1">
      <alignment horizontal="center" vertical="center" wrapText="1" shrinkToFit="1"/>
      <protection locked="0"/>
    </xf>
    <xf numFmtId="186" fontId="66" fillId="0" borderId="35" xfId="0" applyNumberFormat="1" applyFont="1" applyFill="1" applyBorder="1" applyAlignment="1" applyProtection="1">
      <alignment horizontal="center" vertical="center" wrapText="1" shrinkToFit="1"/>
      <protection locked="0"/>
    </xf>
    <xf numFmtId="0" fontId="66" fillId="0" borderId="3" xfId="0" applyNumberFormat="1" applyFont="1" applyFill="1" applyBorder="1" applyAlignment="1" applyProtection="1">
      <alignment horizontal="center" vertical="center" wrapText="1"/>
      <protection locked="0"/>
    </xf>
    <xf numFmtId="182" fontId="66" fillId="0" borderId="3" xfId="0" applyNumberFormat="1" applyFont="1" applyFill="1" applyBorder="1" applyAlignment="1" applyProtection="1">
      <alignment horizontal="center" vertical="center" wrapText="1"/>
      <protection locked="0"/>
    </xf>
    <xf numFmtId="0" fontId="83" fillId="0" borderId="3" xfId="0" applyNumberFormat="1" applyFont="1" applyFill="1" applyBorder="1" applyAlignment="1" applyProtection="1">
      <alignment horizontal="center" vertical="center" shrinkToFit="1"/>
      <protection locked="0"/>
    </xf>
    <xf numFmtId="49" fontId="66" fillId="0" borderId="3" xfId="0" applyNumberFormat="1" applyFont="1" applyFill="1" applyBorder="1" applyAlignment="1" applyProtection="1">
      <alignment horizontal="center" vertical="center" wrapText="1"/>
      <protection locked="0"/>
    </xf>
    <xf numFmtId="0" fontId="83" fillId="0" borderId="3" xfId="0" applyFont="1" applyFill="1" applyBorder="1" applyAlignment="1" applyProtection="1">
      <alignment horizontal="center" vertical="center" wrapText="1" shrinkToFit="1"/>
      <protection locked="0"/>
    </xf>
    <xf numFmtId="3" fontId="83" fillId="0" borderId="3" xfId="0" applyNumberFormat="1" applyFont="1" applyFill="1" applyBorder="1" applyAlignment="1" applyProtection="1">
      <alignment horizontal="center" vertical="center"/>
      <protection locked="0"/>
    </xf>
    <xf numFmtId="0" fontId="83" fillId="0" borderId="3" xfId="0" applyFont="1" applyFill="1" applyBorder="1" applyAlignment="1" applyProtection="1">
      <alignment horizontal="center" vertical="center"/>
      <protection locked="0"/>
    </xf>
    <xf numFmtId="0" fontId="66" fillId="0" borderId="36" xfId="0" applyNumberFormat="1" applyFont="1" applyFill="1" applyBorder="1" applyAlignment="1" applyProtection="1">
      <alignment horizontal="center" vertical="center" wrapText="1" shrinkToFit="1"/>
      <protection locked="0"/>
    </xf>
    <xf numFmtId="192" fontId="66" fillId="0" borderId="3" xfId="0" applyNumberFormat="1" applyFont="1" applyFill="1" applyBorder="1" applyAlignment="1" applyProtection="1">
      <alignment horizontal="center" vertical="center" wrapText="1" shrinkToFit="1"/>
      <protection locked="0"/>
    </xf>
    <xf numFmtId="193" fontId="83" fillId="0" borderId="3" xfId="0" applyNumberFormat="1" applyFont="1" applyFill="1" applyBorder="1" applyAlignment="1" applyProtection="1">
      <alignment horizontal="center" vertical="center"/>
      <protection locked="0"/>
    </xf>
    <xf numFmtId="186" fontId="84" fillId="0" borderId="3" xfId="0" applyNumberFormat="1" applyFont="1" applyBorder="1" applyAlignment="1" applyProtection="1">
      <alignment horizontal="center" vertical="center" wrapText="1" shrinkToFit="1"/>
      <protection locked="0"/>
    </xf>
    <xf numFmtId="0" fontId="66" fillId="0" borderId="5" xfId="0" applyFont="1" applyFill="1" applyBorder="1" applyAlignment="1" applyProtection="1">
      <alignment horizontal="center" vertical="center" wrapText="1" shrinkToFit="1"/>
      <protection locked="0"/>
    </xf>
    <xf numFmtId="0" fontId="66" fillId="0" borderId="35" xfId="0" applyNumberFormat="1" applyFont="1" applyFill="1" applyBorder="1" applyAlignment="1" applyProtection="1">
      <alignment horizontal="center" vertical="center" wrapText="1"/>
      <protection locked="0"/>
    </xf>
    <xf numFmtId="182" fontId="66" fillId="0" borderId="35" xfId="0" applyNumberFormat="1" applyFont="1" applyFill="1" applyBorder="1" applyAlignment="1" applyProtection="1">
      <alignment horizontal="center" vertical="center" wrapText="1"/>
      <protection locked="0"/>
    </xf>
    <xf numFmtId="0" fontId="83" fillId="0" borderId="35" xfId="0" applyNumberFormat="1" applyFont="1" applyFill="1" applyBorder="1" applyAlignment="1" applyProtection="1">
      <alignment horizontal="center" vertical="center" shrinkToFit="1"/>
      <protection locked="0"/>
    </xf>
    <xf numFmtId="49" fontId="66" fillId="0" borderId="35" xfId="0" applyNumberFormat="1" applyFont="1" applyFill="1" applyBorder="1" applyAlignment="1" applyProtection="1">
      <alignment horizontal="center" vertical="center" wrapText="1"/>
      <protection locked="0"/>
    </xf>
    <xf numFmtId="0" fontId="83" fillId="0" borderId="35" xfId="0" applyFont="1" applyFill="1" applyBorder="1" applyAlignment="1" applyProtection="1">
      <alignment horizontal="center" vertical="center" wrapText="1" shrinkToFit="1"/>
      <protection locked="0"/>
    </xf>
    <xf numFmtId="3" fontId="83" fillId="0" borderId="35" xfId="0" applyNumberFormat="1" applyFont="1" applyFill="1" applyBorder="1" applyAlignment="1" applyProtection="1">
      <alignment horizontal="center" vertical="center"/>
      <protection locked="0"/>
    </xf>
    <xf numFmtId="0" fontId="83" fillId="0" borderId="35" xfId="0" applyFont="1" applyFill="1" applyBorder="1" applyAlignment="1" applyProtection="1">
      <alignment horizontal="center" vertical="center"/>
      <protection locked="0"/>
    </xf>
    <xf numFmtId="192" fontId="66" fillId="0" borderId="35" xfId="0" applyNumberFormat="1" applyFont="1" applyFill="1" applyBorder="1" applyAlignment="1" applyProtection="1">
      <alignment horizontal="center" vertical="center" wrapText="1" shrinkToFit="1"/>
      <protection locked="0"/>
    </xf>
    <xf numFmtId="187" fontId="66" fillId="17" borderId="3" xfId="0" applyNumberFormat="1" applyFont="1" applyFill="1" applyBorder="1" applyAlignment="1" applyProtection="1">
      <alignment horizontal="center" vertical="center" wrapText="1" shrinkToFit="1"/>
      <protection locked="0"/>
    </xf>
    <xf numFmtId="191" fontId="66" fillId="0" borderId="3" xfId="0" applyNumberFormat="1" applyFont="1" applyFill="1" applyBorder="1" applyAlignment="1" applyProtection="1">
      <alignment horizontal="center" vertical="center"/>
      <protection locked="0"/>
    </xf>
    <xf numFmtId="0" fontId="65" fillId="0" borderId="3" xfId="0" applyFont="1" applyBorder="1" applyAlignment="1">
      <alignment horizontal="center" vertical="center" wrapText="1" shrinkToFit="1"/>
    </xf>
    <xf numFmtId="0" fontId="66" fillId="6" borderId="7" xfId="0" applyFont="1" applyFill="1" applyBorder="1" applyAlignment="1" applyProtection="1">
      <alignment horizontal="center" vertical="center"/>
      <protection locked="0"/>
    </xf>
    <xf numFmtId="0" fontId="66" fillId="6" borderId="3" xfId="0" applyFont="1" applyFill="1" applyBorder="1" applyAlignment="1" applyProtection="1">
      <alignment horizontal="center" vertical="center" wrapText="1" shrinkToFit="1"/>
      <protection locked="0"/>
    </xf>
    <xf numFmtId="186" fontId="84" fillId="0" borderId="36" xfId="0" applyNumberFormat="1" applyFont="1" applyBorder="1" applyAlignment="1" applyProtection="1">
      <alignment horizontal="center" vertical="center" wrapText="1" shrinkToFit="1"/>
      <protection locked="0"/>
    </xf>
    <xf numFmtId="191" fontId="82" fillId="0" borderId="3" xfId="0" applyNumberFormat="1" applyFont="1" applyFill="1" applyBorder="1" applyAlignment="1" applyProtection="1">
      <alignment horizontal="center" vertical="center" wrapText="1" shrinkToFit="1"/>
      <protection locked="0"/>
    </xf>
    <xf numFmtId="185" fontId="85" fillId="0" borderId="3" xfId="0" applyNumberFormat="1" applyFont="1" applyFill="1" applyBorder="1" applyAlignment="1" applyProtection="1">
      <alignment horizontal="center" vertical="center" wrapText="1" shrinkToFit="1"/>
      <protection locked="0"/>
    </xf>
    <xf numFmtId="0" fontId="79" fillId="0" borderId="3" xfId="0" applyFont="1" applyFill="1" applyBorder="1" applyAlignment="1" applyProtection="1">
      <alignment horizontal="center" vertical="center" wrapText="1" shrinkToFit="1"/>
      <protection locked="0"/>
    </xf>
    <xf numFmtId="186" fontId="66" fillId="6" borderId="35" xfId="0" applyNumberFormat="1" applyFont="1" applyFill="1" applyBorder="1" applyAlignment="1" applyProtection="1">
      <alignment horizontal="center" vertical="center" wrapText="1" shrinkToFit="1"/>
      <protection locked="0"/>
    </xf>
    <xf numFmtId="191" fontId="66" fillId="0" borderId="3" xfId="0" applyNumberFormat="1" applyFont="1" applyFill="1" applyBorder="1" applyAlignment="1" applyProtection="1">
      <alignment horizontal="center" vertical="center" wrapText="1" shrinkToFit="1"/>
      <protection locked="0"/>
    </xf>
    <xf numFmtId="191" fontId="66" fillId="6" borderId="3" xfId="0" applyNumberFormat="1" applyFont="1" applyFill="1" applyBorder="1" applyAlignment="1" applyProtection="1">
      <alignment horizontal="center" vertical="center"/>
      <protection locked="0"/>
    </xf>
    <xf numFmtId="3" fontId="66" fillId="17" borderId="3" xfId="0" applyNumberFormat="1" applyFont="1" applyFill="1" applyBorder="1" applyAlignment="1" applyProtection="1">
      <alignment horizontal="center" vertical="center" wrapText="1" shrinkToFit="1"/>
      <protection locked="0"/>
    </xf>
    <xf numFmtId="185" fontId="66" fillId="6" borderId="3" xfId="0" applyNumberFormat="1" applyFont="1" applyFill="1" applyBorder="1" applyAlignment="1" applyProtection="1">
      <alignment horizontal="center" vertical="center" wrapText="1" shrinkToFit="1"/>
      <protection locked="0"/>
    </xf>
    <xf numFmtId="0" fontId="66" fillId="0" borderId="0" xfId="0" applyFont="1" applyFill="1" applyBorder="1" applyAlignment="1" applyProtection="1">
      <alignment horizontal="center" vertical="center"/>
      <protection locked="0"/>
    </xf>
    <xf numFmtId="186" fontId="86" fillId="0" borderId="3" xfId="0" applyNumberFormat="1" applyFont="1" applyFill="1" applyBorder="1" applyAlignment="1" applyProtection="1">
      <alignment horizontal="center" vertical="center" wrapText="1" shrinkToFit="1"/>
      <protection locked="0"/>
    </xf>
    <xf numFmtId="0" fontId="86" fillId="0" borderId="3" xfId="0" applyFont="1" applyFill="1" applyBorder="1" applyAlignment="1" applyProtection="1">
      <alignment horizontal="center" vertical="center"/>
      <protection locked="0"/>
    </xf>
    <xf numFmtId="185" fontId="86" fillId="0" borderId="3" xfId="0" applyNumberFormat="1" applyFont="1" applyFill="1" applyBorder="1" applyAlignment="1" applyProtection="1">
      <alignment horizontal="center" vertical="center" wrapText="1" shrinkToFit="1"/>
      <protection locked="0"/>
    </xf>
    <xf numFmtId="0" fontId="86" fillId="0" borderId="3" xfId="0" applyFont="1" applyFill="1" applyBorder="1" applyAlignment="1" applyProtection="1">
      <alignment horizontal="center" vertical="center" wrapText="1" shrinkToFit="1"/>
      <protection locked="0"/>
    </xf>
    <xf numFmtId="49" fontId="86" fillId="0" borderId="3" xfId="0" applyNumberFormat="1" applyFont="1" applyFill="1" applyBorder="1" applyAlignment="1" applyProtection="1">
      <alignment horizontal="center" vertical="center" wrapText="1" shrinkToFit="1"/>
      <protection locked="0"/>
    </xf>
    <xf numFmtId="0" fontId="86" fillId="0" borderId="3" xfId="0" applyNumberFormat="1" applyFont="1" applyFill="1" applyBorder="1" applyAlignment="1" applyProtection="1">
      <alignment horizontal="center" vertical="center" wrapText="1" shrinkToFit="1"/>
      <protection locked="0"/>
    </xf>
    <xf numFmtId="186" fontId="87" fillId="0" borderId="3" xfId="0" applyNumberFormat="1" applyFont="1" applyFill="1" applyBorder="1" applyAlignment="1" applyProtection="1">
      <alignment horizontal="center" vertical="center" wrapText="1" shrinkToFit="1"/>
      <protection locked="0"/>
    </xf>
    <xf numFmtId="0" fontId="87" fillId="0" borderId="3" xfId="0" applyFont="1" applyFill="1" applyBorder="1" applyAlignment="1" applyProtection="1">
      <alignment horizontal="center" vertical="center"/>
      <protection locked="0"/>
    </xf>
    <xf numFmtId="185" fontId="87" fillId="0" borderId="3" xfId="0" applyNumberFormat="1" applyFont="1" applyFill="1" applyBorder="1" applyAlignment="1" applyProtection="1">
      <alignment horizontal="center" vertical="center" wrapText="1" shrinkToFit="1"/>
      <protection locked="0"/>
    </xf>
    <xf numFmtId="0" fontId="87" fillId="0" borderId="3" xfId="0" applyFont="1" applyFill="1" applyBorder="1" applyAlignment="1" applyProtection="1">
      <alignment horizontal="center" vertical="center" wrapText="1" shrinkToFit="1"/>
      <protection locked="0"/>
    </xf>
    <xf numFmtId="49" fontId="87" fillId="0" borderId="3" xfId="0" applyNumberFormat="1" applyFont="1" applyFill="1" applyBorder="1" applyAlignment="1" applyProtection="1">
      <alignment horizontal="center" vertical="center" wrapText="1" shrinkToFit="1"/>
      <protection locked="0"/>
    </xf>
    <xf numFmtId="0" fontId="87" fillId="0" borderId="3" xfId="0" applyNumberFormat="1" applyFont="1" applyFill="1" applyBorder="1" applyAlignment="1" applyProtection="1">
      <alignment horizontal="center" vertical="center" wrapText="1" shrinkToFit="1"/>
      <protection locked="0"/>
    </xf>
    <xf numFmtId="186" fontId="87" fillId="0" borderId="35" xfId="0" applyNumberFormat="1" applyFont="1" applyFill="1" applyBorder="1" applyAlignment="1" applyProtection="1">
      <alignment horizontal="center" vertical="center" wrapText="1" shrinkToFit="1"/>
      <protection locked="0"/>
    </xf>
    <xf numFmtId="0" fontId="65" fillId="0" borderId="3" xfId="0" applyFont="1" applyFill="1" applyBorder="1" applyAlignment="1">
      <alignment horizontal="center" vertical="center" wrapText="1" shrinkToFit="1"/>
    </xf>
    <xf numFmtId="0" fontId="66" fillId="6" borderId="3" xfId="0" applyFont="1" applyFill="1" applyBorder="1" applyAlignment="1" applyProtection="1">
      <alignment horizontal="center" vertical="center" wrapText="1"/>
      <protection locked="0"/>
    </xf>
    <xf numFmtId="179" fontId="66" fillId="0" borderId="35" xfId="0" applyNumberFormat="1" applyFont="1" applyFill="1" applyBorder="1" applyAlignment="1" applyProtection="1">
      <alignment horizontal="center" vertical="center" wrapText="1" shrinkToFit="1"/>
    </xf>
    <xf numFmtId="189" fontId="66" fillId="0" borderId="35" xfId="0" applyNumberFormat="1" applyFont="1" applyFill="1" applyBorder="1" applyAlignment="1" applyProtection="1">
      <alignment horizontal="center" vertical="center" wrapText="1" shrinkToFit="1"/>
      <protection locked="0"/>
    </xf>
    <xf numFmtId="0" fontId="66" fillId="0" borderId="35" xfId="0" applyNumberFormat="1" applyFont="1" applyFill="1" applyBorder="1" applyAlignment="1" applyProtection="1">
      <alignment horizontal="center" vertical="center" wrapText="1" shrinkToFit="1"/>
      <protection locked="0"/>
    </xf>
    <xf numFmtId="0" fontId="66" fillId="6" borderId="35" xfId="0" applyFont="1" applyFill="1" applyBorder="1" applyAlignment="1" applyProtection="1">
      <alignment horizontal="center" vertical="center" wrapText="1"/>
      <protection locked="0"/>
    </xf>
    <xf numFmtId="191" fontId="66" fillId="0" borderId="35" xfId="0" applyNumberFormat="1" applyFont="1" applyFill="1" applyBorder="1" applyAlignment="1" applyProtection="1">
      <alignment horizontal="center" vertical="center"/>
      <protection locked="0"/>
    </xf>
    <xf numFmtId="185" fontId="66" fillId="0" borderId="35" xfId="0" applyNumberFormat="1" applyFont="1" applyFill="1" applyBorder="1" applyAlignment="1" applyProtection="1">
      <alignment horizontal="center" vertical="center" wrapText="1" shrinkToFit="1"/>
      <protection locked="0"/>
    </xf>
    <xf numFmtId="189" fontId="66" fillId="0" borderId="35" xfId="0" applyNumberFormat="1" applyFont="1" applyFill="1" applyBorder="1" applyAlignment="1" applyProtection="1">
      <alignment horizontal="center" vertical="center"/>
      <protection locked="0"/>
    </xf>
    <xf numFmtId="0" fontId="66" fillId="0" borderId="38" xfId="0" applyFont="1" applyFill="1" applyBorder="1" applyAlignment="1" applyProtection="1">
      <alignment horizontal="center" vertical="center"/>
      <protection locked="0"/>
    </xf>
    <xf numFmtId="0" fontId="66" fillId="0" borderId="39" xfId="0" applyFont="1" applyFill="1" applyBorder="1" applyAlignment="1" applyProtection="1">
      <alignment horizontal="center" vertical="center"/>
      <protection locked="0"/>
    </xf>
    <xf numFmtId="49" fontId="66" fillId="0" borderId="36" xfId="0" applyNumberFormat="1" applyFont="1" applyFill="1" applyBorder="1" applyAlignment="1" applyProtection="1">
      <alignment horizontal="center" vertical="center" wrapText="1" shrinkToFit="1"/>
      <protection locked="0"/>
    </xf>
    <xf numFmtId="0" fontId="66" fillId="0" borderId="36" xfId="0" applyFont="1" applyFill="1" applyBorder="1" applyAlignment="1" applyProtection="1">
      <alignment horizontal="center" vertical="center"/>
      <protection locked="0"/>
    </xf>
    <xf numFmtId="0" fontId="66" fillId="0" borderId="36" xfId="0" applyFont="1" applyFill="1" applyBorder="1" applyAlignment="1" applyProtection="1">
      <alignment horizontal="center" vertical="center" wrapText="1" shrinkToFit="1"/>
      <protection locked="0"/>
    </xf>
    <xf numFmtId="186" fontId="84" fillId="0" borderId="36" xfId="0" applyNumberFormat="1" applyFont="1" applyFill="1" applyBorder="1" applyAlignment="1" applyProtection="1">
      <alignment horizontal="center" vertical="center" wrapText="1" shrinkToFit="1"/>
      <protection locked="0"/>
    </xf>
    <xf numFmtId="186" fontId="84" fillId="0" borderId="3" xfId="0" applyNumberFormat="1" applyFont="1" applyFill="1" applyBorder="1" applyAlignment="1" applyProtection="1">
      <alignment horizontal="center" vertical="center" wrapText="1" shrinkToFit="1"/>
      <protection locked="0"/>
    </xf>
    <xf numFmtId="193" fontId="83" fillId="0" borderId="35" xfId="0" applyNumberFormat="1" applyFont="1" applyFill="1" applyBorder="1" applyAlignment="1" applyProtection="1">
      <alignment horizontal="center" vertical="center"/>
      <protection locked="0"/>
    </xf>
    <xf numFmtId="0" fontId="64" fillId="0" borderId="3" xfId="0" applyFont="1" applyFill="1" applyBorder="1">
      <alignment vertical="center"/>
    </xf>
    <xf numFmtId="179" fontId="66" fillId="0" borderId="36" xfId="0" applyNumberFormat="1" applyFont="1" applyFill="1" applyBorder="1" applyAlignment="1" applyProtection="1">
      <alignment horizontal="center" vertical="center" wrapText="1" shrinkToFit="1"/>
    </xf>
    <xf numFmtId="0" fontId="66" fillId="0" borderId="36" xfId="0" applyFont="1" applyFill="1" applyBorder="1" applyAlignment="1" applyProtection="1">
      <alignment horizontal="center" vertical="center" wrapText="1"/>
      <protection locked="0"/>
    </xf>
    <xf numFmtId="3" fontId="66" fillId="0" borderId="36" xfId="0" applyNumberFormat="1" applyFont="1" applyFill="1" applyBorder="1" applyAlignment="1" applyProtection="1">
      <alignment horizontal="center" vertical="center" wrapText="1" shrinkToFit="1"/>
      <protection locked="0"/>
    </xf>
    <xf numFmtId="189" fontId="66" fillId="0" borderId="36" xfId="0" applyNumberFormat="1" applyFont="1" applyFill="1" applyBorder="1" applyAlignment="1" applyProtection="1">
      <alignment horizontal="center" vertical="center" wrapText="1" shrinkToFit="1"/>
      <protection locked="0"/>
    </xf>
    <xf numFmtId="186" fontId="66" fillId="0" borderId="36" xfId="0" applyNumberFormat="1" applyFont="1" applyFill="1" applyBorder="1" applyAlignment="1" applyProtection="1">
      <alignment horizontal="center" vertical="center" wrapText="1" shrinkToFit="1"/>
      <protection locked="0"/>
    </xf>
    <xf numFmtId="58" fontId="66" fillId="0" borderId="36" xfId="0" applyNumberFormat="1" applyFont="1" applyFill="1" applyBorder="1" applyAlignment="1" applyProtection="1">
      <alignment horizontal="center" vertical="center" wrapText="1" shrinkToFit="1"/>
      <protection locked="0"/>
    </xf>
    <xf numFmtId="187" fontId="66" fillId="0" borderId="36" xfId="0" applyNumberFormat="1" applyFont="1" applyFill="1" applyBorder="1" applyAlignment="1" applyProtection="1">
      <alignment horizontal="center" vertical="center" wrapText="1" shrinkToFit="1"/>
      <protection locked="0"/>
    </xf>
    <xf numFmtId="185" fontId="66" fillId="0" borderId="36" xfId="0" applyNumberFormat="1" applyFont="1" applyFill="1" applyBorder="1" applyAlignment="1" applyProtection="1">
      <alignment horizontal="center" vertical="center" wrapText="1" shrinkToFit="1"/>
      <protection locked="0"/>
    </xf>
    <xf numFmtId="189" fontId="66" fillId="0" borderId="36" xfId="0" applyNumberFormat="1" applyFont="1" applyFill="1" applyBorder="1" applyAlignment="1" applyProtection="1">
      <alignment horizontal="center" vertical="center"/>
      <protection locked="0"/>
    </xf>
    <xf numFmtId="0" fontId="88" fillId="0" borderId="36" xfId="0" applyFont="1" applyBorder="1" applyAlignment="1" applyProtection="1">
      <alignment horizontal="center" vertical="center" wrapText="1"/>
      <protection locked="0"/>
    </xf>
    <xf numFmtId="192" fontId="88" fillId="0" borderId="37" xfId="0" applyNumberFormat="1" applyFont="1" applyBorder="1" applyAlignment="1" applyProtection="1">
      <alignment horizontal="center" vertical="center" wrapText="1" shrinkToFit="1"/>
      <protection locked="0"/>
    </xf>
    <xf numFmtId="193" fontId="89" fillId="0" borderId="40" xfId="0" applyNumberFormat="1" applyFont="1" applyBorder="1" applyAlignment="1" applyProtection="1">
      <alignment horizontal="center" vertical="center"/>
      <protection locked="0"/>
    </xf>
    <xf numFmtId="0" fontId="66" fillId="17" borderId="3" xfId="0" applyFont="1" applyFill="1" applyBorder="1" applyAlignment="1" applyProtection="1">
      <alignment horizontal="center" vertical="center"/>
      <protection locked="0"/>
    </xf>
    <xf numFmtId="0" fontId="66" fillId="6" borderId="3" xfId="0" applyNumberFormat="1" applyFont="1" applyFill="1" applyBorder="1" applyAlignment="1" applyProtection="1">
      <alignment horizontal="center" vertical="center" wrapText="1" shrinkToFit="1"/>
      <protection locked="0"/>
    </xf>
    <xf numFmtId="185" fontId="65" fillId="0" borderId="36" xfId="0" applyNumberFormat="1" applyFont="1" applyBorder="1" applyAlignment="1">
      <alignment horizontal="center" vertical="center" wrapText="1" shrinkToFit="1"/>
    </xf>
    <xf numFmtId="0" fontId="46" fillId="14" borderId="0" xfId="0" applyFont="1" applyFill="1" applyAlignment="1">
      <alignment horizontal="justify" vertical="center" wrapText="1"/>
    </xf>
    <xf numFmtId="3" fontId="66" fillId="17" borderId="35" xfId="0" applyNumberFormat="1" applyFont="1" applyFill="1" applyBorder="1" applyAlignment="1" applyProtection="1">
      <alignment horizontal="center" vertical="center" wrapText="1" shrinkToFit="1"/>
      <protection locked="0"/>
    </xf>
    <xf numFmtId="0" fontId="87" fillId="0" borderId="3" xfId="0" applyFont="1" applyFill="1" applyBorder="1" applyAlignment="1" applyProtection="1">
      <alignment horizontal="center" vertical="center" wrapText="1"/>
      <protection locked="0"/>
    </xf>
    <xf numFmtId="0" fontId="79" fillId="0" borderId="3" xfId="0" applyFont="1" applyFill="1" applyBorder="1" applyAlignment="1" applyProtection="1">
      <alignment horizontal="center" vertical="center" wrapText="1"/>
      <protection locked="0"/>
    </xf>
    <xf numFmtId="0" fontId="65" fillId="6" borderId="3" xfId="0" applyFont="1" applyFill="1" applyBorder="1" applyAlignment="1" applyProtection="1">
      <alignment horizontal="center" vertical="center" wrapText="1" shrinkToFit="1"/>
      <protection locked="0"/>
    </xf>
    <xf numFmtId="0" fontId="65" fillId="6" borderId="3" xfId="0" applyNumberFormat="1" applyFont="1" applyFill="1" applyBorder="1" applyAlignment="1" applyProtection="1">
      <alignment horizontal="center" vertical="center" wrapText="1" shrinkToFit="1"/>
      <protection locked="0"/>
    </xf>
    <xf numFmtId="192" fontId="87" fillId="0" borderId="35" xfId="0" applyNumberFormat="1" applyFont="1" applyFill="1" applyBorder="1" applyAlignment="1" applyProtection="1">
      <alignment horizontal="center" vertical="center" wrapText="1" shrinkToFit="1"/>
      <protection locked="0"/>
    </xf>
    <xf numFmtId="193" fontId="4" fillId="0" borderId="3" xfId="0" applyNumberFormat="1" applyFont="1" applyFill="1" applyBorder="1" applyAlignment="1" applyProtection="1">
      <alignment horizontal="center" vertical="center"/>
      <protection locked="0"/>
    </xf>
    <xf numFmtId="0" fontId="65" fillId="0" borderId="3" xfId="0" applyFont="1" applyFill="1" applyBorder="1" applyAlignment="1">
      <alignment horizontal="center" vertical="center"/>
    </xf>
    <xf numFmtId="179" fontId="65" fillId="0" borderId="36" xfId="0" applyNumberFormat="1" applyFont="1" applyFill="1" applyBorder="1" applyAlignment="1" applyProtection="1">
      <alignment horizontal="center" vertical="center" wrapText="1" shrinkToFit="1"/>
    </xf>
    <xf numFmtId="0" fontId="65" fillId="0" borderId="36" xfId="0" applyFont="1" applyFill="1" applyBorder="1" applyAlignment="1" applyProtection="1">
      <alignment horizontal="center" vertical="center" wrapText="1"/>
      <protection locked="0"/>
    </xf>
    <xf numFmtId="0" fontId="65" fillId="0" borderId="36" xfId="0" applyFont="1" applyFill="1" applyBorder="1" applyAlignment="1" applyProtection="1">
      <alignment horizontal="center" vertical="center" wrapText="1" shrinkToFit="1"/>
      <protection locked="0"/>
    </xf>
    <xf numFmtId="49" fontId="65" fillId="0" borderId="36" xfId="0" applyNumberFormat="1" applyFont="1" applyFill="1" applyBorder="1" applyAlignment="1" applyProtection="1">
      <alignment horizontal="center" vertical="center" wrapText="1" shrinkToFit="1"/>
      <protection locked="0"/>
    </xf>
    <xf numFmtId="3" fontId="65" fillId="0" borderId="36" xfId="0" applyNumberFormat="1" applyFont="1" applyFill="1" applyBorder="1" applyAlignment="1" applyProtection="1">
      <alignment horizontal="center" vertical="center" wrapText="1" shrinkToFit="1"/>
      <protection locked="0"/>
    </xf>
    <xf numFmtId="186" fontId="65" fillId="0" borderId="36" xfId="0" applyNumberFormat="1" applyFont="1" applyFill="1" applyBorder="1" applyAlignment="1" applyProtection="1">
      <alignment horizontal="center" vertical="center" wrapText="1" shrinkToFit="1"/>
      <protection locked="0"/>
    </xf>
    <xf numFmtId="0" fontId="65" fillId="0" borderId="36" xfId="0" applyNumberFormat="1" applyFont="1" applyFill="1" applyBorder="1" applyAlignment="1" applyProtection="1">
      <alignment horizontal="center" vertical="center" wrapText="1" shrinkToFit="1"/>
      <protection locked="0"/>
    </xf>
    <xf numFmtId="187" fontId="65" fillId="0" borderId="36" xfId="0" applyNumberFormat="1" applyFont="1" applyFill="1" applyBorder="1" applyAlignment="1" applyProtection="1">
      <alignment horizontal="center" vertical="center" wrapText="1" shrinkToFit="1"/>
      <protection locked="0"/>
    </xf>
    <xf numFmtId="191" fontId="65" fillId="0" borderId="36" xfId="0" applyNumberFormat="1" applyFont="1" applyFill="1" applyBorder="1" applyAlignment="1" applyProtection="1">
      <alignment horizontal="center" vertical="center" wrapText="1" shrinkToFit="1"/>
      <protection locked="0"/>
    </xf>
    <xf numFmtId="190" fontId="65" fillId="0" borderId="36" xfId="0" applyNumberFormat="1" applyFont="1" applyFill="1" applyBorder="1" applyAlignment="1" applyProtection="1">
      <alignment horizontal="center" vertical="center" wrapText="1" shrinkToFit="1"/>
      <protection locked="0"/>
    </xf>
    <xf numFmtId="0" fontId="66" fillId="0" borderId="38" xfId="0" applyFont="1" applyFill="1" applyBorder="1" applyAlignment="1" applyProtection="1">
      <alignment horizontal="center" vertical="center" wrapText="1" shrinkToFit="1"/>
      <protection locked="0"/>
    </xf>
    <xf numFmtId="0" fontId="66" fillId="0" borderId="0" xfId="0" applyFont="1" applyFill="1" applyBorder="1" applyAlignment="1" applyProtection="1">
      <alignment horizontal="center" vertical="center" wrapText="1"/>
      <protection locked="0"/>
    </xf>
    <xf numFmtId="0" fontId="66" fillId="0" borderId="3" xfId="0" applyNumberFormat="1" applyFont="1" applyFill="1" applyBorder="1" applyAlignment="1" applyProtection="1">
      <alignment horizontal="center" vertical="center"/>
      <protection locked="0"/>
    </xf>
    <xf numFmtId="179" fontId="65" fillId="17" borderId="37" xfId="0" applyNumberFormat="1" applyFont="1" applyFill="1" applyBorder="1" applyAlignment="1" applyProtection="1">
      <alignment horizontal="center" vertical="center" wrapText="1" shrinkToFit="1"/>
    </xf>
    <xf numFmtId="0" fontId="65" fillId="17" borderId="37" xfId="0" applyFont="1" applyFill="1" applyBorder="1" applyAlignment="1" applyProtection="1">
      <alignment horizontal="center" vertical="center" wrapText="1"/>
      <protection locked="0"/>
    </xf>
    <xf numFmtId="0" fontId="65" fillId="17" borderId="37" xfId="0" applyFont="1" applyFill="1" applyBorder="1" applyAlignment="1" applyProtection="1">
      <alignment horizontal="center" vertical="center" wrapText="1" shrinkToFit="1"/>
      <protection locked="0"/>
    </xf>
    <xf numFmtId="49" fontId="65" fillId="17" borderId="37" xfId="0" applyNumberFormat="1" applyFont="1" applyFill="1" applyBorder="1" applyAlignment="1" applyProtection="1">
      <alignment horizontal="center" vertical="center" wrapText="1" shrinkToFit="1"/>
      <protection locked="0"/>
    </xf>
    <xf numFmtId="3" fontId="65" fillId="17" borderId="37" xfId="0" applyNumberFormat="1" applyFont="1" applyFill="1" applyBorder="1" applyAlignment="1" applyProtection="1">
      <alignment horizontal="center" vertical="center" wrapText="1" shrinkToFit="1"/>
      <protection locked="0"/>
    </xf>
    <xf numFmtId="186" fontId="65" fillId="17" borderId="37" xfId="0" applyNumberFormat="1" applyFont="1" applyFill="1" applyBorder="1" applyAlignment="1" applyProtection="1">
      <alignment horizontal="center" vertical="center" wrapText="1" shrinkToFit="1"/>
      <protection locked="0"/>
    </xf>
    <xf numFmtId="0" fontId="65" fillId="17" borderId="37" xfId="0" applyNumberFormat="1" applyFont="1" applyFill="1" applyBorder="1" applyAlignment="1" applyProtection="1">
      <alignment horizontal="center" vertical="center" wrapText="1" shrinkToFit="1"/>
      <protection locked="0"/>
    </xf>
    <xf numFmtId="58" fontId="66" fillId="17" borderId="35" xfId="0" applyNumberFormat="1" applyFont="1" applyFill="1" applyBorder="1" applyAlignment="1" applyProtection="1">
      <alignment horizontal="center" vertical="center" wrapText="1" shrinkToFit="1"/>
      <protection locked="0"/>
    </xf>
    <xf numFmtId="187" fontId="66" fillId="17" borderId="35" xfId="0" applyNumberFormat="1" applyFont="1" applyFill="1" applyBorder="1" applyAlignment="1" applyProtection="1">
      <alignment horizontal="center" vertical="center" wrapText="1" shrinkToFit="1"/>
      <protection locked="0"/>
    </xf>
    <xf numFmtId="187" fontId="65" fillId="17" borderId="37" xfId="0" applyNumberFormat="1" applyFont="1" applyFill="1" applyBorder="1" applyAlignment="1" applyProtection="1">
      <alignment horizontal="center" vertical="center" wrapText="1" shrinkToFit="1"/>
      <protection locked="0"/>
    </xf>
    <xf numFmtId="187" fontId="66" fillId="17" borderId="37" xfId="0" applyNumberFormat="1" applyFont="1" applyFill="1" applyBorder="1" applyAlignment="1" applyProtection="1">
      <alignment horizontal="center" vertical="center" wrapText="1" shrinkToFit="1"/>
      <protection locked="0"/>
    </xf>
    <xf numFmtId="191" fontId="65" fillId="17" borderId="37" xfId="0" applyNumberFormat="1" applyFont="1" applyFill="1" applyBorder="1" applyAlignment="1" applyProtection="1">
      <alignment horizontal="center" vertical="center" wrapText="1" shrinkToFit="1"/>
      <protection locked="0"/>
    </xf>
    <xf numFmtId="190" fontId="65" fillId="17" borderId="37" xfId="0" applyNumberFormat="1" applyFont="1" applyFill="1" applyBorder="1" applyAlignment="1" applyProtection="1">
      <alignment horizontal="center" vertical="center" wrapText="1" shrinkToFit="1"/>
      <protection locked="0"/>
    </xf>
    <xf numFmtId="0" fontId="66" fillId="17" borderId="3" xfId="0" applyFont="1" applyFill="1" applyBorder="1" applyAlignment="1" applyProtection="1">
      <alignment horizontal="center" vertical="center" wrapText="1"/>
      <protection locked="0"/>
    </xf>
    <xf numFmtId="0" fontId="66" fillId="17" borderId="35" xfId="0" applyFont="1" applyFill="1" applyBorder="1" applyAlignment="1" applyProtection="1">
      <alignment horizontal="center" vertical="center" wrapText="1" shrinkToFit="1"/>
      <protection locked="0"/>
    </xf>
    <xf numFmtId="0" fontId="66" fillId="17" borderId="37" xfId="0" applyFont="1" applyFill="1" applyBorder="1" applyAlignment="1" applyProtection="1">
      <alignment horizontal="center" vertical="center" wrapText="1" shrinkToFit="1"/>
      <protection locked="0"/>
    </xf>
    <xf numFmtId="0" fontId="65" fillId="17" borderId="35" xfId="0" applyFont="1" applyFill="1" applyBorder="1" applyAlignment="1" applyProtection="1">
      <alignment horizontal="center" vertical="center" wrapText="1" shrinkToFit="1"/>
      <protection locked="0"/>
    </xf>
    <xf numFmtId="0" fontId="65" fillId="17" borderId="35" xfId="0" applyFont="1" applyFill="1" applyBorder="1" applyAlignment="1" applyProtection="1">
      <alignment horizontal="center" vertical="center"/>
      <protection locked="0"/>
    </xf>
    <xf numFmtId="179" fontId="66" fillId="17" borderId="3" xfId="0" applyNumberFormat="1" applyFont="1" applyFill="1" applyBorder="1" applyAlignment="1" applyProtection="1">
      <alignment horizontal="center" vertical="center" wrapText="1" shrinkToFit="1"/>
    </xf>
    <xf numFmtId="0" fontId="66" fillId="17" borderId="35" xfId="0" applyNumberFormat="1" applyFont="1" applyFill="1" applyBorder="1" applyAlignment="1" applyProtection="1">
      <alignment horizontal="center" vertical="center" wrapText="1"/>
      <protection locked="0"/>
    </xf>
    <xf numFmtId="182" fontId="66" fillId="17" borderId="35" xfId="0" applyNumberFormat="1" applyFont="1" applyFill="1" applyBorder="1" applyAlignment="1" applyProtection="1">
      <alignment horizontal="center" vertical="center" wrapText="1"/>
      <protection locked="0"/>
    </xf>
    <xf numFmtId="0" fontId="83" fillId="17" borderId="35" xfId="0" applyNumberFormat="1" applyFont="1" applyFill="1" applyBorder="1" applyAlignment="1" applyProtection="1">
      <alignment horizontal="center" vertical="center" shrinkToFit="1"/>
      <protection locked="0"/>
    </xf>
    <xf numFmtId="49" fontId="66" fillId="17" borderId="35" xfId="0" applyNumberFormat="1" applyFont="1" applyFill="1" applyBorder="1" applyAlignment="1" applyProtection="1">
      <alignment horizontal="center" vertical="center" wrapText="1"/>
      <protection locked="0"/>
    </xf>
    <xf numFmtId="0" fontId="83" fillId="17" borderId="35" xfId="0" applyFont="1" applyFill="1" applyBorder="1" applyAlignment="1" applyProtection="1">
      <alignment horizontal="center" vertical="center" wrapText="1" shrinkToFit="1"/>
      <protection locked="0"/>
    </xf>
    <xf numFmtId="0" fontId="66" fillId="17" borderId="35" xfId="0" applyFont="1" applyFill="1" applyBorder="1" applyAlignment="1" applyProtection="1">
      <alignment horizontal="center" vertical="center" wrapText="1"/>
      <protection locked="0"/>
    </xf>
    <xf numFmtId="3" fontId="83" fillId="17" borderId="35" xfId="0" applyNumberFormat="1" applyFont="1" applyFill="1" applyBorder="1" applyAlignment="1" applyProtection="1">
      <alignment horizontal="center" vertical="center"/>
      <protection locked="0"/>
    </xf>
    <xf numFmtId="0" fontId="83" fillId="17" borderId="35" xfId="0" applyFont="1" applyFill="1" applyBorder="1" applyAlignment="1" applyProtection="1">
      <alignment horizontal="center" vertical="center"/>
      <protection locked="0"/>
    </xf>
    <xf numFmtId="189" fontId="66" fillId="17" borderId="3" xfId="0" applyNumberFormat="1" applyFont="1" applyFill="1" applyBorder="1" applyAlignment="1" applyProtection="1">
      <alignment horizontal="center" vertical="center" wrapText="1" shrinkToFit="1"/>
      <protection locked="0"/>
    </xf>
    <xf numFmtId="186" fontId="66" fillId="17" borderId="35" xfId="0" applyNumberFormat="1" applyFont="1" applyFill="1" applyBorder="1" applyAlignment="1" applyProtection="1">
      <alignment horizontal="center" vertical="center" wrapText="1" shrinkToFit="1"/>
      <protection locked="0"/>
    </xf>
    <xf numFmtId="0" fontId="66" fillId="17" borderId="3" xfId="0" applyNumberFormat="1" applyFont="1" applyFill="1" applyBorder="1" applyAlignment="1" applyProtection="1">
      <alignment horizontal="center" vertical="center" wrapText="1" shrinkToFit="1"/>
      <protection locked="0"/>
    </xf>
    <xf numFmtId="0" fontId="66" fillId="17" borderId="3" xfId="0" applyFont="1" applyFill="1" applyBorder="1" applyAlignment="1" applyProtection="1">
      <alignment horizontal="center" vertical="center" wrapText="1" shrinkToFit="1"/>
      <protection locked="0"/>
    </xf>
    <xf numFmtId="192" fontId="66" fillId="17" borderId="35" xfId="0" applyNumberFormat="1" applyFont="1" applyFill="1" applyBorder="1" applyAlignment="1" applyProtection="1">
      <alignment horizontal="center" vertical="center" wrapText="1" shrinkToFit="1"/>
      <protection locked="0"/>
    </xf>
    <xf numFmtId="193" fontId="83" fillId="17" borderId="3" xfId="0" applyNumberFormat="1" applyFont="1" applyFill="1" applyBorder="1" applyAlignment="1" applyProtection="1">
      <alignment horizontal="center" vertical="center"/>
      <protection locked="0"/>
    </xf>
    <xf numFmtId="185" fontId="66" fillId="17" borderId="3" xfId="0" applyNumberFormat="1" applyFont="1" applyFill="1" applyBorder="1" applyAlignment="1" applyProtection="1">
      <alignment horizontal="center" vertical="center" wrapText="1" shrinkToFit="1"/>
      <protection locked="0"/>
    </xf>
    <xf numFmtId="0" fontId="66" fillId="17" borderId="5" xfId="0" applyFont="1" applyFill="1" applyBorder="1" applyAlignment="1" applyProtection="1">
      <alignment horizontal="center" vertical="center"/>
      <protection locked="0"/>
    </xf>
    <xf numFmtId="0" fontId="66" fillId="17" borderId="7" xfId="0" applyFont="1" applyFill="1" applyBorder="1" applyAlignment="1" applyProtection="1">
      <alignment horizontal="center" vertical="center"/>
      <protection locked="0"/>
    </xf>
    <xf numFmtId="189" fontId="66" fillId="17" borderId="3" xfId="0" applyNumberFormat="1" applyFont="1" applyFill="1" applyBorder="1" applyAlignment="1" applyProtection="1">
      <alignment horizontal="center" vertical="center"/>
      <protection locked="0"/>
    </xf>
    <xf numFmtId="0" fontId="66" fillId="17" borderId="0" xfId="0" applyFont="1" applyFill="1" applyAlignment="1" applyProtection="1">
      <alignment horizontal="center" vertical="center"/>
      <protection locked="0"/>
    </xf>
    <xf numFmtId="179" fontId="65" fillId="0" borderId="37" xfId="0" applyNumberFormat="1" applyFont="1" applyFill="1" applyBorder="1" applyAlignment="1" applyProtection="1">
      <alignment horizontal="center" vertical="center" wrapText="1" shrinkToFit="1"/>
    </xf>
    <xf numFmtId="0" fontId="65" fillId="0" borderId="37" xfId="0" applyFont="1" applyFill="1" applyBorder="1" applyAlignment="1" applyProtection="1">
      <alignment horizontal="center" vertical="center" wrapText="1"/>
      <protection locked="0"/>
    </xf>
    <xf numFmtId="0" fontId="65" fillId="0" borderId="37" xfId="0" applyFont="1" applyFill="1" applyBorder="1" applyAlignment="1" applyProtection="1">
      <alignment horizontal="center" vertical="center" wrapText="1" shrinkToFit="1"/>
      <protection locked="0"/>
    </xf>
    <xf numFmtId="49" fontId="65" fillId="0" borderId="37" xfId="0" applyNumberFormat="1" applyFont="1" applyFill="1" applyBorder="1" applyAlignment="1" applyProtection="1">
      <alignment horizontal="center" vertical="center" wrapText="1" shrinkToFit="1"/>
      <protection locked="0"/>
    </xf>
    <xf numFmtId="3" fontId="65" fillId="0" borderId="37" xfId="0" applyNumberFormat="1" applyFont="1" applyFill="1" applyBorder="1" applyAlignment="1" applyProtection="1">
      <alignment horizontal="center" vertical="center" wrapText="1" shrinkToFit="1"/>
      <protection locked="0"/>
    </xf>
    <xf numFmtId="186" fontId="65" fillId="0" borderId="37" xfId="0" applyNumberFormat="1" applyFont="1" applyFill="1" applyBorder="1" applyAlignment="1" applyProtection="1">
      <alignment horizontal="center" vertical="center" wrapText="1" shrinkToFit="1"/>
      <protection locked="0"/>
    </xf>
    <xf numFmtId="0" fontId="65" fillId="0" borderId="37" xfId="0" applyNumberFormat="1" applyFont="1" applyFill="1" applyBorder="1" applyAlignment="1" applyProtection="1">
      <alignment horizontal="center" vertical="center" wrapText="1" shrinkToFit="1"/>
      <protection locked="0"/>
    </xf>
    <xf numFmtId="187" fontId="65" fillId="0" borderId="37" xfId="0" applyNumberFormat="1" applyFont="1" applyFill="1" applyBorder="1" applyAlignment="1" applyProtection="1">
      <alignment horizontal="center" vertical="center" wrapText="1" shrinkToFit="1"/>
      <protection locked="0"/>
    </xf>
    <xf numFmtId="191" fontId="65" fillId="0" borderId="37" xfId="0" applyNumberFormat="1" applyFont="1" applyFill="1" applyBorder="1" applyAlignment="1" applyProtection="1">
      <alignment horizontal="center" vertical="center" wrapText="1" shrinkToFit="1"/>
      <protection locked="0"/>
    </xf>
    <xf numFmtId="190" fontId="65" fillId="0" borderId="37" xfId="0" applyNumberFormat="1" applyFont="1" applyFill="1" applyBorder="1" applyAlignment="1" applyProtection="1">
      <alignment horizontal="center" vertical="center" wrapText="1" shrinkToFit="1"/>
      <protection locked="0"/>
    </xf>
    <xf numFmtId="0" fontId="64" fillId="0" borderId="36" xfId="0" applyFont="1" applyFill="1" applyBorder="1" applyAlignment="1">
      <alignment horizontal="center" vertical="center"/>
    </xf>
    <xf numFmtId="0" fontId="65" fillId="0" borderId="35" xfId="0" applyFont="1" applyFill="1" applyBorder="1" applyAlignment="1" applyProtection="1">
      <alignment horizontal="center" vertical="center"/>
      <protection locked="0"/>
    </xf>
    <xf numFmtId="49" fontId="68" fillId="0" borderId="36" xfId="0" applyNumberFormat="1" applyFont="1" applyBorder="1" applyAlignment="1" applyProtection="1">
      <alignment horizontal="center" vertical="center" wrapText="1" shrinkToFit="1"/>
      <protection locked="0"/>
    </xf>
    <xf numFmtId="0" fontId="66" fillId="0" borderId="36" xfId="0" applyNumberFormat="1" applyFont="1" applyFill="1" applyBorder="1" applyAlignment="1" applyProtection="1">
      <alignment horizontal="center" vertical="center"/>
      <protection locked="0"/>
    </xf>
    <xf numFmtId="0" fontId="64" fillId="0" borderId="0" xfId="0" applyFont="1" applyFill="1" applyBorder="1" applyAlignment="1" applyProtection="1">
      <alignment horizontal="center" vertical="center"/>
      <protection locked="0"/>
    </xf>
    <xf numFmtId="189" fontId="65" fillId="18" borderId="3" xfId="0" applyNumberFormat="1" applyFont="1" applyFill="1" applyBorder="1" applyAlignment="1">
      <alignment horizontal="center" vertical="center"/>
    </xf>
    <xf numFmtId="186" fontId="66" fillId="6" borderId="36" xfId="0" applyNumberFormat="1" applyFont="1" applyFill="1" applyBorder="1" applyAlignment="1" applyProtection="1">
      <alignment horizontal="center" vertical="center" wrapText="1" shrinkToFit="1"/>
      <protection locked="0"/>
    </xf>
    <xf numFmtId="0" fontId="66" fillId="6" borderId="36" xfId="0" applyFont="1" applyFill="1" applyBorder="1" applyAlignment="1" applyProtection="1">
      <alignment horizontal="center" vertical="center"/>
      <protection locked="0"/>
    </xf>
    <xf numFmtId="185" fontId="66" fillId="6" borderId="36" xfId="0" applyNumberFormat="1" applyFont="1" applyFill="1" applyBorder="1" applyAlignment="1" applyProtection="1">
      <alignment horizontal="center" vertical="center" wrapText="1" shrinkToFit="1"/>
      <protection locked="0"/>
    </xf>
    <xf numFmtId="0" fontId="66" fillId="6" borderId="36" xfId="0" applyFont="1" applyFill="1" applyBorder="1" applyAlignment="1" applyProtection="1">
      <alignment horizontal="center" vertical="center" wrapText="1" shrinkToFit="1"/>
      <protection locked="0"/>
    </xf>
    <xf numFmtId="0" fontId="66" fillId="0" borderId="20" xfId="0" applyFont="1" applyFill="1" applyBorder="1" applyAlignment="1" applyProtection="1">
      <alignment horizontal="center" vertical="center" wrapText="1" shrinkToFit="1"/>
      <protection locked="0"/>
    </xf>
    <xf numFmtId="179" fontId="68" fillId="0" borderId="3" xfId="0" applyNumberFormat="1" applyFont="1" applyFill="1" applyBorder="1" applyAlignment="1" applyProtection="1">
      <alignment horizontal="center" vertical="center" wrapText="1" shrinkToFit="1"/>
    </xf>
    <xf numFmtId="0" fontId="68" fillId="0" borderId="3" xfId="0" applyFont="1" applyFill="1" applyBorder="1" applyAlignment="1" applyProtection="1">
      <alignment horizontal="center" vertical="center" wrapText="1"/>
      <protection locked="0"/>
    </xf>
    <xf numFmtId="0" fontId="68" fillId="0" borderId="3" xfId="0" applyFont="1" applyFill="1" applyBorder="1" applyAlignment="1" applyProtection="1">
      <alignment horizontal="center" vertical="center" wrapText="1" shrinkToFit="1"/>
      <protection locked="0"/>
    </xf>
    <xf numFmtId="0" fontId="68" fillId="0" borderId="3" xfId="0" applyFont="1" applyFill="1" applyBorder="1" applyAlignment="1" applyProtection="1">
      <alignment horizontal="center" vertical="center"/>
      <protection locked="0"/>
    </xf>
    <xf numFmtId="49" fontId="68" fillId="0" borderId="3" xfId="0" applyNumberFormat="1" applyFont="1" applyFill="1" applyBorder="1" applyAlignment="1" applyProtection="1">
      <alignment horizontal="center" vertical="center" wrapText="1" shrinkToFit="1"/>
      <protection locked="0"/>
    </xf>
    <xf numFmtId="0" fontId="68" fillId="0" borderId="3" xfId="0" applyNumberFormat="1" applyFont="1" applyFill="1" applyBorder="1" applyAlignment="1" applyProtection="1">
      <alignment horizontal="center" vertical="center" wrapText="1" shrinkToFit="1"/>
      <protection locked="0"/>
    </xf>
    <xf numFmtId="186" fontId="68" fillId="0" borderId="3" xfId="0" applyNumberFormat="1" applyFont="1" applyFill="1" applyBorder="1" applyAlignment="1" applyProtection="1">
      <alignment horizontal="center" vertical="center" wrapText="1" shrinkToFit="1"/>
      <protection locked="0"/>
    </xf>
    <xf numFmtId="186" fontId="68" fillId="6" borderId="3" xfId="0" applyNumberFormat="1" applyFont="1" applyFill="1" applyBorder="1" applyAlignment="1" applyProtection="1">
      <alignment horizontal="center" vertical="center" wrapText="1" shrinkToFit="1"/>
      <protection locked="0"/>
    </xf>
    <xf numFmtId="187" fontId="68" fillId="0" borderId="3" xfId="0" applyNumberFormat="1" applyFont="1" applyFill="1" applyBorder="1" applyAlignment="1" applyProtection="1">
      <alignment horizontal="center" vertical="center" wrapText="1" shrinkToFit="1"/>
      <protection locked="0"/>
    </xf>
    <xf numFmtId="58" fontId="68" fillId="0" borderId="3" xfId="0" applyNumberFormat="1" applyFont="1" applyFill="1" applyBorder="1" applyAlignment="1" applyProtection="1">
      <alignment horizontal="center" vertical="center" wrapText="1" shrinkToFit="1"/>
      <protection locked="0"/>
    </xf>
    <xf numFmtId="191" fontId="68" fillId="0" borderId="3" xfId="0" applyNumberFormat="1" applyFont="1" applyFill="1" applyBorder="1" applyAlignment="1" applyProtection="1">
      <alignment horizontal="center" vertical="center" wrapText="1" shrinkToFit="1"/>
      <protection locked="0"/>
    </xf>
    <xf numFmtId="190" fontId="68" fillId="0" borderId="3" xfId="0" applyNumberFormat="1" applyFont="1" applyFill="1" applyBorder="1" applyAlignment="1" applyProtection="1">
      <alignment horizontal="center" vertical="center" wrapText="1" shrinkToFit="1"/>
      <protection locked="0"/>
    </xf>
    <xf numFmtId="0" fontId="68" fillId="0" borderId="36" xfId="0" applyFont="1" applyFill="1" applyBorder="1" applyAlignment="1">
      <alignment horizontal="center" vertical="center"/>
    </xf>
    <xf numFmtId="0" fontId="68" fillId="0" borderId="0" xfId="0" applyFont="1" applyFill="1" applyBorder="1" applyAlignment="1" applyProtection="1">
      <alignment horizontal="center" vertical="center"/>
      <protection locked="0"/>
    </xf>
    <xf numFmtId="0" fontId="66" fillId="0" borderId="35" xfId="0" applyNumberFormat="1" applyFont="1" applyFill="1" applyBorder="1" applyAlignment="1" applyProtection="1">
      <alignment horizontal="center" vertical="center"/>
      <protection locked="0"/>
    </xf>
    <xf numFmtId="179" fontId="68" fillId="0" borderId="36" xfId="0" applyNumberFormat="1" applyFont="1" applyFill="1" applyBorder="1" applyAlignment="1" applyProtection="1">
      <alignment horizontal="center" vertical="center" wrapText="1" shrinkToFit="1"/>
    </xf>
    <xf numFmtId="0" fontId="68" fillId="0" borderId="36" xfId="0" applyFont="1" applyFill="1" applyBorder="1" applyAlignment="1" applyProtection="1">
      <alignment horizontal="center" vertical="center" wrapText="1"/>
      <protection locked="0"/>
    </xf>
    <xf numFmtId="0" fontId="68" fillId="0" borderId="36" xfId="0" applyFont="1" applyFill="1" applyBorder="1" applyAlignment="1" applyProtection="1">
      <alignment horizontal="center" vertical="center" wrapText="1" shrinkToFit="1"/>
      <protection locked="0"/>
    </xf>
    <xf numFmtId="49" fontId="68" fillId="0" borderId="36" xfId="0" applyNumberFormat="1" applyFont="1" applyFill="1" applyBorder="1" applyAlignment="1" applyProtection="1">
      <alignment horizontal="center" vertical="center" wrapText="1" shrinkToFit="1"/>
      <protection locked="0"/>
    </xf>
    <xf numFmtId="0" fontId="68" fillId="0" borderId="36" xfId="0" applyNumberFormat="1" applyFont="1" applyFill="1" applyBorder="1" applyAlignment="1" applyProtection="1">
      <alignment horizontal="center" vertical="center" wrapText="1" shrinkToFit="1"/>
      <protection locked="0"/>
    </xf>
    <xf numFmtId="186" fontId="68" fillId="0" borderId="36" xfId="0" applyNumberFormat="1" applyFont="1" applyFill="1" applyBorder="1" applyAlignment="1" applyProtection="1">
      <alignment horizontal="center" vertical="center" wrapText="1" shrinkToFit="1"/>
      <protection locked="0"/>
    </xf>
    <xf numFmtId="186" fontId="68" fillId="6" borderId="36" xfId="0" applyNumberFormat="1" applyFont="1" applyFill="1" applyBorder="1" applyAlignment="1" applyProtection="1">
      <alignment horizontal="center" vertical="center" wrapText="1" shrinkToFit="1"/>
      <protection locked="0"/>
    </xf>
    <xf numFmtId="187" fontId="68" fillId="0" borderId="36" xfId="0" applyNumberFormat="1" applyFont="1" applyFill="1" applyBorder="1" applyAlignment="1" applyProtection="1">
      <alignment horizontal="center" vertical="center" wrapText="1" shrinkToFit="1"/>
      <protection locked="0"/>
    </xf>
    <xf numFmtId="187" fontId="68" fillId="0" borderId="35" xfId="0" applyNumberFormat="1" applyFont="1" applyFill="1" applyBorder="1" applyAlignment="1" applyProtection="1">
      <alignment horizontal="center" vertical="center" wrapText="1" shrinkToFit="1"/>
      <protection locked="0"/>
    </xf>
    <xf numFmtId="191" fontId="68" fillId="0" borderId="36" xfId="0" applyNumberFormat="1" applyFont="1" applyFill="1" applyBorder="1" applyAlignment="1" applyProtection="1">
      <alignment horizontal="center" vertical="center" wrapText="1" shrinkToFit="1"/>
      <protection locked="0"/>
    </xf>
    <xf numFmtId="190" fontId="68" fillId="0" borderId="36" xfId="0" applyNumberFormat="1" applyFont="1" applyFill="1" applyBorder="1" applyAlignment="1" applyProtection="1">
      <alignment horizontal="center" vertical="center" wrapText="1" shrinkToFit="1"/>
      <protection locked="0"/>
    </xf>
    <xf numFmtId="0" fontId="68" fillId="0" borderId="3" xfId="0" applyFont="1" applyFill="1" applyBorder="1" applyAlignment="1">
      <alignment horizontal="center" vertical="center"/>
    </xf>
    <xf numFmtId="0" fontId="90" fillId="0" borderId="0" xfId="0" applyFont="1" applyFill="1" applyAlignment="1" applyProtection="1">
      <alignment horizontal="center" vertical="center"/>
      <protection locked="0"/>
    </xf>
    <xf numFmtId="0" fontId="91" fillId="0" borderId="0" xfId="0" applyFont="1" applyFill="1" applyAlignment="1" applyProtection="1">
      <alignment horizontal="center" vertical="center"/>
      <protection locked="0"/>
    </xf>
    <xf numFmtId="0" fontId="91" fillId="6" borderId="0" xfId="0" applyFont="1" applyFill="1" applyAlignment="1" applyProtection="1">
      <alignment horizontal="center" vertical="center"/>
      <protection locked="0"/>
    </xf>
    <xf numFmtId="0" fontId="91" fillId="0" borderId="3" xfId="0" applyFont="1" applyFill="1" applyBorder="1" applyAlignment="1" applyProtection="1">
      <alignment horizontal="center" vertical="center"/>
      <protection locked="0"/>
    </xf>
    <xf numFmtId="0" fontId="91" fillId="0" borderId="36" xfId="0" applyFont="1" applyFill="1" applyBorder="1" applyAlignment="1" applyProtection="1">
      <alignment horizontal="center" vertical="center"/>
      <protection locked="0"/>
    </xf>
    <xf numFmtId="0" fontId="91" fillId="17" borderId="0" xfId="0" applyFont="1" applyFill="1" applyAlignment="1" applyProtection="1">
      <alignment horizontal="center" vertical="center"/>
      <protection locked="0"/>
    </xf>
    <xf numFmtId="0" fontId="91" fillId="17" borderId="36" xfId="0" applyFont="1" applyFill="1" applyBorder="1" applyAlignment="1" applyProtection="1">
      <alignment horizontal="center" vertical="center"/>
      <protection locked="0"/>
    </xf>
    <xf numFmtId="0" fontId="91" fillId="0" borderId="37" xfId="0" applyFont="1" applyFill="1" applyBorder="1" applyAlignment="1" applyProtection="1">
      <alignment horizontal="center" vertical="center"/>
      <protection locked="0"/>
    </xf>
    <xf numFmtId="0" fontId="92" fillId="0" borderId="0" xfId="0" applyFont="1" applyFill="1" applyAlignment="1" applyProtection="1">
      <alignment horizontal="center" vertical="center"/>
      <protection locked="0"/>
    </xf>
    <xf numFmtId="0" fontId="92" fillId="6" borderId="0" xfId="0" applyFont="1" applyFill="1" applyAlignment="1" applyProtection="1">
      <alignment horizontal="center" vertical="center"/>
      <protection locked="0"/>
    </xf>
    <xf numFmtId="0" fontId="93" fillId="0" borderId="0" xfId="0" applyFont="1" applyFill="1" applyAlignment="1" applyProtection="1">
      <alignment horizontal="center" vertical="center"/>
      <protection locked="0"/>
    </xf>
    <xf numFmtId="0" fontId="94" fillId="0" borderId="0" xfId="0" applyFont="1" applyFill="1" applyAlignment="1" applyProtection="1">
      <alignment horizontal="center" vertical="center"/>
      <protection locked="0"/>
    </xf>
    <xf numFmtId="0" fontId="95" fillId="6" borderId="0" xfId="0" applyFont="1" applyFill="1" applyAlignment="1" applyProtection="1">
      <alignment horizontal="center" vertical="center"/>
      <protection locked="0"/>
    </xf>
    <xf numFmtId="0" fontId="93" fillId="6" borderId="0" xfId="0" applyFont="1" applyFill="1" applyAlignment="1" applyProtection="1">
      <alignment horizontal="center" vertical="center"/>
      <protection locked="0"/>
    </xf>
    <xf numFmtId="0" fontId="94" fillId="17" borderId="0" xfId="0" applyFont="1" applyFill="1" applyAlignment="1" applyProtection="1">
      <alignment horizontal="center" vertical="center"/>
      <protection locked="0"/>
    </xf>
    <xf numFmtId="0" fontId="95" fillId="17" borderId="0" xfId="0" applyFont="1" applyFill="1" applyAlignment="1" applyProtection="1">
      <alignment horizontal="center" vertical="center"/>
      <protection locked="0"/>
    </xf>
    <xf numFmtId="0" fontId="94" fillId="6" borderId="0" xfId="0" applyFont="1" applyFill="1" applyAlignment="1" applyProtection="1">
      <alignment horizontal="center" vertical="center"/>
      <protection locked="0"/>
    </xf>
    <xf numFmtId="0" fontId="93" fillId="17" borderId="0" xfId="0" applyFont="1" applyFill="1" applyAlignment="1" applyProtection="1">
      <alignment horizontal="center" vertical="center"/>
      <protection locked="0"/>
    </xf>
    <xf numFmtId="0" fontId="95" fillId="0" borderId="0" xfId="0" applyFont="1" applyFill="1" applyAlignment="1" applyProtection="1">
      <alignment horizontal="center" vertical="center"/>
      <protection locked="0"/>
    </xf>
    <xf numFmtId="0" fontId="94" fillId="0" borderId="36" xfId="0" applyFont="1" applyFill="1" applyBorder="1" applyAlignment="1" applyProtection="1">
      <alignment horizontal="center" vertical="center"/>
      <protection locked="0"/>
    </xf>
    <xf numFmtId="0" fontId="95" fillId="0" borderId="36" xfId="0" applyFont="1" applyFill="1" applyBorder="1" applyAlignment="1" applyProtection="1">
      <alignment horizontal="center" vertical="center"/>
      <protection locked="0"/>
    </xf>
    <xf numFmtId="0" fontId="93" fillId="0" borderId="36" xfId="0" applyFont="1" applyFill="1" applyBorder="1" applyAlignment="1" applyProtection="1">
      <alignment horizontal="center" vertical="center"/>
      <protection locked="0"/>
    </xf>
    <xf numFmtId="0" fontId="93" fillId="0" borderId="36" xfId="0" applyFont="1" applyFill="1" applyBorder="1" applyAlignment="1" applyProtection="1">
      <alignment horizontal="center" vertical="center"/>
      <protection locked="0"/>
    </xf>
    <xf numFmtId="0" fontId="93" fillId="0" borderId="37" xfId="0" applyFont="1" applyFill="1" applyBorder="1" applyAlignment="1" applyProtection="1">
      <alignment horizontal="center" vertical="center"/>
      <protection locked="0"/>
    </xf>
    <xf numFmtId="0" fontId="95" fillId="0" borderId="37" xfId="0" applyFont="1" applyFill="1" applyBorder="1" applyAlignment="1" applyProtection="1">
      <alignment horizontal="center" vertical="center"/>
      <protection locked="0"/>
    </xf>
    <xf numFmtId="0" fontId="95" fillId="0" borderId="37" xfId="0" applyFont="1" applyFill="1" applyBorder="1" applyAlignment="1" applyProtection="1">
      <alignment horizontal="center" vertical="center"/>
      <protection locked="0"/>
    </xf>
    <xf numFmtId="0" fontId="68" fillId="17" borderId="0" xfId="0" applyFont="1" applyFill="1" applyAlignment="1" applyProtection="1">
      <alignment horizontal="center" vertical="center"/>
      <protection locked="0"/>
    </xf>
    <xf numFmtId="0" fontId="93" fillId="17" borderId="36" xfId="0" applyFont="1" applyFill="1" applyBorder="1" applyAlignment="1" applyProtection="1">
      <alignment horizontal="center" vertical="center"/>
      <protection locked="0"/>
    </xf>
    <xf numFmtId="0" fontId="93" fillId="0" borderId="37" xfId="0" applyFont="1" applyFill="1" applyBorder="1" applyAlignment="1" applyProtection="1">
      <alignment horizontal="center" vertical="center"/>
      <protection locked="0"/>
    </xf>
    <xf numFmtId="0" fontId="95" fillId="0" borderId="0" xfId="0" applyFont="1" applyFill="1" applyAlignment="1" applyProtection="1">
      <alignment horizontal="center" vertical="center"/>
      <protection locked="0"/>
    </xf>
    <xf numFmtId="0" fontId="95" fillId="0" borderId="40" xfId="0" applyFont="1" applyFill="1" applyBorder="1" applyAlignment="1" applyProtection="1">
      <alignment horizontal="center" vertical="center"/>
      <protection locked="0"/>
    </xf>
    <xf numFmtId="179" fontId="90" fillId="0" borderId="0" xfId="0" applyNumberFormat="1" applyFont="1" applyFill="1" applyAlignment="1" applyProtection="1">
      <alignment horizontal="center" vertical="center"/>
    </xf>
    <xf numFmtId="0" fontId="90" fillId="0" borderId="0" xfId="0" applyFont="1" applyFill="1" applyAlignment="1" applyProtection="1">
      <alignment horizontal="center" vertical="center" wrapText="1"/>
      <protection locked="0"/>
    </xf>
    <xf numFmtId="0" fontId="90" fillId="0" borderId="0" xfId="0" applyNumberFormat="1" applyFont="1" applyFill="1" applyAlignment="1" applyProtection="1">
      <alignment horizontal="center" vertical="center"/>
      <protection locked="0"/>
    </xf>
    <xf numFmtId="188" fontId="90" fillId="0" borderId="0" xfId="0" applyNumberFormat="1" applyFont="1" applyFill="1" applyAlignment="1" applyProtection="1">
      <alignment horizontal="center" vertical="center" wrapText="1"/>
      <protection locked="0"/>
    </xf>
    <xf numFmtId="185" fontId="90" fillId="0" borderId="0" xfId="0" applyNumberFormat="1" applyFont="1" applyFill="1" applyAlignment="1" applyProtection="1">
      <alignment horizontal="center" vertical="center" wrapText="1"/>
      <protection locked="0"/>
    </xf>
    <xf numFmtId="0" fontId="91" fillId="0" borderId="0" xfId="0" applyFont="1" applyFill="1" applyAlignment="1" applyProtection="1">
      <alignment horizontal="center" vertical="center" wrapText="1"/>
      <protection locked="0"/>
    </xf>
    <xf numFmtId="0" fontId="96" fillId="0" borderId="0" xfId="0" applyNumberFormat="1" applyFont="1" applyFill="1" applyAlignment="1" applyProtection="1">
      <alignment horizontal="center" vertical="center"/>
      <protection locked="0"/>
    </xf>
    <xf numFmtId="0" fontId="97" fillId="0" borderId="0" xfId="0" applyFont="1" applyFill="1" applyAlignment="1" applyProtection="1">
      <alignment horizontal="center" vertical="center"/>
      <protection locked="0"/>
    </xf>
    <xf numFmtId="185" fontId="90" fillId="0" borderId="0" xfId="0" applyNumberFormat="1" applyFont="1" applyFill="1" applyAlignment="1" applyProtection="1">
      <alignment horizontal="center" vertical="center"/>
      <protection locked="0"/>
    </xf>
    <xf numFmtId="194" fontId="90" fillId="0" borderId="0" xfId="0" applyNumberFormat="1" applyFont="1" applyFill="1" applyAlignment="1" applyProtection="1">
      <alignment horizontal="center" vertical="center"/>
      <protection locked="0"/>
    </xf>
    <xf numFmtId="179" fontId="98" fillId="0" borderId="3" xfId="0" applyNumberFormat="1" applyFont="1" applyFill="1" applyBorder="1" applyAlignment="1" applyProtection="1">
      <alignment horizontal="center" vertical="center" wrapText="1" shrinkToFit="1"/>
    </xf>
    <xf numFmtId="0" fontId="98" fillId="0" borderId="3" xfId="0" applyFont="1" applyFill="1" applyBorder="1" applyAlignment="1" applyProtection="1">
      <alignment horizontal="center" vertical="center" wrapText="1" shrinkToFit="1"/>
      <protection locked="0"/>
    </xf>
    <xf numFmtId="49" fontId="98" fillId="0" borderId="3" xfId="0" applyNumberFormat="1" applyFont="1" applyFill="1" applyBorder="1" applyAlignment="1" applyProtection="1">
      <alignment horizontal="center" vertical="center" wrapText="1" shrinkToFit="1"/>
      <protection locked="0"/>
    </xf>
    <xf numFmtId="0" fontId="98" fillId="0" borderId="3" xfId="0" applyNumberFormat="1" applyFont="1" applyFill="1" applyBorder="1" applyAlignment="1" applyProtection="1">
      <alignment horizontal="center" vertical="center" wrapText="1" shrinkToFit="1"/>
      <protection locked="0"/>
    </xf>
    <xf numFmtId="186" fontId="98" fillId="0" borderId="3" xfId="0" applyNumberFormat="1" applyFont="1" applyFill="1" applyBorder="1" applyAlignment="1" applyProtection="1">
      <alignment horizontal="center" vertical="center" wrapText="1" shrinkToFit="1"/>
      <protection locked="0"/>
    </xf>
    <xf numFmtId="187" fontId="98" fillId="0" borderId="3" xfId="0" applyNumberFormat="1" applyFont="1" applyFill="1" applyBorder="1" applyAlignment="1" applyProtection="1">
      <alignment horizontal="center" vertical="center" wrapText="1" shrinkToFit="1"/>
      <protection locked="0"/>
    </xf>
    <xf numFmtId="187" fontId="99" fillId="0" borderId="3" xfId="0" applyNumberFormat="1" applyFont="1" applyFill="1" applyBorder="1" applyAlignment="1" applyProtection="1">
      <alignment horizontal="center" vertical="center" wrapText="1" shrinkToFit="1"/>
      <protection locked="0"/>
    </xf>
    <xf numFmtId="188" fontId="98" fillId="0" borderId="3" xfId="0" applyNumberFormat="1" applyFont="1" applyFill="1" applyBorder="1" applyAlignment="1" applyProtection="1">
      <alignment horizontal="center" vertical="center" wrapText="1" shrinkToFit="1"/>
      <protection locked="0"/>
    </xf>
    <xf numFmtId="185" fontId="98" fillId="0" borderId="3" xfId="0" applyNumberFormat="1" applyFont="1" applyFill="1" applyBorder="1" applyAlignment="1" applyProtection="1">
      <alignment horizontal="center" vertical="center" wrapText="1" shrinkToFit="1"/>
      <protection locked="0"/>
    </xf>
    <xf numFmtId="0" fontId="100" fillId="0" borderId="3" xfId="0" applyFont="1" applyFill="1" applyBorder="1" applyAlignment="1" applyProtection="1">
      <alignment horizontal="center" vertical="center" wrapText="1" shrinkToFit="1"/>
      <protection locked="0"/>
    </xf>
    <xf numFmtId="0" fontId="37" fillId="0" borderId="3" xfId="0" applyFont="1" applyFill="1" applyBorder="1" applyAlignment="1" applyProtection="1">
      <alignment horizontal="center" vertical="center" wrapText="1"/>
      <protection locked="0"/>
    </xf>
    <xf numFmtId="0" fontId="101" fillId="0" borderId="3" xfId="0" applyNumberFormat="1" applyFont="1" applyFill="1" applyBorder="1" applyAlignment="1" applyProtection="1">
      <alignment horizontal="center" vertical="center" wrapText="1" shrinkToFit="1"/>
      <protection locked="0"/>
    </xf>
    <xf numFmtId="0" fontId="101" fillId="0" borderId="3" xfId="0" applyFont="1" applyFill="1" applyBorder="1" applyAlignment="1" applyProtection="1">
      <alignment horizontal="center" vertical="center" wrapText="1" shrinkToFit="1"/>
      <protection locked="0"/>
    </xf>
    <xf numFmtId="0" fontId="102" fillId="0" borderId="3" xfId="0" applyFont="1" applyFill="1" applyBorder="1" applyAlignment="1" applyProtection="1">
      <alignment horizontal="center" vertical="center" wrapText="1"/>
      <protection locked="0"/>
    </xf>
    <xf numFmtId="0" fontId="98" fillId="0" borderId="3" xfId="0" applyFont="1" applyFill="1" applyBorder="1" applyAlignment="1" applyProtection="1">
      <alignment horizontal="center" vertical="center" wrapText="1"/>
      <protection locked="0"/>
    </xf>
    <xf numFmtId="185" fontId="37" fillId="0" borderId="3" xfId="0" applyNumberFormat="1" applyFont="1" applyFill="1" applyBorder="1" applyAlignment="1" applyProtection="1">
      <alignment horizontal="center" vertical="center" wrapText="1"/>
      <protection locked="0"/>
    </xf>
    <xf numFmtId="0" fontId="99" fillId="0" borderId="3" xfId="0" applyFont="1" applyFill="1" applyBorder="1" applyAlignment="1" applyProtection="1">
      <alignment horizontal="center" vertical="center" wrapText="1"/>
      <protection locked="0"/>
    </xf>
    <xf numFmtId="0" fontId="98" fillId="0" borderId="7" xfId="0" applyFont="1" applyFill="1" applyBorder="1" applyAlignment="1" applyProtection="1">
      <alignment horizontal="center" vertical="center" wrapText="1"/>
      <protection locked="0"/>
    </xf>
    <xf numFmtId="0" fontId="93" fillId="0" borderId="3" xfId="0" applyFont="1" applyFill="1" applyBorder="1" applyAlignment="1" applyProtection="1">
      <alignment horizontal="center" vertical="center" wrapText="1" shrinkToFit="1"/>
      <protection locked="0"/>
    </xf>
    <xf numFmtId="0" fontId="100" fillId="0" borderId="3" xfId="0" applyFont="1" applyFill="1" applyBorder="1" applyAlignment="1" applyProtection="1">
      <alignment horizontal="center" vertical="center" wrapText="1"/>
      <protection locked="0"/>
    </xf>
    <xf numFmtId="194" fontId="37" fillId="0" borderId="3" xfId="0" applyNumberFormat="1" applyFont="1" applyFill="1" applyBorder="1" applyAlignment="1" applyProtection="1">
      <alignment horizontal="center" vertical="center" wrapText="1"/>
      <protection locked="0"/>
    </xf>
    <xf numFmtId="194" fontId="100" fillId="0" borderId="3" xfId="0" applyNumberFormat="1" applyFont="1" applyFill="1" applyBorder="1" applyAlignment="1" applyProtection="1">
      <alignment horizontal="center" vertical="center" wrapText="1"/>
      <protection locked="0"/>
    </xf>
    <xf numFmtId="194" fontId="37" fillId="0" borderId="3" xfId="0" applyNumberFormat="1" applyFont="1" applyFill="1" applyBorder="1" applyAlignment="1" applyProtection="1">
      <alignment horizontal="center" vertical="center"/>
      <protection locked="0"/>
    </xf>
    <xf numFmtId="179" fontId="91" fillId="0" borderId="3" xfId="0" applyNumberFormat="1" applyFont="1" applyFill="1" applyBorder="1" applyAlignment="1" applyProtection="1">
      <alignment horizontal="center" vertical="center" wrapText="1" shrinkToFit="1"/>
    </xf>
    <xf numFmtId="0" fontId="91" fillId="0" borderId="3" xfId="0" applyFont="1" applyFill="1" applyBorder="1" applyAlignment="1" applyProtection="1">
      <alignment horizontal="center" vertical="center" wrapText="1"/>
      <protection locked="0"/>
    </xf>
    <xf numFmtId="0" fontId="91" fillId="0" borderId="3" xfId="0" applyFont="1" applyFill="1" applyBorder="1" applyAlignment="1" applyProtection="1">
      <alignment horizontal="center" vertical="center" wrapText="1" shrinkToFit="1"/>
      <protection locked="0"/>
    </xf>
    <xf numFmtId="49" fontId="91" fillId="0" borderId="3" xfId="0" applyNumberFormat="1" applyFont="1" applyFill="1" applyBorder="1" applyAlignment="1" applyProtection="1">
      <alignment horizontal="center" vertical="center" wrapText="1" shrinkToFit="1"/>
      <protection locked="0"/>
    </xf>
    <xf numFmtId="0" fontId="91" fillId="0" borderId="3" xfId="0" applyNumberFormat="1" applyFont="1" applyFill="1" applyBorder="1" applyAlignment="1" applyProtection="1">
      <alignment horizontal="center" vertical="center" wrapText="1" shrinkToFit="1"/>
      <protection locked="0"/>
    </xf>
    <xf numFmtId="189" fontId="91" fillId="0" borderId="3" xfId="0" applyNumberFormat="1" applyFont="1" applyFill="1" applyBorder="1" applyAlignment="1" applyProtection="1">
      <alignment horizontal="center" vertical="center" wrapText="1" shrinkToFit="1"/>
      <protection locked="0"/>
    </xf>
    <xf numFmtId="186" fontId="91" fillId="0" borderId="3" xfId="0" applyNumberFormat="1" applyFont="1" applyFill="1" applyBorder="1" applyAlignment="1" applyProtection="1">
      <alignment horizontal="center" vertical="center" wrapText="1" shrinkToFit="1"/>
      <protection locked="0"/>
    </xf>
    <xf numFmtId="187" fontId="91" fillId="0" borderId="3" xfId="0" applyNumberFormat="1" applyFont="1" applyFill="1" applyBorder="1" applyAlignment="1" applyProtection="1">
      <alignment horizontal="center" vertical="center" wrapText="1" shrinkToFit="1"/>
      <protection locked="0"/>
    </xf>
    <xf numFmtId="190" fontId="103" fillId="0" borderId="36" xfId="0" applyNumberFormat="1" applyFont="1" applyBorder="1" applyAlignment="1" applyProtection="1">
      <alignment horizontal="center" vertical="center" wrapText="1" shrinkToFit="1"/>
      <protection locked="0"/>
    </xf>
    <xf numFmtId="185" fontId="91" fillId="0" borderId="3" xfId="0" applyNumberFormat="1" applyFont="1" applyFill="1" applyBorder="1" applyAlignment="1" applyProtection="1">
      <alignment horizontal="center" vertical="center" wrapText="1" shrinkToFit="1"/>
      <protection locked="0"/>
    </xf>
    <xf numFmtId="58" fontId="91" fillId="0" borderId="3" xfId="0" applyNumberFormat="1" applyFont="1" applyFill="1" applyBorder="1" applyAlignment="1" applyProtection="1">
      <alignment horizontal="center" vertical="center" wrapText="1" shrinkToFit="1"/>
      <protection locked="0"/>
    </xf>
    <xf numFmtId="0" fontId="91" fillId="0" borderId="0" xfId="0" applyFont="1" applyFill="1" applyBorder="1" applyAlignment="1" applyProtection="1">
      <alignment horizontal="center" vertical="center"/>
      <protection locked="0"/>
    </xf>
    <xf numFmtId="190" fontId="103" fillId="19" borderId="36" xfId="0" applyNumberFormat="1" applyFont="1" applyFill="1" applyBorder="1" applyAlignment="1" applyProtection="1">
      <alignment horizontal="center" vertical="center" wrapText="1" shrinkToFit="1"/>
      <protection locked="0"/>
    </xf>
    <xf numFmtId="0" fontId="91" fillId="6" borderId="3" xfId="0" applyFont="1" applyFill="1" applyBorder="1" applyAlignment="1" applyProtection="1">
      <alignment horizontal="center" vertical="center"/>
      <protection locked="0"/>
    </xf>
    <xf numFmtId="0" fontId="91" fillId="6" borderId="0" xfId="0" applyFont="1" applyFill="1" applyBorder="1" applyAlignment="1" applyProtection="1">
      <alignment horizontal="center" vertical="center"/>
      <protection locked="0"/>
    </xf>
    <xf numFmtId="186" fontId="91" fillId="0" borderId="3" xfId="0" applyNumberFormat="1" applyFont="1" applyFill="1" applyBorder="1" applyAlignment="1" applyProtection="1">
      <alignment horizontal="center" vertical="center" shrinkToFit="1"/>
      <protection locked="0"/>
    </xf>
    <xf numFmtId="190" fontId="103" fillId="20" borderId="36" xfId="0" applyNumberFormat="1" applyFont="1" applyFill="1" applyBorder="1" applyAlignment="1" applyProtection="1">
      <alignment horizontal="center" vertical="center" wrapText="1" shrinkToFit="1"/>
      <protection locked="0"/>
    </xf>
    <xf numFmtId="191" fontId="91" fillId="0" borderId="3" xfId="0" applyNumberFormat="1" applyFont="1" applyFill="1" applyBorder="1" applyAlignment="1" applyProtection="1">
      <alignment horizontal="center" vertical="center" wrapText="1" shrinkToFit="1"/>
      <protection locked="0"/>
    </xf>
    <xf numFmtId="0" fontId="91" fillId="0" borderId="0" xfId="0" applyFont="1" applyBorder="1">
      <alignment vertical="center"/>
    </xf>
    <xf numFmtId="0" fontId="91" fillId="6" borderId="3" xfId="0" applyFont="1" applyFill="1" applyBorder="1" applyAlignment="1" applyProtection="1">
      <alignment horizontal="center" vertical="center" wrapText="1"/>
      <protection locked="0"/>
    </xf>
    <xf numFmtId="0" fontId="91" fillId="17" borderId="3" xfId="0" applyFont="1" applyFill="1" applyBorder="1" applyAlignment="1" applyProtection="1">
      <alignment horizontal="center" vertical="center" wrapText="1" shrinkToFit="1"/>
      <protection locked="0"/>
    </xf>
    <xf numFmtId="58" fontId="91" fillId="0" borderId="35" xfId="0" applyNumberFormat="1" applyFont="1" applyFill="1" applyBorder="1" applyAlignment="1" applyProtection="1">
      <alignment horizontal="center" vertical="center" wrapText="1" shrinkToFit="1"/>
      <protection locked="0"/>
    </xf>
    <xf numFmtId="187" fontId="91" fillId="0" borderId="35" xfId="0" applyNumberFormat="1" applyFont="1" applyFill="1" applyBorder="1" applyAlignment="1" applyProtection="1">
      <alignment horizontal="center" vertical="center" wrapText="1" shrinkToFit="1"/>
      <protection locked="0"/>
    </xf>
    <xf numFmtId="0" fontId="103" fillId="0" borderId="36" xfId="0" applyFont="1" applyBorder="1" applyAlignment="1" applyProtection="1">
      <alignment horizontal="center" vertical="center"/>
      <protection locked="0"/>
    </xf>
    <xf numFmtId="0" fontId="91" fillId="17" borderId="0" xfId="0" applyFont="1" applyFill="1" applyBorder="1" applyAlignment="1" applyProtection="1">
      <alignment horizontal="center" vertical="center"/>
      <protection locked="0"/>
    </xf>
    <xf numFmtId="186" fontId="91" fillId="6" borderId="3" xfId="0" applyNumberFormat="1" applyFont="1" applyFill="1" applyBorder="1" applyAlignment="1" applyProtection="1">
      <alignment horizontal="center" vertical="center" wrapText="1" shrinkToFit="1"/>
      <protection locked="0"/>
    </xf>
    <xf numFmtId="0" fontId="91" fillId="6" borderId="3" xfId="0" applyFont="1" applyFill="1" applyBorder="1" applyAlignment="1" applyProtection="1">
      <alignment horizontal="center" vertical="center" wrapText="1" shrinkToFit="1"/>
      <protection locked="0"/>
    </xf>
    <xf numFmtId="0" fontId="91" fillId="0" borderId="0" xfId="0" applyFont="1" applyFill="1" applyBorder="1">
      <alignment vertical="center"/>
    </xf>
    <xf numFmtId="0" fontId="103" fillId="20" borderId="36" xfId="0" applyFont="1" applyFill="1" applyBorder="1" applyAlignment="1" applyProtection="1">
      <alignment horizontal="center" vertical="center"/>
      <protection locked="0"/>
    </xf>
    <xf numFmtId="49" fontId="91" fillId="6" borderId="3" xfId="0" applyNumberFormat="1" applyFont="1" applyFill="1" applyBorder="1" applyAlignment="1" applyProtection="1">
      <alignment horizontal="center" vertical="center" wrapText="1" shrinkToFit="1"/>
      <protection locked="0"/>
    </xf>
    <xf numFmtId="0" fontId="91" fillId="0" borderId="7" xfId="0" applyFont="1" applyFill="1" applyBorder="1" applyAlignment="1" applyProtection="1">
      <alignment horizontal="center" vertical="center"/>
      <protection locked="0"/>
    </xf>
    <xf numFmtId="186" fontId="91" fillId="0" borderId="3" xfId="0" applyNumberFormat="1" applyFont="1" applyFill="1" applyBorder="1" applyAlignment="1">
      <alignment horizontal="center" vertical="center" wrapText="1" shrinkToFit="1"/>
    </xf>
    <xf numFmtId="0" fontId="91" fillId="0" borderId="3" xfId="0" applyFont="1" applyFill="1" applyBorder="1" applyAlignment="1">
      <alignment horizontal="center" vertical="center" wrapText="1"/>
    </xf>
    <xf numFmtId="0" fontId="91" fillId="0" borderId="3" xfId="0" applyFont="1" applyFill="1" applyBorder="1" applyAlignment="1">
      <alignment horizontal="center" vertical="center" wrapText="1" shrinkToFit="1"/>
    </xf>
    <xf numFmtId="0" fontId="91" fillId="0" borderId="3" xfId="0" applyFont="1" applyFill="1" applyBorder="1" applyAlignment="1">
      <alignment horizontal="center" vertical="center"/>
    </xf>
    <xf numFmtId="0" fontId="91" fillId="0" borderId="3" xfId="0" applyNumberFormat="1" applyFont="1" applyFill="1" applyBorder="1" applyAlignment="1">
      <alignment horizontal="center" vertical="center" wrapText="1" shrinkToFit="1"/>
    </xf>
    <xf numFmtId="192" fontId="91" fillId="0" borderId="3" xfId="0" applyNumberFormat="1" applyFont="1" applyFill="1" applyBorder="1" applyAlignment="1" applyProtection="1">
      <alignment horizontal="center" vertical="center" wrapText="1" shrinkToFit="1"/>
      <protection locked="0"/>
    </xf>
    <xf numFmtId="193" fontId="104" fillId="0" borderId="3" xfId="0" applyNumberFormat="1" applyFont="1" applyFill="1" applyBorder="1" applyAlignment="1" applyProtection="1">
      <alignment horizontal="center" vertical="center"/>
      <protection locked="0"/>
    </xf>
    <xf numFmtId="0" fontId="91" fillId="0" borderId="3" xfId="0" applyFont="1" applyBorder="1" applyAlignment="1">
      <alignment horizontal="center" vertical="center"/>
    </xf>
    <xf numFmtId="0" fontId="91" fillId="6" borderId="3" xfId="0" applyNumberFormat="1" applyFont="1" applyFill="1" applyBorder="1" applyAlignment="1" applyProtection="1">
      <alignment horizontal="center" vertical="center" wrapText="1" shrinkToFit="1"/>
      <protection locked="0"/>
    </xf>
    <xf numFmtId="191" fontId="91" fillId="0" borderId="3" xfId="0" applyNumberFormat="1" applyFont="1" applyFill="1" applyBorder="1" applyAlignment="1" applyProtection="1">
      <alignment horizontal="center" vertical="center"/>
      <protection locked="0"/>
    </xf>
    <xf numFmtId="191" fontId="91" fillId="17" borderId="3" xfId="0" applyNumberFormat="1" applyFont="1" applyFill="1" applyBorder="1" applyAlignment="1" applyProtection="1">
      <alignment horizontal="center" vertical="center" wrapText="1" shrinkToFit="1"/>
      <protection locked="0"/>
    </xf>
    <xf numFmtId="3" fontId="91" fillId="0" borderId="3" xfId="0" applyNumberFormat="1" applyFont="1" applyFill="1" applyBorder="1" applyAlignment="1" applyProtection="1">
      <alignment horizontal="center" vertical="center" wrapText="1"/>
      <protection locked="0"/>
    </xf>
    <xf numFmtId="179" fontId="91" fillId="0" borderId="36" xfId="0" applyNumberFormat="1" applyFont="1" applyFill="1" applyBorder="1" applyAlignment="1" applyProtection="1">
      <alignment horizontal="center" vertical="center" wrapText="1" shrinkToFit="1"/>
    </xf>
    <xf numFmtId="0" fontId="91" fillId="0" borderId="36" xfId="0" applyFont="1" applyFill="1" applyBorder="1" applyAlignment="1" applyProtection="1">
      <alignment horizontal="center" vertical="center" wrapText="1"/>
      <protection locked="0"/>
    </xf>
    <xf numFmtId="0" fontId="91" fillId="0" borderId="36" xfId="0" applyFont="1" applyFill="1" applyBorder="1" applyAlignment="1" applyProtection="1">
      <alignment horizontal="center" vertical="center" wrapText="1" shrinkToFit="1"/>
      <protection locked="0"/>
    </xf>
    <xf numFmtId="0" fontId="91" fillId="6" borderId="36" xfId="0" applyFont="1" applyFill="1" applyBorder="1" applyAlignment="1" applyProtection="1">
      <alignment horizontal="center" vertical="center" wrapText="1" shrinkToFit="1"/>
      <protection locked="0"/>
    </xf>
    <xf numFmtId="49" fontId="91" fillId="0" borderId="36" xfId="0" applyNumberFormat="1" applyFont="1" applyFill="1" applyBorder="1" applyAlignment="1" applyProtection="1">
      <alignment horizontal="center" vertical="center" wrapText="1" shrinkToFit="1"/>
      <protection locked="0"/>
    </xf>
    <xf numFmtId="0" fontId="91" fillId="0" borderId="36" xfId="0" applyNumberFormat="1" applyFont="1" applyFill="1" applyBorder="1" applyAlignment="1" applyProtection="1">
      <alignment horizontal="center" vertical="center" wrapText="1" shrinkToFit="1"/>
      <protection locked="0"/>
    </xf>
    <xf numFmtId="189" fontId="91" fillId="0" borderId="36" xfId="0" applyNumberFormat="1" applyFont="1" applyFill="1" applyBorder="1" applyAlignment="1" applyProtection="1">
      <alignment horizontal="center" vertical="center" wrapText="1" shrinkToFit="1"/>
      <protection locked="0"/>
    </xf>
    <xf numFmtId="186" fontId="91" fillId="0" borderId="36" xfId="0" applyNumberFormat="1" applyFont="1" applyFill="1" applyBorder="1" applyAlignment="1" applyProtection="1">
      <alignment horizontal="center" vertical="center" wrapText="1" shrinkToFit="1"/>
      <protection locked="0"/>
    </xf>
    <xf numFmtId="58" fontId="91" fillId="0" borderId="36" xfId="0" applyNumberFormat="1" applyFont="1" applyFill="1" applyBorder="1" applyAlignment="1" applyProtection="1">
      <alignment horizontal="center" vertical="center" wrapText="1" shrinkToFit="1"/>
      <protection locked="0"/>
    </xf>
    <xf numFmtId="187" fontId="91" fillId="0" borderId="36" xfId="0" applyNumberFormat="1" applyFont="1" applyFill="1" applyBorder="1" applyAlignment="1" applyProtection="1">
      <alignment horizontal="center" vertical="center" wrapText="1" shrinkToFit="1"/>
      <protection locked="0"/>
    </xf>
    <xf numFmtId="185" fontId="91" fillId="0" borderId="36" xfId="0" applyNumberFormat="1" applyFont="1" applyFill="1" applyBorder="1" applyAlignment="1" applyProtection="1">
      <alignment horizontal="center" vertical="center" wrapText="1" shrinkToFit="1"/>
      <protection locked="0"/>
    </xf>
    <xf numFmtId="0" fontId="91" fillId="0" borderId="0" xfId="0" applyFont="1" applyFill="1" applyBorder="1" applyAlignment="1" applyProtection="1">
      <alignment horizontal="center" vertical="center" wrapText="1" shrinkToFit="1"/>
      <protection locked="0"/>
    </xf>
    <xf numFmtId="193" fontId="104" fillId="0" borderId="3" xfId="0" applyNumberFormat="1" applyFont="1" applyFill="1" applyBorder="1" applyAlignment="1" applyProtection="1">
      <alignment horizontal="center" vertical="center" wrapText="1"/>
      <protection locked="0"/>
    </xf>
    <xf numFmtId="191" fontId="91" fillId="6" borderId="3" xfId="0" applyNumberFormat="1" applyFont="1" applyFill="1" applyBorder="1" applyAlignment="1" applyProtection="1">
      <alignment horizontal="center" vertical="center" wrapText="1" shrinkToFit="1"/>
      <protection locked="0"/>
    </xf>
    <xf numFmtId="49" fontId="91" fillId="17" borderId="3" xfId="0" applyNumberFormat="1" applyFont="1" applyFill="1" applyBorder="1" applyAlignment="1" applyProtection="1">
      <alignment horizontal="center" vertical="center" wrapText="1" shrinkToFit="1"/>
      <protection locked="0"/>
    </xf>
    <xf numFmtId="0" fontId="91" fillId="0" borderId="35" xfId="0" applyFont="1" applyFill="1" applyBorder="1" applyAlignment="1" applyProtection="1">
      <alignment horizontal="center" vertical="center" wrapText="1" shrinkToFit="1"/>
      <protection locked="0"/>
    </xf>
    <xf numFmtId="179" fontId="91" fillId="0" borderId="35" xfId="0" applyNumberFormat="1" applyFont="1" applyFill="1" applyBorder="1" applyAlignment="1" applyProtection="1">
      <alignment horizontal="center" vertical="center" wrapText="1" shrinkToFit="1"/>
    </xf>
    <xf numFmtId="0" fontId="91" fillId="0" borderId="35" xfId="0" applyFont="1" applyFill="1" applyBorder="1" applyAlignment="1" applyProtection="1">
      <alignment horizontal="center" vertical="center" wrapText="1"/>
      <protection locked="0"/>
    </xf>
    <xf numFmtId="0" fontId="91" fillId="0" borderId="35" xfId="0" applyFont="1" applyFill="1" applyBorder="1" applyAlignment="1" applyProtection="1">
      <alignment horizontal="center" vertical="center"/>
      <protection locked="0"/>
    </xf>
    <xf numFmtId="49" fontId="91" fillId="0" borderId="35" xfId="0" applyNumberFormat="1" applyFont="1" applyFill="1" applyBorder="1" applyAlignment="1" applyProtection="1">
      <alignment horizontal="center" vertical="center" wrapText="1" shrinkToFit="1"/>
      <protection locked="0"/>
    </xf>
    <xf numFmtId="0" fontId="91" fillId="0" borderId="35" xfId="0" applyNumberFormat="1" applyFont="1" applyFill="1" applyBorder="1" applyAlignment="1" applyProtection="1">
      <alignment horizontal="center" vertical="center" wrapText="1" shrinkToFit="1"/>
      <protection locked="0"/>
    </xf>
    <xf numFmtId="189" fontId="91" fillId="0" borderId="35" xfId="0" applyNumberFormat="1" applyFont="1" applyFill="1" applyBorder="1" applyAlignment="1" applyProtection="1">
      <alignment horizontal="center" vertical="center" wrapText="1" shrinkToFit="1"/>
      <protection locked="0"/>
    </xf>
    <xf numFmtId="186" fontId="91" fillId="0" borderId="35" xfId="0" applyNumberFormat="1" applyFont="1" applyFill="1" applyBorder="1" applyAlignment="1" applyProtection="1">
      <alignment horizontal="center" vertical="center" wrapText="1" shrinkToFit="1"/>
      <protection locked="0"/>
    </xf>
    <xf numFmtId="191" fontId="91" fillId="0" borderId="35" xfId="0" applyNumberFormat="1" applyFont="1" applyFill="1" applyBorder="1" applyAlignment="1" applyProtection="1">
      <alignment horizontal="center" vertical="center" wrapText="1" shrinkToFit="1"/>
      <protection locked="0"/>
    </xf>
    <xf numFmtId="190" fontId="103" fillId="0" borderId="37" xfId="0" applyNumberFormat="1" applyFont="1" applyBorder="1" applyAlignment="1" applyProtection="1">
      <alignment horizontal="center" vertical="center" wrapText="1" shrinkToFit="1"/>
      <protection locked="0"/>
    </xf>
    <xf numFmtId="179" fontId="91" fillId="0" borderId="20" xfId="0" applyNumberFormat="1" applyFont="1" applyFill="1" applyBorder="1" applyAlignment="1" applyProtection="1">
      <alignment horizontal="center" vertical="center" wrapText="1" shrinkToFit="1"/>
    </xf>
    <xf numFmtId="0" fontId="91" fillId="0" borderId="20" xfId="0" applyFont="1" applyFill="1" applyBorder="1" applyAlignment="1" applyProtection="1">
      <alignment horizontal="center" vertical="center" wrapText="1"/>
      <protection locked="0"/>
    </xf>
    <xf numFmtId="0" fontId="91" fillId="0" borderId="20" xfId="0" applyFont="1" applyFill="1" applyBorder="1" applyAlignment="1" applyProtection="1">
      <alignment horizontal="center" vertical="center" wrapText="1" shrinkToFit="1"/>
      <protection locked="0"/>
    </xf>
    <xf numFmtId="0" fontId="91" fillId="0" borderId="20" xfId="0" applyFont="1" applyFill="1" applyBorder="1" applyAlignment="1" applyProtection="1">
      <alignment horizontal="center" vertical="center"/>
      <protection locked="0"/>
    </xf>
    <xf numFmtId="49" fontId="91" fillId="0" borderId="20" xfId="0" applyNumberFormat="1" applyFont="1" applyFill="1" applyBorder="1" applyAlignment="1" applyProtection="1">
      <alignment horizontal="center" vertical="center" wrapText="1" shrinkToFit="1"/>
      <protection locked="0"/>
    </xf>
    <xf numFmtId="0" fontId="91" fillId="0" borderId="20" xfId="0" applyNumberFormat="1" applyFont="1" applyFill="1" applyBorder="1" applyAlignment="1" applyProtection="1">
      <alignment horizontal="center" vertical="center" wrapText="1" shrinkToFit="1"/>
      <protection locked="0"/>
    </xf>
    <xf numFmtId="189" fontId="91" fillId="0" borderId="20" xfId="0" applyNumberFormat="1" applyFont="1" applyFill="1" applyBorder="1" applyAlignment="1" applyProtection="1">
      <alignment horizontal="center" vertical="center" wrapText="1" shrinkToFit="1"/>
      <protection locked="0"/>
    </xf>
    <xf numFmtId="186" fontId="91" fillId="0" borderId="20" xfId="0" applyNumberFormat="1" applyFont="1" applyFill="1" applyBorder="1" applyAlignment="1" applyProtection="1">
      <alignment horizontal="center" vertical="center" wrapText="1" shrinkToFit="1"/>
      <protection locked="0"/>
    </xf>
    <xf numFmtId="58" fontId="91" fillId="0" borderId="20" xfId="0" applyNumberFormat="1" applyFont="1" applyFill="1" applyBorder="1" applyAlignment="1" applyProtection="1">
      <alignment horizontal="center" vertical="center" wrapText="1" shrinkToFit="1"/>
      <protection locked="0"/>
    </xf>
    <xf numFmtId="187" fontId="91" fillId="0" borderId="20" xfId="0" applyNumberFormat="1" applyFont="1" applyFill="1" applyBorder="1" applyAlignment="1" applyProtection="1">
      <alignment horizontal="center" vertical="center" wrapText="1" shrinkToFit="1"/>
      <protection locked="0"/>
    </xf>
    <xf numFmtId="191" fontId="91" fillId="0" borderId="20" xfId="0" applyNumberFormat="1" applyFont="1" applyFill="1" applyBorder="1" applyAlignment="1" applyProtection="1">
      <alignment horizontal="center" vertical="center" wrapText="1" shrinkToFit="1"/>
      <protection locked="0"/>
    </xf>
    <xf numFmtId="190" fontId="103" fillId="0" borderId="40" xfId="0" applyNumberFormat="1" applyFont="1" applyBorder="1" applyAlignment="1" applyProtection="1">
      <alignment horizontal="center" vertical="center" wrapText="1" shrinkToFit="1"/>
      <protection locked="0"/>
    </xf>
    <xf numFmtId="185" fontId="91" fillId="0" borderId="35" xfId="0" applyNumberFormat="1" applyFont="1" applyFill="1" applyBorder="1" applyAlignment="1" applyProtection="1">
      <alignment horizontal="center" vertical="center" wrapText="1" shrinkToFit="1"/>
      <protection locked="0"/>
    </xf>
    <xf numFmtId="0" fontId="91" fillId="6" borderId="3" xfId="0" applyFont="1" applyFill="1" applyBorder="1" applyAlignment="1">
      <alignment horizontal="center" vertical="center"/>
    </xf>
    <xf numFmtId="0" fontId="91" fillId="0" borderId="3" xfId="0" applyFont="1" applyFill="1" applyBorder="1" applyAlignment="1" applyProtection="1">
      <alignment horizontal="right" vertical="center" wrapText="1"/>
      <protection locked="0"/>
    </xf>
    <xf numFmtId="0" fontId="91" fillId="0" borderId="3" xfId="0" applyNumberFormat="1" applyFont="1" applyFill="1" applyBorder="1" applyAlignment="1" applyProtection="1">
      <alignment horizontal="center" vertical="center" wrapText="1"/>
    </xf>
    <xf numFmtId="49" fontId="104" fillId="6" borderId="3" xfId="0" applyNumberFormat="1" applyFont="1" applyFill="1" applyBorder="1" applyAlignment="1" applyProtection="1">
      <alignment horizontal="center" vertical="center" wrapText="1"/>
      <protection locked="0"/>
    </xf>
    <xf numFmtId="187" fontId="91" fillId="6" borderId="3" xfId="0" applyNumberFormat="1" applyFont="1" applyFill="1" applyBorder="1" applyAlignment="1" applyProtection="1">
      <alignment horizontal="center" vertical="center" wrapText="1" shrinkToFit="1"/>
      <protection locked="0"/>
    </xf>
    <xf numFmtId="186" fontId="91" fillId="17" borderId="36" xfId="0" applyNumberFormat="1" applyFont="1" applyFill="1" applyBorder="1" applyAlignment="1" applyProtection="1">
      <alignment horizontal="center" vertical="center" wrapText="1" shrinkToFit="1"/>
      <protection locked="0"/>
    </xf>
    <xf numFmtId="191" fontId="91" fillId="0" borderId="36" xfId="0" applyNumberFormat="1" applyFont="1" applyFill="1" applyBorder="1" applyAlignment="1" applyProtection="1">
      <alignment horizontal="center" vertical="center" wrapText="1" shrinkToFit="1"/>
      <protection locked="0"/>
    </xf>
    <xf numFmtId="0" fontId="91" fillId="6" borderId="36" xfId="0" applyFont="1" applyFill="1" applyBorder="1" applyAlignment="1" applyProtection="1">
      <alignment horizontal="center" vertical="center"/>
      <protection locked="0"/>
    </xf>
    <xf numFmtId="186" fontId="91" fillId="6" borderId="35" xfId="0" applyNumberFormat="1" applyFont="1" applyFill="1" applyBorder="1" applyAlignment="1" applyProtection="1">
      <alignment horizontal="center" vertical="center" wrapText="1" shrinkToFit="1"/>
      <protection locked="0"/>
    </xf>
    <xf numFmtId="0" fontId="103" fillId="0" borderId="36" xfId="0" applyFont="1" applyBorder="1" applyAlignment="1" applyProtection="1">
      <alignment horizontal="center" vertical="center" wrapText="1" shrinkToFit="1"/>
      <protection locked="0"/>
    </xf>
    <xf numFmtId="0" fontId="91" fillId="0" borderId="3" xfId="0" applyFont="1" applyFill="1" applyBorder="1" applyProtection="1">
      <alignment vertical="center"/>
      <protection locked="0"/>
    </xf>
    <xf numFmtId="0" fontId="91" fillId="17" borderId="3" xfId="0" applyFont="1" applyFill="1" applyBorder="1" applyAlignment="1" applyProtection="1">
      <alignment horizontal="center" vertical="center" wrapText="1"/>
      <protection locked="0"/>
    </xf>
    <xf numFmtId="179" fontId="91" fillId="0" borderId="37" xfId="0" applyNumberFormat="1" applyFont="1" applyFill="1" applyBorder="1" applyAlignment="1" applyProtection="1">
      <alignment horizontal="center" vertical="center" wrapText="1" shrinkToFit="1"/>
    </xf>
    <xf numFmtId="0" fontId="91" fillId="0" borderId="37" xfId="0" applyFont="1" applyFill="1" applyBorder="1" applyAlignment="1" applyProtection="1">
      <alignment horizontal="center" vertical="center" wrapText="1"/>
      <protection locked="0"/>
    </xf>
    <xf numFmtId="0" fontId="91" fillId="0" borderId="37" xfId="0" applyFont="1" applyFill="1" applyBorder="1" applyAlignment="1" applyProtection="1">
      <alignment horizontal="center" vertical="center" wrapText="1" shrinkToFit="1"/>
      <protection locked="0"/>
    </xf>
    <xf numFmtId="49" fontId="91" fillId="0" borderId="37" xfId="0" applyNumberFormat="1" applyFont="1" applyFill="1" applyBorder="1" applyAlignment="1" applyProtection="1">
      <alignment horizontal="center" vertical="center" wrapText="1" shrinkToFit="1"/>
      <protection locked="0"/>
    </xf>
    <xf numFmtId="0" fontId="91" fillId="0" borderId="37" xfId="0" applyNumberFormat="1" applyFont="1" applyFill="1" applyBorder="1" applyAlignment="1" applyProtection="1">
      <alignment horizontal="center" vertical="center" wrapText="1" shrinkToFit="1"/>
      <protection locked="0"/>
    </xf>
    <xf numFmtId="186" fontId="91" fillId="0" borderId="37" xfId="0" applyNumberFormat="1" applyFont="1" applyFill="1" applyBorder="1" applyAlignment="1" applyProtection="1">
      <alignment horizontal="center" vertical="center" wrapText="1" shrinkToFit="1"/>
      <protection locked="0"/>
    </xf>
    <xf numFmtId="186" fontId="91" fillId="6" borderId="37" xfId="0" applyNumberFormat="1" applyFont="1" applyFill="1" applyBorder="1" applyAlignment="1" applyProtection="1">
      <alignment horizontal="center" vertical="center" wrapText="1" shrinkToFit="1"/>
      <protection locked="0"/>
    </xf>
    <xf numFmtId="187" fontId="91" fillId="0" borderId="37" xfId="0" applyNumberFormat="1" applyFont="1" applyFill="1" applyBorder="1" applyAlignment="1" applyProtection="1">
      <alignment horizontal="center" vertical="center" wrapText="1" shrinkToFit="1"/>
      <protection locked="0"/>
    </xf>
    <xf numFmtId="191" fontId="91" fillId="0" borderId="37" xfId="0" applyNumberFormat="1" applyFont="1" applyFill="1" applyBorder="1" applyAlignment="1" applyProtection="1">
      <alignment horizontal="center" vertical="center" wrapText="1" shrinkToFit="1"/>
      <protection locked="0"/>
    </xf>
    <xf numFmtId="0" fontId="91" fillId="0" borderId="37" xfId="0" applyFont="1" applyFill="1" applyBorder="1" applyAlignment="1">
      <alignment horizontal="center" vertical="center"/>
    </xf>
    <xf numFmtId="186" fontId="91" fillId="6" borderId="41" xfId="0" applyNumberFormat="1" applyFont="1" applyFill="1" applyBorder="1" applyAlignment="1" applyProtection="1">
      <alignment horizontal="center" vertical="center" wrapText="1" shrinkToFit="1"/>
      <protection locked="0"/>
    </xf>
    <xf numFmtId="0" fontId="91" fillId="6" borderId="37" xfId="0" applyFont="1" applyFill="1" applyBorder="1" applyAlignment="1" applyProtection="1">
      <alignment horizontal="center" vertical="center"/>
      <protection locked="0"/>
    </xf>
    <xf numFmtId="186" fontId="91" fillId="0" borderId="0" xfId="0" applyNumberFormat="1" applyFont="1" applyFill="1" applyBorder="1" applyAlignment="1" applyProtection="1">
      <alignment horizontal="center" vertical="center" wrapText="1" shrinkToFit="1"/>
      <protection locked="0"/>
    </xf>
    <xf numFmtId="179" fontId="95" fillId="0" borderId="3" xfId="0" applyNumberFormat="1" applyFont="1" applyFill="1" applyBorder="1" applyAlignment="1" applyProtection="1">
      <alignment horizontal="center" vertical="center" wrapText="1" shrinkToFit="1"/>
    </xf>
    <xf numFmtId="0" fontId="95" fillId="0" borderId="3" xfId="0" applyFont="1" applyFill="1" applyBorder="1" applyAlignment="1" applyProtection="1">
      <alignment horizontal="center" vertical="center" wrapText="1"/>
      <protection locked="0"/>
    </xf>
    <xf numFmtId="0" fontId="95" fillId="0" borderId="3" xfId="0" applyFont="1" applyFill="1" applyBorder="1" applyAlignment="1" applyProtection="1">
      <alignment horizontal="center" vertical="center" wrapText="1" shrinkToFit="1"/>
      <protection locked="0"/>
    </xf>
    <xf numFmtId="0" fontId="95" fillId="0" borderId="3" xfId="0" applyFont="1" applyFill="1" applyBorder="1" applyAlignment="1" applyProtection="1">
      <alignment horizontal="center" vertical="center"/>
      <protection locked="0"/>
    </xf>
    <xf numFmtId="49" fontId="95" fillId="0" borderId="3" xfId="0" applyNumberFormat="1" applyFont="1" applyFill="1" applyBorder="1" applyAlignment="1" applyProtection="1">
      <alignment horizontal="center" vertical="center" wrapText="1" shrinkToFit="1"/>
      <protection locked="0"/>
    </xf>
    <xf numFmtId="0" fontId="95" fillId="0" borderId="3" xfId="0" applyNumberFormat="1" applyFont="1" applyFill="1" applyBorder="1" applyAlignment="1" applyProtection="1">
      <alignment horizontal="center" vertical="center" wrapText="1" shrinkToFit="1"/>
      <protection locked="0"/>
    </xf>
    <xf numFmtId="186" fontId="95" fillId="0" borderId="3" xfId="0" applyNumberFormat="1" applyFont="1" applyFill="1" applyBorder="1" applyAlignment="1" applyProtection="1">
      <alignment horizontal="center" vertical="center" wrapText="1" shrinkToFit="1"/>
      <protection locked="0"/>
    </xf>
    <xf numFmtId="186" fontId="95" fillId="0" borderId="35" xfId="0" applyNumberFormat="1" applyFont="1" applyFill="1" applyBorder="1" applyAlignment="1" applyProtection="1">
      <alignment horizontal="center" vertical="center" wrapText="1" shrinkToFit="1"/>
      <protection locked="0"/>
    </xf>
    <xf numFmtId="58" fontId="95" fillId="0" borderId="3" xfId="0" applyNumberFormat="1" applyFont="1" applyFill="1" applyBorder="1" applyAlignment="1" applyProtection="1">
      <alignment horizontal="center" vertical="center" wrapText="1" shrinkToFit="1"/>
      <protection locked="0"/>
    </xf>
    <xf numFmtId="187" fontId="95" fillId="0" borderId="3" xfId="0" applyNumberFormat="1" applyFont="1" applyFill="1" applyBorder="1" applyAlignment="1" applyProtection="1">
      <alignment horizontal="center" vertical="center" wrapText="1" shrinkToFit="1"/>
      <protection locked="0"/>
    </xf>
    <xf numFmtId="187" fontId="93" fillId="0" borderId="3" xfId="0" applyNumberFormat="1" applyFont="1" applyFill="1" applyBorder="1" applyAlignment="1" applyProtection="1">
      <alignment horizontal="center" vertical="center" wrapText="1" shrinkToFit="1"/>
      <protection locked="0"/>
    </xf>
    <xf numFmtId="191" fontId="95" fillId="0" borderId="3" xfId="0" applyNumberFormat="1" applyFont="1" applyFill="1" applyBorder="1" applyAlignment="1" applyProtection="1">
      <alignment horizontal="center" vertical="center" wrapText="1" shrinkToFit="1"/>
      <protection locked="0"/>
    </xf>
    <xf numFmtId="190" fontId="105" fillId="0" borderId="36" xfId="0" applyNumberFormat="1" applyFont="1" applyBorder="1" applyAlignment="1" applyProtection="1">
      <alignment horizontal="center" vertical="center" wrapText="1" shrinkToFit="1"/>
      <protection locked="0"/>
    </xf>
    <xf numFmtId="0" fontId="95" fillId="0" borderId="3" xfId="0" applyFont="1" applyFill="1" applyBorder="1" applyAlignment="1">
      <alignment horizontal="center" vertical="center"/>
    </xf>
    <xf numFmtId="0" fontId="92" fillId="0" borderId="3" xfId="0" applyFont="1" applyFill="1" applyBorder="1" applyAlignment="1" applyProtection="1">
      <alignment horizontal="center" vertical="center" wrapText="1" shrinkToFit="1"/>
      <protection locked="0"/>
    </xf>
    <xf numFmtId="0" fontId="93" fillId="0" borderId="3" xfId="0" applyFont="1" applyFill="1" applyBorder="1" applyAlignment="1" applyProtection="1">
      <alignment horizontal="center" vertical="center"/>
      <protection locked="0"/>
    </xf>
    <xf numFmtId="0" fontId="93" fillId="0" borderId="0" xfId="0" applyFont="1" applyFill="1" applyBorder="1" applyAlignment="1" applyProtection="1">
      <alignment horizontal="center" vertical="center"/>
      <protection locked="0"/>
    </xf>
    <xf numFmtId="0" fontId="90" fillId="0" borderId="3" xfId="0" applyFont="1" applyFill="1" applyBorder="1" applyAlignment="1">
      <alignment horizontal="center" vertical="center"/>
    </xf>
    <xf numFmtId="0" fontId="91" fillId="15" borderId="3" xfId="0" applyFont="1" applyFill="1" applyBorder="1" applyAlignment="1" applyProtection="1">
      <alignment horizontal="center" vertical="center"/>
      <protection locked="0"/>
    </xf>
    <xf numFmtId="0" fontId="91" fillId="17" borderId="3" xfId="0" applyNumberFormat="1" applyFont="1" applyFill="1" applyBorder="1" applyAlignment="1" applyProtection="1">
      <alignment horizontal="center" vertical="center" wrapText="1" shrinkToFit="1"/>
      <protection locked="0"/>
    </xf>
    <xf numFmtId="0" fontId="100" fillId="0" borderId="3" xfId="0" applyFont="1" applyBorder="1">
      <alignment vertical="center"/>
    </xf>
    <xf numFmtId="186" fontId="91" fillId="17" borderId="3" xfId="0" applyNumberFormat="1" applyFont="1" applyFill="1" applyBorder="1" applyAlignment="1" applyProtection="1">
      <alignment horizontal="center" vertical="center" wrapText="1" shrinkToFit="1"/>
      <protection locked="0"/>
    </xf>
    <xf numFmtId="58" fontId="91" fillId="0" borderId="3" xfId="0" applyNumberFormat="1" applyFont="1" applyBorder="1" applyAlignment="1" applyProtection="1">
      <alignment horizontal="center" vertical="center"/>
      <protection locked="0"/>
    </xf>
    <xf numFmtId="0" fontId="91" fillId="14" borderId="3" xfId="0" applyNumberFormat="1" applyFont="1" applyFill="1" applyBorder="1" applyAlignment="1" applyProtection="1">
      <alignment horizontal="center" vertical="center" wrapText="1" shrinkToFit="1"/>
      <protection locked="0"/>
    </xf>
    <xf numFmtId="190" fontId="103" fillId="20" borderId="37" xfId="0" applyNumberFormat="1" applyFont="1" applyFill="1" applyBorder="1" applyAlignment="1" applyProtection="1">
      <alignment horizontal="center" vertical="center" wrapText="1" shrinkToFit="1"/>
      <protection locked="0"/>
    </xf>
    <xf numFmtId="0" fontId="91" fillId="0" borderId="3" xfId="0" applyFont="1" applyBorder="1">
      <alignment vertical="center"/>
    </xf>
    <xf numFmtId="0" fontId="91" fillId="0" borderId="7" xfId="0" applyFont="1" applyBorder="1">
      <alignment vertical="center"/>
    </xf>
    <xf numFmtId="49" fontId="93" fillId="0" borderId="3" xfId="0" applyNumberFormat="1" applyFont="1" applyFill="1" applyBorder="1" applyAlignment="1" applyProtection="1">
      <alignment horizontal="center" vertical="center" wrapText="1" shrinkToFit="1"/>
      <protection locked="0"/>
    </xf>
    <xf numFmtId="187" fontId="93" fillId="0" borderId="35" xfId="0" applyNumberFormat="1" applyFont="1" applyFill="1" applyBorder="1" applyAlignment="1" applyProtection="1">
      <alignment horizontal="center" vertical="center" wrapText="1" shrinkToFit="1"/>
      <protection locked="0"/>
    </xf>
    <xf numFmtId="187" fontId="95" fillId="0" borderId="35" xfId="0" applyNumberFormat="1" applyFont="1" applyFill="1" applyBorder="1" applyAlignment="1" applyProtection="1">
      <alignment horizontal="center" vertical="center" wrapText="1" shrinkToFit="1"/>
      <protection locked="0"/>
    </xf>
    <xf numFmtId="0" fontId="91" fillId="0" borderId="36" xfId="0" applyFont="1" applyBorder="1">
      <alignment vertical="center"/>
    </xf>
    <xf numFmtId="0" fontId="91" fillId="18" borderId="36" xfId="0" applyFont="1" applyFill="1" applyBorder="1" applyAlignment="1" applyProtection="1">
      <alignment horizontal="center" vertical="center"/>
      <protection locked="0"/>
    </xf>
    <xf numFmtId="186" fontId="91" fillId="6" borderId="36" xfId="0" applyNumberFormat="1" applyFont="1" applyFill="1" applyBorder="1" applyAlignment="1" applyProtection="1">
      <alignment horizontal="center" vertical="center" wrapText="1" shrinkToFit="1"/>
      <protection locked="0"/>
    </xf>
    <xf numFmtId="0" fontId="91" fillId="0" borderId="36" xfId="0" applyFont="1" applyFill="1" applyBorder="1" applyAlignment="1">
      <alignment horizontal="center" vertical="center"/>
    </xf>
    <xf numFmtId="0" fontId="91" fillId="21" borderId="3" xfId="0" applyFont="1" applyFill="1" applyBorder="1" applyAlignment="1" applyProtection="1">
      <alignment horizontal="center" vertical="center"/>
      <protection locked="0"/>
    </xf>
    <xf numFmtId="49" fontId="91" fillId="6" borderId="37" xfId="0" applyNumberFormat="1" applyFont="1" applyFill="1" applyBorder="1" applyAlignment="1" applyProtection="1">
      <alignment horizontal="center" vertical="center" wrapText="1" shrinkToFit="1"/>
      <protection locked="0"/>
    </xf>
    <xf numFmtId="0" fontId="100" fillId="6" borderId="3" xfId="0" applyNumberFormat="1" applyFont="1" applyFill="1" applyBorder="1" applyAlignment="1" applyProtection="1">
      <alignment horizontal="center" vertical="center" wrapText="1" shrinkToFit="1"/>
      <protection locked="0"/>
    </xf>
    <xf numFmtId="0" fontId="91" fillId="0" borderId="36" xfId="0" applyFont="1" applyBorder="1" applyAlignment="1">
      <alignment horizontal="center" vertical="center"/>
    </xf>
    <xf numFmtId="187" fontId="91" fillId="6" borderId="36" xfId="0" applyNumberFormat="1" applyFont="1" applyFill="1" applyBorder="1" applyAlignment="1" applyProtection="1">
      <alignment horizontal="center" vertical="center" wrapText="1" shrinkToFit="1"/>
      <protection locked="0"/>
    </xf>
    <xf numFmtId="0" fontId="91" fillId="6" borderId="7" xfId="0" applyFont="1" applyFill="1" applyBorder="1" applyAlignment="1" applyProtection="1">
      <alignment horizontal="center" vertical="center"/>
      <protection locked="0"/>
    </xf>
    <xf numFmtId="179" fontId="93" fillId="0" borderId="3" xfId="0" applyNumberFormat="1" applyFont="1" applyFill="1" applyBorder="1" applyAlignment="1" applyProtection="1">
      <alignment horizontal="center" vertical="center" wrapText="1" shrinkToFit="1"/>
    </xf>
    <xf numFmtId="0" fontId="93" fillId="0" borderId="3" xfId="0" applyFont="1" applyFill="1" applyBorder="1" applyAlignment="1" applyProtection="1">
      <alignment horizontal="center" vertical="center" wrapText="1"/>
      <protection locked="0"/>
    </xf>
    <xf numFmtId="0" fontId="93" fillId="0" borderId="3" xfId="0" applyNumberFormat="1" applyFont="1" applyFill="1" applyBorder="1" applyAlignment="1" applyProtection="1">
      <alignment horizontal="center" vertical="center" wrapText="1" shrinkToFit="1"/>
      <protection locked="0"/>
    </xf>
    <xf numFmtId="186" fontId="93" fillId="0" borderId="3" xfId="0" applyNumberFormat="1" applyFont="1" applyFill="1" applyBorder="1" applyAlignment="1" applyProtection="1">
      <alignment horizontal="center" vertical="center" wrapText="1" shrinkToFit="1"/>
      <protection locked="0"/>
    </xf>
    <xf numFmtId="186" fontId="95" fillId="6" borderId="3" xfId="0" applyNumberFormat="1" applyFont="1" applyFill="1" applyBorder="1" applyAlignment="1" applyProtection="1">
      <alignment horizontal="center" vertical="center" wrapText="1" shrinkToFit="1"/>
      <protection locked="0"/>
    </xf>
    <xf numFmtId="58" fontId="93" fillId="0" borderId="3" xfId="0" applyNumberFormat="1" applyFont="1" applyFill="1" applyBorder="1" applyAlignment="1" applyProtection="1">
      <alignment horizontal="center" vertical="center" wrapText="1" shrinkToFit="1"/>
      <protection locked="0"/>
    </xf>
    <xf numFmtId="187" fontId="95" fillId="17" borderId="3" xfId="0" applyNumberFormat="1" applyFont="1" applyFill="1" applyBorder="1" applyAlignment="1" applyProtection="1">
      <alignment horizontal="center" vertical="center" wrapText="1" shrinkToFit="1"/>
      <protection locked="0"/>
    </xf>
    <xf numFmtId="191" fontId="93" fillId="0" borderId="3" xfId="0" applyNumberFormat="1" applyFont="1" applyFill="1" applyBorder="1" applyAlignment="1" applyProtection="1">
      <alignment horizontal="center" vertical="center" wrapText="1" shrinkToFit="1"/>
      <protection locked="0"/>
    </xf>
    <xf numFmtId="185" fontId="93" fillId="0" borderId="3" xfId="0" applyNumberFormat="1" applyFont="1" applyFill="1" applyBorder="1" applyAlignment="1" applyProtection="1">
      <alignment horizontal="center" vertical="center" wrapText="1" shrinkToFit="1"/>
      <protection locked="0"/>
    </xf>
    <xf numFmtId="0" fontId="93" fillId="18" borderId="3" xfId="0" applyFont="1" applyFill="1" applyBorder="1" applyAlignment="1" applyProtection="1">
      <alignment horizontal="center" vertical="center"/>
      <protection locked="0"/>
    </xf>
    <xf numFmtId="179" fontId="94" fillId="0" borderId="3" xfId="0" applyNumberFormat="1" applyFont="1" applyFill="1" applyBorder="1" applyAlignment="1" applyProtection="1">
      <alignment horizontal="center" vertical="center" wrapText="1" shrinkToFit="1"/>
    </xf>
    <xf numFmtId="0" fontId="94" fillId="0" borderId="3" xfId="0" applyFont="1" applyFill="1" applyBorder="1" applyAlignment="1" applyProtection="1">
      <alignment horizontal="center" vertical="center" wrapText="1"/>
      <protection locked="0"/>
    </xf>
    <xf numFmtId="0" fontId="94" fillId="0" borderId="3" xfId="0" applyFont="1" applyFill="1" applyBorder="1" applyAlignment="1" applyProtection="1">
      <alignment horizontal="center" vertical="center" wrapText="1" shrinkToFit="1"/>
      <protection locked="0"/>
    </xf>
    <xf numFmtId="0" fontId="94" fillId="0" borderId="3" xfId="0" applyFont="1" applyFill="1" applyBorder="1" applyAlignment="1" applyProtection="1">
      <alignment horizontal="center" vertical="center"/>
      <protection locked="0"/>
    </xf>
    <xf numFmtId="49" fontId="94" fillId="0" borderId="3" xfId="0" applyNumberFormat="1" applyFont="1" applyFill="1" applyBorder="1" applyAlignment="1" applyProtection="1">
      <alignment horizontal="center" vertical="center" wrapText="1" shrinkToFit="1"/>
      <protection locked="0"/>
    </xf>
    <xf numFmtId="0" fontId="94" fillId="0" borderId="3" xfId="0" applyNumberFormat="1" applyFont="1" applyFill="1" applyBorder="1" applyAlignment="1" applyProtection="1">
      <alignment horizontal="center" vertical="center" wrapText="1" shrinkToFit="1"/>
      <protection locked="0"/>
    </xf>
    <xf numFmtId="186" fontId="94" fillId="0" borderId="3" xfId="0" applyNumberFormat="1" applyFont="1" applyFill="1" applyBorder="1" applyAlignment="1" applyProtection="1">
      <alignment horizontal="center" vertical="center" wrapText="1" shrinkToFit="1"/>
      <protection locked="0"/>
    </xf>
    <xf numFmtId="58" fontId="94" fillId="0" borderId="3" xfId="0" applyNumberFormat="1" applyFont="1" applyFill="1" applyBorder="1" applyAlignment="1" applyProtection="1">
      <alignment horizontal="center" vertical="center" wrapText="1" shrinkToFit="1"/>
      <protection locked="0"/>
    </xf>
    <xf numFmtId="187" fontId="94" fillId="0" borderId="3" xfId="0" applyNumberFormat="1" applyFont="1" applyFill="1" applyBorder="1" applyAlignment="1" applyProtection="1">
      <alignment horizontal="center" vertical="center" wrapText="1" shrinkToFit="1"/>
      <protection locked="0"/>
    </xf>
    <xf numFmtId="191" fontId="94" fillId="0" borderId="3" xfId="0" applyNumberFormat="1" applyFont="1" applyFill="1" applyBorder="1" applyAlignment="1" applyProtection="1">
      <alignment horizontal="center" vertical="center" wrapText="1" shrinkToFit="1"/>
      <protection locked="0"/>
    </xf>
    <xf numFmtId="186" fontId="93" fillId="6" borderId="3" xfId="0" applyNumberFormat="1" applyFont="1" applyFill="1" applyBorder="1" applyAlignment="1" applyProtection="1">
      <alignment horizontal="center" vertical="center" wrapText="1" shrinkToFit="1"/>
      <protection locked="0"/>
    </xf>
    <xf numFmtId="0" fontId="93" fillId="15" borderId="3" xfId="0" applyFont="1" applyFill="1" applyBorder="1" applyAlignment="1" applyProtection="1">
      <alignment horizontal="center" vertical="center"/>
      <protection locked="0"/>
    </xf>
    <xf numFmtId="0" fontId="93" fillId="6" borderId="3" xfId="0" applyNumberFormat="1" applyFont="1" applyFill="1" applyBorder="1" applyAlignment="1" applyProtection="1">
      <alignment horizontal="center" vertical="center" wrapText="1" shrinkToFit="1"/>
      <protection locked="0"/>
    </xf>
    <xf numFmtId="187" fontId="93" fillId="6" borderId="3" xfId="0" applyNumberFormat="1" applyFont="1" applyFill="1" applyBorder="1" applyAlignment="1" applyProtection="1">
      <alignment horizontal="center" vertical="center" wrapText="1" shrinkToFit="1"/>
      <protection locked="0"/>
    </xf>
    <xf numFmtId="0" fontId="93" fillId="17" borderId="3" xfId="0" applyFont="1" applyFill="1" applyBorder="1" applyAlignment="1" applyProtection="1">
      <alignment horizontal="center" vertical="center"/>
      <protection locked="0"/>
    </xf>
    <xf numFmtId="186" fontId="100" fillId="6" borderId="3" xfId="0" applyNumberFormat="1" applyFont="1" applyFill="1" applyBorder="1" applyAlignment="1" applyProtection="1">
      <alignment horizontal="center" vertical="center" wrapText="1" shrinkToFit="1"/>
      <protection locked="0"/>
    </xf>
    <xf numFmtId="0" fontId="102" fillId="6" borderId="3" xfId="0" applyNumberFormat="1" applyFont="1" applyFill="1" applyBorder="1" applyAlignment="1" applyProtection="1">
      <alignment horizontal="center" vertical="center" wrapText="1" shrinkToFit="1"/>
      <protection locked="0"/>
    </xf>
    <xf numFmtId="58" fontId="95" fillId="0" borderId="35" xfId="0" applyNumberFormat="1" applyFont="1" applyFill="1" applyBorder="1" applyAlignment="1" applyProtection="1">
      <alignment horizontal="center" vertical="center" wrapText="1" shrinkToFit="1"/>
      <protection locked="0"/>
    </xf>
    <xf numFmtId="0" fontId="90" fillId="0" borderId="3" xfId="0" applyFont="1" applyFill="1" applyBorder="1" applyAlignment="1" applyProtection="1">
      <alignment horizontal="center" vertical="center"/>
      <protection locked="0"/>
    </xf>
    <xf numFmtId="0" fontId="95" fillId="6" borderId="3" xfId="0" applyFont="1" applyFill="1" applyBorder="1" applyAlignment="1" applyProtection="1">
      <alignment horizontal="center" vertical="center" wrapText="1" shrinkToFit="1"/>
      <protection locked="0"/>
    </xf>
    <xf numFmtId="0" fontId="90" fillId="0" borderId="0" xfId="0" applyFont="1" applyBorder="1">
      <alignment vertical="center"/>
    </xf>
    <xf numFmtId="190" fontId="105" fillId="20" borderId="36" xfId="0" applyNumberFormat="1" applyFont="1" applyFill="1" applyBorder="1" applyAlignment="1" applyProtection="1">
      <alignment horizontal="center" vertical="center" wrapText="1" shrinkToFit="1"/>
      <protection locked="0"/>
    </xf>
    <xf numFmtId="186" fontId="93" fillId="6" borderId="35" xfId="0" applyNumberFormat="1" applyFont="1" applyFill="1" applyBorder="1" applyAlignment="1" applyProtection="1">
      <alignment horizontal="center" vertical="center" wrapText="1" shrinkToFit="1"/>
      <protection locked="0"/>
    </xf>
    <xf numFmtId="0" fontId="95" fillId="0" borderId="0" xfId="0" applyFont="1" applyFill="1" applyBorder="1" applyAlignment="1" applyProtection="1">
      <alignment horizontal="center" vertical="center"/>
      <protection locked="0"/>
    </xf>
    <xf numFmtId="0" fontId="94" fillId="15" borderId="3" xfId="0" applyFont="1" applyFill="1" applyBorder="1" applyAlignment="1" applyProtection="1">
      <alignment horizontal="center" vertical="center"/>
      <protection locked="0"/>
    </xf>
    <xf numFmtId="187" fontId="95" fillId="6" borderId="3" xfId="0" applyNumberFormat="1" applyFont="1" applyFill="1" applyBorder="1" applyAlignment="1" applyProtection="1">
      <alignment horizontal="center" vertical="center" wrapText="1" shrinkToFit="1"/>
      <protection locked="0"/>
    </xf>
    <xf numFmtId="185" fontId="95" fillId="0" borderId="3" xfId="0" applyNumberFormat="1" applyFont="1" applyFill="1" applyBorder="1" applyAlignment="1" applyProtection="1">
      <alignment horizontal="center" vertical="center" wrapText="1" shrinkToFit="1"/>
      <protection locked="0"/>
    </xf>
    <xf numFmtId="0" fontId="95" fillId="6" borderId="3" xfId="0" applyFont="1" applyFill="1" applyBorder="1" applyAlignment="1" applyProtection="1">
      <alignment horizontal="center" vertical="center"/>
      <protection locked="0"/>
    </xf>
    <xf numFmtId="179" fontId="95" fillId="0" borderId="37" xfId="0" applyNumberFormat="1" applyFont="1" applyFill="1" applyBorder="1" applyAlignment="1" applyProtection="1">
      <alignment horizontal="center" vertical="center" wrapText="1" shrinkToFit="1"/>
    </xf>
    <xf numFmtId="0" fontId="93" fillId="0" borderId="37" xfId="0" applyFont="1" applyFill="1" applyBorder="1" applyAlignment="1" applyProtection="1">
      <alignment horizontal="center" vertical="center" wrapText="1"/>
      <protection locked="0"/>
    </xf>
    <xf numFmtId="0" fontId="93" fillId="0" borderId="37" xfId="0" applyFont="1" applyFill="1" applyBorder="1" applyAlignment="1" applyProtection="1">
      <alignment horizontal="center" vertical="center" wrapText="1" shrinkToFit="1"/>
      <protection locked="0"/>
    </xf>
    <xf numFmtId="49" fontId="93" fillId="0" borderId="37" xfId="0" applyNumberFormat="1" applyFont="1" applyFill="1" applyBorder="1" applyAlignment="1" applyProtection="1">
      <alignment horizontal="center" vertical="center" wrapText="1" shrinkToFit="1"/>
      <protection locked="0"/>
    </xf>
    <xf numFmtId="0" fontId="93" fillId="0" borderId="37" xfId="0" applyNumberFormat="1" applyFont="1" applyFill="1" applyBorder="1" applyAlignment="1" applyProtection="1">
      <alignment horizontal="center" vertical="center" wrapText="1" shrinkToFit="1"/>
      <protection locked="0"/>
    </xf>
    <xf numFmtId="186" fontId="93" fillId="6" borderId="37" xfId="0" applyNumberFormat="1" applyFont="1" applyFill="1" applyBorder="1" applyAlignment="1" applyProtection="1">
      <alignment horizontal="center" vertical="center" wrapText="1" shrinkToFit="1"/>
      <protection locked="0"/>
    </xf>
    <xf numFmtId="186" fontId="95" fillId="6" borderId="37" xfId="0" applyNumberFormat="1" applyFont="1" applyFill="1" applyBorder="1" applyAlignment="1" applyProtection="1">
      <alignment horizontal="center" vertical="center" wrapText="1" shrinkToFit="1"/>
      <protection locked="0"/>
    </xf>
    <xf numFmtId="0" fontId="95" fillId="0" borderId="37" xfId="0" applyNumberFormat="1" applyFont="1" applyFill="1" applyBorder="1" applyAlignment="1" applyProtection="1">
      <alignment horizontal="center" vertical="center" wrapText="1" shrinkToFit="1"/>
      <protection locked="0"/>
    </xf>
    <xf numFmtId="58" fontId="93" fillId="0" borderId="35" xfId="0" applyNumberFormat="1" applyFont="1" applyFill="1" applyBorder="1" applyAlignment="1" applyProtection="1">
      <alignment horizontal="center" vertical="center" wrapText="1" shrinkToFit="1"/>
      <protection locked="0"/>
    </xf>
    <xf numFmtId="187" fontId="93" fillId="0" borderId="37" xfId="0" applyNumberFormat="1" applyFont="1" applyFill="1" applyBorder="1" applyAlignment="1" applyProtection="1">
      <alignment horizontal="center" vertical="center" wrapText="1" shrinkToFit="1"/>
      <protection locked="0"/>
    </xf>
    <xf numFmtId="187" fontId="95" fillId="6" borderId="37" xfId="0" applyNumberFormat="1" applyFont="1" applyFill="1" applyBorder="1" applyAlignment="1" applyProtection="1">
      <alignment horizontal="center" vertical="center" wrapText="1" shrinkToFit="1"/>
      <protection locked="0"/>
    </xf>
    <xf numFmtId="186" fontId="93" fillId="0" borderId="37" xfId="0" applyNumberFormat="1" applyFont="1" applyFill="1" applyBorder="1" applyAlignment="1" applyProtection="1">
      <alignment horizontal="center" vertical="center" wrapText="1" shrinkToFit="1"/>
      <protection locked="0"/>
    </xf>
    <xf numFmtId="191" fontId="93" fillId="0" borderId="37" xfId="0" applyNumberFormat="1" applyFont="1" applyFill="1" applyBorder="1" applyAlignment="1" applyProtection="1">
      <alignment horizontal="center" vertical="center" wrapText="1" shrinkToFit="1"/>
      <protection locked="0"/>
    </xf>
    <xf numFmtId="190" fontId="105" fillId="0" borderId="37" xfId="0" applyNumberFormat="1" applyFont="1" applyBorder="1" applyAlignment="1" applyProtection="1">
      <alignment horizontal="center" vertical="center" wrapText="1" shrinkToFit="1"/>
      <protection locked="0"/>
    </xf>
    <xf numFmtId="185" fontId="93" fillId="0" borderId="37" xfId="0" applyNumberFormat="1" applyFont="1" applyFill="1" applyBorder="1" applyAlignment="1" applyProtection="1">
      <alignment horizontal="center" vertical="center" wrapText="1" shrinkToFit="1"/>
      <protection locked="0"/>
    </xf>
    <xf numFmtId="0" fontId="95" fillId="0" borderId="35" xfId="0" applyFont="1" applyFill="1" applyBorder="1" applyAlignment="1" applyProtection="1">
      <alignment horizontal="center" vertical="center" wrapText="1" shrinkToFit="1"/>
      <protection locked="0"/>
    </xf>
    <xf numFmtId="0" fontId="95" fillId="0" borderId="37" xfId="0" applyFont="1" applyFill="1" applyBorder="1" applyAlignment="1" applyProtection="1">
      <alignment horizontal="center" vertical="center" wrapText="1" shrinkToFit="1"/>
      <protection locked="0"/>
    </xf>
    <xf numFmtId="0" fontId="93" fillId="0" borderId="35" xfId="0" applyFont="1" applyFill="1" applyBorder="1" applyAlignment="1" applyProtection="1">
      <alignment horizontal="center" vertical="center"/>
      <protection locked="0"/>
    </xf>
    <xf numFmtId="0" fontId="91" fillId="17" borderId="3" xfId="0" applyFont="1" applyFill="1" applyBorder="1" applyAlignment="1" applyProtection="1">
      <alignment horizontal="center" vertical="center"/>
      <protection locked="0"/>
    </xf>
    <xf numFmtId="0" fontId="95" fillId="0" borderId="3" xfId="0" applyFont="1" applyBorder="1" applyAlignment="1">
      <alignment horizontal="center" vertical="center"/>
    </xf>
    <xf numFmtId="0" fontId="95" fillId="15" borderId="3" xfId="0" applyFont="1" applyFill="1" applyBorder="1" applyAlignment="1" applyProtection="1">
      <alignment horizontal="center" vertical="center"/>
      <protection locked="0"/>
    </xf>
    <xf numFmtId="191" fontId="93" fillId="6" borderId="3" xfId="0" applyNumberFormat="1" applyFont="1" applyFill="1" applyBorder="1" applyAlignment="1" applyProtection="1">
      <alignment horizontal="center" vertical="center" wrapText="1" shrinkToFit="1"/>
      <protection locked="0"/>
    </xf>
    <xf numFmtId="186" fontId="94" fillId="6" borderId="3" xfId="0" applyNumberFormat="1" applyFont="1" applyFill="1" applyBorder="1" applyAlignment="1" applyProtection="1">
      <alignment horizontal="center" vertical="center" wrapText="1" shrinkToFit="1"/>
      <protection locked="0"/>
    </xf>
    <xf numFmtId="0" fontId="95" fillId="0" borderId="35" xfId="0" applyFont="1" applyFill="1" applyBorder="1" applyAlignment="1" applyProtection="1">
      <alignment horizontal="center" vertical="center"/>
      <protection locked="0"/>
    </xf>
    <xf numFmtId="187" fontId="95" fillId="6" borderId="35" xfId="0" applyNumberFormat="1" applyFont="1" applyFill="1" applyBorder="1" applyAlignment="1" applyProtection="1">
      <alignment horizontal="center" vertical="center" wrapText="1" shrinkToFit="1"/>
      <protection locked="0"/>
    </xf>
    <xf numFmtId="0" fontId="68" fillId="6" borderId="3" xfId="0" applyFont="1" applyFill="1" applyBorder="1" applyAlignment="1" applyProtection="1">
      <alignment horizontal="center" vertical="center" wrapText="1"/>
      <protection locked="0"/>
    </xf>
    <xf numFmtId="191" fontId="95" fillId="17" borderId="3" xfId="0" applyNumberFormat="1" applyFont="1" applyFill="1" applyBorder="1" applyAlignment="1" applyProtection="1">
      <alignment horizontal="center" vertical="center" wrapText="1" shrinkToFit="1"/>
      <protection locked="0"/>
    </xf>
    <xf numFmtId="0" fontId="91" fillId="15" borderId="37" xfId="0" applyFont="1" applyFill="1" applyBorder="1" applyAlignment="1" applyProtection="1">
      <alignment horizontal="center" vertical="center"/>
      <protection locked="0"/>
    </xf>
    <xf numFmtId="0" fontId="95" fillId="18" borderId="3" xfId="0" applyFont="1" applyFill="1" applyBorder="1" applyAlignment="1" applyProtection="1">
      <alignment horizontal="center" vertical="center"/>
      <protection locked="0"/>
    </xf>
    <xf numFmtId="187" fontId="91" fillId="17" borderId="3" xfId="0" applyNumberFormat="1" applyFont="1" applyFill="1" applyBorder="1" applyAlignment="1" applyProtection="1">
      <alignment horizontal="center" vertical="center" wrapText="1" shrinkToFit="1"/>
      <protection locked="0"/>
    </xf>
    <xf numFmtId="190" fontId="105" fillId="6" borderId="36" xfId="0" applyNumberFormat="1" applyFont="1" applyFill="1" applyBorder="1" applyAlignment="1" applyProtection="1">
      <alignment horizontal="center" vertical="center" wrapText="1" shrinkToFit="1"/>
      <protection locked="0"/>
    </xf>
    <xf numFmtId="0" fontId="95" fillId="0" borderId="3" xfId="0" applyFont="1" applyFill="1" applyBorder="1" applyAlignment="1"/>
    <xf numFmtId="0" fontId="92" fillId="0" borderId="3" xfId="0" applyFont="1" applyFill="1" applyBorder="1" applyAlignment="1" applyProtection="1">
      <alignment horizontal="center" vertical="center"/>
      <protection locked="0"/>
    </xf>
    <xf numFmtId="0" fontId="94" fillId="6" borderId="3" xfId="0" applyFont="1" applyFill="1" applyBorder="1" applyAlignment="1" applyProtection="1">
      <alignment horizontal="center" vertical="center" wrapText="1" shrinkToFit="1"/>
      <protection locked="0"/>
    </xf>
    <xf numFmtId="187" fontId="94" fillId="6" borderId="3" xfId="0" applyNumberFormat="1" applyFont="1" applyFill="1" applyBorder="1" applyAlignment="1" applyProtection="1">
      <alignment horizontal="center" vertical="center" wrapText="1" shrinkToFit="1"/>
      <protection locked="0"/>
    </xf>
    <xf numFmtId="0" fontId="93" fillId="6" borderId="3" xfId="0" applyFont="1" applyFill="1" applyBorder="1" applyAlignment="1" applyProtection="1">
      <alignment horizontal="center" vertical="center" wrapText="1" shrinkToFit="1"/>
      <protection locked="0"/>
    </xf>
    <xf numFmtId="0" fontId="95" fillId="14" borderId="3" xfId="0" applyFont="1" applyFill="1" applyBorder="1" applyAlignment="1" applyProtection="1">
      <alignment horizontal="center" vertical="center" wrapText="1" shrinkToFit="1"/>
      <protection locked="0"/>
    </xf>
    <xf numFmtId="190" fontId="105" fillId="19" borderId="36" xfId="0" applyNumberFormat="1" applyFont="1" applyFill="1" applyBorder="1" applyAlignment="1" applyProtection="1">
      <alignment horizontal="center" vertical="center" wrapText="1" shrinkToFit="1"/>
      <protection locked="0"/>
    </xf>
    <xf numFmtId="0" fontId="95" fillId="6" borderId="3" xfId="0" applyFont="1" applyFill="1" applyBorder="1" applyAlignment="1" applyProtection="1">
      <alignment horizontal="center" vertical="center" wrapText="1"/>
      <protection locked="0"/>
    </xf>
    <xf numFmtId="49" fontId="93" fillId="0" borderId="36" xfId="0" applyNumberFormat="1" applyFont="1" applyFill="1" applyBorder="1" applyAlignment="1" applyProtection="1">
      <alignment horizontal="center" vertical="center" wrapText="1" shrinkToFit="1"/>
      <protection locked="0"/>
    </xf>
    <xf numFmtId="0" fontId="91" fillId="6" borderId="36" xfId="0" applyFont="1" applyFill="1" applyBorder="1" applyAlignment="1" applyProtection="1">
      <alignment horizontal="center" vertical="center" wrapText="1"/>
      <protection locked="0"/>
    </xf>
    <xf numFmtId="187" fontId="94" fillId="17" borderId="3" xfId="0" applyNumberFormat="1" applyFont="1" applyFill="1" applyBorder="1" applyAlignment="1" applyProtection="1">
      <alignment horizontal="center" vertical="center" wrapText="1" shrinkToFit="1"/>
      <protection locked="0"/>
    </xf>
    <xf numFmtId="179" fontId="94" fillId="0" borderId="36" xfId="0" applyNumberFormat="1" applyFont="1" applyFill="1" applyBorder="1" applyAlignment="1" applyProtection="1">
      <alignment horizontal="center" vertical="center" wrapText="1" shrinkToFit="1"/>
    </xf>
    <xf numFmtId="0" fontId="94" fillId="0" borderId="36" xfId="0" applyFont="1" applyFill="1" applyBorder="1" applyAlignment="1" applyProtection="1">
      <alignment horizontal="center" vertical="center" wrapText="1"/>
      <protection locked="0"/>
    </xf>
    <xf numFmtId="0" fontId="94" fillId="0" borderId="36" xfId="0" applyFont="1" applyFill="1" applyBorder="1" applyAlignment="1" applyProtection="1">
      <alignment horizontal="center" vertical="center" wrapText="1" shrinkToFit="1"/>
      <protection locked="0"/>
    </xf>
    <xf numFmtId="49" fontId="94" fillId="0" borderId="36" xfId="0" applyNumberFormat="1" applyFont="1" applyFill="1" applyBorder="1" applyAlignment="1" applyProtection="1">
      <alignment horizontal="center" vertical="center" wrapText="1" shrinkToFit="1"/>
      <protection locked="0"/>
    </xf>
    <xf numFmtId="0" fontId="94" fillId="0" borderId="36" xfId="0" applyNumberFormat="1" applyFont="1" applyFill="1" applyBorder="1" applyAlignment="1" applyProtection="1">
      <alignment horizontal="center" vertical="center" wrapText="1" shrinkToFit="1"/>
      <protection locked="0"/>
    </xf>
    <xf numFmtId="186" fontId="94" fillId="0" borderId="36" xfId="0" applyNumberFormat="1" applyFont="1" applyFill="1" applyBorder="1" applyAlignment="1" applyProtection="1">
      <alignment horizontal="center" vertical="center" wrapText="1" shrinkToFit="1"/>
      <protection locked="0"/>
    </xf>
    <xf numFmtId="186" fontId="94" fillId="6" borderId="36" xfId="0" applyNumberFormat="1" applyFont="1" applyFill="1" applyBorder="1" applyAlignment="1" applyProtection="1">
      <alignment horizontal="center" vertical="center" wrapText="1" shrinkToFit="1"/>
      <protection locked="0"/>
    </xf>
    <xf numFmtId="187" fontId="94" fillId="0" borderId="35" xfId="0" applyNumberFormat="1" applyFont="1" applyFill="1" applyBorder="1" applyAlignment="1" applyProtection="1">
      <alignment horizontal="center" vertical="center" wrapText="1" shrinkToFit="1"/>
      <protection locked="0"/>
    </xf>
    <xf numFmtId="187" fontId="94" fillId="0" borderId="36" xfId="0" applyNumberFormat="1" applyFont="1" applyFill="1" applyBorder="1" applyAlignment="1" applyProtection="1">
      <alignment horizontal="center" vertical="center" wrapText="1" shrinkToFit="1"/>
      <protection locked="0"/>
    </xf>
    <xf numFmtId="191" fontId="94" fillId="0" borderId="36" xfId="0" applyNumberFormat="1" applyFont="1" applyFill="1" applyBorder="1" applyAlignment="1" applyProtection="1">
      <alignment horizontal="center" vertical="center" wrapText="1" shrinkToFit="1"/>
      <protection locked="0"/>
    </xf>
    <xf numFmtId="58" fontId="95" fillId="0" borderId="3" xfId="0" applyNumberFormat="1" applyFont="1" applyFill="1" applyBorder="1" applyAlignment="1" applyProtection="1">
      <alignment horizontal="center" vertical="center" wrapText="1"/>
      <protection locked="0"/>
    </xf>
    <xf numFmtId="0" fontId="106" fillId="0" borderId="3" xfId="0" applyFont="1" applyFill="1" applyBorder="1" applyAlignment="1" applyProtection="1">
      <alignment horizontal="center" vertical="center" wrapText="1" shrinkToFit="1"/>
      <protection locked="0"/>
    </xf>
    <xf numFmtId="179" fontId="95" fillId="0" borderId="36" xfId="0" applyNumberFormat="1" applyFont="1" applyFill="1" applyBorder="1" applyAlignment="1" applyProtection="1">
      <alignment horizontal="center" vertical="center" wrapText="1" shrinkToFit="1"/>
    </xf>
    <xf numFmtId="0" fontId="95" fillId="0" borderId="36" xfId="0" applyFont="1" applyFill="1" applyBorder="1" applyAlignment="1" applyProtection="1">
      <alignment horizontal="center" vertical="center" wrapText="1"/>
      <protection locked="0"/>
    </xf>
    <xf numFmtId="0" fontId="95" fillId="0" borderId="36" xfId="0" applyFont="1" applyFill="1" applyBorder="1" applyAlignment="1" applyProtection="1">
      <alignment horizontal="center" vertical="center" wrapText="1" shrinkToFit="1"/>
      <protection locked="0"/>
    </xf>
    <xf numFmtId="0" fontId="95" fillId="15" borderId="36" xfId="0" applyFont="1" applyFill="1" applyBorder="1" applyAlignment="1" applyProtection="1">
      <alignment horizontal="center" vertical="center"/>
      <protection locked="0"/>
    </xf>
    <xf numFmtId="49" fontId="95" fillId="0" borderId="36" xfId="0" applyNumberFormat="1" applyFont="1" applyFill="1" applyBorder="1" applyAlignment="1" applyProtection="1">
      <alignment horizontal="center" vertical="center" wrapText="1" shrinkToFit="1"/>
      <protection locked="0"/>
    </xf>
    <xf numFmtId="0" fontId="93" fillId="0" borderId="36" xfId="0" applyFont="1" applyFill="1" applyBorder="1" applyAlignment="1" applyProtection="1">
      <alignment horizontal="center" vertical="center" wrapText="1" shrinkToFit="1"/>
      <protection locked="0"/>
    </xf>
    <xf numFmtId="0" fontId="95" fillId="0" borderId="36" xfId="0" applyNumberFormat="1" applyFont="1" applyFill="1" applyBorder="1" applyAlignment="1" applyProtection="1">
      <alignment horizontal="center" vertical="center" wrapText="1" shrinkToFit="1"/>
      <protection locked="0"/>
    </xf>
    <xf numFmtId="186" fontId="95" fillId="0" borderId="36" xfId="0" applyNumberFormat="1" applyFont="1" applyFill="1" applyBorder="1" applyAlignment="1" applyProtection="1">
      <alignment horizontal="center" vertical="center" wrapText="1" shrinkToFit="1"/>
      <protection locked="0"/>
    </xf>
    <xf numFmtId="186" fontId="95" fillId="6" borderId="36" xfId="0" applyNumberFormat="1" applyFont="1" applyFill="1" applyBorder="1" applyAlignment="1" applyProtection="1">
      <alignment horizontal="center" vertical="center" wrapText="1" shrinkToFit="1"/>
      <protection locked="0"/>
    </xf>
    <xf numFmtId="187" fontId="93" fillId="0" borderId="36" xfId="0" applyNumberFormat="1" applyFont="1" applyFill="1" applyBorder="1" applyAlignment="1" applyProtection="1">
      <alignment horizontal="center" vertical="center" wrapText="1" shrinkToFit="1"/>
      <protection locked="0"/>
    </xf>
    <xf numFmtId="187" fontId="95" fillId="0" borderId="36" xfId="0" applyNumberFormat="1" applyFont="1" applyFill="1" applyBorder="1" applyAlignment="1" applyProtection="1">
      <alignment horizontal="center" vertical="center" wrapText="1" shrinkToFit="1"/>
      <protection locked="0"/>
    </xf>
    <xf numFmtId="191" fontId="95" fillId="0" borderId="36" xfId="0" applyNumberFormat="1" applyFont="1" applyFill="1" applyBorder="1" applyAlignment="1" applyProtection="1">
      <alignment horizontal="center" vertical="center" wrapText="1" shrinkToFit="1"/>
      <protection locked="0"/>
    </xf>
    <xf numFmtId="0" fontId="106" fillId="0" borderId="36" xfId="0" applyFont="1" applyFill="1" applyBorder="1" applyAlignment="1" applyProtection="1">
      <alignment horizontal="center" vertical="center" wrapText="1" shrinkToFit="1"/>
      <protection locked="0"/>
    </xf>
    <xf numFmtId="0" fontId="93" fillId="6" borderId="36" xfId="0" applyFont="1" applyFill="1" applyBorder="1" applyAlignment="1" applyProtection="1">
      <alignment horizontal="center" vertical="center" wrapText="1" shrinkToFit="1"/>
      <protection locked="0"/>
    </xf>
    <xf numFmtId="0" fontId="95" fillId="6" borderId="36" xfId="0" applyFont="1" applyFill="1" applyBorder="1" applyAlignment="1" applyProtection="1">
      <alignment horizontal="center" vertical="center" wrapText="1" shrinkToFit="1"/>
      <protection locked="0"/>
    </xf>
    <xf numFmtId="187" fontId="95" fillId="6" borderId="36" xfId="0" applyNumberFormat="1" applyFont="1" applyFill="1" applyBorder="1" applyAlignment="1" applyProtection="1">
      <alignment horizontal="center" vertical="center" wrapText="1" shrinkToFit="1"/>
      <protection locked="0"/>
    </xf>
    <xf numFmtId="0" fontId="93" fillId="18" borderId="36" xfId="0" applyFont="1" applyFill="1" applyBorder="1" applyAlignment="1" applyProtection="1">
      <alignment horizontal="center" vertical="center"/>
      <protection locked="0"/>
    </xf>
    <xf numFmtId="179" fontId="95" fillId="0" borderId="36" xfId="0" applyNumberFormat="1" applyFont="1" applyFill="1" applyBorder="1" applyAlignment="1" applyProtection="1">
      <alignment horizontal="center" vertical="center" wrapText="1" shrinkToFit="1"/>
    </xf>
    <xf numFmtId="0" fontId="95" fillId="0" borderId="36" xfId="0" applyFont="1" applyFill="1" applyBorder="1" applyAlignment="1" applyProtection="1">
      <alignment horizontal="center" vertical="center" wrapText="1"/>
      <protection locked="0"/>
    </xf>
    <xf numFmtId="0" fontId="95" fillId="0" borderId="36" xfId="0" applyFont="1" applyFill="1" applyBorder="1" applyAlignment="1" applyProtection="1">
      <alignment horizontal="center" vertical="center" wrapText="1" shrinkToFit="1"/>
      <protection locked="0"/>
    </xf>
    <xf numFmtId="0" fontId="95" fillId="0" borderId="36" xfId="0" applyFont="1" applyFill="1" applyBorder="1" applyAlignment="1" applyProtection="1">
      <alignment horizontal="center" vertical="center"/>
      <protection locked="0"/>
    </xf>
    <xf numFmtId="49" fontId="95" fillId="0" borderId="36" xfId="0" applyNumberFormat="1" applyFont="1" applyFill="1" applyBorder="1" applyAlignment="1" applyProtection="1">
      <alignment horizontal="center" vertical="center" wrapText="1" shrinkToFit="1"/>
      <protection locked="0"/>
    </xf>
    <xf numFmtId="0" fontId="93" fillId="0" borderId="36" xfId="0" applyFont="1" applyFill="1" applyBorder="1" applyAlignment="1" applyProtection="1">
      <alignment horizontal="center" vertical="center" wrapText="1" shrinkToFit="1"/>
      <protection locked="0"/>
    </xf>
    <xf numFmtId="0" fontId="95" fillId="0" borderId="36" xfId="0" applyNumberFormat="1" applyFont="1" applyFill="1" applyBorder="1" applyAlignment="1" applyProtection="1">
      <alignment horizontal="center" vertical="center" wrapText="1" shrinkToFit="1"/>
      <protection locked="0"/>
    </xf>
    <xf numFmtId="186" fontId="95" fillId="0" borderId="36" xfId="0" applyNumberFormat="1" applyFont="1" applyFill="1" applyBorder="1" applyAlignment="1" applyProtection="1">
      <alignment horizontal="center" vertical="center" wrapText="1" shrinkToFit="1"/>
      <protection locked="0"/>
    </xf>
    <xf numFmtId="58" fontId="95" fillId="0" borderId="3" xfId="0" applyNumberFormat="1" applyFont="1" applyFill="1" applyBorder="1" applyAlignment="1" applyProtection="1">
      <alignment horizontal="center" vertical="center" wrapText="1" shrinkToFit="1"/>
      <protection locked="0"/>
    </xf>
    <xf numFmtId="187" fontId="95" fillId="0" borderId="3" xfId="0" applyNumberFormat="1" applyFont="1" applyFill="1" applyBorder="1" applyAlignment="1" applyProtection="1">
      <alignment horizontal="center" vertical="center" wrapText="1" shrinkToFit="1"/>
      <protection locked="0"/>
    </xf>
    <xf numFmtId="187" fontId="95" fillId="0" borderId="35" xfId="0" applyNumberFormat="1" applyFont="1" applyFill="1" applyBorder="1" applyAlignment="1" applyProtection="1">
      <alignment horizontal="center" vertical="center" wrapText="1" shrinkToFit="1"/>
      <protection locked="0"/>
    </xf>
    <xf numFmtId="187" fontId="93" fillId="0" borderId="3" xfId="0" applyNumberFormat="1" applyFont="1" applyFill="1" applyBorder="1" applyAlignment="1" applyProtection="1">
      <alignment horizontal="center" vertical="center" wrapText="1" shrinkToFit="1"/>
      <protection locked="0"/>
    </xf>
    <xf numFmtId="187" fontId="95" fillId="0" borderId="36" xfId="0" applyNumberFormat="1" applyFont="1" applyFill="1" applyBorder="1" applyAlignment="1" applyProtection="1">
      <alignment horizontal="center" vertical="center" wrapText="1" shrinkToFit="1"/>
      <protection locked="0"/>
    </xf>
    <xf numFmtId="191" fontId="95" fillId="0" borderId="36" xfId="0" applyNumberFormat="1" applyFont="1" applyFill="1" applyBorder="1" applyAlignment="1" applyProtection="1">
      <alignment horizontal="center" vertical="center" wrapText="1" shrinkToFit="1"/>
      <protection locked="0"/>
    </xf>
    <xf numFmtId="190" fontId="105" fillId="0" borderId="36" xfId="0" applyNumberFormat="1" applyFont="1" applyFill="1" applyBorder="1" applyAlignment="1" applyProtection="1">
      <alignment horizontal="center" vertical="center" wrapText="1" shrinkToFit="1"/>
      <protection locked="0"/>
    </xf>
    <xf numFmtId="0" fontId="90" fillId="0" borderId="3" xfId="0" applyFont="1" applyFill="1" applyBorder="1" applyAlignment="1" applyProtection="1">
      <alignment horizontal="center" vertical="center"/>
      <protection locked="0"/>
    </xf>
    <xf numFmtId="0" fontId="95" fillId="0" borderId="3" xfId="0" applyFont="1" applyFill="1" applyBorder="1" applyAlignment="1" applyProtection="1">
      <alignment horizontal="center" vertical="center" wrapText="1" shrinkToFit="1"/>
      <protection locked="0"/>
    </xf>
    <xf numFmtId="0" fontId="106" fillId="0" borderId="3" xfId="0" applyFont="1" applyFill="1" applyBorder="1" applyAlignment="1" applyProtection="1">
      <alignment horizontal="center" vertical="center" wrapText="1" shrinkToFit="1"/>
      <protection locked="0"/>
    </xf>
    <xf numFmtId="0" fontId="92" fillId="0" borderId="3" xfId="0" applyFont="1" applyFill="1" applyBorder="1" applyAlignment="1" applyProtection="1">
      <alignment horizontal="center" vertical="center" wrapText="1" shrinkToFit="1"/>
      <protection locked="0"/>
    </xf>
    <xf numFmtId="0" fontId="93" fillId="0" borderId="3" xfId="0" applyFont="1" applyFill="1" applyBorder="1" applyAlignment="1" applyProtection="1">
      <alignment horizontal="center" vertical="center" wrapText="1" shrinkToFit="1"/>
      <protection locked="0"/>
    </xf>
    <xf numFmtId="0" fontId="95" fillId="0" borderId="3" xfId="0" applyFont="1" applyFill="1" applyBorder="1" applyAlignment="1" applyProtection="1">
      <alignment horizontal="center" vertical="center"/>
      <protection locked="0"/>
    </xf>
    <xf numFmtId="0" fontId="93" fillId="0" borderId="3" xfId="0" applyFont="1" applyFill="1" applyBorder="1" applyAlignment="1" applyProtection="1">
      <alignment horizontal="center" vertical="center"/>
      <protection locked="0"/>
    </xf>
    <xf numFmtId="0" fontId="95" fillId="6" borderId="36" xfId="0" applyFont="1" applyFill="1" applyBorder="1" applyAlignment="1" applyProtection="1">
      <alignment horizontal="center" vertical="center"/>
      <protection locked="0"/>
    </xf>
    <xf numFmtId="0" fontId="95" fillId="6" borderId="36" xfId="0" applyFont="1" applyFill="1" applyBorder="1" applyAlignment="1" applyProtection="1">
      <alignment horizontal="center" vertical="center" wrapText="1"/>
      <protection locked="0"/>
    </xf>
    <xf numFmtId="0" fontId="95" fillId="0" borderId="35" xfId="0" applyFont="1" applyFill="1" applyBorder="1" applyAlignment="1" applyProtection="1">
      <alignment horizontal="center" vertical="center" wrapText="1"/>
      <protection locked="0"/>
    </xf>
    <xf numFmtId="187" fontId="91" fillId="6" borderId="35" xfId="0" applyNumberFormat="1" applyFont="1" applyFill="1" applyBorder="1" applyAlignment="1" applyProtection="1">
      <alignment horizontal="center" vertical="center" wrapText="1" shrinkToFit="1"/>
      <protection locked="0"/>
    </xf>
    <xf numFmtId="0" fontId="95" fillId="17" borderId="3" xfId="0" applyFont="1" applyFill="1" applyBorder="1" applyAlignment="1" applyProtection="1">
      <alignment horizontal="center" vertical="center" wrapText="1" shrinkToFit="1"/>
      <protection locked="0"/>
    </xf>
    <xf numFmtId="187" fontId="95" fillId="17" borderId="35" xfId="0" applyNumberFormat="1" applyFont="1" applyFill="1" applyBorder="1" applyAlignment="1" applyProtection="1">
      <alignment horizontal="center" vertical="center" wrapText="1" shrinkToFit="1"/>
      <protection locked="0"/>
    </xf>
    <xf numFmtId="58" fontId="94" fillId="0" borderId="35" xfId="0" applyNumberFormat="1" applyFont="1" applyFill="1" applyBorder="1" applyAlignment="1" applyProtection="1">
      <alignment horizontal="center" vertical="center" wrapText="1" shrinkToFit="1"/>
      <protection locked="0"/>
    </xf>
    <xf numFmtId="187" fontId="94" fillId="17" borderId="36" xfId="0" applyNumberFormat="1" applyFont="1" applyFill="1" applyBorder="1" applyAlignment="1" applyProtection="1">
      <alignment horizontal="center" vertical="center" wrapText="1" shrinkToFit="1"/>
      <protection locked="0"/>
    </xf>
    <xf numFmtId="179" fontId="95" fillId="0" borderId="20" xfId="0" applyNumberFormat="1" applyFont="1" applyFill="1" applyBorder="1" applyAlignment="1" applyProtection="1">
      <alignment horizontal="center" vertical="center" wrapText="1" shrinkToFit="1"/>
    </xf>
    <xf numFmtId="0" fontId="95" fillId="0" borderId="20" xfId="0" applyFont="1" applyFill="1" applyBorder="1" applyAlignment="1" applyProtection="1">
      <alignment horizontal="center" vertical="center" wrapText="1"/>
      <protection locked="0"/>
    </xf>
    <xf numFmtId="0" fontId="95" fillId="0" borderId="20" xfId="0" applyFont="1" applyFill="1" applyBorder="1" applyAlignment="1" applyProtection="1">
      <alignment horizontal="center" vertical="center" wrapText="1" shrinkToFit="1"/>
      <protection locked="0"/>
    </xf>
    <xf numFmtId="0" fontId="95" fillId="0" borderId="20" xfId="0" applyFont="1" applyFill="1" applyBorder="1" applyAlignment="1" applyProtection="1">
      <alignment horizontal="center" vertical="center"/>
      <protection locked="0"/>
    </xf>
    <xf numFmtId="49" fontId="95" fillId="0" borderId="20" xfId="0" applyNumberFormat="1" applyFont="1" applyFill="1" applyBorder="1" applyAlignment="1" applyProtection="1">
      <alignment horizontal="center" vertical="center" wrapText="1" shrinkToFit="1"/>
      <protection locked="0"/>
    </xf>
    <xf numFmtId="0" fontId="93" fillId="0" borderId="20" xfId="0" applyFont="1" applyFill="1" applyBorder="1" applyAlignment="1" applyProtection="1">
      <alignment horizontal="center" vertical="center" wrapText="1" shrinkToFit="1"/>
      <protection locked="0"/>
    </xf>
    <xf numFmtId="0" fontId="95" fillId="0" borderId="20" xfId="0" applyNumberFormat="1" applyFont="1" applyFill="1" applyBorder="1" applyAlignment="1" applyProtection="1">
      <alignment horizontal="center" vertical="center" wrapText="1" shrinkToFit="1"/>
      <protection locked="0"/>
    </xf>
    <xf numFmtId="186" fontId="95" fillId="0" borderId="20" xfId="0" applyNumberFormat="1" applyFont="1" applyFill="1" applyBorder="1" applyAlignment="1" applyProtection="1">
      <alignment horizontal="center" vertical="center" wrapText="1" shrinkToFit="1"/>
      <protection locked="0"/>
    </xf>
    <xf numFmtId="186" fontId="95" fillId="6" borderId="20" xfId="0" applyNumberFormat="1" applyFont="1" applyFill="1" applyBorder="1" applyAlignment="1" applyProtection="1">
      <alignment horizontal="center" vertical="center" wrapText="1" shrinkToFit="1"/>
      <protection locked="0"/>
    </xf>
    <xf numFmtId="187" fontId="95" fillId="0" borderId="20" xfId="0" applyNumberFormat="1" applyFont="1" applyFill="1" applyBorder="1" applyAlignment="1" applyProtection="1">
      <alignment horizontal="center" vertical="center" wrapText="1" shrinkToFit="1"/>
      <protection locked="0"/>
    </xf>
    <xf numFmtId="187" fontId="93" fillId="0" borderId="20" xfId="0" applyNumberFormat="1" applyFont="1" applyFill="1" applyBorder="1" applyAlignment="1" applyProtection="1">
      <alignment horizontal="center" vertical="center" wrapText="1" shrinkToFit="1"/>
      <protection locked="0"/>
    </xf>
    <xf numFmtId="187" fontId="95" fillId="6" borderId="20" xfId="0" applyNumberFormat="1" applyFont="1" applyFill="1" applyBorder="1" applyAlignment="1" applyProtection="1">
      <alignment horizontal="center" vertical="center" wrapText="1" shrinkToFit="1"/>
      <protection locked="0"/>
    </xf>
    <xf numFmtId="191" fontId="95" fillId="0" borderId="20" xfId="0" applyNumberFormat="1" applyFont="1" applyFill="1" applyBorder="1" applyAlignment="1" applyProtection="1">
      <alignment horizontal="center" vertical="center" wrapText="1" shrinkToFit="1"/>
      <protection locked="0"/>
    </xf>
    <xf numFmtId="190" fontId="105" fillId="0" borderId="40" xfId="0" applyNumberFormat="1" applyFont="1" applyBorder="1" applyAlignment="1" applyProtection="1">
      <alignment horizontal="center" vertical="center" wrapText="1" shrinkToFit="1"/>
      <protection locked="0"/>
    </xf>
    <xf numFmtId="185" fontId="93" fillId="0" borderId="36" xfId="0" applyNumberFormat="1" applyFont="1" applyFill="1" applyBorder="1" applyAlignment="1" applyProtection="1">
      <alignment horizontal="center" vertical="center" wrapText="1" shrinkToFit="1"/>
      <protection locked="0"/>
    </xf>
    <xf numFmtId="0" fontId="95" fillId="18" borderId="20" xfId="0" applyFont="1" applyFill="1" applyBorder="1" applyAlignment="1" applyProtection="1">
      <alignment horizontal="center" vertical="center"/>
      <protection locked="0"/>
    </xf>
    <xf numFmtId="0" fontId="93" fillId="0" borderId="20" xfId="0" applyFont="1" applyFill="1" applyBorder="1" applyAlignment="1" applyProtection="1">
      <alignment horizontal="center" vertical="center"/>
      <protection locked="0"/>
    </xf>
    <xf numFmtId="179" fontId="93" fillId="0" borderId="36" xfId="0" applyNumberFormat="1" applyFont="1" applyFill="1" applyBorder="1" applyAlignment="1" applyProtection="1">
      <alignment horizontal="center" vertical="center" wrapText="1" shrinkToFit="1"/>
    </xf>
    <xf numFmtId="0" fontId="93" fillId="0" borderId="36" xfId="0" applyFont="1" applyFill="1" applyBorder="1" applyAlignment="1" applyProtection="1">
      <alignment horizontal="center" vertical="center" wrapText="1"/>
      <protection locked="0"/>
    </xf>
    <xf numFmtId="0" fontId="93" fillId="0" borderId="36" xfId="0" applyNumberFormat="1" applyFont="1" applyFill="1" applyBorder="1" applyAlignment="1" applyProtection="1">
      <alignment horizontal="center" vertical="center" wrapText="1" shrinkToFit="1"/>
      <protection locked="0"/>
    </xf>
    <xf numFmtId="186" fontId="93" fillId="0" borderId="36" xfId="0" applyNumberFormat="1" applyFont="1" applyFill="1" applyBorder="1" applyAlignment="1" applyProtection="1">
      <alignment horizontal="center" vertical="center" wrapText="1" shrinkToFit="1"/>
      <protection locked="0"/>
    </xf>
    <xf numFmtId="191" fontId="93" fillId="0" borderId="36" xfId="0" applyNumberFormat="1" applyFont="1" applyFill="1" applyBorder="1" applyAlignment="1" applyProtection="1">
      <alignment horizontal="center" vertical="center" wrapText="1" shrinkToFit="1"/>
      <protection locked="0"/>
    </xf>
    <xf numFmtId="187" fontId="93" fillId="6" borderId="36" xfId="0" applyNumberFormat="1" applyFont="1" applyFill="1" applyBorder="1" applyAlignment="1" applyProtection="1">
      <alignment horizontal="center" vertical="center" wrapText="1" shrinkToFit="1"/>
      <protection locked="0"/>
    </xf>
    <xf numFmtId="186" fontId="91" fillId="6" borderId="20" xfId="0" applyNumberFormat="1" applyFont="1" applyFill="1" applyBorder="1" applyAlignment="1" applyProtection="1">
      <alignment horizontal="center" vertical="center" wrapText="1" shrinkToFit="1"/>
      <protection locked="0"/>
    </xf>
    <xf numFmtId="0" fontId="95" fillId="0" borderId="37" xfId="0" applyFont="1" applyFill="1" applyBorder="1" applyAlignment="1" applyProtection="1">
      <alignment horizontal="center" vertical="center" wrapText="1"/>
      <protection locked="0"/>
    </xf>
    <xf numFmtId="49" fontId="95" fillId="0" borderId="37" xfId="0" applyNumberFormat="1" applyFont="1" applyFill="1" applyBorder="1" applyAlignment="1" applyProtection="1">
      <alignment horizontal="center" vertical="center" wrapText="1" shrinkToFit="1"/>
      <protection locked="0"/>
    </xf>
    <xf numFmtId="186" fontId="95" fillId="0" borderId="37" xfId="0" applyNumberFormat="1" applyFont="1" applyFill="1" applyBorder="1" applyAlignment="1" applyProtection="1">
      <alignment horizontal="center" vertical="center" wrapText="1" shrinkToFit="1"/>
      <protection locked="0"/>
    </xf>
    <xf numFmtId="187" fontId="95" fillId="0" borderId="37" xfId="0" applyNumberFormat="1" applyFont="1" applyFill="1" applyBorder="1" applyAlignment="1" applyProtection="1">
      <alignment horizontal="center" vertical="center" wrapText="1" shrinkToFit="1"/>
      <protection locked="0"/>
    </xf>
    <xf numFmtId="191" fontId="95" fillId="0" borderId="37" xfId="0" applyNumberFormat="1" applyFont="1" applyFill="1" applyBorder="1" applyAlignment="1" applyProtection="1">
      <alignment horizontal="center" vertical="center" wrapText="1" shrinkToFit="1"/>
      <protection locked="0"/>
    </xf>
    <xf numFmtId="185" fontId="95" fillId="0" borderId="37" xfId="0" applyNumberFormat="1" applyFont="1" applyFill="1" applyBorder="1" applyAlignment="1" applyProtection="1">
      <alignment horizontal="center" vertical="center" wrapText="1" shrinkToFit="1"/>
      <protection locked="0"/>
    </xf>
    <xf numFmtId="187" fontId="95" fillId="17" borderId="37" xfId="0" applyNumberFormat="1" applyFont="1" applyFill="1" applyBorder="1" applyAlignment="1" applyProtection="1">
      <alignment horizontal="center" vertical="center" wrapText="1" shrinkToFit="1"/>
      <protection locked="0"/>
    </xf>
    <xf numFmtId="0" fontId="92" fillId="0" borderId="37" xfId="0" applyFont="1" applyFill="1" applyBorder="1" applyAlignment="1" applyProtection="1">
      <alignment horizontal="center" vertical="center" wrapText="1" shrinkToFit="1"/>
      <protection locked="0"/>
    </xf>
    <xf numFmtId="179" fontId="95" fillId="0" borderId="37" xfId="0" applyNumberFormat="1" applyFont="1" applyFill="1" applyBorder="1" applyAlignment="1" applyProtection="1">
      <alignment horizontal="center" vertical="center" wrapText="1" shrinkToFit="1"/>
    </xf>
    <xf numFmtId="0" fontId="95" fillId="0" borderId="37" xfId="0" applyFont="1" applyFill="1" applyBorder="1" applyAlignment="1" applyProtection="1">
      <alignment horizontal="center" vertical="center" wrapText="1"/>
      <protection locked="0"/>
    </xf>
    <xf numFmtId="0" fontId="95" fillId="0" borderId="37" xfId="0" applyFont="1" applyFill="1" applyBorder="1" applyAlignment="1" applyProtection="1">
      <alignment horizontal="center" vertical="center" wrapText="1" shrinkToFit="1"/>
      <protection locked="0"/>
    </xf>
    <xf numFmtId="49" fontId="95" fillId="0" borderId="37" xfId="0" applyNumberFormat="1" applyFont="1" applyFill="1" applyBorder="1" applyAlignment="1" applyProtection="1">
      <alignment horizontal="center" vertical="center" wrapText="1" shrinkToFit="1"/>
      <protection locked="0"/>
    </xf>
    <xf numFmtId="0" fontId="95" fillId="0" borderId="37" xfId="0" applyNumberFormat="1" applyFont="1" applyFill="1" applyBorder="1" applyAlignment="1" applyProtection="1">
      <alignment horizontal="center" vertical="center" wrapText="1" shrinkToFit="1"/>
      <protection locked="0"/>
    </xf>
    <xf numFmtId="186" fontId="95" fillId="0" borderId="37" xfId="0" applyNumberFormat="1" applyFont="1" applyFill="1" applyBorder="1" applyAlignment="1" applyProtection="1">
      <alignment horizontal="center" vertical="center" wrapText="1" shrinkToFit="1"/>
      <protection locked="0"/>
    </xf>
    <xf numFmtId="58" fontId="95" fillId="0" borderId="35" xfId="0" applyNumberFormat="1" applyFont="1" applyFill="1" applyBorder="1" applyAlignment="1" applyProtection="1">
      <alignment horizontal="center" vertical="center" wrapText="1" shrinkToFit="1"/>
      <protection locked="0"/>
    </xf>
    <xf numFmtId="187" fontId="91" fillId="0" borderId="3" xfId="0" applyNumberFormat="1" applyFont="1" applyFill="1" applyBorder="1" applyAlignment="1" applyProtection="1">
      <alignment horizontal="center" vertical="center" wrapText="1" shrinkToFit="1"/>
      <protection locked="0"/>
    </xf>
    <xf numFmtId="187" fontId="93" fillId="0" borderId="37" xfId="0" applyNumberFormat="1" applyFont="1" applyFill="1" applyBorder="1" applyAlignment="1" applyProtection="1">
      <alignment horizontal="center" vertical="center" wrapText="1" shrinkToFit="1"/>
      <protection locked="0"/>
    </xf>
    <xf numFmtId="187" fontId="95" fillId="0" borderId="37" xfId="0" applyNumberFormat="1" applyFont="1" applyFill="1" applyBorder="1" applyAlignment="1" applyProtection="1">
      <alignment horizontal="center" vertical="center" wrapText="1" shrinkToFit="1"/>
      <protection locked="0"/>
    </xf>
    <xf numFmtId="191" fontId="95" fillId="0" borderId="37" xfId="0" applyNumberFormat="1" applyFont="1" applyFill="1" applyBorder="1" applyAlignment="1" applyProtection="1">
      <alignment horizontal="center" vertical="center" wrapText="1" shrinkToFit="1"/>
      <protection locked="0"/>
    </xf>
    <xf numFmtId="190" fontId="105" fillId="0" borderId="37" xfId="0" applyNumberFormat="1" applyFont="1" applyFill="1" applyBorder="1" applyAlignment="1" applyProtection="1">
      <alignment horizontal="center" vertical="center" wrapText="1" shrinkToFit="1"/>
      <protection locked="0"/>
    </xf>
    <xf numFmtId="0" fontId="91" fillId="0" borderId="3" xfId="0" applyFont="1" applyFill="1" applyBorder="1" applyAlignment="1" applyProtection="1">
      <alignment horizontal="center" vertical="center"/>
      <protection locked="0"/>
    </xf>
    <xf numFmtId="0" fontId="93" fillId="0" borderId="37" xfId="0" applyFont="1" applyFill="1" applyBorder="1" applyAlignment="1" applyProtection="1">
      <alignment horizontal="center" vertical="center" wrapText="1" shrinkToFit="1"/>
      <protection locked="0"/>
    </xf>
    <xf numFmtId="0" fontId="93" fillId="0" borderId="35" xfId="0" applyFont="1" applyFill="1" applyBorder="1" applyAlignment="1" applyProtection="1">
      <alignment horizontal="center" vertical="center"/>
      <protection locked="0"/>
    </xf>
    <xf numFmtId="0" fontId="95" fillId="0" borderId="35" xfId="0" applyFont="1" applyFill="1" applyBorder="1" applyAlignment="1" applyProtection="1">
      <alignment horizontal="center" vertical="center"/>
      <protection locked="0"/>
    </xf>
    <xf numFmtId="0" fontId="95" fillId="18" borderId="36" xfId="0" applyFont="1" applyFill="1" applyBorder="1" applyAlignment="1" applyProtection="1">
      <alignment horizontal="center" vertical="center"/>
      <protection locked="0"/>
    </xf>
    <xf numFmtId="0" fontId="95" fillId="17" borderId="36" xfId="0" applyFont="1" applyFill="1" applyBorder="1" applyAlignment="1" applyProtection="1">
      <alignment horizontal="center" vertical="center" wrapText="1"/>
      <protection locked="0"/>
    </xf>
    <xf numFmtId="0" fontId="93" fillId="6" borderId="36" xfId="0" applyFont="1" applyFill="1" applyBorder="1" applyAlignment="1" applyProtection="1">
      <alignment horizontal="center" vertical="center"/>
      <protection locked="0"/>
    </xf>
    <xf numFmtId="0" fontId="95" fillId="17" borderId="3" xfId="0" applyFont="1" applyFill="1" applyBorder="1" applyAlignment="1" applyProtection="1">
      <alignment horizontal="center" vertical="center" wrapText="1"/>
      <protection locked="0"/>
    </xf>
    <xf numFmtId="187" fontId="102" fillId="0" borderId="3" xfId="0" applyNumberFormat="1" applyFont="1" applyFill="1" applyBorder="1" applyAlignment="1" applyProtection="1">
      <alignment horizontal="center" vertical="center" wrapText="1" shrinkToFit="1"/>
      <protection locked="0"/>
    </xf>
    <xf numFmtId="0" fontId="90" fillId="0" borderId="36" xfId="0" applyFont="1" applyFill="1" applyBorder="1" applyAlignment="1" applyProtection="1">
      <alignment horizontal="center" vertical="center"/>
      <protection locked="0"/>
    </xf>
    <xf numFmtId="0" fontId="95" fillId="0" borderId="36" xfId="0" applyFont="1" applyFill="1" applyBorder="1" applyAlignment="1">
      <alignment horizontal="center" vertical="center"/>
    </xf>
    <xf numFmtId="191" fontId="92" fillId="17" borderId="36" xfId="0" applyNumberFormat="1" applyFont="1" applyFill="1" applyBorder="1" applyAlignment="1" applyProtection="1">
      <alignment horizontal="center" vertical="center" wrapText="1" shrinkToFit="1"/>
      <protection locked="0"/>
    </xf>
    <xf numFmtId="0" fontId="79" fillId="0" borderId="36" xfId="0" applyFont="1" applyFill="1" applyBorder="1" applyAlignment="1" applyProtection="1">
      <alignment horizontal="center" vertical="center" wrapText="1" shrinkToFit="1"/>
      <protection locked="0"/>
    </xf>
    <xf numFmtId="58" fontId="93" fillId="0" borderId="36" xfId="0" applyNumberFormat="1" applyFont="1" applyFill="1" applyBorder="1" applyAlignment="1" applyProtection="1">
      <alignment horizontal="center" vertical="center" wrapText="1" shrinkToFit="1"/>
      <protection locked="0"/>
    </xf>
    <xf numFmtId="186" fontId="93" fillId="6" borderId="36" xfId="0" applyNumberFormat="1" applyFont="1" applyFill="1" applyBorder="1" applyAlignment="1" applyProtection="1">
      <alignment horizontal="center" vertical="center" wrapText="1" shrinkToFit="1"/>
      <protection locked="0"/>
    </xf>
    <xf numFmtId="0" fontId="90" fillId="0" borderId="37" xfId="0" applyFont="1" applyFill="1" applyBorder="1" applyAlignment="1" applyProtection="1">
      <alignment horizontal="center" vertical="center"/>
      <protection locked="0"/>
    </xf>
    <xf numFmtId="0" fontId="93" fillId="18" borderId="35" xfId="0" applyFont="1" applyFill="1" applyBorder="1" applyAlignment="1" applyProtection="1">
      <alignment horizontal="center" vertical="center"/>
      <protection locked="0"/>
    </xf>
    <xf numFmtId="0" fontId="93" fillId="18" borderId="37" xfId="0" applyFont="1" applyFill="1" applyBorder="1" applyAlignment="1" applyProtection="1">
      <alignment horizontal="center" vertical="center"/>
      <protection locked="0"/>
    </xf>
    <xf numFmtId="0" fontId="91" fillId="6" borderId="37" xfId="0" applyFont="1" applyFill="1" applyBorder="1" applyAlignment="1" applyProtection="1">
      <alignment horizontal="center" vertical="center" wrapText="1" shrinkToFit="1"/>
      <protection locked="0"/>
    </xf>
    <xf numFmtId="187" fontId="91" fillId="6" borderId="37" xfId="0" applyNumberFormat="1" applyFont="1" applyFill="1" applyBorder="1" applyAlignment="1" applyProtection="1">
      <alignment horizontal="center" vertical="center" wrapText="1" shrinkToFit="1"/>
      <protection locked="0"/>
    </xf>
    <xf numFmtId="179" fontId="93" fillId="0" borderId="20" xfId="0" applyNumberFormat="1" applyFont="1" applyFill="1" applyBorder="1" applyAlignment="1" applyProtection="1">
      <alignment horizontal="center" vertical="center" wrapText="1" shrinkToFit="1"/>
    </xf>
    <xf numFmtId="0" fontId="93" fillId="0" borderId="20" xfId="0" applyFont="1" applyFill="1" applyBorder="1" applyAlignment="1" applyProtection="1">
      <alignment horizontal="center" vertical="center" wrapText="1"/>
      <protection locked="0"/>
    </xf>
    <xf numFmtId="49" fontId="93" fillId="0" borderId="20" xfId="0" applyNumberFormat="1" applyFont="1" applyFill="1" applyBorder="1" applyAlignment="1" applyProtection="1">
      <alignment horizontal="center" vertical="center" wrapText="1" shrinkToFit="1"/>
      <protection locked="0"/>
    </xf>
    <xf numFmtId="0" fontId="93" fillId="0" borderId="20" xfId="0" applyNumberFormat="1" applyFont="1" applyFill="1" applyBorder="1" applyAlignment="1" applyProtection="1">
      <alignment horizontal="center" vertical="center" wrapText="1" shrinkToFit="1"/>
      <protection locked="0"/>
    </xf>
    <xf numFmtId="186" fontId="93" fillId="6" borderId="20" xfId="0" applyNumberFormat="1" applyFont="1" applyFill="1" applyBorder="1" applyAlignment="1" applyProtection="1">
      <alignment horizontal="center" vertical="center" wrapText="1" shrinkToFit="1"/>
      <protection locked="0"/>
    </xf>
    <xf numFmtId="58" fontId="93" fillId="0" borderId="20" xfId="0" applyNumberFormat="1" applyFont="1" applyFill="1" applyBorder="1" applyAlignment="1" applyProtection="1">
      <alignment horizontal="center" vertical="center" wrapText="1" shrinkToFit="1"/>
      <protection locked="0"/>
    </xf>
    <xf numFmtId="186" fontId="93" fillId="0" borderId="20" xfId="0" applyNumberFormat="1" applyFont="1" applyFill="1" applyBorder="1" applyAlignment="1" applyProtection="1">
      <alignment horizontal="center" vertical="center" wrapText="1" shrinkToFit="1"/>
      <protection locked="0"/>
    </xf>
    <xf numFmtId="191" fontId="93" fillId="0" borderId="20" xfId="0" applyNumberFormat="1" applyFont="1" applyFill="1" applyBorder="1" applyAlignment="1" applyProtection="1">
      <alignment horizontal="center" vertical="center" wrapText="1" shrinkToFit="1"/>
      <protection locked="0"/>
    </xf>
    <xf numFmtId="0" fontId="90" fillId="0" borderId="20" xfId="0" applyFont="1" applyFill="1" applyBorder="1" applyAlignment="1">
      <alignment horizontal="center" vertical="center"/>
    </xf>
    <xf numFmtId="0" fontId="93" fillId="17" borderId="0" xfId="0" applyFont="1" applyFill="1" applyBorder="1" applyAlignment="1" applyProtection="1">
      <alignment horizontal="center" vertical="center"/>
      <protection locked="0"/>
    </xf>
    <xf numFmtId="49" fontId="85" fillId="17" borderId="36" xfId="0" applyNumberFormat="1" applyFont="1" applyFill="1" applyBorder="1" applyAlignment="1">
      <alignment horizontal="center" vertical="center" wrapText="1" shrinkToFit="1"/>
    </xf>
    <xf numFmtId="187" fontId="95" fillId="17" borderId="36" xfId="0" applyNumberFormat="1" applyFont="1" applyFill="1" applyBorder="1" applyAlignment="1" applyProtection="1">
      <alignment horizontal="center" vertical="center" wrapText="1" shrinkToFit="1"/>
      <protection locked="0"/>
    </xf>
    <xf numFmtId="0" fontId="90" fillId="0" borderId="36" xfId="0" applyFont="1" applyFill="1" applyBorder="1" applyAlignment="1">
      <alignment horizontal="center" vertical="center"/>
    </xf>
    <xf numFmtId="190" fontId="105" fillId="0" borderId="0" xfId="0" applyNumberFormat="1" applyFont="1" applyAlignment="1" applyProtection="1">
      <alignment horizontal="center" vertical="center" wrapText="1" shrinkToFit="1"/>
      <protection locked="0"/>
    </xf>
    <xf numFmtId="0" fontId="93" fillId="0" borderId="5" xfId="0" applyFont="1" applyFill="1" applyBorder="1" applyAlignment="1" applyProtection="1">
      <alignment horizontal="center" vertical="center"/>
      <protection locked="0"/>
    </xf>
    <xf numFmtId="58" fontId="95" fillId="6" borderId="3" xfId="0" applyNumberFormat="1" applyFont="1" applyFill="1" applyBorder="1" applyAlignment="1" applyProtection="1">
      <alignment horizontal="center" vertical="center" wrapText="1" shrinkToFit="1"/>
      <protection locked="0"/>
    </xf>
    <xf numFmtId="0" fontId="95" fillId="6" borderId="36" xfId="0" applyFont="1" applyFill="1" applyBorder="1" applyAlignment="1">
      <alignment horizontal="center" vertical="center"/>
    </xf>
    <xf numFmtId="0" fontId="95" fillId="6" borderId="3" xfId="0" applyFont="1" applyFill="1" applyBorder="1" applyAlignment="1">
      <alignment horizontal="center" vertical="center"/>
    </xf>
    <xf numFmtId="190" fontId="105" fillId="6" borderId="37" xfId="0" applyNumberFormat="1" applyFont="1" applyFill="1" applyBorder="1" applyAlignment="1" applyProtection="1">
      <alignment horizontal="center" vertical="center" wrapText="1" shrinkToFit="1"/>
      <protection locked="0"/>
    </xf>
    <xf numFmtId="0" fontId="95" fillId="18" borderId="37" xfId="0" applyFont="1" applyFill="1" applyBorder="1" applyAlignment="1" applyProtection="1">
      <alignment horizontal="center" vertical="center"/>
      <protection locked="0"/>
    </xf>
    <xf numFmtId="187" fontId="102" fillId="0" borderId="36" xfId="0" applyNumberFormat="1" applyFont="1" applyFill="1" applyBorder="1" applyAlignment="1" applyProtection="1">
      <alignment horizontal="center" vertical="center" wrapText="1" shrinkToFit="1"/>
      <protection locked="0"/>
    </xf>
    <xf numFmtId="0" fontId="93" fillId="0" borderId="35" xfId="0" applyFont="1" applyFill="1" applyBorder="1" applyAlignment="1" applyProtection="1">
      <alignment horizontal="center" vertical="center" wrapText="1" shrinkToFit="1"/>
      <protection locked="0"/>
    </xf>
    <xf numFmtId="49" fontId="85" fillId="17" borderId="3" xfId="0" applyNumberFormat="1" applyFont="1" applyFill="1" applyBorder="1" applyAlignment="1">
      <alignment horizontal="center" vertical="center" wrapText="1" shrinkToFit="1"/>
    </xf>
    <xf numFmtId="0" fontId="95" fillId="17" borderId="35" xfId="0" applyFont="1" applyFill="1" applyBorder="1" applyAlignment="1" applyProtection="1">
      <alignment horizontal="center" vertical="center" wrapText="1"/>
      <protection locked="0"/>
    </xf>
    <xf numFmtId="0" fontId="95" fillId="6" borderId="3" xfId="0" applyNumberFormat="1" applyFont="1" applyFill="1" applyBorder="1" applyAlignment="1" applyProtection="1">
      <alignment horizontal="center" vertical="center" wrapText="1" shrinkToFit="1"/>
      <protection locked="0"/>
    </xf>
    <xf numFmtId="187" fontId="92" fillId="0" borderId="35" xfId="0" applyNumberFormat="1" applyFont="1" applyFill="1" applyBorder="1" applyAlignment="1" applyProtection="1">
      <alignment horizontal="center" vertical="center" wrapText="1" shrinkToFit="1"/>
      <protection locked="0"/>
    </xf>
    <xf numFmtId="186" fontId="95" fillId="17" borderId="3" xfId="0" applyNumberFormat="1" applyFont="1" applyFill="1" applyBorder="1" applyAlignment="1" applyProtection="1">
      <alignment horizontal="center" vertical="center" wrapText="1" shrinkToFit="1"/>
      <protection locked="0"/>
    </xf>
    <xf numFmtId="0" fontId="95" fillId="17" borderId="37" xfId="0" applyFont="1" applyFill="1" applyBorder="1" applyAlignment="1" applyProtection="1">
      <alignment horizontal="center" vertical="center"/>
      <protection locked="0"/>
    </xf>
    <xf numFmtId="49" fontId="95" fillId="17" borderId="37" xfId="0" applyNumberFormat="1" applyFont="1" applyFill="1" applyBorder="1" applyAlignment="1" applyProtection="1">
      <alignment horizontal="center" vertical="center" wrapText="1" shrinkToFit="1"/>
      <protection locked="0"/>
    </xf>
    <xf numFmtId="186" fontId="95" fillId="17" borderId="37" xfId="0" applyNumberFormat="1" applyFont="1" applyFill="1" applyBorder="1" applyAlignment="1" applyProtection="1">
      <alignment horizontal="center" vertical="center" wrapText="1" shrinkToFit="1"/>
      <protection locked="0"/>
    </xf>
    <xf numFmtId="0" fontId="95" fillId="18" borderId="35" xfId="0" applyFont="1" applyFill="1" applyBorder="1" applyAlignment="1" applyProtection="1">
      <alignment horizontal="center" vertical="center"/>
      <protection locked="0"/>
    </xf>
    <xf numFmtId="0" fontId="95" fillId="0" borderId="36" xfId="0" applyFont="1" applyFill="1" applyBorder="1" applyAlignment="1"/>
    <xf numFmtId="179" fontId="93" fillId="0" borderId="37" xfId="0" applyNumberFormat="1" applyFont="1" applyFill="1" applyBorder="1" applyAlignment="1" applyProtection="1">
      <alignment horizontal="center" vertical="center" wrapText="1" shrinkToFit="1"/>
    </xf>
    <xf numFmtId="0" fontId="95" fillId="6" borderId="37" xfId="0" applyFont="1" applyFill="1" applyBorder="1" applyAlignment="1" applyProtection="1">
      <alignment horizontal="center" vertical="center"/>
      <protection locked="0"/>
    </xf>
    <xf numFmtId="49" fontId="95" fillId="6" borderId="37" xfId="0" applyNumberFormat="1" applyFont="1" applyFill="1" applyBorder="1" applyAlignment="1" applyProtection="1">
      <alignment horizontal="center" vertical="center" wrapText="1" shrinkToFit="1"/>
      <protection locked="0"/>
    </xf>
    <xf numFmtId="0" fontId="95" fillId="6" borderId="37" xfId="0" applyFont="1" applyFill="1" applyBorder="1" applyAlignment="1" applyProtection="1">
      <alignment horizontal="center" vertical="center" wrapText="1"/>
      <protection locked="0"/>
    </xf>
    <xf numFmtId="0" fontId="105" fillId="0" borderId="37" xfId="0" applyFont="1" applyBorder="1" applyAlignment="1" applyProtection="1">
      <alignment horizontal="center" vertical="center"/>
      <protection locked="0"/>
    </xf>
    <xf numFmtId="0" fontId="68" fillId="0" borderId="37" xfId="0" applyFont="1" applyFill="1" applyBorder="1" applyAlignment="1" applyProtection="1">
      <alignment horizontal="center" vertical="center"/>
      <protection locked="0"/>
    </xf>
    <xf numFmtId="189" fontId="90" fillId="0" borderId="37" xfId="0" applyNumberFormat="1" applyFont="1" applyFill="1" applyBorder="1" applyAlignment="1" applyProtection="1">
      <alignment horizontal="center" vertical="center"/>
      <protection locked="0"/>
    </xf>
    <xf numFmtId="186" fontId="95" fillId="0" borderId="5" xfId="0" applyNumberFormat="1" applyFont="1" applyFill="1" applyBorder="1" applyAlignment="1" applyProtection="1">
      <alignment horizontal="center" vertical="center" wrapText="1" shrinkToFit="1"/>
      <protection locked="0"/>
    </xf>
    <xf numFmtId="0" fontId="102" fillId="0" borderId="36" xfId="0" applyFont="1" applyFill="1" applyBorder="1" applyAlignment="1" applyProtection="1">
      <alignment horizontal="center" vertical="center" wrapText="1"/>
      <protection locked="0"/>
    </xf>
    <xf numFmtId="0" fontId="95" fillId="0" borderId="7" xfId="0" applyNumberFormat="1" applyFont="1" applyFill="1" applyBorder="1" applyAlignment="1" applyProtection="1">
      <alignment horizontal="center" vertical="center" wrapText="1" shrinkToFit="1"/>
      <protection locked="0"/>
    </xf>
    <xf numFmtId="0" fontId="95" fillId="6" borderId="35" xfId="0" applyFont="1" applyFill="1" applyBorder="1" applyAlignment="1" applyProtection="1">
      <alignment horizontal="center" vertical="center" wrapText="1"/>
      <protection locked="0"/>
    </xf>
    <xf numFmtId="0" fontId="95" fillId="0" borderId="35" xfId="0" applyFont="1" applyFill="1" applyBorder="1" applyAlignment="1" applyProtection="1">
      <alignment horizontal="center" vertical="center" wrapText="1"/>
      <protection locked="0"/>
    </xf>
    <xf numFmtId="0" fontId="95" fillId="0" borderId="36" xfId="0" applyFont="1" applyFill="1" applyBorder="1" applyAlignment="1">
      <alignment horizontal="center" vertical="center"/>
    </xf>
    <xf numFmtId="49" fontId="95" fillId="17" borderId="36" xfId="0" applyNumberFormat="1" applyFont="1" applyFill="1" applyBorder="1" applyAlignment="1" applyProtection="1">
      <alignment horizontal="center" vertical="center" wrapText="1" shrinkToFit="1"/>
      <protection locked="0"/>
    </xf>
    <xf numFmtId="190" fontId="105" fillId="6" borderId="40" xfId="0" applyNumberFormat="1" applyFont="1" applyFill="1" applyBorder="1" applyAlignment="1" applyProtection="1">
      <alignment horizontal="center" vertical="center" wrapText="1" shrinkToFit="1"/>
      <protection locked="0"/>
    </xf>
    <xf numFmtId="0" fontId="95" fillId="0" borderId="41" xfId="0" applyFont="1" applyFill="1" applyBorder="1" applyAlignment="1" applyProtection="1">
      <alignment horizontal="center" vertical="center"/>
      <protection locked="0"/>
    </xf>
    <xf numFmtId="185" fontId="95" fillId="0" borderId="20" xfId="0" applyNumberFormat="1" applyFont="1" applyFill="1" applyBorder="1" applyAlignment="1" applyProtection="1">
      <alignment horizontal="center" vertical="center" wrapText="1" shrinkToFit="1"/>
      <protection locked="0"/>
    </xf>
    <xf numFmtId="0" fontId="95" fillId="17" borderId="3" xfId="0" applyNumberFormat="1" applyFont="1" applyFill="1" applyBorder="1" applyAlignment="1" applyProtection="1">
      <alignment horizontal="center" vertical="center" wrapText="1" shrinkToFit="1"/>
      <protection locked="0"/>
    </xf>
    <xf numFmtId="58" fontId="95" fillId="0" borderId="36" xfId="0" applyNumberFormat="1" applyFont="1" applyFill="1" applyBorder="1" applyAlignment="1" applyProtection="1">
      <alignment horizontal="center" vertical="center" wrapText="1" shrinkToFit="1"/>
      <protection locked="0"/>
    </xf>
    <xf numFmtId="179" fontId="95" fillId="0" borderId="3" xfId="0" applyNumberFormat="1" applyFont="1" applyFill="1" applyBorder="1" applyAlignment="1" applyProtection="1">
      <alignment horizontal="center" vertical="center" wrapText="1" shrinkToFit="1"/>
    </xf>
    <xf numFmtId="0" fontId="95" fillId="0" borderId="3" xfId="0" applyFont="1" applyFill="1" applyBorder="1" applyAlignment="1" applyProtection="1">
      <alignment horizontal="center" vertical="center" wrapText="1"/>
      <protection locked="0"/>
    </xf>
    <xf numFmtId="49" fontId="95" fillId="0" borderId="3" xfId="0" applyNumberFormat="1" applyFont="1" applyFill="1" applyBorder="1" applyAlignment="1" applyProtection="1">
      <alignment horizontal="center" vertical="center" wrapText="1" shrinkToFit="1"/>
      <protection locked="0"/>
    </xf>
    <xf numFmtId="0" fontId="95" fillId="0" borderId="3" xfId="0" applyNumberFormat="1" applyFont="1" applyFill="1" applyBorder="1" applyAlignment="1" applyProtection="1">
      <alignment horizontal="center" vertical="center" wrapText="1" shrinkToFit="1"/>
      <protection locked="0"/>
    </xf>
    <xf numFmtId="186" fontId="95" fillId="0" borderId="3" xfId="0" applyNumberFormat="1" applyFont="1" applyFill="1" applyBorder="1" applyAlignment="1" applyProtection="1">
      <alignment horizontal="center" vertical="center" wrapText="1" shrinkToFit="1"/>
      <protection locked="0"/>
    </xf>
    <xf numFmtId="191" fontId="95" fillId="0" borderId="3" xfId="0" applyNumberFormat="1" applyFont="1" applyFill="1" applyBorder="1" applyAlignment="1" applyProtection="1">
      <alignment horizontal="center" vertical="center" wrapText="1" shrinkToFit="1"/>
      <protection locked="0"/>
    </xf>
    <xf numFmtId="185" fontId="95" fillId="0" borderId="3" xfId="0" applyNumberFormat="1" applyFont="1" applyFill="1" applyBorder="1" applyAlignment="1" applyProtection="1">
      <alignment horizontal="center" vertical="center" wrapText="1" shrinkToFit="1"/>
      <protection locked="0"/>
    </xf>
    <xf numFmtId="0" fontId="85" fillId="0" borderId="36" xfId="0" applyFont="1" applyFill="1" applyBorder="1" applyAlignment="1">
      <alignment horizontal="center" vertical="center" wrapText="1"/>
    </xf>
    <xf numFmtId="0" fontId="95" fillId="0" borderId="35" xfId="0" applyFont="1" applyFill="1" applyBorder="1" applyAlignment="1" applyProtection="1">
      <alignment horizontal="center" vertical="center" wrapText="1" shrinkToFit="1"/>
      <protection locked="0"/>
    </xf>
    <xf numFmtId="187" fontId="92" fillId="0" borderId="3" xfId="0" applyNumberFormat="1" applyFont="1" applyFill="1" applyBorder="1" applyAlignment="1" applyProtection="1">
      <alignment horizontal="center" vertical="center" wrapText="1" shrinkToFit="1"/>
      <protection locked="0"/>
    </xf>
    <xf numFmtId="0" fontId="95" fillId="17" borderId="3" xfId="0" applyFont="1" applyFill="1" applyBorder="1" applyAlignment="1" applyProtection="1">
      <alignment horizontal="center" vertical="center"/>
      <protection locked="0"/>
    </xf>
    <xf numFmtId="49" fontId="95" fillId="17" borderId="3" xfId="0" applyNumberFormat="1" applyFont="1" applyFill="1" applyBorder="1" applyAlignment="1" applyProtection="1">
      <alignment horizontal="center" vertical="center" wrapText="1" shrinkToFit="1"/>
      <protection locked="0"/>
    </xf>
    <xf numFmtId="179" fontId="95" fillId="0" borderId="40" xfId="0" applyNumberFormat="1" applyFont="1" applyFill="1" applyBorder="1" applyAlignment="1" applyProtection="1">
      <alignment horizontal="center" vertical="center" wrapText="1" shrinkToFit="1"/>
    </xf>
    <xf numFmtId="0" fontId="95" fillId="0" borderId="40" xfId="0" applyFont="1" applyFill="1" applyBorder="1" applyAlignment="1" applyProtection="1">
      <alignment horizontal="center" vertical="center" wrapText="1"/>
      <protection locked="0"/>
    </xf>
    <xf numFmtId="0" fontId="95" fillId="0" borderId="40" xfId="0" applyFont="1" applyFill="1" applyBorder="1" applyAlignment="1" applyProtection="1">
      <alignment horizontal="center" vertical="center" wrapText="1" shrinkToFit="1"/>
      <protection locked="0"/>
    </xf>
    <xf numFmtId="49" fontId="95" fillId="0" borderId="40" xfId="0" applyNumberFormat="1" applyFont="1" applyFill="1" applyBorder="1" applyAlignment="1" applyProtection="1">
      <alignment horizontal="center" vertical="center" wrapText="1" shrinkToFit="1"/>
      <protection locked="0"/>
    </xf>
    <xf numFmtId="0" fontId="95" fillId="0" borderId="40" xfId="0" applyNumberFormat="1" applyFont="1" applyFill="1" applyBorder="1" applyAlignment="1" applyProtection="1">
      <alignment horizontal="center" vertical="center" wrapText="1" shrinkToFit="1"/>
      <protection locked="0"/>
    </xf>
    <xf numFmtId="186" fontId="95" fillId="0" borderId="40" xfId="0" applyNumberFormat="1" applyFont="1" applyFill="1" applyBorder="1" applyAlignment="1" applyProtection="1">
      <alignment horizontal="center" vertical="center" wrapText="1" shrinkToFit="1"/>
      <protection locked="0"/>
    </xf>
    <xf numFmtId="58" fontId="95" fillId="0" borderId="20" xfId="0" applyNumberFormat="1" applyFont="1" applyFill="1" applyBorder="1" applyAlignment="1" applyProtection="1">
      <alignment horizontal="center" vertical="center" wrapText="1" shrinkToFit="1"/>
      <protection locked="0"/>
    </xf>
    <xf numFmtId="187" fontId="95" fillId="0" borderId="40" xfId="0" applyNumberFormat="1" applyFont="1" applyFill="1" applyBorder="1" applyAlignment="1" applyProtection="1">
      <alignment horizontal="center" vertical="center" wrapText="1" shrinkToFit="1"/>
      <protection locked="0"/>
    </xf>
    <xf numFmtId="191" fontId="95" fillId="0" borderId="40" xfId="0" applyNumberFormat="1" applyFont="1" applyFill="1" applyBorder="1" applyAlignment="1" applyProtection="1">
      <alignment horizontal="center" vertical="center" wrapText="1" shrinkToFit="1"/>
      <protection locked="0"/>
    </xf>
    <xf numFmtId="58" fontId="93" fillId="0" borderId="3" xfId="0" applyNumberFormat="1" applyFont="1" applyFill="1" applyBorder="1" applyAlignment="1" applyProtection="1">
      <alignment horizontal="center" vertical="center" wrapText="1" shrinkToFit="1"/>
      <protection locked="0"/>
    </xf>
    <xf numFmtId="0" fontId="95" fillId="0" borderId="37" xfId="0" applyFont="1" applyFill="1" applyBorder="1" applyAlignment="1">
      <alignment horizontal="center" vertical="center"/>
    </xf>
    <xf numFmtId="179" fontId="95" fillId="0" borderId="35" xfId="0" applyNumberFormat="1" applyFont="1" applyFill="1" applyBorder="1" applyAlignment="1" applyProtection="1">
      <alignment horizontal="center" vertical="center" wrapText="1" shrinkToFit="1"/>
    </xf>
    <xf numFmtId="49" fontId="95" fillId="0" borderId="35" xfId="0" applyNumberFormat="1" applyFont="1" applyFill="1" applyBorder="1" applyAlignment="1" applyProtection="1">
      <alignment horizontal="center" vertical="center" wrapText="1" shrinkToFit="1"/>
      <protection locked="0"/>
    </xf>
    <xf numFmtId="0" fontId="95" fillId="0" borderId="35" xfId="0" applyNumberFormat="1" applyFont="1" applyFill="1" applyBorder="1" applyAlignment="1" applyProtection="1">
      <alignment horizontal="center" vertical="center" wrapText="1" shrinkToFit="1"/>
      <protection locked="0"/>
    </xf>
    <xf numFmtId="191" fontId="95" fillId="0" borderId="35" xfId="0" applyNumberFormat="1" applyFont="1" applyFill="1" applyBorder="1" applyAlignment="1" applyProtection="1">
      <alignment horizontal="center" vertical="center" wrapText="1" shrinkToFit="1"/>
      <protection locked="0"/>
    </xf>
    <xf numFmtId="179" fontId="91" fillId="0" borderId="0" xfId="0" applyNumberFormat="1" applyFont="1" applyFill="1" applyBorder="1" applyAlignment="1" applyProtection="1">
      <alignment horizontal="center" vertical="center" wrapText="1" shrinkToFit="1"/>
    </xf>
    <xf numFmtId="0" fontId="91" fillId="0" borderId="0" xfId="0" applyFont="1" applyFill="1" applyBorder="1" applyAlignment="1" applyProtection="1">
      <alignment horizontal="center" vertical="center" wrapText="1"/>
      <protection locked="0"/>
    </xf>
    <xf numFmtId="0" fontId="91" fillId="0" borderId="0" xfId="0" applyNumberFormat="1" applyFont="1" applyFill="1" applyBorder="1" applyAlignment="1" applyProtection="1">
      <alignment horizontal="center" vertical="center" wrapText="1" shrinkToFit="1"/>
      <protection locked="0"/>
    </xf>
    <xf numFmtId="189" fontId="91" fillId="0" borderId="0" xfId="0" applyNumberFormat="1" applyFont="1" applyFill="1" applyBorder="1" applyAlignment="1" applyProtection="1">
      <alignment horizontal="center" vertical="center" wrapText="1" shrinkToFit="1"/>
      <protection locked="0"/>
    </xf>
    <xf numFmtId="187" fontId="93" fillId="0" borderId="0" xfId="0" applyNumberFormat="1" applyFont="1" applyFill="1" applyBorder="1" applyAlignment="1" applyProtection="1">
      <alignment horizontal="center" vertical="center" wrapText="1" shrinkToFit="1"/>
      <protection locked="0"/>
    </xf>
    <xf numFmtId="190" fontId="91" fillId="0" borderId="0" xfId="0" applyNumberFormat="1" applyFont="1" applyFill="1" applyBorder="1" applyAlignment="1" applyProtection="1">
      <alignment horizontal="center" vertical="center" wrapText="1" shrinkToFit="1"/>
      <protection locked="0"/>
    </xf>
    <xf numFmtId="185" fontId="91" fillId="0" borderId="0" xfId="0" applyNumberFormat="1" applyFont="1" applyFill="1" applyBorder="1" applyAlignment="1" applyProtection="1">
      <alignment horizontal="center" vertical="center" wrapText="1" shrinkToFit="1"/>
      <protection locked="0"/>
    </xf>
    <xf numFmtId="0" fontId="103" fillId="0" borderId="0" xfId="0" applyFont="1" applyAlignment="1" applyProtection="1">
      <alignment horizontal="center" vertical="center" wrapText="1" shrinkToFit="1"/>
      <protection locked="0"/>
    </xf>
    <xf numFmtId="185" fontId="91" fillId="0" borderId="0" xfId="0" applyNumberFormat="1" applyFont="1" applyFill="1" applyBorder="1" applyAlignment="1" applyProtection="1">
      <alignment horizontal="center" vertical="center"/>
      <protection locked="0"/>
    </xf>
    <xf numFmtId="194" fontId="91" fillId="0" borderId="0" xfId="0" applyNumberFormat="1" applyFont="1" applyFill="1" applyBorder="1" applyAlignment="1" applyProtection="1">
      <alignment horizontal="center" vertical="center"/>
      <protection locked="0"/>
    </xf>
    <xf numFmtId="0" fontId="90" fillId="0" borderId="3" xfId="0" applyNumberFormat="1" applyFont="1" applyFill="1" applyBorder="1" applyAlignment="1" applyProtection="1">
      <alignment horizontal="center" vertical="center"/>
      <protection locked="0"/>
    </xf>
    <xf numFmtId="0" fontId="103" fillId="0" borderId="0" xfId="0" applyFont="1" applyAlignment="1" applyProtection="1">
      <alignment horizontal="center" vertical="center"/>
      <protection locked="0"/>
    </xf>
    <xf numFmtId="185" fontId="90" fillId="0" borderId="3" xfId="0" applyNumberFormat="1" applyFont="1" applyFill="1" applyBorder="1" applyAlignment="1" applyProtection="1">
      <alignment horizontal="center" vertical="center"/>
      <protection locked="0"/>
    </xf>
    <xf numFmtId="194" fontId="90" fillId="0" borderId="3" xfId="0" applyNumberFormat="1" applyFont="1" applyFill="1" applyBorder="1" applyAlignment="1" applyProtection="1">
      <alignment horizontal="center" vertical="center"/>
      <protection locked="0"/>
    </xf>
    <xf numFmtId="0" fontId="90" fillId="0" borderId="0" xfId="0" applyFont="1" applyFill="1" applyBorder="1" applyAlignment="1" applyProtection="1">
      <alignment horizontal="center" vertical="center"/>
      <protection locked="0"/>
    </xf>
    <xf numFmtId="0" fontId="90" fillId="0" borderId="0" xfId="0" applyNumberFormat="1" applyFont="1" applyFill="1" applyBorder="1" applyAlignment="1" applyProtection="1">
      <alignment horizontal="center" vertical="center"/>
      <protection locked="0"/>
    </xf>
    <xf numFmtId="185" fontId="90" fillId="0" borderId="0" xfId="0" applyNumberFormat="1" applyFont="1" applyFill="1" applyBorder="1" applyAlignment="1" applyProtection="1">
      <alignment horizontal="center" vertical="center"/>
      <protection locked="0"/>
    </xf>
    <xf numFmtId="194" fontId="90" fillId="0" borderId="0" xfId="0" applyNumberFormat="1" applyFont="1" applyFill="1" applyBorder="1" applyAlignment="1" applyProtection="1">
      <alignment horizontal="center" vertical="center"/>
      <protection locked="0"/>
    </xf>
    <xf numFmtId="179" fontId="93" fillId="0" borderId="0" xfId="0" applyNumberFormat="1" applyFont="1" applyFill="1" applyAlignment="1" applyProtection="1">
      <alignment horizontal="center" vertical="center"/>
    </xf>
    <xf numFmtId="0" fontId="93" fillId="0" borderId="0" xfId="0" applyFont="1" applyFill="1" applyAlignment="1" applyProtection="1">
      <alignment horizontal="center" vertical="center" wrapText="1"/>
      <protection locked="0"/>
    </xf>
    <xf numFmtId="0" fontId="93" fillId="0" borderId="0" xfId="0" applyNumberFormat="1" applyFont="1" applyFill="1" applyAlignment="1" applyProtection="1">
      <alignment horizontal="center" vertical="center"/>
      <protection locked="0"/>
    </xf>
    <xf numFmtId="188" fontId="93" fillId="0" borderId="0" xfId="0" applyNumberFormat="1" applyFont="1" applyFill="1" applyAlignment="1" applyProtection="1">
      <alignment horizontal="center" vertical="center" wrapText="1"/>
      <protection locked="0"/>
    </xf>
    <xf numFmtId="185" fontId="93" fillId="0" borderId="0" xfId="0" applyNumberFormat="1" applyFont="1" applyFill="1" applyAlignment="1" applyProtection="1">
      <alignment horizontal="center" vertical="center" wrapText="1"/>
      <protection locked="0"/>
    </xf>
    <xf numFmtId="0" fontId="105" fillId="0" borderId="0" xfId="0" applyFont="1" applyAlignment="1" applyProtection="1">
      <alignment horizontal="center" vertical="center"/>
      <protection locked="0"/>
    </xf>
    <xf numFmtId="0" fontId="98" fillId="0" borderId="0" xfId="0" applyFont="1" applyFill="1" applyAlignment="1" applyProtection="1">
      <alignment horizontal="center" vertical="center"/>
      <protection locked="0"/>
    </xf>
    <xf numFmtId="185" fontId="93" fillId="0" borderId="0" xfId="0" applyNumberFormat="1" applyFont="1" applyFill="1" applyAlignment="1" applyProtection="1">
      <alignment horizontal="center" vertical="center"/>
      <protection locked="0"/>
    </xf>
    <xf numFmtId="194" fontId="93" fillId="0" borderId="0" xfId="0" applyNumberFormat="1" applyFont="1" applyFill="1" applyAlignment="1" applyProtection="1">
      <alignment horizontal="center" vertical="center"/>
      <protection locked="0"/>
    </xf>
    <xf numFmtId="0" fontId="96" fillId="0" borderId="0" xfId="0" applyFont="1" applyFill="1" applyAlignment="1" applyProtection="1">
      <alignment horizontal="center" vertical="center"/>
      <protection locked="0"/>
    </xf>
    <xf numFmtId="0" fontId="107" fillId="0" borderId="0" xfId="0" applyFont="1" applyFill="1" applyAlignment="1" applyProtection="1">
      <alignment horizontal="center" vertical="center"/>
      <protection locked="0"/>
    </xf>
    <xf numFmtId="0" fontId="107" fillId="6" borderId="0" xfId="0" applyFont="1" applyFill="1" applyAlignment="1" applyProtection="1">
      <alignment horizontal="center" vertical="center"/>
      <protection locked="0"/>
    </xf>
    <xf numFmtId="0" fontId="86" fillId="0" borderId="0" xfId="0" applyFont="1" applyFill="1" applyAlignment="1" applyProtection="1">
      <alignment horizontal="center" vertical="center"/>
      <protection locked="0"/>
    </xf>
    <xf numFmtId="0" fontId="107" fillId="17" borderId="0" xfId="0" applyFont="1" applyFill="1" applyAlignment="1" applyProtection="1">
      <alignment horizontal="center" vertical="center"/>
      <protection locked="0"/>
    </xf>
    <xf numFmtId="0" fontId="107" fillId="0" borderId="36" xfId="0" applyFont="1" applyFill="1" applyBorder="1" applyAlignment="1" applyProtection="1">
      <alignment horizontal="center" vertical="center"/>
      <protection locked="0"/>
    </xf>
    <xf numFmtId="0" fontId="86" fillId="0" borderId="36" xfId="0" applyFont="1" applyFill="1" applyBorder="1" applyAlignment="1" applyProtection="1">
      <alignment horizontal="center" vertical="center"/>
      <protection locked="0"/>
    </xf>
    <xf numFmtId="0" fontId="86" fillId="6" borderId="0" xfId="0" applyFont="1" applyFill="1" applyAlignment="1" applyProtection="1">
      <alignment horizontal="center" vertical="center"/>
      <protection locked="0"/>
    </xf>
    <xf numFmtId="0" fontId="108" fillId="0" borderId="0" xfId="0" applyFont="1" applyFill="1" applyAlignment="1" applyProtection="1">
      <alignment horizontal="center" vertical="center"/>
      <protection locked="0"/>
    </xf>
    <xf numFmtId="0" fontId="86" fillId="17" borderId="0" xfId="0" applyFont="1" applyFill="1" applyAlignment="1" applyProtection="1">
      <alignment horizontal="center" vertical="center"/>
      <protection locked="0"/>
    </xf>
    <xf numFmtId="0" fontId="79" fillId="6" borderId="0" xfId="0" applyFont="1" applyFill="1" applyAlignment="1" applyProtection="1">
      <alignment horizontal="center" vertical="center"/>
      <protection locked="0"/>
    </xf>
    <xf numFmtId="0" fontId="108" fillId="6" borderId="0" xfId="0" applyFont="1" applyFill="1" applyAlignment="1" applyProtection="1">
      <alignment horizontal="center" vertical="center"/>
      <protection locked="0"/>
    </xf>
    <xf numFmtId="0" fontId="12" fillId="17" borderId="0" xfId="0" applyFont="1" applyFill="1" applyAlignment="1" applyProtection="1">
      <alignment horizontal="center" vertical="center"/>
      <protection locked="0"/>
    </xf>
    <xf numFmtId="0" fontId="79" fillId="0" borderId="0" xfId="0" applyFont="1" applyFill="1" applyAlignment="1" applyProtection="1">
      <alignment horizontal="center" vertical="center"/>
      <protection locked="0"/>
    </xf>
    <xf numFmtId="0" fontId="79" fillId="0" borderId="0" xfId="0" applyFont="1" applyFill="1" applyAlignment="1" applyProtection="1">
      <alignment horizontal="center" vertical="center"/>
      <protection locked="0"/>
    </xf>
    <xf numFmtId="0" fontId="12" fillId="0" borderId="36" xfId="0" applyFont="1" applyFill="1" applyBorder="1" applyAlignment="1" applyProtection="1">
      <alignment horizontal="center" vertical="center"/>
      <protection locked="0"/>
    </xf>
    <xf numFmtId="0" fontId="87" fillId="0" borderId="0" xfId="0" applyFont="1" applyFill="1" applyAlignment="1" applyProtection="1">
      <alignment horizontal="center" vertical="center"/>
      <protection locked="0"/>
    </xf>
    <xf numFmtId="0" fontId="79" fillId="17" borderId="0" xfId="0" applyFont="1" applyFill="1" applyAlignment="1" applyProtection="1">
      <alignment horizontal="center" vertical="center"/>
      <protection locked="0"/>
    </xf>
    <xf numFmtId="0" fontId="12" fillId="6" borderId="36" xfId="0" applyFont="1" applyFill="1" applyBorder="1" applyAlignment="1" applyProtection="1">
      <alignment horizontal="center" vertical="center"/>
      <protection locked="0"/>
    </xf>
    <xf numFmtId="0" fontId="12" fillId="0" borderId="0" xfId="0" applyFont="1" applyFill="1" applyAlignment="1" applyProtection="1">
      <alignment horizontal="center" vertical="center"/>
      <protection locked="0"/>
    </xf>
    <xf numFmtId="0" fontId="79" fillId="0" borderId="36" xfId="0" applyFont="1" applyFill="1" applyBorder="1" applyAlignment="1" applyProtection="1">
      <alignment horizontal="center" vertical="center"/>
      <protection locked="0"/>
    </xf>
    <xf numFmtId="0" fontId="107" fillId="0" borderId="3" xfId="0" applyFont="1" applyFill="1" applyBorder="1" applyAlignment="1" applyProtection="1">
      <alignment horizontal="center" vertical="center"/>
      <protection locked="0"/>
    </xf>
    <xf numFmtId="179" fontId="12" fillId="0" borderId="0" xfId="0" applyNumberFormat="1" applyFont="1" applyFill="1" applyAlignment="1" applyProtection="1">
      <alignment horizontal="center" vertical="center"/>
    </xf>
    <xf numFmtId="0" fontId="12" fillId="0" borderId="0" xfId="0" applyFont="1" applyFill="1" applyAlignment="1" applyProtection="1">
      <alignment horizontal="center" vertical="center" wrapText="1"/>
      <protection locked="0"/>
    </xf>
    <xf numFmtId="0" fontId="109" fillId="0" borderId="0" xfId="0" applyNumberFormat="1" applyFont="1" applyFill="1" applyAlignment="1" applyProtection="1">
      <alignment horizontal="center" vertical="center"/>
      <protection locked="0"/>
    </xf>
    <xf numFmtId="0" fontId="110" fillId="0" borderId="0" xfId="0" applyFont="1" applyFill="1" applyAlignment="1" applyProtection="1">
      <alignment horizontal="center" vertical="center"/>
      <protection locked="0"/>
    </xf>
    <xf numFmtId="188" fontId="12" fillId="0" borderId="0" xfId="0" applyNumberFormat="1" applyFont="1" applyFill="1" applyAlignment="1" applyProtection="1">
      <alignment horizontal="center" vertical="center" wrapText="1"/>
      <protection locked="0"/>
    </xf>
    <xf numFmtId="185" fontId="12" fillId="0" borderId="0" xfId="0" applyNumberFormat="1" applyFont="1" applyFill="1" applyAlignment="1" applyProtection="1">
      <alignment horizontal="center" vertical="center" wrapText="1"/>
      <protection locked="0"/>
    </xf>
    <xf numFmtId="189" fontId="12" fillId="0" borderId="0" xfId="0" applyNumberFormat="1" applyFont="1" applyFill="1" applyAlignment="1" applyProtection="1">
      <alignment horizontal="center" vertical="center"/>
      <protection locked="0"/>
    </xf>
    <xf numFmtId="179" fontId="14" fillId="0" borderId="3" xfId="0" applyNumberFormat="1" applyFont="1" applyFill="1" applyBorder="1" applyAlignment="1" applyProtection="1">
      <alignment horizontal="center" vertical="center" wrapText="1" shrinkToFit="1"/>
    </xf>
    <xf numFmtId="0" fontId="14" fillId="0" borderId="3" xfId="0" applyFont="1" applyFill="1" applyBorder="1" applyAlignment="1" applyProtection="1">
      <alignment horizontal="center" vertical="center" wrapText="1" shrinkToFit="1"/>
      <protection locked="0"/>
    </xf>
    <xf numFmtId="49" fontId="14" fillId="0" borderId="3" xfId="0" applyNumberFormat="1" applyFont="1" applyFill="1" applyBorder="1" applyAlignment="1" applyProtection="1">
      <alignment horizontal="center" vertical="center" wrapText="1" shrinkToFit="1"/>
      <protection locked="0"/>
    </xf>
    <xf numFmtId="186" fontId="14" fillId="0" borderId="3" xfId="0" applyNumberFormat="1" applyFont="1" applyFill="1" applyBorder="1" applyAlignment="1" applyProtection="1">
      <alignment horizontal="center" vertical="center" wrapText="1" shrinkToFit="1"/>
      <protection locked="0"/>
    </xf>
    <xf numFmtId="186" fontId="70" fillId="0" borderId="3" xfId="0" applyNumberFormat="1" applyFont="1" applyFill="1" applyBorder="1" applyAlignment="1" applyProtection="1">
      <alignment horizontal="center" vertical="center" wrapText="1" shrinkToFit="1"/>
      <protection locked="0"/>
    </xf>
    <xf numFmtId="0" fontId="14" fillId="0" borderId="3" xfId="0" applyNumberFormat="1" applyFont="1" applyFill="1" applyBorder="1" applyAlignment="1" applyProtection="1">
      <alignment horizontal="center" vertical="center" wrapText="1" shrinkToFit="1"/>
      <protection locked="0"/>
    </xf>
    <xf numFmtId="0" fontId="111" fillId="0" borderId="3" xfId="0" applyNumberFormat="1" applyFont="1" applyFill="1" applyBorder="1" applyAlignment="1" applyProtection="1">
      <alignment horizontal="center" vertical="center" wrapText="1" shrinkToFit="1"/>
      <protection locked="0"/>
    </xf>
    <xf numFmtId="0" fontId="111" fillId="0" borderId="3" xfId="0" applyFont="1" applyFill="1" applyBorder="1" applyAlignment="1" applyProtection="1">
      <alignment horizontal="center" vertical="center" wrapText="1" shrinkToFit="1"/>
      <protection locked="0"/>
    </xf>
    <xf numFmtId="187" fontId="14" fillId="0" borderId="3" xfId="0" applyNumberFormat="1" applyFont="1" applyFill="1" applyBorder="1" applyAlignment="1" applyProtection="1">
      <alignment horizontal="center" vertical="center" wrapText="1" shrinkToFit="1"/>
      <protection locked="0"/>
    </xf>
    <xf numFmtId="188" fontId="14" fillId="0" borderId="3" xfId="0" applyNumberFormat="1" applyFont="1" applyFill="1" applyBorder="1" applyAlignment="1" applyProtection="1">
      <alignment horizontal="center" vertical="center" wrapText="1" shrinkToFit="1"/>
      <protection locked="0"/>
    </xf>
    <xf numFmtId="185" fontId="14" fillId="0" borderId="3" xfId="0" applyNumberFormat="1" applyFont="1" applyFill="1" applyBorder="1" applyAlignment="1" applyProtection="1">
      <alignment horizontal="center" vertical="center" wrapText="1" shrinkToFit="1"/>
      <protection locked="0"/>
    </xf>
    <xf numFmtId="0" fontId="81" fillId="0" borderId="3" xfId="0" applyFont="1" applyFill="1" applyBorder="1" applyAlignment="1" applyProtection="1">
      <alignment horizontal="center" vertical="center" wrapText="1" shrinkToFit="1"/>
      <protection locked="0"/>
    </xf>
    <xf numFmtId="0" fontId="71" fillId="0" borderId="3" xfId="0" applyFont="1" applyFill="1" applyBorder="1" applyAlignment="1" applyProtection="1">
      <alignment horizontal="center" vertical="center" wrapText="1"/>
      <protection locked="0"/>
    </xf>
    <xf numFmtId="0" fontId="112" fillId="0" borderId="3" xfId="0" applyFont="1" applyFill="1" applyBorder="1" applyAlignment="1" applyProtection="1">
      <alignment horizontal="center" vertical="center" wrapText="1"/>
      <protection locked="0"/>
    </xf>
    <xf numFmtId="0" fontId="113" fillId="0" borderId="5" xfId="0" applyFont="1" applyFill="1" applyBorder="1" applyAlignment="1" applyProtection="1">
      <alignment horizontal="center" vertical="center" wrapText="1"/>
      <protection locked="0"/>
    </xf>
    <xf numFmtId="0" fontId="112" fillId="0" borderId="7" xfId="0" applyFont="1" applyFill="1" applyBorder="1" applyAlignment="1" applyProtection="1">
      <alignment horizontal="center" vertical="center" wrapText="1"/>
      <protection locked="0"/>
    </xf>
    <xf numFmtId="189" fontId="71" fillId="0" borderId="3" xfId="0" applyNumberFormat="1" applyFont="1" applyFill="1" applyBorder="1" applyAlignment="1" applyProtection="1">
      <alignment horizontal="center" vertical="center" wrapText="1"/>
      <protection locked="0"/>
    </xf>
    <xf numFmtId="0" fontId="114" fillId="0" borderId="3" xfId="0" applyFont="1" applyFill="1" applyBorder="1" applyAlignment="1" applyProtection="1">
      <alignment horizontal="center" vertical="center" wrapText="1"/>
      <protection locked="0"/>
    </xf>
    <xf numFmtId="0" fontId="112" fillId="0" borderId="5" xfId="0" applyFont="1" applyFill="1" applyBorder="1" applyAlignment="1" applyProtection="1">
      <alignment horizontal="center" vertical="center" wrapText="1"/>
      <protection locked="0"/>
    </xf>
    <xf numFmtId="0" fontId="14" fillId="0" borderId="3" xfId="0" applyFont="1" applyFill="1" applyBorder="1" applyAlignment="1" applyProtection="1">
      <alignment horizontal="center" vertical="center" wrapText="1"/>
      <protection locked="0"/>
    </xf>
    <xf numFmtId="0" fontId="14" fillId="0" borderId="7" xfId="0" applyFont="1" applyFill="1" applyBorder="1" applyAlignment="1" applyProtection="1">
      <alignment horizontal="center" vertical="center" wrapText="1"/>
      <protection locked="0"/>
    </xf>
    <xf numFmtId="0" fontId="71" fillId="0" borderId="5" xfId="0" applyFont="1" applyFill="1" applyBorder="1" applyAlignment="1" applyProtection="1">
      <alignment horizontal="center" vertical="center" wrapText="1"/>
      <protection locked="0"/>
    </xf>
    <xf numFmtId="0" fontId="12" fillId="0" borderId="3" xfId="0" applyFont="1" applyFill="1" applyBorder="1" applyAlignment="1" applyProtection="1">
      <alignment horizontal="center" vertical="center"/>
      <protection locked="0"/>
    </xf>
    <xf numFmtId="179" fontId="107" fillId="0" borderId="35" xfId="0" applyNumberFormat="1" applyFont="1" applyFill="1" applyBorder="1" applyAlignment="1" applyProtection="1">
      <alignment horizontal="center" vertical="center" wrapText="1" shrinkToFit="1"/>
    </xf>
    <xf numFmtId="0" fontId="107" fillId="0" borderId="35" xfId="0" applyFont="1" applyFill="1" applyBorder="1" applyAlignment="1" applyProtection="1">
      <alignment horizontal="center" vertical="center" wrapText="1"/>
      <protection locked="0"/>
    </xf>
    <xf numFmtId="0" fontId="107" fillId="0" borderId="35" xfId="0" applyFont="1" applyFill="1" applyBorder="1" applyAlignment="1" applyProtection="1">
      <alignment horizontal="center" vertical="center" wrapText="1" shrinkToFit="1"/>
      <protection locked="0"/>
    </xf>
    <xf numFmtId="0" fontId="107" fillId="0" borderId="35" xfId="0" applyFont="1" applyFill="1" applyBorder="1" applyAlignment="1" applyProtection="1">
      <alignment horizontal="center" vertical="center"/>
      <protection locked="0"/>
    </xf>
    <xf numFmtId="49" fontId="107" fillId="0" borderId="35" xfId="0" applyNumberFormat="1" applyFont="1" applyFill="1" applyBorder="1" applyAlignment="1" applyProtection="1">
      <alignment horizontal="center" vertical="center" wrapText="1" shrinkToFit="1"/>
      <protection locked="0"/>
    </xf>
    <xf numFmtId="189" fontId="107" fillId="0" borderId="35" xfId="0" applyNumberFormat="1" applyFont="1" applyFill="1" applyBorder="1" applyAlignment="1" applyProtection="1">
      <alignment horizontal="center" vertical="center" wrapText="1" shrinkToFit="1"/>
      <protection locked="0"/>
    </xf>
    <xf numFmtId="186" fontId="107" fillId="0" borderId="35" xfId="0" applyNumberFormat="1" applyFont="1" applyFill="1" applyBorder="1" applyAlignment="1" applyProtection="1">
      <alignment horizontal="center" vertical="center" wrapText="1" shrinkToFit="1"/>
      <protection locked="0"/>
    </xf>
    <xf numFmtId="0" fontId="107" fillId="0" borderId="35" xfId="0" applyNumberFormat="1" applyFont="1" applyFill="1" applyBorder="1" applyAlignment="1" applyProtection="1">
      <alignment horizontal="center" vertical="center" wrapText="1" shrinkToFit="1"/>
      <protection locked="0"/>
    </xf>
    <xf numFmtId="187" fontId="107" fillId="0" borderId="35" xfId="0" applyNumberFormat="1" applyFont="1" applyFill="1" applyBorder="1" applyAlignment="1" applyProtection="1">
      <alignment horizontal="center" vertical="center" wrapText="1" shrinkToFit="1"/>
      <protection locked="0"/>
    </xf>
    <xf numFmtId="188" fontId="107" fillId="0" borderId="35" xfId="0" applyNumberFormat="1" applyFont="1" applyFill="1" applyBorder="1" applyAlignment="1" applyProtection="1">
      <alignment horizontal="center" vertical="center" wrapText="1"/>
      <protection locked="0"/>
    </xf>
    <xf numFmtId="185" fontId="107" fillId="0" borderId="35" xfId="0" applyNumberFormat="1" applyFont="1" applyFill="1" applyBorder="1" applyAlignment="1" applyProtection="1">
      <alignment horizontal="center" vertical="center" wrapText="1" shrinkToFit="1"/>
      <protection locked="0"/>
    </xf>
    <xf numFmtId="0" fontId="115" fillId="0" borderId="37" xfId="0" applyFont="1" applyBorder="1" applyAlignment="1" applyProtection="1">
      <alignment horizontal="center" vertical="center" wrapText="1" shrinkToFit="1"/>
      <protection locked="0"/>
    </xf>
    <xf numFmtId="0" fontId="107" fillId="0" borderId="38" xfId="0" applyFont="1" applyFill="1" applyBorder="1" applyAlignment="1" applyProtection="1">
      <alignment horizontal="center" vertical="center" wrapText="1" shrinkToFit="1"/>
      <protection locked="0"/>
    </xf>
    <xf numFmtId="0" fontId="107" fillId="0" borderId="39" xfId="0" applyFont="1" applyFill="1" applyBorder="1" applyAlignment="1" applyProtection="1">
      <alignment horizontal="center" vertical="center"/>
      <protection locked="0"/>
    </xf>
    <xf numFmtId="0" fontId="107" fillId="0" borderId="3" xfId="0" applyNumberFormat="1" applyFont="1" applyFill="1" applyBorder="1" applyAlignment="1" applyProtection="1">
      <alignment horizontal="center" vertical="center" wrapText="1" shrinkToFit="1"/>
      <protection locked="0"/>
    </xf>
    <xf numFmtId="0" fontId="107" fillId="0" borderId="3" xfId="0" applyFont="1" applyFill="1" applyBorder="1" applyAlignment="1" applyProtection="1">
      <alignment horizontal="center" vertical="center" wrapText="1" shrinkToFit="1"/>
      <protection locked="0"/>
    </xf>
    <xf numFmtId="0" fontId="107" fillId="0" borderId="5" xfId="0" applyFont="1" applyFill="1" applyBorder="1" applyAlignment="1" applyProtection="1">
      <alignment horizontal="center" vertical="center" wrapText="1" shrinkToFit="1"/>
      <protection locked="0"/>
    </xf>
    <xf numFmtId="0" fontId="107" fillId="0" borderId="7" xfId="0" applyFont="1" applyFill="1" applyBorder="1" applyAlignment="1" applyProtection="1">
      <alignment horizontal="center" vertical="center"/>
      <protection locked="0"/>
    </xf>
    <xf numFmtId="0" fontId="107" fillId="0" borderId="35" xfId="0" applyNumberFormat="1" applyFont="1" applyFill="1" applyBorder="1" applyAlignment="1">
      <alignment horizontal="center" vertical="center"/>
    </xf>
    <xf numFmtId="58" fontId="107" fillId="0" borderId="35" xfId="0" applyNumberFormat="1" applyFont="1" applyFill="1" applyBorder="1" applyAlignment="1" applyProtection="1">
      <alignment horizontal="center" vertical="center" wrapText="1" shrinkToFit="1"/>
      <protection locked="0"/>
    </xf>
    <xf numFmtId="0" fontId="115" fillId="20" borderId="37" xfId="0" applyFont="1" applyFill="1" applyBorder="1" applyAlignment="1" applyProtection="1">
      <alignment horizontal="center" vertical="center" wrapText="1" shrinkToFit="1"/>
      <protection locked="0"/>
    </xf>
    <xf numFmtId="0" fontId="107" fillId="0" borderId="5" xfId="0" applyFont="1" applyFill="1" applyBorder="1" applyAlignment="1" applyProtection="1">
      <alignment horizontal="center" vertical="center"/>
      <protection locked="0"/>
    </xf>
    <xf numFmtId="189" fontId="107" fillId="0" borderId="35" xfId="0" applyNumberFormat="1" applyFont="1" applyFill="1" applyBorder="1" applyAlignment="1" applyProtection="1">
      <alignment horizontal="center" vertical="center"/>
      <protection locked="0"/>
    </xf>
    <xf numFmtId="0" fontId="107" fillId="0" borderId="38" xfId="0" applyFont="1" applyFill="1" applyBorder="1" applyAlignment="1" applyProtection="1">
      <alignment horizontal="center" vertical="center"/>
      <protection locked="0"/>
    </xf>
    <xf numFmtId="0" fontId="107" fillId="6" borderId="35" xfId="0" applyFont="1" applyFill="1" applyBorder="1" applyAlignment="1" applyProtection="1">
      <alignment horizontal="center" vertical="center"/>
      <protection locked="0"/>
    </xf>
    <xf numFmtId="0" fontId="107" fillId="0" borderId="39" xfId="0" applyFont="1" applyBorder="1">
      <alignment vertical="center"/>
    </xf>
    <xf numFmtId="179" fontId="107" fillId="0" borderId="3" xfId="0" applyNumberFormat="1" applyFont="1" applyFill="1" applyBorder="1" applyAlignment="1" applyProtection="1">
      <alignment horizontal="center" vertical="center" wrapText="1" shrinkToFit="1"/>
    </xf>
    <xf numFmtId="189" fontId="107" fillId="0" borderId="3" xfId="0" applyNumberFormat="1" applyFont="1" applyFill="1" applyBorder="1" applyAlignment="1" applyProtection="1">
      <alignment horizontal="center" vertical="center" wrapText="1" shrinkToFit="1"/>
      <protection locked="0"/>
    </xf>
    <xf numFmtId="0" fontId="107" fillId="0" borderId="3" xfId="0" applyFont="1" applyFill="1" applyBorder="1" applyAlignment="1" applyProtection="1">
      <alignment horizontal="center" vertical="center" wrapText="1"/>
      <protection locked="0"/>
    </xf>
    <xf numFmtId="185" fontId="107" fillId="0" borderId="3" xfId="0" applyNumberFormat="1" applyFont="1" applyFill="1" applyBorder="1" applyAlignment="1" applyProtection="1">
      <alignment horizontal="center" vertical="center" wrapText="1" shrinkToFit="1"/>
      <protection locked="0"/>
    </xf>
    <xf numFmtId="0" fontId="115" fillId="20" borderId="36" xfId="0" applyFont="1" applyFill="1" applyBorder="1" applyAlignment="1" applyProtection="1">
      <alignment horizontal="center" vertical="center" wrapText="1" shrinkToFit="1"/>
      <protection locked="0"/>
    </xf>
    <xf numFmtId="189" fontId="107" fillId="0" borderId="3" xfId="0" applyNumberFormat="1" applyFont="1" applyFill="1" applyBorder="1" applyAlignment="1" applyProtection="1">
      <alignment horizontal="center" vertical="center"/>
      <protection locked="0"/>
    </xf>
    <xf numFmtId="0" fontId="107" fillId="6" borderId="3" xfId="0" applyFont="1" applyFill="1" applyBorder="1" applyAlignment="1" applyProtection="1">
      <alignment horizontal="center" vertical="center"/>
      <protection locked="0"/>
    </xf>
    <xf numFmtId="3" fontId="107" fillId="0" borderId="35" xfId="0" applyNumberFormat="1" applyFont="1" applyFill="1" applyBorder="1" applyAlignment="1" applyProtection="1">
      <alignment horizontal="center" vertical="center" wrapText="1" shrinkToFit="1"/>
      <protection locked="0"/>
    </xf>
    <xf numFmtId="49" fontId="107" fillId="0" borderId="3" xfId="0" applyNumberFormat="1" applyFont="1" applyFill="1" applyBorder="1" applyAlignment="1" applyProtection="1">
      <alignment horizontal="center" vertical="center" wrapText="1" shrinkToFit="1"/>
      <protection locked="0"/>
    </xf>
    <xf numFmtId="3" fontId="107" fillId="0" borderId="3" xfId="0" applyNumberFormat="1" applyFont="1" applyFill="1" applyBorder="1" applyAlignment="1" applyProtection="1">
      <alignment horizontal="center" vertical="center" wrapText="1" shrinkToFit="1"/>
      <protection locked="0"/>
    </xf>
    <xf numFmtId="186" fontId="107" fillId="0" borderId="3" xfId="0" applyNumberFormat="1" applyFont="1" applyFill="1" applyBorder="1" applyAlignment="1" applyProtection="1">
      <alignment horizontal="center" vertical="center" wrapText="1" shrinkToFit="1"/>
      <protection locked="0"/>
    </xf>
    <xf numFmtId="58" fontId="107" fillId="0" borderId="3" xfId="0" applyNumberFormat="1" applyFont="1" applyFill="1" applyBorder="1" applyAlignment="1" applyProtection="1">
      <alignment horizontal="center" vertical="center" wrapText="1" shrinkToFit="1"/>
      <protection locked="0"/>
    </xf>
    <xf numFmtId="187" fontId="107" fillId="0" borderId="3" xfId="0" applyNumberFormat="1" applyFont="1" applyFill="1" applyBorder="1" applyAlignment="1" applyProtection="1">
      <alignment horizontal="center" vertical="center" wrapText="1" shrinkToFit="1"/>
      <protection locked="0"/>
    </xf>
    <xf numFmtId="0" fontId="115" fillId="0" borderId="36" xfId="0" applyFont="1" applyBorder="1" applyAlignment="1" applyProtection="1">
      <alignment horizontal="center" vertical="center" wrapText="1" shrinkToFit="1"/>
      <protection locked="0"/>
    </xf>
    <xf numFmtId="0" fontId="107" fillId="0" borderId="3" xfId="0" applyNumberFormat="1" applyFont="1" applyFill="1" applyBorder="1" applyAlignment="1" applyProtection="1">
      <alignment horizontal="center" vertical="center" shrinkToFit="1"/>
      <protection locked="0"/>
    </xf>
    <xf numFmtId="0" fontId="107" fillId="0" borderId="0" xfId="0" applyFont="1" applyFill="1" applyBorder="1" applyAlignment="1" applyProtection="1">
      <alignment horizontal="center" vertical="center"/>
      <protection locked="0"/>
    </xf>
    <xf numFmtId="189" fontId="107" fillId="0" borderId="0" xfId="0" applyNumberFormat="1" applyFont="1" applyFill="1" applyBorder="1" applyAlignment="1" applyProtection="1">
      <alignment horizontal="center" vertical="center"/>
      <protection locked="0"/>
    </xf>
    <xf numFmtId="0" fontId="107" fillId="0" borderId="0" xfId="0" applyFont="1" applyFill="1" applyBorder="1" applyAlignment="1" applyProtection="1">
      <alignment horizontal="center" vertical="center" wrapText="1" shrinkToFit="1"/>
      <protection locked="0"/>
    </xf>
    <xf numFmtId="0" fontId="107" fillId="0" borderId="0" xfId="0" applyFont="1" applyFill="1" applyBorder="1" applyAlignment="1" applyProtection="1">
      <alignment horizontal="center" vertical="center" wrapText="1"/>
      <protection locked="0"/>
    </xf>
    <xf numFmtId="0" fontId="107" fillId="6" borderId="3" xfId="0" applyFont="1" applyFill="1" applyBorder="1" applyAlignment="1" applyProtection="1">
      <alignment horizontal="center" vertical="center" wrapText="1" shrinkToFit="1"/>
      <protection locked="0"/>
    </xf>
    <xf numFmtId="0" fontId="107" fillId="0" borderId="3" xfId="0" applyNumberFormat="1" applyFont="1" applyFill="1" applyBorder="1" applyAlignment="1">
      <alignment horizontal="center" vertical="center"/>
    </xf>
    <xf numFmtId="0" fontId="115" fillId="19" borderId="36" xfId="0" applyFont="1" applyFill="1" applyBorder="1" applyAlignment="1" applyProtection="1">
      <alignment horizontal="center" vertical="center" wrapText="1" shrinkToFit="1"/>
      <protection locked="0"/>
    </xf>
    <xf numFmtId="191" fontId="107" fillId="0" borderId="3" xfId="0" applyNumberFormat="1" applyFont="1" applyFill="1" applyBorder="1" applyAlignment="1" applyProtection="1">
      <alignment horizontal="center" vertical="center"/>
      <protection locked="0"/>
    </xf>
    <xf numFmtId="0" fontId="107" fillId="0" borderId="3" xfId="0" applyNumberFormat="1" applyFont="1" applyFill="1" applyBorder="1" applyAlignment="1" applyProtection="1">
      <alignment horizontal="center" vertical="center"/>
      <protection locked="0"/>
    </xf>
    <xf numFmtId="0" fontId="107" fillId="0" borderId="3" xfId="0" applyNumberFormat="1" applyFont="1" applyFill="1" applyBorder="1" applyAlignment="1" applyProtection="1">
      <alignment horizontal="center" vertical="center" wrapText="1"/>
      <protection locked="0"/>
    </xf>
    <xf numFmtId="0" fontId="116" fillId="0" borderId="3" xfId="0" applyNumberFormat="1" applyFont="1" applyFill="1" applyBorder="1" applyAlignment="1" applyProtection="1">
      <alignment horizontal="center" vertical="center" shrinkToFit="1"/>
      <protection locked="0"/>
    </xf>
    <xf numFmtId="49" fontId="107" fillId="0" borderId="3" xfId="0" applyNumberFormat="1" applyFont="1" applyFill="1" applyBorder="1" applyAlignment="1" applyProtection="1">
      <alignment horizontal="center" vertical="center" wrapText="1"/>
      <protection locked="0"/>
    </xf>
    <xf numFmtId="0" fontId="116" fillId="0" borderId="3" xfId="0" applyFont="1" applyFill="1" applyBorder="1" applyAlignment="1" applyProtection="1">
      <alignment horizontal="center" vertical="center" wrapText="1" shrinkToFit="1"/>
      <protection locked="0"/>
    </xf>
    <xf numFmtId="3" fontId="116" fillId="0" borderId="3" xfId="0" applyNumberFormat="1" applyFont="1" applyFill="1" applyBorder="1" applyAlignment="1" applyProtection="1">
      <alignment horizontal="center" vertical="center"/>
      <protection locked="0"/>
    </xf>
    <xf numFmtId="0" fontId="116" fillId="0" borderId="3" xfId="0" applyFont="1" applyFill="1" applyBorder="1" applyAlignment="1" applyProtection="1">
      <alignment horizontal="center" vertical="center"/>
      <protection locked="0"/>
    </xf>
    <xf numFmtId="192" fontId="107" fillId="0" borderId="3" xfId="0" applyNumberFormat="1" applyFont="1" applyFill="1" applyBorder="1" applyAlignment="1" applyProtection="1">
      <alignment horizontal="center" vertical="center" wrapText="1" shrinkToFit="1"/>
      <protection locked="0"/>
    </xf>
    <xf numFmtId="193" fontId="116" fillId="0" borderId="3" xfId="0" applyNumberFormat="1" applyFont="1" applyFill="1" applyBorder="1" applyAlignment="1" applyProtection="1">
      <alignment horizontal="center" vertical="center"/>
      <protection locked="0"/>
    </xf>
    <xf numFmtId="0" fontId="107" fillId="16" borderId="3" xfId="0" applyFont="1" applyFill="1" applyBorder="1" applyAlignment="1" applyProtection="1">
      <alignment horizontal="center" vertical="center" wrapText="1" shrinkToFit="1"/>
      <protection locked="0"/>
    </xf>
    <xf numFmtId="0" fontId="107" fillId="16" borderId="3" xfId="0" applyNumberFormat="1" applyFont="1" applyFill="1" applyBorder="1" applyAlignment="1" applyProtection="1">
      <alignment horizontal="center" vertical="center" wrapText="1" shrinkToFit="1"/>
      <protection locked="0"/>
    </xf>
    <xf numFmtId="185" fontId="107" fillId="16" borderId="3" xfId="0" applyNumberFormat="1" applyFont="1" applyFill="1" applyBorder="1" applyAlignment="1" applyProtection="1">
      <alignment horizontal="center" vertical="center" wrapText="1" shrinkToFit="1"/>
      <protection locked="0"/>
    </xf>
    <xf numFmtId="0" fontId="115" fillId="14" borderId="36" xfId="0" applyFont="1" applyFill="1" applyBorder="1" applyAlignment="1" applyProtection="1">
      <alignment horizontal="center" vertical="center" wrapText="1" shrinkToFit="1"/>
      <protection locked="0"/>
    </xf>
    <xf numFmtId="0" fontId="107" fillId="16" borderId="3" xfId="0" applyFont="1" applyFill="1" applyBorder="1" applyAlignment="1" applyProtection="1">
      <alignment horizontal="center" vertical="center"/>
      <protection locked="0"/>
    </xf>
    <xf numFmtId="0" fontId="107" fillId="16" borderId="5" xfId="0" applyFont="1" applyFill="1" applyBorder="1" applyAlignment="1" applyProtection="1">
      <alignment horizontal="center" vertical="center"/>
      <protection locked="0"/>
    </xf>
    <xf numFmtId="0" fontId="107" fillId="16" borderId="0" xfId="0" applyFont="1" applyFill="1" applyBorder="1" applyAlignment="1" applyProtection="1">
      <alignment horizontal="center" vertical="center"/>
      <protection locked="0"/>
    </xf>
    <xf numFmtId="0" fontId="107" fillId="16" borderId="7" xfId="0" applyFont="1" applyFill="1" applyBorder="1" applyAlignment="1" applyProtection="1">
      <alignment horizontal="center" vertical="center"/>
      <protection locked="0"/>
    </xf>
    <xf numFmtId="190" fontId="107" fillId="0" borderId="7" xfId="0" applyNumberFormat="1" applyFont="1" applyFill="1" applyBorder="1" applyAlignment="1" applyProtection="1">
      <alignment horizontal="center" vertical="center"/>
      <protection locked="0"/>
    </xf>
    <xf numFmtId="186" fontId="107" fillId="0" borderId="36" xfId="0" applyNumberFormat="1" applyFont="1" applyFill="1" applyBorder="1" applyAlignment="1" applyProtection="1">
      <alignment horizontal="center" vertical="center" wrapText="1" shrinkToFit="1"/>
      <protection locked="0"/>
    </xf>
    <xf numFmtId="182" fontId="107" fillId="0" borderId="3" xfId="0" applyNumberFormat="1" applyFont="1" applyFill="1" applyBorder="1" applyAlignment="1" applyProtection="1">
      <alignment horizontal="center" vertical="center" wrapText="1"/>
      <protection locked="0"/>
    </xf>
    <xf numFmtId="193" fontId="116" fillId="0" borderId="3" xfId="0" applyNumberFormat="1" applyFont="1" applyFill="1" applyBorder="1" applyAlignment="1" applyProtection="1">
      <alignment horizontal="center" vertical="center" wrapText="1"/>
      <protection locked="0"/>
    </xf>
    <xf numFmtId="179" fontId="87" fillId="0" borderId="3" xfId="0" applyNumberFormat="1" applyFont="1" applyFill="1" applyBorder="1" applyAlignment="1" applyProtection="1">
      <alignment horizontal="center" vertical="center" wrapText="1" shrinkToFit="1"/>
    </xf>
    <xf numFmtId="3" fontId="87" fillId="0" borderId="3" xfId="0" applyNumberFormat="1" applyFont="1" applyFill="1" applyBorder="1" applyAlignment="1" applyProtection="1">
      <alignment horizontal="center" vertical="center" wrapText="1" shrinkToFit="1"/>
      <protection locked="0"/>
    </xf>
    <xf numFmtId="189" fontId="87" fillId="0" borderId="3" xfId="0" applyNumberFormat="1" applyFont="1" applyFill="1" applyBorder="1" applyAlignment="1" applyProtection="1">
      <alignment horizontal="center" vertical="center" wrapText="1" shrinkToFit="1"/>
      <protection locked="0"/>
    </xf>
    <xf numFmtId="0" fontId="87" fillId="0" borderId="36" xfId="0" applyNumberFormat="1" applyFont="1" applyFill="1" applyBorder="1" applyAlignment="1" applyProtection="1">
      <alignment horizontal="center" vertical="center" wrapText="1" shrinkToFit="1"/>
      <protection locked="0"/>
    </xf>
    <xf numFmtId="58" fontId="79" fillId="0" borderId="3" xfId="0" applyNumberFormat="1" applyFont="1" applyFill="1" applyBorder="1" applyAlignment="1" applyProtection="1">
      <alignment horizontal="center" vertical="center" wrapText="1" shrinkToFit="1"/>
      <protection locked="0"/>
    </xf>
    <xf numFmtId="187" fontId="79" fillId="0" borderId="3" xfId="0" applyNumberFormat="1" applyFont="1" applyFill="1" applyBorder="1" applyAlignment="1" applyProtection="1">
      <alignment horizontal="center" vertical="center" wrapText="1" shrinkToFit="1"/>
      <protection locked="0"/>
    </xf>
    <xf numFmtId="0" fontId="85" fillId="0" borderId="36" xfId="0" applyFont="1" applyBorder="1" applyAlignment="1" applyProtection="1">
      <alignment horizontal="center" vertical="center" wrapText="1" shrinkToFit="1"/>
      <protection locked="0"/>
    </xf>
    <xf numFmtId="0" fontId="87" fillId="0" borderId="5" xfId="0" applyFont="1" applyFill="1" applyBorder="1" applyAlignment="1" applyProtection="1">
      <alignment horizontal="center" vertical="center"/>
      <protection locked="0"/>
    </xf>
    <xf numFmtId="0" fontId="87" fillId="0" borderId="7" xfId="0" applyFont="1" applyFill="1" applyBorder="1" applyAlignment="1" applyProtection="1">
      <alignment horizontal="center" vertical="center"/>
      <protection locked="0"/>
    </xf>
    <xf numFmtId="189" fontId="12" fillId="0" borderId="3" xfId="0" applyNumberFormat="1" applyFont="1" applyFill="1" applyBorder="1" applyAlignment="1" applyProtection="1">
      <alignment horizontal="center" vertical="center"/>
      <protection locked="0"/>
    </xf>
    <xf numFmtId="0" fontId="12" fillId="0" borderId="7" xfId="0" applyFont="1" applyFill="1" applyBorder="1" applyAlignment="1" applyProtection="1">
      <alignment horizontal="center" vertical="center"/>
      <protection locked="0"/>
    </xf>
    <xf numFmtId="58" fontId="79" fillId="0" borderId="35" xfId="0" applyNumberFormat="1" applyFont="1" applyFill="1" applyBorder="1" applyAlignment="1" applyProtection="1">
      <alignment horizontal="center" vertical="center" wrapText="1" shrinkToFit="1"/>
      <protection locked="0"/>
    </xf>
    <xf numFmtId="187" fontId="79" fillId="0" borderId="35" xfId="0" applyNumberFormat="1" applyFont="1" applyFill="1" applyBorder="1" applyAlignment="1" applyProtection="1">
      <alignment horizontal="center" vertical="center" wrapText="1" shrinkToFit="1"/>
      <protection locked="0"/>
    </xf>
    <xf numFmtId="0" fontId="107" fillId="6" borderId="3" xfId="0" applyNumberFormat="1" applyFont="1" applyFill="1" applyBorder="1" applyAlignment="1" applyProtection="1">
      <alignment horizontal="center" vertical="center" wrapText="1" shrinkToFit="1"/>
      <protection locked="0"/>
    </xf>
    <xf numFmtId="0" fontId="107" fillId="0" borderId="35" xfId="0" applyNumberFormat="1" applyFont="1" applyFill="1" applyBorder="1" applyAlignment="1" applyProtection="1">
      <alignment horizontal="center" vertical="center"/>
      <protection locked="0"/>
    </xf>
    <xf numFmtId="186" fontId="107" fillId="0" borderId="36" xfId="0" applyNumberFormat="1" applyFont="1" applyBorder="1" applyAlignment="1" applyProtection="1">
      <alignment horizontal="center" vertical="center" wrapText="1" shrinkToFit="1"/>
      <protection locked="0"/>
    </xf>
    <xf numFmtId="0" fontId="87" fillId="0" borderId="3" xfId="0" applyNumberFormat="1" applyFont="1" applyFill="1" applyBorder="1" applyAlignment="1" applyProtection="1">
      <alignment horizontal="center" vertical="center"/>
      <protection locked="0"/>
    </xf>
    <xf numFmtId="186" fontId="79" fillId="0" borderId="36" xfId="0" applyNumberFormat="1" applyFont="1" applyBorder="1" applyAlignment="1" applyProtection="1">
      <alignment horizontal="center" vertical="center" wrapText="1" shrinkToFit="1"/>
      <protection locked="0"/>
    </xf>
    <xf numFmtId="58" fontId="87" fillId="0" borderId="3" xfId="0" applyNumberFormat="1" applyFont="1" applyFill="1" applyBorder="1" applyAlignment="1" applyProtection="1">
      <alignment horizontal="center" vertical="center" wrapText="1" shrinkToFit="1"/>
      <protection locked="0"/>
    </xf>
    <xf numFmtId="187" fontId="87" fillId="0" borderId="3" xfId="0" applyNumberFormat="1" applyFont="1" applyFill="1" applyBorder="1" applyAlignment="1" applyProtection="1">
      <alignment horizontal="center" vertical="center" wrapText="1" shrinkToFit="1"/>
      <protection locked="0"/>
    </xf>
    <xf numFmtId="179" fontId="79" fillId="0" borderId="3" xfId="0" applyNumberFormat="1" applyFont="1" applyFill="1" applyBorder="1" applyAlignment="1" applyProtection="1">
      <alignment horizontal="center" vertical="center" wrapText="1" shrinkToFit="1"/>
    </xf>
    <xf numFmtId="49" fontId="79" fillId="0" borderId="3" xfId="0" applyNumberFormat="1" applyFont="1" applyFill="1" applyBorder="1" applyAlignment="1" applyProtection="1">
      <alignment horizontal="center" vertical="center" wrapText="1" shrinkToFit="1"/>
      <protection locked="0"/>
    </xf>
    <xf numFmtId="3" fontId="79" fillId="0" borderId="3" xfId="0" applyNumberFormat="1" applyFont="1" applyFill="1" applyBorder="1" applyAlignment="1" applyProtection="1">
      <alignment horizontal="center" vertical="center" wrapText="1" shrinkToFit="1"/>
      <protection locked="0"/>
    </xf>
    <xf numFmtId="186" fontId="79" fillId="0" borderId="3" xfId="0" applyNumberFormat="1" applyFont="1" applyFill="1" applyBorder="1" applyAlignment="1" applyProtection="1">
      <alignment horizontal="center" vertical="center" wrapText="1" shrinkToFit="1"/>
      <protection locked="0"/>
    </xf>
    <xf numFmtId="0" fontId="79" fillId="0" borderId="3" xfId="0" applyNumberFormat="1" applyFont="1" applyFill="1" applyBorder="1" applyAlignment="1" applyProtection="1">
      <alignment horizontal="center" vertical="center" wrapText="1" shrinkToFit="1"/>
      <protection locked="0"/>
    </xf>
    <xf numFmtId="0" fontId="79" fillId="0" borderId="36" xfId="0" applyNumberFormat="1" applyFont="1" applyFill="1" applyBorder="1" applyAlignment="1" applyProtection="1">
      <alignment horizontal="center" vertical="center" wrapText="1" shrinkToFit="1"/>
      <protection locked="0"/>
    </xf>
    <xf numFmtId="185" fontId="79" fillId="0" borderId="3" xfId="0" applyNumberFormat="1" applyFont="1" applyFill="1" applyBorder="1" applyAlignment="1" applyProtection="1">
      <alignment horizontal="center" vertical="center" wrapText="1" shrinkToFit="1"/>
      <protection locked="0"/>
    </xf>
    <xf numFmtId="0" fontId="79" fillId="0" borderId="5" xfId="0" applyFont="1" applyFill="1" applyBorder="1" applyAlignment="1" applyProtection="1">
      <alignment horizontal="center" vertical="center"/>
      <protection locked="0"/>
    </xf>
    <xf numFmtId="0" fontId="79" fillId="0" borderId="7" xfId="0" applyFont="1" applyFill="1" applyBorder="1" applyAlignment="1" applyProtection="1">
      <alignment horizontal="center" vertical="center"/>
      <protection locked="0"/>
    </xf>
    <xf numFmtId="189" fontId="79" fillId="0" borderId="3" xfId="0" applyNumberFormat="1" applyFont="1" applyFill="1" applyBorder="1" applyAlignment="1" applyProtection="1">
      <alignment horizontal="center" vertical="center"/>
      <protection locked="0"/>
    </xf>
    <xf numFmtId="49" fontId="107" fillId="22" borderId="3" xfId="0" applyNumberFormat="1" applyFont="1" applyFill="1" applyBorder="1" applyAlignment="1" applyProtection="1">
      <alignment horizontal="center" vertical="center" wrapText="1" shrinkToFit="1"/>
      <protection locked="0"/>
    </xf>
    <xf numFmtId="186" fontId="107" fillId="6" borderId="3" xfId="0" applyNumberFormat="1" applyFont="1" applyFill="1" applyBorder="1" applyAlignment="1" applyProtection="1">
      <alignment horizontal="center" vertical="center" wrapText="1" shrinkToFit="1"/>
      <protection locked="0"/>
    </xf>
    <xf numFmtId="0" fontId="107" fillId="6" borderId="3" xfId="0" applyFont="1" applyFill="1" applyBorder="1" applyAlignment="1" applyProtection="1">
      <alignment horizontal="center" vertical="center" wrapText="1"/>
      <protection locked="0"/>
    </xf>
    <xf numFmtId="186" fontId="107" fillId="18" borderId="3" xfId="0" applyNumberFormat="1" applyFont="1" applyFill="1" applyBorder="1" applyAlignment="1" applyProtection="1">
      <alignment horizontal="center" vertical="center" wrapText="1" shrinkToFit="1"/>
      <protection locked="0"/>
    </xf>
    <xf numFmtId="186" fontId="79" fillId="6" borderId="3" xfId="0" applyNumberFormat="1" applyFont="1" applyFill="1" applyBorder="1" applyAlignment="1" applyProtection="1">
      <alignment horizontal="center" vertical="center" wrapText="1" shrinkToFit="1"/>
      <protection locked="0"/>
    </xf>
    <xf numFmtId="58" fontId="87" fillId="0" borderId="35" xfId="0" applyNumberFormat="1" applyFont="1" applyFill="1" applyBorder="1" applyAlignment="1" applyProtection="1">
      <alignment horizontal="center" vertical="center" wrapText="1" shrinkToFit="1"/>
      <protection locked="0"/>
    </xf>
    <xf numFmtId="187" fontId="87" fillId="0" borderId="35" xfId="0" applyNumberFormat="1" applyFont="1" applyFill="1" applyBorder="1" applyAlignment="1" applyProtection="1">
      <alignment horizontal="center" vertical="center" wrapText="1" shrinkToFit="1"/>
      <protection locked="0"/>
    </xf>
    <xf numFmtId="186" fontId="107" fillId="0" borderId="3" xfId="0" applyNumberFormat="1" applyFont="1" applyBorder="1" applyAlignment="1" applyProtection="1">
      <alignment horizontal="center" vertical="center" wrapText="1" shrinkToFit="1"/>
      <protection locked="0"/>
    </xf>
    <xf numFmtId="0" fontId="107" fillId="0" borderId="3" xfId="0" applyFont="1" applyFill="1" applyBorder="1" applyAlignment="1" applyProtection="1">
      <alignment horizontal="left" vertical="center" wrapText="1"/>
      <protection locked="0"/>
    </xf>
    <xf numFmtId="0" fontId="107" fillId="0" borderId="3" xfId="0" applyFont="1" applyBorder="1" applyAlignment="1">
      <alignment horizontal="center" vertical="center" wrapText="1"/>
    </xf>
    <xf numFmtId="49" fontId="107" fillId="6" borderId="3" xfId="0" applyNumberFormat="1" applyFont="1" applyFill="1" applyBorder="1" applyAlignment="1" applyProtection="1">
      <alignment horizontal="center" vertical="center" wrapText="1" shrinkToFit="1"/>
      <protection locked="0"/>
    </xf>
    <xf numFmtId="3" fontId="107" fillId="6" borderId="3" xfId="0" applyNumberFormat="1" applyFont="1" applyFill="1" applyBorder="1" applyAlignment="1" applyProtection="1">
      <alignment horizontal="center" vertical="center" wrapText="1" shrinkToFit="1"/>
      <protection locked="0"/>
    </xf>
    <xf numFmtId="187" fontId="107" fillId="6" borderId="3" xfId="0" applyNumberFormat="1" applyFont="1" applyFill="1" applyBorder="1" applyAlignment="1" applyProtection="1">
      <alignment horizontal="center" vertical="center" wrapText="1" shrinkToFit="1"/>
      <protection locked="0"/>
    </xf>
    <xf numFmtId="191" fontId="107" fillId="0" borderId="3" xfId="0" applyNumberFormat="1" applyFont="1" applyFill="1" applyBorder="1" applyAlignment="1" applyProtection="1">
      <alignment horizontal="center" vertical="center" wrapText="1" shrinkToFit="1"/>
      <protection locked="0"/>
    </xf>
    <xf numFmtId="0" fontId="113" fillId="6" borderId="3" xfId="0" applyFont="1" applyFill="1" applyBorder="1" applyAlignment="1" applyProtection="1">
      <alignment horizontal="center" vertical="center" wrapText="1" shrinkToFit="1"/>
      <protection locked="0"/>
    </xf>
    <xf numFmtId="0" fontId="107" fillId="17" borderId="3" xfId="0" applyFont="1" applyFill="1" applyBorder="1" applyAlignment="1" applyProtection="1">
      <alignment horizontal="center" vertical="center" wrapText="1"/>
      <protection locked="0"/>
    </xf>
    <xf numFmtId="185" fontId="107" fillId="6" borderId="3" xfId="0" applyNumberFormat="1" applyFont="1" applyFill="1" applyBorder="1" applyAlignment="1" applyProtection="1">
      <alignment horizontal="center" vertical="center" wrapText="1" shrinkToFit="1"/>
      <protection locked="0"/>
    </xf>
    <xf numFmtId="0" fontId="115" fillId="6" borderId="36" xfId="0" applyFont="1" applyFill="1" applyBorder="1" applyAlignment="1" applyProtection="1">
      <alignment horizontal="center" vertical="center" wrapText="1" shrinkToFit="1"/>
      <protection locked="0"/>
    </xf>
    <xf numFmtId="186" fontId="107" fillId="18" borderId="35" xfId="0" applyNumberFormat="1" applyFont="1" applyFill="1" applyBorder="1" applyAlignment="1" applyProtection="1">
      <alignment horizontal="center" vertical="center" wrapText="1" shrinkToFit="1"/>
      <protection locked="0"/>
    </xf>
    <xf numFmtId="186" fontId="107" fillId="6" borderId="35" xfId="0" applyNumberFormat="1" applyFont="1" applyFill="1" applyBorder="1" applyAlignment="1" applyProtection="1">
      <alignment horizontal="center" vertical="center" wrapText="1" shrinkToFit="1"/>
      <protection locked="0"/>
    </xf>
    <xf numFmtId="0" fontId="107" fillId="6" borderId="35" xfId="0" applyNumberFormat="1" applyFont="1" applyFill="1" applyBorder="1" applyAlignment="1" applyProtection="1">
      <alignment horizontal="center" vertical="center" wrapText="1" shrinkToFit="1"/>
      <protection locked="0"/>
    </xf>
    <xf numFmtId="179" fontId="107" fillId="0" borderId="36" xfId="0" applyNumberFormat="1" applyFont="1" applyFill="1" applyBorder="1" applyAlignment="1" applyProtection="1">
      <alignment horizontal="center" vertical="center" wrapText="1" shrinkToFit="1"/>
    </xf>
    <xf numFmtId="0" fontId="107" fillId="0" borderId="36" xfId="0" applyFont="1" applyFill="1" applyBorder="1" applyAlignment="1" applyProtection="1">
      <alignment horizontal="center" vertical="center" wrapText="1"/>
      <protection locked="0"/>
    </xf>
    <xf numFmtId="0" fontId="107" fillId="0" borderId="36" xfId="0" applyFont="1" applyFill="1" applyBorder="1" applyAlignment="1" applyProtection="1">
      <alignment horizontal="center" vertical="center" wrapText="1" shrinkToFit="1"/>
      <protection locked="0"/>
    </xf>
    <xf numFmtId="0" fontId="107" fillId="0" borderId="36" xfId="0" applyNumberFormat="1" applyFont="1" applyFill="1" applyBorder="1" applyAlignment="1" applyProtection="1">
      <alignment horizontal="center" vertical="center"/>
      <protection locked="0"/>
    </xf>
    <xf numFmtId="3" fontId="107" fillId="0" borderId="36" xfId="0" applyNumberFormat="1" applyFont="1" applyFill="1" applyBorder="1" applyAlignment="1" applyProtection="1">
      <alignment horizontal="center" vertical="center" wrapText="1" shrinkToFit="1"/>
      <protection locked="0"/>
    </xf>
    <xf numFmtId="189" fontId="107" fillId="0" borderId="36" xfId="0" applyNumberFormat="1" applyFont="1" applyFill="1" applyBorder="1" applyAlignment="1" applyProtection="1">
      <alignment horizontal="center" vertical="center" wrapText="1" shrinkToFit="1"/>
      <protection locked="0"/>
    </xf>
    <xf numFmtId="186" fontId="107" fillId="6" borderId="41" xfId="0" applyNumberFormat="1" applyFont="1" applyFill="1" applyBorder="1" applyAlignment="1" applyProtection="1">
      <alignment horizontal="center" vertical="center" wrapText="1" shrinkToFit="1"/>
      <protection locked="0"/>
    </xf>
    <xf numFmtId="0" fontId="107" fillId="0" borderId="41" xfId="0" applyNumberFormat="1" applyFont="1" applyFill="1" applyBorder="1" applyAlignment="1" applyProtection="1">
      <alignment horizontal="center" vertical="center" wrapText="1" shrinkToFit="1"/>
      <protection locked="0"/>
    </xf>
    <xf numFmtId="0" fontId="107" fillId="0" borderId="41" xfId="0" applyFont="1" applyFill="1" applyBorder="1" applyAlignment="1" applyProtection="1">
      <alignment horizontal="center" vertical="center" wrapText="1" shrinkToFit="1"/>
      <protection locked="0"/>
    </xf>
    <xf numFmtId="0" fontId="107" fillId="0" borderId="41" xfId="0" applyFont="1" applyFill="1" applyBorder="1" applyAlignment="1" applyProtection="1">
      <alignment horizontal="center" vertical="center" wrapText="1"/>
      <protection locked="0"/>
    </xf>
    <xf numFmtId="0" fontId="107" fillId="6" borderId="36" xfId="0" applyFont="1" applyFill="1" applyBorder="1" applyAlignment="1" applyProtection="1">
      <alignment horizontal="center" vertical="center" wrapText="1"/>
      <protection locked="0"/>
    </xf>
    <xf numFmtId="0" fontId="107" fillId="0" borderId="41" xfId="0" applyFont="1" applyFill="1" applyBorder="1" applyAlignment="1" applyProtection="1">
      <alignment horizontal="center" vertical="center"/>
      <protection locked="0"/>
    </xf>
    <xf numFmtId="185" fontId="107" fillId="0" borderId="41" xfId="0" applyNumberFormat="1" applyFont="1" applyFill="1" applyBorder="1" applyAlignment="1" applyProtection="1">
      <alignment horizontal="center" vertical="center" wrapText="1" shrinkToFit="1"/>
      <protection locked="0"/>
    </xf>
    <xf numFmtId="0" fontId="115" fillId="0" borderId="42" xfId="0" applyFont="1" applyBorder="1" applyAlignment="1" applyProtection="1">
      <alignment horizontal="center" vertical="center" wrapText="1" shrinkToFit="1"/>
      <protection locked="0"/>
    </xf>
    <xf numFmtId="0" fontId="107" fillId="0" borderId="1" xfId="0" applyFont="1" applyFill="1" applyBorder="1" applyAlignment="1" applyProtection="1">
      <alignment horizontal="center" vertical="center"/>
      <protection locked="0"/>
    </xf>
    <xf numFmtId="0" fontId="107" fillId="0" borderId="2" xfId="0" applyFont="1" applyFill="1" applyBorder="1" applyAlignment="1" applyProtection="1">
      <alignment horizontal="center" vertical="center"/>
      <protection locked="0"/>
    </xf>
    <xf numFmtId="189" fontId="107" fillId="0" borderId="41" xfId="0" applyNumberFormat="1" applyFont="1" applyFill="1" applyBorder="1" applyAlignment="1" applyProtection="1">
      <alignment horizontal="center" vertical="center"/>
      <protection locked="0"/>
    </xf>
    <xf numFmtId="0" fontId="107" fillId="0" borderId="36" xfId="0" applyNumberFormat="1" applyFont="1" applyFill="1" applyBorder="1" applyAlignment="1" applyProtection="1">
      <alignment horizontal="center" vertical="center" wrapText="1" shrinkToFit="1"/>
      <protection locked="0"/>
    </xf>
    <xf numFmtId="0" fontId="107" fillId="6" borderId="35" xfId="0" applyFont="1" applyFill="1" applyBorder="1" applyAlignment="1" applyProtection="1">
      <alignment horizontal="center" vertical="center" wrapText="1"/>
      <protection locked="0"/>
    </xf>
    <xf numFmtId="49" fontId="107" fillId="0" borderId="36" xfId="0" applyNumberFormat="1" applyFont="1" applyFill="1" applyBorder="1" applyAlignment="1" applyProtection="1">
      <alignment horizontal="center" vertical="center" wrapText="1" shrinkToFit="1"/>
      <protection locked="0"/>
    </xf>
    <xf numFmtId="185" fontId="107" fillId="0" borderId="36" xfId="0" applyNumberFormat="1" applyFont="1" applyFill="1" applyBorder="1" applyAlignment="1" applyProtection="1">
      <alignment horizontal="center" vertical="center" wrapText="1" shrinkToFit="1"/>
      <protection locked="0"/>
    </xf>
    <xf numFmtId="186" fontId="107" fillId="6" borderId="36" xfId="0" applyNumberFormat="1" applyFont="1" applyFill="1" applyBorder="1" applyAlignment="1" applyProtection="1">
      <alignment horizontal="center" vertical="center" wrapText="1" shrinkToFit="1"/>
      <protection locked="0"/>
    </xf>
    <xf numFmtId="0" fontId="107" fillId="17" borderId="3" xfId="0" applyFont="1" applyFill="1" applyBorder="1" applyAlignment="1" applyProtection="1">
      <alignment horizontal="center" vertical="center"/>
      <protection locked="0"/>
    </xf>
    <xf numFmtId="0" fontId="107" fillId="6" borderId="3" xfId="0" applyNumberFormat="1" applyFont="1" applyFill="1" applyBorder="1" applyAlignment="1" applyProtection="1">
      <alignment horizontal="center" vertical="center" wrapText="1"/>
      <protection locked="0"/>
    </xf>
    <xf numFmtId="0" fontId="107" fillId="0" borderId="3" xfId="0" applyFont="1" applyBorder="1" applyAlignment="1">
      <alignment horizontal="center" vertical="center"/>
    </xf>
    <xf numFmtId="186" fontId="87" fillId="6" borderId="3" xfId="0" applyNumberFormat="1" applyFont="1" applyFill="1" applyBorder="1" applyAlignment="1" applyProtection="1">
      <alignment horizontal="center" vertical="center" wrapText="1" shrinkToFit="1"/>
      <protection locked="0"/>
    </xf>
    <xf numFmtId="0" fontId="87" fillId="6" borderId="3" xfId="0" applyFont="1" applyFill="1" applyBorder="1" applyAlignment="1" applyProtection="1">
      <alignment horizontal="center" vertical="center"/>
      <protection locked="0"/>
    </xf>
    <xf numFmtId="185" fontId="87" fillId="6" borderId="3" xfId="0" applyNumberFormat="1" applyFont="1" applyFill="1" applyBorder="1" applyAlignment="1" applyProtection="1">
      <alignment horizontal="center" vertical="center" wrapText="1" shrinkToFit="1"/>
      <protection locked="0"/>
    </xf>
    <xf numFmtId="0" fontId="85" fillId="6" borderId="36" xfId="0" applyFont="1" applyFill="1" applyBorder="1" applyAlignment="1" applyProtection="1">
      <alignment horizontal="center" vertical="center" wrapText="1" shrinkToFit="1"/>
      <protection locked="0"/>
    </xf>
    <xf numFmtId="187" fontId="107" fillId="6" borderId="35" xfId="0" applyNumberFormat="1" applyFont="1" applyFill="1" applyBorder="1" applyAlignment="1" applyProtection="1">
      <alignment horizontal="center" vertical="center" wrapText="1" shrinkToFit="1"/>
      <protection locked="0"/>
    </xf>
    <xf numFmtId="0" fontId="107" fillId="6" borderId="35" xfId="0" applyFont="1" applyFill="1" applyBorder="1" applyAlignment="1" applyProtection="1">
      <alignment horizontal="center" vertical="center" wrapText="1" shrinkToFit="1"/>
      <protection locked="0"/>
    </xf>
    <xf numFmtId="0" fontId="115" fillId="19" borderId="37" xfId="0" applyFont="1" applyFill="1" applyBorder="1" applyAlignment="1" applyProtection="1">
      <alignment horizontal="center" vertical="center" wrapText="1" shrinkToFit="1"/>
      <protection locked="0"/>
    </xf>
    <xf numFmtId="0" fontId="107" fillId="15" borderId="3" xfId="0" applyNumberFormat="1" applyFont="1" applyFill="1" applyBorder="1" applyAlignment="1" applyProtection="1">
      <alignment horizontal="center" vertical="center"/>
      <protection locked="0"/>
    </xf>
    <xf numFmtId="49" fontId="107" fillId="6" borderId="3" xfId="0" applyNumberFormat="1" applyFont="1" applyFill="1" applyBorder="1" applyAlignment="1" applyProtection="1">
      <alignment horizontal="center" vertical="center" wrapText="1"/>
      <protection locked="0"/>
    </xf>
    <xf numFmtId="0" fontId="116" fillId="6" borderId="3" xfId="0" applyFont="1" applyFill="1" applyBorder="1" applyAlignment="1" applyProtection="1">
      <alignment horizontal="center" vertical="center" wrapText="1" shrinkToFit="1"/>
      <protection locked="0"/>
    </xf>
    <xf numFmtId="0" fontId="107" fillId="6" borderId="36" xfId="0" applyFont="1" applyFill="1" applyBorder="1" applyAlignment="1" applyProtection="1">
      <alignment horizontal="center" vertical="center"/>
      <protection locked="0"/>
    </xf>
    <xf numFmtId="185" fontId="107" fillId="6" borderId="35" xfId="0" applyNumberFormat="1" applyFont="1" applyFill="1" applyBorder="1" applyAlignment="1" applyProtection="1">
      <alignment horizontal="center" vertical="center" wrapText="1" shrinkToFit="1"/>
      <protection locked="0"/>
    </xf>
    <xf numFmtId="189" fontId="107" fillId="6" borderId="3" xfId="0" applyNumberFormat="1" applyFont="1" applyFill="1" applyBorder="1" applyAlignment="1" applyProtection="1">
      <alignment horizontal="center" vertical="center" wrapText="1" shrinkToFit="1"/>
      <protection locked="0"/>
    </xf>
    <xf numFmtId="0" fontId="107" fillId="0" borderId="0" xfId="0" applyNumberFormat="1" applyFont="1" applyFill="1" applyBorder="1" applyAlignment="1" applyProtection="1">
      <alignment horizontal="center" vertical="center" wrapText="1" shrinkToFit="1"/>
      <protection locked="0"/>
    </xf>
    <xf numFmtId="191" fontId="107" fillId="0" borderId="3" xfId="0" applyNumberFormat="1" applyFont="1" applyFill="1" applyBorder="1" applyAlignment="1" applyProtection="1">
      <alignment horizontal="center" vertical="center" wrapText="1"/>
      <protection locked="0"/>
    </xf>
    <xf numFmtId="0" fontId="107" fillId="17" borderId="3" xfId="0" applyNumberFormat="1" applyFont="1" applyFill="1" applyBorder="1" applyAlignment="1" applyProtection="1">
      <alignment horizontal="center" vertical="center" wrapText="1" shrinkToFit="1"/>
      <protection locked="0"/>
    </xf>
    <xf numFmtId="49" fontId="107" fillId="6" borderId="36" xfId="0" applyNumberFormat="1" applyFont="1" applyFill="1" applyBorder="1" applyAlignment="1" applyProtection="1">
      <alignment horizontal="center" vertical="center" wrapText="1" shrinkToFit="1"/>
      <protection locked="0"/>
    </xf>
    <xf numFmtId="3" fontId="107" fillId="6" borderId="36" xfId="0" applyNumberFormat="1" applyFont="1" applyFill="1" applyBorder="1" applyAlignment="1" applyProtection="1">
      <alignment horizontal="center" vertical="center" wrapText="1" shrinkToFit="1"/>
      <protection locked="0"/>
    </xf>
    <xf numFmtId="0" fontId="107" fillId="6" borderId="36" xfId="0" applyFont="1" applyFill="1" applyBorder="1" applyAlignment="1" applyProtection="1">
      <alignment horizontal="center" vertical="center" wrapText="1" shrinkToFit="1"/>
      <protection locked="0"/>
    </xf>
    <xf numFmtId="189" fontId="107" fillId="6" borderId="36" xfId="0" applyNumberFormat="1" applyFont="1" applyFill="1" applyBorder="1" applyAlignment="1" applyProtection="1">
      <alignment horizontal="center" vertical="center" wrapText="1" shrinkToFit="1"/>
      <protection locked="0"/>
    </xf>
    <xf numFmtId="0" fontId="107" fillId="6" borderId="36" xfId="0" applyNumberFormat="1" applyFont="1" applyFill="1" applyBorder="1" applyAlignment="1" applyProtection="1">
      <alignment horizontal="center" vertical="center" wrapText="1" shrinkToFit="1"/>
      <protection locked="0"/>
    </xf>
    <xf numFmtId="0" fontId="107" fillId="17" borderId="36" xfId="0" applyFont="1" applyFill="1" applyBorder="1" applyAlignment="1" applyProtection="1">
      <alignment horizontal="center" vertical="center" wrapText="1"/>
      <protection locked="0"/>
    </xf>
    <xf numFmtId="49" fontId="107" fillId="0" borderId="3" xfId="0" applyNumberFormat="1" applyFont="1" applyBorder="1" applyAlignment="1" applyProtection="1">
      <alignment horizontal="center" vertical="center" wrapText="1" shrinkToFit="1"/>
      <protection locked="0"/>
    </xf>
    <xf numFmtId="0" fontId="113" fillId="0" borderId="3" xfId="0" applyFont="1" applyFill="1" applyBorder="1" applyAlignment="1" applyProtection="1">
      <alignment horizontal="center" vertical="center" wrapText="1" shrinkToFit="1"/>
      <protection locked="0"/>
    </xf>
    <xf numFmtId="187" fontId="107" fillId="0" borderId="36" xfId="0" applyNumberFormat="1" applyFont="1" applyFill="1" applyBorder="1" applyAlignment="1" applyProtection="1">
      <alignment horizontal="center" vertical="center" wrapText="1" shrinkToFit="1"/>
      <protection locked="0"/>
    </xf>
    <xf numFmtId="191" fontId="107" fillId="0" borderId="36" xfId="0" applyNumberFormat="1" applyFont="1" applyFill="1" applyBorder="1" applyAlignment="1" applyProtection="1">
      <alignment horizontal="center" vertical="center" wrapText="1" shrinkToFit="1"/>
      <protection locked="0"/>
    </xf>
    <xf numFmtId="49" fontId="107" fillId="6" borderId="35" xfId="0" applyNumberFormat="1" applyFont="1" applyFill="1" applyBorder="1" applyAlignment="1" applyProtection="1">
      <alignment horizontal="center" vertical="center" wrapText="1" shrinkToFit="1"/>
      <protection locked="0"/>
    </xf>
    <xf numFmtId="3" fontId="107" fillId="6" borderId="35" xfId="0" applyNumberFormat="1" applyFont="1" applyFill="1" applyBorder="1" applyAlignment="1" applyProtection="1">
      <alignment horizontal="center" vertical="center" wrapText="1" shrinkToFit="1"/>
      <protection locked="0"/>
    </xf>
    <xf numFmtId="0" fontId="116" fillId="6" borderId="3" xfId="0" applyNumberFormat="1" applyFont="1" applyFill="1" applyBorder="1" applyAlignment="1" applyProtection="1">
      <alignment horizontal="center" vertical="center" shrinkToFit="1"/>
      <protection locked="0"/>
    </xf>
    <xf numFmtId="187" fontId="107" fillId="17" borderId="3" xfId="0" applyNumberFormat="1" applyFont="1" applyFill="1" applyBorder="1" applyAlignment="1" applyProtection="1">
      <alignment horizontal="center" vertical="center" wrapText="1" shrinkToFit="1"/>
      <protection locked="0"/>
    </xf>
    <xf numFmtId="189" fontId="107" fillId="0" borderId="36" xfId="0" applyNumberFormat="1" applyFont="1" applyFill="1" applyBorder="1" applyAlignment="1" applyProtection="1">
      <alignment horizontal="center" vertical="center"/>
      <protection locked="0"/>
    </xf>
    <xf numFmtId="179" fontId="86" fillId="0" borderId="3" xfId="0" applyNumberFormat="1" applyFont="1" applyFill="1" applyBorder="1" applyAlignment="1" applyProtection="1">
      <alignment horizontal="center" vertical="center" wrapText="1" shrinkToFit="1"/>
    </xf>
    <xf numFmtId="0" fontId="86" fillId="0" borderId="3" xfId="0" applyFont="1" applyFill="1" applyBorder="1" applyAlignment="1" applyProtection="1">
      <alignment horizontal="center" vertical="center" wrapText="1"/>
      <protection locked="0"/>
    </xf>
    <xf numFmtId="0" fontId="86" fillId="0" borderId="3" xfId="0" applyNumberFormat="1" applyFont="1" applyFill="1" applyBorder="1" applyAlignment="1" applyProtection="1">
      <alignment horizontal="center" vertical="center"/>
      <protection locked="0"/>
    </xf>
    <xf numFmtId="3" fontId="86" fillId="0" borderId="3" xfId="0" applyNumberFormat="1" applyFont="1" applyFill="1" applyBorder="1" applyAlignment="1" applyProtection="1">
      <alignment horizontal="center" vertical="center" wrapText="1" shrinkToFit="1"/>
      <protection locked="0"/>
    </xf>
    <xf numFmtId="189" fontId="86" fillId="0" borderId="3" xfId="0" applyNumberFormat="1" applyFont="1" applyFill="1" applyBorder="1" applyAlignment="1" applyProtection="1">
      <alignment horizontal="center" vertical="center" wrapText="1" shrinkToFit="1"/>
      <protection locked="0"/>
    </xf>
    <xf numFmtId="186" fontId="86" fillId="6" borderId="3" xfId="0" applyNumberFormat="1" applyFont="1" applyFill="1" applyBorder="1" applyAlignment="1" applyProtection="1">
      <alignment horizontal="center" vertical="center" wrapText="1" shrinkToFit="1"/>
      <protection locked="0"/>
    </xf>
    <xf numFmtId="186" fontId="86" fillId="18" borderId="3" xfId="0" applyNumberFormat="1" applyFont="1" applyFill="1" applyBorder="1" applyAlignment="1" applyProtection="1">
      <alignment horizontal="center" vertical="center" wrapText="1" shrinkToFit="1"/>
      <protection locked="0"/>
    </xf>
    <xf numFmtId="0" fontId="86" fillId="0" borderId="36" xfId="0" applyFont="1" applyFill="1" applyBorder="1" applyAlignment="1" applyProtection="1">
      <alignment horizontal="center" vertical="center" wrapText="1" shrinkToFit="1"/>
      <protection locked="0"/>
    </xf>
    <xf numFmtId="58" fontId="86" fillId="0" borderId="3" xfId="0" applyNumberFormat="1" applyFont="1" applyFill="1" applyBorder="1" applyAlignment="1" applyProtection="1">
      <alignment horizontal="center" vertical="center" wrapText="1" shrinkToFit="1"/>
      <protection locked="0"/>
    </xf>
    <xf numFmtId="187" fontId="86" fillId="0" borderId="3" xfId="0" applyNumberFormat="1" applyFont="1" applyFill="1" applyBorder="1" applyAlignment="1" applyProtection="1">
      <alignment horizontal="center" vertical="center" wrapText="1" shrinkToFit="1"/>
      <protection locked="0"/>
    </xf>
    <xf numFmtId="0" fontId="117" fillId="0" borderId="36" xfId="0" applyFont="1" applyBorder="1" applyAlignment="1" applyProtection="1">
      <alignment horizontal="center" vertical="center" wrapText="1" shrinkToFit="1"/>
      <protection locked="0"/>
    </xf>
    <xf numFmtId="0" fontId="86" fillId="0" borderId="5" xfId="0" applyFont="1" applyFill="1" applyBorder="1" applyAlignment="1" applyProtection="1">
      <alignment horizontal="center" vertical="center"/>
      <protection locked="0"/>
    </xf>
    <xf numFmtId="0" fontId="86" fillId="0" borderId="7" xfId="0" applyFont="1" applyFill="1" applyBorder="1" applyAlignment="1" applyProtection="1">
      <alignment horizontal="center" vertical="center"/>
      <protection locked="0"/>
    </xf>
    <xf numFmtId="189" fontId="86" fillId="0" borderId="3" xfId="0" applyNumberFormat="1" applyFont="1" applyFill="1" applyBorder="1" applyAlignment="1" applyProtection="1">
      <alignment horizontal="center" vertical="center"/>
      <protection locked="0"/>
    </xf>
    <xf numFmtId="0" fontId="87" fillId="0" borderId="35" xfId="0" applyNumberFormat="1" applyFont="1" applyFill="1" applyBorder="1" applyAlignment="1" applyProtection="1">
      <alignment horizontal="center" vertical="center" wrapText="1"/>
      <protection locked="0"/>
    </xf>
    <xf numFmtId="182" fontId="87" fillId="0" borderId="35" xfId="0" applyNumberFormat="1" applyFont="1" applyFill="1" applyBorder="1" applyAlignment="1" applyProtection="1">
      <alignment horizontal="center" vertical="center" wrapText="1"/>
      <protection locked="0"/>
    </xf>
    <xf numFmtId="0" fontId="4" fillId="0" borderId="35" xfId="0" applyNumberFormat="1" applyFont="1" applyFill="1" applyBorder="1" applyAlignment="1" applyProtection="1">
      <alignment horizontal="center" vertical="center" shrinkToFit="1"/>
      <protection locked="0"/>
    </xf>
    <xf numFmtId="0" fontId="4" fillId="0" borderId="35" xfId="0" applyFont="1" applyFill="1" applyBorder="1" applyAlignment="1" applyProtection="1">
      <alignment horizontal="center" vertical="center" wrapText="1" shrinkToFit="1"/>
      <protection locked="0"/>
    </xf>
    <xf numFmtId="3" fontId="4" fillId="0" borderId="35" xfId="0" applyNumberFormat="1" applyFont="1" applyFill="1" applyBorder="1" applyAlignment="1" applyProtection="1">
      <alignment horizontal="center" vertical="center"/>
      <protection locked="0"/>
    </xf>
    <xf numFmtId="0" fontId="4" fillId="0" borderId="35" xfId="0" applyFont="1" applyFill="1" applyBorder="1" applyAlignment="1" applyProtection="1">
      <alignment horizontal="center" vertical="center"/>
      <protection locked="0"/>
    </xf>
    <xf numFmtId="186" fontId="79" fillId="6" borderId="35" xfId="0" applyNumberFormat="1" applyFont="1" applyFill="1" applyBorder="1" applyAlignment="1" applyProtection="1">
      <alignment horizontal="center" vertical="center" wrapText="1" shrinkToFit="1"/>
      <protection locked="0"/>
    </xf>
    <xf numFmtId="0" fontId="87" fillId="0" borderId="35" xfId="0" applyFont="1" applyFill="1" applyBorder="1" applyAlignment="1" applyProtection="1">
      <alignment horizontal="center" vertical="center" wrapText="1"/>
      <protection locked="0"/>
    </xf>
    <xf numFmtId="0" fontId="87" fillId="18" borderId="3" xfId="0" applyFont="1" applyFill="1" applyBorder="1" applyAlignment="1" applyProtection="1">
      <alignment horizontal="center" vertical="center"/>
      <protection locked="0"/>
    </xf>
    <xf numFmtId="189" fontId="87" fillId="0" borderId="3" xfId="0" applyNumberFormat="1" applyFont="1" applyFill="1" applyBorder="1" applyAlignment="1" applyProtection="1">
      <alignment horizontal="center" vertical="center"/>
      <protection locked="0"/>
    </xf>
    <xf numFmtId="0" fontId="79" fillId="18" borderId="3" xfId="0" applyFont="1" applyFill="1" applyBorder="1" applyAlignment="1" applyProtection="1">
      <alignment horizontal="center" vertical="center"/>
      <protection locked="0"/>
    </xf>
    <xf numFmtId="0" fontId="87" fillId="0" borderId="3" xfId="0" applyNumberFormat="1" applyFont="1" applyFill="1" applyBorder="1" applyAlignment="1" applyProtection="1">
      <alignment horizontal="center" vertical="center" wrapText="1"/>
      <protection locked="0"/>
    </xf>
    <xf numFmtId="182" fontId="87" fillId="0" borderId="3" xfId="0" applyNumberFormat="1" applyFont="1" applyFill="1" applyBorder="1" applyAlignment="1" applyProtection="1">
      <alignment horizontal="center" vertical="center" wrapText="1"/>
      <protection locked="0"/>
    </xf>
    <xf numFmtId="0" fontId="4" fillId="0" borderId="3" xfId="0" applyNumberFormat="1" applyFont="1" applyFill="1" applyBorder="1" applyAlignment="1" applyProtection="1">
      <alignment horizontal="center" vertical="center" shrinkToFit="1"/>
      <protection locked="0"/>
    </xf>
    <xf numFmtId="0" fontId="4" fillId="0" borderId="3" xfId="0" applyFont="1" applyFill="1" applyBorder="1" applyAlignment="1" applyProtection="1">
      <alignment horizontal="center" vertical="center" wrapText="1" shrinkToFit="1"/>
      <protection locked="0"/>
    </xf>
    <xf numFmtId="3" fontId="4" fillId="0" borderId="3" xfId="0" applyNumberFormat="1" applyFont="1" applyFill="1" applyBorder="1" applyAlignment="1" applyProtection="1">
      <alignment horizontal="center" vertical="center"/>
      <protection locked="0"/>
    </xf>
    <xf numFmtId="0" fontId="4" fillId="0" borderId="3" xfId="0" applyFont="1" applyFill="1" applyBorder="1" applyAlignment="1" applyProtection="1">
      <alignment horizontal="center" vertical="center"/>
      <protection locked="0"/>
    </xf>
    <xf numFmtId="192" fontId="87" fillId="0" borderId="3" xfId="0" applyNumberFormat="1" applyFont="1" applyFill="1" applyBorder="1" applyAlignment="1" applyProtection="1">
      <alignment horizontal="center" vertical="center" wrapText="1" shrinkToFit="1"/>
      <protection locked="0"/>
    </xf>
    <xf numFmtId="0" fontId="107" fillId="15" borderId="35" xfId="0" applyNumberFormat="1" applyFont="1" applyFill="1" applyBorder="1" applyAlignment="1" applyProtection="1">
      <alignment horizontal="center" vertical="center"/>
      <protection locked="0"/>
    </xf>
    <xf numFmtId="189" fontId="107" fillId="6" borderId="3" xfId="0" applyNumberFormat="1" applyFont="1" applyFill="1" applyBorder="1" applyAlignment="1" applyProtection="1">
      <alignment horizontal="center" vertical="center"/>
      <protection locked="0"/>
    </xf>
    <xf numFmtId="186" fontId="79" fillId="18" borderId="3" xfId="0" applyNumberFormat="1" applyFont="1" applyFill="1" applyBorder="1" applyAlignment="1" applyProtection="1">
      <alignment horizontal="center" vertical="center" wrapText="1" shrinkToFit="1"/>
      <protection locked="0"/>
    </xf>
    <xf numFmtId="58" fontId="86" fillId="0" borderId="35" xfId="0" applyNumberFormat="1" applyFont="1" applyFill="1" applyBorder="1" applyAlignment="1" applyProtection="1">
      <alignment horizontal="center" vertical="center" wrapText="1" shrinkToFit="1"/>
      <protection locked="0"/>
    </xf>
    <xf numFmtId="187" fontId="86" fillId="0" borderId="35" xfId="0" applyNumberFormat="1" applyFont="1" applyFill="1" applyBorder="1" applyAlignment="1" applyProtection="1">
      <alignment horizontal="center" vertical="center" wrapText="1" shrinkToFit="1"/>
      <protection locked="0"/>
    </xf>
    <xf numFmtId="0" fontId="86" fillId="6" borderId="3" xfId="0" applyFont="1" applyFill="1" applyBorder="1" applyAlignment="1" applyProtection="1">
      <alignment horizontal="center" vertical="center" wrapText="1"/>
      <protection locked="0"/>
    </xf>
    <xf numFmtId="0" fontId="87" fillId="0" borderId="35" xfId="0" applyFont="1" applyFill="1" applyBorder="1" applyAlignment="1" applyProtection="1">
      <alignment horizontal="center" vertical="center" wrapText="1" shrinkToFit="1"/>
      <protection locked="0"/>
    </xf>
    <xf numFmtId="0" fontId="87" fillId="0" borderId="35" xfId="0" applyNumberFormat="1" applyFont="1" applyFill="1" applyBorder="1" applyAlignment="1" applyProtection="1">
      <alignment horizontal="center" vertical="center"/>
      <protection locked="0"/>
    </xf>
    <xf numFmtId="0" fontId="87" fillId="0" borderId="35" xfId="0" applyNumberFormat="1" applyFont="1" applyFill="1" applyBorder="1" applyAlignment="1" applyProtection="1">
      <alignment horizontal="center" vertical="center" wrapText="1" shrinkToFit="1"/>
      <protection locked="0"/>
    </xf>
    <xf numFmtId="0" fontId="87" fillId="0" borderId="35" xfId="0" applyFont="1" applyFill="1" applyBorder="1" applyAlignment="1" applyProtection="1">
      <alignment horizontal="center" vertical="center"/>
      <protection locked="0"/>
    </xf>
    <xf numFmtId="49" fontId="87" fillId="0" borderId="35" xfId="0" applyNumberFormat="1" applyFont="1" applyFill="1" applyBorder="1" applyAlignment="1" applyProtection="1">
      <alignment horizontal="center" vertical="center" wrapText="1" shrinkToFit="1"/>
      <protection locked="0"/>
    </xf>
    <xf numFmtId="3" fontId="87" fillId="0" borderId="35" xfId="0" applyNumberFormat="1" applyFont="1" applyFill="1" applyBorder="1" applyAlignment="1" applyProtection="1">
      <alignment horizontal="center" vertical="center" wrapText="1" shrinkToFit="1"/>
      <protection locked="0"/>
    </xf>
    <xf numFmtId="186" fontId="87" fillId="6" borderId="35" xfId="0" applyNumberFormat="1" applyFont="1" applyFill="1" applyBorder="1" applyAlignment="1" applyProtection="1">
      <alignment horizontal="center" vertical="center" wrapText="1" shrinkToFit="1"/>
      <protection locked="0"/>
    </xf>
    <xf numFmtId="0" fontId="107" fillId="15" borderId="35" xfId="0" applyFont="1" applyFill="1" applyBorder="1" applyAlignment="1" applyProtection="1">
      <alignment horizontal="center" vertical="center"/>
      <protection locked="0"/>
    </xf>
    <xf numFmtId="0" fontId="107" fillId="15" borderId="3" xfId="0" applyFont="1" applyFill="1" applyBorder="1" applyAlignment="1" applyProtection="1">
      <alignment horizontal="center" vertical="center"/>
      <protection locked="0"/>
    </xf>
    <xf numFmtId="0" fontId="79" fillId="6" borderId="3" xfId="0" applyFont="1" applyFill="1" applyBorder="1" applyAlignment="1" applyProtection="1">
      <alignment horizontal="center" vertical="center" wrapText="1"/>
      <protection locked="0"/>
    </xf>
    <xf numFmtId="186" fontId="86" fillId="0" borderId="35" xfId="0" applyNumberFormat="1" applyFont="1" applyFill="1" applyBorder="1" applyAlignment="1" applyProtection="1">
      <alignment horizontal="center" vertical="center" wrapText="1" shrinkToFit="1"/>
      <protection locked="0"/>
    </xf>
    <xf numFmtId="0" fontId="79" fillId="0" borderId="3" xfId="0" applyNumberFormat="1" applyFont="1" applyFill="1" applyBorder="1" applyAlignment="1" applyProtection="1">
      <alignment horizontal="center" vertical="center"/>
      <protection locked="0"/>
    </xf>
    <xf numFmtId="191" fontId="79" fillId="0" borderId="3" xfId="0" applyNumberFormat="1" applyFont="1" applyFill="1" applyBorder="1" applyAlignment="1" applyProtection="1">
      <alignment horizontal="center" vertical="center" wrapText="1" shrinkToFit="1"/>
      <protection locked="0"/>
    </xf>
    <xf numFmtId="0" fontId="86" fillId="0" borderId="35" xfId="0" applyFont="1" applyFill="1" applyBorder="1" applyAlignment="1" applyProtection="1">
      <alignment horizontal="center" vertical="center" wrapText="1"/>
      <protection locked="0"/>
    </xf>
    <xf numFmtId="0" fontId="86" fillId="0" borderId="35" xfId="0" applyFont="1" applyFill="1" applyBorder="1" applyAlignment="1" applyProtection="1">
      <alignment horizontal="center" vertical="center" wrapText="1" shrinkToFit="1"/>
      <protection locked="0"/>
    </xf>
    <xf numFmtId="0" fontId="86" fillId="15" borderId="35" xfId="0" applyFont="1" applyFill="1" applyBorder="1" applyAlignment="1" applyProtection="1">
      <alignment horizontal="center" vertical="center"/>
      <protection locked="0"/>
    </xf>
    <xf numFmtId="0" fontId="86" fillId="0" borderId="35" xfId="0" applyFont="1" applyFill="1" applyBorder="1" applyAlignment="1" applyProtection="1">
      <alignment horizontal="center" vertical="center"/>
      <protection locked="0"/>
    </xf>
    <xf numFmtId="49" fontId="86" fillId="0" borderId="35" xfId="0" applyNumberFormat="1" applyFont="1" applyFill="1" applyBorder="1" applyAlignment="1" applyProtection="1">
      <alignment horizontal="center" vertical="center" wrapText="1" shrinkToFit="1"/>
      <protection locked="0"/>
    </xf>
    <xf numFmtId="3" fontId="86" fillId="0" borderId="35" xfId="0" applyNumberFormat="1" applyFont="1" applyFill="1" applyBorder="1" applyAlignment="1" applyProtection="1">
      <alignment horizontal="center" vertical="center" wrapText="1" shrinkToFit="1"/>
      <protection locked="0"/>
    </xf>
    <xf numFmtId="0" fontId="86" fillId="6" borderId="35" xfId="0" applyFont="1" applyFill="1" applyBorder="1" applyAlignment="1" applyProtection="1">
      <alignment horizontal="center" vertical="center" wrapText="1"/>
      <protection locked="0"/>
    </xf>
    <xf numFmtId="0" fontId="87" fillId="0" borderId="36" xfId="0" applyFont="1" applyFill="1" applyBorder="1" applyAlignment="1" applyProtection="1">
      <alignment horizontal="center" vertical="center" wrapText="1" shrinkToFit="1"/>
      <protection locked="0"/>
    </xf>
    <xf numFmtId="0" fontId="12" fillId="0" borderId="0" xfId="0" applyFont="1" applyFill="1" applyBorder="1" applyAlignment="1" applyProtection="1">
      <alignment horizontal="center" vertical="center"/>
      <protection locked="0"/>
    </xf>
    <xf numFmtId="0" fontId="85" fillId="20" borderId="36" xfId="0" applyFont="1" applyFill="1" applyBorder="1" applyAlignment="1" applyProtection="1">
      <alignment horizontal="center" vertical="center" wrapText="1" shrinkToFit="1"/>
      <protection locked="0"/>
    </xf>
    <xf numFmtId="0" fontId="86" fillId="0" borderId="35" xfId="0" applyNumberFormat="1" applyFont="1" applyFill="1" applyBorder="1" applyAlignment="1" applyProtection="1">
      <alignment horizontal="center" vertical="center"/>
      <protection locked="0"/>
    </xf>
    <xf numFmtId="186" fontId="86" fillId="6" borderId="35" xfId="0" applyNumberFormat="1" applyFont="1" applyFill="1" applyBorder="1" applyAlignment="1" applyProtection="1">
      <alignment horizontal="center" vertical="center" wrapText="1" shrinkToFit="1"/>
      <protection locked="0"/>
    </xf>
    <xf numFmtId="0" fontId="116" fillId="15" borderId="3" xfId="0" applyNumberFormat="1" applyFont="1" applyFill="1" applyBorder="1" applyAlignment="1" applyProtection="1">
      <alignment horizontal="center" vertical="center" shrinkToFit="1"/>
      <protection locked="0"/>
    </xf>
    <xf numFmtId="0" fontId="107" fillId="0" borderId="35" xfId="0" applyNumberFormat="1" applyFont="1" applyFill="1" applyBorder="1" applyAlignment="1" applyProtection="1">
      <alignment horizontal="center" vertical="center" wrapText="1"/>
      <protection locked="0"/>
    </xf>
    <xf numFmtId="182" fontId="107" fillId="0" borderId="35" xfId="0" applyNumberFormat="1" applyFont="1" applyFill="1" applyBorder="1" applyAlignment="1" applyProtection="1">
      <alignment horizontal="center" vertical="center" wrapText="1"/>
      <protection locked="0"/>
    </xf>
    <xf numFmtId="0" fontId="116" fillId="15" borderId="35" xfId="0" applyNumberFormat="1" applyFont="1" applyFill="1" applyBorder="1" applyAlignment="1" applyProtection="1">
      <alignment horizontal="center" vertical="center" shrinkToFit="1"/>
      <protection locked="0"/>
    </xf>
    <xf numFmtId="49" fontId="107" fillId="0" borderId="35" xfId="0" applyNumberFormat="1" applyFont="1" applyFill="1" applyBorder="1" applyAlignment="1" applyProtection="1">
      <alignment horizontal="center" vertical="center" wrapText="1"/>
      <protection locked="0"/>
    </xf>
    <xf numFmtId="0" fontId="116" fillId="0" borderId="35" xfId="0" applyNumberFormat="1" applyFont="1" applyFill="1" applyBorder="1" applyAlignment="1" applyProtection="1">
      <alignment horizontal="center" vertical="center" shrinkToFit="1"/>
      <protection locked="0"/>
    </xf>
    <xf numFmtId="0" fontId="116" fillId="0" borderId="35" xfId="0" applyFont="1" applyFill="1" applyBorder="1" applyAlignment="1" applyProtection="1">
      <alignment horizontal="center" vertical="center" wrapText="1" shrinkToFit="1"/>
      <protection locked="0"/>
    </xf>
    <xf numFmtId="3" fontId="116" fillId="0" borderId="35" xfId="0" applyNumberFormat="1" applyFont="1" applyFill="1" applyBorder="1" applyAlignment="1" applyProtection="1">
      <alignment horizontal="center" vertical="center"/>
      <protection locked="0"/>
    </xf>
    <xf numFmtId="0" fontId="116" fillId="0" borderId="35" xfId="0" applyFont="1" applyFill="1" applyBorder="1" applyAlignment="1" applyProtection="1">
      <alignment horizontal="center" vertical="center"/>
      <protection locked="0"/>
    </xf>
    <xf numFmtId="192" fontId="107" fillId="0" borderId="35" xfId="0" applyNumberFormat="1" applyFont="1" applyFill="1" applyBorder="1" applyAlignment="1" applyProtection="1">
      <alignment horizontal="center" vertical="center" wrapText="1" shrinkToFit="1"/>
      <protection locked="0"/>
    </xf>
    <xf numFmtId="0" fontId="87" fillId="0" borderId="0" xfId="0" applyFont="1" applyFill="1" applyBorder="1" applyAlignment="1" applyProtection="1">
      <alignment horizontal="center" vertical="center" wrapText="1" shrinkToFit="1"/>
      <protection locked="0"/>
    </xf>
    <xf numFmtId="192" fontId="107" fillId="6" borderId="35" xfId="0" applyNumberFormat="1" applyFont="1" applyFill="1" applyBorder="1" applyAlignment="1" applyProtection="1">
      <alignment horizontal="center" vertical="center" wrapText="1" shrinkToFit="1"/>
      <protection locked="0"/>
    </xf>
    <xf numFmtId="193" fontId="116" fillId="6" borderId="3" xfId="0" applyNumberFormat="1" applyFont="1" applyFill="1" applyBorder="1" applyAlignment="1" applyProtection="1">
      <alignment horizontal="center" vertical="center"/>
      <protection locked="0"/>
    </xf>
    <xf numFmtId="0" fontId="107" fillId="0" borderId="36" xfId="0" applyNumberFormat="1" applyFont="1" applyFill="1" applyBorder="1" applyAlignment="1" applyProtection="1">
      <alignment horizontal="center" vertical="center" wrapText="1"/>
      <protection locked="0"/>
    </xf>
    <xf numFmtId="182" fontId="107" fillId="0" borderId="36" xfId="0" applyNumberFormat="1" applyFont="1" applyFill="1" applyBorder="1" applyAlignment="1" applyProtection="1">
      <alignment horizontal="center" vertical="center" wrapText="1"/>
      <protection locked="0"/>
    </xf>
    <xf numFmtId="0" fontId="116" fillId="0" borderId="36" xfId="0" applyNumberFormat="1" applyFont="1" applyFill="1" applyBorder="1" applyAlignment="1" applyProtection="1">
      <alignment horizontal="center" vertical="center" shrinkToFit="1"/>
      <protection locked="0"/>
    </xf>
    <xf numFmtId="49" fontId="107" fillId="0" borderId="36" xfId="0" applyNumberFormat="1" applyFont="1" applyFill="1" applyBorder="1" applyAlignment="1" applyProtection="1">
      <alignment horizontal="center" vertical="center" wrapText="1"/>
      <protection locked="0"/>
    </xf>
    <xf numFmtId="0" fontId="116" fillId="0" borderId="36" xfId="0" applyFont="1" applyFill="1" applyBorder="1" applyAlignment="1" applyProtection="1">
      <alignment horizontal="center" vertical="center" wrapText="1" shrinkToFit="1"/>
      <protection locked="0"/>
    </xf>
    <xf numFmtId="3" fontId="116" fillId="0" borderId="36" xfId="0" applyNumberFormat="1" applyFont="1" applyFill="1" applyBorder="1" applyAlignment="1" applyProtection="1">
      <alignment horizontal="center" vertical="center"/>
      <protection locked="0"/>
    </xf>
    <xf numFmtId="0" fontId="116" fillId="0" borderId="36" xfId="0" applyFont="1" applyFill="1" applyBorder="1" applyAlignment="1" applyProtection="1">
      <alignment horizontal="center" vertical="center"/>
      <protection locked="0"/>
    </xf>
    <xf numFmtId="192" fontId="107" fillId="6" borderId="36" xfId="0" applyNumberFormat="1" applyFont="1" applyFill="1" applyBorder="1" applyAlignment="1" applyProtection="1">
      <alignment horizontal="center" vertical="center" wrapText="1" shrinkToFit="1"/>
      <protection locked="0"/>
    </xf>
    <xf numFmtId="193" fontId="116" fillId="6" borderId="36" xfId="0" applyNumberFormat="1" applyFont="1" applyFill="1" applyBorder="1" applyAlignment="1" applyProtection="1">
      <alignment horizontal="center" vertical="center"/>
      <protection locked="0"/>
    </xf>
    <xf numFmtId="185" fontId="107" fillId="6" borderId="36" xfId="0" applyNumberFormat="1" applyFont="1" applyFill="1" applyBorder="1" applyAlignment="1" applyProtection="1">
      <alignment horizontal="center" vertical="center" wrapText="1" shrinkToFit="1"/>
      <protection locked="0"/>
    </xf>
    <xf numFmtId="0" fontId="79" fillId="17" borderId="35" xfId="0" applyFont="1" applyFill="1" applyBorder="1" applyAlignment="1" applyProtection="1">
      <alignment horizontal="center" vertical="center" wrapText="1"/>
      <protection locked="0"/>
    </xf>
    <xf numFmtId="191" fontId="87" fillId="0" borderId="3" xfId="0" applyNumberFormat="1" applyFont="1" applyFill="1" applyBorder="1" applyAlignment="1" applyProtection="1">
      <alignment horizontal="center" vertical="center" wrapText="1"/>
      <protection locked="0"/>
    </xf>
    <xf numFmtId="179" fontId="86" fillId="0" borderId="36" xfId="0" applyNumberFormat="1" applyFont="1" applyFill="1" applyBorder="1" applyAlignment="1" applyProtection="1">
      <alignment horizontal="center" vertical="center" wrapText="1" shrinkToFit="1"/>
    </xf>
    <xf numFmtId="0" fontId="86" fillId="0" borderId="36" xfId="0" applyFont="1" applyFill="1" applyBorder="1" applyAlignment="1" applyProtection="1">
      <alignment horizontal="center" vertical="center" wrapText="1"/>
      <protection locked="0"/>
    </xf>
    <xf numFmtId="0" fontId="86" fillId="0" borderId="36" xfId="0" applyNumberFormat="1" applyFont="1" applyFill="1" applyBorder="1" applyAlignment="1" applyProtection="1">
      <alignment horizontal="center" vertical="center"/>
      <protection locked="0"/>
    </xf>
    <xf numFmtId="49" fontId="86" fillId="0" borderId="36" xfId="0" applyNumberFormat="1" applyFont="1" applyFill="1" applyBorder="1" applyAlignment="1" applyProtection="1">
      <alignment horizontal="center" vertical="center" wrapText="1" shrinkToFit="1"/>
      <protection locked="0"/>
    </xf>
    <xf numFmtId="3" fontId="86" fillId="0" borderId="36" xfId="0" applyNumberFormat="1" applyFont="1" applyFill="1" applyBorder="1" applyAlignment="1" applyProtection="1">
      <alignment horizontal="center" vertical="center" wrapText="1" shrinkToFit="1"/>
      <protection locked="0"/>
    </xf>
    <xf numFmtId="189" fontId="86" fillId="0" borderId="36" xfId="0" applyNumberFormat="1" applyFont="1" applyFill="1" applyBorder="1" applyAlignment="1" applyProtection="1">
      <alignment horizontal="center" vertical="center" wrapText="1" shrinkToFit="1"/>
      <protection locked="0"/>
    </xf>
    <xf numFmtId="186" fontId="86" fillId="0" borderId="36" xfId="0" applyNumberFormat="1" applyFont="1" applyFill="1" applyBorder="1" applyAlignment="1" applyProtection="1">
      <alignment horizontal="center" vertical="center" wrapText="1" shrinkToFit="1"/>
      <protection locked="0"/>
    </xf>
    <xf numFmtId="186" fontId="86" fillId="6" borderId="36" xfId="0" applyNumberFormat="1" applyFont="1" applyFill="1" applyBorder="1" applyAlignment="1" applyProtection="1">
      <alignment horizontal="center" vertical="center" wrapText="1" shrinkToFit="1"/>
      <protection locked="0"/>
    </xf>
    <xf numFmtId="0" fontId="86" fillId="0" borderId="36" xfId="0" applyNumberFormat="1" applyFont="1" applyFill="1" applyBorder="1" applyAlignment="1" applyProtection="1">
      <alignment horizontal="center" vertical="center" wrapText="1" shrinkToFit="1"/>
      <protection locked="0"/>
    </xf>
    <xf numFmtId="185" fontId="86" fillId="0" borderId="36" xfId="0" applyNumberFormat="1" applyFont="1" applyFill="1" applyBorder="1" applyAlignment="1" applyProtection="1">
      <alignment horizontal="center" vertical="center" wrapText="1" shrinkToFit="1"/>
      <protection locked="0"/>
    </xf>
    <xf numFmtId="0" fontId="86" fillId="0" borderId="35" xfId="0" applyNumberFormat="1" applyFont="1" applyFill="1" applyBorder="1" applyAlignment="1" applyProtection="1">
      <alignment horizontal="center" vertical="center" wrapText="1"/>
      <protection locked="0"/>
    </xf>
    <xf numFmtId="182" fontId="86" fillId="0" borderId="35" xfId="0" applyNumberFormat="1" applyFont="1" applyFill="1" applyBorder="1" applyAlignment="1" applyProtection="1">
      <alignment horizontal="center" vertical="center" wrapText="1"/>
      <protection locked="0"/>
    </xf>
    <xf numFmtId="0" fontId="118" fillId="15" borderId="35" xfId="0" applyNumberFormat="1" applyFont="1" applyFill="1" applyBorder="1" applyAlignment="1" applyProtection="1">
      <alignment horizontal="center" vertical="center" shrinkToFit="1"/>
      <protection locked="0"/>
    </xf>
    <xf numFmtId="49" fontId="86" fillId="0" borderId="35" xfId="0" applyNumberFormat="1" applyFont="1" applyFill="1" applyBorder="1" applyAlignment="1" applyProtection="1">
      <alignment horizontal="center" vertical="center" wrapText="1"/>
      <protection locked="0"/>
    </xf>
    <xf numFmtId="0" fontId="118" fillId="0" borderId="35" xfId="0" applyNumberFormat="1" applyFont="1" applyFill="1" applyBorder="1" applyAlignment="1" applyProtection="1">
      <alignment horizontal="center" vertical="center" shrinkToFit="1"/>
      <protection locked="0"/>
    </xf>
    <xf numFmtId="0" fontId="118" fillId="0" borderId="35" xfId="0" applyFont="1" applyFill="1" applyBorder="1" applyAlignment="1" applyProtection="1">
      <alignment horizontal="center" vertical="center" wrapText="1" shrinkToFit="1"/>
      <protection locked="0"/>
    </xf>
    <xf numFmtId="3" fontId="118" fillId="0" borderId="35" xfId="0" applyNumberFormat="1" applyFont="1" applyFill="1" applyBorder="1" applyAlignment="1" applyProtection="1">
      <alignment horizontal="center" vertical="center"/>
      <protection locked="0"/>
    </xf>
    <xf numFmtId="0" fontId="118" fillId="0" borderId="35" xfId="0" applyFont="1" applyFill="1" applyBorder="1" applyAlignment="1" applyProtection="1">
      <alignment horizontal="center" vertical="center"/>
      <protection locked="0"/>
    </xf>
    <xf numFmtId="192" fontId="86" fillId="0" borderId="35" xfId="0" applyNumberFormat="1" applyFont="1" applyFill="1" applyBorder="1" applyAlignment="1" applyProtection="1">
      <alignment horizontal="center" vertical="center" wrapText="1" shrinkToFit="1"/>
      <protection locked="0"/>
    </xf>
    <xf numFmtId="193" fontId="118" fillId="0" borderId="3" xfId="0" applyNumberFormat="1" applyFont="1" applyFill="1" applyBorder="1" applyAlignment="1" applyProtection="1">
      <alignment horizontal="center" vertical="center"/>
      <protection locked="0"/>
    </xf>
    <xf numFmtId="179" fontId="86" fillId="0" borderId="35" xfId="0" applyNumberFormat="1" applyFont="1" applyFill="1" applyBorder="1" applyAlignment="1" applyProtection="1">
      <alignment horizontal="center" vertical="center" wrapText="1" shrinkToFit="1"/>
    </xf>
    <xf numFmtId="0" fontId="86" fillId="6" borderId="35" xfId="0" applyFont="1" applyFill="1" applyBorder="1" applyAlignment="1" applyProtection="1">
      <alignment horizontal="center" vertical="center" wrapText="1" shrinkToFit="1"/>
      <protection locked="0"/>
    </xf>
    <xf numFmtId="189" fontId="86" fillId="0" borderId="35" xfId="0" applyNumberFormat="1" applyFont="1" applyFill="1" applyBorder="1" applyAlignment="1" applyProtection="1">
      <alignment horizontal="center" vertical="center" wrapText="1" shrinkToFit="1"/>
      <protection locked="0"/>
    </xf>
    <xf numFmtId="0" fontId="86" fillId="0" borderId="35" xfId="0" applyNumberFormat="1" applyFont="1" applyFill="1" applyBorder="1" applyAlignment="1" applyProtection="1">
      <alignment horizontal="center" vertical="center" wrapText="1" shrinkToFit="1"/>
      <protection locked="0"/>
    </xf>
    <xf numFmtId="185" fontId="86" fillId="0" borderId="35" xfId="0" applyNumberFormat="1" applyFont="1" applyFill="1" applyBorder="1" applyAlignment="1" applyProtection="1">
      <alignment horizontal="center" vertical="center" wrapText="1" shrinkToFit="1"/>
      <protection locked="0"/>
    </xf>
    <xf numFmtId="0" fontId="117" fillId="0" borderId="37" xfId="0" applyFont="1" applyBorder="1" applyAlignment="1" applyProtection="1">
      <alignment horizontal="center" vertical="center" wrapText="1" shrinkToFit="1"/>
      <protection locked="0"/>
    </xf>
    <xf numFmtId="0" fontId="86" fillId="0" borderId="38" xfId="0" applyFont="1" applyFill="1" applyBorder="1" applyAlignment="1" applyProtection="1">
      <alignment horizontal="center" vertical="center"/>
      <protection locked="0"/>
    </xf>
    <xf numFmtId="0" fontId="86" fillId="0" borderId="39" xfId="0" applyFont="1" applyFill="1" applyBorder="1" applyAlignment="1" applyProtection="1">
      <alignment horizontal="center" vertical="center"/>
      <protection locked="0"/>
    </xf>
    <xf numFmtId="189" fontId="86" fillId="0" borderId="35" xfId="0" applyNumberFormat="1" applyFont="1" applyFill="1" applyBorder="1" applyAlignment="1" applyProtection="1">
      <alignment horizontal="center" vertical="center"/>
      <protection locked="0"/>
    </xf>
    <xf numFmtId="187" fontId="107" fillId="17" borderId="36" xfId="0" applyNumberFormat="1" applyFont="1" applyFill="1" applyBorder="1" applyAlignment="1" applyProtection="1">
      <alignment horizontal="center" vertical="center" wrapText="1" shrinkToFit="1"/>
      <protection locked="0"/>
    </xf>
    <xf numFmtId="0" fontId="107" fillId="17" borderId="36" xfId="0" applyFont="1" applyFill="1" applyBorder="1" applyAlignment="1" applyProtection="1">
      <alignment horizontal="center" vertical="center"/>
      <protection locked="0"/>
    </xf>
    <xf numFmtId="187" fontId="107" fillId="17" borderId="35" xfId="0" applyNumberFormat="1" applyFont="1" applyFill="1" applyBorder="1" applyAlignment="1" applyProtection="1">
      <alignment horizontal="center" vertical="center" wrapText="1" shrinkToFit="1"/>
      <protection locked="0"/>
    </xf>
    <xf numFmtId="0" fontId="107" fillId="0" borderId="3" xfId="0" applyFont="1" applyBorder="1" applyAlignment="1">
      <alignment horizontal="center" vertical="center" wrapText="1" shrinkToFit="1"/>
    </xf>
    <xf numFmtId="0" fontId="107" fillId="0" borderId="0" xfId="0" applyFont="1" applyBorder="1">
      <alignment vertical="center"/>
    </xf>
    <xf numFmtId="0" fontId="86" fillId="0" borderId="3" xfId="0" applyFont="1" applyBorder="1" applyAlignment="1">
      <alignment horizontal="center" vertical="center" wrapText="1" shrinkToFit="1"/>
    </xf>
    <xf numFmtId="192" fontId="107" fillId="6" borderId="3" xfId="0" applyNumberFormat="1" applyFont="1" applyFill="1" applyBorder="1" applyAlignment="1" applyProtection="1">
      <alignment horizontal="center" vertical="center" wrapText="1" shrinkToFit="1"/>
      <protection locked="0"/>
    </xf>
    <xf numFmtId="0" fontId="107" fillId="17" borderId="35" xfId="0" applyFont="1" applyFill="1" applyBorder="1" applyAlignment="1" applyProtection="1">
      <alignment horizontal="center" vertical="center" wrapText="1"/>
      <protection locked="0"/>
    </xf>
    <xf numFmtId="0" fontId="107" fillId="17" borderId="35" xfId="0" applyFont="1" applyFill="1" applyBorder="1" applyAlignment="1" applyProtection="1">
      <alignment horizontal="center" vertical="center"/>
      <protection locked="0"/>
    </xf>
    <xf numFmtId="186" fontId="107" fillId="6" borderId="28" xfId="0" applyNumberFormat="1" applyFont="1" applyFill="1" applyBorder="1" applyAlignment="1" applyProtection="1">
      <alignment horizontal="center" vertical="center" wrapText="1" shrinkToFit="1"/>
      <protection locked="0"/>
    </xf>
    <xf numFmtId="0" fontId="86" fillId="0" borderId="5" xfId="0" applyFont="1" applyFill="1" applyBorder="1" applyAlignment="1" applyProtection="1">
      <alignment horizontal="center" vertical="center" wrapText="1" shrinkToFit="1"/>
      <protection locked="0"/>
    </xf>
    <xf numFmtId="0" fontId="86" fillId="6" borderId="3" xfId="0" applyFont="1" applyFill="1" applyBorder="1" applyAlignment="1" applyProtection="1">
      <alignment horizontal="center" vertical="center" wrapText="1" shrinkToFit="1"/>
      <protection locked="0"/>
    </xf>
    <xf numFmtId="0" fontId="117" fillId="20" borderId="36" xfId="0" applyFont="1" applyFill="1" applyBorder="1" applyAlignment="1" applyProtection="1">
      <alignment horizontal="center" vertical="center" wrapText="1" shrinkToFit="1"/>
      <protection locked="0"/>
    </xf>
    <xf numFmtId="0" fontId="79" fillId="6" borderId="3" xfId="0" applyFont="1" applyFill="1" applyBorder="1" applyAlignment="1" applyProtection="1">
      <alignment horizontal="center" vertical="center" wrapText="1" shrinkToFit="1"/>
      <protection locked="0"/>
    </xf>
    <xf numFmtId="0" fontId="79" fillId="6" borderId="3" xfId="0" applyFont="1" applyFill="1" applyBorder="1" applyAlignment="1" applyProtection="1">
      <alignment horizontal="center" vertical="center"/>
      <protection locked="0"/>
    </xf>
    <xf numFmtId="187" fontId="79" fillId="17" borderId="3" xfId="0" applyNumberFormat="1" applyFont="1" applyFill="1" applyBorder="1" applyAlignment="1" applyProtection="1">
      <alignment horizontal="center" vertical="center" wrapText="1" shrinkToFit="1"/>
      <protection locked="0"/>
    </xf>
    <xf numFmtId="58" fontId="107" fillId="0" borderId="36" xfId="0" applyNumberFormat="1" applyFont="1" applyFill="1" applyBorder="1" applyAlignment="1" applyProtection="1">
      <alignment horizontal="center" vertical="center" wrapText="1" shrinkToFit="1"/>
      <protection locked="0"/>
    </xf>
    <xf numFmtId="49" fontId="79" fillId="6" borderId="3" xfId="0" applyNumberFormat="1" applyFont="1" applyFill="1" applyBorder="1" applyAlignment="1" applyProtection="1">
      <alignment horizontal="center" vertical="center" wrapText="1" shrinkToFit="1"/>
      <protection locked="0"/>
    </xf>
    <xf numFmtId="0" fontId="87" fillId="6" borderId="3" xfId="0" applyFont="1" applyFill="1" applyBorder="1" applyAlignment="1" applyProtection="1">
      <alignment horizontal="center" vertical="center" wrapText="1" shrinkToFit="1"/>
      <protection locked="0"/>
    </xf>
    <xf numFmtId="189" fontId="79" fillId="6" borderId="3" xfId="0" applyNumberFormat="1" applyFont="1" applyFill="1" applyBorder="1" applyAlignment="1" applyProtection="1">
      <alignment horizontal="center" vertical="center" wrapText="1" shrinkToFit="1"/>
      <protection locked="0"/>
    </xf>
    <xf numFmtId="0" fontId="79" fillId="17" borderId="3" xfId="0" applyFont="1" applyFill="1" applyBorder="1" applyAlignment="1" applyProtection="1">
      <alignment horizontal="center" vertical="center" wrapText="1"/>
      <protection locked="0"/>
    </xf>
    <xf numFmtId="193" fontId="116" fillId="0" borderId="35" xfId="0" applyNumberFormat="1" applyFont="1" applyFill="1" applyBorder="1" applyAlignment="1" applyProtection="1">
      <alignment horizontal="center" vertical="center"/>
      <protection locked="0"/>
    </xf>
    <xf numFmtId="0" fontId="86" fillId="17" borderId="3" xfId="0" applyFont="1" applyFill="1" applyBorder="1" applyAlignment="1" applyProtection="1">
      <alignment horizontal="center" vertical="center" wrapText="1"/>
      <protection locked="0"/>
    </xf>
    <xf numFmtId="0" fontId="79" fillId="0" borderId="35" xfId="0" applyNumberFormat="1" applyFont="1" applyFill="1" applyBorder="1" applyAlignment="1" applyProtection="1">
      <alignment horizontal="center" vertical="center" wrapText="1"/>
      <protection locked="0"/>
    </xf>
    <xf numFmtId="182" fontId="79" fillId="0" borderId="35" xfId="0" applyNumberFormat="1" applyFont="1" applyFill="1" applyBorder="1" applyAlignment="1" applyProtection="1">
      <alignment horizontal="center" vertical="center" wrapText="1"/>
      <protection locked="0"/>
    </xf>
    <xf numFmtId="0" fontId="119" fillId="15" borderId="35" xfId="0" applyNumberFormat="1" applyFont="1" applyFill="1" applyBorder="1" applyAlignment="1" applyProtection="1">
      <alignment horizontal="center" vertical="center" shrinkToFit="1"/>
      <protection locked="0"/>
    </xf>
    <xf numFmtId="49" fontId="79" fillId="0" borderId="35" xfId="0" applyNumberFormat="1" applyFont="1" applyFill="1" applyBorder="1" applyAlignment="1" applyProtection="1">
      <alignment horizontal="center" vertical="center" wrapText="1"/>
      <protection locked="0"/>
    </xf>
    <xf numFmtId="0" fontId="119" fillId="0" borderId="35" xfId="0" applyNumberFormat="1" applyFont="1" applyFill="1" applyBorder="1" applyAlignment="1" applyProtection="1">
      <alignment horizontal="center" vertical="center" shrinkToFit="1"/>
      <protection locked="0"/>
    </xf>
    <xf numFmtId="0" fontId="119" fillId="0" borderId="35" xfId="0" applyFont="1" applyFill="1" applyBorder="1" applyAlignment="1" applyProtection="1">
      <alignment horizontal="center" vertical="center" wrapText="1" shrinkToFit="1"/>
      <protection locked="0"/>
    </xf>
    <xf numFmtId="3" fontId="119" fillId="0" borderId="35" xfId="0" applyNumberFormat="1" applyFont="1" applyFill="1" applyBorder="1" applyAlignment="1" applyProtection="1">
      <alignment horizontal="center" vertical="center"/>
      <protection locked="0"/>
    </xf>
    <xf numFmtId="0" fontId="119" fillId="0" borderId="35" xfId="0" applyFont="1" applyFill="1" applyBorder="1" applyAlignment="1" applyProtection="1">
      <alignment horizontal="center" vertical="center"/>
      <protection locked="0"/>
    </xf>
    <xf numFmtId="189" fontId="79" fillId="0" borderId="3" xfId="0" applyNumberFormat="1" applyFont="1" applyFill="1" applyBorder="1" applyAlignment="1" applyProtection="1">
      <alignment horizontal="center" vertical="center" wrapText="1" shrinkToFit="1"/>
      <protection locked="0"/>
    </xf>
    <xf numFmtId="186" fontId="79" fillId="0" borderId="35" xfId="0" applyNumberFormat="1" applyFont="1" applyFill="1" applyBorder="1" applyAlignment="1" applyProtection="1">
      <alignment horizontal="center" vertical="center" wrapText="1" shrinkToFit="1"/>
      <protection locked="0"/>
    </xf>
    <xf numFmtId="192" fontId="79" fillId="6" borderId="35" xfId="0" applyNumberFormat="1" applyFont="1" applyFill="1" applyBorder="1" applyAlignment="1" applyProtection="1">
      <alignment horizontal="center" vertical="center" wrapText="1" shrinkToFit="1"/>
      <protection locked="0"/>
    </xf>
    <xf numFmtId="193" fontId="119" fillId="6" borderId="3" xfId="0" applyNumberFormat="1" applyFont="1" applyFill="1" applyBorder="1" applyAlignment="1" applyProtection="1">
      <alignment horizontal="center" vertical="center"/>
      <protection locked="0"/>
    </xf>
    <xf numFmtId="185" fontId="79" fillId="6" borderId="3" xfId="0" applyNumberFormat="1" applyFont="1" applyFill="1" applyBorder="1" applyAlignment="1" applyProtection="1">
      <alignment horizontal="center" vertical="center" wrapText="1" shrinkToFit="1"/>
      <protection locked="0"/>
    </xf>
    <xf numFmtId="0" fontId="87" fillId="15" borderId="3" xfId="0" applyNumberFormat="1" applyFont="1" applyFill="1" applyBorder="1" applyAlignment="1" applyProtection="1">
      <alignment horizontal="center" vertical="center"/>
      <protection locked="0"/>
    </xf>
    <xf numFmtId="186" fontId="112" fillId="0" borderId="3" xfId="0" applyNumberFormat="1" applyFont="1" applyFill="1" applyBorder="1" applyAlignment="1" applyProtection="1">
      <alignment horizontal="center" vertical="center" wrapText="1" shrinkToFit="1"/>
      <protection locked="0"/>
    </xf>
    <xf numFmtId="189" fontId="12" fillId="6" borderId="3" xfId="0" applyNumberFormat="1" applyFont="1" applyFill="1" applyBorder="1" applyAlignment="1" applyProtection="1">
      <alignment horizontal="center" vertical="center"/>
      <protection locked="0"/>
    </xf>
    <xf numFmtId="0" fontId="79" fillId="0" borderId="35" xfId="0" applyFont="1" applyFill="1" applyBorder="1" applyAlignment="1" applyProtection="1">
      <alignment horizontal="center" vertical="center" wrapText="1"/>
      <protection locked="0"/>
    </xf>
    <xf numFmtId="0" fontId="79" fillId="0" borderId="35" xfId="0" applyFont="1" applyFill="1" applyBorder="1" applyAlignment="1" applyProtection="1">
      <alignment horizontal="center" vertical="center" wrapText="1" shrinkToFit="1"/>
      <protection locked="0"/>
    </xf>
    <xf numFmtId="0" fontId="79" fillId="0" borderId="35" xfId="0" applyNumberFormat="1" applyFont="1" applyFill="1" applyBorder="1" applyAlignment="1" applyProtection="1">
      <alignment horizontal="center" vertical="center"/>
      <protection locked="0"/>
    </xf>
    <xf numFmtId="0" fontId="79" fillId="0" borderId="35" xfId="0" applyFont="1" applyFill="1" applyBorder="1" applyAlignment="1" applyProtection="1">
      <alignment horizontal="center" vertical="center"/>
      <protection locked="0"/>
    </xf>
    <xf numFmtId="49" fontId="79" fillId="0" borderId="35" xfId="0" applyNumberFormat="1" applyFont="1" applyFill="1" applyBorder="1" applyAlignment="1" applyProtection="1">
      <alignment horizontal="center" vertical="center" wrapText="1" shrinkToFit="1"/>
      <protection locked="0"/>
    </xf>
    <xf numFmtId="3" fontId="79" fillId="0" borderId="35" xfId="0" applyNumberFormat="1" applyFont="1" applyFill="1" applyBorder="1" applyAlignment="1" applyProtection="1">
      <alignment horizontal="center" vertical="center" wrapText="1" shrinkToFit="1"/>
      <protection locked="0"/>
    </xf>
    <xf numFmtId="0" fontId="87" fillId="6" borderId="35" xfId="0" applyFont="1" applyFill="1" applyBorder="1" applyAlignment="1" applyProtection="1">
      <alignment horizontal="center" vertical="center" wrapText="1" shrinkToFit="1"/>
      <protection locked="0"/>
    </xf>
    <xf numFmtId="0" fontId="79" fillId="6" borderId="3" xfId="0" applyNumberFormat="1" applyFont="1" applyFill="1" applyBorder="1" applyAlignment="1" applyProtection="1">
      <alignment horizontal="center" vertical="center" wrapText="1" shrinkToFit="1"/>
      <protection locked="0"/>
    </xf>
    <xf numFmtId="0" fontId="79" fillId="6" borderId="35" xfId="0" applyFont="1" applyFill="1" applyBorder="1" applyAlignment="1" applyProtection="1">
      <alignment horizontal="center" vertical="center" wrapText="1"/>
      <protection locked="0"/>
    </xf>
    <xf numFmtId="49" fontId="79" fillId="0" borderId="3" xfId="0" applyNumberFormat="1" applyFont="1" applyBorder="1" applyAlignment="1" applyProtection="1">
      <alignment horizontal="center" vertical="center" wrapText="1" shrinkToFit="1"/>
      <protection locked="0"/>
    </xf>
    <xf numFmtId="179" fontId="108" fillId="0" borderId="3" xfId="0" applyNumberFormat="1" applyFont="1" applyFill="1" applyBorder="1" applyAlignment="1" applyProtection="1">
      <alignment horizontal="center" vertical="center" wrapText="1" shrinkToFit="1"/>
    </xf>
    <xf numFmtId="0" fontId="108" fillId="0" borderId="35" xfId="0" applyFont="1" applyFill="1" applyBorder="1" applyAlignment="1" applyProtection="1">
      <alignment horizontal="center" vertical="center" wrapText="1"/>
      <protection locked="0"/>
    </xf>
    <xf numFmtId="0" fontId="108" fillId="0" borderId="35" xfId="0" applyFont="1" applyFill="1" applyBorder="1" applyAlignment="1" applyProtection="1">
      <alignment horizontal="center" vertical="center" wrapText="1" shrinkToFit="1"/>
      <protection locked="0"/>
    </xf>
    <xf numFmtId="0" fontId="108" fillId="0" borderId="35" xfId="0" applyNumberFormat="1" applyFont="1" applyFill="1" applyBorder="1" applyAlignment="1" applyProtection="1">
      <alignment horizontal="center" vertical="center"/>
      <protection locked="0"/>
    </xf>
    <xf numFmtId="0" fontId="108" fillId="0" borderId="35" xfId="0" applyNumberFormat="1" applyFont="1" applyFill="1" applyBorder="1" applyAlignment="1" applyProtection="1">
      <alignment horizontal="center" vertical="center" wrapText="1" shrinkToFit="1"/>
      <protection locked="0"/>
    </xf>
    <xf numFmtId="0" fontId="108" fillId="0" borderId="35" xfId="0" applyFont="1" applyFill="1" applyBorder="1" applyAlignment="1" applyProtection="1">
      <alignment horizontal="center" vertical="center"/>
      <protection locked="0"/>
    </xf>
    <xf numFmtId="49" fontId="108" fillId="0" borderId="35" xfId="0" applyNumberFormat="1" applyFont="1" applyFill="1" applyBorder="1" applyAlignment="1" applyProtection="1">
      <alignment horizontal="center" vertical="center" wrapText="1" shrinkToFit="1"/>
      <protection locked="0"/>
    </xf>
    <xf numFmtId="0" fontId="108" fillId="0" borderId="3" xfId="0" applyFont="1" applyFill="1" applyBorder="1" applyAlignment="1" applyProtection="1">
      <alignment horizontal="center" vertical="center" wrapText="1" shrinkToFit="1"/>
      <protection locked="0"/>
    </xf>
    <xf numFmtId="3" fontId="108" fillId="0" borderId="35" xfId="0" applyNumberFormat="1" applyFont="1" applyFill="1" applyBorder="1" applyAlignment="1" applyProtection="1">
      <alignment horizontal="center" vertical="center" wrapText="1" shrinkToFit="1"/>
      <protection locked="0"/>
    </xf>
    <xf numFmtId="189" fontId="108" fillId="0" borderId="3" xfId="0" applyNumberFormat="1" applyFont="1" applyFill="1" applyBorder="1" applyAlignment="1" applyProtection="1">
      <alignment horizontal="center" vertical="center" wrapText="1" shrinkToFit="1"/>
      <protection locked="0"/>
    </xf>
    <xf numFmtId="186" fontId="108" fillId="0" borderId="35" xfId="0" applyNumberFormat="1" applyFont="1" applyFill="1" applyBorder="1" applyAlignment="1" applyProtection="1">
      <alignment horizontal="center" vertical="center" wrapText="1" shrinkToFit="1"/>
      <protection locked="0"/>
    </xf>
    <xf numFmtId="186" fontId="108" fillId="6" borderId="35" xfId="0" applyNumberFormat="1" applyFont="1" applyFill="1" applyBorder="1" applyAlignment="1" applyProtection="1">
      <alignment horizontal="center" vertical="center" wrapText="1" shrinkToFit="1"/>
      <protection locked="0"/>
    </xf>
    <xf numFmtId="0" fontId="108" fillId="0" borderId="3" xfId="0" applyNumberFormat="1" applyFont="1" applyFill="1" applyBorder="1" applyAlignment="1" applyProtection="1">
      <alignment horizontal="center" vertical="center" wrapText="1" shrinkToFit="1"/>
      <protection locked="0"/>
    </xf>
    <xf numFmtId="58" fontId="108" fillId="0" borderId="3" xfId="0" applyNumberFormat="1" applyFont="1" applyFill="1" applyBorder="1" applyAlignment="1" applyProtection="1">
      <alignment horizontal="center" vertical="center" wrapText="1" shrinkToFit="1"/>
      <protection locked="0"/>
    </xf>
    <xf numFmtId="187" fontId="108" fillId="0" borderId="3" xfId="0" applyNumberFormat="1" applyFont="1" applyFill="1" applyBorder="1" applyAlignment="1" applyProtection="1">
      <alignment horizontal="center" vertical="center" wrapText="1" shrinkToFit="1"/>
      <protection locked="0"/>
    </xf>
    <xf numFmtId="0" fontId="108" fillId="0" borderId="3" xfId="0" applyFont="1" applyFill="1" applyBorder="1" applyAlignment="1" applyProtection="1">
      <alignment horizontal="center" vertical="center" wrapText="1"/>
      <protection locked="0"/>
    </xf>
    <xf numFmtId="0" fontId="108" fillId="0" borderId="3" xfId="0" applyFont="1" applyFill="1" applyBorder="1" applyAlignment="1" applyProtection="1">
      <alignment horizontal="center" vertical="center"/>
      <protection locked="0"/>
    </xf>
    <xf numFmtId="185" fontId="108" fillId="0" borderId="3" xfId="0" applyNumberFormat="1" applyFont="1" applyFill="1" applyBorder="1" applyAlignment="1" applyProtection="1">
      <alignment horizontal="center" vertical="center" wrapText="1" shrinkToFit="1"/>
      <protection locked="0"/>
    </xf>
    <xf numFmtId="0" fontId="108" fillId="0" borderId="5" xfId="0" applyFont="1" applyFill="1" applyBorder="1" applyAlignment="1" applyProtection="1">
      <alignment horizontal="center" vertical="center"/>
      <protection locked="0"/>
    </xf>
    <xf numFmtId="0" fontId="108" fillId="0" borderId="7" xfId="0" applyFont="1" applyFill="1" applyBorder="1" applyAlignment="1" applyProtection="1">
      <alignment horizontal="center" vertical="center"/>
      <protection locked="0"/>
    </xf>
    <xf numFmtId="189" fontId="108" fillId="0" borderId="3" xfId="0" applyNumberFormat="1" applyFont="1" applyFill="1" applyBorder="1" applyAlignment="1" applyProtection="1">
      <alignment horizontal="center" vertical="center"/>
      <protection locked="0"/>
    </xf>
    <xf numFmtId="0" fontId="108" fillId="0" borderId="5" xfId="0" applyFont="1" applyFill="1" applyBorder="1" applyAlignment="1" applyProtection="1">
      <alignment horizontal="center" vertical="center" wrapText="1" shrinkToFit="1"/>
      <protection locked="0"/>
    </xf>
    <xf numFmtId="0" fontId="4" fillId="15" borderId="3" xfId="0" applyNumberFormat="1" applyFont="1" applyFill="1" applyBorder="1" applyAlignment="1" applyProtection="1">
      <alignment horizontal="center" vertical="center" shrinkToFit="1"/>
      <protection locked="0"/>
    </xf>
    <xf numFmtId="49" fontId="87" fillId="0" borderId="3" xfId="0" applyNumberFormat="1" applyFont="1" applyFill="1" applyBorder="1" applyAlignment="1" applyProtection="1">
      <alignment horizontal="center" vertical="center" wrapText="1"/>
      <protection locked="0"/>
    </xf>
    <xf numFmtId="186" fontId="87" fillId="0" borderId="36" xfId="0" applyNumberFormat="1" applyFont="1" applyFill="1" applyBorder="1" applyAlignment="1" applyProtection="1">
      <alignment horizontal="center" vertical="center" wrapText="1" shrinkToFit="1"/>
      <protection locked="0"/>
    </xf>
    <xf numFmtId="186" fontId="87" fillId="6" borderId="36" xfId="0" applyNumberFormat="1" applyFont="1" applyFill="1" applyBorder="1" applyAlignment="1" applyProtection="1">
      <alignment horizontal="center" vertical="center" wrapText="1" shrinkToFit="1"/>
      <protection locked="0"/>
    </xf>
    <xf numFmtId="179" fontId="79" fillId="0" borderId="36" xfId="0" applyNumberFormat="1" applyFont="1" applyFill="1" applyBorder="1" applyAlignment="1" applyProtection="1">
      <alignment horizontal="center" vertical="center" wrapText="1" shrinkToFit="1"/>
    </xf>
    <xf numFmtId="0" fontId="87" fillId="0" borderId="36" xfId="0" applyNumberFormat="1" applyFont="1" applyFill="1" applyBorder="1" applyAlignment="1" applyProtection="1">
      <alignment horizontal="center" vertical="center" wrapText="1"/>
      <protection locked="0"/>
    </xf>
    <xf numFmtId="182" fontId="87" fillId="0" borderId="36" xfId="0" applyNumberFormat="1" applyFont="1" applyFill="1" applyBorder="1" applyAlignment="1" applyProtection="1">
      <alignment horizontal="center" vertical="center" wrapText="1"/>
      <protection locked="0"/>
    </xf>
    <xf numFmtId="0" fontId="4" fillId="15" borderId="36" xfId="0" applyNumberFormat="1" applyFont="1" applyFill="1" applyBorder="1" applyAlignment="1" applyProtection="1">
      <alignment horizontal="center" vertical="center" shrinkToFit="1"/>
      <protection locked="0"/>
    </xf>
    <xf numFmtId="49" fontId="87" fillId="0" borderId="36" xfId="0" applyNumberFormat="1" applyFont="1" applyFill="1" applyBorder="1" applyAlignment="1" applyProtection="1">
      <alignment horizontal="center" vertical="center" wrapText="1"/>
      <protection locked="0"/>
    </xf>
    <xf numFmtId="0" fontId="4" fillId="0" borderId="36" xfId="0" applyNumberFormat="1" applyFont="1" applyFill="1" applyBorder="1" applyAlignment="1" applyProtection="1">
      <alignment horizontal="center" vertical="center" shrinkToFit="1"/>
      <protection locked="0"/>
    </xf>
    <xf numFmtId="0" fontId="4" fillId="0" borderId="36" xfId="0" applyFont="1" applyFill="1" applyBorder="1" applyAlignment="1" applyProtection="1">
      <alignment horizontal="center" vertical="center" wrapText="1" shrinkToFit="1"/>
      <protection locked="0"/>
    </xf>
    <xf numFmtId="3" fontId="4" fillId="0" borderId="36" xfId="0" applyNumberFormat="1" applyFont="1" applyFill="1" applyBorder="1" applyAlignment="1" applyProtection="1">
      <alignment horizontal="center" vertical="center"/>
      <protection locked="0"/>
    </xf>
    <xf numFmtId="0" fontId="4" fillId="0" borderId="36" xfId="0" applyFont="1" applyFill="1" applyBorder="1" applyAlignment="1" applyProtection="1">
      <alignment horizontal="center" vertical="center"/>
      <protection locked="0"/>
    </xf>
    <xf numFmtId="189" fontId="87" fillId="0" borderId="36" xfId="0" applyNumberFormat="1" applyFont="1" applyFill="1" applyBorder="1" applyAlignment="1" applyProtection="1">
      <alignment horizontal="center" vertical="center" wrapText="1" shrinkToFit="1"/>
      <protection locked="0"/>
    </xf>
    <xf numFmtId="192" fontId="87" fillId="0" borderId="36" xfId="0" applyNumberFormat="1" applyFont="1" applyFill="1" applyBorder="1" applyAlignment="1" applyProtection="1">
      <alignment horizontal="center" vertical="center" wrapText="1" shrinkToFit="1"/>
      <protection locked="0"/>
    </xf>
    <xf numFmtId="193" fontId="4" fillId="0" borderId="36" xfId="0" applyNumberFormat="1" applyFont="1" applyFill="1" applyBorder="1" applyAlignment="1" applyProtection="1">
      <alignment horizontal="center" vertical="center"/>
      <protection locked="0"/>
    </xf>
    <xf numFmtId="185" fontId="87" fillId="0" borderId="36" xfId="0" applyNumberFormat="1" applyFont="1" applyFill="1" applyBorder="1" applyAlignment="1" applyProtection="1">
      <alignment horizontal="center" vertical="center" wrapText="1" shrinkToFit="1"/>
      <protection locked="0"/>
    </xf>
    <xf numFmtId="0" fontId="87" fillId="0" borderId="36" xfId="0" applyFont="1" applyFill="1" applyBorder="1" applyAlignment="1" applyProtection="1">
      <alignment horizontal="center" vertical="center"/>
      <protection locked="0"/>
    </xf>
    <xf numFmtId="0" fontId="4" fillId="15" borderId="35" xfId="0" applyNumberFormat="1" applyFont="1" applyFill="1" applyBorder="1" applyAlignment="1" applyProtection="1">
      <alignment horizontal="center" vertical="center" shrinkToFit="1"/>
      <protection locked="0"/>
    </xf>
    <xf numFmtId="49" fontId="87" fillId="0" borderId="35" xfId="0" applyNumberFormat="1" applyFont="1" applyFill="1" applyBorder="1" applyAlignment="1" applyProtection="1">
      <alignment horizontal="center" vertical="center" wrapText="1"/>
      <protection locked="0"/>
    </xf>
    <xf numFmtId="0" fontId="79" fillId="6" borderId="36" xfId="0" applyFont="1" applyFill="1" applyBorder="1" applyAlignment="1" applyProtection="1">
      <alignment horizontal="center" vertical="center" wrapText="1"/>
      <protection locked="0"/>
    </xf>
    <xf numFmtId="0" fontId="87" fillId="17" borderId="3" xfId="0" applyFont="1" applyFill="1" applyBorder="1" applyAlignment="1" applyProtection="1">
      <alignment horizontal="center" vertical="center"/>
      <protection locked="0"/>
    </xf>
    <xf numFmtId="179" fontId="87" fillId="0" borderId="35" xfId="0" applyNumberFormat="1" applyFont="1" applyFill="1" applyBorder="1" applyAlignment="1" applyProtection="1">
      <alignment horizontal="center" vertical="center" wrapText="1" shrinkToFit="1"/>
    </xf>
    <xf numFmtId="189" fontId="87" fillId="0" borderId="35" xfId="0" applyNumberFormat="1" applyFont="1" applyFill="1" applyBorder="1" applyAlignment="1" applyProtection="1">
      <alignment horizontal="center" vertical="center" wrapText="1" shrinkToFit="1"/>
      <protection locked="0"/>
    </xf>
    <xf numFmtId="193" fontId="4" fillId="0" borderId="35" xfId="0" applyNumberFormat="1" applyFont="1" applyFill="1" applyBorder="1" applyAlignment="1" applyProtection="1">
      <alignment horizontal="center" vertical="center"/>
      <protection locked="0"/>
    </xf>
    <xf numFmtId="185" fontId="87" fillId="0" borderId="35" xfId="0" applyNumberFormat="1" applyFont="1" applyFill="1" applyBorder="1" applyAlignment="1" applyProtection="1">
      <alignment horizontal="center" vertical="center" wrapText="1" shrinkToFit="1"/>
      <protection locked="0"/>
    </xf>
    <xf numFmtId="0" fontId="85" fillId="0" borderId="37" xfId="0" applyFont="1" applyBorder="1" applyAlignment="1" applyProtection="1">
      <alignment horizontal="center" vertical="center" wrapText="1" shrinkToFit="1"/>
      <protection locked="0"/>
    </xf>
    <xf numFmtId="0" fontId="87" fillId="17" borderId="35" xfId="0" applyFont="1" applyFill="1" applyBorder="1" applyAlignment="1" applyProtection="1">
      <alignment horizontal="center" vertical="center"/>
      <protection locked="0"/>
    </xf>
    <xf numFmtId="189" fontId="12" fillId="0" borderId="35" xfId="0" applyNumberFormat="1" applyFont="1" applyFill="1" applyBorder="1" applyAlignment="1" applyProtection="1">
      <alignment horizontal="center" vertical="center"/>
      <protection locked="0"/>
    </xf>
    <xf numFmtId="189" fontId="87" fillId="0" borderId="35" xfId="0" applyNumberFormat="1" applyFont="1" applyFill="1" applyBorder="1" applyAlignment="1" applyProtection="1">
      <alignment horizontal="center" vertical="center"/>
      <protection locked="0"/>
    </xf>
    <xf numFmtId="0" fontId="79" fillId="18" borderId="35" xfId="0" applyFont="1" applyFill="1" applyBorder="1" applyAlignment="1" applyProtection="1">
      <alignment horizontal="center" vertical="center"/>
      <protection locked="0"/>
    </xf>
    <xf numFmtId="0" fontId="87" fillId="0" borderId="38" xfId="0" applyFont="1" applyFill="1" applyBorder="1" applyAlignment="1" applyProtection="1">
      <alignment horizontal="center" vertical="center"/>
      <protection locked="0"/>
    </xf>
    <xf numFmtId="0" fontId="87" fillId="0" borderId="39" xfId="0" applyFont="1" applyFill="1" applyBorder="1" applyAlignment="1" applyProtection="1">
      <alignment horizontal="center" vertical="center"/>
      <protection locked="0"/>
    </xf>
    <xf numFmtId="0" fontId="12" fillId="0" borderId="35" xfId="0" applyFont="1" applyFill="1" applyBorder="1" applyAlignment="1" applyProtection="1">
      <alignment horizontal="center" vertical="center"/>
      <protection locked="0"/>
    </xf>
    <xf numFmtId="0" fontId="12" fillId="0" borderId="39" xfId="0" applyFont="1" applyFill="1" applyBorder="1" applyAlignment="1" applyProtection="1">
      <alignment horizontal="center" vertical="center"/>
      <protection locked="0"/>
    </xf>
    <xf numFmtId="187" fontId="86" fillId="6" borderId="3" xfId="0" applyNumberFormat="1" applyFont="1" applyFill="1" applyBorder="1" applyAlignment="1" applyProtection="1">
      <alignment horizontal="center" vertical="center" wrapText="1" shrinkToFit="1"/>
      <protection locked="0"/>
    </xf>
    <xf numFmtId="191" fontId="86" fillId="0" borderId="3" xfId="0" applyNumberFormat="1" applyFont="1" applyFill="1" applyBorder="1" applyAlignment="1" applyProtection="1">
      <alignment horizontal="center" vertical="center" wrapText="1" shrinkToFit="1"/>
      <protection locked="0"/>
    </xf>
    <xf numFmtId="0" fontId="79" fillId="0" borderId="35" xfId="0" applyNumberFormat="1" applyFont="1" applyFill="1" applyBorder="1" applyAlignment="1" applyProtection="1">
      <alignment horizontal="center" vertical="center" wrapText="1" shrinkToFit="1"/>
      <protection locked="0"/>
    </xf>
    <xf numFmtId="0" fontId="119" fillId="0" borderId="3" xfId="0" applyFont="1" applyFill="1" applyBorder="1" applyAlignment="1" applyProtection="1">
      <alignment horizontal="center" vertical="center" wrapText="1" shrinkToFit="1"/>
      <protection locked="0"/>
    </xf>
    <xf numFmtId="49" fontId="86" fillId="6" borderId="3" xfId="0" applyNumberFormat="1" applyFont="1" applyFill="1" applyBorder="1" applyAlignment="1" applyProtection="1">
      <alignment horizontal="center" vertical="center" wrapText="1" shrinkToFit="1"/>
      <protection locked="0"/>
    </xf>
    <xf numFmtId="0" fontId="86" fillId="6" borderId="35" xfId="0" applyFont="1" applyFill="1" applyBorder="1" applyAlignment="1" applyProtection="1">
      <alignment horizontal="center" vertical="center"/>
      <protection locked="0"/>
    </xf>
    <xf numFmtId="49" fontId="86" fillId="6" borderId="35" xfId="0" applyNumberFormat="1" applyFont="1" applyFill="1" applyBorder="1" applyAlignment="1" applyProtection="1">
      <alignment horizontal="center" vertical="center" wrapText="1" shrinkToFit="1"/>
      <protection locked="0"/>
    </xf>
    <xf numFmtId="189" fontId="86" fillId="6" borderId="3" xfId="0" applyNumberFormat="1" applyFont="1" applyFill="1" applyBorder="1" applyAlignment="1" applyProtection="1">
      <alignment horizontal="center" vertical="center" wrapText="1" shrinkToFit="1"/>
      <protection locked="0"/>
    </xf>
    <xf numFmtId="0" fontId="86" fillId="6" borderId="3" xfId="0" applyNumberFormat="1" applyFont="1" applyFill="1" applyBorder="1" applyAlignment="1" applyProtection="1">
      <alignment horizontal="center" vertical="center" wrapText="1" shrinkToFit="1"/>
      <protection locked="0"/>
    </xf>
    <xf numFmtId="0" fontId="79" fillId="6" borderId="35" xfId="0" applyFont="1" applyFill="1" applyBorder="1" applyAlignment="1" applyProtection="1">
      <alignment horizontal="center" vertical="center" wrapText="1" shrinkToFit="1"/>
      <protection locked="0"/>
    </xf>
    <xf numFmtId="0" fontId="86" fillId="18" borderId="3" xfId="0" applyFont="1" applyFill="1" applyBorder="1" applyAlignment="1" applyProtection="1">
      <alignment horizontal="center" vertical="center"/>
      <protection locked="0"/>
    </xf>
    <xf numFmtId="0" fontId="79" fillId="0" borderId="35" xfId="0" applyFont="1" applyFill="1" applyBorder="1" applyAlignment="1">
      <alignment horizontal="center" vertical="center" wrapText="1"/>
    </xf>
    <xf numFmtId="192" fontId="79" fillId="0" borderId="3" xfId="0" applyNumberFormat="1" applyFont="1" applyFill="1" applyBorder="1" applyAlignment="1">
      <alignment horizontal="center" vertical="center"/>
    </xf>
    <xf numFmtId="0" fontId="79" fillId="0" borderId="3" xfId="0" applyFont="1" applyFill="1" applyBorder="1" applyAlignment="1">
      <alignment horizontal="center" vertical="center" wrapText="1"/>
    </xf>
    <xf numFmtId="0" fontId="85" fillId="19" borderId="36" xfId="0" applyFont="1" applyFill="1" applyBorder="1" applyAlignment="1" applyProtection="1">
      <alignment horizontal="center" vertical="center" wrapText="1" shrinkToFit="1"/>
      <protection locked="0"/>
    </xf>
    <xf numFmtId="49" fontId="108" fillId="0" borderId="3" xfId="0" applyNumberFormat="1" applyFont="1" applyFill="1" applyBorder="1" applyAlignment="1" applyProtection="1">
      <alignment horizontal="center" vertical="center" wrapText="1" shrinkToFit="1"/>
      <protection locked="0"/>
    </xf>
    <xf numFmtId="3" fontId="108" fillId="0" borderId="3" xfId="0" applyNumberFormat="1" applyFont="1" applyFill="1" applyBorder="1" applyAlignment="1" applyProtection="1">
      <alignment horizontal="center" vertical="center" wrapText="1" shrinkToFit="1"/>
      <protection locked="0"/>
    </xf>
    <xf numFmtId="186" fontId="108" fillId="0" borderId="3" xfId="0" applyNumberFormat="1" applyFont="1" applyFill="1" applyBorder="1" applyAlignment="1" applyProtection="1">
      <alignment horizontal="center" vertical="center" wrapText="1" shrinkToFit="1"/>
      <protection locked="0"/>
    </xf>
    <xf numFmtId="186" fontId="108" fillId="6" borderId="3" xfId="0" applyNumberFormat="1" applyFont="1" applyFill="1" applyBorder="1" applyAlignment="1" applyProtection="1">
      <alignment horizontal="center" vertical="center" wrapText="1" shrinkToFit="1"/>
      <protection locked="0"/>
    </xf>
    <xf numFmtId="58" fontId="108" fillId="0" borderId="35" xfId="0" applyNumberFormat="1" applyFont="1" applyFill="1" applyBorder="1" applyAlignment="1" applyProtection="1">
      <alignment horizontal="center" vertical="center" wrapText="1" shrinkToFit="1"/>
      <protection locked="0"/>
    </xf>
    <xf numFmtId="187" fontId="108" fillId="0" borderId="35" xfId="0" applyNumberFormat="1" applyFont="1" applyFill="1" applyBorder="1" applyAlignment="1" applyProtection="1">
      <alignment horizontal="center" vertical="center" wrapText="1" shrinkToFit="1"/>
      <protection locked="0"/>
    </xf>
    <xf numFmtId="0" fontId="108" fillId="18" borderId="3" xfId="0" applyFont="1" applyFill="1" applyBorder="1" applyAlignment="1" applyProtection="1">
      <alignment horizontal="center" vertical="center"/>
      <protection locked="0"/>
    </xf>
    <xf numFmtId="0" fontId="108" fillId="0" borderId="3" xfId="0" applyNumberFormat="1" applyFont="1" applyFill="1" applyBorder="1" applyAlignment="1" applyProtection="1">
      <alignment horizontal="center" vertical="center"/>
      <protection locked="0"/>
    </xf>
    <xf numFmtId="0" fontId="108" fillId="17" borderId="3" xfId="0" applyFont="1" applyFill="1" applyBorder="1" applyAlignment="1" applyProtection="1">
      <alignment horizontal="center" vertical="center" wrapText="1"/>
      <protection locked="0"/>
    </xf>
    <xf numFmtId="0" fontId="108" fillId="6" borderId="3" xfId="0" applyFont="1" applyFill="1" applyBorder="1" applyAlignment="1" applyProtection="1">
      <alignment horizontal="center" vertical="center"/>
      <protection locked="0"/>
    </xf>
    <xf numFmtId="0" fontId="86" fillId="6" borderId="3" xfId="0" applyFont="1" applyFill="1" applyBorder="1" applyAlignment="1" applyProtection="1">
      <alignment horizontal="center" vertical="center"/>
      <protection locked="0"/>
    </xf>
    <xf numFmtId="185" fontId="86" fillId="6" borderId="3" xfId="0" applyNumberFormat="1" applyFont="1" applyFill="1" applyBorder="1" applyAlignment="1" applyProtection="1">
      <alignment horizontal="center" vertical="center" wrapText="1" shrinkToFit="1"/>
      <protection locked="0"/>
    </xf>
    <xf numFmtId="0" fontId="117" fillId="6" borderId="36" xfId="0" applyFont="1" applyFill="1" applyBorder="1" applyAlignment="1" applyProtection="1">
      <alignment horizontal="center" vertical="center" wrapText="1" shrinkToFit="1"/>
      <protection locked="0"/>
    </xf>
    <xf numFmtId="179" fontId="79" fillId="0" borderId="3" xfId="0" applyNumberFormat="1" applyFont="1" applyFill="1" applyBorder="1" applyAlignment="1" applyProtection="1">
      <alignment horizontal="center" vertical="center" wrapText="1" shrinkToFit="1"/>
    </xf>
    <xf numFmtId="0" fontId="79" fillId="0" borderId="3" xfId="0" applyFont="1" applyFill="1" applyBorder="1" applyAlignment="1" applyProtection="1">
      <alignment horizontal="center" vertical="center" wrapText="1"/>
      <protection locked="0"/>
    </xf>
    <xf numFmtId="0" fontId="79" fillId="0" borderId="3" xfId="0" applyFont="1" applyFill="1" applyBorder="1" applyAlignment="1" applyProtection="1">
      <alignment horizontal="center" vertical="center" wrapText="1" shrinkToFit="1"/>
      <protection locked="0"/>
    </xf>
    <xf numFmtId="0" fontId="79" fillId="0" borderId="3" xfId="0" applyNumberFormat="1" applyFont="1" applyFill="1" applyBorder="1" applyAlignment="1" applyProtection="1">
      <alignment horizontal="center" vertical="center"/>
      <protection locked="0"/>
    </xf>
    <xf numFmtId="0" fontId="79" fillId="0" borderId="3" xfId="0" applyNumberFormat="1" applyFont="1" applyFill="1" applyBorder="1" applyAlignment="1" applyProtection="1">
      <alignment horizontal="center" vertical="center" wrapText="1" shrinkToFit="1"/>
      <protection locked="0"/>
    </xf>
    <xf numFmtId="0" fontId="79" fillId="0" borderId="3" xfId="0" applyFont="1" applyFill="1" applyBorder="1" applyAlignment="1" applyProtection="1">
      <alignment horizontal="center" vertical="center"/>
      <protection locked="0"/>
    </xf>
    <xf numFmtId="49" fontId="79" fillId="0" borderId="3" xfId="0" applyNumberFormat="1" applyFont="1" applyFill="1" applyBorder="1" applyAlignment="1" applyProtection="1">
      <alignment horizontal="center" vertical="center" wrapText="1" shrinkToFit="1"/>
      <protection locked="0"/>
    </xf>
    <xf numFmtId="0" fontId="87" fillId="0" borderId="3" xfId="0" applyFont="1" applyFill="1" applyBorder="1" applyAlignment="1" applyProtection="1">
      <alignment horizontal="center" vertical="center" wrapText="1" shrinkToFit="1"/>
      <protection locked="0"/>
    </xf>
    <xf numFmtId="3" fontId="79" fillId="0" borderId="3" xfId="0" applyNumberFormat="1" applyFont="1" applyFill="1" applyBorder="1" applyAlignment="1" applyProtection="1">
      <alignment horizontal="center" vertical="center" wrapText="1" shrinkToFit="1"/>
      <protection locked="0"/>
    </xf>
    <xf numFmtId="189" fontId="79" fillId="0" borderId="3" xfId="0" applyNumberFormat="1" applyFont="1" applyFill="1" applyBorder="1" applyAlignment="1" applyProtection="1">
      <alignment horizontal="center" vertical="center" wrapText="1" shrinkToFit="1"/>
      <protection locked="0"/>
    </xf>
    <xf numFmtId="186" fontId="79" fillId="0" borderId="3" xfId="0" applyNumberFormat="1" applyFont="1" applyFill="1" applyBorder="1" applyAlignment="1" applyProtection="1">
      <alignment horizontal="center" vertical="center" wrapText="1" shrinkToFit="1"/>
      <protection locked="0"/>
    </xf>
    <xf numFmtId="0" fontId="86" fillId="0" borderId="3" xfId="0" applyNumberFormat="1" applyFont="1" applyFill="1" applyBorder="1" applyAlignment="1" applyProtection="1">
      <alignment horizontal="center" vertical="center" wrapText="1" shrinkToFit="1"/>
      <protection locked="0"/>
    </xf>
    <xf numFmtId="58" fontId="79" fillId="0" borderId="35" xfId="0" applyNumberFormat="1" applyFont="1" applyFill="1" applyBorder="1" applyAlignment="1" applyProtection="1">
      <alignment horizontal="center" vertical="center" wrapText="1" shrinkToFit="1"/>
      <protection locked="0"/>
    </xf>
    <xf numFmtId="187" fontId="79" fillId="0" borderId="3" xfId="0" applyNumberFormat="1" applyFont="1" applyFill="1" applyBorder="1" applyAlignment="1" applyProtection="1">
      <alignment horizontal="center" vertical="center" wrapText="1" shrinkToFit="1"/>
      <protection locked="0"/>
    </xf>
    <xf numFmtId="185" fontId="79" fillId="0" borderId="3" xfId="0" applyNumberFormat="1" applyFont="1" applyFill="1" applyBorder="1" applyAlignment="1" applyProtection="1">
      <alignment horizontal="center" vertical="center" wrapText="1" shrinkToFit="1"/>
      <protection locked="0"/>
    </xf>
    <xf numFmtId="0" fontId="85" fillId="0" borderId="36" xfId="0" applyFont="1" applyFill="1" applyBorder="1" applyAlignment="1" applyProtection="1">
      <alignment horizontal="center" vertical="center" wrapText="1" shrinkToFit="1"/>
      <protection locked="0"/>
    </xf>
    <xf numFmtId="0" fontId="86" fillId="0" borderId="3" xfId="0" applyFont="1" applyFill="1" applyBorder="1" applyAlignment="1" applyProtection="1">
      <alignment horizontal="center" vertical="center" wrapText="1" shrinkToFit="1"/>
      <protection locked="0"/>
    </xf>
    <xf numFmtId="0" fontId="79" fillId="0" borderId="5" xfId="0" applyFont="1" applyFill="1" applyBorder="1" applyAlignment="1" applyProtection="1">
      <alignment horizontal="center" vertical="center"/>
      <protection locked="0"/>
    </xf>
    <xf numFmtId="0" fontId="79" fillId="0" borderId="7" xfId="0" applyFont="1" applyFill="1" applyBorder="1" applyAlignment="1" applyProtection="1">
      <alignment horizontal="center" vertical="center"/>
      <protection locked="0"/>
    </xf>
    <xf numFmtId="189" fontId="79" fillId="0" borderId="3" xfId="0" applyNumberFormat="1" applyFont="1" applyFill="1" applyBorder="1" applyAlignment="1" applyProtection="1">
      <alignment horizontal="center" vertical="center"/>
      <protection locked="0"/>
    </xf>
    <xf numFmtId="0" fontId="79" fillId="0" borderId="5" xfId="0" applyFont="1" applyFill="1" applyBorder="1" applyAlignment="1" applyProtection="1">
      <alignment horizontal="center" vertical="center" wrapText="1" shrinkToFit="1"/>
      <protection locked="0"/>
    </xf>
    <xf numFmtId="0" fontId="12" fillId="0" borderId="3" xfId="0" applyFont="1" applyFill="1" applyBorder="1" applyAlignment="1" applyProtection="1">
      <alignment horizontal="center" vertical="center"/>
      <protection locked="0"/>
    </xf>
    <xf numFmtId="0" fontId="87" fillId="0" borderId="3" xfId="0" applyFont="1" applyFill="1" applyBorder="1" applyAlignment="1" applyProtection="1">
      <alignment horizontal="center" vertical="center"/>
      <protection locked="0"/>
    </xf>
    <xf numFmtId="179" fontId="79" fillId="0" borderId="35" xfId="0" applyNumberFormat="1" applyFont="1" applyFill="1" applyBorder="1" applyAlignment="1" applyProtection="1">
      <alignment horizontal="center" vertical="center" wrapText="1" shrinkToFit="1"/>
    </xf>
    <xf numFmtId="49" fontId="79" fillId="6" borderId="35" xfId="0" applyNumberFormat="1" applyFont="1" applyFill="1" applyBorder="1" applyAlignment="1" applyProtection="1">
      <alignment horizontal="center" vertical="center" wrapText="1"/>
      <protection locked="0"/>
    </xf>
    <xf numFmtId="0" fontId="119" fillId="6" borderId="35" xfId="0" applyNumberFormat="1" applyFont="1" applyFill="1" applyBorder="1" applyAlignment="1" applyProtection="1">
      <alignment horizontal="center" vertical="center" shrinkToFit="1"/>
      <protection locked="0"/>
    </xf>
    <xf numFmtId="0" fontId="86" fillId="15" borderId="35" xfId="0" applyNumberFormat="1" applyFont="1" applyFill="1" applyBorder="1" applyAlignment="1" applyProtection="1">
      <alignment horizontal="center" vertical="center"/>
      <protection locked="0"/>
    </xf>
    <xf numFmtId="0" fontId="86" fillId="17" borderId="35" xfId="0" applyFont="1" applyFill="1" applyBorder="1" applyAlignment="1" applyProtection="1">
      <alignment horizontal="center" vertical="center" wrapText="1"/>
      <protection locked="0"/>
    </xf>
    <xf numFmtId="189" fontId="79" fillId="0" borderId="35" xfId="0" applyNumberFormat="1" applyFont="1" applyFill="1" applyBorder="1" applyAlignment="1" applyProtection="1">
      <alignment horizontal="center" vertical="center" wrapText="1" shrinkToFit="1"/>
      <protection locked="0"/>
    </xf>
    <xf numFmtId="0" fontId="79" fillId="6" borderId="35" xfId="0" applyNumberFormat="1" applyFont="1" applyFill="1" applyBorder="1" applyAlignment="1" applyProtection="1">
      <alignment horizontal="center" vertical="center" wrapText="1" shrinkToFit="1"/>
      <protection locked="0"/>
    </xf>
    <xf numFmtId="185" fontId="79" fillId="0" borderId="35" xfId="0" applyNumberFormat="1" applyFont="1" applyFill="1" applyBorder="1" applyAlignment="1" applyProtection="1">
      <alignment horizontal="center" vertical="center" wrapText="1" shrinkToFit="1"/>
      <protection locked="0"/>
    </xf>
    <xf numFmtId="189" fontId="79" fillId="0" borderId="35" xfId="0" applyNumberFormat="1" applyFont="1" applyFill="1" applyBorder="1" applyAlignment="1" applyProtection="1">
      <alignment horizontal="center" vertical="center"/>
      <protection locked="0"/>
    </xf>
    <xf numFmtId="0" fontId="79" fillId="0" borderId="38" xfId="0" applyFont="1" applyFill="1" applyBorder="1" applyAlignment="1" applyProtection="1">
      <alignment horizontal="center" vertical="center"/>
      <protection locked="0"/>
    </xf>
    <xf numFmtId="0" fontId="79" fillId="0" borderId="39" xfId="0" applyFont="1" applyFill="1" applyBorder="1" applyAlignment="1" applyProtection="1">
      <alignment horizontal="center" vertical="center"/>
      <protection locked="0"/>
    </xf>
    <xf numFmtId="0" fontId="79" fillId="6" borderId="35" xfId="0" applyFont="1" applyFill="1" applyBorder="1" applyAlignment="1" applyProtection="1">
      <alignment horizontal="center" vertical="center"/>
      <protection locked="0"/>
    </xf>
    <xf numFmtId="0" fontId="87" fillId="6" borderId="35" xfId="0" applyFont="1" applyFill="1" applyBorder="1" applyAlignment="1" applyProtection="1">
      <alignment horizontal="center" vertical="center"/>
      <protection locked="0"/>
    </xf>
    <xf numFmtId="185" fontId="87" fillId="6" borderId="35" xfId="0" applyNumberFormat="1" applyFont="1" applyFill="1" applyBorder="1" applyAlignment="1" applyProtection="1">
      <alignment horizontal="center" vertical="center" wrapText="1" shrinkToFit="1"/>
      <protection locked="0"/>
    </xf>
    <xf numFmtId="0" fontId="85" fillId="6" borderId="37" xfId="0" applyFont="1" applyFill="1" applyBorder="1" applyAlignment="1" applyProtection="1">
      <alignment horizontal="center" vertical="center" wrapText="1" shrinkToFit="1"/>
      <protection locked="0"/>
    </xf>
    <xf numFmtId="3" fontId="79" fillId="6" borderId="3" xfId="0" applyNumberFormat="1" applyFont="1" applyFill="1" applyBorder="1" applyAlignment="1" applyProtection="1">
      <alignment horizontal="center" vertical="center" wrapText="1" shrinkToFit="1"/>
      <protection locked="0"/>
    </xf>
    <xf numFmtId="1" fontId="79" fillId="18" borderId="3" xfId="0" applyNumberFormat="1" applyFont="1" applyFill="1" applyBorder="1" applyAlignment="1" applyProtection="1">
      <alignment horizontal="center" vertical="center"/>
      <protection locked="0"/>
    </xf>
    <xf numFmtId="0" fontId="86" fillId="6" borderId="36" xfId="0" applyFont="1" applyFill="1" applyBorder="1" applyAlignment="1" applyProtection="1">
      <alignment horizontal="center" vertical="center"/>
      <protection locked="0"/>
    </xf>
    <xf numFmtId="49" fontId="86" fillId="0" borderId="36" xfId="0" applyNumberFormat="1" applyFont="1" applyFill="1" applyBorder="1" applyAlignment="1" applyProtection="1">
      <alignment horizontal="center" vertical="center" wrapText="1"/>
      <protection locked="0"/>
    </xf>
    <xf numFmtId="0" fontId="118" fillId="0" borderId="36" xfId="0" applyFont="1" applyFill="1" applyBorder="1" applyAlignment="1" applyProtection="1">
      <alignment horizontal="center" vertical="center" wrapText="1" shrinkToFit="1"/>
      <protection locked="0"/>
    </xf>
    <xf numFmtId="49" fontId="86" fillId="17" borderId="36" xfId="0" applyNumberFormat="1" applyFont="1" applyFill="1" applyBorder="1" applyAlignment="1" applyProtection="1">
      <alignment horizontal="center" vertical="center" wrapText="1"/>
      <protection locked="0"/>
    </xf>
    <xf numFmtId="0" fontId="85" fillId="0" borderId="36" xfId="0" applyFont="1" applyBorder="1" applyAlignment="1">
      <alignment horizontal="center" vertical="center"/>
    </xf>
    <xf numFmtId="0" fontId="85" fillId="0" borderId="3" xfId="0" applyFont="1" applyBorder="1" applyAlignment="1">
      <alignment horizontal="center" vertical="center"/>
    </xf>
    <xf numFmtId="49" fontId="79" fillId="17" borderId="3" xfId="0" applyNumberFormat="1" applyFont="1" applyFill="1" applyBorder="1" applyAlignment="1" applyProtection="1">
      <alignment horizontal="center" vertical="center" wrapText="1" shrinkToFit="1"/>
      <protection locked="0"/>
    </xf>
    <xf numFmtId="185" fontId="86" fillId="6" borderId="35" xfId="0" applyNumberFormat="1" applyFont="1" applyFill="1" applyBorder="1" applyAlignment="1" applyProtection="1">
      <alignment horizontal="center" vertical="center" wrapText="1" shrinkToFit="1"/>
      <protection locked="0"/>
    </xf>
    <xf numFmtId="0" fontId="91" fillId="0" borderId="0" xfId="0" applyFont="1">
      <alignment vertical="center"/>
    </xf>
    <xf numFmtId="185" fontId="79" fillId="6" borderId="35" xfId="0" applyNumberFormat="1" applyFont="1" applyFill="1" applyBorder="1" applyAlignment="1" applyProtection="1">
      <alignment horizontal="center" vertical="center" wrapText="1" shrinkToFit="1"/>
      <protection locked="0"/>
    </xf>
    <xf numFmtId="0" fontId="79" fillId="17" borderId="36" xfId="0" applyFont="1" applyFill="1" applyBorder="1" applyAlignment="1" applyProtection="1">
      <alignment horizontal="center" vertical="center" wrapText="1"/>
      <protection locked="0"/>
    </xf>
    <xf numFmtId="0" fontId="79" fillId="0" borderId="5" xfId="0" applyFont="1" applyFill="1" applyBorder="1" applyAlignment="1" applyProtection="1">
      <alignment horizontal="center" vertical="center" wrapText="1" shrinkToFit="1"/>
      <protection locked="0"/>
    </xf>
    <xf numFmtId="0" fontId="79" fillId="0" borderId="38" xfId="0" applyFont="1" applyFill="1" applyBorder="1" applyAlignment="1" applyProtection="1">
      <alignment horizontal="center" vertical="center" wrapText="1" shrinkToFit="1"/>
      <protection locked="0"/>
    </xf>
    <xf numFmtId="49" fontId="79" fillId="17" borderId="35" xfId="0" applyNumberFormat="1" applyFont="1" applyFill="1" applyBorder="1" applyAlignment="1" applyProtection="1">
      <alignment horizontal="center" vertical="center" wrapText="1" shrinkToFit="1"/>
      <protection locked="0"/>
    </xf>
    <xf numFmtId="0" fontId="12" fillId="0" borderId="3" xfId="0" applyFont="1" applyFill="1" applyBorder="1" applyAlignment="1" applyProtection="1">
      <alignment horizontal="center" vertical="center" wrapText="1"/>
      <protection locked="0"/>
    </xf>
    <xf numFmtId="0" fontId="87" fillId="18" borderId="35" xfId="0" applyFont="1" applyFill="1" applyBorder="1" applyAlignment="1" applyProtection="1">
      <alignment horizontal="center" vertical="center"/>
      <protection locked="0"/>
    </xf>
    <xf numFmtId="179" fontId="87" fillId="0" borderId="36" xfId="0" applyNumberFormat="1" applyFont="1" applyFill="1" applyBorder="1" applyAlignment="1" applyProtection="1">
      <alignment horizontal="center" vertical="center" wrapText="1" shrinkToFit="1"/>
    </xf>
    <xf numFmtId="0" fontId="87" fillId="0" borderId="36" xfId="0" applyFont="1" applyFill="1" applyBorder="1" applyAlignment="1" applyProtection="1">
      <alignment horizontal="center" vertical="center" wrapText="1"/>
      <protection locked="0"/>
    </xf>
    <xf numFmtId="0" fontId="87" fillId="0" borderId="36" xfId="0" applyNumberFormat="1" applyFont="1" applyFill="1" applyBorder="1" applyAlignment="1" applyProtection="1">
      <alignment horizontal="center" vertical="center"/>
      <protection locked="0"/>
    </xf>
    <xf numFmtId="49" fontId="87" fillId="0" borderId="36" xfId="0" applyNumberFormat="1" applyFont="1" applyFill="1" applyBorder="1" applyAlignment="1" applyProtection="1">
      <alignment horizontal="center" vertical="center" wrapText="1" shrinkToFit="1"/>
      <protection locked="0"/>
    </xf>
    <xf numFmtId="3" fontId="87" fillId="0" borderId="36" xfId="0" applyNumberFormat="1" applyFont="1" applyFill="1" applyBorder="1" applyAlignment="1" applyProtection="1">
      <alignment horizontal="center" vertical="center" wrapText="1" shrinkToFit="1"/>
      <protection locked="0"/>
    </xf>
    <xf numFmtId="0" fontId="79" fillId="0" borderId="36" xfId="0" applyFont="1" applyFill="1" applyBorder="1" applyAlignment="1" applyProtection="1">
      <alignment horizontal="center" vertical="center" wrapText="1"/>
      <protection locked="0"/>
    </xf>
    <xf numFmtId="0" fontId="87" fillId="18" borderId="36" xfId="0" applyFont="1" applyFill="1" applyBorder="1" applyAlignment="1" applyProtection="1">
      <alignment horizontal="center" vertical="center"/>
      <protection locked="0"/>
    </xf>
    <xf numFmtId="187" fontId="79" fillId="6" borderId="3" xfId="0" applyNumberFormat="1" applyFont="1" applyFill="1" applyBorder="1" applyAlignment="1" applyProtection="1">
      <alignment horizontal="center" vertical="center" wrapText="1" shrinkToFit="1"/>
      <protection locked="0"/>
    </xf>
    <xf numFmtId="0" fontId="12" fillId="0" borderId="3" xfId="0" applyFont="1" applyBorder="1">
      <alignment vertical="center"/>
    </xf>
    <xf numFmtId="0" fontId="87" fillId="6" borderId="3" xfId="0" applyNumberFormat="1" applyFont="1" applyFill="1" applyBorder="1" applyAlignment="1" applyProtection="1">
      <alignment horizontal="center" vertical="center" wrapText="1" shrinkToFit="1"/>
      <protection locked="0"/>
    </xf>
    <xf numFmtId="49" fontId="79" fillId="0" borderId="36" xfId="0" applyNumberFormat="1" applyFont="1" applyFill="1" applyBorder="1" applyAlignment="1" applyProtection="1">
      <alignment horizontal="center" vertical="center" wrapText="1" shrinkToFit="1"/>
      <protection locked="0"/>
    </xf>
    <xf numFmtId="3" fontId="79" fillId="0" borderId="36" xfId="0" applyNumberFormat="1" applyFont="1" applyFill="1" applyBorder="1" applyAlignment="1" applyProtection="1">
      <alignment horizontal="center" vertical="center" wrapText="1" shrinkToFit="1"/>
      <protection locked="0"/>
    </xf>
    <xf numFmtId="189" fontId="79" fillId="0" borderId="36" xfId="0" applyNumberFormat="1" applyFont="1" applyFill="1" applyBorder="1" applyAlignment="1" applyProtection="1">
      <alignment horizontal="center" vertical="center" wrapText="1" shrinkToFit="1"/>
      <protection locked="0"/>
    </xf>
    <xf numFmtId="186" fontId="79" fillId="6" borderId="36" xfId="0" applyNumberFormat="1" applyFont="1" applyFill="1" applyBorder="1" applyAlignment="1" applyProtection="1">
      <alignment horizontal="center" vertical="center" wrapText="1" shrinkToFit="1"/>
      <protection locked="0"/>
    </xf>
    <xf numFmtId="186" fontId="79" fillId="0" borderId="36" xfId="0" applyNumberFormat="1" applyFont="1" applyFill="1" applyBorder="1" applyAlignment="1" applyProtection="1">
      <alignment horizontal="center" vertical="center" wrapText="1" shrinkToFit="1"/>
      <protection locked="0"/>
    </xf>
    <xf numFmtId="185" fontId="79" fillId="0" borderId="36" xfId="0" applyNumberFormat="1" applyFont="1" applyFill="1" applyBorder="1" applyAlignment="1" applyProtection="1">
      <alignment horizontal="center" vertical="center" wrapText="1" shrinkToFit="1"/>
      <protection locked="0"/>
    </xf>
    <xf numFmtId="49" fontId="87" fillId="6" borderId="35" xfId="0" applyNumberFormat="1" applyFont="1" applyFill="1" applyBorder="1" applyAlignment="1" applyProtection="1">
      <alignment horizontal="center" vertical="center" wrapText="1" shrinkToFit="1"/>
      <protection locked="0"/>
    </xf>
    <xf numFmtId="0" fontId="87" fillId="6" borderId="35" xfId="0" applyNumberFormat="1" applyFont="1" applyFill="1" applyBorder="1" applyAlignment="1" applyProtection="1">
      <alignment horizontal="center" vertical="center" wrapText="1" shrinkToFit="1"/>
      <protection locked="0"/>
    </xf>
    <xf numFmtId="0" fontId="12" fillId="6" borderId="35" xfId="0" applyFont="1" applyFill="1" applyBorder="1" applyAlignment="1" applyProtection="1">
      <alignment horizontal="center" vertical="center" wrapText="1"/>
      <protection locked="0"/>
    </xf>
    <xf numFmtId="49" fontId="66" fillId="6" borderId="36" xfId="0" applyNumberFormat="1" applyFont="1" applyFill="1" applyBorder="1" applyAlignment="1" applyProtection="1">
      <alignment horizontal="center" vertical="center" wrapText="1" shrinkToFit="1"/>
      <protection locked="0"/>
    </xf>
    <xf numFmtId="3" fontId="66" fillId="6" borderId="36" xfId="0" applyNumberFormat="1" applyFont="1" applyFill="1" applyBorder="1" applyAlignment="1" applyProtection="1">
      <alignment horizontal="center" vertical="center" wrapText="1" shrinkToFit="1"/>
      <protection locked="0"/>
    </xf>
    <xf numFmtId="0" fontId="66" fillId="6" borderId="36" xfId="0" applyNumberFormat="1" applyFont="1" applyFill="1" applyBorder="1" applyAlignment="1" applyProtection="1">
      <alignment horizontal="center" vertical="center" wrapText="1" shrinkToFit="1"/>
      <protection locked="0"/>
    </xf>
    <xf numFmtId="187" fontId="66" fillId="6" borderId="36" xfId="0" applyNumberFormat="1" applyFont="1" applyFill="1" applyBorder="1" applyAlignment="1" applyProtection="1">
      <alignment horizontal="center" vertical="center" wrapText="1" shrinkToFit="1"/>
      <protection locked="0"/>
    </xf>
    <xf numFmtId="0" fontId="66" fillId="17" borderId="36" xfId="0" applyFont="1" applyFill="1" applyBorder="1" applyAlignment="1" applyProtection="1">
      <alignment horizontal="center" vertical="center"/>
      <protection locked="0"/>
    </xf>
    <xf numFmtId="0" fontId="65" fillId="0" borderId="36" xfId="0" applyFont="1" applyBorder="1" applyAlignment="1" applyProtection="1">
      <alignment horizontal="center" vertical="center" wrapText="1" shrinkToFit="1"/>
      <protection locked="0"/>
    </xf>
    <xf numFmtId="189" fontId="12" fillId="18" borderId="3" xfId="0" applyNumberFormat="1" applyFont="1" applyFill="1" applyBorder="1" applyAlignment="1" applyProtection="1">
      <alignment horizontal="center" vertical="center"/>
      <protection locked="0"/>
    </xf>
    <xf numFmtId="0" fontId="79" fillId="18" borderId="36" xfId="0" applyFont="1" applyFill="1" applyBorder="1" applyAlignment="1" applyProtection="1">
      <alignment horizontal="center" vertical="center"/>
      <protection locked="0"/>
    </xf>
    <xf numFmtId="0" fontId="79" fillId="6" borderId="36" xfId="0" applyFont="1" applyFill="1" applyBorder="1" applyAlignment="1" applyProtection="1">
      <alignment horizontal="center" vertical="center"/>
      <protection locked="0"/>
    </xf>
    <xf numFmtId="189" fontId="120" fillId="0" borderId="3" xfId="0" applyNumberFormat="1" applyFont="1" applyFill="1" applyBorder="1" applyAlignment="1" applyProtection="1">
      <alignment horizontal="center" vertical="center"/>
      <protection locked="0"/>
    </xf>
    <xf numFmtId="0" fontId="79" fillId="6" borderId="36" xfId="0" applyFont="1" applyFill="1" applyBorder="1" applyAlignment="1" applyProtection="1">
      <alignment horizontal="center" vertical="center" wrapText="1" shrinkToFit="1"/>
      <protection locked="0"/>
    </xf>
    <xf numFmtId="0" fontId="87" fillId="6" borderId="36" xfId="0" applyFont="1" applyFill="1" applyBorder="1" applyAlignment="1" applyProtection="1">
      <alignment horizontal="center" vertical="center"/>
      <protection locked="0"/>
    </xf>
    <xf numFmtId="185" fontId="87" fillId="6" borderId="36" xfId="0" applyNumberFormat="1" applyFont="1" applyFill="1" applyBorder="1" applyAlignment="1" applyProtection="1">
      <alignment horizontal="center" vertical="center" wrapText="1" shrinkToFit="1"/>
      <protection locked="0"/>
    </xf>
    <xf numFmtId="0" fontId="121" fillId="0" borderId="3" xfId="0" applyFont="1" applyFill="1" applyBorder="1" applyAlignment="1" applyProtection="1">
      <alignment horizontal="center" vertical="center" wrapText="1" shrinkToFit="1"/>
      <protection locked="0"/>
    </xf>
    <xf numFmtId="49" fontId="85" fillId="6" borderId="36" xfId="0" applyNumberFormat="1" applyFont="1" applyFill="1" applyBorder="1" applyAlignment="1">
      <alignment horizontal="center" vertical="center" wrapText="1" shrinkToFit="1"/>
    </xf>
    <xf numFmtId="49" fontId="79" fillId="6" borderId="35" xfId="0" applyNumberFormat="1" applyFont="1" applyFill="1" applyBorder="1" applyAlignment="1">
      <alignment horizontal="center" vertical="center" wrapText="1" shrinkToFit="1"/>
    </xf>
    <xf numFmtId="49" fontId="79" fillId="6" borderId="36" xfId="0" applyNumberFormat="1" applyFont="1" applyFill="1" applyBorder="1" applyAlignment="1">
      <alignment horizontal="center" vertical="center" wrapText="1" shrinkToFit="1"/>
    </xf>
    <xf numFmtId="49" fontId="85" fillId="6" borderId="35" xfId="0" applyNumberFormat="1" applyFont="1" applyFill="1" applyBorder="1" applyAlignment="1">
      <alignment horizontal="center" vertical="center" wrapText="1" shrinkToFit="1"/>
    </xf>
    <xf numFmtId="49" fontId="85" fillId="6" borderId="3" xfId="0" applyNumberFormat="1" applyFont="1" applyFill="1" applyBorder="1" applyAlignment="1">
      <alignment horizontal="center" vertical="center" wrapText="1" shrinkToFit="1"/>
    </xf>
    <xf numFmtId="0" fontId="87" fillId="0" borderId="38" xfId="0" applyNumberFormat="1" applyFont="1" applyFill="1" applyBorder="1" applyAlignment="1" applyProtection="1">
      <alignment horizontal="center" vertical="center"/>
      <protection locked="0"/>
    </xf>
    <xf numFmtId="49" fontId="85" fillId="6" borderId="39" xfId="0" applyNumberFormat="1" applyFont="1" applyFill="1" applyBorder="1" applyAlignment="1">
      <alignment horizontal="center" vertical="center" wrapText="1" shrinkToFit="1"/>
    </xf>
    <xf numFmtId="49" fontId="79" fillId="6" borderId="35" xfId="0" applyNumberFormat="1" applyFont="1" applyFill="1" applyBorder="1" applyAlignment="1" applyProtection="1">
      <alignment horizontal="center" vertical="center" wrapText="1" shrinkToFit="1"/>
      <protection locked="0"/>
    </xf>
    <xf numFmtId="49" fontId="79" fillId="6" borderId="3" xfId="0" applyNumberFormat="1" applyFont="1" applyFill="1" applyBorder="1" applyAlignment="1">
      <alignment horizontal="center" vertical="center" wrapText="1" shrinkToFit="1"/>
    </xf>
    <xf numFmtId="0" fontId="12" fillId="6" borderId="35" xfId="0" applyFont="1" applyFill="1" applyBorder="1" applyAlignment="1" applyProtection="1">
      <alignment horizontal="center" vertical="center"/>
      <protection locked="0"/>
    </xf>
    <xf numFmtId="0" fontId="12" fillId="0" borderId="41" xfId="0" applyFont="1" applyFill="1" applyBorder="1" applyAlignment="1" applyProtection="1">
      <alignment horizontal="center" vertical="center"/>
      <protection locked="0"/>
    </xf>
    <xf numFmtId="0" fontId="12" fillId="0" borderId="20" xfId="0" applyFont="1" applyFill="1" applyBorder="1" applyAlignment="1" applyProtection="1">
      <alignment horizontal="center" vertical="center"/>
      <protection locked="0"/>
    </xf>
    <xf numFmtId="49" fontId="87" fillId="0" borderId="39" xfId="0" applyNumberFormat="1" applyFont="1" applyFill="1" applyBorder="1" applyAlignment="1" applyProtection="1">
      <alignment horizontal="center" vertical="center" wrapText="1" shrinkToFit="1"/>
      <protection locked="0"/>
    </xf>
    <xf numFmtId="0" fontId="87" fillId="0" borderId="5" xfId="0" applyNumberFormat="1" applyFont="1" applyFill="1" applyBorder="1" applyAlignment="1" applyProtection="1">
      <alignment horizontal="center" vertical="center"/>
      <protection locked="0"/>
    </xf>
    <xf numFmtId="0" fontId="87" fillId="0" borderId="41" xfId="0" applyFont="1" applyFill="1" applyBorder="1" applyAlignment="1" applyProtection="1">
      <alignment horizontal="center" vertical="center" wrapText="1" shrinkToFit="1"/>
      <protection locked="0"/>
    </xf>
    <xf numFmtId="0" fontId="87" fillId="0" borderId="41" xfId="0" applyFont="1" applyFill="1" applyBorder="1" applyAlignment="1" applyProtection="1">
      <alignment horizontal="center" vertical="center"/>
      <protection locked="0"/>
    </xf>
    <xf numFmtId="187" fontId="79" fillId="6" borderId="36" xfId="0" applyNumberFormat="1" applyFont="1" applyFill="1" applyBorder="1" applyAlignment="1" applyProtection="1">
      <alignment horizontal="center" vertical="center" wrapText="1" shrinkToFit="1"/>
      <protection locked="0"/>
    </xf>
    <xf numFmtId="187" fontId="79" fillId="6" borderId="35" xfId="0" applyNumberFormat="1" applyFont="1" applyFill="1" applyBorder="1" applyAlignment="1" applyProtection="1">
      <alignment horizontal="center" vertical="center" wrapText="1" shrinkToFit="1"/>
      <protection locked="0"/>
    </xf>
    <xf numFmtId="49" fontId="79" fillId="6" borderId="36" xfId="0" applyNumberFormat="1" applyFont="1" applyFill="1" applyBorder="1" applyAlignment="1" applyProtection="1">
      <alignment horizontal="center" vertical="center" wrapText="1" shrinkToFit="1"/>
      <protection locked="0"/>
    </xf>
    <xf numFmtId="0" fontId="119" fillId="6" borderId="35" xfId="0" applyFont="1" applyFill="1" applyBorder="1" applyAlignment="1" applyProtection="1">
      <alignment horizontal="center" vertical="center" wrapText="1" shrinkToFit="1"/>
      <protection locked="0"/>
    </xf>
    <xf numFmtId="0" fontId="79" fillId="17" borderId="3" xfId="0" applyFont="1" applyFill="1" applyBorder="1" applyAlignment="1" applyProtection="1">
      <alignment horizontal="center" vertical="center"/>
      <protection locked="0"/>
    </xf>
    <xf numFmtId="3" fontId="87" fillId="6" borderId="3" xfId="0" applyNumberFormat="1" applyFont="1" applyFill="1" applyBorder="1" applyAlignment="1" applyProtection="1">
      <alignment horizontal="center" vertical="center" wrapText="1" shrinkToFit="1"/>
      <protection locked="0"/>
    </xf>
    <xf numFmtId="3" fontId="87" fillId="6" borderId="35" xfId="0" applyNumberFormat="1" applyFont="1" applyFill="1" applyBorder="1" applyAlignment="1" applyProtection="1">
      <alignment horizontal="center" vertical="center" wrapText="1" shrinkToFit="1"/>
      <protection locked="0"/>
    </xf>
    <xf numFmtId="186" fontId="87" fillId="17" borderId="3" xfId="0" applyNumberFormat="1" applyFont="1" applyFill="1" applyBorder="1" applyAlignment="1" applyProtection="1">
      <alignment horizontal="center" vertical="center" wrapText="1" shrinkToFit="1"/>
      <protection locked="0"/>
    </xf>
    <xf numFmtId="0" fontId="79" fillId="0" borderId="0" xfId="0" applyFont="1" applyFill="1" applyBorder="1" applyAlignment="1" applyProtection="1">
      <alignment horizontal="center" vertical="center"/>
      <protection locked="0"/>
    </xf>
    <xf numFmtId="0" fontId="79" fillId="0" borderId="36" xfId="0" applyNumberFormat="1" applyFont="1" applyFill="1" applyBorder="1" applyAlignment="1" applyProtection="1">
      <alignment horizontal="center" vertical="center"/>
      <protection locked="0"/>
    </xf>
    <xf numFmtId="0" fontId="79" fillId="17" borderId="36" xfId="0" applyFont="1" applyFill="1" applyBorder="1" applyAlignment="1" applyProtection="1">
      <alignment horizontal="center" vertical="center"/>
      <protection locked="0"/>
    </xf>
    <xf numFmtId="49" fontId="79" fillId="17" borderId="36" xfId="0" applyNumberFormat="1" applyFont="1" applyFill="1" applyBorder="1" applyAlignment="1" applyProtection="1">
      <alignment horizontal="center" vertical="center" wrapText="1" shrinkToFit="1"/>
      <protection locked="0"/>
    </xf>
    <xf numFmtId="186" fontId="79" fillId="17" borderId="36" xfId="0" applyNumberFormat="1" applyFont="1" applyFill="1" applyBorder="1" applyAlignment="1" applyProtection="1">
      <alignment horizontal="center" vertical="center" wrapText="1" shrinkToFit="1"/>
      <protection locked="0"/>
    </xf>
    <xf numFmtId="58" fontId="87" fillId="0" borderId="36" xfId="0" applyNumberFormat="1" applyFont="1" applyFill="1" applyBorder="1" applyAlignment="1" applyProtection="1">
      <alignment horizontal="center" vertical="center" wrapText="1" shrinkToFit="1"/>
      <protection locked="0"/>
    </xf>
    <xf numFmtId="0" fontId="119" fillId="17" borderId="36" xfId="0" applyFont="1" applyFill="1" applyBorder="1" applyAlignment="1">
      <alignment horizontal="center" vertical="center" wrapText="1"/>
    </xf>
    <xf numFmtId="191" fontId="79" fillId="0" borderId="36" xfId="0" applyNumberFormat="1" applyFont="1" applyFill="1" applyBorder="1" applyAlignment="1" applyProtection="1">
      <alignment horizontal="center" vertical="center" wrapText="1" shrinkToFit="1"/>
      <protection locked="0"/>
    </xf>
    <xf numFmtId="0" fontId="12" fillId="18" borderId="3" xfId="0" applyFont="1" applyFill="1" applyBorder="1" applyAlignment="1" applyProtection="1">
      <alignment horizontal="center" vertical="center"/>
      <protection locked="0"/>
    </xf>
    <xf numFmtId="0" fontId="12" fillId="6" borderId="0" xfId="0" applyFont="1" applyFill="1" applyBorder="1" applyAlignment="1" applyProtection="1">
      <alignment horizontal="center" vertical="center"/>
      <protection locked="0"/>
    </xf>
    <xf numFmtId="0" fontId="79" fillId="17" borderId="35" xfId="0" applyFont="1" applyFill="1" applyBorder="1" applyAlignment="1" applyProtection="1">
      <alignment horizontal="center" vertical="center"/>
      <protection locked="0"/>
    </xf>
    <xf numFmtId="187" fontId="79" fillId="17" borderId="35" xfId="0" applyNumberFormat="1" applyFont="1" applyFill="1" applyBorder="1" applyAlignment="1" applyProtection="1">
      <alignment horizontal="center" vertical="center" wrapText="1" shrinkToFit="1"/>
      <protection locked="0"/>
    </xf>
    <xf numFmtId="179" fontId="79" fillId="0" borderId="36" xfId="0" applyNumberFormat="1" applyFont="1" applyFill="1" applyBorder="1" applyAlignment="1" applyProtection="1">
      <alignment horizontal="center" vertical="center" wrapText="1" shrinkToFit="1"/>
    </xf>
    <xf numFmtId="0" fontId="79" fillId="0" borderId="36" xfId="0" applyFont="1" applyFill="1" applyBorder="1" applyAlignment="1" applyProtection="1">
      <alignment horizontal="center" vertical="center" wrapText="1"/>
      <protection locked="0"/>
    </xf>
    <xf numFmtId="0" fontId="79" fillId="0" borderId="36" xfId="0" applyFont="1" applyFill="1" applyBorder="1" applyAlignment="1" applyProtection="1">
      <alignment horizontal="center" vertical="center" wrapText="1" shrinkToFit="1"/>
      <protection locked="0"/>
    </xf>
    <xf numFmtId="0" fontId="79" fillId="0" borderId="36" xfId="0" applyFont="1" applyFill="1" applyBorder="1" applyAlignment="1" applyProtection="1">
      <alignment horizontal="center" vertical="center"/>
      <protection locked="0"/>
    </xf>
    <xf numFmtId="49" fontId="79" fillId="0" borderId="36" xfId="0" applyNumberFormat="1" applyFont="1" applyFill="1" applyBorder="1" applyAlignment="1" applyProtection="1">
      <alignment horizontal="center" vertical="center" wrapText="1" shrinkToFit="1"/>
      <protection locked="0"/>
    </xf>
    <xf numFmtId="3" fontId="79" fillId="0" borderId="36" xfId="0" applyNumberFormat="1" applyFont="1" applyFill="1" applyBorder="1" applyAlignment="1" applyProtection="1">
      <alignment horizontal="center" vertical="center" wrapText="1" shrinkToFit="1"/>
      <protection locked="0"/>
    </xf>
    <xf numFmtId="189" fontId="79" fillId="0" borderId="36" xfId="0" applyNumberFormat="1" applyFont="1" applyFill="1" applyBorder="1" applyAlignment="1" applyProtection="1">
      <alignment horizontal="center" vertical="center" wrapText="1" shrinkToFit="1"/>
      <protection locked="0"/>
    </xf>
    <xf numFmtId="186" fontId="79" fillId="0" borderId="36" xfId="0" applyNumberFormat="1" applyFont="1" applyFill="1" applyBorder="1" applyAlignment="1" applyProtection="1">
      <alignment horizontal="center" vertical="center" wrapText="1" shrinkToFit="1"/>
      <protection locked="0"/>
    </xf>
    <xf numFmtId="0" fontId="79" fillId="0" borderId="36" xfId="0" applyNumberFormat="1" applyFont="1" applyFill="1" applyBorder="1" applyAlignment="1" applyProtection="1">
      <alignment horizontal="center" vertical="center" wrapText="1" shrinkToFit="1"/>
      <protection locked="0"/>
    </xf>
    <xf numFmtId="187" fontId="79" fillId="0" borderId="36" xfId="0" applyNumberFormat="1" applyFont="1" applyFill="1" applyBorder="1" applyAlignment="1" applyProtection="1">
      <alignment horizontal="center" vertical="center" wrapText="1" shrinkToFit="1"/>
      <protection locked="0"/>
    </xf>
    <xf numFmtId="179" fontId="87" fillId="0" borderId="3" xfId="0" applyNumberFormat="1" applyFont="1" applyFill="1" applyBorder="1" applyAlignment="1" applyProtection="1">
      <alignment horizontal="center" vertical="center" wrapText="1" shrinkToFit="1"/>
    </xf>
    <xf numFmtId="0" fontId="87" fillId="0" borderId="35" xfId="0" applyFont="1" applyFill="1" applyBorder="1" applyAlignment="1" applyProtection="1">
      <alignment horizontal="center" vertical="center" wrapText="1"/>
      <protection locked="0"/>
    </xf>
    <xf numFmtId="0" fontId="87" fillId="0" borderId="35" xfId="0" applyFont="1" applyFill="1" applyBorder="1" applyAlignment="1" applyProtection="1">
      <alignment horizontal="center" vertical="center" wrapText="1" shrinkToFit="1"/>
      <protection locked="0"/>
    </xf>
    <xf numFmtId="0" fontId="87" fillId="0" borderId="35" xfId="0" applyFont="1" applyFill="1" applyBorder="1" applyAlignment="1" applyProtection="1">
      <alignment horizontal="center" vertical="center"/>
      <protection locked="0"/>
    </xf>
    <xf numFmtId="49" fontId="87" fillId="0" borderId="35" xfId="0" applyNumberFormat="1" applyFont="1" applyFill="1" applyBorder="1" applyAlignment="1" applyProtection="1">
      <alignment horizontal="center" vertical="center" wrapText="1" shrinkToFit="1"/>
      <protection locked="0"/>
    </xf>
    <xf numFmtId="3" fontId="87" fillId="0" borderId="35" xfId="0" applyNumberFormat="1" applyFont="1" applyFill="1" applyBorder="1" applyAlignment="1" applyProtection="1">
      <alignment horizontal="center" vertical="center" wrapText="1" shrinkToFit="1"/>
      <protection locked="0"/>
    </xf>
    <xf numFmtId="189" fontId="87" fillId="0" borderId="3" xfId="0" applyNumberFormat="1" applyFont="1" applyFill="1" applyBorder="1" applyAlignment="1" applyProtection="1">
      <alignment horizontal="center" vertical="center" wrapText="1" shrinkToFit="1"/>
      <protection locked="0"/>
    </xf>
    <xf numFmtId="186" fontId="87" fillId="0" borderId="35" xfId="0" applyNumberFormat="1" applyFont="1" applyFill="1" applyBorder="1" applyAlignment="1" applyProtection="1">
      <alignment horizontal="center" vertical="center" wrapText="1" shrinkToFit="1"/>
      <protection locked="0"/>
    </xf>
    <xf numFmtId="0" fontId="87" fillId="0" borderId="3" xfId="0" applyNumberFormat="1" applyFont="1" applyFill="1" applyBorder="1" applyAlignment="1" applyProtection="1">
      <alignment horizontal="center" vertical="center" wrapText="1" shrinkToFit="1"/>
      <protection locked="0"/>
    </xf>
    <xf numFmtId="187" fontId="79" fillId="0" borderId="35" xfId="0" applyNumberFormat="1" applyFont="1" applyFill="1" applyBorder="1" applyAlignment="1" applyProtection="1">
      <alignment horizontal="center" vertical="center" wrapText="1" shrinkToFit="1"/>
      <protection locked="0"/>
    </xf>
    <xf numFmtId="0" fontId="87" fillId="0" borderId="3" xfId="0" applyFont="1" applyFill="1" applyBorder="1" applyAlignment="1" applyProtection="1">
      <alignment horizontal="center" vertical="center" wrapText="1"/>
      <protection locked="0"/>
    </xf>
    <xf numFmtId="185" fontId="87" fillId="0" borderId="3" xfId="0" applyNumberFormat="1" applyFont="1" applyFill="1" applyBorder="1" applyAlignment="1" applyProtection="1">
      <alignment horizontal="center" vertical="center" wrapText="1" shrinkToFit="1"/>
      <protection locked="0"/>
    </xf>
    <xf numFmtId="0" fontId="87" fillId="0" borderId="5" xfId="0" applyFont="1" applyFill="1" applyBorder="1" applyAlignment="1" applyProtection="1">
      <alignment horizontal="center" vertical="center"/>
      <protection locked="0"/>
    </xf>
    <xf numFmtId="0" fontId="66" fillId="0" borderId="3" xfId="0" applyFont="1" applyFill="1" applyBorder="1" applyAlignment="1" applyProtection="1">
      <alignment horizontal="center" vertical="center"/>
      <protection locked="0"/>
    </xf>
    <xf numFmtId="0" fontId="87" fillId="0" borderId="7" xfId="0" applyFont="1" applyFill="1" applyBorder="1" applyAlignment="1" applyProtection="1">
      <alignment horizontal="center" vertical="center"/>
      <protection locked="0"/>
    </xf>
    <xf numFmtId="189" fontId="12" fillId="0" borderId="3" xfId="0" applyNumberFormat="1" applyFont="1" applyFill="1" applyBorder="1" applyAlignment="1" applyProtection="1">
      <alignment horizontal="center" vertical="center"/>
      <protection locked="0"/>
    </xf>
    <xf numFmtId="0" fontId="12" fillId="0" borderId="7" xfId="0" applyFont="1" applyFill="1" applyBorder="1" applyAlignment="1" applyProtection="1">
      <alignment horizontal="center" vertical="center"/>
      <protection locked="0"/>
    </xf>
    <xf numFmtId="0" fontId="79" fillId="0" borderId="36" xfId="0" applyNumberFormat="1" applyFont="1" applyFill="1" applyBorder="1" applyAlignment="1" applyProtection="1">
      <alignment horizontal="center" vertical="center" wrapText="1"/>
      <protection locked="0"/>
    </xf>
    <xf numFmtId="182" fontId="79" fillId="0" borderId="36" xfId="0" applyNumberFormat="1" applyFont="1" applyFill="1" applyBorder="1" applyAlignment="1" applyProtection="1">
      <alignment horizontal="center" vertical="center" wrapText="1"/>
      <protection locked="0"/>
    </xf>
    <xf numFmtId="0" fontId="119" fillId="0" borderId="36" xfId="0" applyNumberFormat="1" applyFont="1" applyFill="1" applyBorder="1" applyAlignment="1" applyProtection="1">
      <alignment horizontal="center" vertical="center" shrinkToFit="1"/>
      <protection locked="0"/>
    </xf>
    <xf numFmtId="49" fontId="79" fillId="0" borderId="36" xfId="0" applyNumberFormat="1" applyFont="1" applyFill="1" applyBorder="1" applyAlignment="1" applyProtection="1">
      <alignment horizontal="center" vertical="center" wrapText="1"/>
      <protection locked="0"/>
    </xf>
    <xf numFmtId="0" fontId="119" fillId="0" borderId="36" xfId="0" applyFont="1" applyFill="1" applyBorder="1" applyAlignment="1" applyProtection="1">
      <alignment horizontal="center" vertical="center" wrapText="1" shrinkToFit="1"/>
      <protection locked="0"/>
    </xf>
    <xf numFmtId="3" fontId="119" fillId="0" borderId="36" xfId="0" applyNumberFormat="1" applyFont="1" applyFill="1" applyBorder="1" applyAlignment="1" applyProtection="1">
      <alignment horizontal="center" vertical="center"/>
      <protection locked="0"/>
    </xf>
    <xf numFmtId="0" fontId="119" fillId="0" borderId="36" xfId="0" applyFont="1" applyFill="1" applyBorder="1" applyAlignment="1" applyProtection="1">
      <alignment horizontal="center" vertical="center"/>
      <protection locked="0"/>
    </xf>
    <xf numFmtId="192" fontId="79" fillId="0" borderId="36" xfId="0" applyNumberFormat="1" applyFont="1" applyFill="1" applyBorder="1" applyAlignment="1" applyProtection="1">
      <alignment horizontal="center" vertical="center" wrapText="1" shrinkToFit="1"/>
      <protection locked="0"/>
    </xf>
    <xf numFmtId="193" fontId="119" fillId="0" borderId="36" xfId="0" applyNumberFormat="1" applyFont="1" applyFill="1" applyBorder="1" applyAlignment="1" applyProtection="1">
      <alignment horizontal="center" vertical="center"/>
      <protection locked="0"/>
    </xf>
    <xf numFmtId="187" fontId="79" fillId="0" borderId="36" xfId="0" applyNumberFormat="1" applyFont="1" applyFill="1" applyBorder="1" applyAlignment="1" applyProtection="1">
      <alignment horizontal="center" vertical="center" wrapText="1" shrinkToFit="1"/>
      <protection locked="0"/>
    </xf>
    <xf numFmtId="187" fontId="79" fillId="17" borderId="36" xfId="0" applyNumberFormat="1" applyFont="1" applyFill="1" applyBorder="1" applyAlignment="1" applyProtection="1">
      <alignment horizontal="center" vertical="center" wrapText="1" shrinkToFit="1"/>
      <protection locked="0"/>
    </xf>
    <xf numFmtId="0" fontId="87" fillId="6" borderId="5" xfId="0" applyFont="1" applyFill="1" applyBorder="1" applyAlignment="1" applyProtection="1">
      <alignment horizontal="center" vertical="center"/>
      <protection locked="0"/>
    </xf>
    <xf numFmtId="0" fontId="79" fillId="0" borderId="35" xfId="0" applyFont="1" applyFill="1" applyBorder="1" applyAlignment="1" applyProtection="1">
      <alignment horizontal="center" vertical="center" wrapText="1"/>
      <protection locked="0"/>
    </xf>
    <xf numFmtId="0" fontId="79" fillId="0" borderId="35" xfId="0" applyFont="1" applyFill="1" applyBorder="1" applyAlignment="1" applyProtection="1">
      <alignment horizontal="center" vertical="center" wrapText="1" shrinkToFit="1"/>
      <protection locked="0"/>
    </xf>
    <xf numFmtId="0" fontId="79" fillId="0" borderId="35" xfId="0" applyNumberFormat="1" applyFont="1" applyFill="1" applyBorder="1" applyAlignment="1" applyProtection="1">
      <alignment horizontal="center" vertical="center"/>
      <protection locked="0"/>
    </xf>
    <xf numFmtId="49" fontId="79" fillId="0" borderId="35" xfId="0" applyNumberFormat="1" applyFont="1" applyFill="1" applyBorder="1" applyAlignment="1" applyProtection="1">
      <alignment horizontal="center" vertical="center" wrapText="1" shrinkToFit="1"/>
      <protection locked="0"/>
    </xf>
    <xf numFmtId="3" fontId="79" fillId="0" borderId="35" xfId="0" applyNumberFormat="1" applyFont="1" applyFill="1" applyBorder="1" applyAlignment="1" applyProtection="1">
      <alignment horizontal="center" vertical="center" wrapText="1" shrinkToFit="1"/>
      <protection locked="0"/>
    </xf>
    <xf numFmtId="186" fontId="79" fillId="0" borderId="35" xfId="0" applyNumberFormat="1" applyFont="1" applyFill="1" applyBorder="1" applyAlignment="1" applyProtection="1">
      <alignment horizontal="center" vertical="center" wrapText="1" shrinkToFit="1"/>
      <protection locked="0"/>
    </xf>
    <xf numFmtId="0" fontId="85" fillId="0" borderId="36" xfId="0" applyFont="1" applyFill="1" applyBorder="1" applyAlignment="1" applyProtection="1">
      <alignment horizontal="center" vertical="center" wrapText="1" shrinkToFit="1"/>
      <protection locked="0"/>
    </xf>
    <xf numFmtId="187" fontId="110" fillId="0" borderId="35" xfId="0" applyNumberFormat="1" applyFont="1" applyFill="1" applyBorder="1" applyAlignment="1" applyProtection="1">
      <alignment horizontal="center" vertical="center" wrapText="1" shrinkToFit="1"/>
      <protection locked="0"/>
    </xf>
    <xf numFmtId="187" fontId="79" fillId="0" borderId="38" xfId="0" applyNumberFormat="1" applyFont="1" applyFill="1" applyBorder="1" applyAlignment="1" applyProtection="1">
      <alignment horizontal="center" vertical="center" wrapText="1" shrinkToFit="1"/>
      <protection locked="0"/>
    </xf>
    <xf numFmtId="58" fontId="79" fillId="17" borderId="35" xfId="0" applyNumberFormat="1" applyFont="1" applyFill="1" applyBorder="1" applyAlignment="1" applyProtection="1">
      <alignment horizontal="center" vertical="center" wrapText="1" shrinkToFit="1"/>
      <protection locked="0"/>
    </xf>
    <xf numFmtId="0" fontId="79" fillId="0" borderId="39" xfId="0" applyFont="1" applyFill="1" applyBorder="1" applyAlignment="1" applyProtection="1">
      <alignment horizontal="center" vertical="center" wrapText="1"/>
      <protection locked="0"/>
    </xf>
    <xf numFmtId="192" fontId="79" fillId="0" borderId="35" xfId="0" applyNumberFormat="1" applyFont="1" applyFill="1" applyBorder="1" applyAlignment="1" applyProtection="1">
      <alignment horizontal="center" vertical="center" wrapText="1" shrinkToFit="1"/>
      <protection locked="0"/>
    </xf>
    <xf numFmtId="193" fontId="119" fillId="0" borderId="3" xfId="0" applyNumberFormat="1" applyFont="1" applyFill="1" applyBorder="1" applyAlignment="1" applyProtection="1">
      <alignment horizontal="center" vertical="center"/>
      <protection locked="0"/>
    </xf>
    <xf numFmtId="187" fontId="79" fillId="0" borderId="20" xfId="0" applyNumberFormat="1" applyFont="1" applyFill="1" applyBorder="1" applyAlignment="1" applyProtection="1">
      <alignment horizontal="center" vertical="center" wrapText="1" shrinkToFit="1"/>
      <protection locked="0"/>
    </xf>
    <xf numFmtId="0" fontId="85" fillId="0" borderId="37" xfId="0" applyFont="1" applyFill="1" applyBorder="1" applyAlignment="1" applyProtection="1">
      <alignment horizontal="center" vertical="center" wrapText="1" shrinkToFit="1"/>
      <protection locked="0"/>
    </xf>
    <xf numFmtId="0" fontId="79" fillId="0" borderId="3" xfId="0" applyNumberFormat="1" applyFont="1" applyFill="1" applyBorder="1" applyAlignment="1" applyProtection="1">
      <alignment horizontal="center" vertical="center" wrapText="1"/>
      <protection locked="0"/>
    </xf>
    <xf numFmtId="182" fontId="79" fillId="0" borderId="3" xfId="0" applyNumberFormat="1" applyFont="1" applyFill="1" applyBorder="1" applyAlignment="1" applyProtection="1">
      <alignment horizontal="center" vertical="center" wrapText="1"/>
      <protection locked="0"/>
    </xf>
    <xf numFmtId="0" fontId="119" fillId="0" borderId="3" xfId="0" applyNumberFormat="1" applyFont="1" applyFill="1" applyBorder="1" applyAlignment="1" applyProtection="1">
      <alignment horizontal="center" vertical="center" shrinkToFit="1"/>
      <protection locked="0"/>
    </xf>
    <xf numFmtId="49" fontId="79" fillId="0" borderId="3" xfId="0" applyNumberFormat="1" applyFont="1" applyFill="1" applyBorder="1" applyAlignment="1" applyProtection="1">
      <alignment horizontal="center" vertical="center" wrapText="1"/>
      <protection locked="0"/>
    </xf>
    <xf numFmtId="3" fontId="119" fillId="0" borderId="3" xfId="0" applyNumberFormat="1" applyFont="1" applyFill="1" applyBorder="1" applyAlignment="1" applyProtection="1">
      <alignment horizontal="center" vertical="center"/>
      <protection locked="0"/>
    </xf>
    <xf numFmtId="0" fontId="119" fillId="0" borderId="3" xfId="0" applyFont="1" applyFill="1" applyBorder="1" applyAlignment="1" applyProtection="1">
      <alignment horizontal="center" vertical="center"/>
      <protection locked="0"/>
    </xf>
    <xf numFmtId="192" fontId="79" fillId="0" borderId="3" xfId="0" applyNumberFormat="1" applyFont="1" applyFill="1" applyBorder="1" applyAlignment="1" applyProtection="1">
      <alignment horizontal="center" vertical="center" wrapText="1" shrinkToFit="1"/>
      <protection locked="0"/>
    </xf>
    <xf numFmtId="191" fontId="79" fillId="0" borderId="36" xfId="0" applyNumberFormat="1" applyFont="1" applyFill="1" applyBorder="1" applyAlignment="1" applyProtection="1">
      <alignment horizontal="center" vertical="center" wrapText="1"/>
      <protection locked="0"/>
    </xf>
    <xf numFmtId="0" fontId="107" fillId="0" borderId="3" xfId="0" applyFont="1" applyFill="1" applyBorder="1">
      <alignment vertical="center"/>
    </xf>
    <xf numFmtId="188" fontId="107" fillId="0" borderId="3" xfId="0" applyNumberFormat="1" applyFont="1" applyFill="1" applyBorder="1" applyAlignment="1" applyProtection="1">
      <alignment horizontal="center" vertical="center" wrapText="1"/>
      <protection locked="0"/>
    </xf>
    <xf numFmtId="188" fontId="107" fillId="0" borderId="36" xfId="0" applyNumberFormat="1" applyFont="1" applyFill="1" applyBorder="1" applyAlignment="1" applyProtection="1">
      <alignment horizontal="center" vertical="center" wrapText="1"/>
      <protection locked="0"/>
    </xf>
    <xf numFmtId="179" fontId="107" fillId="0" borderId="37" xfId="0" applyNumberFormat="1" applyFont="1" applyFill="1" applyBorder="1" applyAlignment="1" applyProtection="1">
      <alignment horizontal="center" vertical="center" wrapText="1" shrinkToFit="1"/>
    </xf>
    <xf numFmtId="0" fontId="107" fillId="0" borderId="37" xfId="0" applyFont="1" applyFill="1" applyBorder="1" applyAlignment="1" applyProtection="1">
      <alignment horizontal="center" vertical="center" wrapText="1"/>
      <protection locked="0"/>
    </xf>
    <xf numFmtId="0" fontId="107" fillId="0" borderId="37" xfId="0" applyFont="1" applyFill="1" applyBorder="1" applyAlignment="1" applyProtection="1">
      <alignment horizontal="center" vertical="center" wrapText="1" shrinkToFit="1"/>
      <protection locked="0"/>
    </xf>
    <xf numFmtId="0" fontId="107" fillId="0" borderId="37" xfId="0" applyFont="1" applyFill="1" applyBorder="1" applyAlignment="1" applyProtection="1">
      <alignment horizontal="center" vertical="center"/>
      <protection locked="0"/>
    </xf>
    <xf numFmtId="49" fontId="107" fillId="0" borderId="37" xfId="0" applyNumberFormat="1" applyFont="1" applyFill="1" applyBorder="1" applyAlignment="1" applyProtection="1">
      <alignment horizontal="center" vertical="center" wrapText="1" shrinkToFit="1"/>
      <protection locked="0"/>
    </xf>
    <xf numFmtId="189" fontId="107" fillId="0" borderId="37" xfId="0" applyNumberFormat="1" applyFont="1" applyFill="1" applyBorder="1" applyAlignment="1" applyProtection="1">
      <alignment horizontal="center" vertical="center" wrapText="1" shrinkToFit="1"/>
      <protection locked="0"/>
    </xf>
    <xf numFmtId="186" fontId="107" fillId="0" borderId="37" xfId="0" applyNumberFormat="1" applyFont="1" applyFill="1" applyBorder="1" applyAlignment="1" applyProtection="1">
      <alignment horizontal="center" vertical="center" wrapText="1" shrinkToFit="1"/>
      <protection locked="0"/>
    </xf>
    <xf numFmtId="0" fontId="107" fillId="0" borderId="37" xfId="0" applyNumberFormat="1" applyFont="1" applyFill="1" applyBorder="1" applyAlignment="1" applyProtection="1">
      <alignment horizontal="center" vertical="center" wrapText="1" shrinkToFit="1"/>
      <protection locked="0"/>
    </xf>
    <xf numFmtId="188" fontId="107" fillId="0" borderId="37" xfId="0" applyNumberFormat="1" applyFont="1" applyFill="1" applyBorder="1" applyAlignment="1" applyProtection="1">
      <alignment horizontal="center" vertical="center" wrapText="1"/>
      <protection locked="0"/>
    </xf>
    <xf numFmtId="185" fontId="107" fillId="0" borderId="37" xfId="0" applyNumberFormat="1" applyFont="1" applyFill="1" applyBorder="1" applyAlignment="1" applyProtection="1">
      <alignment horizontal="center" vertical="center" wrapText="1" shrinkToFit="1"/>
      <protection locked="0"/>
    </xf>
    <xf numFmtId="179" fontId="107" fillId="0" borderId="40" xfId="0" applyNumberFormat="1" applyFont="1" applyFill="1" applyBorder="1" applyAlignment="1" applyProtection="1">
      <alignment horizontal="center" vertical="center" wrapText="1" shrinkToFit="1"/>
    </xf>
    <xf numFmtId="0" fontId="107" fillId="0" borderId="40" xfId="0" applyFont="1" applyFill="1" applyBorder="1" applyAlignment="1" applyProtection="1">
      <alignment horizontal="center" vertical="center" wrapText="1"/>
      <protection locked="0"/>
    </xf>
    <xf numFmtId="0" fontId="107" fillId="0" borderId="40" xfId="0" applyFont="1" applyFill="1" applyBorder="1" applyAlignment="1" applyProtection="1">
      <alignment horizontal="center" vertical="center" wrapText="1" shrinkToFit="1"/>
      <protection locked="0"/>
    </xf>
    <xf numFmtId="0" fontId="107" fillId="0" borderId="40" xfId="0" applyFont="1" applyFill="1" applyBorder="1" applyAlignment="1" applyProtection="1">
      <alignment horizontal="center" vertical="center"/>
      <protection locked="0"/>
    </xf>
    <xf numFmtId="49" fontId="107" fillId="0" borderId="40" xfId="0" applyNumberFormat="1" applyFont="1" applyFill="1" applyBorder="1" applyAlignment="1" applyProtection="1">
      <alignment horizontal="center" vertical="center" wrapText="1" shrinkToFit="1"/>
      <protection locked="0"/>
    </xf>
    <xf numFmtId="189" fontId="107" fillId="0" borderId="40" xfId="0" applyNumberFormat="1" applyFont="1" applyFill="1" applyBorder="1" applyAlignment="1" applyProtection="1">
      <alignment horizontal="center" vertical="center" wrapText="1" shrinkToFit="1"/>
      <protection locked="0"/>
    </xf>
    <xf numFmtId="186" fontId="107" fillId="0" borderId="40" xfId="0" applyNumberFormat="1" applyFont="1" applyFill="1" applyBorder="1" applyAlignment="1" applyProtection="1">
      <alignment horizontal="center" vertical="center" wrapText="1" shrinkToFit="1"/>
      <protection locked="0"/>
    </xf>
    <xf numFmtId="186" fontId="107" fillId="0" borderId="20" xfId="0" applyNumberFormat="1" applyFont="1" applyFill="1" applyBorder="1" applyAlignment="1" applyProtection="1">
      <alignment horizontal="center" vertical="center" wrapText="1" shrinkToFit="1"/>
      <protection locked="0"/>
    </xf>
    <xf numFmtId="0" fontId="107" fillId="0" borderId="20" xfId="0" applyNumberFormat="1" applyFont="1" applyFill="1" applyBorder="1" applyAlignment="1" applyProtection="1">
      <alignment horizontal="center" vertical="center" wrapText="1" shrinkToFit="1"/>
      <protection locked="0"/>
    </xf>
    <xf numFmtId="0" fontId="107" fillId="0" borderId="20" xfId="0" applyFont="1" applyFill="1" applyBorder="1" applyAlignment="1" applyProtection="1">
      <alignment horizontal="center" vertical="center" wrapText="1" shrinkToFit="1"/>
      <protection locked="0"/>
    </xf>
    <xf numFmtId="187" fontId="107" fillId="0" borderId="41" xfId="0" applyNumberFormat="1" applyFont="1" applyFill="1" applyBorder="1" applyAlignment="1" applyProtection="1">
      <alignment horizontal="center" vertical="center" wrapText="1" shrinkToFit="1"/>
      <protection locked="0"/>
    </xf>
    <xf numFmtId="187" fontId="107" fillId="0" borderId="20" xfId="0" applyNumberFormat="1" applyFont="1" applyFill="1" applyBorder="1" applyAlignment="1" applyProtection="1">
      <alignment horizontal="center" vertical="center" wrapText="1" shrinkToFit="1"/>
      <protection locked="0"/>
    </xf>
    <xf numFmtId="0" fontId="107" fillId="0" borderId="20" xfId="0" applyFont="1" applyFill="1" applyBorder="1" applyAlignment="1" applyProtection="1">
      <alignment horizontal="center" vertical="center"/>
      <protection locked="0"/>
    </xf>
    <xf numFmtId="0" fontId="107" fillId="0" borderId="20" xfId="0" applyFont="1" applyFill="1" applyBorder="1" applyAlignment="1" applyProtection="1">
      <alignment horizontal="center" vertical="center" wrapText="1"/>
      <protection locked="0"/>
    </xf>
    <xf numFmtId="188" fontId="107" fillId="0" borderId="20" xfId="0" applyNumberFormat="1" applyFont="1" applyFill="1" applyBorder="1" applyAlignment="1" applyProtection="1">
      <alignment horizontal="center" vertical="center" wrapText="1"/>
      <protection locked="0"/>
    </xf>
    <xf numFmtId="185" fontId="107" fillId="0" borderId="20" xfId="0" applyNumberFormat="1" applyFont="1" applyFill="1" applyBorder="1" applyAlignment="1" applyProtection="1">
      <alignment horizontal="center" vertical="center" wrapText="1" shrinkToFit="1"/>
      <protection locked="0"/>
    </xf>
    <xf numFmtId="0" fontId="107" fillId="0" borderId="43" xfId="0" applyFont="1" applyFill="1" applyBorder="1" applyAlignment="1" applyProtection="1">
      <alignment horizontal="center" vertical="center" wrapText="1" shrinkToFit="1"/>
      <protection locked="0"/>
    </xf>
    <xf numFmtId="0" fontId="107" fillId="0" borderId="28" xfId="0" applyFont="1" applyFill="1" applyBorder="1" applyAlignment="1" applyProtection="1">
      <alignment horizontal="center" vertical="center"/>
      <protection locked="0"/>
    </xf>
    <xf numFmtId="189" fontId="107" fillId="0" borderId="20" xfId="0" applyNumberFormat="1" applyFont="1" applyFill="1" applyBorder="1" applyAlignment="1" applyProtection="1">
      <alignment horizontal="center" vertical="center" wrapText="1" shrinkToFit="1"/>
      <protection locked="0"/>
    </xf>
    <xf numFmtId="186" fontId="79" fillId="0" borderId="36" xfId="0" applyNumberFormat="1" applyFont="1" applyBorder="1" applyAlignment="1">
      <alignment horizontal="center" vertical="center" wrapText="1" shrinkToFit="1"/>
    </xf>
    <xf numFmtId="0" fontId="79" fillId="0" borderId="36" xfId="0" applyFont="1" applyBorder="1" applyAlignment="1">
      <alignment horizontal="center" vertical="center" wrapText="1"/>
    </xf>
    <xf numFmtId="0" fontId="79" fillId="0" borderId="36" xfId="0" applyFont="1" applyBorder="1" applyAlignment="1">
      <alignment horizontal="center" vertical="center" wrapText="1" shrinkToFit="1"/>
    </xf>
    <xf numFmtId="189" fontId="79" fillId="0" borderId="36" xfId="0" applyNumberFormat="1" applyFont="1" applyBorder="1" applyAlignment="1">
      <alignment horizontal="center" vertical="center"/>
    </xf>
    <xf numFmtId="0" fontId="79" fillId="0" borderId="36" xfId="0" applyFont="1" applyBorder="1" applyAlignment="1">
      <alignment horizontal="center" vertical="center"/>
    </xf>
    <xf numFmtId="186" fontId="87" fillId="0" borderId="20" xfId="0" applyNumberFormat="1" applyFont="1" applyFill="1" applyBorder="1" applyAlignment="1" applyProtection="1">
      <alignment horizontal="center" vertical="center" wrapText="1" shrinkToFit="1"/>
      <protection locked="0"/>
    </xf>
    <xf numFmtId="0" fontId="87" fillId="0" borderId="20" xfId="0" applyNumberFormat="1" applyFont="1" applyFill="1" applyBorder="1" applyAlignment="1" applyProtection="1">
      <alignment horizontal="center" vertical="center" wrapText="1" shrinkToFit="1"/>
      <protection locked="0"/>
    </xf>
    <xf numFmtId="0" fontId="87" fillId="0" borderId="20" xfId="0" applyFont="1" applyFill="1" applyBorder="1" applyAlignment="1" applyProtection="1">
      <alignment horizontal="center" vertical="center" wrapText="1" shrinkToFit="1"/>
      <protection locked="0"/>
    </xf>
    <xf numFmtId="58" fontId="79" fillId="0" borderId="41" xfId="0" applyNumberFormat="1" applyFont="1" applyFill="1" applyBorder="1" applyAlignment="1" applyProtection="1">
      <alignment horizontal="center" vertical="center" wrapText="1" shrinkToFit="1"/>
      <protection locked="0"/>
    </xf>
    <xf numFmtId="0" fontId="79" fillId="0" borderId="20" xfId="0" applyFont="1" applyFill="1" applyBorder="1" applyAlignment="1" applyProtection="1">
      <alignment horizontal="center" vertical="center" wrapText="1"/>
      <protection locked="0"/>
    </xf>
    <xf numFmtId="0" fontId="87" fillId="0" borderId="20" xfId="0" applyFont="1" applyFill="1" applyBorder="1" applyAlignment="1" applyProtection="1">
      <alignment horizontal="center" vertical="center" wrapText="1"/>
      <protection locked="0"/>
    </xf>
    <xf numFmtId="0" fontId="87" fillId="0" borderId="20" xfId="0" applyFont="1" applyFill="1" applyBorder="1" applyAlignment="1" applyProtection="1">
      <alignment horizontal="center" vertical="center"/>
      <protection locked="0"/>
    </xf>
    <xf numFmtId="185" fontId="87" fillId="0" borderId="20" xfId="0" applyNumberFormat="1" applyFont="1" applyFill="1" applyBorder="1" applyAlignment="1" applyProtection="1">
      <alignment horizontal="center" vertical="center" wrapText="1" shrinkToFit="1"/>
      <protection locked="0"/>
    </xf>
    <xf numFmtId="0" fontId="79" fillId="0" borderId="20" xfId="0" applyFont="1" applyFill="1" applyBorder="1" applyAlignment="1" applyProtection="1">
      <alignment horizontal="center" vertical="center" wrapText="1" shrinkToFit="1"/>
      <protection locked="0"/>
    </xf>
    <xf numFmtId="0" fontId="79" fillId="0" borderId="20" xfId="0" applyFont="1" applyFill="1" applyBorder="1" applyAlignment="1" applyProtection="1">
      <alignment horizontal="center" vertical="center"/>
      <protection locked="0"/>
    </xf>
    <xf numFmtId="0" fontId="87" fillId="0" borderId="43" xfId="0" applyFont="1" applyFill="1" applyBorder="1" applyAlignment="1" applyProtection="1">
      <alignment horizontal="center" vertical="center"/>
      <protection locked="0"/>
    </xf>
    <xf numFmtId="0" fontId="66" fillId="0" borderId="20" xfId="0" applyFont="1" applyFill="1" applyBorder="1" applyAlignment="1" applyProtection="1">
      <alignment horizontal="center" vertical="center"/>
      <protection locked="0"/>
    </xf>
    <xf numFmtId="0" fontId="87" fillId="0" borderId="28" xfId="0" applyFont="1" applyFill="1" applyBorder="1" applyAlignment="1" applyProtection="1">
      <alignment horizontal="center" vertical="center"/>
      <protection locked="0"/>
    </xf>
    <xf numFmtId="189" fontId="12" fillId="0" borderId="20" xfId="0" applyNumberFormat="1" applyFont="1" applyFill="1" applyBorder="1" applyAlignment="1" applyProtection="1">
      <alignment horizontal="center" vertical="center"/>
      <protection locked="0"/>
    </xf>
    <xf numFmtId="190" fontId="107" fillId="0" borderId="3" xfId="0" applyNumberFormat="1" applyFont="1" applyFill="1" applyBorder="1" applyAlignment="1" applyProtection="1">
      <alignment horizontal="center" vertical="center" wrapText="1" shrinkToFit="1"/>
      <protection locked="0"/>
    </xf>
    <xf numFmtId="0" fontId="115" fillId="0" borderId="40" xfId="0" applyFont="1" applyBorder="1" applyAlignment="1" applyProtection="1">
      <alignment horizontal="center" vertical="center" wrapText="1" shrinkToFit="1"/>
      <protection locked="0"/>
    </xf>
    <xf numFmtId="0" fontId="85" fillId="0" borderId="40" xfId="0" applyFont="1" applyBorder="1" applyAlignment="1" applyProtection="1">
      <alignment horizontal="center" vertical="center" wrapText="1" shrinkToFit="1"/>
      <protection locked="0"/>
    </xf>
    <xf numFmtId="185" fontId="87" fillId="0" borderId="3" xfId="0" applyNumberFormat="1" applyFont="1" applyFill="1" applyBorder="1" applyAlignment="1">
      <alignment horizontal="center" vertical="center" wrapText="1" shrinkToFit="1"/>
    </xf>
    <xf numFmtId="0" fontId="117" fillId="0" borderId="0" xfId="0" applyFont="1" applyAlignment="1" applyProtection="1">
      <alignment horizontal="center" vertical="center"/>
      <protection locked="0"/>
    </xf>
    <xf numFmtId="0" fontId="107" fillId="0" borderId="3" xfId="0" applyNumberFormat="1" applyFont="1" applyFill="1" applyBorder="1" applyAlignment="1" applyProtection="1" quotePrefix="1">
      <alignment horizontal="center" vertical="center" wrapText="1" shrinkToFit="1"/>
      <protection locked="0"/>
    </xf>
    <xf numFmtId="49" fontId="107" fillId="0" borderId="3" xfId="0" applyNumberFormat="1" applyFont="1" applyFill="1" applyBorder="1" applyAlignment="1" applyProtection="1" quotePrefix="1">
      <alignment horizontal="center" vertical="center" wrapText="1" shrinkToFit="1"/>
      <protection locked="0"/>
    </xf>
    <xf numFmtId="0" fontId="107" fillId="0" borderId="35" xfId="0" applyNumberFormat="1" applyFont="1" applyFill="1" applyBorder="1" applyAlignment="1" applyProtection="1" quotePrefix="1">
      <alignment horizontal="center" vertical="center" wrapText="1" shrinkToFit="1"/>
      <protection locked="0"/>
    </xf>
    <xf numFmtId="0" fontId="107" fillId="6" borderId="3" xfId="0" applyNumberFormat="1" applyFont="1" applyFill="1" applyBorder="1" applyAlignment="1" applyProtection="1" quotePrefix="1">
      <alignment horizontal="center" vertical="center" wrapText="1" shrinkToFit="1"/>
      <protection locked="0"/>
    </xf>
    <xf numFmtId="0" fontId="107" fillId="6" borderId="3" xfId="0" applyNumberFormat="1" applyFont="1" applyFill="1" applyBorder="1" applyAlignment="1" applyProtection="1" quotePrefix="1">
      <alignment horizontal="center" vertical="center" wrapText="1"/>
      <protection locked="0"/>
    </xf>
    <xf numFmtId="0" fontId="107" fillId="0" borderId="36" xfId="0" applyNumberFormat="1" applyFont="1" applyFill="1" applyBorder="1" applyAlignment="1" applyProtection="1" quotePrefix="1">
      <alignment horizontal="center" vertical="center" wrapText="1" shrinkToFit="1"/>
      <protection locked="0"/>
    </xf>
    <xf numFmtId="0" fontId="87" fillId="0" borderId="3" xfId="0" applyNumberFormat="1" applyFont="1" applyFill="1" applyBorder="1" applyAlignment="1" applyProtection="1" quotePrefix="1">
      <alignment horizontal="center" vertical="center" wrapText="1" shrinkToFit="1"/>
      <protection locked="0"/>
    </xf>
    <xf numFmtId="0" fontId="86" fillId="0" borderId="3" xfId="0" applyNumberFormat="1" applyFont="1" applyFill="1" applyBorder="1" applyAlignment="1" applyProtection="1" quotePrefix="1">
      <alignment horizontal="center" vertical="center" wrapText="1" shrinkToFit="1"/>
      <protection locked="0"/>
    </xf>
    <xf numFmtId="0" fontId="86" fillId="0" borderId="35" xfId="0" applyNumberFormat="1" applyFont="1" applyFill="1" applyBorder="1" applyAlignment="1" applyProtection="1" quotePrefix="1">
      <alignment horizontal="center" vertical="center" wrapText="1" shrinkToFit="1"/>
      <protection locked="0"/>
    </xf>
    <xf numFmtId="0" fontId="86" fillId="6" borderId="3" xfId="0" applyNumberFormat="1" applyFont="1" applyFill="1" applyBorder="1" applyAlignment="1" applyProtection="1" quotePrefix="1">
      <alignment horizontal="center" vertical="center" wrapText="1" shrinkToFit="1"/>
      <protection locked="0"/>
    </xf>
    <xf numFmtId="0" fontId="85" fillId="0" borderId="36" xfId="0" applyFont="1" applyBorder="1" applyAlignment="1" quotePrefix="1">
      <alignment horizontal="center" vertical="center"/>
    </xf>
    <xf numFmtId="0" fontId="85" fillId="0" borderId="3" xfId="0" applyFont="1" applyBorder="1" applyAlignment="1" quotePrefix="1">
      <alignment horizontal="center" vertical="center"/>
    </xf>
    <xf numFmtId="0" fontId="79" fillId="0" borderId="35" xfId="0" applyNumberFormat="1" applyFont="1" applyFill="1" applyBorder="1" applyAlignment="1" applyProtection="1" quotePrefix="1">
      <alignment horizontal="center" vertical="center" wrapText="1" shrinkToFit="1"/>
      <protection locked="0"/>
    </xf>
    <xf numFmtId="0" fontId="79" fillId="0" borderId="3" xfId="0" applyNumberFormat="1" applyFont="1" applyFill="1" applyBorder="1" applyAlignment="1" applyProtection="1" quotePrefix="1">
      <alignment horizontal="center" vertical="center" wrapText="1" shrinkToFit="1"/>
      <protection locked="0"/>
    </xf>
    <xf numFmtId="0" fontId="79" fillId="0" borderId="36" xfId="0" applyNumberFormat="1" applyFont="1" applyFill="1" applyBorder="1" applyAlignment="1" applyProtection="1" quotePrefix="1">
      <alignment horizontal="center" vertical="center" wrapText="1" shrinkToFit="1"/>
      <protection locked="0"/>
    </xf>
    <xf numFmtId="0" fontId="79" fillId="0" borderId="35" xfId="0" applyFont="1" applyFill="1" applyBorder="1" applyAlignment="1" applyProtection="1" quotePrefix="1">
      <alignment horizontal="center" vertical="center" wrapText="1" shrinkToFit="1"/>
      <protection locked="0"/>
    </xf>
    <xf numFmtId="49" fontId="79" fillId="0" borderId="3" xfId="0" applyNumberFormat="1" applyFont="1" applyFill="1" applyBorder="1" applyAlignment="1" applyProtection="1" quotePrefix="1">
      <alignment horizontal="center" vertical="center" wrapText="1"/>
      <protection locked="0"/>
    </xf>
    <xf numFmtId="0" fontId="91" fillId="0" borderId="3" xfId="0" applyFont="1" applyFill="1" applyBorder="1" applyAlignment="1" applyProtection="1" quotePrefix="1">
      <alignment horizontal="center" vertical="center" wrapText="1" shrinkToFit="1"/>
      <protection locked="0"/>
    </xf>
    <xf numFmtId="0" fontId="91" fillId="6" borderId="3" xfId="0" applyFont="1" applyFill="1" applyBorder="1" applyAlignment="1" applyProtection="1" quotePrefix="1">
      <alignment horizontal="center" vertical="center" wrapText="1" shrinkToFit="1"/>
      <protection locked="0"/>
    </xf>
    <xf numFmtId="49" fontId="91" fillId="0" borderId="3" xfId="0" applyNumberFormat="1" applyFont="1" applyFill="1" applyBorder="1" applyAlignment="1" applyProtection="1" quotePrefix="1">
      <alignment horizontal="center" vertical="center" wrapText="1" shrinkToFit="1"/>
      <protection locked="0"/>
    </xf>
    <xf numFmtId="0" fontId="91" fillId="6" borderId="36" xfId="0" applyFont="1" applyFill="1" applyBorder="1" applyAlignment="1" applyProtection="1" quotePrefix="1">
      <alignment horizontal="center" vertical="center" wrapText="1" shrinkToFit="1"/>
      <protection locked="0"/>
    </xf>
    <xf numFmtId="0" fontId="93" fillId="0" borderId="3" xfId="0" applyFont="1" applyFill="1" applyBorder="1" applyAlignment="1" applyProtection="1" quotePrefix="1">
      <alignment horizontal="center" vertical="center" wrapText="1" shrinkToFit="1"/>
      <protection locked="0"/>
    </xf>
    <xf numFmtId="0" fontId="94" fillId="0" borderId="3" xfId="0" applyFont="1" applyFill="1" applyBorder="1" applyAlignment="1" applyProtection="1" quotePrefix="1">
      <alignment horizontal="center" vertical="center" wrapText="1" shrinkToFit="1"/>
      <protection locked="0"/>
    </xf>
    <xf numFmtId="0" fontId="91" fillId="0" borderId="37" xfId="0" applyFont="1" applyFill="1" applyBorder="1" applyAlignment="1" applyProtection="1" quotePrefix="1">
      <alignment horizontal="center" vertical="center" wrapText="1" shrinkToFit="1"/>
      <protection locked="0"/>
    </xf>
    <xf numFmtId="0" fontId="91" fillId="0" borderId="36" xfId="0" applyFont="1" applyFill="1" applyBorder="1" applyAlignment="1" applyProtection="1" quotePrefix="1">
      <alignment horizontal="center" vertical="center" wrapText="1" shrinkToFit="1"/>
      <protection locked="0"/>
    </xf>
    <xf numFmtId="0" fontId="95" fillId="0" borderId="3" xfId="0" applyFont="1" applyFill="1" applyBorder="1" applyAlignment="1" applyProtection="1" quotePrefix="1">
      <alignment horizontal="center" vertical="center" wrapText="1" shrinkToFit="1"/>
      <protection locked="0"/>
    </xf>
    <xf numFmtId="0" fontId="95" fillId="0" borderId="36" xfId="0" applyFont="1" applyFill="1" applyBorder="1" applyAlignment="1" applyProtection="1" quotePrefix="1">
      <alignment horizontal="center" vertical="center" wrapText="1" shrinkToFit="1"/>
      <protection locked="0"/>
    </xf>
    <xf numFmtId="0" fontId="93" fillId="0" borderId="36" xfId="0" applyFont="1" applyFill="1" applyBorder="1" applyAlignment="1" applyProtection="1" quotePrefix="1">
      <alignment horizontal="center" vertical="center" wrapText="1" shrinkToFit="1"/>
      <protection locked="0"/>
    </xf>
    <xf numFmtId="0" fontId="93" fillId="0" borderId="20" xfId="0" applyFont="1" applyFill="1" applyBorder="1" applyAlignment="1" applyProtection="1" quotePrefix="1">
      <alignment horizontal="center" vertical="center" wrapText="1" shrinkToFit="1"/>
      <protection locked="0"/>
    </xf>
    <xf numFmtId="0" fontId="85" fillId="0" borderId="36" xfId="0" applyFont="1" applyFill="1" applyBorder="1" applyAlignment="1" quotePrefix="1">
      <alignment horizontal="center" vertical="center" wrapText="1"/>
    </xf>
    <xf numFmtId="187" fontId="95" fillId="0" borderId="3" xfId="0" applyNumberFormat="1" applyFont="1" applyFill="1" applyBorder="1" applyAlignment="1" applyProtection="1" quotePrefix="1">
      <alignment horizontal="center" vertical="center" wrapText="1" shrinkToFit="1"/>
      <protection locked="0"/>
    </xf>
    <xf numFmtId="0" fontId="95" fillId="0" borderId="37" xfId="0" applyFont="1" applyFill="1" applyBorder="1" applyAlignment="1" applyProtection="1" quotePrefix="1">
      <alignment horizontal="center" vertical="center" wrapText="1" shrinkToFit="1"/>
      <protection locked="0"/>
    </xf>
    <xf numFmtId="0" fontId="95" fillId="0" borderId="37" xfId="0" applyFont="1" applyFill="1" applyBorder="1" applyAlignment="1" applyProtection="1" quotePrefix="1">
      <alignment horizontal="center" vertical="center" wrapText="1" shrinkToFit="1"/>
      <protection locked="0"/>
    </xf>
    <xf numFmtId="0" fontId="90" fillId="0" borderId="0" xfId="0" applyFont="1" applyFill="1" applyAlignment="1" applyProtection="1" quotePrefix="1">
      <alignment horizontal="center" vertical="center"/>
      <protection locked="0"/>
    </xf>
    <xf numFmtId="0" fontId="66" fillId="0" borderId="3" xfId="0" applyFont="1" applyFill="1" applyBorder="1" applyAlignment="1" applyProtection="1" quotePrefix="1">
      <alignment horizontal="center" vertical="center" wrapText="1" shrinkToFit="1"/>
      <protection locked="0"/>
    </xf>
  </cellXfs>
  <cellStyles count="57">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2 2 2" xfId="49"/>
    <cellStyle name="常规 2 5" xfId="50"/>
    <cellStyle name="常规 2 2" xfId="51"/>
    <cellStyle name="20% - 强调文字颜色 4 2 3 117" xfId="52"/>
    <cellStyle name="常规 3" xfId="53"/>
    <cellStyle name="常规 70" xfId="54"/>
    <cellStyle name="常规 4" xfId="55"/>
    <cellStyle name="千位分隔 2" xfId="56"/>
  </cellStyles>
  <dxfs count="5">
    <dxf>
      <font>
        <color rgb="FF9C0006"/>
      </font>
      <fill>
        <patternFill patternType="solid">
          <bgColor rgb="FFFFC7CE"/>
        </patternFill>
      </fill>
    </dxf>
    <dxf>
      <fill>
        <patternFill patternType="solid">
          <bgColor rgb="FFFFC7CE"/>
        </patternFill>
      </fill>
    </dxf>
    <dxf>
      <fill>
        <patternFill patternType="solid">
          <bgColor theme="5" tint="-0.25"/>
        </patternFill>
      </fill>
    </dxf>
    <dxf>
      <font>
        <color rgb="FFD73434"/>
      </font>
      <fill>
        <patternFill patternType="solid">
          <bgColor rgb="FFFEC8CE"/>
        </patternFill>
      </fill>
    </dxf>
    <dxf>
      <fill>
        <patternFill patternType="solid">
          <fgColor rgb="FFFFFF00"/>
          <bgColor rgb="FFFFFF00"/>
        </patternFill>
      </fill>
    </dxf>
  </dxfs>
  <tableStyles count="0" defaultTableStyle="TableStyleMedium2" defaultPivotStyle="PivotStyleLight16"/>
  <colors>
    <mruColors>
      <color rgb="00FFFFFF"/>
      <color rgb="0092D050"/>
      <color rgb="00F7241F"/>
      <color rgb="00010CDD"/>
      <color rgb="000000FF"/>
      <color rgb="000FB7FD"/>
      <color rgb="0000B0F0"/>
      <color rgb="00FF0000"/>
      <color rgb="00000000"/>
      <color rgb="00FFFF00"/>
    </mruColors>
  </colors>
  <extLst>
    <ext xmlns:x14="http://schemas.microsoft.com/office/spreadsheetml/2009/9/main" uri="{EB79DEF2-80B8-43e5-95BD-54CBDDF9020C}">
      <x14:slicerStyles defaultSlicerStyle="SlicerStyleLight1"/>
    </ext>
  </extLst>
</styleSheet>
</file>

<file path=xl/woinfos.xml><?xml version="1.0" encoding="utf-8"?>
<woInfos xmlns="https://web.wps.cn/et/2018/main" xmlns:s="http://schemas.openxmlformats.org/spreadsheetml/2006/main">
  <bookInfo cellCmpFml="8234" dbFileVersion="0" changeLogVersion="0">
    <open main="566" threadCnt="1"/>
    <sheetInfos>
      <sheetInfo cellCmpFml="4747" sheetStid="23">
        <open main="205" threadCnt="1"/>
      </sheetInfo>
      <sheetInfo cellCmpFml="2450" sheetStid="26">
        <open main="185" threadCnt="1"/>
      </sheetInfo>
      <sheetInfo cellCmpFml="853" sheetStid="15">
        <open main="42" threadCnt="1"/>
      </sheetInfo>
      <sheetInfo cellCmpFml="40" sheetStid="30">
        <open main="5" threadCnt="1"/>
      </sheetInfo>
      <sheetInfo cellCmpFml="27" sheetStid="24">
        <open main="2" threadCnt="1"/>
      </sheetInfo>
      <sheetInfo cellCmpFml="93" sheetStid="29">
        <open main="4" threadCnt="1"/>
      </sheetInfo>
      <sheetInfo cellCmpFml="24" sheetStid="18">
        <open main="1" threadCnt="1"/>
      </sheetInfo>
      <sheetInfo cellCmpFml="0" sheetStid="31">
        <open threadCnt="1"/>
      </sheetInfo>
    </sheetInfos>
  </bookInfo>
</woInfos>
</file>

<file path=xl/_rels/cellimages.xml.rels><?xml version="1.0" encoding="UTF-8" standalone="yes"?>
<Relationships xmlns="http://schemas.openxmlformats.org/package/2006/relationships"><Relationship Id="rId1" Type="http://schemas.openxmlformats.org/officeDocument/2006/relationships/image" Target="media/image1.png"/></Relationships>
</file>

<file path=xl/_rels/workbook.xml.rels><?xml version="1.0" encoding="UTF-8" standalone="yes"?>
<Relationships xmlns="http://schemas.openxmlformats.org/package/2006/relationships"><Relationship Id="rId9" Type="http://schemas.openxmlformats.org/officeDocument/2006/relationships/customXml" Target="../customXml/item1.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9" Type="http://www.wps.cn/officeDocument/2023/relationships/woinfos" Target="woinfos.xml"/><Relationship Id="rId18" Type="http://schemas.openxmlformats.org/officeDocument/2006/relationships/styles" Target="styles.xml"/><Relationship Id="rId17" Type="http://schemas.openxmlformats.org/officeDocument/2006/relationships/customXml" Target="../customXml/item5.xml"/><Relationship Id="rId16" Type="http://schemas.openxmlformats.org/officeDocument/2006/relationships/customXml" Target="../customXml/item4.xml"/><Relationship Id="rId15" Type="http://schemas.openxmlformats.org/officeDocument/2006/relationships/customXml" Target="../customXml/item3.xml"/><Relationship Id="rId14" Type="http://www.wps.cn/officeDocument/2020/cellImage" Target="cellimages.xml"/><Relationship Id="rId13" Type="http://schemas.openxmlformats.org/officeDocument/2006/relationships/sharedStrings" Target="sharedStrings.xml"/><Relationship Id="rId12" Type="http://schemas.openxmlformats.org/officeDocument/2006/relationships/theme" Target="theme/theme1.xml"/><Relationship Id="rId11" Type="http://schemas.openxmlformats.org/officeDocument/2006/relationships/customXml" Target="../customXml/item2.xml"/><Relationship Id="rId10" Type="http://schemas.openxmlformats.org/officeDocument/2006/relationships/externalLink" Target="externalLinks/externalLink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13</xdr:col>
      <xdr:colOff>228600</xdr:colOff>
      <xdr:row>3</xdr:row>
      <xdr:rowOff>17145</xdr:rowOff>
    </xdr:to>
    <xdr:pic>
      <xdr:nvPicPr>
        <xdr:cNvPr id="2" name="ID_5C636C62678E46B8A9808CB07A823E5A" descr="post_object_image_793101249"/>
        <xdr:cNvPicPr/>
      </xdr:nvPicPr>
      <xdr:blipFill>
        <a:blip r:embed="rId1"/>
        <a:stretch>
          <a:fillRect/>
        </a:stretch>
      </xdr:blipFill>
      <xdr:spPr>
        <a:xfrm>
          <a:off x="0" y="0"/>
          <a:ext cx="9144000" cy="5314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D:/xwechat_files/wxid_k0hesecteyjx22_ac67/msg/file/2026-03/Mini Vinyls Ratio R7-Costco - 4&#31181;&#24425;&#30418; &#32452;&#21512;(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彩盒配比"/>
      <sheetName val="组球配比表"/>
      <sheetName val="Sku List"/>
      <sheetName val="Playset"/>
    </sheetNames>
    <sheetDataSet>
      <sheetData sheetId="0"/>
      <sheetData sheetId="1"/>
      <sheetData sheetId="2">
        <row r="1">
          <cell r="B1" t="str">
            <v>Item No.</v>
          </cell>
          <cell r="C1" t="str">
            <v>Minis Name</v>
          </cell>
          <cell r="D1" t="str">
            <v>Catalogue</v>
          </cell>
          <cell r="E1" t="str">
            <v>Item Qty Per 100 segments (20 Capsules)</v>
          </cell>
          <cell r="F1" t="str">
            <v>Product per Capsule Ratio %</v>
          </cell>
        </row>
        <row r="2">
          <cell r="B2" t="str">
            <v>VINYL-S1-001</v>
          </cell>
          <cell r="C2" t="str">
            <v>Squabble Up - Kendrick Lamar </v>
          </cell>
          <cell r="D2" t="str">
            <v>C1</v>
          </cell>
          <cell r="E2">
            <v>2.86307053941909</v>
          </cell>
          <cell r="F2">
            <v>0.0286307053941909</v>
          </cell>
        </row>
        <row r="3">
          <cell r="B3" t="str">
            <v>VINYL-S1-002</v>
          </cell>
          <cell r="C3" t="str">
            <v>Low Down – Lil Baby</v>
          </cell>
          <cell r="D3" t="str">
            <v>C1</v>
          </cell>
          <cell r="E3">
            <v>2.86307053941909</v>
          </cell>
          <cell r="F3">
            <v>0.0286307053941909</v>
          </cell>
        </row>
        <row r="4">
          <cell r="B4" t="str">
            <v>VINYL-S1-004</v>
          </cell>
          <cell r="C4" t="str">
            <v>Message in a Bottle – Sting</v>
          </cell>
          <cell r="D4" t="str">
            <v>C2</v>
          </cell>
          <cell r="E4">
            <v>2.86307053941909</v>
          </cell>
          <cell r="F4">
            <v>0.0286307053941909</v>
          </cell>
        </row>
        <row r="5">
          <cell r="B5" t="str">
            <v>VINYL-S1-007</v>
          </cell>
          <cell r="C5" t="str">
            <v> Young Blood - 5 Seconds Of Summer</v>
          </cell>
          <cell r="D5" t="str">
            <v>C2</v>
          </cell>
          <cell r="E5">
            <v>2.86307053941909</v>
          </cell>
          <cell r="F5">
            <v>0.0286307053941909</v>
          </cell>
        </row>
        <row r="6">
          <cell r="B6" t="str">
            <v>VINYL-S1-008</v>
          </cell>
          <cell r="C6" t="str">
            <v>Sugar We’re Goin’ Down – Fall Out Boy</v>
          </cell>
          <cell r="D6" t="str">
            <v>C3</v>
          </cell>
          <cell r="E6">
            <v>2.86307053941909</v>
          </cell>
          <cell r="F6">
            <v>0.0286307053941909</v>
          </cell>
        </row>
        <row r="7">
          <cell r="B7" t="str">
            <v>VINYL-S1-010</v>
          </cell>
          <cell r="C7" t="str">
            <v>Imagination – Shawn Mendes</v>
          </cell>
          <cell r="D7" t="str">
            <v>C3</v>
          </cell>
          <cell r="E7">
            <v>2.86307053941909</v>
          </cell>
          <cell r="F7">
            <v>0.0286307053941909</v>
          </cell>
        </row>
        <row r="8">
          <cell r="B8" t="str">
            <v>VINYL-S1-017</v>
          </cell>
          <cell r="C8" t="str">
            <v>Last Friday Night - Katy Perry </v>
          </cell>
          <cell r="D8" t="str">
            <v>C4</v>
          </cell>
          <cell r="E8">
            <v>2.32365145228216</v>
          </cell>
          <cell r="F8">
            <v>0.0232365145228216</v>
          </cell>
        </row>
        <row r="9">
          <cell r="B9" t="str">
            <v>VINYL-S1-019</v>
          </cell>
          <cell r="C9" t="str">
            <v>Wild Thing – The Troggs</v>
          </cell>
          <cell r="D9" t="str">
            <v>C4</v>
          </cell>
          <cell r="E9">
            <v>2.32365145228216</v>
          </cell>
          <cell r="F9">
            <v>0.0232365145228216</v>
          </cell>
        </row>
        <row r="10">
          <cell r="B10" t="str">
            <v>VINYL-S1-020</v>
          </cell>
          <cell r="C10" t="str">
            <v>Woah – Lil Baby</v>
          </cell>
          <cell r="D10" t="str">
            <v>C5</v>
          </cell>
          <cell r="E10">
            <v>2.32365145228216</v>
          </cell>
          <cell r="F10">
            <v>0.0232365145228216</v>
          </cell>
        </row>
        <row r="11">
          <cell r="B11" t="str">
            <v>VINYL-S1-021</v>
          </cell>
          <cell r="C11" t="str">
            <v>Messy – Lola Young</v>
          </cell>
          <cell r="D11" t="str">
            <v>C5</v>
          </cell>
          <cell r="E11">
            <v>2.32365145228216</v>
          </cell>
          <cell r="F11">
            <v>0.0232365145228216</v>
          </cell>
        </row>
        <row r="12">
          <cell r="B12" t="str">
            <v>VINYL-S1-023</v>
          </cell>
          <cell r="C12" t="str">
            <v>Delicious – Nick Jonas</v>
          </cell>
          <cell r="D12" t="str">
            <v>C6</v>
          </cell>
          <cell r="E12">
            <v>2.32365145228216</v>
          </cell>
          <cell r="F12">
            <v>0.0232365145228216</v>
          </cell>
        </row>
        <row r="13">
          <cell r="B13" t="str">
            <v>VINYL-S1-025</v>
          </cell>
          <cell r="C13" t="str">
            <v>A Little Too Much – Shawn Mendes</v>
          </cell>
          <cell r="D13" t="str">
            <v>C6</v>
          </cell>
          <cell r="E13">
            <v>2.32365145228216</v>
          </cell>
          <cell r="F13">
            <v>0.0232365145228216</v>
          </cell>
        </row>
        <row r="14">
          <cell r="B14" t="str">
            <v>VINYL-S1-024</v>
          </cell>
          <cell r="C14" t="str">
            <v>Walking On The Sun - Smash Mouth</v>
          </cell>
          <cell r="D14" t="str">
            <v>C7</v>
          </cell>
          <cell r="E14">
            <v>2.44813278008299</v>
          </cell>
          <cell r="F14">
            <v>0.0244813278008299</v>
          </cell>
        </row>
        <row r="15">
          <cell r="B15" t="str">
            <v>VINYL-S1-026</v>
          </cell>
          <cell r="C15" t="str">
            <v>Can’t Imagine – Shawn Mendes</v>
          </cell>
          <cell r="D15" t="str">
            <v>C7</v>
          </cell>
          <cell r="E15">
            <v>2.44813278008299</v>
          </cell>
          <cell r="F15">
            <v>0.0244813278008299</v>
          </cell>
        </row>
        <row r="16">
          <cell r="B16" t="str">
            <v>VINYL-S1-027</v>
          </cell>
          <cell r="C16" t="str">
            <v>California Dreamin’ – The Mamas &amp; The Papas</v>
          </cell>
          <cell r="D16" t="str">
            <v>C8</v>
          </cell>
          <cell r="E16">
            <v>2.44813278008299</v>
          </cell>
          <cell r="F16">
            <v>0.0244813278008299</v>
          </cell>
        </row>
        <row r="17">
          <cell r="B17" t="str">
            <v>VINYL-S1-029</v>
          </cell>
          <cell r="C17" t="str">
            <v>Renegades – X Ambassadors</v>
          </cell>
          <cell r="D17" t="str">
            <v>C8</v>
          </cell>
          <cell r="E17">
            <v>2.44813278008299</v>
          </cell>
          <cell r="F17">
            <v>0.0244813278008299</v>
          </cell>
        </row>
        <row r="18">
          <cell r="B18" t="str">
            <v>VINYL-S1-030</v>
          </cell>
          <cell r="C18" t="str">
            <v>Shake Your Groove Thing – Peaches &amp; Herb</v>
          </cell>
          <cell r="D18" t="str">
            <v>C9</v>
          </cell>
          <cell r="E18">
            <v>2.44813278008299</v>
          </cell>
          <cell r="F18">
            <v>0.0244813278008299</v>
          </cell>
        </row>
        <row r="19">
          <cell r="B19" t="str">
            <v>VINYL-S1-032</v>
          </cell>
          <cell r="C19" t="str">
            <v>Born to be Wild – Steppenwolf</v>
          </cell>
          <cell r="D19" t="str">
            <v>C9</v>
          </cell>
          <cell r="E19">
            <v>2.44813278008299</v>
          </cell>
          <cell r="F19">
            <v>0.0244813278008299</v>
          </cell>
        </row>
        <row r="20">
          <cell r="B20" t="str">
            <v>VINYL-S1-033</v>
          </cell>
          <cell r="C20" t="str">
            <v>Beautiful Things - Benson Boone</v>
          </cell>
          <cell r="D20" t="str">
            <v>C10</v>
          </cell>
          <cell r="E20">
            <v>2.32365145228216</v>
          </cell>
          <cell r="F20">
            <v>0.0232365145228216</v>
          </cell>
        </row>
        <row r="21">
          <cell r="B21" t="str">
            <v>VINYL-S1-034</v>
          </cell>
          <cell r="C21" t="str">
            <v>Ordinary - Alex Warren</v>
          </cell>
          <cell r="D21" t="str">
            <v>C10</v>
          </cell>
          <cell r="E21">
            <v>2.32365145228216</v>
          </cell>
          <cell r="F21">
            <v>0.0232365145228216</v>
          </cell>
        </row>
        <row r="22">
          <cell r="B22" t="str">
            <v>VINYL-S1-035</v>
          </cell>
          <cell r="C22" t="str">
            <v>Here it Goes Again - OK Go </v>
          </cell>
          <cell r="D22" t="str">
            <v>C11</v>
          </cell>
          <cell r="E22">
            <v>2.32365145228216</v>
          </cell>
          <cell r="F22">
            <v>0.0232365145228216</v>
          </cell>
        </row>
        <row r="23">
          <cell r="B23" t="str">
            <v>VINYL-S1-037</v>
          </cell>
          <cell r="C23" t="str">
            <v> Good Luck Babe - Chapell Roan</v>
          </cell>
          <cell r="D23" t="str">
            <v>C11</v>
          </cell>
          <cell r="E23">
            <v>2.32365145228216</v>
          </cell>
          <cell r="F23">
            <v>0.0232365145228216</v>
          </cell>
        </row>
        <row r="24">
          <cell r="B24" t="str">
            <v>VINYL-S1-039</v>
          </cell>
          <cell r="C24" t="str">
            <v>Down – Marian Hill</v>
          </cell>
          <cell r="D24" t="str">
            <v>C12</v>
          </cell>
          <cell r="E24">
            <v>1.54910096818811</v>
          </cell>
          <cell r="F24">
            <v>0.0154910096818811</v>
          </cell>
        </row>
        <row r="25">
          <cell r="B25" t="str">
            <v>VINYL-S1-041</v>
          </cell>
          <cell r="C25" t="str">
            <v>If I Ever Lose My Faith – Sting</v>
          </cell>
          <cell r="D25" t="str">
            <v>C12</v>
          </cell>
          <cell r="E25">
            <v>1.54910096818811</v>
          </cell>
          <cell r="F25">
            <v>0.0154910096818811</v>
          </cell>
        </row>
        <row r="26">
          <cell r="B26" t="str">
            <v>VINYL-S1-042</v>
          </cell>
          <cell r="C26" t="str">
            <v>Centuries - Fall Out Boy </v>
          </cell>
          <cell r="D26" t="str">
            <v>C12</v>
          </cell>
          <cell r="E26">
            <v>1.54910096818811</v>
          </cell>
          <cell r="F26">
            <v>0.0154910096818811</v>
          </cell>
        </row>
        <row r="27">
          <cell r="B27" t="str">
            <v>VINYL-S1-005</v>
          </cell>
          <cell r="C27" t="str">
            <v>Dance, Dance – Fall Out Boy</v>
          </cell>
          <cell r="D27" t="str">
            <v>U1</v>
          </cell>
          <cell r="E27">
            <v>0.885200553250346</v>
          </cell>
          <cell r="F27">
            <v>0.00885200553250346</v>
          </cell>
        </row>
        <row r="28">
          <cell r="B28" t="str">
            <v>VINYL-S1-006</v>
          </cell>
          <cell r="C28" t="str">
            <v>Thunder – Imagine Dragons</v>
          </cell>
          <cell r="D28" t="str">
            <v>U1</v>
          </cell>
          <cell r="E28">
            <v>0.885200553250346</v>
          </cell>
          <cell r="F28">
            <v>0.00885200553250346</v>
          </cell>
        </row>
        <row r="29">
          <cell r="B29" t="str">
            <v>VINYL-S1-009</v>
          </cell>
          <cell r="C29" t="str">
            <v>Brick House – The Commodores</v>
          </cell>
          <cell r="D29" t="str">
            <v>U1</v>
          </cell>
          <cell r="E29">
            <v>0.885200553250346</v>
          </cell>
          <cell r="F29">
            <v>0.00885200553250346</v>
          </cell>
        </row>
        <row r="30">
          <cell r="B30" t="str">
            <v>VINYL-S1-013</v>
          </cell>
          <cell r="C30" t="str">
            <v>Sucker - Jonas Brothers </v>
          </cell>
          <cell r="D30" t="str">
            <v>U2</v>
          </cell>
          <cell r="E30">
            <v>0.968188105117566</v>
          </cell>
          <cell r="F30">
            <v>0.00968188105117567</v>
          </cell>
        </row>
        <row r="31">
          <cell r="B31" t="str">
            <v>VINYL-S1-016</v>
          </cell>
          <cell r="C31" t="str">
            <v>Man! I Feel Like A Woman! – Shania Twain</v>
          </cell>
          <cell r="D31" t="str">
            <v>U2</v>
          </cell>
          <cell r="E31">
            <v>0.968188105117566</v>
          </cell>
          <cell r="F31">
            <v>0.00968188105117567</v>
          </cell>
        </row>
        <row r="32">
          <cell r="B32" t="str">
            <v>VINYL-S1-022</v>
          </cell>
          <cell r="C32" t="str">
            <v>Sweet Home Alabama – Lynyrd Skynyrd</v>
          </cell>
          <cell r="D32" t="str">
            <v>U2</v>
          </cell>
          <cell r="E32">
            <v>0.968188105117566</v>
          </cell>
          <cell r="F32">
            <v>0.00968188105117567</v>
          </cell>
        </row>
        <row r="33">
          <cell r="B33" t="str">
            <v>VINYL-S1-031</v>
          </cell>
          <cell r="C33" t="str">
            <v>All Star - Smash Mouth</v>
          </cell>
          <cell r="D33" t="str">
            <v>U3</v>
          </cell>
          <cell r="E33">
            <v>1.32780082987552</v>
          </cell>
          <cell r="F33">
            <v>0.0132780082987552</v>
          </cell>
        </row>
        <row r="34">
          <cell r="B34" t="str">
            <v>VINYL-S1-038</v>
          </cell>
          <cell r="C34" t="str">
            <v>Pink Pony Club - Chapell Roan</v>
          </cell>
          <cell r="D34" t="str">
            <v>U3</v>
          </cell>
          <cell r="E34">
            <v>1.32780082987552</v>
          </cell>
          <cell r="F34">
            <v>0.0132780082987552</v>
          </cell>
        </row>
        <row r="35">
          <cell r="B35" t="str">
            <v>VINYL-S1-040</v>
          </cell>
          <cell r="C35" t="str">
            <v>Englishman In New York – Sting</v>
          </cell>
          <cell r="D35" t="str">
            <v>U3</v>
          </cell>
          <cell r="E35">
            <v>1.32780082987552</v>
          </cell>
          <cell r="F35">
            <v>0.0132780082987552</v>
          </cell>
        </row>
        <row r="36">
          <cell r="B36" t="str">
            <v>VINYL-S1-043</v>
          </cell>
          <cell r="C36" t="str">
            <v>My Songs Know What You Did In The Dark – Fall Out Boy</v>
          </cell>
          <cell r="D36" t="str">
            <v>U4</v>
          </cell>
          <cell r="E36">
            <v>1.2448132780083</v>
          </cell>
          <cell r="F36">
            <v>0.012448132780083</v>
          </cell>
        </row>
        <row r="37">
          <cell r="B37" t="str">
            <v>VINYL-S1-044</v>
          </cell>
          <cell r="C37" t="str">
            <v>Rock And Roll All Nite – KISS</v>
          </cell>
          <cell r="D37" t="str">
            <v>U4</v>
          </cell>
          <cell r="E37">
            <v>1.2448132780083</v>
          </cell>
          <cell r="F37">
            <v>0.012448132780083</v>
          </cell>
        </row>
        <row r="38">
          <cell r="B38" t="str">
            <v>VINYL-S1-045</v>
          </cell>
          <cell r="C38" t="str">
            <v>Super Freak – Rick James</v>
          </cell>
          <cell r="D38" t="str">
            <v>U4</v>
          </cell>
          <cell r="E38">
            <v>1.2448132780083</v>
          </cell>
          <cell r="F38">
            <v>0.012448132780083</v>
          </cell>
        </row>
        <row r="39">
          <cell r="B39" t="str">
            <v>VINYL-S1-003</v>
          </cell>
          <cell r="C39" t="str">
            <v>Every breath you Take – Sting</v>
          </cell>
          <cell r="D39" t="str">
            <v>R1</v>
          </cell>
          <cell r="E39">
            <v>1.32780082987552</v>
          </cell>
          <cell r="F39">
            <v>0.0132780082987552</v>
          </cell>
        </row>
        <row r="40">
          <cell r="B40" t="str">
            <v>VINYL-S1-012</v>
          </cell>
          <cell r="C40" t="str">
            <v>ABC – Jackson 5</v>
          </cell>
          <cell r="D40" t="str">
            <v>R1</v>
          </cell>
          <cell r="E40">
            <v>1.32780082987552</v>
          </cell>
          <cell r="F40">
            <v>0.0132780082987552</v>
          </cell>
        </row>
        <row r="41">
          <cell r="B41" t="str">
            <v>VINYL-S1-014</v>
          </cell>
          <cell r="C41" t="str">
            <v>Good Vibrations – The Beach Boys</v>
          </cell>
          <cell r="D41" t="str">
            <v>R1</v>
          </cell>
          <cell r="E41">
            <v>1.32780082987552</v>
          </cell>
          <cell r="F41">
            <v>0.0132780082987552</v>
          </cell>
        </row>
        <row r="42">
          <cell r="B42" t="str">
            <v>VINYL-S1-015</v>
          </cell>
          <cell r="C42" t="str">
            <v>Roar - Katy Perry </v>
          </cell>
          <cell r="D42" t="str">
            <v>R2</v>
          </cell>
          <cell r="E42">
            <v>0.885200553250346</v>
          </cell>
          <cell r="F42">
            <v>0.00885200553250346</v>
          </cell>
        </row>
        <row r="43">
          <cell r="B43" t="str">
            <v>VINYL-S1-018</v>
          </cell>
          <cell r="C43" t="str">
            <v>Not Like Us - Kendrick Lamar</v>
          </cell>
          <cell r="D43" t="str">
            <v>R2</v>
          </cell>
          <cell r="E43">
            <v>0.885200553250346</v>
          </cell>
          <cell r="F43">
            <v>0.00885200553250346</v>
          </cell>
        </row>
        <row r="44">
          <cell r="B44" t="str">
            <v>VINYL-S1-028</v>
          </cell>
          <cell r="C44" t="str">
            <v>Birds of a Feather – Billie Eilish </v>
          </cell>
          <cell r="D44" t="str">
            <v>R2</v>
          </cell>
          <cell r="E44">
            <v>0.885200553250346</v>
          </cell>
          <cell r="F44">
            <v>0.00885200553250346</v>
          </cell>
        </row>
        <row r="45">
          <cell r="B45" t="str">
            <v>VINYL-S1-A01</v>
          </cell>
          <cell r="C45" t="str">
            <v>Vinyl Shelf</v>
          </cell>
          <cell r="D45" t="str">
            <v>A1</v>
          </cell>
          <cell r="E45">
            <v>3.48547717842324</v>
          </cell>
          <cell r="F45">
            <v>0.0348547717842324</v>
          </cell>
        </row>
        <row r="46">
          <cell r="B46" t="str">
            <v>VINYL-S1-A02</v>
          </cell>
          <cell r="C46" t="str">
            <v>Crate</v>
          </cell>
        </row>
        <row r="46">
          <cell r="E46">
            <v>3.48547717842324</v>
          </cell>
          <cell r="F46">
            <v>0.0348547717842324</v>
          </cell>
        </row>
        <row r="47">
          <cell r="B47" t="str">
            <v>VINYL-S1-A03</v>
          </cell>
          <cell r="C47" t="str">
            <v>Headphone</v>
          </cell>
        </row>
        <row r="47">
          <cell r="E47">
            <v>3.48547717842324</v>
          </cell>
          <cell r="F47">
            <v>0.0348547717842324</v>
          </cell>
        </row>
        <row r="48">
          <cell r="B48" t="str">
            <v>VINYL-S1-A04</v>
          </cell>
          <cell r="C48" t="str">
            <v>Speak Box</v>
          </cell>
        </row>
        <row r="48">
          <cell r="E48">
            <v>3.48547717842324</v>
          </cell>
          <cell r="F48">
            <v>0.0348547717842324</v>
          </cell>
        </row>
        <row r="49">
          <cell r="B49" t="str">
            <v>VINYL-S1-A05</v>
          </cell>
          <cell r="C49" t="str">
            <v>Triangle Vinyl Record Stand</v>
          </cell>
        </row>
        <row r="49">
          <cell r="E49">
            <v>3.48547717842324</v>
          </cell>
          <cell r="F49">
            <v>0.0348547717842324</v>
          </cell>
        </row>
        <row r="50">
          <cell r="C50" t="str">
            <v>Black Vinyl Record Stand x 2</v>
          </cell>
        </row>
        <row r="51">
          <cell r="B51" t="str">
            <v>VINYL-S1-A06</v>
          </cell>
          <cell r="C51" t="str">
            <v>Music Award 1</v>
          </cell>
          <cell r="D51" t="str">
            <v>A2</v>
          </cell>
          <cell r="E51">
            <v>0.995850622406639</v>
          </cell>
          <cell r="F51">
            <v>0.0099585062240664</v>
          </cell>
        </row>
        <row r="52">
          <cell r="B52" t="str">
            <v>VINYL-S1-A07</v>
          </cell>
          <cell r="C52" t="str">
            <v>Music Award 2</v>
          </cell>
          <cell r="D52" t="str">
            <v>A2</v>
          </cell>
          <cell r="E52">
            <v>0.995850622406639</v>
          </cell>
          <cell r="F52">
            <v>0.0099585062240664</v>
          </cell>
        </row>
        <row r="53">
          <cell r="B53" t="str">
            <v>VINYL-S1-A08</v>
          </cell>
          <cell r="C53" t="str">
            <v>Gold Vinyl Records</v>
          </cell>
          <cell r="D53" t="str">
            <v>A3</v>
          </cell>
          <cell r="E53">
            <v>0.912863070539419</v>
          </cell>
          <cell r="F53">
            <v>0.0091286307053942</v>
          </cell>
        </row>
        <row r="55">
          <cell r="E55">
            <v>99.9999999999999</v>
          </cell>
          <cell r="F55">
            <v>1</v>
          </cell>
        </row>
        <row r="59">
          <cell r="B59" t="str">
            <v>Item No.</v>
          </cell>
          <cell r="C59" t="str">
            <v>Minis Name</v>
          </cell>
          <cell r="D59" t="str">
            <v>Catalogue</v>
          </cell>
          <cell r="E59" t="str">
            <v>Level</v>
          </cell>
          <cell r="F59" t="str">
            <v>QTY</v>
          </cell>
        </row>
        <row r="60">
          <cell r="B60" t="str">
            <v>VINYL-S1-A01</v>
          </cell>
          <cell r="C60" t="str">
            <v>Vinyl Shelf</v>
          </cell>
          <cell r="D60" t="str">
            <v>A1</v>
          </cell>
          <cell r="E60" t="str">
            <v>Accessories</v>
          </cell>
          <cell r="F60">
            <v>8000</v>
          </cell>
        </row>
        <row r="61">
          <cell r="B61" t="str">
            <v>VINYL-S1-A02</v>
          </cell>
          <cell r="C61" t="str">
            <v>Crate</v>
          </cell>
        </row>
        <row r="61">
          <cell r="E61" t="str">
            <v>Accessories</v>
          </cell>
          <cell r="F61">
            <v>8000</v>
          </cell>
        </row>
        <row r="62">
          <cell r="B62" t="str">
            <v>VINYL-S1-A03</v>
          </cell>
          <cell r="C62" t="str">
            <v>Headphone</v>
          </cell>
        </row>
        <row r="62">
          <cell r="E62" t="str">
            <v>Accessories</v>
          </cell>
          <cell r="F62">
            <v>8000</v>
          </cell>
        </row>
        <row r="63">
          <cell r="B63" t="str">
            <v>VINYL-S1-A04</v>
          </cell>
          <cell r="C63" t="str">
            <v>Speak Box</v>
          </cell>
        </row>
        <row r="63">
          <cell r="E63" t="str">
            <v>Accessories</v>
          </cell>
          <cell r="F63">
            <v>8000</v>
          </cell>
        </row>
        <row r="64">
          <cell r="B64" t="str">
            <v>VINYL-S1-A05</v>
          </cell>
          <cell r="C64" t="str">
            <v>Triangle Vinyl Record Stand</v>
          </cell>
        </row>
        <row r="64">
          <cell r="E64" t="str">
            <v>Accessories</v>
          </cell>
          <cell r="F64">
            <v>8000</v>
          </cell>
        </row>
        <row r="65">
          <cell r="C65" t="str">
            <v>Black Vinyl Record Stand x 2</v>
          </cell>
        </row>
        <row r="65">
          <cell r="E65" t="str">
            <v>Accessories</v>
          </cell>
          <cell r="F65">
            <v>8000</v>
          </cell>
        </row>
      </sheetData>
      <sheetData sheetId="3"/>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3.xml.rels><?xml version="1.0" encoding="UTF-8" standalone="yes"?>
<Relationships xmlns="http://schemas.openxmlformats.org/package/2006/relationships"><Relationship Id="rId4" Type="http://schemas.openxmlformats.org/officeDocument/2006/relationships/hyperlink" Target="https://BOL.COM" TargetMode="External"/><Relationship Id="rId3" Type="http://schemas.openxmlformats.org/officeDocument/2006/relationships/hyperlink" Target="mailto:jessi@zuru.com" TargetMode="External"/><Relationship Id="rId2" Type="http://schemas.openxmlformats.org/officeDocument/2006/relationships/vmlDrawing" Target="../drawings/vmlDrawing3.vml"/><Relationship Id="rId1" Type="http://schemas.openxmlformats.org/officeDocument/2006/relationships/comments" Target="../comments3.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autoPageBreaks="0"/>
  </sheetPr>
  <dimension ref="A1:DG1064"/>
  <sheetViews>
    <sheetView zoomScale="70" zoomScaleNormal="70" workbookViewId="0">
      <pane xSplit="14" topLeftCell="O1" activePane="topRight" state="frozen"/>
      <selection/>
      <selection pane="topRight" activeCell="O1" sqref="O1"/>
    </sheetView>
  </sheetViews>
  <sheetFormatPr defaultColWidth="9" defaultRowHeight="32.05" customHeight="1"/>
  <cols>
    <col min="1" max="1" width="12.95" style="1189" customWidth="1"/>
    <col min="2" max="2" width="13.95" style="293" customWidth="1"/>
    <col min="3" max="3" width="8.925" style="293" customWidth="1"/>
    <col min="4" max="4" width="18.9666666666667" style="293" customWidth="1"/>
    <col min="5" max="5" width="20.1583333333333" style="1190" customWidth="1"/>
    <col min="6" max="6" width="15.9416666666667" style="293" customWidth="1"/>
    <col min="7" max="7" width="18.2833333333333" style="293" customWidth="1"/>
    <col min="8" max="8" width="14.9083333333333" style="293" customWidth="1"/>
    <col min="9" max="12" width="8.13333333333333" style="293" customWidth="1"/>
    <col min="13" max="13" width="13.925" style="293" customWidth="1"/>
    <col min="14" max="14" width="14.1083333333333" style="293" customWidth="1"/>
    <col min="15" max="15" width="20.6333333333333" style="293" customWidth="1"/>
    <col min="16" max="16" width="11.6083333333333" style="293" customWidth="1"/>
    <col min="17" max="18" width="9.825" style="293" customWidth="1"/>
    <col min="19" max="19" width="9.3" style="293" customWidth="1"/>
    <col min="20" max="20" width="10.35" style="1191" customWidth="1"/>
    <col min="21" max="21" width="8.95" style="1191" customWidth="1"/>
    <col min="22" max="22" width="7.85833333333333" style="1192" customWidth="1"/>
    <col min="23" max="23" width="9.825" style="293" customWidth="1"/>
    <col min="24" max="24" width="9.55833333333333" style="293" customWidth="1"/>
    <col min="25" max="25" width="11.5916666666667" style="293" customWidth="1"/>
    <col min="26" max="27" width="13.0916666666667" style="293" customWidth="1"/>
    <col min="28" max="28" width="13.8666666666667" style="1190" customWidth="1"/>
    <col min="29" max="29" width="32.8416666666667" style="293" customWidth="1"/>
    <col min="30" max="30" width="12.2583333333333" style="293" customWidth="1"/>
    <col min="31" max="31" width="12.675" style="1193" customWidth="1"/>
    <col min="32" max="32" width="11.4166666666667" style="1194" customWidth="1"/>
    <col min="33" max="33" width="13.3916666666667" style="1170" customWidth="1"/>
    <col min="34" max="34" width="16.8833333333333" style="1170" customWidth="1"/>
    <col min="35" max="35" width="9.99166666666667" style="1170" customWidth="1"/>
    <col min="36" max="36" width="9.65" style="1170" customWidth="1"/>
    <col min="37" max="37" width="9" style="293" customWidth="1"/>
    <col min="38" max="38" width="9.3" style="293" customWidth="1"/>
    <col min="39" max="42" width="9" style="293" customWidth="1"/>
    <col min="43" max="43" width="10.65" style="293" customWidth="1"/>
    <col min="44" max="47" width="9" style="293" customWidth="1"/>
    <col min="48" max="48" width="9" style="1195" customWidth="1"/>
    <col min="49" max="49" width="9.95" style="1195" customWidth="1"/>
    <col min="50" max="51" width="10.65" style="293" customWidth="1"/>
    <col min="52" max="52" width="9.21666666666667" style="293" customWidth="1"/>
    <col min="53" max="61" width="9" style="293" customWidth="1"/>
    <col min="62" max="62" width="11.8833333333333" style="293" customWidth="1"/>
    <col min="63" max="65" width="10.05" style="293" customWidth="1"/>
    <col min="66" max="66" width="9.01666666666667" style="293" customWidth="1"/>
    <col min="67" max="68" width="9.39166666666667" style="293" customWidth="1"/>
    <col min="69" max="69" width="9" style="293"/>
    <col min="70" max="70" width="9.38333333333333" style="293"/>
    <col min="71" max="72" width="9" style="293"/>
    <col min="73" max="73" width="8.55" style="293" customWidth="1"/>
    <col min="74" max="74" width="11.8833333333333" style="293"/>
    <col min="75" max="75" width="12.8" style="293"/>
    <col min="76" max="81" width="9" style="293"/>
    <col min="82" max="83" width="10.65" style="293" customWidth="1"/>
    <col min="84" max="84" width="10.825" style="293" customWidth="1"/>
    <col min="85" max="85" width="12.6333333333333" style="293"/>
    <col min="86" max="87" width="9" style="293"/>
    <col min="88" max="88" width="9.38333333333333" style="293"/>
    <col min="89" max="89" width="9" style="293"/>
    <col min="90" max="90" width="9.38333333333333" style="293" customWidth="1"/>
    <col min="91" max="16384" width="9" style="293"/>
  </cols>
  <sheetData>
    <row r="1" s="293" customFormat="1" ht="42.75" customHeight="1" spans="1:111">
      <c r="A1" s="1196" t="s">
        <v>0</v>
      </c>
      <c r="B1" s="1197" t="s">
        <v>1</v>
      </c>
      <c r="C1" s="1197" t="s">
        <v>2</v>
      </c>
      <c r="D1" s="1197" t="s">
        <v>3</v>
      </c>
      <c r="E1" s="1198" t="s">
        <v>4</v>
      </c>
      <c r="F1" s="1198" t="s">
        <v>5</v>
      </c>
      <c r="G1" s="1197" t="s">
        <v>6</v>
      </c>
      <c r="H1" s="1197" t="s">
        <v>7</v>
      </c>
      <c r="I1" s="1197" t="s">
        <v>8</v>
      </c>
      <c r="J1" s="1197" t="s">
        <v>9</v>
      </c>
      <c r="K1" s="1197" t="s">
        <v>10</v>
      </c>
      <c r="L1" s="1197" t="s">
        <v>11</v>
      </c>
      <c r="M1" s="1199" t="s">
        <v>12</v>
      </c>
      <c r="N1" s="1199" t="s">
        <v>13</v>
      </c>
      <c r="O1" s="1200" t="s">
        <v>14</v>
      </c>
      <c r="P1" s="1201" t="s">
        <v>15</v>
      </c>
      <c r="Q1" s="1201" t="s">
        <v>16</v>
      </c>
      <c r="R1" s="1197" t="s">
        <v>17</v>
      </c>
      <c r="S1" s="1202" t="s">
        <v>18</v>
      </c>
      <c r="T1" s="1202" t="s">
        <v>19</v>
      </c>
      <c r="U1" s="1202" t="s">
        <v>20</v>
      </c>
      <c r="V1" s="1203" t="s">
        <v>21</v>
      </c>
      <c r="W1" s="1204" t="s">
        <v>22</v>
      </c>
      <c r="X1" s="1204" t="s">
        <v>23</v>
      </c>
      <c r="Y1" s="1204" t="s">
        <v>24</v>
      </c>
      <c r="Z1" s="1204" t="s">
        <v>25</v>
      </c>
      <c r="AA1" s="309" t="s">
        <v>26</v>
      </c>
      <c r="AB1" s="1204" t="s">
        <v>27</v>
      </c>
      <c r="AC1" s="310" t="s">
        <v>28</v>
      </c>
      <c r="AD1" s="1197" t="s">
        <v>29</v>
      </c>
      <c r="AE1" s="1205" t="s">
        <v>30</v>
      </c>
      <c r="AF1" s="1206" t="s">
        <v>31</v>
      </c>
      <c r="AG1" s="1207" t="s">
        <v>32</v>
      </c>
      <c r="AH1" s="1201" t="s">
        <v>33</v>
      </c>
      <c r="AI1" s="1201" t="s">
        <v>34</v>
      </c>
      <c r="AJ1" s="1202" t="s">
        <v>35</v>
      </c>
      <c r="AK1" s="1208" t="s">
        <v>36</v>
      </c>
      <c r="AL1" s="1208" t="s">
        <v>37</v>
      </c>
      <c r="AM1" s="1208" t="s">
        <v>38</v>
      </c>
      <c r="AN1" s="1208" t="s">
        <v>39</v>
      </c>
      <c r="AO1" s="1209" t="s">
        <v>40</v>
      </c>
      <c r="AP1" s="1209" t="s">
        <v>41</v>
      </c>
      <c r="AQ1" s="1210" t="s">
        <v>42</v>
      </c>
      <c r="AR1" s="1209" t="s">
        <v>43</v>
      </c>
      <c r="AS1" s="1211" t="s">
        <v>44</v>
      </c>
      <c r="AT1" s="1211" t="s">
        <v>45</v>
      </c>
      <c r="AU1" s="1208" t="s">
        <v>46</v>
      </c>
      <c r="AV1" s="1212" t="s">
        <v>47</v>
      </c>
      <c r="AW1" s="1213" t="s">
        <v>48</v>
      </c>
      <c r="AX1" s="1213" t="s">
        <v>49</v>
      </c>
      <c r="AY1" s="1213" t="s">
        <v>50</v>
      </c>
      <c r="AZ1" s="1208" t="s">
        <v>51</v>
      </c>
      <c r="BA1" s="1208" t="s">
        <v>52</v>
      </c>
      <c r="BB1" s="1209" t="s">
        <v>53</v>
      </c>
      <c r="BC1" s="1209" t="s">
        <v>54</v>
      </c>
      <c r="BD1" s="1209" t="s">
        <v>55</v>
      </c>
      <c r="BE1" s="1209" t="s">
        <v>56</v>
      </c>
      <c r="BF1" s="1209" t="s">
        <v>57</v>
      </c>
      <c r="BG1" s="1209" t="s">
        <v>58</v>
      </c>
      <c r="BH1" s="1209" t="s">
        <v>59</v>
      </c>
      <c r="BI1" s="1209" t="s">
        <v>45</v>
      </c>
      <c r="BJ1" s="1209" t="s">
        <v>60</v>
      </c>
      <c r="BK1" s="1208" t="s">
        <v>61</v>
      </c>
      <c r="BL1" s="1209" t="s">
        <v>62</v>
      </c>
      <c r="BM1" s="323" t="s">
        <v>63</v>
      </c>
      <c r="BN1" s="323" t="s">
        <v>64</v>
      </c>
      <c r="BO1" s="1214" t="s">
        <v>65</v>
      </c>
      <c r="BP1" s="323" t="s">
        <v>66</v>
      </c>
      <c r="BQ1" s="1215" t="s">
        <v>67</v>
      </c>
      <c r="BR1" s="1216" t="s">
        <v>68</v>
      </c>
      <c r="BS1" s="1215" t="s">
        <v>69</v>
      </c>
      <c r="BT1" s="1215" t="s">
        <v>70</v>
      </c>
      <c r="BU1" s="1215" t="s">
        <v>71</v>
      </c>
      <c r="BV1" s="1217" t="s">
        <v>72</v>
      </c>
      <c r="BW1" s="1208" t="s">
        <v>73</v>
      </c>
      <c r="BX1" s="1208" t="s">
        <v>74</v>
      </c>
      <c r="BY1" s="323" t="s">
        <v>75</v>
      </c>
      <c r="BZ1" s="1208" t="s">
        <v>76</v>
      </c>
      <c r="CA1" s="1208" t="s">
        <v>77</v>
      </c>
      <c r="CB1" s="327" t="s">
        <v>78</v>
      </c>
      <c r="CC1" s="1218" t="s">
        <v>79</v>
      </c>
      <c r="CD1" s="1208" t="s">
        <v>80</v>
      </c>
      <c r="CE1" s="1208" t="s">
        <v>81</v>
      </c>
      <c r="CF1" s="330" t="s">
        <v>82</v>
      </c>
      <c r="CG1" s="330" t="s">
        <v>83</v>
      </c>
      <c r="CH1" s="330" t="s">
        <v>84</v>
      </c>
      <c r="CI1" s="330" t="s">
        <v>85</v>
      </c>
      <c r="CJ1" s="1208" t="s">
        <v>86</v>
      </c>
      <c r="CK1" s="1208" t="s">
        <v>87</v>
      </c>
      <c r="CL1" s="1208" t="s">
        <v>88</v>
      </c>
    </row>
    <row r="2" s="1168" customFormat="1" customHeight="1" spans="1:111">
      <c r="A2" s="1219">
        <v>46037</v>
      </c>
      <c r="B2" s="1220"/>
      <c r="C2" s="1221"/>
      <c r="D2" s="1222" t="s">
        <v>89</v>
      </c>
      <c r="E2" s="1221"/>
      <c r="F2" s="1222" t="s">
        <v>90</v>
      </c>
      <c r="G2" s="1223" t="s">
        <v>91</v>
      </c>
      <c r="H2" s="1221" t="s">
        <v>92</v>
      </c>
      <c r="I2" s="1221" t="s">
        <v>93</v>
      </c>
      <c r="J2" s="1221">
        <v>0</v>
      </c>
      <c r="K2" s="1221">
        <v>24</v>
      </c>
      <c r="L2" s="1224">
        <f>80/24</f>
        <v>3.33333333333333</v>
      </c>
      <c r="M2" s="1225">
        <v>46052</v>
      </c>
      <c r="N2" s="1225">
        <v>46048</v>
      </c>
      <c r="O2" s="1225"/>
      <c r="P2" s="1226"/>
      <c r="Q2" s="1226"/>
      <c r="R2" s="1221"/>
      <c r="S2" s="1221"/>
      <c r="T2" s="1226"/>
      <c r="U2" s="1226"/>
      <c r="V2" s="1221"/>
      <c r="W2" s="1227" t="s">
        <v>94</v>
      </c>
      <c r="X2" s="1227" t="s">
        <v>95</v>
      </c>
      <c r="Y2" s="1227" t="s">
        <v>95</v>
      </c>
      <c r="Z2" s="1222"/>
      <c r="AA2" s="1222"/>
      <c r="AB2" s="1220"/>
      <c r="AC2" s="1220" t="s">
        <v>96</v>
      </c>
      <c r="AD2" s="1225" t="s">
        <v>97</v>
      </c>
      <c r="AE2" s="1228"/>
      <c r="AF2" s="1229"/>
      <c r="AG2" s="1230"/>
      <c r="AH2" s="1221" t="s">
        <v>98</v>
      </c>
      <c r="AI2" s="1221" t="s">
        <v>99</v>
      </c>
      <c r="AJ2" s="1221"/>
      <c r="AK2" s="1221"/>
      <c r="AL2" s="1221"/>
      <c r="AM2" s="1222"/>
      <c r="AN2" s="1221"/>
      <c r="AO2" s="1221"/>
      <c r="AP2" s="1221"/>
      <c r="AQ2" s="1231"/>
      <c r="AR2" s="1222"/>
      <c r="AS2" s="1232"/>
      <c r="AT2" s="1232"/>
      <c r="AU2" s="1221"/>
      <c r="AV2" s="1224"/>
      <c r="AW2" s="1224"/>
      <c r="AX2" s="1221"/>
      <c r="AY2" s="1221"/>
      <c r="AZ2" s="1221"/>
      <c r="BA2" s="1221"/>
      <c r="BB2" s="1221"/>
      <c r="BC2" s="1221"/>
      <c r="BD2" s="1221"/>
      <c r="BE2" s="1222"/>
      <c r="BF2" s="1222"/>
      <c r="BG2" s="1221"/>
      <c r="BH2" s="1221"/>
      <c r="BI2" s="1221"/>
      <c r="BJ2" s="1221"/>
      <c r="BK2" s="1221"/>
      <c r="BL2" s="1221"/>
      <c r="BM2" s="1221"/>
      <c r="BN2" s="1221"/>
      <c r="BO2" s="1231"/>
      <c r="BP2" s="1231"/>
      <c r="BQ2" s="1222"/>
      <c r="BR2" s="1232"/>
      <c r="BS2" s="1232"/>
      <c r="BT2" s="1221"/>
      <c r="BU2" s="1221"/>
      <c r="BV2" s="1231"/>
      <c r="BW2" s="1222"/>
      <c r="BX2" s="1222"/>
      <c r="BY2" s="1222"/>
      <c r="BZ2" s="1222"/>
      <c r="CA2" s="1222"/>
      <c r="CB2" s="1222"/>
      <c r="CC2" s="1222"/>
      <c r="CD2" s="1222">
        <f t="shared" ref="CD2:CD63" si="0">BN2+BO2+BQ2+BS2+BR2</f>
        <v>0</v>
      </c>
      <c r="CE2" s="1222">
        <f t="shared" ref="CE2:CE63" si="1">BU2</f>
        <v>0</v>
      </c>
      <c r="CF2" s="1222">
        <f t="shared" ref="CF2:CF63" si="2">CC2</f>
        <v>0</v>
      </c>
      <c r="CG2" s="1222">
        <f t="shared" ref="CG2:CG63" si="3">BV2+BW2+BX2</f>
        <v>0</v>
      </c>
      <c r="CH2" s="1232"/>
      <c r="CI2" s="1232"/>
      <c r="CJ2" s="1232"/>
      <c r="CK2" s="1222"/>
      <c r="CL2" s="1222"/>
    </row>
    <row r="3" s="1169" customFormat="1" customHeight="1" spans="1:111">
      <c r="A3" s="1219">
        <v>46029</v>
      </c>
      <c r="B3" s="1220" t="s">
        <v>100</v>
      </c>
      <c r="C3" s="1221" t="s">
        <v>101</v>
      </c>
      <c r="D3" s="1222">
        <v>4500190798</v>
      </c>
      <c r="E3" s="1221">
        <v>5200008655</v>
      </c>
      <c r="F3" s="1222" t="s">
        <v>102</v>
      </c>
      <c r="G3" s="1223" t="s">
        <v>103</v>
      </c>
      <c r="H3" s="1221" t="s">
        <v>104</v>
      </c>
      <c r="I3" s="1221">
        <v>100</v>
      </c>
      <c r="J3" s="1221">
        <v>0</v>
      </c>
      <c r="K3" s="1221">
        <v>25</v>
      </c>
      <c r="L3" s="1224">
        <f>I3/K3</f>
        <v>4</v>
      </c>
      <c r="M3" s="1225">
        <v>46059</v>
      </c>
      <c r="N3" s="1225">
        <v>46055</v>
      </c>
      <c r="O3" s="1225"/>
      <c r="P3" s="1226" t="s">
        <v>105</v>
      </c>
      <c r="Q3" s="1226" t="s">
        <v>106</v>
      </c>
      <c r="R3" s="1221"/>
      <c r="S3" s="1221"/>
      <c r="T3" s="1226"/>
      <c r="U3" s="1233"/>
      <c r="V3" s="1221"/>
      <c r="W3" s="1227">
        <v>46029</v>
      </c>
      <c r="X3" s="1227" t="s">
        <v>107</v>
      </c>
      <c r="Y3" s="1227" t="s">
        <v>108</v>
      </c>
      <c r="Z3" s="1188"/>
      <c r="AA3" s="1222"/>
      <c r="AB3" s="1220"/>
      <c r="AC3" s="1220" t="s">
        <v>109</v>
      </c>
      <c r="AD3" s="1225" t="s">
        <v>110</v>
      </c>
      <c r="AE3" s="1228">
        <v>1.27</v>
      </c>
      <c r="AF3" s="1229">
        <f>I3*AE3</f>
        <v>127</v>
      </c>
      <c r="AG3" s="1230"/>
      <c r="AH3" s="1234" t="s">
        <v>111</v>
      </c>
      <c r="AI3" s="1234" t="s">
        <v>112</v>
      </c>
      <c r="AJ3" s="1221" t="s">
        <v>113</v>
      </c>
      <c r="AK3" s="1222">
        <f>I3</f>
        <v>100</v>
      </c>
      <c r="AL3" s="1221"/>
      <c r="AM3" s="1222"/>
      <c r="AN3" s="1234"/>
      <c r="AO3" s="1234"/>
      <c r="AP3" s="1234">
        <f>I3</f>
        <v>100</v>
      </c>
      <c r="AQ3" s="1235"/>
      <c r="AR3" s="1188"/>
      <c r="AS3" s="1236"/>
      <c r="AT3" s="1236"/>
      <c r="AU3" s="1234"/>
      <c r="AV3" s="1224"/>
      <c r="AW3" s="1224"/>
      <c r="AX3" s="1221"/>
      <c r="AY3" s="1221"/>
      <c r="AZ3" s="1234"/>
      <c r="BA3" s="1234"/>
      <c r="BB3" s="1221"/>
      <c r="BC3" s="1221"/>
      <c r="BD3" s="1221"/>
      <c r="BE3" s="1222"/>
      <c r="BF3" s="1222"/>
      <c r="BG3" s="1221"/>
      <c r="BH3" s="1221"/>
      <c r="BI3" s="1221"/>
      <c r="BJ3" s="1221"/>
      <c r="BK3" s="1221"/>
      <c r="BL3" s="1221"/>
      <c r="BM3" s="1221"/>
      <c r="BN3" s="1221"/>
      <c r="BO3" s="1231">
        <f>I3/25</f>
        <v>4</v>
      </c>
      <c r="BP3" s="1235"/>
      <c r="BQ3" s="1222"/>
      <c r="BR3" s="1232"/>
      <c r="BS3" s="1232"/>
      <c r="BT3" s="1221"/>
      <c r="BU3" s="1221"/>
      <c r="BV3" s="1231"/>
      <c r="BW3" s="1222"/>
      <c r="BX3" s="1222"/>
      <c r="BY3" s="1222"/>
      <c r="BZ3" s="1222"/>
      <c r="CA3" s="1222"/>
      <c r="CB3" s="1222"/>
      <c r="CC3" s="1222"/>
      <c r="CD3" s="1188">
        <f t="shared" si="0"/>
        <v>4</v>
      </c>
      <c r="CE3" s="1188">
        <f t="shared" si="1"/>
        <v>0</v>
      </c>
      <c r="CF3" s="1188">
        <f t="shared" si="2"/>
        <v>0</v>
      </c>
      <c r="CG3" s="1188">
        <f t="shared" si="3"/>
        <v>0</v>
      </c>
      <c r="CH3" s="1232"/>
      <c r="CI3" s="1232"/>
      <c r="CJ3" s="1232"/>
      <c r="CK3" s="1222"/>
      <c r="CL3" s="1222"/>
      <c r="CM3" s="1168"/>
      <c r="CN3" s="1168"/>
      <c r="CO3" s="1168"/>
      <c r="CP3" s="1168"/>
      <c r="CQ3" s="1168"/>
      <c r="CR3" s="1168"/>
      <c r="CS3" s="1168"/>
      <c r="CT3" s="1168"/>
      <c r="CU3" s="1168"/>
      <c r="CV3" s="1168"/>
      <c r="CW3" s="1168"/>
      <c r="CX3" s="1168"/>
      <c r="CY3" s="1168"/>
      <c r="CZ3" s="1168"/>
      <c r="DA3" s="1168"/>
      <c r="DB3" s="1168"/>
      <c r="DC3" s="1168"/>
      <c r="DD3" s="1168"/>
      <c r="DE3" s="1168"/>
      <c r="DF3" s="1168"/>
      <c r="DG3" s="1168"/>
    </row>
    <row r="4" s="1169" customFormat="1" customHeight="1" spans="1:111">
      <c r="A4" s="1219">
        <v>46014</v>
      </c>
      <c r="B4" s="1220" t="s">
        <v>114</v>
      </c>
      <c r="C4" s="1221" t="s">
        <v>115</v>
      </c>
      <c r="D4" s="1222">
        <v>4500189603</v>
      </c>
      <c r="E4" s="1221" t="s">
        <v>116</v>
      </c>
      <c r="F4" s="1222" t="s">
        <v>117</v>
      </c>
      <c r="G4" s="1223" t="s">
        <v>118</v>
      </c>
      <c r="H4" s="1221" t="s">
        <v>104</v>
      </c>
      <c r="I4" s="1221">
        <v>48750</v>
      </c>
      <c r="J4" s="1221">
        <v>0</v>
      </c>
      <c r="K4" s="1221">
        <v>25</v>
      </c>
      <c r="L4" s="1224">
        <f>I4/K4</f>
        <v>1950</v>
      </c>
      <c r="M4" s="1225">
        <v>46085</v>
      </c>
      <c r="N4" s="1225">
        <f>M4-4</f>
        <v>46081</v>
      </c>
      <c r="O4" s="1225"/>
      <c r="P4" s="1226"/>
      <c r="Q4" s="1237" t="s">
        <v>106</v>
      </c>
      <c r="R4" s="1221" t="s">
        <v>119</v>
      </c>
      <c r="S4" s="1221"/>
      <c r="T4" s="1226">
        <f>9500+18000+21250</f>
        <v>48750</v>
      </c>
      <c r="U4" s="1233">
        <f>T4-I4</f>
        <v>0</v>
      </c>
      <c r="V4" s="1221" t="s">
        <v>120</v>
      </c>
      <c r="W4" s="1238">
        <v>46027</v>
      </c>
      <c r="X4" s="1227" t="s">
        <v>107</v>
      </c>
      <c r="Y4" s="1227" t="s">
        <v>121</v>
      </c>
      <c r="Z4" s="1222"/>
      <c r="AA4" s="1222"/>
      <c r="AB4" s="1220"/>
      <c r="AC4" s="1220" t="s">
        <v>122</v>
      </c>
      <c r="AD4" s="1225" t="s">
        <v>123</v>
      </c>
      <c r="AE4" s="1222">
        <v>1.29</v>
      </c>
      <c r="AF4" s="1229">
        <f>I4*AE4</f>
        <v>62887.5</v>
      </c>
      <c r="AG4" s="1239" t="s">
        <v>124</v>
      </c>
      <c r="AH4" s="1234" t="s">
        <v>118</v>
      </c>
      <c r="AI4" s="1234" t="s">
        <v>112</v>
      </c>
      <c r="AJ4" s="1221" t="s">
        <v>113</v>
      </c>
      <c r="AK4" s="1222"/>
      <c r="AL4" s="1222"/>
      <c r="AM4" s="1222">
        <f>I4</f>
        <v>48750</v>
      </c>
      <c r="AN4" s="1188">
        <f>I4</f>
        <v>48750</v>
      </c>
      <c r="AO4" s="1188"/>
      <c r="AP4" s="1188"/>
      <c r="AQ4" s="1240"/>
      <c r="AR4" s="1188"/>
      <c r="AS4" s="1236"/>
      <c r="AT4" s="1236"/>
      <c r="AU4" s="1188">
        <f>I4</f>
        <v>48750</v>
      </c>
      <c r="AV4" s="1241">
        <f>I4*0.06</f>
        <v>2925</v>
      </c>
      <c r="AW4" s="1241"/>
      <c r="AX4" s="1222"/>
      <c r="AY4" s="1222"/>
      <c r="AZ4" s="1188"/>
      <c r="BA4" s="1188"/>
      <c r="BB4" s="1222"/>
      <c r="BC4" s="1222"/>
      <c r="BD4" s="1222"/>
      <c r="BE4" s="1222"/>
      <c r="BF4" s="1222"/>
      <c r="BG4" s="1222"/>
      <c r="BH4" s="1222"/>
      <c r="BI4" s="1222"/>
      <c r="BJ4" s="1222"/>
      <c r="BK4" s="1222"/>
      <c r="BL4" s="1222"/>
      <c r="BM4" s="1222"/>
      <c r="BN4" s="1188"/>
      <c r="BO4" s="1242"/>
      <c r="BP4" s="1242"/>
      <c r="BQ4" s="1222"/>
      <c r="BR4" s="1232"/>
      <c r="BS4" s="1232"/>
      <c r="BT4" s="1222"/>
      <c r="BU4" s="1243">
        <f>I4/25</f>
        <v>1950</v>
      </c>
      <c r="BV4" s="1242"/>
      <c r="BW4" s="1222"/>
      <c r="BX4" s="1222"/>
      <c r="BY4" s="1222"/>
      <c r="BZ4" s="1222"/>
      <c r="CA4" s="1222"/>
      <c r="CB4" s="1222"/>
      <c r="CC4" s="1222"/>
      <c r="CD4" s="1188">
        <f t="shared" si="0"/>
        <v>0</v>
      </c>
      <c r="CE4" s="1188">
        <f t="shared" si="1"/>
        <v>1950</v>
      </c>
      <c r="CF4" s="1188">
        <f t="shared" si="2"/>
        <v>0</v>
      </c>
      <c r="CG4" s="1188">
        <f t="shared" si="3"/>
        <v>0</v>
      </c>
      <c r="CH4" s="1244"/>
      <c r="CI4" s="1244"/>
      <c r="CJ4" s="1232"/>
      <c r="CK4" s="1222"/>
      <c r="CL4" s="1222"/>
      <c r="CM4" s="1168"/>
      <c r="CN4" s="1168"/>
      <c r="CO4" s="1168"/>
      <c r="CP4" s="1168"/>
      <c r="CQ4" s="1168"/>
      <c r="CR4" s="1168"/>
      <c r="CS4" s="1168"/>
      <c r="CT4" s="1168"/>
      <c r="CU4" s="1168"/>
      <c r="CV4" s="1168"/>
      <c r="CW4" s="1168"/>
      <c r="CX4" s="1168"/>
      <c r="CY4" s="1168"/>
      <c r="CZ4" s="1168"/>
      <c r="DA4" s="1168"/>
      <c r="DB4" s="1168"/>
      <c r="DC4" s="1168"/>
      <c r="DD4" s="1168"/>
      <c r="DE4" s="1168"/>
      <c r="DF4" s="1168"/>
      <c r="DG4" s="1168"/>
    </row>
    <row r="5" s="1168" customFormat="1" customHeight="1" spans="1:111">
      <c r="A5" s="1219">
        <v>46058</v>
      </c>
      <c r="B5" s="1220"/>
      <c r="C5" s="1221"/>
      <c r="D5" s="1222" t="s">
        <v>125</v>
      </c>
      <c r="E5" s="1221"/>
      <c r="F5" s="1222" t="s">
        <v>126</v>
      </c>
      <c r="G5" s="1223" t="s">
        <v>91</v>
      </c>
      <c r="H5" s="1221" t="s">
        <v>92</v>
      </c>
      <c r="I5" s="1221" t="s">
        <v>127</v>
      </c>
      <c r="J5" s="1221">
        <v>0</v>
      </c>
      <c r="K5" s="1221">
        <v>24</v>
      </c>
      <c r="L5" s="1224">
        <v>1</v>
      </c>
      <c r="M5" s="1225">
        <v>46090</v>
      </c>
      <c r="N5" s="1225">
        <v>46086</v>
      </c>
      <c r="O5" s="1225"/>
      <c r="P5" s="1226"/>
      <c r="Q5" s="1226" t="s">
        <v>106</v>
      </c>
      <c r="R5" s="1221"/>
      <c r="S5" s="1221"/>
      <c r="T5" s="1226"/>
      <c r="U5" s="1233" t="e">
        <f t="shared" ref="U5:U68" si="4">T5-I5</f>
        <v>#VALUE!</v>
      </c>
      <c r="V5" s="1221"/>
      <c r="W5" s="1227" t="s">
        <v>94</v>
      </c>
      <c r="X5" s="1227" t="s">
        <v>95</v>
      </c>
      <c r="Y5" s="1227" t="s">
        <v>95</v>
      </c>
      <c r="Z5" s="1222"/>
      <c r="AA5" s="1222"/>
      <c r="AB5" s="1220"/>
      <c r="AC5" s="1220" t="s">
        <v>128</v>
      </c>
      <c r="AD5" s="1225" t="s">
        <v>97</v>
      </c>
      <c r="AE5" s="1228"/>
      <c r="AF5" s="1229"/>
      <c r="AG5" s="1230"/>
      <c r="AH5" s="1234" t="s">
        <v>98</v>
      </c>
      <c r="AI5" s="1234" t="s">
        <v>99</v>
      </c>
      <c r="AJ5" s="1221"/>
      <c r="AK5" s="1221"/>
      <c r="AL5" s="1221"/>
      <c r="AM5" s="1222"/>
      <c r="AN5" s="1234"/>
      <c r="AO5" s="1234"/>
      <c r="AP5" s="1234"/>
      <c r="AQ5" s="1235"/>
      <c r="AR5" s="1188"/>
      <c r="AS5" s="1236"/>
      <c r="AT5" s="1236"/>
      <c r="AU5" s="1234"/>
      <c r="AV5" s="1224"/>
      <c r="AW5" s="1224"/>
      <c r="AX5" s="1221"/>
      <c r="AY5" s="1221"/>
      <c r="AZ5" s="1234"/>
      <c r="BA5" s="1234"/>
      <c r="BB5" s="1221"/>
      <c r="BC5" s="1221"/>
      <c r="BD5" s="1221"/>
      <c r="BE5" s="1222"/>
      <c r="BF5" s="1222"/>
      <c r="BG5" s="1221"/>
      <c r="BH5" s="1221"/>
      <c r="BI5" s="1221"/>
      <c r="BJ5" s="1221"/>
      <c r="BK5" s="1221"/>
      <c r="BL5" s="1221"/>
      <c r="BM5" s="1221"/>
      <c r="BN5" s="1221"/>
      <c r="BO5" s="1231"/>
      <c r="BP5" s="1231"/>
      <c r="BQ5" s="1222"/>
      <c r="BR5" s="1232"/>
      <c r="BS5" s="1232"/>
      <c r="BT5" s="1221"/>
      <c r="BU5" s="1221"/>
      <c r="BV5" s="1231"/>
      <c r="BW5" s="1222"/>
      <c r="BX5" s="1222"/>
      <c r="BY5" s="1222"/>
      <c r="BZ5" s="1222"/>
      <c r="CA5" s="1222"/>
      <c r="CB5" s="1222"/>
      <c r="CC5" s="1222"/>
      <c r="CD5" s="1188">
        <f t="shared" si="0"/>
        <v>0</v>
      </c>
      <c r="CE5" s="1188">
        <f t="shared" si="1"/>
        <v>0</v>
      </c>
      <c r="CF5" s="1188">
        <f t="shared" si="2"/>
        <v>0</v>
      </c>
      <c r="CG5" s="1188">
        <f t="shared" si="3"/>
        <v>0</v>
      </c>
      <c r="CH5" s="1232"/>
      <c r="CI5" s="1232"/>
      <c r="CJ5" s="1232"/>
      <c r="CK5" s="1222"/>
      <c r="CL5" s="1222"/>
    </row>
    <row r="6" s="1168" customFormat="1" customHeight="1" spans="1:111">
      <c r="A6" s="1245">
        <v>46013</v>
      </c>
      <c r="B6" s="1220" t="s">
        <v>114</v>
      </c>
      <c r="C6" s="1221" t="s">
        <v>115</v>
      </c>
      <c r="D6" s="1222">
        <v>4500189608</v>
      </c>
      <c r="E6" s="1221" t="s">
        <v>129</v>
      </c>
      <c r="F6" s="1222" t="s">
        <v>130</v>
      </c>
      <c r="G6" s="1223" t="s">
        <v>118</v>
      </c>
      <c r="H6" s="1234" t="s">
        <v>104</v>
      </c>
      <c r="I6" s="1221">
        <v>161250</v>
      </c>
      <c r="J6" s="1221">
        <v>0</v>
      </c>
      <c r="K6" s="1221">
        <v>25</v>
      </c>
      <c r="L6" s="1246">
        <f t="shared" ref="L6:L33" si="5">I6/K6</f>
        <v>6450</v>
      </c>
      <c r="M6" s="1225">
        <v>46091</v>
      </c>
      <c r="N6" s="1225">
        <v>46087</v>
      </c>
      <c r="O6" s="1225"/>
      <c r="P6" s="1233"/>
      <c r="Q6" s="1233" t="s">
        <v>106</v>
      </c>
      <c r="R6" s="1234" t="s">
        <v>131</v>
      </c>
      <c r="S6" s="1234"/>
      <c r="T6" s="1233">
        <v>161250</v>
      </c>
      <c r="U6" s="1233">
        <f t="shared" si="4"/>
        <v>0</v>
      </c>
      <c r="V6" s="1234" t="s">
        <v>120</v>
      </c>
      <c r="W6" s="1238">
        <v>46027</v>
      </c>
      <c r="X6" s="1227" t="s">
        <v>107</v>
      </c>
      <c r="Y6" s="1227" t="s">
        <v>121</v>
      </c>
      <c r="Z6" s="1188"/>
      <c r="AA6" s="1188"/>
      <c r="AB6" s="1247"/>
      <c r="AC6" s="1220" t="s">
        <v>132</v>
      </c>
      <c r="AD6" s="1225" t="s">
        <v>123</v>
      </c>
      <c r="AE6" s="1188">
        <v>1.29</v>
      </c>
      <c r="AF6" s="1248">
        <f>I6*AE6</f>
        <v>208012.5</v>
      </c>
      <c r="AG6" s="1249" t="s">
        <v>133</v>
      </c>
      <c r="AH6" s="1234" t="s">
        <v>118</v>
      </c>
      <c r="AI6" s="1234" t="s">
        <v>112</v>
      </c>
      <c r="AJ6" s="1234" t="s">
        <v>113</v>
      </c>
      <c r="AK6" s="1188"/>
      <c r="AL6" s="1188"/>
      <c r="AM6" s="1188">
        <f>I6</f>
        <v>161250</v>
      </c>
      <c r="AN6" s="1188">
        <f>I6</f>
        <v>161250</v>
      </c>
      <c r="AO6" s="1188"/>
      <c r="AP6" s="1188"/>
      <c r="AQ6" s="1240"/>
      <c r="AR6" s="1188"/>
      <c r="AS6" s="1236"/>
      <c r="AT6" s="1236"/>
      <c r="AU6" s="1188">
        <f>I6</f>
        <v>161250</v>
      </c>
      <c r="AV6" s="1250">
        <f>I6*0.06</f>
        <v>9675</v>
      </c>
      <c r="AW6" s="1250"/>
      <c r="AX6" s="1188"/>
      <c r="AY6" s="1188"/>
      <c r="AZ6" s="1188"/>
      <c r="BA6" s="1188"/>
      <c r="BB6" s="1188"/>
      <c r="BC6" s="1188"/>
      <c r="BD6" s="1188"/>
      <c r="BE6" s="1188"/>
      <c r="BF6" s="1188"/>
      <c r="BG6" s="1188"/>
      <c r="BH6" s="1188"/>
      <c r="BI6" s="1188"/>
      <c r="BJ6" s="1188"/>
      <c r="BK6" s="1188"/>
      <c r="BL6" s="1188"/>
      <c r="BM6" s="1188"/>
      <c r="BN6" s="1188"/>
      <c r="BO6" s="1240"/>
      <c r="BP6" s="1240"/>
      <c r="BQ6" s="1188"/>
      <c r="BR6" s="1236"/>
      <c r="BS6" s="1236"/>
      <c r="BT6" s="1188"/>
      <c r="BU6" s="1251">
        <f>I6/25</f>
        <v>6450</v>
      </c>
      <c r="BV6" s="1240"/>
      <c r="BW6" s="1188"/>
      <c r="BX6" s="1188"/>
      <c r="BY6" s="1188"/>
      <c r="BZ6" s="1188"/>
      <c r="CA6" s="1188"/>
      <c r="CB6" s="1188"/>
      <c r="CC6" s="1188"/>
      <c r="CD6" s="1188">
        <f t="shared" si="0"/>
        <v>0</v>
      </c>
      <c r="CE6" s="1188">
        <f t="shared" si="1"/>
        <v>6450</v>
      </c>
      <c r="CF6" s="1188">
        <f t="shared" si="2"/>
        <v>0</v>
      </c>
      <c r="CG6" s="1188">
        <f t="shared" si="3"/>
        <v>0</v>
      </c>
      <c r="CH6" s="1236"/>
      <c r="CI6" s="1236"/>
      <c r="CJ6" s="1236"/>
      <c r="CK6" s="1188"/>
      <c r="CL6" s="1188"/>
    </row>
    <row r="7" s="1168" customFormat="1" customHeight="1" spans="1:111">
      <c r="A7" s="1219">
        <v>46043</v>
      </c>
      <c r="B7" s="1220" t="s">
        <v>134</v>
      </c>
      <c r="C7" s="1221" t="s">
        <v>135</v>
      </c>
      <c r="D7" s="1222">
        <v>4500191960</v>
      </c>
      <c r="E7" s="1221">
        <v>4400528768</v>
      </c>
      <c r="F7" s="1222" t="s">
        <v>136</v>
      </c>
      <c r="G7" s="1223" t="s">
        <v>137</v>
      </c>
      <c r="H7" s="1221" t="s">
        <v>138</v>
      </c>
      <c r="I7" s="1221">
        <v>10000</v>
      </c>
      <c r="J7" s="1221">
        <v>0</v>
      </c>
      <c r="K7" s="1221">
        <v>50</v>
      </c>
      <c r="L7" s="1224">
        <f t="shared" si="5"/>
        <v>200</v>
      </c>
      <c r="M7" s="1225">
        <v>46097</v>
      </c>
      <c r="N7" s="1225">
        <v>46093</v>
      </c>
      <c r="O7" s="1225"/>
      <c r="P7" s="1226"/>
      <c r="Q7" s="1226" t="s">
        <v>106</v>
      </c>
      <c r="R7" s="1221" t="s">
        <v>139</v>
      </c>
      <c r="S7" s="1221"/>
      <c r="T7" s="1226">
        <v>10000</v>
      </c>
      <c r="U7" s="1233">
        <f t="shared" si="4"/>
        <v>0</v>
      </c>
      <c r="V7" s="1221" t="s">
        <v>95</v>
      </c>
      <c r="W7" s="1238">
        <v>46044</v>
      </c>
      <c r="X7" s="1227" t="s">
        <v>95</v>
      </c>
      <c r="Y7" s="1227" t="s">
        <v>95</v>
      </c>
      <c r="Z7" s="1222" t="s">
        <v>140</v>
      </c>
      <c r="AA7" s="1222"/>
      <c r="AB7" s="1220"/>
      <c r="AC7" s="1220" t="s">
        <v>141</v>
      </c>
      <c r="AD7" s="1225" t="s">
        <v>142</v>
      </c>
      <c r="AE7" s="1222">
        <v>1.007</v>
      </c>
      <c r="AF7" s="1229">
        <f>I7*AE7</f>
        <v>10070</v>
      </c>
      <c r="AG7" s="1230"/>
      <c r="AH7" s="1234" t="s">
        <v>137</v>
      </c>
      <c r="AI7" s="1234" t="s">
        <v>112</v>
      </c>
      <c r="AJ7" s="1221" t="s">
        <v>113</v>
      </c>
      <c r="AK7" s="1222">
        <f t="shared" ref="AK7:AK22" si="6">I7</f>
        <v>10000</v>
      </c>
      <c r="AL7" s="1222"/>
      <c r="AM7" s="1222"/>
      <c r="AN7" s="1188"/>
      <c r="AO7" s="1188"/>
      <c r="AP7" s="1188"/>
      <c r="AQ7" s="1240"/>
      <c r="AR7" s="1188"/>
      <c r="AS7" s="1236"/>
      <c r="AT7" s="1236"/>
      <c r="AU7" s="1188"/>
      <c r="AV7" s="1241">
        <f>I7*0.06</f>
        <v>600</v>
      </c>
      <c r="AW7" s="1241"/>
      <c r="AX7" s="1222"/>
      <c r="AY7" s="1222"/>
      <c r="AZ7" s="1188"/>
      <c r="BA7" s="1188"/>
      <c r="BB7" s="1222"/>
      <c r="BC7" s="1222"/>
      <c r="BD7" s="1222"/>
      <c r="BE7" s="1222"/>
      <c r="BF7" s="1222"/>
      <c r="BG7" s="1222">
        <f>I7</f>
        <v>10000</v>
      </c>
      <c r="BH7" s="1222">
        <f>I7</f>
        <v>10000</v>
      </c>
      <c r="BI7" s="1222"/>
      <c r="BJ7" s="1222"/>
      <c r="BK7" s="1222"/>
      <c r="BL7" s="1222"/>
      <c r="BM7" s="1222"/>
      <c r="BN7" s="1222"/>
      <c r="BO7" s="1231">
        <f>I7/25</f>
        <v>400</v>
      </c>
      <c r="BP7" s="1242"/>
      <c r="BQ7" s="1222"/>
      <c r="BR7" s="1232"/>
      <c r="BS7" s="1232"/>
      <c r="BT7" s="1222"/>
      <c r="BU7" s="1222"/>
      <c r="BV7" s="1242"/>
      <c r="BW7" s="1222"/>
      <c r="BX7" s="1222"/>
      <c r="BY7" s="1222"/>
      <c r="BZ7" s="1222"/>
      <c r="CA7" s="1222"/>
      <c r="CB7" s="1222"/>
      <c r="CC7" s="1222"/>
      <c r="CD7" s="1188">
        <f t="shared" si="0"/>
        <v>400</v>
      </c>
      <c r="CE7" s="1188">
        <f t="shared" si="1"/>
        <v>0</v>
      </c>
      <c r="CF7" s="1188">
        <f t="shared" si="2"/>
        <v>0</v>
      </c>
      <c r="CG7" s="1188">
        <f t="shared" si="3"/>
        <v>0</v>
      </c>
      <c r="CH7" s="1244"/>
      <c r="CI7" s="1244"/>
      <c r="CJ7" s="1232"/>
      <c r="CK7" s="1222"/>
      <c r="CL7" s="1222"/>
    </row>
    <row r="8" s="1168" customFormat="1" customHeight="1" spans="1:111">
      <c r="A8" s="1219">
        <v>46084</v>
      </c>
      <c r="B8" s="1220" t="s">
        <v>100</v>
      </c>
      <c r="C8" s="1221" t="s">
        <v>101</v>
      </c>
      <c r="D8" s="1222">
        <v>4500194964</v>
      </c>
      <c r="E8" s="1221">
        <v>5200009119</v>
      </c>
      <c r="F8" s="1222" t="s">
        <v>143</v>
      </c>
      <c r="G8" s="1223" t="s">
        <v>103</v>
      </c>
      <c r="H8" s="1221" t="s">
        <v>104</v>
      </c>
      <c r="I8" s="1252">
        <v>100</v>
      </c>
      <c r="J8" s="1221">
        <v>0</v>
      </c>
      <c r="K8" s="1221">
        <v>25</v>
      </c>
      <c r="L8" s="1224">
        <f t="shared" si="5"/>
        <v>4</v>
      </c>
      <c r="M8" s="1225">
        <v>46097</v>
      </c>
      <c r="N8" s="1225">
        <v>46093</v>
      </c>
      <c r="O8" s="1225"/>
      <c r="P8" s="1226"/>
      <c r="Q8" s="1226" t="s">
        <v>106</v>
      </c>
      <c r="R8" s="1221" t="s">
        <v>144</v>
      </c>
      <c r="S8" s="1221"/>
      <c r="T8" s="1226">
        <v>100</v>
      </c>
      <c r="U8" s="1233">
        <f t="shared" si="4"/>
        <v>0</v>
      </c>
      <c r="V8" s="1221"/>
      <c r="W8" s="1238">
        <v>46029</v>
      </c>
      <c r="X8" s="1227" t="s">
        <v>107</v>
      </c>
      <c r="Y8" s="1227" t="s">
        <v>108</v>
      </c>
      <c r="Z8" s="1222"/>
      <c r="AA8" s="1222"/>
      <c r="AB8" s="1220"/>
      <c r="AC8" s="1220" t="s">
        <v>145</v>
      </c>
      <c r="AD8" s="1225" t="s">
        <v>110</v>
      </c>
      <c r="AE8" s="1222">
        <v>1.27</v>
      </c>
      <c r="AF8" s="1229">
        <f>I8*AE8</f>
        <v>127</v>
      </c>
      <c r="AG8" s="1230"/>
      <c r="AH8" s="1234" t="s">
        <v>146</v>
      </c>
      <c r="AI8" s="1234" t="s">
        <v>112</v>
      </c>
      <c r="AJ8" s="1221" t="s">
        <v>113</v>
      </c>
      <c r="AK8" s="1222">
        <f t="shared" si="6"/>
        <v>100</v>
      </c>
      <c r="AL8" s="1222"/>
      <c r="AM8" s="1222"/>
      <c r="AN8" s="1188">
        <f>I8</f>
        <v>100</v>
      </c>
      <c r="AO8" s="1188"/>
      <c r="AP8" s="1188"/>
      <c r="AQ8" s="1240"/>
      <c r="AR8" s="1188"/>
      <c r="AS8" s="1236"/>
      <c r="AT8" s="1236"/>
      <c r="AU8" s="1188">
        <f>I8</f>
        <v>100</v>
      </c>
      <c r="AV8" s="1241">
        <f>I8*0.06*2</f>
        <v>12</v>
      </c>
      <c r="AW8" s="1241"/>
      <c r="AX8" s="1222"/>
      <c r="AY8" s="1222"/>
      <c r="AZ8" s="1188"/>
      <c r="BA8" s="1188"/>
      <c r="BB8" s="1222"/>
      <c r="BC8" s="1222"/>
      <c r="BD8" s="1222"/>
      <c r="BE8" s="1222"/>
      <c r="BF8" s="1222"/>
      <c r="BG8" s="1222"/>
      <c r="BH8" s="1222"/>
      <c r="BI8" s="1222"/>
      <c r="BJ8" s="1222"/>
      <c r="BK8" s="1222"/>
      <c r="BL8" s="1222"/>
      <c r="BM8" s="1222"/>
      <c r="BN8" s="1222">
        <f>I8/25</f>
        <v>4</v>
      </c>
      <c r="BO8" s="1242"/>
      <c r="BP8" s="1242"/>
      <c r="BQ8" s="1222"/>
      <c r="BR8" s="1232"/>
      <c r="BS8" s="1232"/>
      <c r="BT8" s="1222"/>
      <c r="BU8" s="1222"/>
      <c r="BV8" s="1242"/>
      <c r="BW8" s="1222"/>
      <c r="BX8" s="1222"/>
      <c r="BY8" s="1222"/>
      <c r="BZ8" s="1222"/>
      <c r="CA8" s="1222"/>
      <c r="CB8" s="1222"/>
      <c r="CC8" s="1222"/>
      <c r="CD8" s="1188">
        <f t="shared" si="0"/>
        <v>4</v>
      </c>
      <c r="CE8" s="1188">
        <f t="shared" si="1"/>
        <v>0</v>
      </c>
      <c r="CF8" s="1188">
        <f t="shared" si="2"/>
        <v>0</v>
      </c>
      <c r="CG8" s="1188">
        <f t="shared" si="3"/>
        <v>0</v>
      </c>
      <c r="CH8" s="1232"/>
      <c r="CI8" s="1232"/>
      <c r="CJ8" s="1232"/>
      <c r="CK8" s="1222"/>
      <c r="CL8" s="1222"/>
    </row>
    <row r="9" s="1168" customFormat="1" customHeight="1" spans="1:111">
      <c r="A9" s="1245">
        <v>46044</v>
      </c>
      <c r="B9" s="1247" t="s">
        <v>147</v>
      </c>
      <c r="C9" s="1234" t="s">
        <v>148</v>
      </c>
      <c r="D9" s="1188">
        <v>4500191989</v>
      </c>
      <c r="E9" s="1234">
        <v>4400528766</v>
      </c>
      <c r="F9" s="1188" t="s">
        <v>149</v>
      </c>
      <c r="G9" s="1253" t="s">
        <v>150</v>
      </c>
      <c r="H9" s="1234" t="s">
        <v>151</v>
      </c>
      <c r="I9" s="1254">
        <v>3528</v>
      </c>
      <c r="J9" s="1234">
        <v>0</v>
      </c>
      <c r="K9" s="1234">
        <v>84</v>
      </c>
      <c r="L9" s="1246">
        <f t="shared" si="5"/>
        <v>42</v>
      </c>
      <c r="M9" s="1255">
        <v>46097</v>
      </c>
      <c r="N9" s="1255">
        <v>46093</v>
      </c>
      <c r="O9" s="1255"/>
      <c r="P9" s="1233"/>
      <c r="Q9" s="1233" t="s">
        <v>106</v>
      </c>
      <c r="R9" s="1234" t="s">
        <v>152</v>
      </c>
      <c r="S9" s="1234"/>
      <c r="T9" s="1233">
        <v>3528</v>
      </c>
      <c r="U9" s="1233">
        <f t="shared" si="4"/>
        <v>0</v>
      </c>
      <c r="V9" s="1234"/>
      <c r="W9" s="1256">
        <v>46044</v>
      </c>
      <c r="X9" s="1257" t="s">
        <v>107</v>
      </c>
      <c r="Y9" s="1257" t="s">
        <v>153</v>
      </c>
      <c r="Z9" s="1220" t="s">
        <v>140</v>
      </c>
      <c r="AA9" s="1220"/>
      <c r="AB9" s="1220"/>
      <c r="AC9" s="1247" t="s">
        <v>154</v>
      </c>
      <c r="AD9" s="1255" t="s">
        <v>142</v>
      </c>
      <c r="AE9" s="1188">
        <v>306.676</v>
      </c>
      <c r="AF9" s="1248">
        <f>L9*AE9</f>
        <v>12880.392</v>
      </c>
      <c r="AG9" s="1258"/>
      <c r="AH9" s="1234" t="s">
        <v>155</v>
      </c>
      <c r="AI9" s="1234" t="s">
        <v>112</v>
      </c>
      <c r="AJ9" s="1234" t="s">
        <v>113</v>
      </c>
      <c r="AK9" s="1188">
        <f t="shared" si="6"/>
        <v>3528</v>
      </c>
      <c r="AL9" s="1188"/>
      <c r="AM9" s="1188"/>
      <c r="AN9" s="1188"/>
      <c r="AO9" s="1188"/>
      <c r="AP9" s="1188"/>
      <c r="AQ9" s="1240"/>
      <c r="AR9" s="1188"/>
      <c r="AS9" s="1236"/>
      <c r="AT9" s="1236"/>
      <c r="AU9" s="1188"/>
      <c r="AV9" s="1250">
        <f t="shared" ref="AV9:AV35" si="7">I9*0.06</f>
        <v>211.68</v>
      </c>
      <c r="AW9" s="1250"/>
      <c r="AX9" s="1188"/>
      <c r="AY9" s="1188"/>
      <c r="AZ9" s="1188"/>
      <c r="BA9" s="1188"/>
      <c r="BB9" s="1188"/>
      <c r="BC9" s="1188"/>
      <c r="BD9" s="1188"/>
      <c r="BE9" s="1188"/>
      <c r="BF9" s="1188"/>
      <c r="BG9" s="1188">
        <f t="shared" ref="BG9:BG17" si="8">I9</f>
        <v>3528</v>
      </c>
      <c r="BH9" s="1188">
        <f t="shared" ref="BH9:BH17" si="9">I9</f>
        <v>3528</v>
      </c>
      <c r="BI9" s="1188"/>
      <c r="BJ9" s="1188"/>
      <c r="BK9" s="1188"/>
      <c r="BL9" s="1188"/>
      <c r="BM9" s="1188"/>
      <c r="BN9" s="1188"/>
      <c r="BO9" s="1240"/>
      <c r="BP9" s="1240"/>
      <c r="BQ9" s="1188"/>
      <c r="BR9" s="1236"/>
      <c r="BS9" s="1188"/>
      <c r="BT9" s="1188"/>
      <c r="BU9" s="1188"/>
      <c r="BV9" s="1240">
        <f>I9/K9</f>
        <v>42</v>
      </c>
      <c r="BW9" s="1188"/>
      <c r="BX9" s="1188"/>
      <c r="BY9" s="1188"/>
      <c r="BZ9" s="1188"/>
      <c r="CA9" s="1188"/>
      <c r="CB9" s="1188"/>
      <c r="CC9" s="1188"/>
      <c r="CD9" s="1188">
        <f t="shared" si="0"/>
        <v>0</v>
      </c>
      <c r="CE9" s="1188">
        <f t="shared" si="1"/>
        <v>0</v>
      </c>
      <c r="CF9" s="1188">
        <f t="shared" si="2"/>
        <v>0</v>
      </c>
      <c r="CG9" s="1188">
        <f t="shared" si="3"/>
        <v>42</v>
      </c>
      <c r="CH9" s="1236"/>
      <c r="CI9" s="1236"/>
      <c r="CJ9" s="1236"/>
      <c r="CK9" s="1188"/>
      <c r="CL9" s="1188"/>
    </row>
    <row r="10" s="1168" customFormat="1" customHeight="1" spans="1:111">
      <c r="A10" s="1245">
        <v>46044</v>
      </c>
      <c r="B10" s="1247" t="s">
        <v>147</v>
      </c>
      <c r="C10" s="1234" t="s">
        <v>148</v>
      </c>
      <c r="D10" s="1188">
        <v>4500191989</v>
      </c>
      <c r="E10" s="1234">
        <v>4400528767</v>
      </c>
      <c r="F10" s="1188" t="s">
        <v>156</v>
      </c>
      <c r="G10" s="1253" t="s">
        <v>150</v>
      </c>
      <c r="H10" s="1234" t="s">
        <v>151</v>
      </c>
      <c r="I10" s="1254">
        <v>1512</v>
      </c>
      <c r="J10" s="1234">
        <v>0</v>
      </c>
      <c r="K10" s="1234">
        <v>84</v>
      </c>
      <c r="L10" s="1246">
        <f t="shared" si="5"/>
        <v>18</v>
      </c>
      <c r="M10" s="1255">
        <v>46097</v>
      </c>
      <c r="N10" s="1255">
        <v>46093</v>
      </c>
      <c r="O10" s="1255"/>
      <c r="P10" s="1233"/>
      <c r="Q10" s="1233" t="s">
        <v>106</v>
      </c>
      <c r="R10" s="1234" t="s">
        <v>152</v>
      </c>
      <c r="S10" s="1234"/>
      <c r="T10" s="1233">
        <v>1512</v>
      </c>
      <c r="U10" s="1233">
        <f t="shared" si="4"/>
        <v>0</v>
      </c>
      <c r="V10" s="1234" t="s">
        <v>95</v>
      </c>
      <c r="W10" s="1256">
        <v>46044</v>
      </c>
      <c r="X10" s="1257" t="s">
        <v>95</v>
      </c>
      <c r="Y10" s="1257" t="s">
        <v>95</v>
      </c>
      <c r="Z10" s="1220" t="s">
        <v>140</v>
      </c>
      <c r="AA10" s="1220"/>
      <c r="AB10" s="1220"/>
      <c r="AC10" s="1247" t="s">
        <v>154</v>
      </c>
      <c r="AD10" s="1255" t="s">
        <v>142</v>
      </c>
      <c r="AE10" s="1188">
        <v>306.676</v>
      </c>
      <c r="AF10" s="1248">
        <f>L10*AE10</f>
        <v>5520.168</v>
      </c>
      <c r="AG10" s="1258"/>
      <c r="AH10" s="1234" t="s">
        <v>155</v>
      </c>
      <c r="AI10" s="1234" t="s">
        <v>112</v>
      </c>
      <c r="AJ10" s="1234" t="s">
        <v>113</v>
      </c>
      <c r="AK10" s="1188">
        <f t="shared" si="6"/>
        <v>1512</v>
      </c>
      <c r="AL10" s="1188"/>
      <c r="AM10" s="1188"/>
      <c r="AN10" s="1188"/>
      <c r="AO10" s="1188"/>
      <c r="AP10" s="1188"/>
      <c r="AQ10" s="1240"/>
      <c r="AR10" s="1188"/>
      <c r="AS10" s="1236"/>
      <c r="AT10" s="1236"/>
      <c r="AU10" s="1188"/>
      <c r="AV10" s="1250">
        <f t="shared" si="7"/>
        <v>90.72</v>
      </c>
      <c r="AW10" s="1250"/>
      <c r="AX10" s="1188"/>
      <c r="AY10" s="1188"/>
      <c r="AZ10" s="1188"/>
      <c r="BA10" s="1188"/>
      <c r="BB10" s="1188"/>
      <c r="BC10" s="1188"/>
      <c r="BD10" s="1188"/>
      <c r="BE10" s="1188"/>
      <c r="BF10" s="1188"/>
      <c r="BG10" s="1188">
        <f t="shared" si="8"/>
        <v>1512</v>
      </c>
      <c r="BH10" s="1188">
        <f t="shared" si="9"/>
        <v>1512</v>
      </c>
      <c r="BI10" s="1188"/>
      <c r="BJ10" s="1188"/>
      <c r="BK10" s="1188"/>
      <c r="BL10" s="1188"/>
      <c r="BM10" s="1188"/>
      <c r="BN10" s="1188"/>
      <c r="BO10" s="1240"/>
      <c r="BP10" s="1240"/>
      <c r="BQ10" s="1188"/>
      <c r="BR10" s="1236"/>
      <c r="BS10" s="1188"/>
      <c r="BT10" s="1188"/>
      <c r="BU10" s="1188"/>
      <c r="BV10" s="1240">
        <f>I10/K10</f>
        <v>18</v>
      </c>
      <c r="BW10" s="1188"/>
      <c r="BX10" s="1188"/>
      <c r="BY10" s="1188"/>
      <c r="BZ10" s="1188"/>
      <c r="CA10" s="1188"/>
      <c r="CB10" s="1188"/>
      <c r="CC10" s="1188"/>
      <c r="CD10" s="1188">
        <f t="shared" si="0"/>
        <v>0</v>
      </c>
      <c r="CE10" s="1188">
        <f t="shared" si="1"/>
        <v>0</v>
      </c>
      <c r="CF10" s="1188">
        <f t="shared" si="2"/>
        <v>0</v>
      </c>
      <c r="CG10" s="1188">
        <f t="shared" si="3"/>
        <v>18</v>
      </c>
      <c r="CH10" s="1236"/>
      <c r="CI10" s="1236"/>
      <c r="CJ10" s="1236"/>
      <c r="CK10" s="1188"/>
      <c r="CL10" s="1188"/>
    </row>
    <row r="11" s="1168" customFormat="1" customHeight="1" spans="1:111">
      <c r="A11" s="1219">
        <v>46044</v>
      </c>
      <c r="B11" s="1220" t="s">
        <v>147</v>
      </c>
      <c r="C11" s="1221" t="s">
        <v>148</v>
      </c>
      <c r="D11" s="1222">
        <v>4500191990</v>
      </c>
      <c r="E11" s="1221">
        <v>4400528766</v>
      </c>
      <c r="F11" s="1222" t="s">
        <v>157</v>
      </c>
      <c r="G11" s="1223" t="s">
        <v>137</v>
      </c>
      <c r="H11" s="1221" t="s">
        <v>138</v>
      </c>
      <c r="I11" s="1252">
        <v>1400</v>
      </c>
      <c r="J11" s="1221">
        <v>0</v>
      </c>
      <c r="K11" s="1221">
        <v>50</v>
      </c>
      <c r="L11" s="1224">
        <f t="shared" si="5"/>
        <v>28</v>
      </c>
      <c r="M11" s="1225">
        <v>46098</v>
      </c>
      <c r="N11" s="1225">
        <v>46094</v>
      </c>
      <c r="O11" s="1225"/>
      <c r="P11" s="1226"/>
      <c r="Q11" s="1226" t="s">
        <v>106</v>
      </c>
      <c r="R11" s="1221" t="s">
        <v>158</v>
      </c>
      <c r="S11" s="1221"/>
      <c r="T11" s="1226">
        <v>1400</v>
      </c>
      <c r="U11" s="1233">
        <f t="shared" si="4"/>
        <v>0</v>
      </c>
      <c r="V11" s="1221" t="s">
        <v>95</v>
      </c>
      <c r="W11" s="1238">
        <v>46044</v>
      </c>
      <c r="X11" s="1227" t="s">
        <v>95</v>
      </c>
      <c r="Y11" s="1227" t="s">
        <v>95</v>
      </c>
      <c r="Z11" s="1222" t="s">
        <v>140</v>
      </c>
      <c r="AA11" s="1222"/>
      <c r="AB11" s="1220"/>
      <c r="AC11" s="1220" t="s">
        <v>159</v>
      </c>
      <c r="AD11" s="1225" t="s">
        <v>142</v>
      </c>
      <c r="AE11" s="1222">
        <v>1.007</v>
      </c>
      <c r="AF11" s="1229">
        <f>I11*AE11</f>
        <v>1409.8</v>
      </c>
      <c r="AG11" s="1230"/>
      <c r="AH11" s="1221" t="s">
        <v>137</v>
      </c>
      <c r="AI11" s="1221" t="s">
        <v>112</v>
      </c>
      <c r="AJ11" s="1221" t="s">
        <v>113</v>
      </c>
      <c r="AK11" s="1222">
        <f t="shared" si="6"/>
        <v>1400</v>
      </c>
      <c r="AL11" s="1222"/>
      <c r="AM11" s="1222"/>
      <c r="AN11" s="1222"/>
      <c r="AO11" s="1222"/>
      <c r="AP11" s="1222"/>
      <c r="AQ11" s="1242"/>
      <c r="AR11" s="1222"/>
      <c r="AS11" s="1232"/>
      <c r="AT11" s="1232"/>
      <c r="AU11" s="1222"/>
      <c r="AV11" s="1241">
        <f t="shared" si="7"/>
        <v>84</v>
      </c>
      <c r="AW11" s="1241"/>
      <c r="AX11" s="1222"/>
      <c r="AY11" s="1222"/>
      <c r="AZ11" s="1222"/>
      <c r="BA11" s="1222"/>
      <c r="BB11" s="1222"/>
      <c r="BC11" s="1222"/>
      <c r="BD11" s="1222"/>
      <c r="BE11" s="1222"/>
      <c r="BF11" s="1222"/>
      <c r="BG11" s="1222">
        <f t="shared" si="8"/>
        <v>1400</v>
      </c>
      <c r="BH11" s="1222">
        <f t="shared" si="9"/>
        <v>1400</v>
      </c>
      <c r="BI11" s="1222"/>
      <c r="BJ11" s="1222"/>
      <c r="BK11" s="1222"/>
      <c r="BL11" s="1222"/>
      <c r="BM11" s="1222"/>
      <c r="BN11" s="1222"/>
      <c r="BO11" s="1231">
        <f>I11/25</f>
        <v>56</v>
      </c>
      <c r="BP11" s="1242"/>
      <c r="BQ11" s="1222"/>
      <c r="BR11" s="1232"/>
      <c r="BS11" s="1232"/>
      <c r="BT11" s="1222"/>
      <c r="BU11" s="1222"/>
      <c r="BV11" s="1242"/>
      <c r="BW11" s="1222"/>
      <c r="BX11" s="1222"/>
      <c r="BY11" s="1222"/>
      <c r="BZ11" s="1222"/>
      <c r="CA11" s="1222"/>
      <c r="CB11" s="1222"/>
      <c r="CC11" s="1222"/>
      <c r="CD11" s="1222">
        <f t="shared" si="0"/>
        <v>56</v>
      </c>
      <c r="CE11" s="1222">
        <f t="shared" si="1"/>
        <v>0</v>
      </c>
      <c r="CF11" s="1222">
        <f t="shared" si="2"/>
        <v>0</v>
      </c>
      <c r="CG11" s="1222">
        <f t="shared" si="3"/>
        <v>0</v>
      </c>
      <c r="CH11" s="1232"/>
      <c r="CI11" s="1232"/>
      <c r="CJ11" s="1232"/>
      <c r="CK11" s="1222"/>
      <c r="CL11" s="1222"/>
    </row>
    <row r="12" s="1168" customFormat="1" customHeight="1" spans="1:111">
      <c r="A12" s="1219">
        <v>46044</v>
      </c>
      <c r="B12" s="1220" t="s">
        <v>147</v>
      </c>
      <c r="C12" s="1221" t="s">
        <v>148</v>
      </c>
      <c r="D12" s="1222">
        <v>4500191990</v>
      </c>
      <c r="E12" s="1221">
        <v>4400528767</v>
      </c>
      <c r="F12" s="1222" t="s">
        <v>160</v>
      </c>
      <c r="G12" s="1223" t="s">
        <v>137</v>
      </c>
      <c r="H12" s="1221" t="s">
        <v>138</v>
      </c>
      <c r="I12" s="1221">
        <v>600</v>
      </c>
      <c r="J12" s="1221">
        <v>0</v>
      </c>
      <c r="K12" s="1221">
        <v>50</v>
      </c>
      <c r="L12" s="1224">
        <f t="shared" si="5"/>
        <v>12</v>
      </c>
      <c r="M12" s="1225">
        <v>46098</v>
      </c>
      <c r="N12" s="1225">
        <v>46094</v>
      </c>
      <c r="O12" s="1225"/>
      <c r="P12" s="1226"/>
      <c r="Q12" s="1226" t="s">
        <v>106</v>
      </c>
      <c r="R12" s="1221" t="s">
        <v>158</v>
      </c>
      <c r="S12" s="1221"/>
      <c r="T12" s="1226">
        <v>600</v>
      </c>
      <c r="U12" s="1233">
        <f t="shared" si="4"/>
        <v>0</v>
      </c>
      <c r="V12" s="1221" t="s">
        <v>95</v>
      </c>
      <c r="W12" s="1238">
        <v>46044</v>
      </c>
      <c r="X12" s="1227" t="s">
        <v>95</v>
      </c>
      <c r="Y12" s="1227" t="s">
        <v>95</v>
      </c>
      <c r="Z12" s="1222" t="s">
        <v>140</v>
      </c>
      <c r="AA12" s="1222"/>
      <c r="AB12" s="1220"/>
      <c r="AC12" s="1220" t="s">
        <v>159</v>
      </c>
      <c r="AD12" s="1225" t="s">
        <v>142</v>
      </c>
      <c r="AE12" s="1222">
        <v>1.007</v>
      </c>
      <c r="AF12" s="1229">
        <f>I12*AE12</f>
        <v>604.2</v>
      </c>
      <c r="AG12" s="1230"/>
      <c r="AH12" s="1221" t="s">
        <v>137</v>
      </c>
      <c r="AI12" s="1234" t="s">
        <v>112</v>
      </c>
      <c r="AJ12" s="1221" t="s">
        <v>113</v>
      </c>
      <c r="AK12" s="1222">
        <f t="shared" si="6"/>
        <v>600</v>
      </c>
      <c r="AL12" s="1222"/>
      <c r="AM12" s="1222"/>
      <c r="AN12" s="1222"/>
      <c r="AO12" s="1222"/>
      <c r="AP12" s="1222"/>
      <c r="AQ12" s="1242"/>
      <c r="AR12" s="1222"/>
      <c r="AS12" s="1232"/>
      <c r="AT12" s="1232"/>
      <c r="AU12" s="1222"/>
      <c r="AV12" s="1241">
        <f t="shared" si="7"/>
        <v>36</v>
      </c>
      <c r="AW12" s="1241"/>
      <c r="AX12" s="1222"/>
      <c r="AY12" s="1222"/>
      <c r="AZ12" s="1222"/>
      <c r="BA12" s="1222"/>
      <c r="BB12" s="1222"/>
      <c r="BC12" s="1222"/>
      <c r="BD12" s="1222"/>
      <c r="BE12" s="1222"/>
      <c r="BF12" s="1222"/>
      <c r="BG12" s="1222">
        <f t="shared" si="8"/>
        <v>600</v>
      </c>
      <c r="BH12" s="1222">
        <f t="shared" si="9"/>
        <v>600</v>
      </c>
      <c r="BI12" s="1222"/>
      <c r="BJ12" s="1222"/>
      <c r="BK12" s="1222"/>
      <c r="BL12" s="1222"/>
      <c r="BM12" s="1222"/>
      <c r="BN12" s="1222"/>
      <c r="BO12" s="1231">
        <f>I12/25</f>
        <v>24</v>
      </c>
      <c r="BP12" s="1242"/>
      <c r="BQ12" s="1222"/>
      <c r="BR12" s="1232"/>
      <c r="BS12" s="1232"/>
      <c r="BT12" s="1222"/>
      <c r="BU12" s="1222"/>
      <c r="BV12" s="1242"/>
      <c r="BW12" s="1222"/>
      <c r="BX12" s="1222"/>
      <c r="BY12" s="1222"/>
      <c r="BZ12" s="1222"/>
      <c r="CA12" s="1222"/>
      <c r="CB12" s="1222"/>
      <c r="CC12" s="1222"/>
      <c r="CD12" s="1222">
        <f t="shared" si="0"/>
        <v>24</v>
      </c>
      <c r="CE12" s="1222">
        <f t="shared" si="1"/>
        <v>0</v>
      </c>
      <c r="CF12" s="1222">
        <f t="shared" si="2"/>
        <v>0</v>
      </c>
      <c r="CG12" s="1222">
        <f t="shared" si="3"/>
        <v>0</v>
      </c>
      <c r="CH12" s="1232"/>
      <c r="CI12" s="1232"/>
      <c r="CJ12" s="1232"/>
      <c r="CK12" s="1222"/>
      <c r="CL12" s="1222"/>
    </row>
    <row r="13" s="1168" customFormat="1" customHeight="1" spans="1:111">
      <c r="A13" s="1219">
        <v>46043</v>
      </c>
      <c r="B13" s="1220" t="s">
        <v>134</v>
      </c>
      <c r="C13" s="1221" t="s">
        <v>135</v>
      </c>
      <c r="D13" s="1222">
        <v>4500191961</v>
      </c>
      <c r="E13" s="1221">
        <v>4400528768</v>
      </c>
      <c r="F13" s="1222" t="s">
        <v>161</v>
      </c>
      <c r="G13" s="1223" t="s">
        <v>150</v>
      </c>
      <c r="H13" s="1221" t="s">
        <v>151</v>
      </c>
      <c r="I13" s="1252">
        <v>11172</v>
      </c>
      <c r="J13" s="1221">
        <v>0</v>
      </c>
      <c r="K13" s="1221">
        <v>84</v>
      </c>
      <c r="L13" s="1224">
        <f t="shared" si="5"/>
        <v>133</v>
      </c>
      <c r="M13" s="1225">
        <v>46098</v>
      </c>
      <c r="N13" s="1225">
        <v>46094</v>
      </c>
      <c r="O13" s="1225"/>
      <c r="P13" s="1226"/>
      <c r="Q13" s="1226" t="s">
        <v>106</v>
      </c>
      <c r="R13" s="1221" t="s">
        <v>152</v>
      </c>
      <c r="S13" s="1221"/>
      <c r="T13" s="1226">
        <v>11172</v>
      </c>
      <c r="U13" s="1233">
        <f t="shared" si="4"/>
        <v>0</v>
      </c>
      <c r="V13" s="1221"/>
      <c r="W13" s="1238">
        <v>46044</v>
      </c>
      <c r="X13" s="1227" t="s">
        <v>107</v>
      </c>
      <c r="Y13" s="1227" t="s">
        <v>153</v>
      </c>
      <c r="Z13" s="1220" t="s">
        <v>140</v>
      </c>
      <c r="AA13" s="1220"/>
      <c r="AB13" s="1220"/>
      <c r="AC13" s="1220" t="s">
        <v>162</v>
      </c>
      <c r="AD13" s="1225" t="s">
        <v>142</v>
      </c>
      <c r="AE13" s="1222">
        <v>306.676</v>
      </c>
      <c r="AF13" s="1229">
        <f>L13*AE13</f>
        <v>40787.908</v>
      </c>
      <c r="AG13" s="1230"/>
      <c r="AH13" s="1221" t="s">
        <v>155</v>
      </c>
      <c r="AI13" s="1221" t="s">
        <v>112</v>
      </c>
      <c r="AJ13" s="1221" t="s">
        <v>113</v>
      </c>
      <c r="AK13" s="1222">
        <f t="shared" si="6"/>
        <v>11172</v>
      </c>
      <c r="AL13" s="1222"/>
      <c r="AM13" s="1222"/>
      <c r="AN13" s="1222"/>
      <c r="AO13" s="1222"/>
      <c r="AP13" s="1222"/>
      <c r="AQ13" s="1242"/>
      <c r="AR13" s="1222"/>
      <c r="AS13" s="1232"/>
      <c r="AT13" s="1232"/>
      <c r="AU13" s="1222"/>
      <c r="AV13" s="1241">
        <f t="shared" si="7"/>
        <v>670.32</v>
      </c>
      <c r="AW13" s="1241"/>
      <c r="AX13" s="1222"/>
      <c r="AY13" s="1222"/>
      <c r="AZ13" s="1222"/>
      <c r="BA13" s="1222"/>
      <c r="BB13" s="1222"/>
      <c r="BC13" s="1222"/>
      <c r="BD13" s="1222"/>
      <c r="BE13" s="1222"/>
      <c r="BF13" s="1222"/>
      <c r="BG13" s="1222">
        <f t="shared" si="8"/>
        <v>11172</v>
      </c>
      <c r="BH13" s="1222">
        <f t="shared" si="9"/>
        <v>11172</v>
      </c>
      <c r="BI13" s="1222"/>
      <c r="BJ13" s="1222"/>
      <c r="BK13" s="1222"/>
      <c r="BL13" s="1222"/>
      <c r="BM13" s="1222"/>
      <c r="BN13" s="1222"/>
      <c r="BO13" s="1242"/>
      <c r="BP13" s="1242"/>
      <c r="BQ13" s="1222"/>
      <c r="BR13" s="1232"/>
      <c r="BS13" s="1232"/>
      <c r="BT13" s="1222"/>
      <c r="BU13" s="1222"/>
      <c r="BV13" s="1242">
        <f>I13/K13</f>
        <v>133</v>
      </c>
      <c r="BW13" s="1222"/>
      <c r="BX13" s="1222"/>
      <c r="BY13" s="1222"/>
      <c r="BZ13" s="1222"/>
      <c r="CA13" s="1222"/>
      <c r="CB13" s="1222"/>
      <c r="CC13" s="1222"/>
      <c r="CD13" s="1222">
        <f t="shared" si="0"/>
        <v>0</v>
      </c>
      <c r="CE13" s="1222">
        <f t="shared" si="1"/>
        <v>0</v>
      </c>
      <c r="CF13" s="1222">
        <f t="shared" si="2"/>
        <v>0</v>
      </c>
      <c r="CG13" s="1222">
        <f t="shared" si="3"/>
        <v>133</v>
      </c>
      <c r="CH13" s="1232"/>
      <c r="CI13" s="1232"/>
      <c r="CJ13" s="1232"/>
      <c r="CK13" s="1222"/>
      <c r="CL13" s="1222"/>
    </row>
    <row r="14" s="1168" customFormat="1" customHeight="1" spans="1:111">
      <c r="A14" s="1219">
        <v>46044</v>
      </c>
      <c r="B14" s="1220" t="s">
        <v>163</v>
      </c>
      <c r="C14" s="1221" t="s">
        <v>164</v>
      </c>
      <c r="D14" s="1222">
        <v>4500191996</v>
      </c>
      <c r="E14" s="1221">
        <v>4400528770</v>
      </c>
      <c r="F14" s="1222" t="s">
        <v>165</v>
      </c>
      <c r="G14" s="1223" t="s">
        <v>137</v>
      </c>
      <c r="H14" s="1221" t="s">
        <v>138</v>
      </c>
      <c r="I14" s="1252">
        <v>1700</v>
      </c>
      <c r="J14" s="1221">
        <v>0</v>
      </c>
      <c r="K14" s="1221">
        <v>50</v>
      </c>
      <c r="L14" s="1224">
        <f t="shared" si="5"/>
        <v>34</v>
      </c>
      <c r="M14" s="1225">
        <v>46099</v>
      </c>
      <c r="N14" s="1225">
        <v>46095</v>
      </c>
      <c r="O14" s="1225"/>
      <c r="P14" s="1226"/>
      <c r="Q14" s="1226" t="s">
        <v>106</v>
      </c>
      <c r="R14" s="1221" t="s">
        <v>166</v>
      </c>
      <c r="S14" s="1221"/>
      <c r="T14" s="1226">
        <v>1700</v>
      </c>
      <c r="U14" s="1233">
        <f t="shared" si="4"/>
        <v>0</v>
      </c>
      <c r="V14" s="1221" t="s">
        <v>95</v>
      </c>
      <c r="W14" s="1238">
        <v>46044</v>
      </c>
      <c r="X14" s="1227" t="s">
        <v>95</v>
      </c>
      <c r="Y14" s="1227" t="s">
        <v>95</v>
      </c>
      <c r="Z14" s="1222" t="s">
        <v>140</v>
      </c>
      <c r="AA14" s="1222"/>
      <c r="AB14" s="1220"/>
      <c r="AC14" s="1220" t="s">
        <v>167</v>
      </c>
      <c r="AD14" s="1225" t="s">
        <v>142</v>
      </c>
      <c r="AE14" s="1222">
        <v>1.007</v>
      </c>
      <c r="AF14" s="1229">
        <f>I14*AE14</f>
        <v>1711.9</v>
      </c>
      <c r="AG14" s="1230"/>
      <c r="AH14" s="1221" t="s">
        <v>137</v>
      </c>
      <c r="AI14" s="1221" t="s">
        <v>112</v>
      </c>
      <c r="AJ14" s="1221" t="s">
        <v>113</v>
      </c>
      <c r="AK14" s="1222">
        <f t="shared" si="6"/>
        <v>1700</v>
      </c>
      <c r="AL14" s="1222"/>
      <c r="AM14" s="1222"/>
      <c r="AN14" s="1222"/>
      <c r="AO14" s="1222"/>
      <c r="AP14" s="1222"/>
      <c r="AQ14" s="1242"/>
      <c r="AR14" s="1222"/>
      <c r="AS14" s="1232"/>
      <c r="AT14" s="1232"/>
      <c r="AU14" s="1222"/>
      <c r="AV14" s="1241">
        <f t="shared" si="7"/>
        <v>102</v>
      </c>
      <c r="AW14" s="1241"/>
      <c r="AX14" s="1222"/>
      <c r="AY14" s="1222"/>
      <c r="AZ14" s="1222"/>
      <c r="BA14" s="1222"/>
      <c r="BB14" s="1222"/>
      <c r="BC14" s="1222"/>
      <c r="BD14" s="1222"/>
      <c r="BE14" s="1222"/>
      <c r="BF14" s="1222"/>
      <c r="BG14" s="1222">
        <f t="shared" si="8"/>
        <v>1700</v>
      </c>
      <c r="BH14" s="1222">
        <f t="shared" si="9"/>
        <v>1700</v>
      </c>
      <c r="BI14" s="1222"/>
      <c r="BJ14" s="1222"/>
      <c r="BK14" s="1222"/>
      <c r="BL14" s="1222"/>
      <c r="BM14" s="1222"/>
      <c r="BN14" s="1222"/>
      <c r="BO14" s="1231">
        <f>I14/25</f>
        <v>68</v>
      </c>
      <c r="BP14" s="1242"/>
      <c r="BQ14" s="1222"/>
      <c r="BR14" s="1232"/>
      <c r="BS14" s="1232"/>
      <c r="BT14" s="1222"/>
      <c r="BU14" s="1222"/>
      <c r="BV14" s="1242"/>
      <c r="BW14" s="1222"/>
      <c r="BX14" s="1222"/>
      <c r="BY14" s="1222"/>
      <c r="BZ14" s="1222"/>
      <c r="CA14" s="1222"/>
      <c r="CB14" s="1222"/>
      <c r="CC14" s="1222"/>
      <c r="CD14" s="1222">
        <f t="shared" si="0"/>
        <v>68</v>
      </c>
      <c r="CE14" s="1222">
        <f t="shared" si="1"/>
        <v>0</v>
      </c>
      <c r="CF14" s="1222">
        <f t="shared" si="2"/>
        <v>0</v>
      </c>
      <c r="CG14" s="1222">
        <f t="shared" si="3"/>
        <v>0</v>
      </c>
      <c r="CH14" s="1232"/>
      <c r="CI14" s="1232"/>
      <c r="CJ14" s="1232"/>
      <c r="CK14" s="1222"/>
      <c r="CL14" s="1222"/>
    </row>
    <row r="15" s="1168" customFormat="1" customHeight="1" spans="1:111">
      <c r="A15" s="1245">
        <v>46044</v>
      </c>
      <c r="B15" s="1247" t="s">
        <v>163</v>
      </c>
      <c r="C15" s="1234" t="s">
        <v>164</v>
      </c>
      <c r="D15" s="1188">
        <v>4500191996</v>
      </c>
      <c r="E15" s="1234">
        <v>4400528771</v>
      </c>
      <c r="F15" s="1188" t="s">
        <v>168</v>
      </c>
      <c r="G15" s="1253" t="s">
        <v>137</v>
      </c>
      <c r="H15" s="1234" t="s">
        <v>138</v>
      </c>
      <c r="I15" s="1254">
        <v>1300</v>
      </c>
      <c r="J15" s="1234">
        <v>0</v>
      </c>
      <c r="K15" s="1234">
        <v>50</v>
      </c>
      <c r="L15" s="1246">
        <f t="shared" si="5"/>
        <v>26</v>
      </c>
      <c r="M15" s="1255">
        <v>46099</v>
      </c>
      <c r="N15" s="1255">
        <v>46095</v>
      </c>
      <c r="O15" s="1255"/>
      <c r="P15" s="1233"/>
      <c r="Q15" s="1233" t="s">
        <v>106</v>
      </c>
      <c r="R15" s="1234" t="s">
        <v>166</v>
      </c>
      <c r="S15" s="1234"/>
      <c r="T15" s="1233">
        <v>1300</v>
      </c>
      <c r="U15" s="1233">
        <f t="shared" si="4"/>
        <v>0</v>
      </c>
      <c r="V15" s="1234" t="s">
        <v>95</v>
      </c>
      <c r="W15" s="1238">
        <v>46044</v>
      </c>
      <c r="X15" s="1227" t="s">
        <v>95</v>
      </c>
      <c r="Y15" s="1227" t="s">
        <v>95</v>
      </c>
      <c r="Z15" s="1188" t="s">
        <v>140</v>
      </c>
      <c r="AA15" s="1188"/>
      <c r="AB15" s="1247"/>
      <c r="AC15" s="1247" t="s">
        <v>167</v>
      </c>
      <c r="AD15" s="1255" t="s">
        <v>142</v>
      </c>
      <c r="AE15" s="1188">
        <v>1.007</v>
      </c>
      <c r="AF15" s="1248">
        <f>I15*AE15</f>
        <v>1309.1</v>
      </c>
      <c r="AG15" s="1258"/>
      <c r="AH15" s="1234" t="s">
        <v>137</v>
      </c>
      <c r="AI15" s="1234" t="s">
        <v>112</v>
      </c>
      <c r="AJ15" s="1234" t="s">
        <v>113</v>
      </c>
      <c r="AK15" s="1188">
        <f t="shared" si="6"/>
        <v>1300</v>
      </c>
      <c r="AL15" s="1188"/>
      <c r="AM15" s="1188"/>
      <c r="AN15" s="1188"/>
      <c r="AO15" s="1188"/>
      <c r="AP15" s="1188"/>
      <c r="AQ15" s="1240"/>
      <c r="AR15" s="1188"/>
      <c r="AS15" s="1236"/>
      <c r="AT15" s="1236"/>
      <c r="AU15" s="1188"/>
      <c r="AV15" s="1250">
        <f t="shared" si="7"/>
        <v>78</v>
      </c>
      <c r="AW15" s="1250"/>
      <c r="AX15" s="1188"/>
      <c r="AY15" s="1188"/>
      <c r="AZ15" s="1188"/>
      <c r="BA15" s="1188"/>
      <c r="BB15" s="1188"/>
      <c r="BC15" s="1188"/>
      <c r="BD15" s="1188"/>
      <c r="BE15" s="1188"/>
      <c r="BF15" s="1188"/>
      <c r="BG15" s="1188">
        <f t="shared" si="8"/>
        <v>1300</v>
      </c>
      <c r="BH15" s="1188">
        <f t="shared" si="9"/>
        <v>1300</v>
      </c>
      <c r="BI15" s="1188"/>
      <c r="BJ15" s="1188"/>
      <c r="BK15" s="1188"/>
      <c r="BL15" s="1188"/>
      <c r="BM15" s="1188"/>
      <c r="BN15" s="1188"/>
      <c r="BO15" s="1235">
        <f>I15/25</f>
        <v>52</v>
      </c>
      <c r="BP15" s="1240"/>
      <c r="BQ15" s="1188"/>
      <c r="BR15" s="1236"/>
      <c r="BS15" s="1236"/>
      <c r="BT15" s="1188"/>
      <c r="BU15" s="1188"/>
      <c r="BV15" s="1240"/>
      <c r="BW15" s="1188"/>
      <c r="BX15" s="1188"/>
      <c r="BY15" s="1188"/>
      <c r="BZ15" s="1188"/>
      <c r="CA15" s="1188"/>
      <c r="CB15" s="1188"/>
      <c r="CC15" s="1188"/>
      <c r="CD15" s="1188">
        <f t="shared" si="0"/>
        <v>52</v>
      </c>
      <c r="CE15" s="1188">
        <f t="shared" si="1"/>
        <v>0</v>
      </c>
      <c r="CF15" s="1188">
        <f t="shared" si="2"/>
        <v>0</v>
      </c>
      <c r="CG15" s="1188">
        <f t="shared" si="3"/>
        <v>0</v>
      </c>
      <c r="CH15" s="1236"/>
      <c r="CI15" s="1236"/>
      <c r="CJ15" s="1236"/>
      <c r="CK15" s="1188"/>
      <c r="CL15" s="1188"/>
    </row>
    <row r="16" s="1168" customFormat="1" customHeight="1" spans="1:111">
      <c r="A16" s="1245">
        <v>46044</v>
      </c>
      <c r="B16" s="1247" t="s">
        <v>163</v>
      </c>
      <c r="C16" s="1234" t="s">
        <v>164</v>
      </c>
      <c r="D16" s="1188">
        <v>4500191997</v>
      </c>
      <c r="E16" s="1234">
        <v>4400528770</v>
      </c>
      <c r="F16" s="1188" t="s">
        <v>169</v>
      </c>
      <c r="G16" s="1253" t="s">
        <v>150</v>
      </c>
      <c r="H16" s="1234" t="s">
        <v>151</v>
      </c>
      <c r="I16" s="1254">
        <v>4872</v>
      </c>
      <c r="J16" s="1234">
        <v>0</v>
      </c>
      <c r="K16" s="1234">
        <v>84</v>
      </c>
      <c r="L16" s="1246">
        <f t="shared" si="5"/>
        <v>58</v>
      </c>
      <c r="M16" s="1255">
        <v>46100</v>
      </c>
      <c r="N16" s="1255">
        <v>46097</v>
      </c>
      <c r="O16" s="1255"/>
      <c r="P16" s="1233"/>
      <c r="Q16" s="1233" t="s">
        <v>106</v>
      </c>
      <c r="R16" s="1234"/>
      <c r="S16" s="1234"/>
      <c r="T16" s="1233">
        <v>4872</v>
      </c>
      <c r="U16" s="1233">
        <f t="shared" si="4"/>
        <v>0</v>
      </c>
      <c r="V16" s="1234"/>
      <c r="W16" s="1256">
        <v>46044</v>
      </c>
      <c r="X16" s="1257" t="s">
        <v>107</v>
      </c>
      <c r="Y16" s="1257" t="s">
        <v>153</v>
      </c>
      <c r="Z16" s="1247" t="s">
        <v>140</v>
      </c>
      <c r="AA16" s="1247"/>
      <c r="AB16" s="1247"/>
      <c r="AC16" s="1247" t="s">
        <v>170</v>
      </c>
      <c r="AD16" s="1255" t="s">
        <v>142</v>
      </c>
      <c r="AE16" s="1188">
        <v>306.676</v>
      </c>
      <c r="AF16" s="1248">
        <f>L16*AE16</f>
        <v>17787.208</v>
      </c>
      <c r="AG16" s="1258"/>
      <c r="AH16" s="1234" t="s">
        <v>155</v>
      </c>
      <c r="AI16" s="1234" t="s">
        <v>112</v>
      </c>
      <c r="AJ16" s="1234" t="s">
        <v>113</v>
      </c>
      <c r="AK16" s="1188">
        <f t="shared" si="6"/>
        <v>4872</v>
      </c>
      <c r="AL16" s="1188"/>
      <c r="AM16" s="1188"/>
      <c r="AN16" s="1188"/>
      <c r="AO16" s="1188"/>
      <c r="AP16" s="1188"/>
      <c r="AQ16" s="1240"/>
      <c r="AR16" s="1188"/>
      <c r="AS16" s="1236"/>
      <c r="AT16" s="1236"/>
      <c r="AU16" s="1188"/>
      <c r="AV16" s="1250">
        <f t="shared" si="7"/>
        <v>292.32</v>
      </c>
      <c r="AW16" s="1250"/>
      <c r="AX16" s="1188"/>
      <c r="AY16" s="1188"/>
      <c r="AZ16" s="1188"/>
      <c r="BA16" s="1188"/>
      <c r="BB16" s="1188"/>
      <c r="BC16" s="1188"/>
      <c r="BD16" s="1188"/>
      <c r="BE16" s="1188"/>
      <c r="BF16" s="1188"/>
      <c r="BG16" s="1188">
        <f t="shared" si="8"/>
        <v>4872</v>
      </c>
      <c r="BH16" s="1188">
        <f t="shared" si="9"/>
        <v>4872</v>
      </c>
      <c r="BI16" s="1188"/>
      <c r="BJ16" s="1188"/>
      <c r="BK16" s="1188"/>
      <c r="BL16" s="1188"/>
      <c r="BM16" s="1188"/>
      <c r="BN16" s="1188"/>
      <c r="BO16" s="1240"/>
      <c r="BP16" s="1240"/>
      <c r="BQ16" s="1188"/>
      <c r="BR16" s="1236"/>
      <c r="BS16" s="1188"/>
      <c r="BT16" s="1188"/>
      <c r="BU16" s="1188"/>
      <c r="BV16" s="1240">
        <f>I16/K16</f>
        <v>58</v>
      </c>
      <c r="BW16" s="1188"/>
      <c r="BX16" s="1188"/>
      <c r="BY16" s="1188"/>
      <c r="BZ16" s="1188"/>
      <c r="CA16" s="1188"/>
      <c r="CB16" s="1188"/>
      <c r="CC16" s="1188"/>
      <c r="CD16" s="1188">
        <f t="shared" si="0"/>
        <v>0</v>
      </c>
      <c r="CE16" s="1188">
        <f t="shared" si="1"/>
        <v>0</v>
      </c>
      <c r="CF16" s="1188">
        <f t="shared" si="2"/>
        <v>0</v>
      </c>
      <c r="CG16" s="1188">
        <f t="shared" si="3"/>
        <v>58</v>
      </c>
      <c r="CH16" s="1236"/>
      <c r="CI16" s="1236"/>
      <c r="CJ16" s="1236"/>
      <c r="CK16" s="1188"/>
      <c r="CL16" s="1188"/>
    </row>
    <row r="17" s="1168" customFormat="1" customHeight="1" spans="1:90">
      <c r="A17" s="1245">
        <v>46044</v>
      </c>
      <c r="B17" s="1247" t="s">
        <v>163</v>
      </c>
      <c r="C17" s="1234" t="s">
        <v>164</v>
      </c>
      <c r="D17" s="1188">
        <v>4500191997</v>
      </c>
      <c r="E17" s="1234">
        <v>4400528771</v>
      </c>
      <c r="F17" s="1188" t="s">
        <v>171</v>
      </c>
      <c r="G17" s="1253" t="s">
        <v>150</v>
      </c>
      <c r="H17" s="1234" t="s">
        <v>151</v>
      </c>
      <c r="I17" s="1254">
        <v>5628</v>
      </c>
      <c r="J17" s="1234">
        <v>0</v>
      </c>
      <c r="K17" s="1234">
        <v>84</v>
      </c>
      <c r="L17" s="1246">
        <f t="shared" si="5"/>
        <v>67</v>
      </c>
      <c r="M17" s="1255">
        <v>46100</v>
      </c>
      <c r="N17" s="1255">
        <v>46097</v>
      </c>
      <c r="O17" s="1255"/>
      <c r="P17" s="1233"/>
      <c r="Q17" s="1233" t="s">
        <v>106</v>
      </c>
      <c r="R17" s="1234" t="s">
        <v>152</v>
      </c>
      <c r="S17" s="1234"/>
      <c r="T17" s="1233">
        <v>5628</v>
      </c>
      <c r="U17" s="1233">
        <f t="shared" si="4"/>
        <v>0</v>
      </c>
      <c r="V17" s="1234"/>
      <c r="W17" s="1256">
        <v>46044</v>
      </c>
      <c r="X17" s="1257" t="s">
        <v>107</v>
      </c>
      <c r="Y17" s="1257" t="s">
        <v>153</v>
      </c>
      <c r="Z17" s="1247" t="s">
        <v>140</v>
      </c>
      <c r="AA17" s="1247"/>
      <c r="AB17" s="1247"/>
      <c r="AC17" s="1247" t="s">
        <v>170</v>
      </c>
      <c r="AD17" s="1255" t="s">
        <v>142</v>
      </c>
      <c r="AE17" s="1188">
        <v>306.676</v>
      </c>
      <c r="AF17" s="1248">
        <f>L17*AE17</f>
        <v>20547.292</v>
      </c>
      <c r="AG17" s="1258"/>
      <c r="AH17" s="1234" t="s">
        <v>155</v>
      </c>
      <c r="AI17" s="1234" t="s">
        <v>112</v>
      </c>
      <c r="AJ17" s="1234" t="s">
        <v>113</v>
      </c>
      <c r="AK17" s="1188">
        <f t="shared" si="6"/>
        <v>5628</v>
      </c>
      <c r="AL17" s="1188"/>
      <c r="AM17" s="1188"/>
      <c r="AN17" s="1188"/>
      <c r="AO17" s="1188"/>
      <c r="AP17" s="1188"/>
      <c r="AQ17" s="1240"/>
      <c r="AR17" s="1188"/>
      <c r="AS17" s="1236"/>
      <c r="AT17" s="1236"/>
      <c r="AU17" s="1188"/>
      <c r="AV17" s="1250">
        <f t="shared" si="7"/>
        <v>337.68</v>
      </c>
      <c r="AW17" s="1250"/>
      <c r="AX17" s="1188"/>
      <c r="AY17" s="1188"/>
      <c r="AZ17" s="1188"/>
      <c r="BA17" s="1188"/>
      <c r="BB17" s="1188"/>
      <c r="BC17" s="1188"/>
      <c r="BD17" s="1188"/>
      <c r="BE17" s="1188"/>
      <c r="BF17" s="1188"/>
      <c r="BG17" s="1188">
        <f t="shared" si="8"/>
        <v>5628</v>
      </c>
      <c r="BH17" s="1188">
        <f t="shared" si="9"/>
        <v>5628</v>
      </c>
      <c r="BI17" s="1188"/>
      <c r="BJ17" s="1188"/>
      <c r="BK17" s="1188"/>
      <c r="BL17" s="1188"/>
      <c r="BM17" s="1188"/>
      <c r="BN17" s="1188"/>
      <c r="BO17" s="1240"/>
      <c r="BP17" s="1240"/>
      <c r="BQ17" s="1188"/>
      <c r="BR17" s="1236"/>
      <c r="BS17" s="1188"/>
      <c r="BT17" s="1188"/>
      <c r="BU17" s="1188"/>
      <c r="BV17" s="1240">
        <f>I17/K17</f>
        <v>67</v>
      </c>
      <c r="BW17" s="1188"/>
      <c r="BX17" s="1188"/>
      <c r="BY17" s="1188"/>
      <c r="BZ17" s="1188"/>
      <c r="CA17" s="1188"/>
      <c r="CB17" s="1188"/>
      <c r="CC17" s="1188"/>
      <c r="CD17" s="1188">
        <f t="shared" si="0"/>
        <v>0</v>
      </c>
      <c r="CE17" s="1188">
        <f t="shared" si="1"/>
        <v>0</v>
      </c>
      <c r="CF17" s="1188">
        <f t="shared" si="2"/>
        <v>0</v>
      </c>
      <c r="CG17" s="1188">
        <f t="shared" si="3"/>
        <v>67</v>
      </c>
      <c r="CH17" s="1236"/>
      <c r="CI17" s="1236"/>
      <c r="CJ17" s="1236"/>
      <c r="CK17" s="1188"/>
      <c r="CL17" s="1188"/>
    </row>
    <row r="18" s="1168" customFormat="1" customHeight="1" spans="1:90">
      <c r="A18" s="1245">
        <v>46045</v>
      </c>
      <c r="B18" s="1247" t="s">
        <v>172</v>
      </c>
      <c r="C18" s="1234" t="s">
        <v>115</v>
      </c>
      <c r="D18" s="1188">
        <v>4500192208</v>
      </c>
      <c r="E18" s="1234">
        <v>36244</v>
      </c>
      <c r="F18" s="1188" t="s">
        <v>173</v>
      </c>
      <c r="G18" s="1253" t="s">
        <v>174</v>
      </c>
      <c r="H18" s="1234" t="s">
        <v>175</v>
      </c>
      <c r="I18" s="1254">
        <v>936</v>
      </c>
      <c r="J18" s="1234">
        <v>0</v>
      </c>
      <c r="K18" s="1234">
        <v>52</v>
      </c>
      <c r="L18" s="1246">
        <f t="shared" si="5"/>
        <v>18</v>
      </c>
      <c r="M18" s="1255">
        <v>46108</v>
      </c>
      <c r="N18" s="1255">
        <v>46104</v>
      </c>
      <c r="O18" s="1255"/>
      <c r="P18" s="1233"/>
      <c r="Q18" s="1233" t="s">
        <v>106</v>
      </c>
      <c r="R18" s="1234" t="s">
        <v>176</v>
      </c>
      <c r="S18" s="1234"/>
      <c r="T18" s="1259">
        <v>936</v>
      </c>
      <c r="U18" s="1233">
        <f t="shared" si="4"/>
        <v>0</v>
      </c>
      <c r="V18" s="1234" t="s">
        <v>95</v>
      </c>
      <c r="W18" s="1256">
        <v>46078</v>
      </c>
      <c r="X18" s="1257" t="s">
        <v>95</v>
      </c>
      <c r="Y18" s="1257" t="s">
        <v>95</v>
      </c>
      <c r="Z18" s="1188"/>
      <c r="AA18" s="1188"/>
      <c r="AB18" s="1247"/>
      <c r="AC18" s="1247" t="s">
        <v>177</v>
      </c>
      <c r="AD18" s="1255" t="s">
        <v>178</v>
      </c>
      <c r="AE18" s="1188">
        <v>0.6198</v>
      </c>
      <c r="AF18" s="1248">
        <f t="shared" ref="AF18:AF33" si="10">I18*AE18</f>
        <v>580.1328</v>
      </c>
      <c r="AG18" s="1249" t="s">
        <v>179</v>
      </c>
      <c r="AH18" s="1253" t="s">
        <v>174</v>
      </c>
      <c r="AI18" s="1234" t="s">
        <v>112</v>
      </c>
      <c r="AJ18" s="1234" t="s">
        <v>113</v>
      </c>
      <c r="AK18" s="1188">
        <f t="shared" si="6"/>
        <v>936</v>
      </c>
      <c r="AL18" s="1188"/>
      <c r="AM18" s="1188"/>
      <c r="AN18" s="1188">
        <f>I18</f>
        <v>936</v>
      </c>
      <c r="AO18" s="1188"/>
      <c r="AP18" s="1188"/>
      <c r="AQ18" s="1240"/>
      <c r="AR18" s="1188"/>
      <c r="AS18" s="1236"/>
      <c r="AT18" s="1236"/>
      <c r="AU18" s="1188">
        <f>I18</f>
        <v>936</v>
      </c>
      <c r="AV18" s="1250">
        <f t="shared" si="7"/>
        <v>56.16</v>
      </c>
      <c r="AW18" s="1250"/>
      <c r="AX18" s="1188"/>
      <c r="AY18" s="1188"/>
      <c r="AZ18" s="1188"/>
      <c r="BA18" s="1188"/>
      <c r="BB18" s="1188"/>
      <c r="BC18" s="1188"/>
      <c r="BD18" s="1188"/>
      <c r="BE18" s="1188"/>
      <c r="BF18" s="1188"/>
      <c r="BG18" s="1188"/>
      <c r="BH18" s="1188"/>
      <c r="BI18" s="1188"/>
      <c r="BJ18" s="1188"/>
      <c r="BK18" s="1188">
        <f>I18/13</f>
        <v>72</v>
      </c>
      <c r="BL18" s="1188"/>
      <c r="BM18" s="1188"/>
      <c r="BN18" s="1188"/>
      <c r="BO18" s="1240"/>
      <c r="BP18" s="1240"/>
      <c r="BQ18" s="1188"/>
      <c r="BR18" s="1236"/>
      <c r="BS18" s="1188"/>
      <c r="BT18" s="1188"/>
      <c r="BU18" s="1188"/>
      <c r="BV18" s="1240"/>
      <c r="BW18" s="1188"/>
      <c r="BX18" s="1188"/>
      <c r="BY18" s="1188"/>
      <c r="BZ18" s="1188"/>
      <c r="CA18" s="1188"/>
      <c r="CB18" s="1188"/>
      <c r="CC18" s="1188"/>
      <c r="CD18" s="1188">
        <f t="shared" si="0"/>
        <v>0</v>
      </c>
      <c r="CE18" s="1188">
        <f t="shared" si="1"/>
        <v>0</v>
      </c>
      <c r="CF18" s="1188">
        <f t="shared" si="2"/>
        <v>0</v>
      </c>
      <c r="CG18" s="1188">
        <f t="shared" si="3"/>
        <v>0</v>
      </c>
      <c r="CH18" s="1236"/>
      <c r="CI18" s="1236"/>
      <c r="CJ18" s="1236"/>
      <c r="CK18" s="1188"/>
      <c r="CL18" s="1188"/>
    </row>
    <row r="19" s="1168" customFormat="1" customHeight="1" spans="1:90">
      <c r="A19" s="1245">
        <v>46062</v>
      </c>
      <c r="B19" s="1247" t="s">
        <v>180</v>
      </c>
      <c r="C19" s="1234" t="s">
        <v>115</v>
      </c>
      <c r="D19" s="1188">
        <v>4500193475</v>
      </c>
      <c r="E19" s="1234">
        <v>5200009006</v>
      </c>
      <c r="F19" s="1188" t="s">
        <v>181</v>
      </c>
      <c r="G19" s="1253" t="s">
        <v>182</v>
      </c>
      <c r="H19" s="1234" t="s">
        <v>138</v>
      </c>
      <c r="I19" s="1254">
        <v>750</v>
      </c>
      <c r="J19" s="1234">
        <v>0</v>
      </c>
      <c r="K19" s="1234">
        <v>50</v>
      </c>
      <c r="L19" s="1246">
        <f t="shared" si="5"/>
        <v>15</v>
      </c>
      <c r="M19" s="1255">
        <v>46108</v>
      </c>
      <c r="N19" s="1255">
        <v>46104</v>
      </c>
      <c r="O19" s="1255"/>
      <c r="P19" s="1233"/>
      <c r="Q19" s="1233" t="s">
        <v>106</v>
      </c>
      <c r="R19" s="1234" t="s">
        <v>183</v>
      </c>
      <c r="S19" s="1234"/>
      <c r="T19" s="1233">
        <v>750</v>
      </c>
      <c r="U19" s="1233">
        <f t="shared" si="4"/>
        <v>0</v>
      </c>
      <c r="V19" s="1234" t="s">
        <v>120</v>
      </c>
      <c r="W19" s="1256">
        <v>46062</v>
      </c>
      <c r="X19" s="1257" t="s">
        <v>107</v>
      </c>
      <c r="Y19" s="1257" t="s">
        <v>184</v>
      </c>
      <c r="Z19" s="1188"/>
      <c r="AA19" s="1188"/>
      <c r="AB19" s="1247"/>
      <c r="AC19" s="1247" t="s">
        <v>185</v>
      </c>
      <c r="AD19" s="1255" t="s">
        <v>186</v>
      </c>
      <c r="AE19" s="1188">
        <v>0.6042</v>
      </c>
      <c r="AF19" s="1248">
        <f t="shared" si="10"/>
        <v>453.15</v>
      </c>
      <c r="AG19" s="1249" t="s">
        <v>187</v>
      </c>
      <c r="AH19" s="1234" t="s">
        <v>188</v>
      </c>
      <c r="AI19" s="1234" t="s">
        <v>112</v>
      </c>
      <c r="AJ19" s="1234" t="s">
        <v>113</v>
      </c>
      <c r="AK19" s="1188">
        <f t="shared" si="6"/>
        <v>750</v>
      </c>
      <c r="AL19" s="1188"/>
      <c r="AM19" s="1188"/>
      <c r="AN19" s="1188">
        <f>I19</f>
        <v>750</v>
      </c>
      <c r="AO19" s="1188"/>
      <c r="AP19" s="1188"/>
      <c r="AQ19" s="1240"/>
      <c r="AR19" s="1188"/>
      <c r="AS19" s="1236"/>
      <c r="AT19" s="1236"/>
      <c r="AU19" s="1188">
        <f>I19</f>
        <v>750</v>
      </c>
      <c r="AV19" s="1250">
        <f t="shared" si="7"/>
        <v>45</v>
      </c>
      <c r="AW19" s="1250"/>
      <c r="AX19" s="1188"/>
      <c r="AY19" s="1188"/>
      <c r="AZ19" s="1188"/>
      <c r="BA19" s="1188"/>
      <c r="BB19" s="1188"/>
      <c r="BC19" s="1188"/>
      <c r="BD19" s="1188"/>
      <c r="BE19" s="1188"/>
      <c r="BF19" s="1188"/>
      <c r="BG19" s="1188"/>
      <c r="BH19" s="1188"/>
      <c r="BI19" s="1188"/>
      <c r="BJ19" s="1188"/>
      <c r="BK19" s="1188"/>
      <c r="BL19" s="1188"/>
      <c r="BM19" s="1188"/>
      <c r="BN19" s="1188">
        <f>I19/25</f>
        <v>30</v>
      </c>
      <c r="BO19" s="1240"/>
      <c r="BP19" s="1240"/>
      <c r="BQ19" s="1188"/>
      <c r="BR19" s="1236"/>
      <c r="BS19" s="1188"/>
      <c r="BT19" s="1188"/>
      <c r="BU19" s="1188"/>
      <c r="BV19" s="1240"/>
      <c r="BW19" s="1188"/>
      <c r="BX19" s="1188"/>
      <c r="BY19" s="1188"/>
      <c r="BZ19" s="1188"/>
      <c r="CA19" s="1188"/>
      <c r="CB19" s="1188"/>
      <c r="CC19" s="1188"/>
      <c r="CD19" s="1188">
        <f t="shared" si="0"/>
        <v>30</v>
      </c>
      <c r="CE19" s="1188">
        <f t="shared" si="1"/>
        <v>0</v>
      </c>
      <c r="CF19" s="1188">
        <f t="shared" si="2"/>
        <v>0</v>
      </c>
      <c r="CG19" s="1188">
        <f t="shared" si="3"/>
        <v>0</v>
      </c>
      <c r="CH19" s="1236"/>
      <c r="CI19" s="1236"/>
      <c r="CJ19" s="1236"/>
      <c r="CK19" s="1188"/>
      <c r="CL19" s="1188"/>
    </row>
    <row r="20" s="1168" customFormat="1" customHeight="1" spans="1:90">
      <c r="A20" s="1245">
        <v>46044</v>
      </c>
      <c r="B20" s="1247" t="s">
        <v>134</v>
      </c>
      <c r="C20" s="1234" t="s">
        <v>135</v>
      </c>
      <c r="D20" s="1188">
        <v>4500192013</v>
      </c>
      <c r="E20" s="1234">
        <v>4400530471</v>
      </c>
      <c r="F20" s="1188" t="s">
        <v>189</v>
      </c>
      <c r="G20" s="1253" t="s">
        <v>137</v>
      </c>
      <c r="H20" s="1234" t="s">
        <v>138</v>
      </c>
      <c r="I20" s="1254">
        <v>10000</v>
      </c>
      <c r="J20" s="1234">
        <v>0</v>
      </c>
      <c r="K20" s="1234">
        <v>50</v>
      </c>
      <c r="L20" s="1246">
        <f t="shared" si="5"/>
        <v>200</v>
      </c>
      <c r="M20" s="1255">
        <v>46112</v>
      </c>
      <c r="N20" s="1255">
        <v>46108</v>
      </c>
      <c r="O20" s="1255"/>
      <c r="P20" s="1233"/>
      <c r="Q20" s="1233" t="s">
        <v>106</v>
      </c>
      <c r="R20" s="1234" t="s">
        <v>152</v>
      </c>
      <c r="S20" s="1234"/>
      <c r="T20" s="1233">
        <v>10000</v>
      </c>
      <c r="U20" s="1233">
        <f t="shared" si="4"/>
        <v>0</v>
      </c>
      <c r="V20" s="1234" t="s">
        <v>95</v>
      </c>
      <c r="W20" s="1256">
        <v>46044</v>
      </c>
      <c r="X20" s="1257" t="s">
        <v>95</v>
      </c>
      <c r="Y20" s="1257" t="s">
        <v>95</v>
      </c>
      <c r="Z20" s="1188" t="s">
        <v>140</v>
      </c>
      <c r="AA20" s="1188"/>
      <c r="AB20" s="1247"/>
      <c r="AC20" s="1247" t="s">
        <v>190</v>
      </c>
      <c r="AD20" s="1255" t="s">
        <v>142</v>
      </c>
      <c r="AE20" s="1188">
        <v>1.007</v>
      </c>
      <c r="AF20" s="1248">
        <f t="shared" si="10"/>
        <v>10070</v>
      </c>
      <c r="AG20" s="1258"/>
      <c r="AH20" s="1234" t="s">
        <v>137</v>
      </c>
      <c r="AI20" s="1234" t="s">
        <v>112</v>
      </c>
      <c r="AJ20" s="1234" t="s">
        <v>113</v>
      </c>
      <c r="AK20" s="1188">
        <f t="shared" si="6"/>
        <v>10000</v>
      </c>
      <c r="AL20" s="1188"/>
      <c r="AM20" s="1188"/>
      <c r="AN20" s="1188"/>
      <c r="AO20" s="1188"/>
      <c r="AP20" s="1188"/>
      <c r="AQ20" s="1240"/>
      <c r="AR20" s="1188"/>
      <c r="AS20" s="1236"/>
      <c r="AT20" s="1236"/>
      <c r="AU20" s="1188"/>
      <c r="AV20" s="1250">
        <f t="shared" si="7"/>
        <v>600</v>
      </c>
      <c r="AW20" s="1250"/>
      <c r="AX20" s="1188"/>
      <c r="AY20" s="1188"/>
      <c r="AZ20" s="1188"/>
      <c r="BA20" s="1188"/>
      <c r="BB20" s="1188"/>
      <c r="BC20" s="1188"/>
      <c r="BD20" s="1188"/>
      <c r="BE20" s="1188"/>
      <c r="BF20" s="1188"/>
      <c r="BG20" s="1188">
        <f>I20</f>
        <v>10000</v>
      </c>
      <c r="BH20" s="1188">
        <f>I20</f>
        <v>10000</v>
      </c>
      <c r="BI20" s="1188"/>
      <c r="BJ20" s="1188"/>
      <c r="BK20" s="1188"/>
      <c r="BL20" s="1188"/>
      <c r="BM20" s="1188"/>
      <c r="BN20" s="1188"/>
      <c r="BO20" s="1235">
        <f>I20/25</f>
        <v>400</v>
      </c>
      <c r="BP20" s="1240"/>
      <c r="BQ20" s="1188"/>
      <c r="BR20" s="1236"/>
      <c r="BS20" s="1188"/>
      <c r="BT20" s="1188"/>
      <c r="BU20" s="1188"/>
      <c r="BV20" s="1240"/>
      <c r="BW20" s="1188"/>
      <c r="BX20" s="1188"/>
      <c r="BY20" s="1188"/>
      <c r="BZ20" s="1188"/>
      <c r="CA20" s="1188"/>
      <c r="CB20" s="1188"/>
      <c r="CC20" s="1188"/>
      <c r="CD20" s="1188">
        <f t="shared" si="0"/>
        <v>400</v>
      </c>
      <c r="CE20" s="1188">
        <f t="shared" si="1"/>
        <v>0</v>
      </c>
      <c r="CF20" s="1188">
        <f t="shared" si="2"/>
        <v>0</v>
      </c>
      <c r="CG20" s="1188">
        <f t="shared" si="3"/>
        <v>0</v>
      </c>
      <c r="CH20" s="1236"/>
      <c r="CI20" s="1236"/>
      <c r="CJ20" s="1236"/>
      <c r="CK20" s="1188"/>
      <c r="CL20" s="1188"/>
    </row>
    <row r="21" s="1168" customFormat="1" customHeight="1" spans="1:90">
      <c r="A21" s="1245">
        <v>46045</v>
      </c>
      <c r="B21" s="1247" t="s">
        <v>191</v>
      </c>
      <c r="C21" s="1234" t="s">
        <v>164</v>
      </c>
      <c r="D21" s="1188">
        <v>4500192187</v>
      </c>
      <c r="E21" s="1234">
        <v>5200008729</v>
      </c>
      <c r="F21" s="1188" t="s">
        <v>192</v>
      </c>
      <c r="G21" s="1253" t="s">
        <v>193</v>
      </c>
      <c r="H21" s="1234" t="s">
        <v>194</v>
      </c>
      <c r="I21" s="1254">
        <v>15600</v>
      </c>
      <c r="J21" s="1234">
        <v>0</v>
      </c>
      <c r="K21" s="1234">
        <v>13</v>
      </c>
      <c r="L21" s="1246">
        <f t="shared" si="5"/>
        <v>1200</v>
      </c>
      <c r="M21" s="1255">
        <v>46112</v>
      </c>
      <c r="N21" s="1255">
        <v>46108</v>
      </c>
      <c r="O21" s="1255"/>
      <c r="P21" s="1233"/>
      <c r="Q21" s="1233" t="s">
        <v>106</v>
      </c>
      <c r="R21" s="1234" t="s">
        <v>195</v>
      </c>
      <c r="S21" s="1234"/>
      <c r="T21" s="1233">
        <v>15600</v>
      </c>
      <c r="U21" s="1233">
        <f t="shared" si="4"/>
        <v>0</v>
      </c>
      <c r="V21" s="1234"/>
      <c r="W21" s="1256">
        <v>46364</v>
      </c>
      <c r="X21" s="1257" t="s">
        <v>95</v>
      </c>
      <c r="Y21" s="1257">
        <v>46092</v>
      </c>
      <c r="Z21" s="1247" t="s">
        <v>196</v>
      </c>
      <c r="AA21" s="1247"/>
      <c r="AB21" s="1247"/>
      <c r="AC21" s="1247" t="s">
        <v>197</v>
      </c>
      <c r="AD21" s="1255" t="s">
        <v>198</v>
      </c>
      <c r="AE21" s="1188">
        <v>2.02</v>
      </c>
      <c r="AF21" s="1248">
        <f t="shared" si="10"/>
        <v>31512</v>
      </c>
      <c r="AG21" s="1258"/>
      <c r="AH21" s="1234" t="s">
        <v>199</v>
      </c>
      <c r="AI21" s="1234" t="s">
        <v>112</v>
      </c>
      <c r="AJ21" s="1234" t="s">
        <v>113</v>
      </c>
      <c r="AK21" s="1188">
        <f t="shared" si="6"/>
        <v>15600</v>
      </c>
      <c r="AL21" s="1188"/>
      <c r="AM21" s="1188"/>
      <c r="AN21" s="1188"/>
      <c r="AO21" s="1188"/>
      <c r="AP21" s="1188">
        <f>I21</f>
        <v>15600</v>
      </c>
      <c r="AQ21" s="1240"/>
      <c r="AR21" s="1188"/>
      <c r="AS21" s="1236"/>
      <c r="AT21" s="1236"/>
      <c r="AU21" s="1188">
        <f t="shared" ref="AU21:AU32" si="11">I21</f>
        <v>15600</v>
      </c>
      <c r="AV21" s="1250">
        <f t="shared" si="7"/>
        <v>936</v>
      </c>
      <c r="AW21" s="1250"/>
      <c r="AX21" s="1188"/>
      <c r="AY21" s="1188"/>
      <c r="AZ21" s="1188"/>
      <c r="BA21" s="1188"/>
      <c r="BB21" s="1188"/>
      <c r="BC21" s="1188"/>
      <c r="BD21" s="1188"/>
      <c r="BE21" s="1188"/>
      <c r="BF21" s="1188"/>
      <c r="BG21" s="1188"/>
      <c r="BH21" s="1188"/>
      <c r="BI21" s="1188"/>
      <c r="BJ21" s="1188"/>
      <c r="BK21" s="1188"/>
      <c r="BL21" s="1188">
        <f>I21/13</f>
        <v>1200</v>
      </c>
      <c r="BM21" s="1188"/>
      <c r="BN21" s="1188"/>
      <c r="BO21" s="1240"/>
      <c r="BP21" s="1240"/>
      <c r="BQ21" s="1188"/>
      <c r="BR21" s="1236"/>
      <c r="BS21" s="1188"/>
      <c r="BT21" s="1188"/>
      <c r="BU21" s="1188"/>
      <c r="BV21" s="1240"/>
      <c r="BW21" s="1188"/>
      <c r="BX21" s="1188"/>
      <c r="BY21" s="1188"/>
      <c r="BZ21" s="1188"/>
      <c r="CA21" s="1188"/>
      <c r="CB21" s="1188"/>
      <c r="CC21" s="1188"/>
      <c r="CD21" s="1188">
        <f t="shared" si="0"/>
        <v>0</v>
      </c>
      <c r="CE21" s="1188">
        <f t="shared" si="1"/>
        <v>0</v>
      </c>
      <c r="CF21" s="1188">
        <f t="shared" si="2"/>
        <v>0</v>
      </c>
      <c r="CG21" s="1188">
        <f t="shared" si="3"/>
        <v>0</v>
      </c>
      <c r="CH21" s="1236"/>
      <c r="CI21" s="1236"/>
      <c r="CJ21" s="1236"/>
      <c r="CK21" s="1188"/>
      <c r="CL21" s="1188"/>
    </row>
    <row r="22" s="1168" customFormat="1" customHeight="1" spans="1:90">
      <c r="A22" s="1245">
        <v>46057</v>
      </c>
      <c r="B22" s="1247" t="s">
        <v>200</v>
      </c>
      <c r="C22" s="1234" t="s">
        <v>201</v>
      </c>
      <c r="D22" s="1188">
        <v>4500193076</v>
      </c>
      <c r="E22" s="1234">
        <v>4552042232</v>
      </c>
      <c r="F22" s="1188" t="s">
        <v>202</v>
      </c>
      <c r="G22" s="1253" t="s">
        <v>146</v>
      </c>
      <c r="H22" s="1234" t="s">
        <v>104</v>
      </c>
      <c r="I22" s="1254">
        <v>7500</v>
      </c>
      <c r="J22" s="1234">
        <v>0</v>
      </c>
      <c r="K22" s="1234">
        <v>25</v>
      </c>
      <c r="L22" s="1246">
        <f t="shared" si="5"/>
        <v>300</v>
      </c>
      <c r="M22" s="1255">
        <v>46114</v>
      </c>
      <c r="N22" s="1255">
        <v>46111</v>
      </c>
      <c r="O22" s="1255"/>
      <c r="P22" s="1233"/>
      <c r="Q22" s="1233" t="s">
        <v>106</v>
      </c>
      <c r="R22" s="1234" t="s">
        <v>152</v>
      </c>
      <c r="S22" s="1234">
        <v>1903076</v>
      </c>
      <c r="T22" s="1233">
        <v>7500</v>
      </c>
      <c r="U22" s="1233">
        <f t="shared" si="4"/>
        <v>0</v>
      </c>
      <c r="V22" s="1234" t="s">
        <v>120</v>
      </c>
      <c r="W22" s="1256">
        <v>46097</v>
      </c>
      <c r="X22" s="1257" t="s">
        <v>107</v>
      </c>
      <c r="Y22" s="1257">
        <v>46098</v>
      </c>
      <c r="Z22" s="1247"/>
      <c r="AA22" s="1247"/>
      <c r="AB22" s="1247"/>
      <c r="AC22" s="1247" t="s">
        <v>203</v>
      </c>
      <c r="AD22" s="1255" t="s">
        <v>204</v>
      </c>
      <c r="AE22" s="1188">
        <v>1.094</v>
      </c>
      <c r="AF22" s="1248">
        <f t="shared" si="10"/>
        <v>8205</v>
      </c>
      <c r="AG22" s="1258"/>
      <c r="AH22" s="1234" t="s">
        <v>111</v>
      </c>
      <c r="AI22" s="1234" t="s">
        <v>112</v>
      </c>
      <c r="AJ22" s="1234" t="s">
        <v>113</v>
      </c>
      <c r="AK22" s="1260">
        <f t="shared" si="6"/>
        <v>7500</v>
      </c>
      <c r="AL22" s="1188"/>
      <c r="AM22" s="1188"/>
      <c r="AN22" s="1188"/>
      <c r="AO22" s="1260"/>
      <c r="AP22" s="1260">
        <f>I22</f>
        <v>7500</v>
      </c>
      <c r="AQ22" s="1260"/>
      <c r="AR22" s="1188"/>
      <c r="AS22" s="1236"/>
      <c r="AT22" s="1236"/>
      <c r="AU22" s="1188">
        <f t="shared" si="11"/>
        <v>7500</v>
      </c>
      <c r="AV22" s="1250">
        <f t="shared" si="7"/>
        <v>450</v>
      </c>
      <c r="AW22" s="1261"/>
      <c r="AX22" s="1260"/>
      <c r="AY22" s="1260"/>
      <c r="AZ22" s="1188"/>
      <c r="BA22" s="1260"/>
      <c r="BB22" s="1260"/>
      <c r="BC22" s="1260"/>
      <c r="BD22" s="1260"/>
      <c r="BE22" s="1260"/>
      <c r="BF22" s="1260"/>
      <c r="BG22" s="1260"/>
      <c r="BH22" s="1260"/>
      <c r="BI22" s="1260"/>
      <c r="BJ22" s="1260"/>
      <c r="BK22" s="1260"/>
      <c r="BL22" s="1260"/>
      <c r="BM22" s="1260"/>
      <c r="BN22" s="1260"/>
      <c r="BO22" s="1262">
        <f>I22/25</f>
        <v>300</v>
      </c>
      <c r="BP22" s="1260"/>
      <c r="BQ22" s="1188"/>
      <c r="BR22" s="1260"/>
      <c r="BS22" s="1188"/>
      <c r="BT22" s="1260"/>
      <c r="BU22" s="1188"/>
      <c r="BV22" s="1260"/>
      <c r="BW22" s="1188"/>
      <c r="BX22" s="1188"/>
      <c r="BY22" s="1188"/>
      <c r="BZ22" s="1188"/>
      <c r="CA22" s="1188"/>
      <c r="CB22" s="1188"/>
      <c r="CC22" s="1188"/>
      <c r="CD22" s="1188">
        <f t="shared" si="0"/>
        <v>300</v>
      </c>
      <c r="CE22" s="1188">
        <f t="shared" si="1"/>
        <v>0</v>
      </c>
      <c r="CF22" s="1188">
        <f t="shared" si="2"/>
        <v>0</v>
      </c>
      <c r="CG22" s="1188">
        <f t="shared" si="3"/>
        <v>0</v>
      </c>
      <c r="CH22" s="1260"/>
      <c r="CI22" s="1260"/>
      <c r="CJ22" s="1260"/>
      <c r="CK22" s="1260"/>
      <c r="CL22" s="1260"/>
    </row>
    <row r="23" s="1168" customFormat="1" customHeight="1" spans="1:90">
      <c r="A23" s="1245">
        <v>46081</v>
      </c>
      <c r="B23" s="1247" t="s">
        <v>114</v>
      </c>
      <c r="C23" s="1234" t="s">
        <v>115</v>
      </c>
      <c r="D23" s="1188">
        <v>4500194699</v>
      </c>
      <c r="E23" s="1234" t="s">
        <v>205</v>
      </c>
      <c r="F23" s="1188" t="s">
        <v>206</v>
      </c>
      <c r="G23" s="1253" t="s">
        <v>118</v>
      </c>
      <c r="H23" s="1234" t="s">
        <v>104</v>
      </c>
      <c r="I23" s="1254">
        <v>55000</v>
      </c>
      <c r="J23" s="1234">
        <v>0</v>
      </c>
      <c r="K23" s="1234">
        <v>25</v>
      </c>
      <c r="L23" s="1246">
        <f t="shared" si="5"/>
        <v>2200</v>
      </c>
      <c r="M23" s="1255">
        <v>46118</v>
      </c>
      <c r="N23" s="1255">
        <v>46114</v>
      </c>
      <c r="O23" s="1255"/>
      <c r="P23" s="1233"/>
      <c r="Q23" s="1233" t="s">
        <v>106</v>
      </c>
      <c r="R23" s="1234"/>
      <c r="S23" s="1234"/>
      <c r="T23" s="1233">
        <v>55000</v>
      </c>
      <c r="U23" s="1233">
        <f t="shared" si="4"/>
        <v>0</v>
      </c>
      <c r="V23" s="1234" t="s">
        <v>120</v>
      </c>
      <c r="W23" s="1256" t="s">
        <v>207</v>
      </c>
      <c r="X23" s="1257" t="s">
        <v>107</v>
      </c>
      <c r="Y23" s="1257" t="s">
        <v>208</v>
      </c>
      <c r="Z23" s="1188"/>
      <c r="AA23" s="1188"/>
      <c r="AB23" s="1247"/>
      <c r="AC23" s="1247" t="s">
        <v>209</v>
      </c>
      <c r="AD23" s="1255" t="s">
        <v>123</v>
      </c>
      <c r="AE23" s="1188">
        <v>1.29</v>
      </c>
      <c r="AF23" s="1248">
        <f t="shared" si="10"/>
        <v>70950</v>
      </c>
      <c r="AG23" s="1249" t="s">
        <v>210</v>
      </c>
      <c r="AH23" s="1234" t="s">
        <v>118</v>
      </c>
      <c r="AI23" s="1234" t="s">
        <v>112</v>
      </c>
      <c r="AJ23" s="1234" t="s">
        <v>113</v>
      </c>
      <c r="AK23" s="1188"/>
      <c r="AL23" s="1188"/>
      <c r="AM23" s="1188">
        <f>I23</f>
        <v>55000</v>
      </c>
      <c r="AN23" s="1188">
        <f t="shared" ref="AN23:AN31" si="12">I23</f>
        <v>55000</v>
      </c>
      <c r="AO23" s="1188"/>
      <c r="AP23" s="1188"/>
      <c r="AQ23" s="1240"/>
      <c r="AR23" s="1188"/>
      <c r="AS23" s="1236"/>
      <c r="AT23" s="1236"/>
      <c r="AU23" s="1188">
        <f t="shared" si="11"/>
        <v>55000</v>
      </c>
      <c r="AV23" s="1250">
        <f t="shared" si="7"/>
        <v>3300</v>
      </c>
      <c r="AW23" s="1250"/>
      <c r="AX23" s="1188"/>
      <c r="AY23" s="1188"/>
      <c r="AZ23" s="1188"/>
      <c r="BA23" s="1188"/>
      <c r="BB23" s="1188"/>
      <c r="BC23" s="1188"/>
      <c r="BD23" s="1188"/>
      <c r="BE23" s="1188"/>
      <c r="BF23" s="1188"/>
      <c r="BG23" s="1188"/>
      <c r="BH23" s="1188"/>
      <c r="BI23" s="1188"/>
      <c r="BJ23" s="1188"/>
      <c r="BK23" s="1188"/>
      <c r="BL23" s="1188"/>
      <c r="BM23" s="1188"/>
      <c r="BN23" s="1188"/>
      <c r="BO23" s="1240"/>
      <c r="BP23" s="1240"/>
      <c r="BQ23" s="1188"/>
      <c r="BR23" s="1236"/>
      <c r="BS23" s="1188"/>
      <c r="BT23" s="1188"/>
      <c r="BU23" s="1251">
        <f>I23/25</f>
        <v>2200</v>
      </c>
      <c r="BV23" s="1240"/>
      <c r="BW23" s="1188"/>
      <c r="BX23" s="1188"/>
      <c r="BY23" s="1188"/>
      <c r="BZ23" s="1188"/>
      <c r="CA23" s="1188"/>
      <c r="CB23" s="1188"/>
      <c r="CC23" s="1188"/>
      <c r="CD23" s="1188">
        <f t="shared" si="0"/>
        <v>0</v>
      </c>
      <c r="CE23" s="1188">
        <f t="shared" si="1"/>
        <v>2200</v>
      </c>
      <c r="CF23" s="1188">
        <f t="shared" si="2"/>
        <v>0</v>
      </c>
      <c r="CG23" s="1188">
        <f t="shared" si="3"/>
        <v>0</v>
      </c>
      <c r="CH23" s="1236"/>
      <c r="CI23" s="1236"/>
      <c r="CJ23" s="1236"/>
      <c r="CK23" s="1188"/>
      <c r="CL23" s="1188"/>
    </row>
    <row r="24" s="1168" customFormat="1" customHeight="1" spans="1:90">
      <c r="A24" s="1245">
        <v>46059</v>
      </c>
      <c r="B24" s="1247" t="s">
        <v>114</v>
      </c>
      <c r="C24" s="1234" t="s">
        <v>115</v>
      </c>
      <c r="D24" s="1188">
        <v>4500190738</v>
      </c>
      <c r="E24" s="1234" t="s">
        <v>211</v>
      </c>
      <c r="F24" s="1188" t="s">
        <v>212</v>
      </c>
      <c r="G24" s="1253" t="s">
        <v>118</v>
      </c>
      <c r="H24" s="1234" t="s">
        <v>104</v>
      </c>
      <c r="I24" s="1234">
        <v>21375</v>
      </c>
      <c r="J24" s="1234">
        <v>0</v>
      </c>
      <c r="K24" s="1234">
        <v>25</v>
      </c>
      <c r="L24" s="1246">
        <f t="shared" si="5"/>
        <v>855</v>
      </c>
      <c r="M24" s="1255">
        <v>46119</v>
      </c>
      <c r="N24" s="1255">
        <v>46115</v>
      </c>
      <c r="O24" s="1255"/>
      <c r="P24" s="1233"/>
      <c r="Q24" s="1233" t="s">
        <v>106</v>
      </c>
      <c r="R24" s="1234"/>
      <c r="S24" s="1234"/>
      <c r="T24" s="1233">
        <v>21375</v>
      </c>
      <c r="U24" s="1233">
        <f t="shared" si="4"/>
        <v>0</v>
      </c>
      <c r="V24" s="1234"/>
      <c r="W24" s="1234" t="s">
        <v>213</v>
      </c>
      <c r="X24" s="1257" t="s">
        <v>107</v>
      </c>
      <c r="Y24" s="1257" t="s">
        <v>208</v>
      </c>
      <c r="Z24" s="1222"/>
      <c r="AA24" s="1260"/>
      <c r="AB24" s="1263"/>
      <c r="AC24" s="1247" t="s">
        <v>214</v>
      </c>
      <c r="AD24" s="1255" t="s">
        <v>123</v>
      </c>
      <c r="AE24" s="1188">
        <v>1.29</v>
      </c>
      <c r="AF24" s="1248">
        <f t="shared" si="10"/>
        <v>27573.75</v>
      </c>
      <c r="AG24" s="1249" t="s">
        <v>215</v>
      </c>
      <c r="AH24" s="1234" t="s">
        <v>118</v>
      </c>
      <c r="AI24" s="1234" t="s">
        <v>112</v>
      </c>
      <c r="AJ24" s="1234" t="s">
        <v>113</v>
      </c>
      <c r="AK24" s="1188"/>
      <c r="AL24" s="1188"/>
      <c r="AM24" s="1188">
        <f>I24</f>
        <v>21375</v>
      </c>
      <c r="AN24" s="1188">
        <f t="shared" si="12"/>
        <v>21375</v>
      </c>
      <c r="AO24" s="1260"/>
      <c r="AP24" s="1260"/>
      <c r="AQ24" s="1260"/>
      <c r="AR24" s="1188"/>
      <c r="AS24" s="1236"/>
      <c r="AT24" s="1236"/>
      <c r="AU24" s="1188">
        <f t="shared" si="11"/>
        <v>21375</v>
      </c>
      <c r="AV24" s="1250">
        <f t="shared" si="7"/>
        <v>1282.5</v>
      </c>
      <c r="AW24" s="1250"/>
      <c r="AX24" s="1188"/>
      <c r="AY24" s="1188"/>
      <c r="AZ24" s="1188"/>
      <c r="BA24" s="1188"/>
      <c r="BB24" s="1188"/>
      <c r="BC24" s="1188"/>
      <c r="BD24" s="1188"/>
      <c r="BE24" s="1188"/>
      <c r="BF24" s="1188"/>
      <c r="BG24" s="1188"/>
      <c r="BH24" s="1188"/>
      <c r="BI24" s="1260"/>
      <c r="BJ24" s="1188"/>
      <c r="BK24" s="1188"/>
      <c r="BL24" s="1188"/>
      <c r="BM24" s="1188"/>
      <c r="BN24" s="1260"/>
      <c r="BO24" s="1240"/>
      <c r="BP24" s="1240"/>
      <c r="BQ24" s="1188"/>
      <c r="BR24" s="1260"/>
      <c r="BS24" s="1188"/>
      <c r="BT24" s="1260"/>
      <c r="BU24" s="1251">
        <f>I24/25</f>
        <v>855</v>
      </c>
      <c r="BV24" s="1260"/>
      <c r="BW24" s="1188"/>
      <c r="BX24" s="1188"/>
      <c r="BY24" s="1188"/>
      <c r="BZ24" s="1188"/>
      <c r="CA24" s="1188"/>
      <c r="CB24" s="1188"/>
      <c r="CC24" s="1188"/>
      <c r="CD24" s="1188">
        <f t="shared" si="0"/>
        <v>0</v>
      </c>
      <c r="CE24" s="1188">
        <f t="shared" si="1"/>
        <v>855</v>
      </c>
      <c r="CF24" s="1188">
        <f t="shared" si="2"/>
        <v>0</v>
      </c>
      <c r="CG24" s="1188">
        <f t="shared" si="3"/>
        <v>0</v>
      </c>
      <c r="CH24" s="1260"/>
      <c r="CI24" s="1260"/>
      <c r="CJ24" s="1260"/>
      <c r="CK24" s="1260"/>
      <c r="CL24" s="1260"/>
    </row>
    <row r="25" s="1168" customFormat="1" customHeight="1" spans="1:90">
      <c r="A25" s="1245">
        <v>46061</v>
      </c>
      <c r="B25" s="1247" t="s">
        <v>216</v>
      </c>
      <c r="C25" s="1234" t="s">
        <v>217</v>
      </c>
      <c r="D25" s="1188">
        <v>4500193384</v>
      </c>
      <c r="E25" s="1234" t="s">
        <v>218</v>
      </c>
      <c r="F25" s="1188" t="s">
        <v>219</v>
      </c>
      <c r="G25" s="1253" t="s">
        <v>174</v>
      </c>
      <c r="H25" s="1234" t="s">
        <v>175</v>
      </c>
      <c r="I25" s="1254">
        <v>780</v>
      </c>
      <c r="J25" s="1234">
        <v>0</v>
      </c>
      <c r="K25" s="1234">
        <v>52</v>
      </c>
      <c r="L25" s="1246">
        <f t="shared" si="5"/>
        <v>15</v>
      </c>
      <c r="M25" s="1255">
        <v>46120</v>
      </c>
      <c r="N25" s="1255">
        <v>46116</v>
      </c>
      <c r="O25" s="1255"/>
      <c r="P25" s="1233"/>
      <c r="Q25" s="1233" t="s">
        <v>106</v>
      </c>
      <c r="R25" s="1234"/>
      <c r="S25" s="1234"/>
      <c r="T25" s="1233">
        <v>780</v>
      </c>
      <c r="U25" s="1233">
        <f t="shared" si="4"/>
        <v>0</v>
      </c>
      <c r="V25" s="1234" t="s">
        <v>120</v>
      </c>
      <c r="W25" s="1256">
        <v>46067</v>
      </c>
      <c r="X25" s="1257" t="s">
        <v>95</v>
      </c>
      <c r="Y25" s="1257" t="s">
        <v>220</v>
      </c>
      <c r="Z25" s="1247"/>
      <c r="AA25" s="1247"/>
      <c r="AB25" s="1247"/>
      <c r="AC25" s="1247" t="s">
        <v>221</v>
      </c>
      <c r="AD25" s="1255" t="s">
        <v>222</v>
      </c>
      <c r="AE25" s="1188">
        <v>1.033</v>
      </c>
      <c r="AF25" s="1248">
        <f t="shared" si="10"/>
        <v>805.74</v>
      </c>
      <c r="AG25" s="1258"/>
      <c r="AH25" s="1234" t="s">
        <v>174</v>
      </c>
      <c r="AI25" s="1234" t="s">
        <v>112</v>
      </c>
      <c r="AJ25" s="1234" t="s">
        <v>113</v>
      </c>
      <c r="AK25" s="1188">
        <f>I25</f>
        <v>780</v>
      </c>
      <c r="AL25" s="1188"/>
      <c r="AM25" s="1188"/>
      <c r="AN25" s="1188">
        <f t="shared" si="12"/>
        <v>780</v>
      </c>
      <c r="AO25" s="1188"/>
      <c r="AP25" s="1188"/>
      <c r="AQ25" s="1240"/>
      <c r="AR25" s="1188"/>
      <c r="AS25" s="1236"/>
      <c r="AT25" s="1236"/>
      <c r="AU25" s="1188">
        <f t="shared" si="11"/>
        <v>780</v>
      </c>
      <c r="AV25" s="1250">
        <f t="shared" si="7"/>
        <v>46.8</v>
      </c>
      <c r="AW25" s="1250"/>
      <c r="AX25" s="1188"/>
      <c r="AY25" s="1188"/>
      <c r="AZ25" s="1188"/>
      <c r="BA25" s="1188"/>
      <c r="BB25" s="1188"/>
      <c r="BC25" s="1188"/>
      <c r="BD25" s="1188"/>
      <c r="BE25" s="1188"/>
      <c r="BF25" s="1188"/>
      <c r="BG25" s="1188"/>
      <c r="BH25" s="1188"/>
      <c r="BI25" s="1188"/>
      <c r="BJ25" s="1188"/>
      <c r="BK25" s="1188">
        <f>I25/13</f>
        <v>60</v>
      </c>
      <c r="BL25" s="1188"/>
      <c r="BM25" s="1188"/>
      <c r="BN25" s="1188"/>
      <c r="BO25" s="1240"/>
      <c r="BP25" s="1240"/>
      <c r="BQ25" s="1188"/>
      <c r="BR25" s="1236"/>
      <c r="BS25" s="1188"/>
      <c r="BT25" s="1188"/>
      <c r="BU25" s="1188"/>
      <c r="BV25" s="1240"/>
      <c r="BW25" s="1188"/>
      <c r="BX25" s="1188"/>
      <c r="BY25" s="1188"/>
      <c r="BZ25" s="1188"/>
      <c r="CA25" s="1188"/>
      <c r="CB25" s="1188"/>
      <c r="CC25" s="1188"/>
      <c r="CD25" s="1188">
        <f t="shared" si="0"/>
        <v>0</v>
      </c>
      <c r="CE25" s="1188">
        <f t="shared" si="1"/>
        <v>0</v>
      </c>
      <c r="CF25" s="1188">
        <f t="shared" si="2"/>
        <v>0</v>
      </c>
      <c r="CG25" s="1188">
        <f t="shared" si="3"/>
        <v>0</v>
      </c>
      <c r="CH25" s="1236"/>
      <c r="CI25" s="1236"/>
      <c r="CJ25" s="1236"/>
      <c r="CK25" s="1188"/>
      <c r="CL25" s="1188"/>
    </row>
    <row r="26" s="1168" customFormat="1" customHeight="1" spans="1:90">
      <c r="A26" s="1245">
        <v>46061</v>
      </c>
      <c r="B26" s="1247" t="s">
        <v>223</v>
      </c>
      <c r="C26" s="1234" t="s">
        <v>217</v>
      </c>
      <c r="D26" s="1188">
        <v>4500193379</v>
      </c>
      <c r="E26" s="1234" t="s">
        <v>224</v>
      </c>
      <c r="F26" s="1188" t="s">
        <v>225</v>
      </c>
      <c r="G26" s="1253" t="s">
        <v>174</v>
      </c>
      <c r="H26" s="1234" t="s">
        <v>175</v>
      </c>
      <c r="I26" s="1254">
        <v>780</v>
      </c>
      <c r="J26" s="1234">
        <v>0</v>
      </c>
      <c r="K26" s="1234">
        <v>52</v>
      </c>
      <c r="L26" s="1246">
        <f t="shared" si="5"/>
        <v>15</v>
      </c>
      <c r="M26" s="1255">
        <v>46120</v>
      </c>
      <c r="N26" s="1255">
        <v>46116</v>
      </c>
      <c r="O26" s="1255"/>
      <c r="P26" s="1233"/>
      <c r="Q26" s="1233" t="s">
        <v>106</v>
      </c>
      <c r="R26" s="1234"/>
      <c r="S26" s="1234"/>
      <c r="T26" s="1233">
        <v>780</v>
      </c>
      <c r="U26" s="1233">
        <f t="shared" si="4"/>
        <v>0</v>
      </c>
      <c r="V26" s="1234" t="s">
        <v>120</v>
      </c>
      <c r="W26" s="1256">
        <v>46067</v>
      </c>
      <c r="X26" s="1257" t="s">
        <v>95</v>
      </c>
      <c r="Y26" s="1257" t="s">
        <v>220</v>
      </c>
      <c r="Z26" s="1247"/>
      <c r="AA26" s="1247"/>
      <c r="AB26" s="1247"/>
      <c r="AC26" s="1247" t="s">
        <v>226</v>
      </c>
      <c r="AD26" s="1255" t="s">
        <v>222</v>
      </c>
      <c r="AE26" s="1188">
        <v>1.033</v>
      </c>
      <c r="AF26" s="1248">
        <f t="shared" si="10"/>
        <v>805.74</v>
      </c>
      <c r="AG26" s="1258"/>
      <c r="AH26" s="1234" t="s">
        <v>174</v>
      </c>
      <c r="AI26" s="1234" t="s">
        <v>112</v>
      </c>
      <c r="AJ26" s="1234" t="s">
        <v>113</v>
      </c>
      <c r="AK26" s="1188">
        <f>I26</f>
        <v>780</v>
      </c>
      <c r="AL26" s="1188"/>
      <c r="AM26" s="1188"/>
      <c r="AN26" s="1188">
        <f t="shared" si="12"/>
        <v>780</v>
      </c>
      <c r="AO26" s="1188"/>
      <c r="AP26" s="1188"/>
      <c r="AQ26" s="1240"/>
      <c r="AR26" s="1188"/>
      <c r="AS26" s="1236"/>
      <c r="AT26" s="1236"/>
      <c r="AU26" s="1188">
        <f t="shared" si="11"/>
        <v>780</v>
      </c>
      <c r="AV26" s="1250">
        <f t="shared" si="7"/>
        <v>46.8</v>
      </c>
      <c r="AW26" s="1250"/>
      <c r="AX26" s="1188"/>
      <c r="AY26" s="1188"/>
      <c r="AZ26" s="1188"/>
      <c r="BA26" s="1188"/>
      <c r="BB26" s="1188"/>
      <c r="BC26" s="1188"/>
      <c r="BD26" s="1188"/>
      <c r="BE26" s="1188"/>
      <c r="BF26" s="1188"/>
      <c r="BG26" s="1188"/>
      <c r="BH26" s="1188"/>
      <c r="BI26" s="1188"/>
      <c r="BJ26" s="1188"/>
      <c r="BK26" s="1188">
        <f>I26/13</f>
        <v>60</v>
      </c>
      <c r="BL26" s="1188"/>
      <c r="BM26" s="1188"/>
      <c r="BN26" s="1188"/>
      <c r="BO26" s="1240"/>
      <c r="BP26" s="1240"/>
      <c r="BQ26" s="1188"/>
      <c r="BR26" s="1236"/>
      <c r="BS26" s="1188"/>
      <c r="BT26" s="1188"/>
      <c r="BU26" s="1188"/>
      <c r="BV26" s="1240"/>
      <c r="BW26" s="1188"/>
      <c r="BX26" s="1188"/>
      <c r="BY26" s="1188"/>
      <c r="BZ26" s="1188"/>
      <c r="CA26" s="1188"/>
      <c r="CB26" s="1188"/>
      <c r="CC26" s="1188"/>
      <c r="CD26" s="1188">
        <f t="shared" si="0"/>
        <v>0</v>
      </c>
      <c r="CE26" s="1188">
        <f t="shared" si="1"/>
        <v>0</v>
      </c>
      <c r="CF26" s="1188">
        <f t="shared" si="2"/>
        <v>0</v>
      </c>
      <c r="CG26" s="1188">
        <f t="shared" si="3"/>
        <v>0</v>
      </c>
      <c r="CH26" s="1236"/>
      <c r="CI26" s="1236"/>
      <c r="CJ26" s="1236"/>
      <c r="CK26" s="1188"/>
      <c r="CL26" s="1188"/>
    </row>
    <row r="27" s="1168" customFormat="1" customHeight="1" spans="1:90">
      <c r="A27" s="1245">
        <v>46081</v>
      </c>
      <c r="B27" s="1247" t="s">
        <v>114</v>
      </c>
      <c r="C27" s="1234" t="s">
        <v>115</v>
      </c>
      <c r="D27" s="1188">
        <v>4500194700</v>
      </c>
      <c r="E27" s="1234" t="s">
        <v>227</v>
      </c>
      <c r="F27" s="1188" t="s">
        <v>228</v>
      </c>
      <c r="G27" s="1253" t="s">
        <v>118</v>
      </c>
      <c r="H27" s="1234" t="s">
        <v>104</v>
      </c>
      <c r="I27" s="1254">
        <v>55000</v>
      </c>
      <c r="J27" s="1234">
        <v>0</v>
      </c>
      <c r="K27" s="1234">
        <v>25</v>
      </c>
      <c r="L27" s="1246">
        <f t="shared" si="5"/>
        <v>2200</v>
      </c>
      <c r="M27" s="1255">
        <v>46125</v>
      </c>
      <c r="N27" s="1255">
        <v>46121</v>
      </c>
      <c r="O27" s="1255"/>
      <c r="P27" s="1233"/>
      <c r="Q27" s="1233" t="s">
        <v>106</v>
      </c>
      <c r="R27" s="1234"/>
      <c r="S27" s="1234"/>
      <c r="T27" s="1233">
        <v>55000</v>
      </c>
      <c r="U27" s="1233">
        <f t="shared" si="4"/>
        <v>0</v>
      </c>
      <c r="V27" s="1234"/>
      <c r="W27" s="1256">
        <v>46094</v>
      </c>
      <c r="X27" s="1257" t="s">
        <v>107</v>
      </c>
      <c r="Y27" s="1257" t="s">
        <v>229</v>
      </c>
      <c r="Z27" s="1188"/>
      <c r="AA27" s="1188"/>
      <c r="AB27" s="1247"/>
      <c r="AC27" s="1247" t="s">
        <v>209</v>
      </c>
      <c r="AD27" s="1255" t="s">
        <v>123</v>
      </c>
      <c r="AE27" s="1188">
        <v>1.29</v>
      </c>
      <c r="AF27" s="1248">
        <f t="shared" si="10"/>
        <v>70950</v>
      </c>
      <c r="AG27" s="1258"/>
      <c r="AH27" s="1253" t="s">
        <v>118</v>
      </c>
      <c r="AI27" s="1234" t="s">
        <v>112</v>
      </c>
      <c r="AJ27" s="1234" t="s">
        <v>113</v>
      </c>
      <c r="AK27" s="1188"/>
      <c r="AL27" s="1188"/>
      <c r="AM27" s="1188">
        <f>I27</f>
        <v>55000</v>
      </c>
      <c r="AN27" s="1188">
        <f t="shared" si="12"/>
        <v>55000</v>
      </c>
      <c r="AO27" s="1188"/>
      <c r="AP27" s="1188"/>
      <c r="AQ27" s="1240"/>
      <c r="AR27" s="1188"/>
      <c r="AS27" s="1236"/>
      <c r="AT27" s="1236"/>
      <c r="AU27" s="1188">
        <f t="shared" si="11"/>
        <v>55000</v>
      </c>
      <c r="AV27" s="1250">
        <f t="shared" si="7"/>
        <v>3300</v>
      </c>
      <c r="AW27" s="1250"/>
      <c r="AX27" s="1188"/>
      <c r="AY27" s="1188"/>
      <c r="AZ27" s="1188"/>
      <c r="BA27" s="1188"/>
      <c r="BB27" s="1188"/>
      <c r="BC27" s="1188"/>
      <c r="BD27" s="1188"/>
      <c r="BE27" s="1188"/>
      <c r="BF27" s="1188"/>
      <c r="BG27" s="1188"/>
      <c r="BH27" s="1188"/>
      <c r="BI27" s="1188"/>
      <c r="BJ27" s="1188"/>
      <c r="BK27" s="1188"/>
      <c r="BL27" s="1188"/>
      <c r="BM27" s="1188"/>
      <c r="BN27" s="1188"/>
      <c r="BO27" s="1240"/>
      <c r="BP27" s="1240"/>
      <c r="BQ27" s="1188"/>
      <c r="BR27" s="1236"/>
      <c r="BS27" s="1188"/>
      <c r="BT27" s="1188"/>
      <c r="BU27" s="1251">
        <f>I27/25</f>
        <v>2200</v>
      </c>
      <c r="BV27" s="1240"/>
      <c r="BW27" s="1188"/>
      <c r="BX27" s="1188"/>
      <c r="BY27" s="1188"/>
      <c r="BZ27" s="1188"/>
      <c r="CA27" s="1188"/>
      <c r="CB27" s="1188"/>
      <c r="CC27" s="1188"/>
      <c r="CD27" s="1188">
        <f t="shared" si="0"/>
        <v>0</v>
      </c>
      <c r="CE27" s="1188">
        <f t="shared" si="1"/>
        <v>2200</v>
      </c>
      <c r="CF27" s="1188">
        <f t="shared" si="2"/>
        <v>0</v>
      </c>
      <c r="CG27" s="1188">
        <f t="shared" si="3"/>
        <v>0</v>
      </c>
      <c r="CH27" s="1236"/>
      <c r="CI27" s="1236"/>
      <c r="CJ27" s="1236"/>
      <c r="CK27" s="1188"/>
      <c r="CL27" s="1188"/>
    </row>
    <row r="28" s="1168" customFormat="1" customHeight="1" spans="1:90">
      <c r="A28" s="1245">
        <v>46065</v>
      </c>
      <c r="B28" s="1247" t="s">
        <v>230</v>
      </c>
      <c r="C28" s="1234" t="s">
        <v>135</v>
      </c>
      <c r="D28" s="1188">
        <v>4500193688</v>
      </c>
      <c r="E28" s="1234" t="s">
        <v>231</v>
      </c>
      <c r="F28" s="1188" t="s">
        <v>232</v>
      </c>
      <c r="G28" s="1253" t="s">
        <v>137</v>
      </c>
      <c r="H28" s="1234" t="s">
        <v>138</v>
      </c>
      <c r="I28" s="1254">
        <v>3750</v>
      </c>
      <c r="J28" s="1234">
        <v>0</v>
      </c>
      <c r="K28" s="1234">
        <v>50</v>
      </c>
      <c r="L28" s="1246">
        <f t="shared" si="5"/>
        <v>75</v>
      </c>
      <c r="M28" s="1255">
        <v>46125</v>
      </c>
      <c r="N28" s="1255">
        <v>46121</v>
      </c>
      <c r="O28" s="1255"/>
      <c r="P28" s="1233"/>
      <c r="Q28" s="1233" t="s">
        <v>106</v>
      </c>
      <c r="R28" s="1234"/>
      <c r="S28" s="1234"/>
      <c r="T28" s="1233">
        <v>3750</v>
      </c>
      <c r="U28" s="1233">
        <f t="shared" si="4"/>
        <v>0</v>
      </c>
      <c r="V28" s="1234" t="s">
        <v>120</v>
      </c>
      <c r="W28" s="1256" t="s">
        <v>233</v>
      </c>
      <c r="X28" s="1257" t="s">
        <v>95</v>
      </c>
      <c r="Y28" s="1257" t="s">
        <v>234</v>
      </c>
      <c r="Z28" s="1188" t="s">
        <v>140</v>
      </c>
      <c r="AA28" s="1188"/>
      <c r="AB28" s="1247"/>
      <c r="AC28" s="1247" t="s">
        <v>235</v>
      </c>
      <c r="AD28" s="1255" t="s">
        <v>236</v>
      </c>
      <c r="AE28" s="1188">
        <v>1.007</v>
      </c>
      <c r="AF28" s="1248">
        <f t="shared" si="10"/>
        <v>3776.25</v>
      </c>
      <c r="AG28" s="1258"/>
      <c r="AH28" s="1264" t="s">
        <v>188</v>
      </c>
      <c r="AI28" s="1234" t="s">
        <v>112</v>
      </c>
      <c r="AJ28" s="1234" t="s">
        <v>113</v>
      </c>
      <c r="AK28" s="1188">
        <f t="shared" ref="AK28:AK40" si="13">I28</f>
        <v>3750</v>
      </c>
      <c r="AL28" s="1188"/>
      <c r="AM28" s="1188"/>
      <c r="AN28" s="1188">
        <f t="shared" si="12"/>
        <v>3750</v>
      </c>
      <c r="AO28" s="1188"/>
      <c r="AP28" s="1188"/>
      <c r="AQ28" s="1240"/>
      <c r="AR28" s="1188"/>
      <c r="AS28" s="1236"/>
      <c r="AT28" s="1236"/>
      <c r="AU28" s="1188">
        <f t="shared" si="11"/>
        <v>3750</v>
      </c>
      <c r="AV28" s="1250">
        <f t="shared" si="7"/>
        <v>225</v>
      </c>
      <c r="AW28" s="1250"/>
      <c r="AX28" s="1188"/>
      <c r="AY28" s="1188"/>
      <c r="AZ28" s="1188"/>
      <c r="BA28" s="1188"/>
      <c r="BB28" s="1188"/>
      <c r="BC28" s="1188"/>
      <c r="BD28" s="1188"/>
      <c r="BE28" s="1188"/>
      <c r="BF28" s="1188"/>
      <c r="BG28" s="1188"/>
      <c r="BH28" s="1188"/>
      <c r="BI28" s="1188"/>
      <c r="BJ28" s="1188"/>
      <c r="BK28" s="1188"/>
      <c r="BL28" s="1188"/>
      <c r="BM28" s="1188"/>
      <c r="BN28" s="1188">
        <f>I28/25</f>
        <v>150</v>
      </c>
      <c r="BO28" s="1240"/>
      <c r="BP28" s="1240"/>
      <c r="BQ28" s="1188"/>
      <c r="BR28" s="1236"/>
      <c r="BS28" s="1188"/>
      <c r="BT28" s="1188"/>
      <c r="BU28" s="1188"/>
      <c r="BV28" s="1240"/>
      <c r="BW28" s="1188"/>
      <c r="BX28" s="1188"/>
      <c r="BY28" s="1188"/>
      <c r="BZ28" s="1188"/>
      <c r="CA28" s="1188"/>
      <c r="CB28" s="1188"/>
      <c r="CC28" s="1188"/>
      <c r="CD28" s="1188">
        <f t="shared" si="0"/>
        <v>150</v>
      </c>
      <c r="CE28" s="1188">
        <f t="shared" si="1"/>
        <v>0</v>
      </c>
      <c r="CF28" s="1188">
        <f t="shared" si="2"/>
        <v>0</v>
      </c>
      <c r="CG28" s="1188">
        <f t="shared" si="3"/>
        <v>0</v>
      </c>
      <c r="CH28" s="1236"/>
      <c r="CI28" s="1236"/>
      <c r="CJ28" s="1236"/>
      <c r="CK28" s="1188"/>
      <c r="CL28" s="1188"/>
    </row>
    <row r="29" s="1168" customFormat="1" customHeight="1" spans="1:90">
      <c r="A29" s="1245">
        <v>46079</v>
      </c>
      <c r="B29" s="1247" t="s">
        <v>237</v>
      </c>
      <c r="C29" s="1234" t="s">
        <v>115</v>
      </c>
      <c r="D29" s="1188">
        <v>4500194334</v>
      </c>
      <c r="E29" s="1234">
        <v>4360138834</v>
      </c>
      <c r="F29" s="1188" t="s">
        <v>238</v>
      </c>
      <c r="G29" s="1253" t="s">
        <v>146</v>
      </c>
      <c r="H29" s="1234" t="s">
        <v>104</v>
      </c>
      <c r="I29" s="1254">
        <v>9100</v>
      </c>
      <c r="J29" s="1234">
        <v>0</v>
      </c>
      <c r="K29" s="1234">
        <v>25</v>
      </c>
      <c r="L29" s="1246">
        <f t="shared" si="5"/>
        <v>364</v>
      </c>
      <c r="M29" s="1255">
        <v>46126</v>
      </c>
      <c r="N29" s="1255">
        <v>46122</v>
      </c>
      <c r="O29" s="1255"/>
      <c r="P29" s="1233"/>
      <c r="Q29" s="1233" t="s">
        <v>106</v>
      </c>
      <c r="R29" s="1234"/>
      <c r="S29" s="1234"/>
      <c r="T29" s="1233">
        <v>9100</v>
      </c>
      <c r="U29" s="1233">
        <f t="shared" si="4"/>
        <v>0</v>
      </c>
      <c r="V29" s="1234" t="s">
        <v>120</v>
      </c>
      <c r="W29" s="1256">
        <v>46094</v>
      </c>
      <c r="X29" s="1257" t="s">
        <v>95</v>
      </c>
      <c r="Y29" s="1257" t="s">
        <v>239</v>
      </c>
      <c r="Z29" s="1188"/>
      <c r="AA29" s="1188"/>
      <c r="AB29" s="1247"/>
      <c r="AC29" s="1247" t="s">
        <v>240</v>
      </c>
      <c r="AD29" s="1255" t="s">
        <v>241</v>
      </c>
      <c r="AE29" s="1188">
        <v>0.762</v>
      </c>
      <c r="AF29" s="1248">
        <f t="shared" si="10"/>
        <v>6934.2</v>
      </c>
      <c r="AG29" s="1249" t="s">
        <v>242</v>
      </c>
      <c r="AH29" s="1234" t="s">
        <v>146</v>
      </c>
      <c r="AI29" s="1234" t="s">
        <v>112</v>
      </c>
      <c r="AJ29" s="1234" t="s">
        <v>113</v>
      </c>
      <c r="AK29" s="1188">
        <f t="shared" si="13"/>
        <v>9100</v>
      </c>
      <c r="AL29" s="1188"/>
      <c r="AM29" s="1188"/>
      <c r="AN29" s="1188">
        <f t="shared" si="12"/>
        <v>9100</v>
      </c>
      <c r="AO29" s="1188"/>
      <c r="AP29" s="1188"/>
      <c r="AQ29" s="1240"/>
      <c r="AR29" s="1188"/>
      <c r="AS29" s="1236"/>
      <c r="AT29" s="1236"/>
      <c r="AU29" s="1188">
        <f t="shared" si="11"/>
        <v>9100</v>
      </c>
      <c r="AV29" s="1250">
        <f t="shared" si="7"/>
        <v>546</v>
      </c>
      <c r="AW29" s="1250"/>
      <c r="AX29" s="1188"/>
      <c r="AY29" s="1188"/>
      <c r="AZ29" s="1188"/>
      <c r="BA29" s="1188"/>
      <c r="BB29" s="1188"/>
      <c r="BC29" s="1188"/>
      <c r="BD29" s="1188"/>
      <c r="BE29" s="1188"/>
      <c r="BF29" s="1188"/>
      <c r="BG29" s="1188"/>
      <c r="BH29" s="1188"/>
      <c r="BI29" s="1188"/>
      <c r="BJ29" s="1188"/>
      <c r="BK29" s="1188"/>
      <c r="BL29" s="1188"/>
      <c r="BM29" s="1188"/>
      <c r="BN29" s="1188">
        <f>I29/25</f>
        <v>364</v>
      </c>
      <c r="BO29" s="1240"/>
      <c r="BP29" s="1240"/>
      <c r="BQ29" s="1188"/>
      <c r="BR29" s="1236"/>
      <c r="BS29" s="1188"/>
      <c r="BT29" s="1188"/>
      <c r="BU29" s="1188"/>
      <c r="BV29" s="1240"/>
      <c r="BW29" s="1188"/>
      <c r="BX29" s="1188"/>
      <c r="BY29" s="1188"/>
      <c r="BZ29" s="1188"/>
      <c r="CA29" s="1188"/>
      <c r="CB29" s="1188"/>
      <c r="CC29" s="1188"/>
      <c r="CD29" s="1188">
        <f t="shared" si="0"/>
        <v>364</v>
      </c>
      <c r="CE29" s="1188">
        <f t="shared" si="1"/>
        <v>0</v>
      </c>
      <c r="CF29" s="1188">
        <f t="shared" si="2"/>
        <v>0</v>
      </c>
      <c r="CG29" s="1188">
        <f t="shared" si="3"/>
        <v>0</v>
      </c>
      <c r="CH29" s="1236"/>
      <c r="CI29" s="1236"/>
      <c r="CJ29" s="1236"/>
      <c r="CK29" s="1188"/>
      <c r="CL29" s="1188"/>
    </row>
    <row r="30" s="1168" customFormat="1" customHeight="1" spans="1:90">
      <c r="A30" s="1245">
        <v>46079</v>
      </c>
      <c r="B30" s="1247" t="s">
        <v>237</v>
      </c>
      <c r="C30" s="1234" t="s">
        <v>115</v>
      </c>
      <c r="D30" s="1188">
        <v>4500194341</v>
      </c>
      <c r="E30" s="1234">
        <v>4360138853</v>
      </c>
      <c r="F30" s="1188" t="s">
        <v>243</v>
      </c>
      <c r="G30" s="1253" t="s">
        <v>146</v>
      </c>
      <c r="H30" s="1234" t="s">
        <v>104</v>
      </c>
      <c r="I30" s="1254">
        <v>7275</v>
      </c>
      <c r="J30" s="1234">
        <v>0</v>
      </c>
      <c r="K30" s="1234">
        <v>25</v>
      </c>
      <c r="L30" s="1246">
        <f t="shared" si="5"/>
        <v>291</v>
      </c>
      <c r="M30" s="1255">
        <v>46126</v>
      </c>
      <c r="N30" s="1255">
        <v>46122</v>
      </c>
      <c r="O30" s="1255"/>
      <c r="P30" s="1233"/>
      <c r="Q30" s="1233" t="s">
        <v>106</v>
      </c>
      <c r="R30" s="1234"/>
      <c r="S30" s="1234"/>
      <c r="T30" s="1233">
        <v>7275</v>
      </c>
      <c r="U30" s="1233">
        <f t="shared" si="4"/>
        <v>0</v>
      </c>
      <c r="V30" s="1234" t="s">
        <v>120</v>
      </c>
      <c r="W30" s="1256">
        <v>46094</v>
      </c>
      <c r="X30" s="1257" t="s">
        <v>95</v>
      </c>
      <c r="Y30" s="1257" t="s">
        <v>239</v>
      </c>
      <c r="Z30" s="1188"/>
      <c r="AA30" s="1188"/>
      <c r="AB30" s="1247"/>
      <c r="AC30" s="1247" t="s">
        <v>244</v>
      </c>
      <c r="AD30" s="1255" t="s">
        <v>241</v>
      </c>
      <c r="AE30" s="1188">
        <v>0.762</v>
      </c>
      <c r="AF30" s="1248">
        <f t="shared" si="10"/>
        <v>5543.55</v>
      </c>
      <c r="AG30" s="1249" t="s">
        <v>245</v>
      </c>
      <c r="AH30" s="1234" t="s">
        <v>146</v>
      </c>
      <c r="AI30" s="1234" t="s">
        <v>112</v>
      </c>
      <c r="AJ30" s="1234" t="s">
        <v>113</v>
      </c>
      <c r="AK30" s="1188">
        <f t="shared" si="13"/>
        <v>7275</v>
      </c>
      <c r="AL30" s="1188"/>
      <c r="AM30" s="1188"/>
      <c r="AN30" s="1188">
        <f t="shared" si="12"/>
        <v>7275</v>
      </c>
      <c r="AO30" s="1188"/>
      <c r="AP30" s="1188"/>
      <c r="AQ30" s="1240"/>
      <c r="AR30" s="1188"/>
      <c r="AS30" s="1236"/>
      <c r="AT30" s="1236"/>
      <c r="AU30" s="1188">
        <f t="shared" si="11"/>
        <v>7275</v>
      </c>
      <c r="AV30" s="1250">
        <f t="shared" si="7"/>
        <v>436.5</v>
      </c>
      <c r="AW30" s="1250"/>
      <c r="AX30" s="1188"/>
      <c r="AY30" s="1188"/>
      <c r="AZ30" s="1188"/>
      <c r="BA30" s="1188"/>
      <c r="BB30" s="1188"/>
      <c r="BC30" s="1188"/>
      <c r="BD30" s="1188"/>
      <c r="BE30" s="1188"/>
      <c r="BF30" s="1188"/>
      <c r="BG30" s="1188"/>
      <c r="BH30" s="1188"/>
      <c r="BI30" s="1188"/>
      <c r="BJ30" s="1188"/>
      <c r="BK30" s="1188"/>
      <c r="BL30" s="1188"/>
      <c r="BM30" s="1188"/>
      <c r="BN30" s="1188">
        <f>I30/25</f>
        <v>291</v>
      </c>
      <c r="BO30" s="1240"/>
      <c r="BP30" s="1240"/>
      <c r="BQ30" s="1188"/>
      <c r="BR30" s="1236"/>
      <c r="BS30" s="1188"/>
      <c r="BT30" s="1188"/>
      <c r="BU30" s="1188"/>
      <c r="BV30" s="1240"/>
      <c r="BW30" s="1188"/>
      <c r="BX30" s="1188"/>
      <c r="BY30" s="1188"/>
      <c r="BZ30" s="1188"/>
      <c r="CA30" s="1188"/>
      <c r="CB30" s="1188"/>
      <c r="CC30" s="1188"/>
      <c r="CD30" s="1188">
        <f t="shared" si="0"/>
        <v>291</v>
      </c>
      <c r="CE30" s="1188">
        <f t="shared" si="1"/>
        <v>0</v>
      </c>
      <c r="CF30" s="1188">
        <f t="shared" si="2"/>
        <v>0</v>
      </c>
      <c r="CG30" s="1188">
        <f t="shared" si="3"/>
        <v>0</v>
      </c>
      <c r="CH30" s="1236"/>
      <c r="CI30" s="1236"/>
      <c r="CJ30" s="1236"/>
      <c r="CK30" s="1188"/>
      <c r="CL30" s="1188"/>
    </row>
    <row r="31" s="1168" customFormat="1" customHeight="1" spans="1:90">
      <c r="A31" s="1245">
        <v>46030</v>
      </c>
      <c r="B31" s="1247" t="s">
        <v>246</v>
      </c>
      <c r="C31" s="1234" t="s">
        <v>115</v>
      </c>
      <c r="D31" s="1188">
        <v>4500188838</v>
      </c>
      <c r="E31" s="1234">
        <v>277707</v>
      </c>
      <c r="F31" s="1188" t="s">
        <v>247</v>
      </c>
      <c r="G31" s="1253" t="s">
        <v>248</v>
      </c>
      <c r="H31" s="1234" t="s">
        <v>249</v>
      </c>
      <c r="I31" s="1254">
        <v>4002</v>
      </c>
      <c r="J31" s="1234">
        <v>0</v>
      </c>
      <c r="K31" s="1234">
        <v>6</v>
      </c>
      <c r="L31" s="1246">
        <f t="shared" si="5"/>
        <v>667</v>
      </c>
      <c r="M31" s="1255">
        <v>46127</v>
      </c>
      <c r="N31" s="1255">
        <v>46123</v>
      </c>
      <c r="O31" s="1255"/>
      <c r="P31" s="1233" t="s">
        <v>250</v>
      </c>
      <c r="Q31" s="1233" t="s">
        <v>106</v>
      </c>
      <c r="R31" s="1234"/>
      <c r="S31" s="1234"/>
      <c r="T31" s="1233">
        <f>1008+2958+36</f>
        <v>4002</v>
      </c>
      <c r="U31" s="1233">
        <f t="shared" si="4"/>
        <v>0</v>
      </c>
      <c r="V31" s="1234" t="s">
        <v>120</v>
      </c>
      <c r="W31" s="1257" t="s">
        <v>251</v>
      </c>
      <c r="X31" s="1257" t="s">
        <v>95</v>
      </c>
      <c r="Y31" s="1257" t="s">
        <v>252</v>
      </c>
      <c r="Z31" s="1188"/>
      <c r="AA31" s="1188"/>
      <c r="AB31" s="1247" t="s">
        <v>253</v>
      </c>
      <c r="AC31" s="1247" t="s">
        <v>254</v>
      </c>
      <c r="AD31" s="1255" t="s">
        <v>255</v>
      </c>
      <c r="AE31" s="1188">
        <v>1.248</v>
      </c>
      <c r="AF31" s="1248">
        <f t="shared" si="10"/>
        <v>4994.496</v>
      </c>
      <c r="AG31" s="1249" t="s">
        <v>256</v>
      </c>
      <c r="AH31" s="1234" t="s">
        <v>188</v>
      </c>
      <c r="AI31" s="1234" t="s">
        <v>112</v>
      </c>
      <c r="AJ31" s="1234" t="s">
        <v>113</v>
      </c>
      <c r="AK31" s="1188">
        <f t="shared" si="13"/>
        <v>4002</v>
      </c>
      <c r="AL31" s="1188"/>
      <c r="AM31" s="1188"/>
      <c r="AN31" s="1188">
        <f t="shared" si="12"/>
        <v>4002</v>
      </c>
      <c r="AO31" s="1188"/>
      <c r="AP31" s="1188"/>
      <c r="AQ31" s="1240"/>
      <c r="AR31" s="1188"/>
      <c r="AS31" s="1236"/>
      <c r="AT31" s="1236"/>
      <c r="AU31" s="1188">
        <f t="shared" si="11"/>
        <v>4002</v>
      </c>
      <c r="AV31" s="1250">
        <f t="shared" si="7"/>
        <v>240.12</v>
      </c>
      <c r="AW31" s="1250"/>
      <c r="AX31" s="1188"/>
      <c r="AY31" s="1188"/>
      <c r="AZ31" s="1188"/>
      <c r="BA31" s="1188"/>
      <c r="BB31" s="1188"/>
      <c r="BC31" s="1188"/>
      <c r="BD31" s="1188"/>
      <c r="BE31" s="1188"/>
      <c r="BF31" s="1188"/>
      <c r="BG31" s="1188"/>
      <c r="BH31" s="1188"/>
      <c r="BI31" s="1188"/>
      <c r="BJ31" s="1188"/>
      <c r="BK31" s="1188"/>
      <c r="BL31" s="1188"/>
      <c r="BM31" s="1188"/>
      <c r="BN31" s="1188"/>
      <c r="BO31" s="1240"/>
      <c r="BP31" s="1240"/>
      <c r="BQ31" s="1188"/>
      <c r="BR31" s="1236"/>
      <c r="BS31" s="1188"/>
      <c r="BT31" s="1188">
        <f>I31/6</f>
        <v>667</v>
      </c>
      <c r="BU31" s="1188"/>
      <c r="BV31" s="1240"/>
      <c r="BW31" s="1188"/>
      <c r="BX31" s="1188"/>
      <c r="BY31" s="1188"/>
      <c r="BZ31" s="1188"/>
      <c r="CA31" s="1188"/>
      <c r="CB31" s="1188"/>
      <c r="CC31" s="1188"/>
      <c r="CD31" s="1188">
        <f t="shared" si="0"/>
        <v>0</v>
      </c>
      <c r="CE31" s="1188">
        <f t="shared" si="1"/>
        <v>0</v>
      </c>
      <c r="CF31" s="1188">
        <f t="shared" si="2"/>
        <v>0</v>
      </c>
      <c r="CG31" s="1188">
        <f t="shared" si="3"/>
        <v>0</v>
      </c>
      <c r="CH31" s="1236"/>
      <c r="CI31" s="1236"/>
      <c r="CJ31" s="1236"/>
      <c r="CK31" s="1188"/>
      <c r="CL31" s="1188"/>
    </row>
    <row r="32" s="1168" customFormat="1" customHeight="1" spans="1:90">
      <c r="A32" s="1245">
        <v>46086</v>
      </c>
      <c r="B32" s="1247" t="s">
        <v>257</v>
      </c>
      <c r="C32" s="1234" t="s">
        <v>148</v>
      </c>
      <c r="D32" s="1188">
        <v>4500195260</v>
      </c>
      <c r="E32" s="1234"/>
      <c r="F32" s="1188" t="s">
        <v>258</v>
      </c>
      <c r="G32" s="1253" t="s">
        <v>188</v>
      </c>
      <c r="H32" s="1234" t="s">
        <v>138</v>
      </c>
      <c r="I32" s="1254">
        <v>8750</v>
      </c>
      <c r="J32" s="1234">
        <v>0</v>
      </c>
      <c r="K32" s="1234">
        <v>50</v>
      </c>
      <c r="L32" s="1246">
        <f t="shared" si="5"/>
        <v>175</v>
      </c>
      <c r="M32" s="1255">
        <v>46127</v>
      </c>
      <c r="N32" s="1255">
        <v>46123</v>
      </c>
      <c r="O32" s="1255"/>
      <c r="P32" s="1233" t="s">
        <v>259</v>
      </c>
      <c r="Q32" s="1233" t="s">
        <v>106</v>
      </c>
      <c r="R32" s="1234"/>
      <c r="S32" s="1234"/>
      <c r="T32" s="1233">
        <v>8750</v>
      </c>
      <c r="U32" s="1233">
        <f t="shared" si="4"/>
        <v>0</v>
      </c>
      <c r="V32" s="1234"/>
      <c r="W32" s="1257" t="s">
        <v>233</v>
      </c>
      <c r="X32" s="1257" t="s">
        <v>95</v>
      </c>
      <c r="Y32" s="1257" t="s">
        <v>260</v>
      </c>
      <c r="Z32" s="1188" t="s">
        <v>261</v>
      </c>
      <c r="AA32" s="1188"/>
      <c r="AB32" s="1247"/>
      <c r="AC32" s="1247" t="s">
        <v>262</v>
      </c>
      <c r="AD32" s="1255" t="s">
        <v>263</v>
      </c>
      <c r="AE32" s="1188">
        <v>1.007</v>
      </c>
      <c r="AF32" s="1248">
        <f t="shared" si="10"/>
        <v>8811.25</v>
      </c>
      <c r="AG32" s="1258"/>
      <c r="AH32" s="1234" t="s">
        <v>188</v>
      </c>
      <c r="AI32" s="1234" t="s">
        <v>112</v>
      </c>
      <c r="AJ32" s="1234" t="s">
        <v>113</v>
      </c>
      <c r="AK32" s="1188">
        <f t="shared" si="13"/>
        <v>8750</v>
      </c>
      <c r="AL32" s="1188"/>
      <c r="AM32" s="1188"/>
      <c r="AN32" s="1188"/>
      <c r="AO32" s="1188"/>
      <c r="AP32" s="1188">
        <f>I32</f>
        <v>8750</v>
      </c>
      <c r="AQ32" s="1240"/>
      <c r="AR32" s="1188"/>
      <c r="AS32" s="1236"/>
      <c r="AT32" s="1236"/>
      <c r="AU32" s="1188">
        <f t="shared" si="11"/>
        <v>8750</v>
      </c>
      <c r="AV32" s="1250">
        <f t="shared" si="7"/>
        <v>525</v>
      </c>
      <c r="AW32" s="1250"/>
      <c r="AX32" s="1188"/>
      <c r="AY32" s="1188"/>
      <c r="AZ32" s="1188"/>
      <c r="BA32" s="1188"/>
      <c r="BB32" s="1188"/>
      <c r="BC32" s="1188"/>
      <c r="BD32" s="1188"/>
      <c r="BE32" s="1188"/>
      <c r="BF32" s="1188"/>
      <c r="BG32" s="1188"/>
      <c r="BH32" s="1188"/>
      <c r="BI32" s="1188"/>
      <c r="BJ32" s="1188"/>
      <c r="BK32" s="1188"/>
      <c r="BL32" s="1188"/>
      <c r="BM32" s="1188"/>
      <c r="BN32" s="1188"/>
      <c r="BO32" s="1235">
        <f>I32/25</f>
        <v>350</v>
      </c>
      <c r="BP32" s="1240"/>
      <c r="BQ32" s="1188"/>
      <c r="BR32" s="1236"/>
      <c r="BS32" s="1188"/>
      <c r="BT32" s="1188"/>
      <c r="BU32" s="1188"/>
      <c r="BV32" s="1240"/>
      <c r="BW32" s="1188"/>
      <c r="BX32" s="1188"/>
      <c r="BY32" s="1188"/>
      <c r="BZ32" s="1188"/>
      <c r="CA32" s="1188"/>
      <c r="CB32" s="1188"/>
      <c r="CC32" s="1188"/>
      <c r="CD32" s="1188">
        <f t="shared" si="0"/>
        <v>350</v>
      </c>
      <c r="CE32" s="1188">
        <f t="shared" si="1"/>
        <v>0</v>
      </c>
      <c r="CF32" s="1188">
        <f t="shared" si="2"/>
        <v>0</v>
      </c>
      <c r="CG32" s="1188">
        <f t="shared" si="3"/>
        <v>0</v>
      </c>
      <c r="CH32" s="1236"/>
      <c r="CI32" s="1236"/>
      <c r="CJ32" s="1236"/>
      <c r="CK32" s="1188"/>
      <c r="CL32" s="1188"/>
    </row>
    <row r="33" s="1168" customFormat="1" customHeight="1" spans="1:90">
      <c r="A33" s="1245">
        <v>46044</v>
      </c>
      <c r="B33" s="1247" t="s">
        <v>264</v>
      </c>
      <c r="C33" s="1234" t="s">
        <v>265</v>
      </c>
      <c r="D33" s="1188">
        <v>4500192014</v>
      </c>
      <c r="E33" s="1234">
        <v>4400530472</v>
      </c>
      <c r="F33" s="1188" t="s">
        <v>266</v>
      </c>
      <c r="G33" s="1253" t="s">
        <v>137</v>
      </c>
      <c r="H33" s="1234" t="s">
        <v>138</v>
      </c>
      <c r="I33" s="1254">
        <v>2000</v>
      </c>
      <c r="J33" s="1234">
        <v>0</v>
      </c>
      <c r="K33" s="1234">
        <v>50</v>
      </c>
      <c r="L33" s="1246">
        <f t="shared" si="5"/>
        <v>40</v>
      </c>
      <c r="M33" s="1255">
        <v>46127</v>
      </c>
      <c r="N33" s="1255">
        <v>46123</v>
      </c>
      <c r="O33" s="1255"/>
      <c r="P33" s="1233"/>
      <c r="Q33" s="1265" t="s">
        <v>267</v>
      </c>
      <c r="R33" s="1234"/>
      <c r="S33" s="1234"/>
      <c r="T33" s="1233">
        <v>2000</v>
      </c>
      <c r="U33" s="1233">
        <f t="shared" si="4"/>
        <v>0</v>
      </c>
      <c r="V33" s="1234"/>
      <c r="W33" s="1256">
        <v>46044</v>
      </c>
      <c r="X33" s="1257" t="s">
        <v>95</v>
      </c>
      <c r="Y33" s="1257" t="s">
        <v>95</v>
      </c>
      <c r="Z33" s="1188" t="s">
        <v>140</v>
      </c>
      <c r="AA33" s="1188"/>
      <c r="AB33" s="1247"/>
      <c r="AC33" s="1247" t="s">
        <v>190</v>
      </c>
      <c r="AD33" s="1255" t="s">
        <v>142</v>
      </c>
      <c r="AE33" s="1188">
        <v>1.007</v>
      </c>
      <c r="AF33" s="1248">
        <f t="shared" si="10"/>
        <v>2014</v>
      </c>
      <c r="AG33" s="1258"/>
      <c r="AH33" s="1264" t="s">
        <v>137</v>
      </c>
      <c r="AI33" s="1234" t="s">
        <v>112</v>
      </c>
      <c r="AJ33" s="1234" t="s">
        <v>113</v>
      </c>
      <c r="AK33" s="1188">
        <f t="shared" si="13"/>
        <v>2000</v>
      </c>
      <c r="AL33" s="1188"/>
      <c r="AM33" s="1188"/>
      <c r="AN33" s="1188"/>
      <c r="AO33" s="1188"/>
      <c r="AP33" s="1188"/>
      <c r="AQ33" s="1240"/>
      <c r="AR33" s="1188"/>
      <c r="AS33" s="1236"/>
      <c r="AT33" s="1236"/>
      <c r="AU33" s="1188"/>
      <c r="AV33" s="1250">
        <f t="shared" si="7"/>
        <v>120</v>
      </c>
      <c r="AW33" s="1250"/>
      <c r="AX33" s="1188"/>
      <c r="AY33" s="1188"/>
      <c r="AZ33" s="1188"/>
      <c r="BA33" s="1188"/>
      <c r="BB33" s="1188"/>
      <c r="BC33" s="1188"/>
      <c r="BD33" s="1188"/>
      <c r="BE33" s="1188"/>
      <c r="BF33" s="1188"/>
      <c r="BG33" s="1188">
        <f>I33</f>
        <v>2000</v>
      </c>
      <c r="BH33" s="1188">
        <f>I33</f>
        <v>2000</v>
      </c>
      <c r="BI33" s="1188"/>
      <c r="BJ33" s="1188"/>
      <c r="BK33" s="1188"/>
      <c r="BL33" s="1188"/>
      <c r="BM33" s="1188"/>
      <c r="BN33" s="1188"/>
      <c r="BO33" s="1235">
        <f>I33/25</f>
        <v>80</v>
      </c>
      <c r="BP33" s="1240"/>
      <c r="BQ33" s="1188"/>
      <c r="BR33" s="1236"/>
      <c r="BS33" s="1188"/>
      <c r="BT33" s="1188"/>
      <c r="BU33" s="1188"/>
      <c r="BV33" s="1240"/>
      <c r="BW33" s="1188"/>
      <c r="BX33" s="1188"/>
      <c r="BY33" s="1188"/>
      <c r="BZ33" s="1188"/>
      <c r="CA33" s="1188"/>
      <c r="CB33" s="1188"/>
      <c r="CC33" s="1188"/>
      <c r="CD33" s="1188">
        <f t="shared" si="0"/>
        <v>80</v>
      </c>
      <c r="CE33" s="1188">
        <f t="shared" si="1"/>
        <v>0</v>
      </c>
      <c r="CF33" s="1188">
        <f t="shared" si="2"/>
        <v>0</v>
      </c>
      <c r="CG33" s="1188">
        <f t="shared" si="3"/>
        <v>0</v>
      </c>
      <c r="CH33" s="1236"/>
      <c r="CI33" s="1236"/>
      <c r="CJ33" s="1236"/>
      <c r="CK33" s="1188"/>
      <c r="CL33" s="1188"/>
    </row>
    <row r="34" s="1168" customFormat="1" customHeight="1" spans="1:90">
      <c r="A34" s="1245">
        <v>46122</v>
      </c>
      <c r="B34" s="1247"/>
      <c r="C34" s="1234"/>
      <c r="D34" s="1188" t="s">
        <v>268</v>
      </c>
      <c r="E34" s="1234"/>
      <c r="F34" s="1188" t="s">
        <v>269</v>
      </c>
      <c r="G34" s="1253" t="s">
        <v>270</v>
      </c>
      <c r="H34" s="1234"/>
      <c r="I34" s="1254">
        <v>40</v>
      </c>
      <c r="J34" s="1234"/>
      <c r="K34" s="1234"/>
      <c r="L34" s="1246"/>
      <c r="M34" s="1255">
        <v>46127</v>
      </c>
      <c r="N34" s="1255">
        <v>46123</v>
      </c>
      <c r="O34" s="1255"/>
      <c r="P34" s="1233"/>
      <c r="Q34" s="1233"/>
      <c r="R34" s="1234"/>
      <c r="S34" s="1234"/>
      <c r="T34" s="1233">
        <v>40</v>
      </c>
      <c r="U34" s="1233">
        <f t="shared" si="4"/>
        <v>0</v>
      </c>
      <c r="V34" s="1234"/>
      <c r="W34" s="1256">
        <v>46122</v>
      </c>
      <c r="X34" s="1257" t="s">
        <v>95</v>
      </c>
      <c r="Y34" s="1257" t="s">
        <v>95</v>
      </c>
      <c r="Z34" s="1247"/>
      <c r="AA34" s="1247"/>
      <c r="AB34" s="1247"/>
      <c r="AC34" s="1247" t="s">
        <v>271</v>
      </c>
      <c r="AD34" s="1255" t="s">
        <v>272</v>
      </c>
      <c r="AE34" s="1188"/>
      <c r="AF34" s="1248"/>
      <c r="AG34" s="1258"/>
      <c r="AH34" s="1234" t="s">
        <v>146</v>
      </c>
      <c r="AI34" s="1234" t="s">
        <v>273</v>
      </c>
      <c r="AJ34" s="1234"/>
      <c r="AK34" s="1188">
        <f t="shared" si="13"/>
        <v>40</v>
      </c>
      <c r="AL34" s="1188"/>
      <c r="AM34" s="1188"/>
      <c r="AN34" s="1188">
        <f>I34</f>
        <v>40</v>
      </c>
      <c r="AO34" s="1188"/>
      <c r="AP34" s="1188"/>
      <c r="AQ34" s="1240"/>
      <c r="AR34" s="1188"/>
      <c r="AS34" s="1236"/>
      <c r="AT34" s="1236"/>
      <c r="AU34" s="1188">
        <f t="shared" ref="AU34:AU56" si="14">I34</f>
        <v>40</v>
      </c>
      <c r="AV34" s="1250">
        <f t="shared" si="7"/>
        <v>2.4</v>
      </c>
      <c r="AW34" s="1250"/>
      <c r="AX34" s="1188"/>
      <c r="AY34" s="1188"/>
      <c r="AZ34" s="1188"/>
      <c r="BA34" s="1188"/>
      <c r="BB34" s="1188"/>
      <c r="BC34" s="1188"/>
      <c r="BD34" s="1188"/>
      <c r="BE34" s="1188"/>
      <c r="BF34" s="1188"/>
      <c r="BG34" s="1188"/>
      <c r="BH34" s="1188"/>
      <c r="BI34" s="1188"/>
      <c r="BJ34" s="1188"/>
      <c r="BK34" s="1188"/>
      <c r="BL34" s="1188"/>
      <c r="BM34" s="1188"/>
      <c r="BN34" s="1188">
        <v>2</v>
      </c>
      <c r="BO34" s="1240"/>
      <c r="BP34" s="1240"/>
      <c r="BQ34" s="1188"/>
      <c r="BR34" s="1236"/>
      <c r="BS34" s="1188"/>
      <c r="BT34" s="1188"/>
      <c r="BU34" s="1188"/>
      <c r="BV34" s="1240"/>
      <c r="BW34" s="1188"/>
      <c r="BX34" s="1188"/>
      <c r="BY34" s="1188"/>
      <c r="BZ34" s="1188"/>
      <c r="CA34" s="1188"/>
      <c r="CB34" s="1188"/>
      <c r="CC34" s="1188"/>
      <c r="CD34" s="1188">
        <f t="shared" si="0"/>
        <v>2</v>
      </c>
      <c r="CE34" s="1188">
        <f t="shared" si="1"/>
        <v>0</v>
      </c>
      <c r="CF34" s="1188">
        <f t="shared" si="2"/>
        <v>0</v>
      </c>
      <c r="CG34" s="1188">
        <f t="shared" si="3"/>
        <v>0</v>
      </c>
      <c r="CH34" s="1236"/>
      <c r="CI34" s="1236"/>
      <c r="CJ34" s="1236"/>
      <c r="CK34" s="1188"/>
      <c r="CL34" s="1188"/>
    </row>
    <row r="35" s="1168" customFormat="1" customHeight="1" spans="1:90">
      <c r="A35" s="1245">
        <v>46080</v>
      </c>
      <c r="B35" s="1247" t="s">
        <v>172</v>
      </c>
      <c r="C35" s="1234" t="s">
        <v>115</v>
      </c>
      <c r="D35" s="1188">
        <v>4500194415</v>
      </c>
      <c r="E35" s="1234">
        <v>36405</v>
      </c>
      <c r="F35" s="1188" t="s">
        <v>274</v>
      </c>
      <c r="G35" s="1253" t="s">
        <v>174</v>
      </c>
      <c r="H35" s="1234" t="s">
        <v>175</v>
      </c>
      <c r="I35" s="1254">
        <v>468</v>
      </c>
      <c r="J35" s="1234">
        <v>0</v>
      </c>
      <c r="K35" s="1234">
        <v>52</v>
      </c>
      <c r="L35" s="1246">
        <f t="shared" ref="L35:L98" si="15">I35/K35</f>
        <v>9</v>
      </c>
      <c r="M35" s="1255">
        <v>46128</v>
      </c>
      <c r="N35" s="1255">
        <v>46125</v>
      </c>
      <c r="O35" s="1255"/>
      <c r="P35" s="1233"/>
      <c r="Q35" s="1233" t="s">
        <v>106</v>
      </c>
      <c r="R35" s="1234"/>
      <c r="S35" s="1234"/>
      <c r="T35" s="1233">
        <v>468</v>
      </c>
      <c r="U35" s="1233">
        <f t="shared" si="4"/>
        <v>0</v>
      </c>
      <c r="V35" s="1234"/>
      <c r="W35" s="1256" t="s">
        <v>275</v>
      </c>
      <c r="X35" s="1257" t="s">
        <v>95</v>
      </c>
      <c r="Y35" s="1257" t="s">
        <v>95</v>
      </c>
      <c r="Z35" s="1188"/>
      <c r="AA35" s="1188"/>
      <c r="AB35" s="1247"/>
      <c r="AC35" s="1247" t="s">
        <v>177</v>
      </c>
      <c r="AD35" s="1255" t="s">
        <v>178</v>
      </c>
      <c r="AE35" s="1188">
        <v>0.6198</v>
      </c>
      <c r="AF35" s="1248">
        <f>I35*AE35</f>
        <v>290.0664</v>
      </c>
      <c r="AG35" s="1249" t="s">
        <v>276</v>
      </c>
      <c r="AH35" s="1253" t="s">
        <v>174</v>
      </c>
      <c r="AI35" s="1234" t="s">
        <v>112</v>
      </c>
      <c r="AJ35" s="1234" t="s">
        <v>113</v>
      </c>
      <c r="AK35" s="1188">
        <f t="shared" si="13"/>
        <v>468</v>
      </c>
      <c r="AL35" s="1188"/>
      <c r="AM35" s="1188"/>
      <c r="AN35" s="1188">
        <f>I35</f>
        <v>468</v>
      </c>
      <c r="AO35" s="1188"/>
      <c r="AP35" s="1188"/>
      <c r="AQ35" s="1240"/>
      <c r="AR35" s="1188"/>
      <c r="AS35" s="1260"/>
      <c r="AT35" s="1260"/>
      <c r="AU35" s="1188">
        <f t="shared" si="14"/>
        <v>468</v>
      </c>
      <c r="AV35" s="1250">
        <f t="shared" si="7"/>
        <v>28.08</v>
      </c>
      <c r="AW35" s="1250"/>
      <c r="AX35" s="1188"/>
      <c r="AY35" s="1188"/>
      <c r="AZ35" s="1188"/>
      <c r="BA35" s="1188"/>
      <c r="BB35" s="1188"/>
      <c r="BC35" s="1188"/>
      <c r="BD35" s="1188"/>
      <c r="BE35" s="1188"/>
      <c r="BF35" s="1188"/>
      <c r="BG35" s="1188"/>
      <c r="BH35" s="1188"/>
      <c r="BI35" s="1188"/>
      <c r="BJ35" s="1188"/>
      <c r="BK35" s="1188">
        <f>I35/13</f>
        <v>36</v>
      </c>
      <c r="BL35" s="1188"/>
      <c r="BM35" s="1188"/>
      <c r="BN35" s="1188"/>
      <c r="BO35" s="1240"/>
      <c r="BP35" s="1240"/>
      <c r="BQ35" s="1188"/>
      <c r="BR35" s="1236"/>
      <c r="BS35" s="1188"/>
      <c r="BT35" s="1188"/>
      <c r="BU35" s="1188"/>
      <c r="BV35" s="1240"/>
      <c r="BW35" s="1188"/>
      <c r="BX35" s="1188"/>
      <c r="BY35" s="1188"/>
      <c r="BZ35" s="1188"/>
      <c r="CA35" s="1188"/>
      <c r="CB35" s="1188"/>
      <c r="CC35" s="1188"/>
      <c r="CD35" s="1188">
        <f t="shared" si="0"/>
        <v>0</v>
      </c>
      <c r="CE35" s="1188">
        <f t="shared" si="1"/>
        <v>0</v>
      </c>
      <c r="CF35" s="1188">
        <f t="shared" si="2"/>
        <v>0</v>
      </c>
      <c r="CG35" s="1188">
        <f t="shared" si="3"/>
        <v>0</v>
      </c>
      <c r="CH35" s="1236"/>
      <c r="CI35" s="1236"/>
      <c r="CJ35" s="1236"/>
      <c r="CK35" s="1188"/>
      <c r="CL35" s="1188"/>
    </row>
    <row r="36" s="1168" customFormat="1" customHeight="1" spans="1:90">
      <c r="A36" s="1245">
        <v>46113</v>
      </c>
      <c r="B36" s="1247"/>
      <c r="C36" s="1234"/>
      <c r="D36" s="1188" t="s">
        <v>277</v>
      </c>
      <c r="E36" s="1234"/>
      <c r="F36" s="1188" t="s">
        <v>278</v>
      </c>
      <c r="G36" s="1253" t="s">
        <v>91</v>
      </c>
      <c r="H36" s="1234" t="s">
        <v>92</v>
      </c>
      <c r="I36" s="1234">
        <v>3000</v>
      </c>
      <c r="J36" s="1234">
        <v>0</v>
      </c>
      <c r="K36" s="1234">
        <v>24</v>
      </c>
      <c r="L36" s="1246">
        <f t="shared" si="15"/>
        <v>125</v>
      </c>
      <c r="M36" s="1255">
        <v>46129</v>
      </c>
      <c r="N36" s="1255">
        <v>46125</v>
      </c>
      <c r="O36" s="1255"/>
      <c r="P36" s="1233"/>
      <c r="Q36" s="1233" t="s">
        <v>106</v>
      </c>
      <c r="R36" s="1234"/>
      <c r="S36" s="1234"/>
      <c r="T36" s="1233">
        <v>3000</v>
      </c>
      <c r="U36" s="1233">
        <f t="shared" si="4"/>
        <v>0</v>
      </c>
      <c r="V36" s="1234"/>
      <c r="W36" s="1256">
        <v>46113</v>
      </c>
      <c r="X36" s="1257" t="s">
        <v>95</v>
      </c>
      <c r="Y36" s="1257" t="s">
        <v>95</v>
      </c>
      <c r="Z36" s="1188"/>
      <c r="AA36" s="1188"/>
      <c r="AB36" s="1247"/>
      <c r="AC36" s="1247" t="s">
        <v>279</v>
      </c>
      <c r="AD36" s="1255"/>
      <c r="AE36" s="1188"/>
      <c r="AF36" s="1248"/>
      <c r="AG36" s="1258"/>
      <c r="AH36" s="1234" t="s">
        <v>91</v>
      </c>
      <c r="AI36" s="1234" t="s">
        <v>112</v>
      </c>
      <c r="AJ36" s="1234" t="s">
        <v>113</v>
      </c>
      <c r="AK36" s="1188">
        <f t="shared" si="13"/>
        <v>3000</v>
      </c>
      <c r="AL36" s="1188"/>
      <c r="AM36" s="1188"/>
      <c r="AN36" s="1188">
        <f>I36</f>
        <v>3000</v>
      </c>
      <c r="AO36" s="1188"/>
      <c r="AP36" s="1188"/>
      <c r="AQ36" s="1240"/>
      <c r="AR36" s="1188"/>
      <c r="AS36" s="1236"/>
      <c r="AT36" s="1236"/>
      <c r="AU36" s="1188">
        <f t="shared" si="14"/>
        <v>3000</v>
      </c>
      <c r="AV36" s="1250">
        <f>I36*0.06*2</f>
        <v>360</v>
      </c>
      <c r="AW36" s="1250"/>
      <c r="AX36" s="1188"/>
      <c r="AY36" s="1188"/>
      <c r="AZ36" s="1188"/>
      <c r="BA36" s="1188"/>
      <c r="BB36" s="1188"/>
      <c r="BC36" s="1188"/>
      <c r="BD36" s="1188"/>
      <c r="BE36" s="1188"/>
      <c r="BF36" s="1188"/>
      <c r="BG36" s="1188"/>
      <c r="BH36" s="1188"/>
      <c r="BI36" s="1188"/>
      <c r="BJ36" s="1188"/>
      <c r="BK36" s="1188"/>
      <c r="BL36" s="1188"/>
      <c r="BM36" s="1188"/>
      <c r="BN36" s="1188"/>
      <c r="BO36" s="1240"/>
      <c r="BP36" s="1240"/>
      <c r="BQ36" s="1188"/>
      <c r="BR36" s="1236"/>
      <c r="BS36" s="1188"/>
      <c r="BT36" s="1188"/>
      <c r="BU36" s="1188"/>
      <c r="BV36" s="1240"/>
      <c r="BW36" s="1188"/>
      <c r="BX36" s="1188"/>
      <c r="BY36" s="1188"/>
      <c r="BZ36" s="1188"/>
      <c r="CA36" s="1188"/>
      <c r="CB36" s="1188"/>
      <c r="CC36" s="1188"/>
      <c r="CD36" s="1188">
        <f t="shared" si="0"/>
        <v>0</v>
      </c>
      <c r="CE36" s="1188">
        <f t="shared" si="1"/>
        <v>0</v>
      </c>
      <c r="CF36" s="1188">
        <f t="shared" si="2"/>
        <v>0</v>
      </c>
      <c r="CG36" s="1188">
        <f t="shared" si="3"/>
        <v>0</v>
      </c>
      <c r="CH36" s="1236"/>
      <c r="CI36" s="1236"/>
      <c r="CJ36" s="1236"/>
      <c r="CK36" s="1188"/>
      <c r="CL36" s="1188"/>
    </row>
    <row r="37" s="1168" customFormat="1" customHeight="1" spans="1:90">
      <c r="A37" s="1245">
        <v>46080</v>
      </c>
      <c r="B37" s="1247" t="s">
        <v>280</v>
      </c>
      <c r="C37" s="1234" t="s">
        <v>135</v>
      </c>
      <c r="D37" s="1188">
        <v>4500194581</v>
      </c>
      <c r="E37" s="1234" t="s">
        <v>281</v>
      </c>
      <c r="F37" s="1188" t="s">
        <v>282</v>
      </c>
      <c r="G37" s="1253" t="s">
        <v>283</v>
      </c>
      <c r="H37" s="1234" t="s">
        <v>194</v>
      </c>
      <c r="I37" s="1254">
        <v>15496</v>
      </c>
      <c r="J37" s="1234">
        <v>0</v>
      </c>
      <c r="K37" s="1234">
        <v>13</v>
      </c>
      <c r="L37" s="1246">
        <f t="shared" si="15"/>
        <v>1192</v>
      </c>
      <c r="M37" s="1255">
        <v>46129</v>
      </c>
      <c r="N37" s="1255">
        <v>46125</v>
      </c>
      <c r="O37" s="1255"/>
      <c r="P37" s="1233" t="s">
        <v>284</v>
      </c>
      <c r="Q37" s="1233" t="s">
        <v>267</v>
      </c>
      <c r="R37" s="1233" t="s">
        <v>285</v>
      </c>
      <c r="S37" s="1234"/>
      <c r="T37" s="1233">
        <f>6240+9256</f>
        <v>15496</v>
      </c>
      <c r="U37" s="1233">
        <f t="shared" si="4"/>
        <v>0</v>
      </c>
      <c r="V37" s="1234"/>
      <c r="W37" s="1256">
        <v>46100</v>
      </c>
      <c r="X37" s="1257" t="s">
        <v>95</v>
      </c>
      <c r="Y37" s="1257" t="s">
        <v>286</v>
      </c>
      <c r="Z37" s="1188" t="s">
        <v>140</v>
      </c>
      <c r="AA37" s="1188"/>
      <c r="AB37" s="1247" t="s">
        <v>284</v>
      </c>
      <c r="AC37" s="1247" t="s">
        <v>287</v>
      </c>
      <c r="AD37" s="1255" t="s">
        <v>288</v>
      </c>
      <c r="AE37" s="1188">
        <v>1.2</v>
      </c>
      <c r="AF37" s="1248">
        <f>AE37*I37</f>
        <v>18595.2</v>
      </c>
      <c r="AG37" s="1258"/>
      <c r="AH37" s="1234" t="s">
        <v>289</v>
      </c>
      <c r="AI37" s="1234" t="s">
        <v>112</v>
      </c>
      <c r="AJ37" s="1234" t="s">
        <v>113</v>
      </c>
      <c r="AK37" s="1188">
        <f t="shared" si="13"/>
        <v>15496</v>
      </c>
      <c r="AL37" s="1188"/>
      <c r="AM37" s="1188"/>
      <c r="AN37" s="1188">
        <f>I37</f>
        <v>15496</v>
      </c>
      <c r="AO37" s="1188"/>
      <c r="AP37" s="1188"/>
      <c r="AQ37" s="1240"/>
      <c r="AR37" s="1188"/>
      <c r="AS37" s="1236"/>
      <c r="AT37" s="1236"/>
      <c r="AU37" s="1188">
        <f t="shared" si="14"/>
        <v>15496</v>
      </c>
      <c r="AV37" s="1250">
        <f t="shared" ref="AV37:AV56" si="16">I37*0.06</f>
        <v>929.76</v>
      </c>
      <c r="AW37" s="1250"/>
      <c r="AX37" s="1188"/>
      <c r="AY37" s="1188"/>
      <c r="AZ37" s="1188"/>
      <c r="BA37" s="1188"/>
      <c r="BB37" s="1188"/>
      <c r="BC37" s="1188"/>
      <c r="BD37" s="1188"/>
      <c r="BE37" s="1188"/>
      <c r="BF37" s="1188"/>
      <c r="BG37" s="1188"/>
      <c r="BH37" s="1188"/>
      <c r="BI37" s="1188"/>
      <c r="BJ37" s="1188"/>
      <c r="BK37" s="1188">
        <f>I37/13</f>
        <v>1192</v>
      </c>
      <c r="BL37" s="1188"/>
      <c r="BM37" s="1188"/>
      <c r="BN37" s="1188"/>
      <c r="BO37" s="1240"/>
      <c r="BP37" s="1240"/>
      <c r="BQ37" s="1188"/>
      <c r="BR37" s="1236"/>
      <c r="BS37" s="1188"/>
      <c r="BT37" s="1188"/>
      <c r="BU37" s="1188"/>
      <c r="BV37" s="1240"/>
      <c r="BW37" s="1188"/>
      <c r="BX37" s="1188"/>
      <c r="BY37" s="1188"/>
      <c r="BZ37" s="1188"/>
      <c r="CA37" s="1188"/>
      <c r="CB37" s="1188"/>
      <c r="CC37" s="1188"/>
      <c r="CD37" s="1188">
        <f t="shared" si="0"/>
        <v>0</v>
      </c>
      <c r="CE37" s="1188">
        <f t="shared" si="1"/>
        <v>0</v>
      </c>
      <c r="CF37" s="1188">
        <f t="shared" si="2"/>
        <v>0</v>
      </c>
      <c r="CG37" s="1188">
        <f t="shared" si="3"/>
        <v>0</v>
      </c>
      <c r="CH37" s="1236"/>
      <c r="CI37" s="1236"/>
      <c r="CJ37" s="1236"/>
      <c r="CK37" s="1188"/>
      <c r="CL37" s="1188"/>
    </row>
    <row r="38" s="1168" customFormat="1" customHeight="1" spans="1:90">
      <c r="A38" s="1245">
        <v>46078</v>
      </c>
      <c r="B38" s="1247" t="s">
        <v>290</v>
      </c>
      <c r="C38" s="1234" t="s">
        <v>291</v>
      </c>
      <c r="D38" s="1188">
        <v>4500194136</v>
      </c>
      <c r="E38" s="1234">
        <v>50212600321</v>
      </c>
      <c r="F38" s="1188" t="s">
        <v>292</v>
      </c>
      <c r="G38" s="1253" t="s">
        <v>146</v>
      </c>
      <c r="H38" s="1234" t="s">
        <v>104</v>
      </c>
      <c r="I38" s="1254">
        <v>10000</v>
      </c>
      <c r="J38" s="1234">
        <v>0</v>
      </c>
      <c r="K38" s="1234">
        <v>25</v>
      </c>
      <c r="L38" s="1246">
        <f t="shared" si="15"/>
        <v>400</v>
      </c>
      <c r="M38" s="1255">
        <v>46132</v>
      </c>
      <c r="N38" s="1255">
        <v>46128</v>
      </c>
      <c r="O38" s="1255"/>
      <c r="P38" s="1233"/>
      <c r="Q38" s="1233" t="s">
        <v>106</v>
      </c>
      <c r="R38" s="1234"/>
      <c r="S38" s="1234"/>
      <c r="T38" s="1233">
        <v>10000</v>
      </c>
      <c r="U38" s="1233">
        <f t="shared" si="4"/>
        <v>0</v>
      </c>
      <c r="V38" s="1234" t="s">
        <v>120</v>
      </c>
      <c r="W38" s="1256">
        <v>46093</v>
      </c>
      <c r="X38" s="1257" t="s">
        <v>107</v>
      </c>
      <c r="Y38" s="1257" t="s">
        <v>293</v>
      </c>
      <c r="Z38" s="1188"/>
      <c r="AA38" s="1188"/>
      <c r="AB38" s="1247"/>
      <c r="AC38" s="1247" t="s">
        <v>294</v>
      </c>
      <c r="AD38" s="1255" t="s">
        <v>295</v>
      </c>
      <c r="AE38" s="1188">
        <v>1.27</v>
      </c>
      <c r="AF38" s="1248">
        <f t="shared" ref="AF38:AF46" si="17">I38*AE38</f>
        <v>12700</v>
      </c>
      <c r="AG38" s="1258"/>
      <c r="AH38" s="1234" t="s">
        <v>111</v>
      </c>
      <c r="AI38" s="1234" t="s">
        <v>112</v>
      </c>
      <c r="AJ38" s="1234" t="s">
        <v>113</v>
      </c>
      <c r="AK38" s="1188">
        <f t="shared" si="13"/>
        <v>10000</v>
      </c>
      <c r="AL38" s="1188"/>
      <c r="AM38" s="1188"/>
      <c r="AN38" s="1188"/>
      <c r="AO38" s="1188"/>
      <c r="AP38" s="1188">
        <f>I38</f>
        <v>10000</v>
      </c>
      <c r="AQ38" s="1240"/>
      <c r="AR38" s="1188"/>
      <c r="AS38" s="1236"/>
      <c r="AT38" s="1236"/>
      <c r="AU38" s="1188">
        <f t="shared" si="14"/>
        <v>10000</v>
      </c>
      <c r="AV38" s="1250">
        <f t="shared" si="16"/>
        <v>600</v>
      </c>
      <c r="AW38" s="1250"/>
      <c r="AX38" s="1188"/>
      <c r="AY38" s="1188"/>
      <c r="AZ38" s="1188"/>
      <c r="BA38" s="1188"/>
      <c r="BB38" s="1188"/>
      <c r="BC38" s="1188"/>
      <c r="BD38" s="1188"/>
      <c r="BE38" s="1188"/>
      <c r="BF38" s="1188"/>
      <c r="BG38" s="1188"/>
      <c r="BH38" s="1188"/>
      <c r="BI38" s="1188"/>
      <c r="BJ38" s="1188"/>
      <c r="BK38" s="1188"/>
      <c r="BL38" s="1188"/>
      <c r="BM38" s="1188"/>
      <c r="BN38" s="1188"/>
      <c r="BO38" s="1235">
        <f>I38/25</f>
        <v>400</v>
      </c>
      <c r="BP38" s="1240"/>
      <c r="BQ38" s="1188"/>
      <c r="BR38" s="1236"/>
      <c r="BS38" s="1188"/>
      <c r="BT38" s="1188"/>
      <c r="BU38" s="1188"/>
      <c r="BV38" s="1240"/>
      <c r="BW38" s="1188"/>
      <c r="BX38" s="1188"/>
      <c r="BY38" s="1188"/>
      <c r="BZ38" s="1188"/>
      <c r="CA38" s="1188"/>
      <c r="CB38" s="1188"/>
      <c r="CC38" s="1188"/>
      <c r="CD38" s="1188">
        <f t="shared" si="0"/>
        <v>400</v>
      </c>
      <c r="CE38" s="1188">
        <f t="shared" si="1"/>
        <v>0</v>
      </c>
      <c r="CF38" s="1188">
        <f t="shared" si="2"/>
        <v>0</v>
      </c>
      <c r="CG38" s="1188">
        <f t="shared" si="3"/>
        <v>0</v>
      </c>
      <c r="CH38" s="1236"/>
      <c r="CI38" s="1236"/>
      <c r="CJ38" s="1236"/>
      <c r="CK38" s="1188"/>
      <c r="CL38" s="1188"/>
    </row>
    <row r="39" s="1168" customFormat="1" customHeight="1" spans="1:90">
      <c r="A39" s="1245">
        <v>46080</v>
      </c>
      <c r="B39" s="1247" t="s">
        <v>296</v>
      </c>
      <c r="C39" s="1234" t="s">
        <v>115</v>
      </c>
      <c r="D39" s="1188">
        <v>4500194435</v>
      </c>
      <c r="E39" s="1234">
        <v>219021595</v>
      </c>
      <c r="F39" s="1188"/>
      <c r="G39" s="1253" t="s">
        <v>289</v>
      </c>
      <c r="H39" s="1234" t="s">
        <v>194</v>
      </c>
      <c r="I39" s="1254">
        <v>2964</v>
      </c>
      <c r="J39" s="1234">
        <v>0</v>
      </c>
      <c r="K39" s="1234">
        <v>13</v>
      </c>
      <c r="L39" s="1246">
        <f t="shared" si="15"/>
        <v>228</v>
      </c>
      <c r="M39" s="1255">
        <v>46132</v>
      </c>
      <c r="N39" s="1255">
        <v>46128</v>
      </c>
      <c r="O39" s="1255"/>
      <c r="P39" s="1233"/>
      <c r="Q39" s="1233" t="s">
        <v>106</v>
      </c>
      <c r="R39" s="1234"/>
      <c r="S39" s="1234"/>
      <c r="T39" s="1233">
        <v>2964</v>
      </c>
      <c r="U39" s="1233">
        <f t="shared" si="4"/>
        <v>0</v>
      </c>
      <c r="V39" s="1234" t="s">
        <v>95</v>
      </c>
      <c r="W39" s="1256" t="s">
        <v>297</v>
      </c>
      <c r="X39" s="1257" t="s">
        <v>95</v>
      </c>
      <c r="Y39" s="1257" t="s">
        <v>95</v>
      </c>
      <c r="Z39" s="1188"/>
      <c r="AA39" s="1188"/>
      <c r="AB39" s="1247"/>
      <c r="AC39" s="1247" t="s">
        <v>298</v>
      </c>
      <c r="AD39" s="1255" t="s">
        <v>299</v>
      </c>
      <c r="AE39" s="1188">
        <v>0.72</v>
      </c>
      <c r="AF39" s="1248">
        <f t="shared" si="17"/>
        <v>2134.08</v>
      </c>
      <c r="AG39" s="1249" t="s">
        <v>300</v>
      </c>
      <c r="AH39" s="1253" t="s">
        <v>289</v>
      </c>
      <c r="AI39" s="1234" t="s">
        <v>112</v>
      </c>
      <c r="AJ39" s="1234" t="s">
        <v>113</v>
      </c>
      <c r="AK39" s="1188">
        <f t="shared" si="13"/>
        <v>2964</v>
      </c>
      <c r="AL39" s="1188"/>
      <c r="AM39" s="1188"/>
      <c r="AN39" s="1188">
        <f>I39</f>
        <v>2964</v>
      </c>
      <c r="AO39" s="1188"/>
      <c r="AP39" s="1188"/>
      <c r="AQ39" s="1240"/>
      <c r="AR39" s="1188"/>
      <c r="AS39" s="1236"/>
      <c r="AT39" s="1236"/>
      <c r="AU39" s="1188">
        <f t="shared" si="14"/>
        <v>2964</v>
      </c>
      <c r="AV39" s="1250">
        <f t="shared" si="16"/>
        <v>177.84</v>
      </c>
      <c r="AW39" s="1250"/>
      <c r="AX39" s="1188"/>
      <c r="AY39" s="1188"/>
      <c r="AZ39" s="1188"/>
      <c r="BA39" s="1188"/>
      <c r="BB39" s="1188"/>
      <c r="BC39" s="1188"/>
      <c r="BD39" s="1188"/>
      <c r="BE39" s="1188"/>
      <c r="BF39" s="1188"/>
      <c r="BG39" s="1188"/>
      <c r="BH39" s="1188"/>
      <c r="BI39" s="1188"/>
      <c r="BJ39" s="1188"/>
      <c r="BK39" s="1188">
        <f>I39/13</f>
        <v>228</v>
      </c>
      <c r="BL39" s="1188"/>
      <c r="BM39" s="1188"/>
      <c r="BN39" s="1188"/>
      <c r="BO39" s="1240"/>
      <c r="BP39" s="1240"/>
      <c r="BQ39" s="1188"/>
      <c r="BR39" s="1236"/>
      <c r="BS39" s="1188"/>
      <c r="BT39" s="1188"/>
      <c r="BU39" s="1188"/>
      <c r="BV39" s="1240"/>
      <c r="BW39" s="1188"/>
      <c r="BX39" s="1188"/>
      <c r="BY39" s="1188"/>
      <c r="BZ39" s="1188"/>
      <c r="CA39" s="1188"/>
      <c r="CB39" s="1188"/>
      <c r="CC39" s="1188"/>
      <c r="CD39" s="1188">
        <f t="shared" si="0"/>
        <v>0</v>
      </c>
      <c r="CE39" s="1188">
        <f t="shared" si="1"/>
        <v>0</v>
      </c>
      <c r="CF39" s="1188">
        <f t="shared" si="2"/>
        <v>0</v>
      </c>
      <c r="CG39" s="1188">
        <f t="shared" si="3"/>
        <v>0</v>
      </c>
      <c r="CH39" s="1236"/>
      <c r="CI39" s="1236"/>
      <c r="CJ39" s="1236"/>
      <c r="CK39" s="1188"/>
      <c r="CL39" s="1188"/>
    </row>
    <row r="40" s="1168" customFormat="1" customHeight="1" spans="1:90">
      <c r="A40" s="1245">
        <v>46080</v>
      </c>
      <c r="B40" s="1247" t="s">
        <v>296</v>
      </c>
      <c r="C40" s="1234" t="s">
        <v>115</v>
      </c>
      <c r="D40" s="1188">
        <v>4500194435</v>
      </c>
      <c r="E40" s="1234">
        <v>219021651</v>
      </c>
      <c r="F40" s="1188" t="s">
        <v>301</v>
      </c>
      <c r="G40" s="1253" t="s">
        <v>289</v>
      </c>
      <c r="H40" s="1234" t="s">
        <v>194</v>
      </c>
      <c r="I40" s="1254">
        <v>1729</v>
      </c>
      <c r="J40" s="1234">
        <v>0</v>
      </c>
      <c r="K40" s="1234">
        <v>13</v>
      </c>
      <c r="L40" s="1246">
        <f t="shared" si="15"/>
        <v>133</v>
      </c>
      <c r="M40" s="1255">
        <v>46132</v>
      </c>
      <c r="N40" s="1255">
        <v>46128</v>
      </c>
      <c r="O40" s="1255"/>
      <c r="P40" s="1233"/>
      <c r="Q40" s="1233" t="s">
        <v>106</v>
      </c>
      <c r="R40" s="1234"/>
      <c r="S40" s="1234"/>
      <c r="T40" s="1233">
        <f>1729</f>
        <v>1729</v>
      </c>
      <c r="U40" s="1233">
        <f t="shared" si="4"/>
        <v>0</v>
      </c>
      <c r="V40" s="1234" t="s">
        <v>95</v>
      </c>
      <c r="W40" s="1256" t="s">
        <v>297</v>
      </c>
      <c r="X40" s="1257" t="s">
        <v>95</v>
      </c>
      <c r="Y40" s="1257" t="s">
        <v>95</v>
      </c>
      <c r="Z40" s="1188"/>
      <c r="AA40" s="1188"/>
      <c r="AB40" s="1247"/>
      <c r="AC40" s="1247" t="s">
        <v>298</v>
      </c>
      <c r="AD40" s="1255" t="s">
        <v>299</v>
      </c>
      <c r="AE40" s="1188">
        <v>0.72</v>
      </c>
      <c r="AF40" s="1248">
        <f t="shared" si="17"/>
        <v>1244.88</v>
      </c>
      <c r="AG40" s="1249" t="s">
        <v>300</v>
      </c>
      <c r="AH40" s="1253" t="s">
        <v>289</v>
      </c>
      <c r="AI40" s="1234" t="s">
        <v>112</v>
      </c>
      <c r="AJ40" s="1234" t="s">
        <v>113</v>
      </c>
      <c r="AK40" s="1188">
        <f t="shared" si="13"/>
        <v>1729</v>
      </c>
      <c r="AL40" s="1188"/>
      <c r="AM40" s="1188"/>
      <c r="AN40" s="1188">
        <f>I40</f>
        <v>1729</v>
      </c>
      <c r="AO40" s="1188"/>
      <c r="AP40" s="1188"/>
      <c r="AQ40" s="1240"/>
      <c r="AR40" s="1188"/>
      <c r="AS40" s="1236"/>
      <c r="AT40" s="1236"/>
      <c r="AU40" s="1188">
        <f t="shared" si="14"/>
        <v>1729</v>
      </c>
      <c r="AV40" s="1250">
        <f t="shared" si="16"/>
        <v>103.74</v>
      </c>
      <c r="AW40" s="1250"/>
      <c r="AX40" s="1188"/>
      <c r="AY40" s="1188"/>
      <c r="AZ40" s="1188"/>
      <c r="BA40" s="1188"/>
      <c r="BB40" s="1188"/>
      <c r="BC40" s="1188"/>
      <c r="BD40" s="1188"/>
      <c r="BE40" s="1188"/>
      <c r="BF40" s="1188"/>
      <c r="BG40" s="1188"/>
      <c r="BH40" s="1188"/>
      <c r="BI40" s="1188"/>
      <c r="BJ40" s="1188"/>
      <c r="BK40" s="1188">
        <f>I40/13</f>
        <v>133</v>
      </c>
      <c r="BL40" s="1188"/>
      <c r="BM40" s="1188"/>
      <c r="BN40" s="1188"/>
      <c r="BO40" s="1240"/>
      <c r="BP40" s="1240"/>
      <c r="BQ40" s="1188"/>
      <c r="BR40" s="1236"/>
      <c r="BS40" s="1188"/>
      <c r="BT40" s="1188"/>
      <c r="BU40" s="1188"/>
      <c r="BV40" s="1240"/>
      <c r="BW40" s="1188"/>
      <c r="BX40" s="1188"/>
      <c r="BY40" s="1188"/>
      <c r="BZ40" s="1188"/>
      <c r="CA40" s="1188"/>
      <c r="CB40" s="1188"/>
      <c r="CC40" s="1188"/>
      <c r="CD40" s="1188">
        <f t="shared" si="0"/>
        <v>0</v>
      </c>
      <c r="CE40" s="1188">
        <f t="shared" si="1"/>
        <v>0</v>
      </c>
      <c r="CF40" s="1188">
        <f t="shared" si="2"/>
        <v>0</v>
      </c>
      <c r="CG40" s="1188">
        <f t="shared" si="3"/>
        <v>0</v>
      </c>
      <c r="CH40" s="1236"/>
      <c r="CI40" s="1236"/>
      <c r="CJ40" s="1236"/>
      <c r="CK40" s="1188"/>
      <c r="CL40" s="1188"/>
    </row>
    <row r="41" s="1168" customFormat="1" customHeight="1" spans="1:90">
      <c r="A41" s="1245">
        <v>46090</v>
      </c>
      <c r="B41" s="1247" t="s">
        <v>114</v>
      </c>
      <c r="C41" s="1234" t="s">
        <v>115</v>
      </c>
      <c r="D41" s="1188">
        <v>4500195757</v>
      </c>
      <c r="E41" s="1234" t="s">
        <v>302</v>
      </c>
      <c r="F41" s="1188" t="s">
        <v>303</v>
      </c>
      <c r="G41" s="1253" t="s">
        <v>118</v>
      </c>
      <c r="H41" s="1234" t="s">
        <v>104</v>
      </c>
      <c r="I41" s="1254">
        <v>80000</v>
      </c>
      <c r="J41" s="1234">
        <v>0</v>
      </c>
      <c r="K41" s="1234">
        <v>25</v>
      </c>
      <c r="L41" s="1246">
        <f t="shared" si="15"/>
        <v>3200</v>
      </c>
      <c r="M41" s="1255">
        <v>46132</v>
      </c>
      <c r="N41" s="1255">
        <v>46128</v>
      </c>
      <c r="O41" s="1255"/>
      <c r="P41" s="1233"/>
      <c r="Q41" s="1233" t="s">
        <v>106</v>
      </c>
      <c r="R41" s="1234"/>
      <c r="S41" s="1234"/>
      <c r="T41" s="1233">
        <f>45825+13125+21050</f>
        <v>80000</v>
      </c>
      <c r="U41" s="1233">
        <f t="shared" si="4"/>
        <v>0</v>
      </c>
      <c r="V41" s="1234" t="s">
        <v>120</v>
      </c>
      <c r="W41" s="1256" t="s">
        <v>233</v>
      </c>
      <c r="X41" s="1257" t="s">
        <v>107</v>
      </c>
      <c r="Y41" s="1257" t="s">
        <v>304</v>
      </c>
      <c r="Z41" s="1188"/>
      <c r="AA41" s="1188"/>
      <c r="AB41" s="1247"/>
      <c r="AC41" s="1247" t="s">
        <v>305</v>
      </c>
      <c r="AD41" s="1255" t="s">
        <v>123</v>
      </c>
      <c r="AE41" s="1188">
        <v>1.29</v>
      </c>
      <c r="AF41" s="1248">
        <f t="shared" si="17"/>
        <v>103200</v>
      </c>
      <c r="AG41" s="1266" t="s">
        <v>306</v>
      </c>
      <c r="AH41" s="1253" t="s">
        <v>118</v>
      </c>
      <c r="AI41" s="1234" t="s">
        <v>112</v>
      </c>
      <c r="AJ41" s="1234" t="s">
        <v>113</v>
      </c>
      <c r="AK41" s="1188"/>
      <c r="AL41" s="1188"/>
      <c r="AM41" s="1188">
        <f>I41</f>
        <v>80000</v>
      </c>
      <c r="AN41" s="1188">
        <f>I41</f>
        <v>80000</v>
      </c>
      <c r="AO41" s="1188"/>
      <c r="AP41" s="1188"/>
      <c r="AQ41" s="1240"/>
      <c r="AR41" s="1188"/>
      <c r="AS41" s="1236"/>
      <c r="AT41" s="1236"/>
      <c r="AU41" s="1188">
        <f t="shared" si="14"/>
        <v>80000</v>
      </c>
      <c r="AV41" s="1250">
        <f t="shared" si="16"/>
        <v>4800</v>
      </c>
      <c r="AW41" s="1250"/>
      <c r="AX41" s="1188"/>
      <c r="AY41" s="1188"/>
      <c r="AZ41" s="1188"/>
      <c r="BA41" s="1188"/>
      <c r="BB41" s="1188"/>
      <c r="BC41" s="1188"/>
      <c r="BD41" s="1188"/>
      <c r="BE41" s="1188"/>
      <c r="BF41" s="1188"/>
      <c r="BG41" s="1188"/>
      <c r="BH41" s="1188"/>
      <c r="BI41" s="1188"/>
      <c r="BJ41" s="1188"/>
      <c r="BK41" s="1188"/>
      <c r="BL41" s="1188"/>
      <c r="BM41" s="1188"/>
      <c r="BN41" s="1188"/>
      <c r="BO41" s="1240"/>
      <c r="BP41" s="1240"/>
      <c r="BQ41" s="1188"/>
      <c r="BR41" s="1236"/>
      <c r="BS41" s="1188"/>
      <c r="BT41" s="1188"/>
      <c r="BU41" s="1251">
        <f>I41/25</f>
        <v>3200</v>
      </c>
      <c r="BV41" s="1240"/>
      <c r="BW41" s="1188"/>
      <c r="BX41" s="1188"/>
      <c r="BY41" s="1188"/>
      <c r="BZ41" s="1188"/>
      <c r="CA41" s="1188"/>
      <c r="CB41" s="1188"/>
      <c r="CC41" s="1188"/>
      <c r="CD41" s="1188">
        <f t="shared" si="0"/>
        <v>0</v>
      </c>
      <c r="CE41" s="1188">
        <f t="shared" si="1"/>
        <v>3200</v>
      </c>
      <c r="CF41" s="1188">
        <f t="shared" si="2"/>
        <v>0</v>
      </c>
      <c r="CG41" s="1188">
        <f t="shared" si="3"/>
        <v>0</v>
      </c>
      <c r="CH41" s="1236"/>
      <c r="CI41" s="1236"/>
      <c r="CJ41" s="1236"/>
      <c r="CK41" s="1188"/>
      <c r="CL41" s="1188"/>
    </row>
    <row r="42" s="1168" customFormat="1" customHeight="1" spans="1:90">
      <c r="A42" s="1245">
        <v>46092</v>
      </c>
      <c r="B42" s="1247" t="s">
        <v>307</v>
      </c>
      <c r="C42" s="1234" t="s">
        <v>308</v>
      </c>
      <c r="D42" s="1188">
        <v>4500196119</v>
      </c>
      <c r="E42" s="1234" t="s">
        <v>309</v>
      </c>
      <c r="F42" s="1188" t="s">
        <v>310</v>
      </c>
      <c r="G42" s="1253" t="s">
        <v>188</v>
      </c>
      <c r="H42" s="1234" t="s">
        <v>138</v>
      </c>
      <c r="I42" s="1254">
        <v>2500</v>
      </c>
      <c r="J42" s="1234">
        <v>0</v>
      </c>
      <c r="K42" s="1234">
        <v>50</v>
      </c>
      <c r="L42" s="1246">
        <f t="shared" si="15"/>
        <v>50</v>
      </c>
      <c r="M42" s="1255">
        <v>46132</v>
      </c>
      <c r="N42" s="1255">
        <v>46128</v>
      </c>
      <c r="O42" s="1255"/>
      <c r="P42" s="1233"/>
      <c r="Q42" s="1233" t="s">
        <v>106</v>
      </c>
      <c r="R42" s="1234"/>
      <c r="S42" s="1234"/>
      <c r="T42" s="1233">
        <v>2500</v>
      </c>
      <c r="U42" s="1233">
        <f t="shared" si="4"/>
        <v>0</v>
      </c>
      <c r="V42" s="1234" t="s">
        <v>120</v>
      </c>
      <c r="W42" s="1256">
        <v>46100</v>
      </c>
      <c r="X42" s="1257" t="s">
        <v>95</v>
      </c>
      <c r="Y42" s="1257" t="s">
        <v>311</v>
      </c>
      <c r="Z42" s="1188"/>
      <c r="AA42" s="1188"/>
      <c r="AB42" s="1247"/>
      <c r="AC42" s="1247" t="s">
        <v>312</v>
      </c>
      <c r="AD42" s="1255" t="s">
        <v>313</v>
      </c>
      <c r="AE42" s="1188">
        <v>1.007</v>
      </c>
      <c r="AF42" s="1248">
        <f t="shared" si="17"/>
        <v>2517.5</v>
      </c>
      <c r="AG42" s="1258"/>
      <c r="AH42" s="1234" t="s">
        <v>314</v>
      </c>
      <c r="AI42" s="1234" t="s">
        <v>112</v>
      </c>
      <c r="AJ42" s="1234" t="s">
        <v>113</v>
      </c>
      <c r="AK42" s="1188">
        <f>I42</f>
        <v>2500</v>
      </c>
      <c r="AL42" s="1188"/>
      <c r="AM42" s="1188"/>
      <c r="AN42" s="1188"/>
      <c r="AO42" s="1188"/>
      <c r="AP42" s="1188">
        <f>I42</f>
        <v>2500</v>
      </c>
      <c r="AQ42" s="1240"/>
      <c r="AR42" s="1188"/>
      <c r="AS42" s="1236"/>
      <c r="AT42" s="1236"/>
      <c r="AU42" s="1188">
        <f t="shared" si="14"/>
        <v>2500</v>
      </c>
      <c r="AV42" s="1250">
        <f t="shared" si="16"/>
        <v>150</v>
      </c>
      <c r="AW42" s="1250"/>
      <c r="AX42" s="1188"/>
      <c r="AY42" s="1188"/>
      <c r="AZ42" s="1188"/>
      <c r="BA42" s="1188"/>
      <c r="BB42" s="1188"/>
      <c r="BC42" s="1188"/>
      <c r="BD42" s="1188"/>
      <c r="BE42" s="1188"/>
      <c r="BF42" s="1188"/>
      <c r="BG42" s="1188"/>
      <c r="BH42" s="1188"/>
      <c r="BI42" s="1188"/>
      <c r="BJ42" s="1188"/>
      <c r="BK42" s="1188"/>
      <c r="BL42" s="1188"/>
      <c r="BM42" s="1188"/>
      <c r="BN42" s="1188"/>
      <c r="BO42" s="1235">
        <f>I42/25</f>
        <v>100</v>
      </c>
      <c r="BP42" s="1240"/>
      <c r="BQ42" s="1188"/>
      <c r="BR42" s="1236"/>
      <c r="BS42" s="1188"/>
      <c r="BT42" s="1188"/>
      <c r="BU42" s="1188"/>
      <c r="BV42" s="1240"/>
      <c r="BW42" s="1188"/>
      <c r="BX42" s="1188"/>
      <c r="BY42" s="1188"/>
      <c r="BZ42" s="1188"/>
      <c r="CA42" s="1188"/>
      <c r="CB42" s="1188"/>
      <c r="CC42" s="1188"/>
      <c r="CD42" s="1188">
        <f t="shared" si="0"/>
        <v>100</v>
      </c>
      <c r="CE42" s="1188">
        <f t="shared" si="1"/>
        <v>0</v>
      </c>
      <c r="CF42" s="1188">
        <f t="shared" si="2"/>
        <v>0</v>
      </c>
      <c r="CG42" s="1188">
        <f t="shared" si="3"/>
        <v>0</v>
      </c>
      <c r="CH42" s="1236"/>
      <c r="CI42" s="1236"/>
      <c r="CJ42" s="1236"/>
      <c r="CK42" s="1188"/>
      <c r="CL42" s="1188"/>
    </row>
    <row r="43" s="1168" customFormat="1" customHeight="1" spans="1:90">
      <c r="A43" s="1245">
        <v>46079</v>
      </c>
      <c r="B43" s="1247" t="s">
        <v>114</v>
      </c>
      <c r="C43" s="1234" t="s">
        <v>115</v>
      </c>
      <c r="D43" s="1188">
        <v>4500194297</v>
      </c>
      <c r="E43" s="1234" t="s">
        <v>315</v>
      </c>
      <c r="F43" s="1188" t="s">
        <v>316</v>
      </c>
      <c r="G43" s="1253" t="s">
        <v>118</v>
      </c>
      <c r="H43" s="1234" t="s">
        <v>104</v>
      </c>
      <c r="I43" s="1254">
        <v>29425</v>
      </c>
      <c r="J43" s="1234">
        <v>0</v>
      </c>
      <c r="K43" s="1234">
        <v>25</v>
      </c>
      <c r="L43" s="1246">
        <f t="shared" si="15"/>
        <v>1177</v>
      </c>
      <c r="M43" s="1255">
        <v>46132</v>
      </c>
      <c r="N43" s="1255">
        <v>46128</v>
      </c>
      <c r="O43" s="1255"/>
      <c r="P43" s="1233"/>
      <c r="Q43" s="1233" t="s">
        <v>106</v>
      </c>
      <c r="R43" s="1234"/>
      <c r="S43" s="1234"/>
      <c r="T43" s="1233">
        <f>16250+13175</f>
        <v>29425</v>
      </c>
      <c r="U43" s="1233">
        <f t="shared" si="4"/>
        <v>0</v>
      </c>
      <c r="V43" s="1234" t="s">
        <v>120</v>
      </c>
      <c r="W43" s="1256" t="s">
        <v>233</v>
      </c>
      <c r="X43" s="1257" t="s">
        <v>107</v>
      </c>
      <c r="Y43" s="1257" t="s">
        <v>304</v>
      </c>
      <c r="Z43" s="1188"/>
      <c r="AA43" s="1188"/>
      <c r="AB43" s="1247"/>
      <c r="AC43" s="1247" t="s">
        <v>317</v>
      </c>
      <c r="AD43" s="1255" t="s">
        <v>123</v>
      </c>
      <c r="AE43" s="1188">
        <v>1.29</v>
      </c>
      <c r="AF43" s="1248">
        <f t="shared" si="17"/>
        <v>37958.25</v>
      </c>
      <c r="AG43" s="1249" t="s">
        <v>318</v>
      </c>
      <c r="AH43" s="1234" t="s">
        <v>118</v>
      </c>
      <c r="AI43" s="1234" t="s">
        <v>112</v>
      </c>
      <c r="AJ43" s="1234" t="s">
        <v>113</v>
      </c>
      <c r="AK43" s="1188"/>
      <c r="AL43" s="1188"/>
      <c r="AM43" s="1188">
        <f>I43</f>
        <v>29425</v>
      </c>
      <c r="AN43" s="1188">
        <f>I43</f>
        <v>29425</v>
      </c>
      <c r="AO43" s="1188"/>
      <c r="AP43" s="1188"/>
      <c r="AQ43" s="1240"/>
      <c r="AR43" s="1188"/>
      <c r="AS43" s="1236"/>
      <c r="AT43" s="1236"/>
      <c r="AU43" s="1188">
        <f t="shared" si="14"/>
        <v>29425</v>
      </c>
      <c r="AV43" s="1250">
        <f t="shared" si="16"/>
        <v>1765.5</v>
      </c>
      <c r="AW43" s="1250"/>
      <c r="AX43" s="1188"/>
      <c r="AY43" s="1188"/>
      <c r="AZ43" s="1188"/>
      <c r="BA43" s="1188"/>
      <c r="BB43" s="1188"/>
      <c r="BC43" s="1188"/>
      <c r="BD43" s="1188"/>
      <c r="BE43" s="1188"/>
      <c r="BF43" s="1188"/>
      <c r="BG43" s="1188"/>
      <c r="BH43" s="1188"/>
      <c r="BI43" s="1188"/>
      <c r="BJ43" s="1188"/>
      <c r="BK43" s="1188"/>
      <c r="BL43" s="1188"/>
      <c r="BM43" s="1188"/>
      <c r="BN43" s="1188"/>
      <c r="BO43" s="1240"/>
      <c r="BP43" s="1240"/>
      <c r="BQ43" s="1188"/>
      <c r="BR43" s="1236"/>
      <c r="BS43" s="1188"/>
      <c r="BT43" s="1188"/>
      <c r="BU43" s="1251">
        <f>I43/25</f>
        <v>1177</v>
      </c>
      <c r="BV43" s="1240"/>
      <c r="BW43" s="1188"/>
      <c r="BX43" s="1188"/>
      <c r="BY43" s="1188"/>
      <c r="BZ43" s="1188"/>
      <c r="CA43" s="1188"/>
      <c r="CB43" s="1188"/>
      <c r="CC43" s="1188"/>
      <c r="CD43" s="1188">
        <f t="shared" si="0"/>
        <v>0</v>
      </c>
      <c r="CE43" s="1188">
        <f t="shared" si="1"/>
        <v>1177</v>
      </c>
      <c r="CF43" s="1188">
        <f t="shared" si="2"/>
        <v>0</v>
      </c>
      <c r="CG43" s="1188">
        <f t="shared" si="3"/>
        <v>0</v>
      </c>
      <c r="CH43" s="1236"/>
      <c r="CI43" s="1236"/>
      <c r="CJ43" s="1236"/>
      <c r="CK43" s="1188"/>
      <c r="CL43" s="1188"/>
    </row>
    <row r="44" s="1168" customFormat="1" customHeight="1" spans="1:90">
      <c r="A44" s="1245">
        <v>46085</v>
      </c>
      <c r="B44" s="1247" t="s">
        <v>223</v>
      </c>
      <c r="C44" s="1234" t="s">
        <v>319</v>
      </c>
      <c r="D44" s="1188">
        <v>4500195223</v>
      </c>
      <c r="E44" s="1234" t="s">
        <v>320</v>
      </c>
      <c r="F44" s="1188" t="s">
        <v>321</v>
      </c>
      <c r="G44" s="1253" t="s">
        <v>174</v>
      </c>
      <c r="H44" s="1234" t="s">
        <v>175</v>
      </c>
      <c r="I44" s="1254">
        <v>780</v>
      </c>
      <c r="J44" s="1234">
        <v>0</v>
      </c>
      <c r="K44" s="1234">
        <v>52</v>
      </c>
      <c r="L44" s="1246">
        <f t="shared" si="15"/>
        <v>15</v>
      </c>
      <c r="M44" s="1255">
        <v>46132</v>
      </c>
      <c r="N44" s="1255">
        <v>46128</v>
      </c>
      <c r="O44" s="1255"/>
      <c r="P44" s="1233"/>
      <c r="Q44" s="1233" t="s">
        <v>106</v>
      </c>
      <c r="R44" s="1234"/>
      <c r="S44" s="1234"/>
      <c r="T44" s="1233">
        <v>780</v>
      </c>
      <c r="U44" s="1233">
        <f t="shared" si="4"/>
        <v>0</v>
      </c>
      <c r="V44" s="1234" t="s">
        <v>120</v>
      </c>
      <c r="W44" s="1256">
        <v>46086</v>
      </c>
      <c r="X44" s="1257" t="s">
        <v>95</v>
      </c>
      <c r="Y44" s="1257" t="s">
        <v>322</v>
      </c>
      <c r="Z44" s="1188"/>
      <c r="AA44" s="1188"/>
      <c r="AB44" s="1247"/>
      <c r="AC44" s="1247" t="s">
        <v>323</v>
      </c>
      <c r="AD44" s="1255" t="s">
        <v>222</v>
      </c>
      <c r="AE44" s="1188">
        <v>1.033</v>
      </c>
      <c r="AF44" s="1248">
        <f t="shared" si="17"/>
        <v>805.74</v>
      </c>
      <c r="AG44" s="1258"/>
      <c r="AH44" s="1253" t="s">
        <v>289</v>
      </c>
      <c r="AI44" s="1234" t="s">
        <v>112</v>
      </c>
      <c r="AJ44" s="1234" t="s">
        <v>113</v>
      </c>
      <c r="AK44" s="1188">
        <f t="shared" ref="AK44:AK52" si="18">I44</f>
        <v>780</v>
      </c>
      <c r="AL44" s="1188"/>
      <c r="AM44" s="1188"/>
      <c r="AN44" s="1188">
        <f>I44</f>
        <v>780</v>
      </c>
      <c r="AO44" s="1188"/>
      <c r="AP44" s="1188"/>
      <c r="AQ44" s="1240"/>
      <c r="AR44" s="1188"/>
      <c r="AS44" s="1260"/>
      <c r="AT44" s="1260"/>
      <c r="AU44" s="1188">
        <f t="shared" si="14"/>
        <v>780</v>
      </c>
      <c r="AV44" s="1250">
        <f t="shared" si="16"/>
        <v>46.8</v>
      </c>
      <c r="AW44" s="1250"/>
      <c r="AX44" s="1188"/>
      <c r="AY44" s="1188"/>
      <c r="AZ44" s="1188"/>
      <c r="BA44" s="1188"/>
      <c r="BB44" s="1188"/>
      <c r="BC44" s="1188"/>
      <c r="BD44" s="1188"/>
      <c r="BE44" s="1188"/>
      <c r="BF44" s="1188"/>
      <c r="BG44" s="1188"/>
      <c r="BH44" s="1188"/>
      <c r="BI44" s="1188"/>
      <c r="BJ44" s="1188"/>
      <c r="BK44" s="1188">
        <f>I44/13</f>
        <v>60</v>
      </c>
      <c r="BL44" s="1188"/>
      <c r="BM44" s="1188"/>
      <c r="BN44" s="1188"/>
      <c r="BO44" s="1240"/>
      <c r="BP44" s="1240"/>
      <c r="BQ44" s="1188"/>
      <c r="BR44" s="1236"/>
      <c r="BS44" s="1188"/>
      <c r="BT44" s="1188"/>
      <c r="BU44" s="1188"/>
      <c r="BV44" s="1240"/>
      <c r="BW44" s="1188"/>
      <c r="BX44" s="1188"/>
      <c r="BY44" s="1188"/>
      <c r="BZ44" s="1188"/>
      <c r="CA44" s="1188"/>
      <c r="CB44" s="1188"/>
      <c r="CC44" s="1188"/>
      <c r="CD44" s="1188">
        <f t="shared" si="0"/>
        <v>0</v>
      </c>
      <c r="CE44" s="1188">
        <f t="shared" si="1"/>
        <v>0</v>
      </c>
      <c r="CF44" s="1188">
        <f t="shared" si="2"/>
        <v>0</v>
      </c>
      <c r="CG44" s="1188">
        <f t="shared" si="3"/>
        <v>0</v>
      </c>
      <c r="CH44" s="1236"/>
      <c r="CI44" s="1236"/>
      <c r="CJ44" s="1236"/>
      <c r="CK44" s="1188"/>
      <c r="CL44" s="1188"/>
    </row>
    <row r="45" s="1168" customFormat="1" customHeight="1" spans="1:90">
      <c r="A45" s="1245">
        <v>46092</v>
      </c>
      <c r="B45" s="1247" t="s">
        <v>324</v>
      </c>
      <c r="C45" s="1234" t="s">
        <v>325</v>
      </c>
      <c r="D45" s="1188">
        <v>4500195950</v>
      </c>
      <c r="E45" s="1234" t="s">
        <v>326</v>
      </c>
      <c r="F45" s="1188" t="s">
        <v>327</v>
      </c>
      <c r="G45" s="1253" t="s">
        <v>188</v>
      </c>
      <c r="H45" s="1234" t="s">
        <v>138</v>
      </c>
      <c r="I45" s="1254">
        <v>5000</v>
      </c>
      <c r="J45" s="1234">
        <v>0</v>
      </c>
      <c r="K45" s="1234">
        <v>50</v>
      </c>
      <c r="L45" s="1246">
        <f t="shared" si="15"/>
        <v>100</v>
      </c>
      <c r="M45" s="1255">
        <v>46132</v>
      </c>
      <c r="N45" s="1255">
        <v>46128</v>
      </c>
      <c r="O45" s="1255"/>
      <c r="P45" s="1233"/>
      <c r="Q45" s="1233" t="s">
        <v>106</v>
      </c>
      <c r="R45" s="1234"/>
      <c r="S45" s="1234"/>
      <c r="T45" s="1233">
        <v>5000</v>
      </c>
      <c r="U45" s="1233">
        <f t="shared" si="4"/>
        <v>0</v>
      </c>
      <c r="V45" s="1234" t="s">
        <v>120</v>
      </c>
      <c r="W45" s="1256">
        <v>46100</v>
      </c>
      <c r="X45" s="1257" t="s">
        <v>95</v>
      </c>
      <c r="Y45" s="1257" t="s">
        <v>311</v>
      </c>
      <c r="Z45" s="1188"/>
      <c r="AA45" s="1188"/>
      <c r="AB45" s="1247"/>
      <c r="AC45" s="1247" t="s">
        <v>312</v>
      </c>
      <c r="AD45" s="1255" t="s">
        <v>313</v>
      </c>
      <c r="AE45" s="1188">
        <v>1.007</v>
      </c>
      <c r="AF45" s="1248">
        <f t="shared" si="17"/>
        <v>5035</v>
      </c>
      <c r="AG45" s="1258"/>
      <c r="AH45" s="1234" t="s">
        <v>188</v>
      </c>
      <c r="AI45" s="1234" t="s">
        <v>112</v>
      </c>
      <c r="AJ45" s="1234" t="s">
        <v>113</v>
      </c>
      <c r="AK45" s="1188">
        <f t="shared" si="18"/>
        <v>5000</v>
      </c>
      <c r="AL45" s="1188"/>
      <c r="AM45" s="1188"/>
      <c r="AN45" s="1188"/>
      <c r="AO45" s="1188"/>
      <c r="AP45" s="1188">
        <f>I45</f>
        <v>5000</v>
      </c>
      <c r="AQ45" s="1240"/>
      <c r="AR45" s="1188"/>
      <c r="AS45" s="1236"/>
      <c r="AT45" s="1236"/>
      <c r="AU45" s="1188">
        <f t="shared" si="14"/>
        <v>5000</v>
      </c>
      <c r="AV45" s="1250">
        <f t="shared" si="16"/>
        <v>300</v>
      </c>
      <c r="AW45" s="1250"/>
      <c r="AX45" s="1188"/>
      <c r="AY45" s="1188"/>
      <c r="AZ45" s="1188"/>
      <c r="BA45" s="1188"/>
      <c r="BB45" s="1188"/>
      <c r="BC45" s="1188"/>
      <c r="BD45" s="1188"/>
      <c r="BE45" s="1188"/>
      <c r="BF45" s="1188"/>
      <c r="BG45" s="1188"/>
      <c r="BH45" s="1188"/>
      <c r="BI45" s="1188"/>
      <c r="BJ45" s="1188"/>
      <c r="BK45" s="1188"/>
      <c r="BL45" s="1188"/>
      <c r="BM45" s="1188"/>
      <c r="BN45" s="1188"/>
      <c r="BO45" s="1235">
        <f>I45/25</f>
        <v>200</v>
      </c>
      <c r="BP45" s="1240"/>
      <c r="BQ45" s="1188"/>
      <c r="BR45" s="1236"/>
      <c r="BS45" s="1188"/>
      <c r="BT45" s="1188"/>
      <c r="BU45" s="1188"/>
      <c r="BV45" s="1240"/>
      <c r="BW45" s="1188"/>
      <c r="BX45" s="1188"/>
      <c r="BY45" s="1188"/>
      <c r="BZ45" s="1188"/>
      <c r="CA45" s="1188"/>
      <c r="CB45" s="1188"/>
      <c r="CC45" s="1188"/>
      <c r="CD45" s="1188">
        <f t="shared" si="0"/>
        <v>200</v>
      </c>
      <c r="CE45" s="1188">
        <f t="shared" si="1"/>
        <v>0</v>
      </c>
      <c r="CF45" s="1188">
        <f t="shared" si="2"/>
        <v>0</v>
      </c>
      <c r="CG45" s="1188">
        <f t="shared" si="3"/>
        <v>0</v>
      </c>
      <c r="CH45" s="1236"/>
      <c r="CI45" s="1236"/>
      <c r="CJ45" s="1236"/>
      <c r="CK45" s="1188"/>
      <c r="CL45" s="1188"/>
    </row>
    <row r="46" s="1168" customFormat="1" customHeight="1" spans="1:90">
      <c r="A46" s="1245">
        <v>46092</v>
      </c>
      <c r="B46" s="1247" t="s">
        <v>328</v>
      </c>
      <c r="C46" s="1234" t="s">
        <v>329</v>
      </c>
      <c r="D46" s="1188">
        <v>4500196056</v>
      </c>
      <c r="E46" s="1234" t="s">
        <v>330</v>
      </c>
      <c r="F46" s="1188" t="s">
        <v>331</v>
      </c>
      <c r="G46" s="1253" t="s">
        <v>188</v>
      </c>
      <c r="H46" s="1234" t="s">
        <v>138</v>
      </c>
      <c r="I46" s="1254">
        <v>600</v>
      </c>
      <c r="J46" s="1234">
        <v>0</v>
      </c>
      <c r="K46" s="1234">
        <v>50</v>
      </c>
      <c r="L46" s="1246">
        <f t="shared" si="15"/>
        <v>12</v>
      </c>
      <c r="M46" s="1255">
        <v>46132</v>
      </c>
      <c r="N46" s="1255">
        <v>46128</v>
      </c>
      <c r="O46" s="1255"/>
      <c r="P46" s="1233"/>
      <c r="Q46" s="1233" t="s">
        <v>106</v>
      </c>
      <c r="R46" s="1234"/>
      <c r="S46" s="1234"/>
      <c r="T46" s="1233">
        <v>600</v>
      </c>
      <c r="U46" s="1233">
        <f t="shared" si="4"/>
        <v>0</v>
      </c>
      <c r="V46" s="1234" t="s">
        <v>120</v>
      </c>
      <c r="W46" s="1256">
        <v>46100</v>
      </c>
      <c r="X46" s="1257" t="s">
        <v>95</v>
      </c>
      <c r="Y46" s="1257" t="s">
        <v>311</v>
      </c>
      <c r="Z46" s="1188"/>
      <c r="AA46" s="1188"/>
      <c r="AB46" s="1247"/>
      <c r="AC46" s="1247" t="s">
        <v>312</v>
      </c>
      <c r="AD46" s="1255" t="s">
        <v>313</v>
      </c>
      <c r="AE46" s="1188">
        <v>1.007</v>
      </c>
      <c r="AF46" s="1248">
        <f t="shared" si="17"/>
        <v>604.2</v>
      </c>
      <c r="AG46" s="1258"/>
      <c r="AH46" s="1234" t="s">
        <v>314</v>
      </c>
      <c r="AI46" s="1234" t="s">
        <v>112</v>
      </c>
      <c r="AJ46" s="1234" t="s">
        <v>113</v>
      </c>
      <c r="AK46" s="1188">
        <f t="shared" si="18"/>
        <v>600</v>
      </c>
      <c r="AL46" s="1188"/>
      <c r="AM46" s="1188"/>
      <c r="AN46" s="1188"/>
      <c r="AO46" s="1188"/>
      <c r="AP46" s="1188">
        <f>I46</f>
        <v>600</v>
      </c>
      <c r="AQ46" s="1240"/>
      <c r="AR46" s="1188"/>
      <c r="AS46" s="1236"/>
      <c r="AT46" s="1236"/>
      <c r="AU46" s="1188">
        <f t="shared" si="14"/>
        <v>600</v>
      </c>
      <c r="AV46" s="1250">
        <f t="shared" si="16"/>
        <v>36</v>
      </c>
      <c r="AW46" s="1250"/>
      <c r="AX46" s="1188"/>
      <c r="AY46" s="1188"/>
      <c r="AZ46" s="1188"/>
      <c r="BA46" s="1188"/>
      <c r="BB46" s="1188"/>
      <c r="BC46" s="1188"/>
      <c r="BD46" s="1188"/>
      <c r="BE46" s="1188"/>
      <c r="BF46" s="1188"/>
      <c r="BG46" s="1188"/>
      <c r="BH46" s="1188"/>
      <c r="BI46" s="1188"/>
      <c r="BJ46" s="1188"/>
      <c r="BK46" s="1188"/>
      <c r="BL46" s="1188"/>
      <c r="BM46" s="1188"/>
      <c r="BN46" s="1188"/>
      <c r="BO46" s="1235">
        <f>I46/25</f>
        <v>24</v>
      </c>
      <c r="BP46" s="1240"/>
      <c r="BQ46" s="1188"/>
      <c r="BR46" s="1236"/>
      <c r="BS46" s="1188"/>
      <c r="BT46" s="1188"/>
      <c r="BU46" s="1188"/>
      <c r="BV46" s="1240"/>
      <c r="BW46" s="1188"/>
      <c r="BX46" s="1188"/>
      <c r="BY46" s="1188"/>
      <c r="BZ46" s="1188"/>
      <c r="CA46" s="1188"/>
      <c r="CB46" s="1188"/>
      <c r="CC46" s="1188"/>
      <c r="CD46" s="1188">
        <f t="shared" si="0"/>
        <v>24</v>
      </c>
      <c r="CE46" s="1188">
        <f t="shared" si="1"/>
        <v>0</v>
      </c>
      <c r="CF46" s="1188">
        <f t="shared" si="2"/>
        <v>0</v>
      </c>
      <c r="CG46" s="1188">
        <f t="shared" si="3"/>
        <v>0</v>
      </c>
      <c r="CH46" s="1236"/>
      <c r="CI46" s="1236"/>
      <c r="CJ46" s="1236"/>
      <c r="CK46" s="1188"/>
      <c r="CL46" s="1188"/>
    </row>
    <row r="47" s="1168" customFormat="1" customHeight="1" spans="1:90">
      <c r="A47" s="1245">
        <v>46080</v>
      </c>
      <c r="B47" s="1247" t="s">
        <v>280</v>
      </c>
      <c r="C47" s="1234" t="s">
        <v>135</v>
      </c>
      <c r="D47" s="1188">
        <v>4500194581</v>
      </c>
      <c r="E47" s="1234" t="s">
        <v>332</v>
      </c>
      <c r="F47" s="1188" t="s">
        <v>333</v>
      </c>
      <c r="G47" s="1253" t="s">
        <v>283</v>
      </c>
      <c r="H47" s="1234" t="s">
        <v>194</v>
      </c>
      <c r="I47" s="1254">
        <v>9997</v>
      </c>
      <c r="J47" s="1234">
        <v>0</v>
      </c>
      <c r="K47" s="1234">
        <v>13</v>
      </c>
      <c r="L47" s="1246">
        <f t="shared" si="15"/>
        <v>769</v>
      </c>
      <c r="M47" s="1255">
        <v>46132</v>
      </c>
      <c r="N47" s="1255">
        <v>46128</v>
      </c>
      <c r="O47" s="1255"/>
      <c r="P47" s="1233" t="s">
        <v>284</v>
      </c>
      <c r="Q47" s="1233" t="s">
        <v>267</v>
      </c>
      <c r="R47" s="1233" t="s">
        <v>285</v>
      </c>
      <c r="S47" s="1234"/>
      <c r="T47" s="1233">
        <f>5707+4290</f>
        <v>9997</v>
      </c>
      <c r="U47" s="1233">
        <f t="shared" si="4"/>
        <v>0</v>
      </c>
      <c r="V47" s="1234"/>
      <c r="W47" s="1256">
        <v>46100</v>
      </c>
      <c r="X47" s="1257" t="s">
        <v>95</v>
      </c>
      <c r="Y47" s="1257" t="s">
        <v>286</v>
      </c>
      <c r="Z47" s="1188" t="s">
        <v>140</v>
      </c>
      <c r="AA47" s="1188"/>
      <c r="AB47" s="1247" t="s">
        <v>284</v>
      </c>
      <c r="AC47" s="1247" t="s">
        <v>287</v>
      </c>
      <c r="AD47" s="1255" t="s">
        <v>288</v>
      </c>
      <c r="AE47" s="1188">
        <v>1.2</v>
      </c>
      <c r="AF47" s="1248">
        <f>AE47*I47</f>
        <v>11996.4</v>
      </c>
      <c r="AG47" s="1258"/>
      <c r="AH47" s="1234" t="s">
        <v>289</v>
      </c>
      <c r="AI47" s="1234" t="s">
        <v>112</v>
      </c>
      <c r="AJ47" s="1234" t="s">
        <v>113</v>
      </c>
      <c r="AK47" s="1188">
        <f t="shared" si="18"/>
        <v>9997</v>
      </c>
      <c r="AL47" s="1188"/>
      <c r="AM47" s="1188"/>
      <c r="AN47" s="1188">
        <f>I47</f>
        <v>9997</v>
      </c>
      <c r="AO47" s="1188"/>
      <c r="AP47" s="1188"/>
      <c r="AQ47" s="1240"/>
      <c r="AR47" s="1188"/>
      <c r="AS47" s="1236"/>
      <c r="AT47" s="1236"/>
      <c r="AU47" s="1188">
        <f t="shared" si="14"/>
        <v>9997</v>
      </c>
      <c r="AV47" s="1250">
        <f t="shared" si="16"/>
        <v>599.82</v>
      </c>
      <c r="AW47" s="1250"/>
      <c r="AX47" s="1188"/>
      <c r="AY47" s="1188"/>
      <c r="AZ47" s="1188"/>
      <c r="BA47" s="1188"/>
      <c r="BB47" s="1188"/>
      <c r="BC47" s="1188"/>
      <c r="BD47" s="1188"/>
      <c r="BE47" s="1188"/>
      <c r="BF47" s="1188"/>
      <c r="BG47" s="1188"/>
      <c r="BH47" s="1188"/>
      <c r="BI47" s="1188"/>
      <c r="BJ47" s="1188"/>
      <c r="BK47" s="1188">
        <f>I47/13</f>
        <v>769</v>
      </c>
      <c r="BL47" s="1188"/>
      <c r="BM47" s="1188"/>
      <c r="BN47" s="1188"/>
      <c r="BO47" s="1240"/>
      <c r="BP47" s="1240"/>
      <c r="BQ47" s="1188"/>
      <c r="BR47" s="1236"/>
      <c r="BS47" s="1188"/>
      <c r="BT47" s="1188"/>
      <c r="BU47" s="1188"/>
      <c r="BV47" s="1240"/>
      <c r="BW47" s="1188"/>
      <c r="BX47" s="1188"/>
      <c r="BY47" s="1188"/>
      <c r="BZ47" s="1188"/>
      <c r="CA47" s="1188"/>
      <c r="CB47" s="1188"/>
      <c r="CC47" s="1188"/>
      <c r="CD47" s="1188">
        <f t="shared" si="0"/>
        <v>0</v>
      </c>
      <c r="CE47" s="1188">
        <f t="shared" si="1"/>
        <v>0</v>
      </c>
      <c r="CF47" s="1188">
        <f t="shared" si="2"/>
        <v>0</v>
      </c>
      <c r="CG47" s="1188">
        <f t="shared" si="3"/>
        <v>0</v>
      </c>
      <c r="CH47" s="1236"/>
      <c r="CI47" s="1236"/>
      <c r="CJ47" s="1236"/>
      <c r="CK47" s="1188"/>
      <c r="CL47" s="1188"/>
    </row>
    <row r="48" s="1168" customFormat="1" customHeight="1" spans="1:90">
      <c r="A48" s="1245">
        <v>46066</v>
      </c>
      <c r="B48" s="1247" t="s">
        <v>191</v>
      </c>
      <c r="C48" s="1234" t="s">
        <v>164</v>
      </c>
      <c r="D48" s="1188">
        <v>4500193875</v>
      </c>
      <c r="E48" s="1234">
        <v>5200008771</v>
      </c>
      <c r="F48" s="1188" t="s">
        <v>334</v>
      </c>
      <c r="G48" s="1253" t="s">
        <v>193</v>
      </c>
      <c r="H48" s="1234" t="s">
        <v>194</v>
      </c>
      <c r="I48" s="1254">
        <v>9607</v>
      </c>
      <c r="J48" s="1234">
        <v>0</v>
      </c>
      <c r="K48" s="1234">
        <v>13</v>
      </c>
      <c r="L48" s="1246">
        <f t="shared" si="15"/>
        <v>739</v>
      </c>
      <c r="M48" s="1255">
        <v>46132</v>
      </c>
      <c r="N48" s="1255">
        <v>46128</v>
      </c>
      <c r="O48" s="1255"/>
      <c r="P48" s="1233"/>
      <c r="Q48" s="1265" t="s">
        <v>267</v>
      </c>
      <c r="R48" s="1234"/>
      <c r="S48" s="1234"/>
      <c r="T48" s="1233">
        <f>9607</f>
        <v>9607</v>
      </c>
      <c r="U48" s="1233">
        <f t="shared" si="4"/>
        <v>0</v>
      </c>
      <c r="V48" s="1234" t="s">
        <v>120</v>
      </c>
      <c r="W48" s="1256">
        <v>46098</v>
      </c>
      <c r="X48" s="1257" t="s">
        <v>95</v>
      </c>
      <c r="Y48" s="1257" t="s">
        <v>335</v>
      </c>
      <c r="Z48" s="1188"/>
      <c r="AA48" s="1188"/>
      <c r="AB48" s="1247"/>
      <c r="AC48" s="1247" t="s">
        <v>336</v>
      </c>
      <c r="AD48" s="1255" t="s">
        <v>337</v>
      </c>
      <c r="AE48" s="1188">
        <v>2.02</v>
      </c>
      <c r="AF48" s="1248">
        <f>I48*AE48</f>
        <v>19406.14</v>
      </c>
      <c r="AG48" s="1258"/>
      <c r="AH48" s="1234" t="s">
        <v>199</v>
      </c>
      <c r="AI48" s="1234" t="s">
        <v>112</v>
      </c>
      <c r="AJ48" s="1234" t="s">
        <v>113</v>
      </c>
      <c r="AK48" s="1188">
        <f t="shared" si="18"/>
        <v>9607</v>
      </c>
      <c r="AL48" s="1188"/>
      <c r="AM48" s="1188"/>
      <c r="AN48" s="1188"/>
      <c r="AO48" s="1188"/>
      <c r="AP48" s="1188">
        <f>I48</f>
        <v>9607</v>
      </c>
      <c r="AQ48" s="1240"/>
      <c r="AR48" s="1188"/>
      <c r="AS48" s="1236"/>
      <c r="AT48" s="1236"/>
      <c r="AU48" s="1188">
        <f t="shared" si="14"/>
        <v>9607</v>
      </c>
      <c r="AV48" s="1250">
        <f t="shared" si="16"/>
        <v>576.42</v>
      </c>
      <c r="AW48" s="1250"/>
      <c r="AX48" s="1188"/>
      <c r="AY48" s="1188"/>
      <c r="AZ48" s="1188"/>
      <c r="BA48" s="1188"/>
      <c r="BB48" s="1188"/>
      <c r="BC48" s="1188"/>
      <c r="BD48" s="1188"/>
      <c r="BE48" s="1188"/>
      <c r="BF48" s="1188"/>
      <c r="BG48" s="1188"/>
      <c r="BH48" s="1188"/>
      <c r="BI48" s="1188"/>
      <c r="BJ48" s="1188"/>
      <c r="BK48" s="1188"/>
      <c r="BL48" s="1188">
        <f>I48/13</f>
        <v>739</v>
      </c>
      <c r="BM48" s="1188"/>
      <c r="BN48" s="1188"/>
      <c r="BO48" s="1240"/>
      <c r="BP48" s="1240"/>
      <c r="BQ48" s="1188"/>
      <c r="BR48" s="1236"/>
      <c r="BS48" s="1188"/>
      <c r="BT48" s="1188"/>
      <c r="BU48" s="1188"/>
      <c r="BV48" s="1240"/>
      <c r="BW48" s="1188"/>
      <c r="BX48" s="1188"/>
      <c r="BY48" s="1188"/>
      <c r="BZ48" s="1188"/>
      <c r="CA48" s="1188"/>
      <c r="CB48" s="1188"/>
      <c r="CC48" s="1188"/>
      <c r="CD48" s="1188">
        <f t="shared" si="0"/>
        <v>0</v>
      </c>
      <c r="CE48" s="1188">
        <f t="shared" si="1"/>
        <v>0</v>
      </c>
      <c r="CF48" s="1188">
        <f t="shared" si="2"/>
        <v>0</v>
      </c>
      <c r="CG48" s="1188">
        <f t="shared" si="3"/>
        <v>0</v>
      </c>
      <c r="CH48" s="1236"/>
      <c r="CI48" s="1236"/>
      <c r="CJ48" s="1236"/>
      <c r="CK48" s="1188"/>
      <c r="CL48" s="1188"/>
    </row>
    <row r="49" s="1168" customFormat="1" customHeight="1" spans="1:90">
      <c r="A49" s="1245">
        <v>46091</v>
      </c>
      <c r="B49" s="1247" t="s">
        <v>338</v>
      </c>
      <c r="C49" s="1234" t="s">
        <v>135</v>
      </c>
      <c r="D49" s="1188">
        <v>4500195602</v>
      </c>
      <c r="E49" s="1234" t="s">
        <v>339</v>
      </c>
      <c r="F49" s="1188" t="s">
        <v>340</v>
      </c>
      <c r="G49" s="1253" t="s">
        <v>270</v>
      </c>
      <c r="H49" s="1234" t="s">
        <v>104</v>
      </c>
      <c r="I49" s="1254">
        <v>17500</v>
      </c>
      <c r="J49" s="1234">
        <v>0</v>
      </c>
      <c r="K49" s="1234">
        <v>25</v>
      </c>
      <c r="L49" s="1246">
        <f t="shared" si="15"/>
        <v>700</v>
      </c>
      <c r="M49" s="1255">
        <v>46132</v>
      </c>
      <c r="N49" s="1255">
        <v>46128</v>
      </c>
      <c r="O49" s="1255"/>
      <c r="P49" s="1233"/>
      <c r="Q49" s="1265" t="s">
        <v>267</v>
      </c>
      <c r="R49" s="1234"/>
      <c r="S49" s="1234"/>
      <c r="T49" s="1233">
        <v>17500</v>
      </c>
      <c r="U49" s="1233">
        <f t="shared" si="4"/>
        <v>0</v>
      </c>
      <c r="V49" s="1234" t="s">
        <v>95</v>
      </c>
      <c r="W49" s="1256" t="s">
        <v>341</v>
      </c>
      <c r="X49" s="1257" t="s">
        <v>95</v>
      </c>
      <c r="Y49" s="1257" t="s">
        <v>95</v>
      </c>
      <c r="Z49" s="1188" t="s">
        <v>140</v>
      </c>
      <c r="AA49" s="1188"/>
      <c r="AB49" s="1247"/>
      <c r="AC49" s="1247" t="s">
        <v>342</v>
      </c>
      <c r="AD49" s="1255" t="s">
        <v>343</v>
      </c>
      <c r="AE49" s="1188">
        <v>1.27</v>
      </c>
      <c r="AF49" s="1248">
        <f>I49*AE49</f>
        <v>22225</v>
      </c>
      <c r="AG49" s="1258"/>
      <c r="AH49" s="1234" t="s">
        <v>146</v>
      </c>
      <c r="AI49" s="1234" t="s">
        <v>112</v>
      </c>
      <c r="AJ49" s="1234" t="s">
        <v>113</v>
      </c>
      <c r="AK49" s="1188">
        <f t="shared" si="18"/>
        <v>17500</v>
      </c>
      <c r="AL49" s="1188"/>
      <c r="AM49" s="1188"/>
      <c r="AN49" s="1188">
        <f>I49</f>
        <v>17500</v>
      </c>
      <c r="AO49" s="1188"/>
      <c r="AP49" s="1188"/>
      <c r="AQ49" s="1240"/>
      <c r="AR49" s="1188"/>
      <c r="AS49" s="1260"/>
      <c r="AT49" s="1260"/>
      <c r="AU49" s="1188">
        <f t="shared" si="14"/>
        <v>17500</v>
      </c>
      <c r="AV49" s="1250">
        <f t="shared" si="16"/>
        <v>1050</v>
      </c>
      <c r="AW49" s="1250"/>
      <c r="AX49" s="1188"/>
      <c r="AY49" s="1188"/>
      <c r="AZ49" s="1188"/>
      <c r="BA49" s="1188"/>
      <c r="BB49" s="1188"/>
      <c r="BC49" s="1188"/>
      <c r="BD49" s="1188"/>
      <c r="BE49" s="1188"/>
      <c r="BF49" s="1188"/>
      <c r="BG49" s="1188"/>
      <c r="BH49" s="1188"/>
      <c r="BI49" s="1188"/>
      <c r="BJ49" s="1188"/>
      <c r="BK49" s="1188"/>
      <c r="BL49" s="1188"/>
      <c r="BM49" s="1188"/>
      <c r="BN49" s="1188">
        <f>I49/25</f>
        <v>700</v>
      </c>
      <c r="BO49" s="1240"/>
      <c r="BP49" s="1240"/>
      <c r="BQ49" s="1188"/>
      <c r="BR49" s="1236"/>
      <c r="BS49" s="1188"/>
      <c r="BT49" s="1188"/>
      <c r="BU49" s="1188"/>
      <c r="BV49" s="1240"/>
      <c r="BW49" s="1188"/>
      <c r="BX49" s="1188"/>
      <c r="BY49" s="1188"/>
      <c r="BZ49" s="1188"/>
      <c r="CA49" s="1188"/>
      <c r="CB49" s="1188"/>
      <c r="CC49" s="1188"/>
      <c r="CD49" s="1188">
        <f t="shared" si="0"/>
        <v>700</v>
      </c>
      <c r="CE49" s="1188">
        <f t="shared" si="1"/>
        <v>0</v>
      </c>
      <c r="CF49" s="1188">
        <f t="shared" si="2"/>
        <v>0</v>
      </c>
      <c r="CG49" s="1188">
        <f t="shared" si="3"/>
        <v>0</v>
      </c>
      <c r="CH49" s="1236"/>
      <c r="CI49" s="1236"/>
      <c r="CJ49" s="1236"/>
      <c r="CK49" s="1188"/>
      <c r="CL49" s="1188"/>
    </row>
    <row r="50" s="1168" customFormat="1" customHeight="1" spans="1:90">
      <c r="A50" s="1245">
        <v>46091</v>
      </c>
      <c r="B50" s="1247" t="s">
        <v>163</v>
      </c>
      <c r="C50" s="1234" t="s">
        <v>164</v>
      </c>
      <c r="D50" s="1188">
        <v>4500196046</v>
      </c>
      <c r="E50" s="1234">
        <v>4400549000</v>
      </c>
      <c r="F50" s="1188" t="s">
        <v>344</v>
      </c>
      <c r="G50" s="1253" t="s">
        <v>137</v>
      </c>
      <c r="H50" s="1234" t="s">
        <v>138</v>
      </c>
      <c r="I50" s="1254">
        <v>1000</v>
      </c>
      <c r="J50" s="1234">
        <v>0</v>
      </c>
      <c r="K50" s="1234">
        <v>50</v>
      </c>
      <c r="L50" s="1246">
        <f t="shared" si="15"/>
        <v>20</v>
      </c>
      <c r="M50" s="1255">
        <v>46132</v>
      </c>
      <c r="N50" s="1255">
        <v>46128</v>
      </c>
      <c r="O50" s="1255"/>
      <c r="P50" s="1233"/>
      <c r="Q50" s="1265" t="s">
        <v>267</v>
      </c>
      <c r="R50" s="1234"/>
      <c r="S50" s="1234"/>
      <c r="T50" s="1233">
        <v>1000</v>
      </c>
      <c r="U50" s="1233">
        <f t="shared" si="4"/>
        <v>0</v>
      </c>
      <c r="V50" s="1234" t="s">
        <v>95</v>
      </c>
      <c r="W50" s="1256">
        <v>46097</v>
      </c>
      <c r="X50" s="1257" t="s">
        <v>95</v>
      </c>
      <c r="Y50" s="1257" t="s">
        <v>95</v>
      </c>
      <c r="Z50" s="1188" t="s">
        <v>140</v>
      </c>
      <c r="AA50" s="1188"/>
      <c r="AB50" s="1247"/>
      <c r="AC50" s="1247" t="s">
        <v>345</v>
      </c>
      <c r="AD50" s="1255" t="s">
        <v>142</v>
      </c>
      <c r="AE50" s="1188">
        <v>1.007</v>
      </c>
      <c r="AF50" s="1248">
        <f>I50*AE50</f>
        <v>1007</v>
      </c>
      <c r="AG50" s="1258"/>
      <c r="AH50" s="1264" t="s">
        <v>314</v>
      </c>
      <c r="AI50" s="1234" t="s">
        <v>112</v>
      </c>
      <c r="AJ50" s="1234" t="s">
        <v>113</v>
      </c>
      <c r="AK50" s="1188">
        <f t="shared" si="18"/>
        <v>1000</v>
      </c>
      <c r="AL50" s="1188"/>
      <c r="AM50" s="1188"/>
      <c r="AN50" s="1188"/>
      <c r="AO50" s="1188"/>
      <c r="AP50" s="1188">
        <f>I50</f>
        <v>1000</v>
      </c>
      <c r="AQ50" s="1240"/>
      <c r="AR50" s="1188"/>
      <c r="AS50" s="1260"/>
      <c r="AT50" s="1260"/>
      <c r="AU50" s="1188">
        <f t="shared" si="14"/>
        <v>1000</v>
      </c>
      <c r="AV50" s="1250">
        <f t="shared" si="16"/>
        <v>60</v>
      </c>
      <c r="AW50" s="1250"/>
      <c r="AX50" s="1188"/>
      <c r="AY50" s="1188"/>
      <c r="AZ50" s="1188"/>
      <c r="BA50" s="1188"/>
      <c r="BB50" s="1188"/>
      <c r="BC50" s="1188"/>
      <c r="BD50" s="1188"/>
      <c r="BE50" s="1188"/>
      <c r="BF50" s="1188"/>
      <c r="BG50" s="1188"/>
      <c r="BH50" s="1188"/>
      <c r="BI50" s="1188"/>
      <c r="BJ50" s="1188"/>
      <c r="BK50" s="1188"/>
      <c r="BL50" s="1188"/>
      <c r="BM50" s="1188"/>
      <c r="BN50" s="1188"/>
      <c r="BO50" s="1235">
        <f>I50/25</f>
        <v>40</v>
      </c>
      <c r="BP50" s="1240"/>
      <c r="BQ50" s="1188"/>
      <c r="BR50" s="1236"/>
      <c r="BS50" s="1188"/>
      <c r="BT50" s="1188"/>
      <c r="BU50" s="1188"/>
      <c r="BV50" s="1240"/>
      <c r="BW50" s="1188"/>
      <c r="BX50" s="1188"/>
      <c r="BY50" s="1188"/>
      <c r="BZ50" s="1188"/>
      <c r="CA50" s="1188"/>
      <c r="CB50" s="1188"/>
      <c r="CC50" s="1188"/>
      <c r="CD50" s="1188">
        <f t="shared" si="0"/>
        <v>40</v>
      </c>
      <c r="CE50" s="1188">
        <f t="shared" si="1"/>
        <v>0</v>
      </c>
      <c r="CF50" s="1188">
        <f t="shared" si="2"/>
        <v>0</v>
      </c>
      <c r="CG50" s="1188">
        <f t="shared" si="3"/>
        <v>0</v>
      </c>
      <c r="CH50" s="1236"/>
      <c r="CI50" s="1236"/>
      <c r="CJ50" s="1236"/>
      <c r="CK50" s="1188"/>
      <c r="CL50" s="1188"/>
    </row>
    <row r="51" s="1168" customFormat="1" customHeight="1" spans="1:90">
      <c r="A51" s="1245">
        <v>46087</v>
      </c>
      <c r="B51" s="1247" t="s">
        <v>346</v>
      </c>
      <c r="C51" s="1234" t="s">
        <v>115</v>
      </c>
      <c r="D51" s="1188">
        <v>4500195546</v>
      </c>
      <c r="E51" s="1890" t="s">
        <v>347</v>
      </c>
      <c r="F51" s="1188" t="s">
        <v>348</v>
      </c>
      <c r="G51" s="1253" t="s">
        <v>349</v>
      </c>
      <c r="H51" s="1234" t="s">
        <v>350</v>
      </c>
      <c r="I51" s="1254">
        <v>17280</v>
      </c>
      <c r="J51" s="1234">
        <v>0</v>
      </c>
      <c r="K51" s="1234">
        <v>960</v>
      </c>
      <c r="L51" s="1246">
        <f t="shared" si="15"/>
        <v>18</v>
      </c>
      <c r="M51" s="1255">
        <v>46135</v>
      </c>
      <c r="N51" s="1255">
        <v>46132</v>
      </c>
      <c r="O51" s="1255"/>
      <c r="P51" s="1233" t="s">
        <v>351</v>
      </c>
      <c r="Q51" s="1233" t="s">
        <v>106</v>
      </c>
      <c r="R51" s="1234"/>
      <c r="S51" s="1234"/>
      <c r="T51" s="1233">
        <v>17280</v>
      </c>
      <c r="U51" s="1233">
        <f t="shared" si="4"/>
        <v>0</v>
      </c>
      <c r="V51" s="1234" t="s">
        <v>120</v>
      </c>
      <c r="W51" s="1256">
        <v>46087</v>
      </c>
      <c r="X51" s="1257" t="s">
        <v>95</v>
      </c>
      <c r="Y51" s="1257" t="s">
        <v>352</v>
      </c>
      <c r="Z51" s="1188"/>
      <c r="AA51" s="1188"/>
      <c r="AB51" s="1247"/>
      <c r="AC51" s="1247" t="s">
        <v>353</v>
      </c>
      <c r="AD51" s="1255" t="s">
        <v>354</v>
      </c>
      <c r="AE51" s="1188">
        <v>645.1439</v>
      </c>
      <c r="AF51" s="1248">
        <f>AE51*L51</f>
        <v>11612.5902</v>
      </c>
      <c r="AG51" s="1249" t="s">
        <v>355</v>
      </c>
      <c r="AH51" s="1234" t="s">
        <v>356</v>
      </c>
      <c r="AI51" s="1234" t="s">
        <v>112</v>
      </c>
      <c r="AJ51" s="1234" t="s">
        <v>113</v>
      </c>
      <c r="AK51" s="1188">
        <f t="shared" si="18"/>
        <v>17280</v>
      </c>
      <c r="AL51" s="1188"/>
      <c r="AM51" s="1188"/>
      <c r="AN51" s="1188">
        <f>I51</f>
        <v>17280</v>
      </c>
      <c r="AO51" s="1188"/>
      <c r="AP51" s="1188"/>
      <c r="AQ51" s="1240"/>
      <c r="AR51" s="1188"/>
      <c r="AS51" s="1260"/>
      <c r="AT51" s="1260"/>
      <c r="AU51" s="1188">
        <f t="shared" si="14"/>
        <v>17280</v>
      </c>
      <c r="AV51" s="1250">
        <f t="shared" si="16"/>
        <v>1036.8</v>
      </c>
      <c r="AW51" s="1250"/>
      <c r="AX51" s="1188"/>
      <c r="AY51" s="1188"/>
      <c r="AZ51" s="1188"/>
      <c r="BA51" s="1188"/>
      <c r="BB51" s="1188"/>
      <c r="BC51" s="1188"/>
      <c r="BD51" s="1188"/>
      <c r="BE51" s="1188"/>
      <c r="BF51" s="1188"/>
      <c r="BG51" s="1188"/>
      <c r="BH51" s="1188"/>
      <c r="BI51" s="1188"/>
      <c r="BJ51" s="1188"/>
      <c r="BK51" s="1188"/>
      <c r="BL51" s="1188"/>
      <c r="BM51" s="1188"/>
      <c r="BN51" s="1188"/>
      <c r="BO51" s="1240"/>
      <c r="BP51" s="1240"/>
      <c r="BQ51" s="1188"/>
      <c r="BR51" s="1236">
        <f>I51/16</f>
        <v>1080</v>
      </c>
      <c r="BS51" s="1188"/>
      <c r="BT51" s="1188"/>
      <c r="BU51" s="1188"/>
      <c r="BV51" s="1240"/>
      <c r="BW51" s="1188"/>
      <c r="BX51" s="1188"/>
      <c r="BY51" s="1188"/>
      <c r="BZ51" s="1188"/>
      <c r="CA51" s="1188"/>
      <c r="CB51" s="1188"/>
      <c r="CC51" s="1188"/>
      <c r="CD51" s="1188">
        <f t="shared" si="0"/>
        <v>1080</v>
      </c>
      <c r="CE51" s="1188">
        <f t="shared" si="1"/>
        <v>0</v>
      </c>
      <c r="CF51" s="1188">
        <f t="shared" si="2"/>
        <v>0</v>
      </c>
      <c r="CG51" s="1188">
        <f t="shared" si="3"/>
        <v>0</v>
      </c>
      <c r="CH51" s="1236"/>
      <c r="CI51" s="1236"/>
      <c r="CJ51" s="1236"/>
      <c r="CK51" s="1188"/>
      <c r="CL51" s="1188"/>
    </row>
    <row r="52" s="1168" customFormat="1" customHeight="1" spans="1:90">
      <c r="A52" s="1245">
        <v>46094</v>
      </c>
      <c r="B52" s="1247" t="s">
        <v>100</v>
      </c>
      <c r="C52" s="1234" t="s">
        <v>101</v>
      </c>
      <c r="D52" s="1188">
        <v>4500196745</v>
      </c>
      <c r="E52" s="1234">
        <v>5200009279</v>
      </c>
      <c r="F52" s="1188" t="s">
        <v>357</v>
      </c>
      <c r="G52" s="1253" t="s">
        <v>358</v>
      </c>
      <c r="H52" s="1234" t="s">
        <v>138</v>
      </c>
      <c r="I52" s="1254">
        <v>750</v>
      </c>
      <c r="J52" s="1234">
        <v>0</v>
      </c>
      <c r="K52" s="1234">
        <v>50</v>
      </c>
      <c r="L52" s="1246">
        <f t="shared" si="15"/>
        <v>15</v>
      </c>
      <c r="M52" s="1255">
        <v>46136</v>
      </c>
      <c r="N52" s="1255">
        <v>46132</v>
      </c>
      <c r="O52" s="1255"/>
      <c r="P52" s="1233"/>
      <c r="Q52" s="1233" t="s">
        <v>106</v>
      </c>
      <c r="R52" s="1234"/>
      <c r="S52" s="1234"/>
      <c r="T52" s="1233">
        <v>750</v>
      </c>
      <c r="U52" s="1233">
        <f t="shared" si="4"/>
        <v>0</v>
      </c>
      <c r="V52" s="1234"/>
      <c r="W52" s="1256">
        <v>46099</v>
      </c>
      <c r="X52" s="1257" t="s">
        <v>107</v>
      </c>
      <c r="Y52" s="1257" t="s">
        <v>359</v>
      </c>
      <c r="Z52" s="1247" t="s">
        <v>360</v>
      </c>
      <c r="AA52" s="1247"/>
      <c r="AB52" s="1247"/>
      <c r="AC52" s="1247" t="s">
        <v>361</v>
      </c>
      <c r="AD52" s="1234" t="s">
        <v>362</v>
      </c>
      <c r="AE52" s="1267">
        <v>1.007</v>
      </c>
      <c r="AF52" s="1248">
        <f>I52*AE52</f>
        <v>755.25</v>
      </c>
      <c r="AG52" s="1258"/>
      <c r="AH52" s="1234" t="s">
        <v>188</v>
      </c>
      <c r="AI52" s="1234" t="s">
        <v>112</v>
      </c>
      <c r="AJ52" s="1234" t="s">
        <v>113</v>
      </c>
      <c r="AK52" s="1188">
        <f t="shared" si="18"/>
        <v>750</v>
      </c>
      <c r="AL52" s="1188"/>
      <c r="AM52" s="1188"/>
      <c r="AN52" s="1188">
        <f>I52</f>
        <v>750</v>
      </c>
      <c r="AO52" s="1188"/>
      <c r="AP52" s="1188"/>
      <c r="AQ52" s="1240"/>
      <c r="AR52" s="1188"/>
      <c r="AS52" s="1236"/>
      <c r="AT52" s="1236"/>
      <c r="AU52" s="1188">
        <f t="shared" si="14"/>
        <v>750</v>
      </c>
      <c r="AV52" s="1250">
        <f t="shared" si="16"/>
        <v>45</v>
      </c>
      <c r="AW52" s="1250"/>
      <c r="AX52" s="1188"/>
      <c r="AY52" s="1188"/>
      <c r="AZ52" s="1188"/>
      <c r="BA52" s="1188"/>
      <c r="BB52" s="1188"/>
      <c r="BC52" s="1188"/>
      <c r="BD52" s="1188"/>
      <c r="BE52" s="1188"/>
      <c r="BF52" s="1188"/>
      <c r="BG52" s="1188"/>
      <c r="BH52" s="1188"/>
      <c r="BI52" s="1188"/>
      <c r="BJ52" s="1188"/>
      <c r="BK52" s="1188"/>
      <c r="BL52" s="1188"/>
      <c r="BM52" s="1188"/>
      <c r="BN52" s="1188">
        <f>I52/25</f>
        <v>30</v>
      </c>
      <c r="BO52" s="1240"/>
      <c r="BP52" s="1240"/>
      <c r="BQ52" s="1188"/>
      <c r="BR52" s="1236"/>
      <c r="BS52" s="1188"/>
      <c r="BT52" s="1188"/>
      <c r="BU52" s="1188"/>
      <c r="BV52" s="1240"/>
      <c r="BW52" s="1188"/>
      <c r="BX52" s="1188"/>
      <c r="BY52" s="1188"/>
      <c r="BZ52" s="1188"/>
      <c r="CA52" s="1188"/>
      <c r="CB52" s="1188"/>
      <c r="CC52" s="1188"/>
      <c r="CD52" s="1188">
        <f t="shared" si="0"/>
        <v>30</v>
      </c>
      <c r="CE52" s="1188">
        <f t="shared" si="1"/>
        <v>0</v>
      </c>
      <c r="CF52" s="1188">
        <f t="shared" si="2"/>
        <v>0</v>
      </c>
      <c r="CG52" s="1188">
        <f t="shared" si="3"/>
        <v>0</v>
      </c>
      <c r="CH52" s="1236"/>
      <c r="CI52" s="1236"/>
      <c r="CJ52" s="1236"/>
      <c r="CK52" s="1188"/>
      <c r="CL52" s="1188"/>
    </row>
    <row r="53" s="1168" customFormat="1" customHeight="1" spans="1:90">
      <c r="A53" s="1245">
        <v>46079</v>
      </c>
      <c r="B53" s="1247" t="s">
        <v>114</v>
      </c>
      <c r="C53" s="1234" t="s">
        <v>115</v>
      </c>
      <c r="D53" s="1188">
        <v>4500194290</v>
      </c>
      <c r="E53" s="1234" t="s">
        <v>363</v>
      </c>
      <c r="F53" s="1188" t="s">
        <v>364</v>
      </c>
      <c r="G53" s="1253" t="s">
        <v>118</v>
      </c>
      <c r="H53" s="1234" t="s">
        <v>104</v>
      </c>
      <c r="I53" s="1234">
        <v>4500</v>
      </c>
      <c r="J53" s="1234">
        <v>0</v>
      </c>
      <c r="K53" s="1234">
        <v>25</v>
      </c>
      <c r="L53" s="1246">
        <f t="shared" si="15"/>
        <v>180</v>
      </c>
      <c r="M53" s="1255">
        <v>46136</v>
      </c>
      <c r="N53" s="1255">
        <v>46132</v>
      </c>
      <c r="O53" s="1255"/>
      <c r="P53" s="1233"/>
      <c r="Q53" s="1233" t="s">
        <v>106</v>
      </c>
      <c r="R53" s="1234"/>
      <c r="S53" s="1234"/>
      <c r="T53" s="1233">
        <v>4500</v>
      </c>
      <c r="U53" s="1233">
        <f t="shared" si="4"/>
        <v>0</v>
      </c>
      <c r="V53" s="1234" t="s">
        <v>120</v>
      </c>
      <c r="W53" s="1256" t="s">
        <v>365</v>
      </c>
      <c r="X53" s="1257" t="s">
        <v>107</v>
      </c>
      <c r="Y53" s="1257" t="s">
        <v>366</v>
      </c>
      <c r="Z53" s="1188"/>
      <c r="AA53" s="1188"/>
      <c r="AB53" s="1247"/>
      <c r="AC53" s="1247" t="s">
        <v>367</v>
      </c>
      <c r="AD53" s="1255" t="s">
        <v>123</v>
      </c>
      <c r="AE53" s="1188">
        <v>1.29</v>
      </c>
      <c r="AF53" s="1248">
        <f>I53*AE53</f>
        <v>5805</v>
      </c>
      <c r="AG53" s="1249" t="s">
        <v>368</v>
      </c>
      <c r="AH53" s="1234" t="s">
        <v>118</v>
      </c>
      <c r="AI53" s="1234" t="s">
        <v>112</v>
      </c>
      <c r="AJ53" s="1234" t="s">
        <v>113</v>
      </c>
      <c r="AK53" s="1188"/>
      <c r="AL53" s="1188"/>
      <c r="AM53" s="1188">
        <f>I53</f>
        <v>4500</v>
      </c>
      <c r="AN53" s="1188">
        <f>I53</f>
        <v>4500</v>
      </c>
      <c r="AO53" s="1188"/>
      <c r="AP53" s="1188"/>
      <c r="AQ53" s="1240"/>
      <c r="AR53" s="1188"/>
      <c r="AS53" s="1236"/>
      <c r="AT53" s="1236"/>
      <c r="AU53" s="1188">
        <f t="shared" si="14"/>
        <v>4500</v>
      </c>
      <c r="AV53" s="1250">
        <f t="shared" si="16"/>
        <v>270</v>
      </c>
      <c r="AW53" s="1250"/>
      <c r="AX53" s="1188"/>
      <c r="AY53" s="1188"/>
      <c r="AZ53" s="1188"/>
      <c r="BA53" s="1188"/>
      <c r="BB53" s="1188"/>
      <c r="BC53" s="1188"/>
      <c r="BD53" s="1188"/>
      <c r="BE53" s="1188"/>
      <c r="BF53" s="1188"/>
      <c r="BG53" s="1188"/>
      <c r="BH53" s="1188"/>
      <c r="BI53" s="1188"/>
      <c r="BJ53" s="1188"/>
      <c r="BK53" s="1188"/>
      <c r="BL53" s="1188"/>
      <c r="BM53" s="1188"/>
      <c r="BN53" s="1188"/>
      <c r="BO53" s="1240"/>
      <c r="BP53" s="1240"/>
      <c r="BQ53" s="1188"/>
      <c r="BR53" s="1236"/>
      <c r="BS53" s="1188"/>
      <c r="BT53" s="1188"/>
      <c r="BU53" s="1251">
        <f>I53/25</f>
        <v>180</v>
      </c>
      <c r="BV53" s="1240"/>
      <c r="BW53" s="1188"/>
      <c r="BX53" s="1188"/>
      <c r="BY53" s="1188"/>
      <c r="BZ53" s="1188"/>
      <c r="CA53" s="1188"/>
      <c r="CB53" s="1188"/>
      <c r="CC53" s="1188"/>
      <c r="CD53" s="1188">
        <f t="shared" si="0"/>
        <v>0</v>
      </c>
      <c r="CE53" s="1188">
        <f t="shared" si="1"/>
        <v>180</v>
      </c>
      <c r="CF53" s="1188">
        <f t="shared" si="2"/>
        <v>0</v>
      </c>
      <c r="CG53" s="1188">
        <f t="shared" si="3"/>
        <v>0</v>
      </c>
      <c r="CH53" s="1236"/>
      <c r="CI53" s="1236"/>
      <c r="CJ53" s="1236"/>
      <c r="CK53" s="1188"/>
      <c r="CL53" s="1188"/>
    </row>
    <row r="54" s="1168" customFormat="1" customHeight="1" spans="1:90">
      <c r="A54" s="1245">
        <v>46084</v>
      </c>
      <c r="B54" s="1247" t="s">
        <v>369</v>
      </c>
      <c r="C54" s="1234" t="s">
        <v>370</v>
      </c>
      <c r="D54" s="1188">
        <v>4500194955</v>
      </c>
      <c r="E54" s="1234"/>
      <c r="F54" s="1188" t="s">
        <v>371</v>
      </c>
      <c r="G54" s="1253" t="s">
        <v>174</v>
      </c>
      <c r="H54" s="1234" t="s">
        <v>175</v>
      </c>
      <c r="I54" s="1254">
        <v>624</v>
      </c>
      <c r="J54" s="1234">
        <v>0</v>
      </c>
      <c r="K54" s="1234">
        <v>52</v>
      </c>
      <c r="L54" s="1246">
        <f t="shared" si="15"/>
        <v>12</v>
      </c>
      <c r="M54" s="1255">
        <v>46136</v>
      </c>
      <c r="N54" s="1255">
        <v>46132</v>
      </c>
      <c r="O54" s="1255"/>
      <c r="P54" s="1233"/>
      <c r="Q54" s="1233" t="s">
        <v>106</v>
      </c>
      <c r="R54" s="1234"/>
      <c r="S54" s="1234"/>
      <c r="T54" s="1233">
        <v>624</v>
      </c>
      <c r="U54" s="1233">
        <f t="shared" si="4"/>
        <v>0</v>
      </c>
      <c r="V54" s="1234" t="s">
        <v>120</v>
      </c>
      <c r="W54" s="1256" t="s">
        <v>372</v>
      </c>
      <c r="X54" s="1257" t="s">
        <v>95</v>
      </c>
      <c r="Y54" s="1257" t="s">
        <v>373</v>
      </c>
      <c r="Z54" s="1188"/>
      <c r="AA54" s="1188"/>
      <c r="AB54" s="1247"/>
      <c r="AC54" s="1247" t="s">
        <v>374</v>
      </c>
      <c r="AD54" s="1255" t="s">
        <v>375</v>
      </c>
      <c r="AE54" s="1188">
        <v>1.033</v>
      </c>
      <c r="AF54" s="1248">
        <f t="shared" ref="AF54:AF59" si="19">AE54*I54</f>
        <v>644.592</v>
      </c>
      <c r="AG54" s="1258"/>
      <c r="AH54" s="1253" t="s">
        <v>174</v>
      </c>
      <c r="AI54" s="1234" t="s">
        <v>112</v>
      </c>
      <c r="AJ54" s="1234" t="s">
        <v>113</v>
      </c>
      <c r="AK54" s="1188">
        <f>I54</f>
        <v>624</v>
      </c>
      <c r="AL54" s="1188"/>
      <c r="AM54" s="1188"/>
      <c r="AN54" s="1188">
        <f>I54</f>
        <v>624</v>
      </c>
      <c r="AO54" s="1188"/>
      <c r="AP54" s="1188"/>
      <c r="AQ54" s="1240"/>
      <c r="AR54" s="1188"/>
      <c r="AS54" s="1260"/>
      <c r="AT54" s="1260"/>
      <c r="AU54" s="1188">
        <f t="shared" si="14"/>
        <v>624</v>
      </c>
      <c r="AV54" s="1250">
        <f t="shared" si="16"/>
        <v>37.44</v>
      </c>
      <c r="AW54" s="1250"/>
      <c r="AX54" s="1188"/>
      <c r="AY54" s="1188"/>
      <c r="AZ54" s="1188"/>
      <c r="BA54" s="1188"/>
      <c r="BB54" s="1188"/>
      <c r="BC54" s="1188"/>
      <c r="BD54" s="1188"/>
      <c r="BE54" s="1188"/>
      <c r="BF54" s="1188"/>
      <c r="BG54" s="1188"/>
      <c r="BH54" s="1188"/>
      <c r="BI54" s="1188"/>
      <c r="BJ54" s="1188"/>
      <c r="BK54" s="1188">
        <f>I54/13</f>
        <v>48</v>
      </c>
      <c r="BL54" s="1188"/>
      <c r="BM54" s="1188"/>
      <c r="BN54" s="1188"/>
      <c r="BO54" s="1240"/>
      <c r="BP54" s="1240"/>
      <c r="BQ54" s="1188"/>
      <c r="BR54" s="1236"/>
      <c r="BS54" s="1188"/>
      <c r="BT54" s="1188"/>
      <c r="BU54" s="1188"/>
      <c r="BV54" s="1240"/>
      <c r="BW54" s="1188"/>
      <c r="BX54" s="1188"/>
      <c r="BY54" s="1188"/>
      <c r="BZ54" s="1188"/>
      <c r="CA54" s="1188"/>
      <c r="CB54" s="1188"/>
      <c r="CC54" s="1188"/>
      <c r="CD54" s="1188">
        <f t="shared" si="0"/>
        <v>0</v>
      </c>
      <c r="CE54" s="1188">
        <f t="shared" si="1"/>
        <v>0</v>
      </c>
      <c r="CF54" s="1188">
        <f t="shared" si="2"/>
        <v>0</v>
      </c>
      <c r="CG54" s="1188">
        <f t="shared" si="3"/>
        <v>0</v>
      </c>
      <c r="CH54" s="1236"/>
      <c r="CI54" s="1236"/>
      <c r="CJ54" s="1236"/>
      <c r="CK54" s="1188"/>
      <c r="CL54" s="1188"/>
    </row>
    <row r="55" s="1168" customFormat="1" customHeight="1" spans="1:90">
      <c r="A55" s="1245">
        <v>46084</v>
      </c>
      <c r="B55" s="1247" t="s">
        <v>369</v>
      </c>
      <c r="C55" s="1234" t="s">
        <v>370</v>
      </c>
      <c r="D55" s="1188">
        <v>4500194955</v>
      </c>
      <c r="E55" s="1234"/>
      <c r="F55" s="1188" t="s">
        <v>376</v>
      </c>
      <c r="G55" s="1253" t="s">
        <v>188</v>
      </c>
      <c r="H55" s="1234" t="s">
        <v>138</v>
      </c>
      <c r="I55" s="1254">
        <v>750</v>
      </c>
      <c r="J55" s="1234">
        <v>0</v>
      </c>
      <c r="K55" s="1234">
        <v>50</v>
      </c>
      <c r="L55" s="1246">
        <f t="shared" si="15"/>
        <v>15</v>
      </c>
      <c r="M55" s="1255">
        <v>46136</v>
      </c>
      <c r="N55" s="1255">
        <v>46132</v>
      </c>
      <c r="O55" s="1255"/>
      <c r="P55" s="1233"/>
      <c r="Q55" s="1233" t="s">
        <v>106</v>
      </c>
      <c r="R55" s="1234"/>
      <c r="S55" s="1234"/>
      <c r="T55" s="1233">
        <v>750</v>
      </c>
      <c r="U55" s="1233">
        <f t="shared" si="4"/>
        <v>0</v>
      </c>
      <c r="V55" s="1234" t="s">
        <v>120</v>
      </c>
      <c r="W55" s="1256" t="s">
        <v>372</v>
      </c>
      <c r="X55" s="1257" t="s">
        <v>95</v>
      </c>
      <c r="Y55" s="1257" t="s">
        <v>373</v>
      </c>
      <c r="Z55" s="1188"/>
      <c r="AA55" s="1188"/>
      <c r="AB55" s="1247"/>
      <c r="AC55" s="1247" t="s">
        <v>377</v>
      </c>
      <c r="AD55" s="1255" t="s">
        <v>375</v>
      </c>
      <c r="AE55" s="1188">
        <v>1.007</v>
      </c>
      <c r="AF55" s="1248">
        <f t="shared" si="19"/>
        <v>755.25</v>
      </c>
      <c r="AG55" s="1258"/>
      <c r="AH55" s="1234" t="s">
        <v>188</v>
      </c>
      <c r="AI55" s="1234" t="s">
        <v>112</v>
      </c>
      <c r="AJ55" s="1234" t="s">
        <v>113</v>
      </c>
      <c r="AK55" s="1188">
        <f>I55</f>
        <v>750</v>
      </c>
      <c r="AL55" s="1188"/>
      <c r="AM55" s="1188"/>
      <c r="AN55" s="1188">
        <f>I55</f>
        <v>750</v>
      </c>
      <c r="AO55" s="1188"/>
      <c r="AP55" s="1188"/>
      <c r="AQ55" s="1240"/>
      <c r="AR55" s="1188"/>
      <c r="AS55" s="1168"/>
      <c r="AT55" s="1168"/>
      <c r="AU55" s="1188">
        <f t="shared" si="14"/>
        <v>750</v>
      </c>
      <c r="AV55" s="1250">
        <f t="shared" si="16"/>
        <v>45</v>
      </c>
      <c r="AW55" s="1250"/>
      <c r="AX55" s="1188"/>
      <c r="AY55" s="1188"/>
      <c r="AZ55" s="1188"/>
      <c r="BA55" s="1188"/>
      <c r="BB55" s="1188"/>
      <c r="BC55" s="1188"/>
      <c r="BD55" s="1188"/>
      <c r="BE55" s="1188"/>
      <c r="BF55" s="1188"/>
      <c r="BG55" s="1188"/>
      <c r="BH55" s="1188"/>
      <c r="BI55" s="1188"/>
      <c r="BJ55" s="1188"/>
      <c r="BK55" s="1188"/>
      <c r="BL55" s="1188"/>
      <c r="BM55" s="1188"/>
      <c r="BN55" s="1188">
        <f>I55/25</f>
        <v>30</v>
      </c>
      <c r="BO55" s="1240"/>
      <c r="BP55" s="1240"/>
      <c r="BQ55" s="1188"/>
      <c r="BR55" s="1236"/>
      <c r="BS55" s="1188"/>
      <c r="BT55" s="1188"/>
      <c r="BU55" s="1188"/>
      <c r="BV55" s="1240"/>
      <c r="BW55" s="1188"/>
      <c r="BX55" s="1188"/>
      <c r="BY55" s="1188"/>
      <c r="BZ55" s="1188"/>
      <c r="CA55" s="1188"/>
      <c r="CB55" s="1188"/>
      <c r="CC55" s="1188"/>
      <c r="CD55" s="1188">
        <f t="shared" si="0"/>
        <v>30</v>
      </c>
      <c r="CE55" s="1188">
        <f t="shared" si="1"/>
        <v>0</v>
      </c>
      <c r="CF55" s="1188">
        <f t="shared" si="2"/>
        <v>0</v>
      </c>
      <c r="CG55" s="1188">
        <f t="shared" si="3"/>
        <v>0</v>
      </c>
      <c r="CH55" s="1236"/>
      <c r="CI55" s="1236"/>
      <c r="CJ55" s="1236"/>
      <c r="CK55" s="1188"/>
      <c r="CL55" s="1188"/>
    </row>
    <row r="56" s="1168" customFormat="1" customHeight="1" spans="1:90">
      <c r="A56" s="1245">
        <v>46090</v>
      </c>
      <c r="B56" s="1247" t="s">
        <v>378</v>
      </c>
      <c r="C56" s="1234" t="s">
        <v>201</v>
      </c>
      <c r="D56" s="1188">
        <v>4500195369</v>
      </c>
      <c r="E56" s="1234">
        <v>7000991882</v>
      </c>
      <c r="F56" s="1188" t="s">
        <v>379</v>
      </c>
      <c r="G56" s="1253" t="s">
        <v>380</v>
      </c>
      <c r="H56" s="1234" t="s">
        <v>381</v>
      </c>
      <c r="I56" s="1254">
        <v>6480</v>
      </c>
      <c r="J56" s="1234">
        <v>0</v>
      </c>
      <c r="K56" s="1234">
        <v>16</v>
      </c>
      <c r="L56" s="1246">
        <f t="shared" si="15"/>
        <v>405</v>
      </c>
      <c r="M56" s="1255">
        <v>46136</v>
      </c>
      <c r="N56" s="1255">
        <v>46132</v>
      </c>
      <c r="O56" s="1255"/>
      <c r="P56" s="1233" t="s">
        <v>382</v>
      </c>
      <c r="Q56" s="1233" t="s">
        <v>106</v>
      </c>
      <c r="R56" s="1234"/>
      <c r="S56" s="1234"/>
      <c r="T56" s="1233">
        <v>6480</v>
      </c>
      <c r="U56" s="1233">
        <f t="shared" si="4"/>
        <v>0</v>
      </c>
      <c r="V56" s="1234"/>
      <c r="W56" s="1256">
        <v>46098</v>
      </c>
      <c r="X56" s="1257" t="s">
        <v>95</v>
      </c>
      <c r="Y56" s="1257" t="s">
        <v>95</v>
      </c>
      <c r="Z56" s="1188"/>
      <c r="AA56" s="1188"/>
      <c r="AB56" s="1247"/>
      <c r="AC56" s="1247" t="s">
        <v>383</v>
      </c>
      <c r="AD56" s="1255" t="s">
        <v>384</v>
      </c>
      <c r="AE56" s="1188">
        <v>1.3</v>
      </c>
      <c r="AF56" s="1248">
        <f t="shared" si="19"/>
        <v>8424</v>
      </c>
      <c r="AG56" s="1258"/>
      <c r="AH56" s="1234" t="s">
        <v>385</v>
      </c>
      <c r="AI56" s="1234" t="s">
        <v>112</v>
      </c>
      <c r="AJ56" s="1234" t="s">
        <v>113</v>
      </c>
      <c r="AK56" s="1188">
        <f>I56</f>
        <v>6480</v>
      </c>
      <c r="AL56" s="1188"/>
      <c r="AM56" s="1188"/>
      <c r="AN56" s="1188"/>
      <c r="AO56" s="1188"/>
      <c r="AP56" s="1188"/>
      <c r="AQ56" s="1240"/>
      <c r="AR56" s="1188"/>
      <c r="AS56" s="1236">
        <f>I56</f>
        <v>6480</v>
      </c>
      <c r="AT56" s="1236"/>
      <c r="AU56" s="1188">
        <f t="shared" si="14"/>
        <v>6480</v>
      </c>
      <c r="AV56" s="1250">
        <f t="shared" si="16"/>
        <v>388.8</v>
      </c>
      <c r="AW56" s="1250"/>
      <c r="AX56" s="1188"/>
      <c r="AY56" s="1188"/>
      <c r="AZ56" s="1188"/>
      <c r="BA56" s="1188"/>
      <c r="BB56" s="1188"/>
      <c r="BC56" s="1188"/>
      <c r="BD56" s="1188"/>
      <c r="BE56" s="1188"/>
      <c r="BF56" s="1188"/>
      <c r="BG56" s="1188"/>
      <c r="BH56" s="1188"/>
      <c r="BI56" s="1188"/>
      <c r="BJ56" s="1188"/>
      <c r="BK56" s="1188"/>
      <c r="BL56" s="1188"/>
      <c r="BM56" s="1188"/>
      <c r="BN56" s="1188"/>
      <c r="BO56" s="1240"/>
      <c r="BP56" s="1240"/>
      <c r="BQ56" s="1188"/>
      <c r="BR56" s="1236"/>
      <c r="BS56" s="1188">
        <f>I56/16</f>
        <v>405</v>
      </c>
      <c r="BT56" s="1188"/>
      <c r="BU56" s="1188"/>
      <c r="BV56" s="1240"/>
      <c r="BW56" s="1188"/>
      <c r="BX56" s="1188"/>
      <c r="BY56" s="1188"/>
      <c r="BZ56" s="1188"/>
      <c r="CA56" s="1188"/>
      <c r="CB56" s="1188"/>
      <c r="CC56" s="1188"/>
      <c r="CD56" s="1188">
        <f t="shared" si="0"/>
        <v>405</v>
      </c>
      <c r="CE56" s="1188">
        <f t="shared" si="1"/>
        <v>0</v>
      </c>
      <c r="CF56" s="1188">
        <f t="shared" si="2"/>
        <v>0</v>
      </c>
      <c r="CG56" s="1188">
        <f t="shared" si="3"/>
        <v>0</v>
      </c>
      <c r="CH56" s="1236"/>
      <c r="CI56" s="1236"/>
      <c r="CJ56" s="1236"/>
      <c r="CK56" s="1188"/>
      <c r="CL56" s="1188"/>
    </row>
    <row r="57" s="1168" customFormat="1" customHeight="1" spans="1:90">
      <c r="A57" s="1245">
        <v>46090</v>
      </c>
      <c r="B57" s="1247" t="s">
        <v>386</v>
      </c>
      <c r="C57" s="1234" t="s">
        <v>115</v>
      </c>
      <c r="D57" s="1188">
        <v>4500195252</v>
      </c>
      <c r="E57" s="1234" t="s">
        <v>387</v>
      </c>
      <c r="F57" s="1188" t="s">
        <v>388</v>
      </c>
      <c r="G57" s="1253" t="s">
        <v>389</v>
      </c>
      <c r="H57" s="1234" t="s">
        <v>390</v>
      </c>
      <c r="I57" s="1254">
        <v>9012</v>
      </c>
      <c r="J57" s="1234">
        <v>0</v>
      </c>
      <c r="K57" s="1234">
        <v>12</v>
      </c>
      <c r="L57" s="1246">
        <f t="shared" si="15"/>
        <v>751</v>
      </c>
      <c r="M57" s="1255">
        <v>46136</v>
      </c>
      <c r="N57" s="1255">
        <v>46132</v>
      </c>
      <c r="O57" s="1255"/>
      <c r="P57" s="1233"/>
      <c r="Q57" s="1233" t="s">
        <v>267</v>
      </c>
      <c r="R57" s="1234"/>
      <c r="S57" s="1234"/>
      <c r="T57" s="1233">
        <v>9012</v>
      </c>
      <c r="U57" s="1233">
        <f t="shared" si="4"/>
        <v>0</v>
      </c>
      <c r="V57" s="1234" t="s">
        <v>120</v>
      </c>
      <c r="W57" s="1256">
        <v>46090</v>
      </c>
      <c r="X57" s="1257" t="s">
        <v>107</v>
      </c>
      <c r="Y57" s="1257" t="s">
        <v>391</v>
      </c>
      <c r="Z57" s="1188"/>
      <c r="AA57" s="1188"/>
      <c r="AB57" s="1247"/>
      <c r="AC57" s="1247" t="s">
        <v>392</v>
      </c>
      <c r="AD57" s="1255" t="s">
        <v>393</v>
      </c>
      <c r="AE57" s="1188">
        <v>1.374</v>
      </c>
      <c r="AF57" s="1248">
        <f t="shared" si="19"/>
        <v>12382.488</v>
      </c>
      <c r="AG57" s="1249" t="s">
        <v>394</v>
      </c>
      <c r="AH57" s="1234" t="s">
        <v>389</v>
      </c>
      <c r="AI57" s="1234" t="s">
        <v>112</v>
      </c>
      <c r="AJ57" s="1234" t="s">
        <v>113</v>
      </c>
      <c r="AK57" s="1188">
        <f>I57*2</f>
        <v>18024</v>
      </c>
      <c r="AL57" s="1188"/>
      <c r="AM57" s="1188"/>
      <c r="AN57" s="1188"/>
      <c r="AO57" s="1188"/>
      <c r="AP57" s="1188"/>
      <c r="AQ57" s="1240">
        <f>I57*2</f>
        <v>18024</v>
      </c>
      <c r="AR57" s="1188"/>
      <c r="AS57" s="1260"/>
      <c r="AT57" s="1260"/>
      <c r="AU57" s="1188">
        <f>I57*2</f>
        <v>18024</v>
      </c>
      <c r="AV57" s="1250">
        <f>I57*0.06*2</f>
        <v>1081.44</v>
      </c>
      <c r="AW57" s="1250"/>
      <c r="AX57" s="1188"/>
      <c r="AY57" s="1188"/>
      <c r="AZ57" s="1188"/>
      <c r="BA57" s="1188"/>
      <c r="BB57" s="1188"/>
      <c r="BC57" s="1188"/>
      <c r="BD57" s="1188"/>
      <c r="BE57" s="1188"/>
      <c r="BF57" s="1188"/>
      <c r="BG57" s="1188"/>
      <c r="BH57" s="1188"/>
      <c r="BI57" s="1188"/>
      <c r="BJ57" s="1188"/>
      <c r="BK57" s="1188"/>
      <c r="BL57" s="1188"/>
      <c r="BM57" s="1188"/>
      <c r="BN57" s="1188"/>
      <c r="BO57" s="1240"/>
      <c r="BP57" s="1240"/>
      <c r="BQ57" s="1188"/>
      <c r="BR57" s="1236"/>
      <c r="BS57" s="1188"/>
      <c r="BT57" s="1188"/>
      <c r="BU57" s="1188"/>
      <c r="BV57" s="1240"/>
      <c r="BW57" s="1188"/>
      <c r="BX57" s="1188"/>
      <c r="BY57" s="1188"/>
      <c r="BZ57" s="1188"/>
      <c r="CA57" s="1188"/>
      <c r="CB57" s="1188"/>
      <c r="CC57" s="1188"/>
      <c r="CD57" s="1188">
        <f t="shared" si="0"/>
        <v>0</v>
      </c>
      <c r="CE57" s="1188">
        <f t="shared" si="1"/>
        <v>0</v>
      </c>
      <c r="CF57" s="1188">
        <f t="shared" si="2"/>
        <v>0</v>
      </c>
      <c r="CG57" s="1188">
        <f t="shared" si="3"/>
        <v>0</v>
      </c>
      <c r="CH57" s="1236"/>
      <c r="CI57" s="1236"/>
      <c r="CJ57" s="1236">
        <f>I57</f>
        <v>9012</v>
      </c>
      <c r="CK57" s="1188">
        <f>I57</f>
        <v>9012</v>
      </c>
      <c r="CL57" s="1188">
        <f>I57</f>
        <v>9012</v>
      </c>
    </row>
    <row r="58" s="1168" customFormat="1" customHeight="1" spans="1:90">
      <c r="A58" s="1245">
        <v>46090</v>
      </c>
      <c r="B58" s="1247" t="s">
        <v>386</v>
      </c>
      <c r="C58" s="1234" t="s">
        <v>115</v>
      </c>
      <c r="D58" s="1188">
        <v>4500195266</v>
      </c>
      <c r="E58" s="1234" t="s">
        <v>395</v>
      </c>
      <c r="F58" s="1188" t="s">
        <v>396</v>
      </c>
      <c r="G58" s="1253" t="s">
        <v>389</v>
      </c>
      <c r="H58" s="1234" t="s">
        <v>390</v>
      </c>
      <c r="I58" s="1254">
        <v>7116</v>
      </c>
      <c r="J58" s="1234">
        <v>0</v>
      </c>
      <c r="K58" s="1234">
        <v>12</v>
      </c>
      <c r="L58" s="1246">
        <f t="shared" si="15"/>
        <v>593</v>
      </c>
      <c r="M58" s="1255">
        <v>46136</v>
      </c>
      <c r="N58" s="1255">
        <v>46132</v>
      </c>
      <c r="O58" s="1255"/>
      <c r="P58" s="1233"/>
      <c r="Q58" s="1233" t="s">
        <v>267</v>
      </c>
      <c r="R58" s="1234"/>
      <c r="S58" s="1234"/>
      <c r="T58" s="1233">
        <v>7116</v>
      </c>
      <c r="U58" s="1233">
        <f t="shared" si="4"/>
        <v>0</v>
      </c>
      <c r="V58" s="1234" t="s">
        <v>120</v>
      </c>
      <c r="W58" s="1256">
        <v>46090</v>
      </c>
      <c r="X58" s="1257" t="s">
        <v>107</v>
      </c>
      <c r="Y58" s="1257" t="s">
        <v>391</v>
      </c>
      <c r="Z58" s="1188"/>
      <c r="AA58" s="1188"/>
      <c r="AB58" s="1247"/>
      <c r="AC58" s="1247" t="s">
        <v>397</v>
      </c>
      <c r="AD58" s="1255" t="s">
        <v>393</v>
      </c>
      <c r="AE58" s="1188">
        <v>1.374</v>
      </c>
      <c r="AF58" s="1248">
        <f t="shared" si="19"/>
        <v>9777.384</v>
      </c>
      <c r="AG58" s="1249" t="s">
        <v>398</v>
      </c>
      <c r="AH58" s="1234" t="s">
        <v>389</v>
      </c>
      <c r="AI58" s="1234" t="s">
        <v>112</v>
      </c>
      <c r="AJ58" s="1234" t="s">
        <v>113</v>
      </c>
      <c r="AK58" s="1188">
        <f>I58*2</f>
        <v>14232</v>
      </c>
      <c r="AL58" s="1188"/>
      <c r="AM58" s="1188"/>
      <c r="AN58" s="1188"/>
      <c r="AO58" s="1188"/>
      <c r="AP58" s="1188"/>
      <c r="AQ58" s="1240">
        <f>I58*2</f>
        <v>14232</v>
      </c>
      <c r="AR58" s="1188"/>
      <c r="AS58" s="1236"/>
      <c r="AT58" s="1236"/>
      <c r="AU58" s="1188">
        <f>I58*2</f>
        <v>14232</v>
      </c>
      <c r="AV58" s="1250">
        <f>I58*0.06*2</f>
        <v>853.92</v>
      </c>
      <c r="AW58" s="1250"/>
      <c r="AX58" s="1188"/>
      <c r="AY58" s="1188"/>
      <c r="AZ58" s="1188"/>
      <c r="BA58" s="1188"/>
      <c r="BB58" s="1188"/>
      <c r="BC58" s="1188"/>
      <c r="BD58" s="1188"/>
      <c r="BE58" s="1188"/>
      <c r="BF58" s="1188"/>
      <c r="BG58" s="1188"/>
      <c r="BH58" s="1188"/>
      <c r="BI58" s="1188"/>
      <c r="BJ58" s="1188"/>
      <c r="BK58" s="1188"/>
      <c r="BL58" s="1188"/>
      <c r="BM58" s="1188"/>
      <c r="BN58" s="1188"/>
      <c r="BO58" s="1240"/>
      <c r="BP58" s="1240"/>
      <c r="BQ58" s="1188"/>
      <c r="BR58" s="1236"/>
      <c r="BS58" s="1188"/>
      <c r="BT58" s="1188"/>
      <c r="BU58" s="1188"/>
      <c r="BV58" s="1240"/>
      <c r="BW58" s="1188"/>
      <c r="BX58" s="1188"/>
      <c r="BY58" s="1188"/>
      <c r="BZ58" s="1188"/>
      <c r="CA58" s="1188"/>
      <c r="CB58" s="1188"/>
      <c r="CC58" s="1188"/>
      <c r="CD58" s="1188">
        <f t="shared" si="0"/>
        <v>0</v>
      </c>
      <c r="CE58" s="1188">
        <f t="shared" si="1"/>
        <v>0</v>
      </c>
      <c r="CF58" s="1188">
        <f t="shared" si="2"/>
        <v>0</v>
      </c>
      <c r="CG58" s="1188">
        <f t="shared" si="3"/>
        <v>0</v>
      </c>
      <c r="CH58" s="1236"/>
      <c r="CI58" s="1236"/>
      <c r="CJ58" s="1236">
        <f>I58</f>
        <v>7116</v>
      </c>
      <c r="CK58" s="1188">
        <f>I58</f>
        <v>7116</v>
      </c>
      <c r="CL58" s="1188">
        <f>I58</f>
        <v>7116</v>
      </c>
    </row>
    <row r="59" s="1168" customFormat="1" customHeight="1" spans="1:90">
      <c r="A59" s="1245">
        <v>46090</v>
      </c>
      <c r="B59" s="1247" t="s">
        <v>386</v>
      </c>
      <c r="C59" s="1234" t="s">
        <v>115</v>
      </c>
      <c r="D59" s="1188">
        <v>4500195258</v>
      </c>
      <c r="E59" s="1234" t="s">
        <v>399</v>
      </c>
      <c r="F59" s="1188" t="s">
        <v>400</v>
      </c>
      <c r="G59" s="1253" t="s">
        <v>389</v>
      </c>
      <c r="H59" s="1234" t="s">
        <v>390</v>
      </c>
      <c r="I59" s="1254">
        <v>7464</v>
      </c>
      <c r="J59" s="1234">
        <v>0</v>
      </c>
      <c r="K59" s="1234">
        <v>12</v>
      </c>
      <c r="L59" s="1246">
        <f t="shared" si="15"/>
        <v>622</v>
      </c>
      <c r="M59" s="1255">
        <v>46136</v>
      </c>
      <c r="N59" s="1255">
        <v>46132</v>
      </c>
      <c r="O59" s="1255"/>
      <c r="P59" s="1233"/>
      <c r="Q59" s="1233" t="s">
        <v>267</v>
      </c>
      <c r="R59" s="1234"/>
      <c r="S59" s="1234"/>
      <c r="T59" s="1233">
        <v>7464</v>
      </c>
      <c r="U59" s="1233">
        <f t="shared" si="4"/>
        <v>0</v>
      </c>
      <c r="V59" s="1234" t="s">
        <v>120</v>
      </c>
      <c r="W59" s="1256">
        <v>46090</v>
      </c>
      <c r="X59" s="1257" t="s">
        <v>107</v>
      </c>
      <c r="Y59" s="1257" t="s">
        <v>391</v>
      </c>
      <c r="Z59" s="1188"/>
      <c r="AA59" s="1188"/>
      <c r="AB59" s="1247"/>
      <c r="AC59" s="1247" t="s">
        <v>401</v>
      </c>
      <c r="AD59" s="1255" t="s">
        <v>393</v>
      </c>
      <c r="AE59" s="1188">
        <v>1.374</v>
      </c>
      <c r="AF59" s="1248">
        <f t="shared" si="19"/>
        <v>10255.536</v>
      </c>
      <c r="AG59" s="1249" t="s">
        <v>402</v>
      </c>
      <c r="AH59" s="1234" t="s">
        <v>389</v>
      </c>
      <c r="AI59" s="1234" t="s">
        <v>112</v>
      </c>
      <c r="AJ59" s="1234" t="s">
        <v>113</v>
      </c>
      <c r="AK59" s="1188">
        <f>I59*2</f>
        <v>14928</v>
      </c>
      <c r="AL59" s="1188"/>
      <c r="AM59" s="1188"/>
      <c r="AN59" s="1188"/>
      <c r="AO59" s="1188"/>
      <c r="AP59" s="1188"/>
      <c r="AQ59" s="1240">
        <f>I59*2</f>
        <v>14928</v>
      </c>
      <c r="AR59" s="1188"/>
      <c r="AS59" s="1260"/>
      <c r="AT59" s="1260"/>
      <c r="AU59" s="1188">
        <f>I59*2</f>
        <v>14928</v>
      </c>
      <c r="AV59" s="1250">
        <f>I59*0.06*2</f>
        <v>895.68</v>
      </c>
      <c r="AW59" s="1250"/>
      <c r="AX59" s="1188"/>
      <c r="AY59" s="1188"/>
      <c r="AZ59" s="1188"/>
      <c r="BA59" s="1188"/>
      <c r="BB59" s="1188"/>
      <c r="BC59" s="1188"/>
      <c r="BD59" s="1188"/>
      <c r="BE59" s="1188"/>
      <c r="BF59" s="1188"/>
      <c r="BG59" s="1188"/>
      <c r="BH59" s="1188"/>
      <c r="BI59" s="1188"/>
      <c r="BJ59" s="1188"/>
      <c r="BK59" s="1188"/>
      <c r="BL59" s="1188"/>
      <c r="BM59" s="1188"/>
      <c r="BN59" s="1188"/>
      <c r="BO59" s="1240"/>
      <c r="BP59" s="1240"/>
      <c r="BQ59" s="1188"/>
      <c r="BR59" s="1236"/>
      <c r="BS59" s="1188"/>
      <c r="BT59" s="1188"/>
      <c r="BU59" s="1188"/>
      <c r="BV59" s="1240"/>
      <c r="BW59" s="1188"/>
      <c r="BX59" s="1188"/>
      <c r="BY59" s="1188"/>
      <c r="BZ59" s="1188"/>
      <c r="CA59" s="1188"/>
      <c r="CB59" s="1188"/>
      <c r="CC59" s="1188"/>
      <c r="CD59" s="1188">
        <f t="shared" si="0"/>
        <v>0</v>
      </c>
      <c r="CE59" s="1188">
        <f t="shared" si="1"/>
        <v>0</v>
      </c>
      <c r="CF59" s="1188">
        <f t="shared" si="2"/>
        <v>0</v>
      </c>
      <c r="CG59" s="1188">
        <f t="shared" si="3"/>
        <v>0</v>
      </c>
      <c r="CH59" s="1236"/>
      <c r="CI59" s="1236"/>
      <c r="CJ59" s="1236">
        <f>I59</f>
        <v>7464</v>
      </c>
      <c r="CK59" s="1188">
        <f>I59</f>
        <v>7464</v>
      </c>
      <c r="CL59" s="1188">
        <f>I59</f>
        <v>7464</v>
      </c>
    </row>
    <row r="60" s="1168" customFormat="1" customHeight="1" spans="1:90">
      <c r="A60" s="1245">
        <v>46051</v>
      </c>
      <c r="B60" s="1247" t="s">
        <v>386</v>
      </c>
      <c r="C60" s="1234" t="s">
        <v>115</v>
      </c>
      <c r="D60" s="1188">
        <v>4500195261</v>
      </c>
      <c r="E60" s="1234" t="s">
        <v>403</v>
      </c>
      <c r="F60" s="1188" t="s">
        <v>404</v>
      </c>
      <c r="G60" s="1253" t="s">
        <v>389</v>
      </c>
      <c r="H60" s="1234" t="s">
        <v>390</v>
      </c>
      <c r="I60" s="1254">
        <v>9156</v>
      </c>
      <c r="J60" s="1234">
        <v>0</v>
      </c>
      <c r="K60" s="1234">
        <v>12</v>
      </c>
      <c r="L60" s="1246">
        <f t="shared" si="15"/>
        <v>763</v>
      </c>
      <c r="M60" s="1255">
        <v>46136</v>
      </c>
      <c r="N60" s="1255">
        <f>M60-4</f>
        <v>46132</v>
      </c>
      <c r="O60" s="1255"/>
      <c r="P60" s="1233" t="s">
        <v>405</v>
      </c>
      <c r="Q60" s="1233" t="s">
        <v>267</v>
      </c>
      <c r="R60" s="1234"/>
      <c r="S60" s="1234"/>
      <c r="T60" s="1233">
        <v>9156</v>
      </c>
      <c r="U60" s="1233">
        <f t="shared" si="4"/>
        <v>0</v>
      </c>
      <c r="V60" s="1234" t="s">
        <v>120</v>
      </c>
      <c r="W60" s="1256">
        <v>46051</v>
      </c>
      <c r="X60" s="1257" t="s">
        <v>107</v>
      </c>
      <c r="Y60" s="1257" t="s">
        <v>391</v>
      </c>
      <c r="Z60" s="1188"/>
      <c r="AA60" s="1188"/>
      <c r="AB60" s="1247"/>
      <c r="AC60" s="1247" t="s">
        <v>406</v>
      </c>
      <c r="AD60" s="1255" t="s">
        <v>393</v>
      </c>
      <c r="AE60" s="1188">
        <v>1.374</v>
      </c>
      <c r="AF60" s="1248">
        <f>I60*AE60</f>
        <v>12580.344</v>
      </c>
      <c r="AG60" s="1249" t="s">
        <v>407</v>
      </c>
      <c r="AH60" s="1234" t="s">
        <v>389</v>
      </c>
      <c r="AI60" s="1234" t="s">
        <v>112</v>
      </c>
      <c r="AJ60" s="1234" t="s">
        <v>113</v>
      </c>
      <c r="AK60" s="1188">
        <f>I60*2</f>
        <v>18312</v>
      </c>
      <c r="AL60" s="1188"/>
      <c r="AM60" s="1188"/>
      <c r="AN60" s="1188"/>
      <c r="AO60" s="1188"/>
      <c r="AP60" s="1188"/>
      <c r="AQ60" s="1240">
        <f>I60*2</f>
        <v>18312</v>
      </c>
      <c r="AR60" s="1188"/>
      <c r="AS60" s="1236"/>
      <c r="AT60" s="1236"/>
      <c r="AU60" s="1188">
        <f>I60*2</f>
        <v>18312</v>
      </c>
      <c r="AV60" s="1250">
        <f>I60*0.06*2</f>
        <v>1098.72</v>
      </c>
      <c r="AW60" s="1250"/>
      <c r="AX60" s="1188"/>
      <c r="AY60" s="1188"/>
      <c r="AZ60" s="1188"/>
      <c r="BA60" s="1188"/>
      <c r="BB60" s="1188"/>
      <c r="BC60" s="1188"/>
      <c r="BD60" s="1188"/>
      <c r="BE60" s="1188"/>
      <c r="BF60" s="1188"/>
      <c r="BG60" s="1188"/>
      <c r="BH60" s="1188"/>
      <c r="BI60" s="1188"/>
      <c r="BJ60" s="1188"/>
      <c r="BK60" s="1188"/>
      <c r="BL60" s="1188"/>
      <c r="BM60" s="1188"/>
      <c r="BN60" s="1188"/>
      <c r="BO60" s="1240"/>
      <c r="BP60" s="1240"/>
      <c r="BQ60" s="1188"/>
      <c r="BR60" s="1236"/>
      <c r="BS60" s="1188"/>
      <c r="BT60" s="1188"/>
      <c r="BU60" s="1188"/>
      <c r="BV60" s="1240"/>
      <c r="BW60" s="1188"/>
      <c r="BX60" s="1188"/>
      <c r="BY60" s="1188"/>
      <c r="BZ60" s="1188"/>
      <c r="CA60" s="1188"/>
      <c r="CB60" s="1188"/>
      <c r="CC60" s="1188"/>
      <c r="CD60" s="1188">
        <f t="shared" si="0"/>
        <v>0</v>
      </c>
      <c r="CE60" s="1188">
        <f t="shared" si="1"/>
        <v>0</v>
      </c>
      <c r="CF60" s="1188">
        <f t="shared" si="2"/>
        <v>0</v>
      </c>
      <c r="CG60" s="1188">
        <f t="shared" si="3"/>
        <v>0</v>
      </c>
      <c r="CH60" s="1236"/>
      <c r="CI60" s="1236"/>
      <c r="CJ60" s="1236">
        <f>I60</f>
        <v>9156</v>
      </c>
      <c r="CK60" s="1188">
        <f>I60</f>
        <v>9156</v>
      </c>
      <c r="CL60" s="1188">
        <f>I60</f>
        <v>9156</v>
      </c>
    </row>
    <row r="61" s="1168" customFormat="1" customHeight="1" spans="1:90">
      <c r="A61" s="1245">
        <v>46051</v>
      </c>
      <c r="B61" s="1247" t="s">
        <v>386</v>
      </c>
      <c r="C61" s="1234" t="s">
        <v>115</v>
      </c>
      <c r="D61" s="1188">
        <v>4500195264</v>
      </c>
      <c r="E61" s="1234" t="s">
        <v>408</v>
      </c>
      <c r="F61" s="1188" t="s">
        <v>409</v>
      </c>
      <c r="G61" s="1253" t="s">
        <v>389</v>
      </c>
      <c r="H61" s="1234" t="s">
        <v>390</v>
      </c>
      <c r="I61" s="1254">
        <v>7248</v>
      </c>
      <c r="J61" s="1234">
        <v>0</v>
      </c>
      <c r="K61" s="1234">
        <v>12</v>
      </c>
      <c r="L61" s="1246">
        <f t="shared" si="15"/>
        <v>604</v>
      </c>
      <c r="M61" s="1255">
        <v>46136</v>
      </c>
      <c r="N61" s="1255">
        <f>M61-4</f>
        <v>46132</v>
      </c>
      <c r="O61" s="1255"/>
      <c r="P61" s="1233" t="s">
        <v>410</v>
      </c>
      <c r="Q61" s="1233" t="s">
        <v>267</v>
      </c>
      <c r="R61" s="1234"/>
      <c r="S61" s="1234"/>
      <c r="T61" s="1233">
        <v>7248</v>
      </c>
      <c r="U61" s="1233">
        <f t="shared" si="4"/>
        <v>0</v>
      </c>
      <c r="V61" s="1234" t="s">
        <v>120</v>
      </c>
      <c r="W61" s="1256">
        <v>46051</v>
      </c>
      <c r="X61" s="1257" t="s">
        <v>107</v>
      </c>
      <c r="Y61" s="1257" t="s">
        <v>391</v>
      </c>
      <c r="Z61" s="1188"/>
      <c r="AA61" s="1188"/>
      <c r="AB61" s="1247"/>
      <c r="AC61" s="1247" t="s">
        <v>411</v>
      </c>
      <c r="AD61" s="1255" t="s">
        <v>393</v>
      </c>
      <c r="AE61" s="1188">
        <v>1.374</v>
      </c>
      <c r="AF61" s="1248">
        <f>I61*AE61</f>
        <v>9958.752</v>
      </c>
      <c r="AG61" s="1249" t="s">
        <v>412</v>
      </c>
      <c r="AH61" s="1234" t="s">
        <v>389</v>
      </c>
      <c r="AI61" s="1234" t="s">
        <v>112</v>
      </c>
      <c r="AJ61" s="1234" t="s">
        <v>113</v>
      </c>
      <c r="AK61" s="1188">
        <f>I61*2</f>
        <v>14496</v>
      </c>
      <c r="AL61" s="1188"/>
      <c r="AM61" s="1188"/>
      <c r="AN61" s="1188"/>
      <c r="AO61" s="1188"/>
      <c r="AP61" s="1188"/>
      <c r="AQ61" s="1240">
        <f>I61*2</f>
        <v>14496</v>
      </c>
      <c r="AR61" s="1188"/>
      <c r="AS61" s="1236"/>
      <c r="AT61" s="1236"/>
      <c r="AU61" s="1188">
        <f>I61*2</f>
        <v>14496</v>
      </c>
      <c r="AV61" s="1250">
        <f>I61*0.06*2</f>
        <v>869.76</v>
      </c>
      <c r="AW61" s="1250"/>
      <c r="AX61" s="1188"/>
      <c r="AY61" s="1188"/>
      <c r="AZ61" s="1188"/>
      <c r="BA61" s="1188"/>
      <c r="BB61" s="1188"/>
      <c r="BC61" s="1188"/>
      <c r="BD61" s="1188"/>
      <c r="BE61" s="1188"/>
      <c r="BF61" s="1188"/>
      <c r="BG61" s="1188"/>
      <c r="BH61" s="1188"/>
      <c r="BI61" s="1188"/>
      <c r="BJ61" s="1188"/>
      <c r="BK61" s="1188"/>
      <c r="BL61" s="1188"/>
      <c r="BM61" s="1188"/>
      <c r="BN61" s="1188"/>
      <c r="BO61" s="1240"/>
      <c r="BP61" s="1240"/>
      <c r="BQ61" s="1188"/>
      <c r="BR61" s="1236"/>
      <c r="BS61" s="1188"/>
      <c r="BT61" s="1188"/>
      <c r="BU61" s="1188"/>
      <c r="BV61" s="1240"/>
      <c r="BW61" s="1188"/>
      <c r="BX61" s="1188"/>
      <c r="BY61" s="1188"/>
      <c r="BZ61" s="1188"/>
      <c r="CA61" s="1188"/>
      <c r="CB61" s="1188"/>
      <c r="CC61" s="1188"/>
      <c r="CD61" s="1188">
        <f t="shared" si="0"/>
        <v>0</v>
      </c>
      <c r="CE61" s="1188">
        <f t="shared" si="1"/>
        <v>0</v>
      </c>
      <c r="CF61" s="1188">
        <f t="shared" si="2"/>
        <v>0</v>
      </c>
      <c r="CG61" s="1188">
        <f t="shared" si="3"/>
        <v>0</v>
      </c>
      <c r="CH61" s="1236"/>
      <c r="CI61" s="1236"/>
      <c r="CJ61" s="1236">
        <f>I61</f>
        <v>7248</v>
      </c>
      <c r="CK61" s="1188">
        <f>I61</f>
        <v>7248</v>
      </c>
      <c r="CL61" s="1188">
        <f>I61</f>
        <v>7248</v>
      </c>
    </row>
    <row r="62" s="1168" customFormat="1" customHeight="1" spans="1:90">
      <c r="A62" s="1245">
        <v>46079</v>
      </c>
      <c r="B62" s="1247" t="s">
        <v>114</v>
      </c>
      <c r="C62" s="1234" t="s">
        <v>115</v>
      </c>
      <c r="D62" s="1188">
        <v>4500194303</v>
      </c>
      <c r="E62" s="1234" t="s">
        <v>413</v>
      </c>
      <c r="F62" s="1188" t="s">
        <v>414</v>
      </c>
      <c r="G62" s="1253" t="s">
        <v>118</v>
      </c>
      <c r="H62" s="1234" t="s">
        <v>104</v>
      </c>
      <c r="I62" s="1254">
        <v>20700</v>
      </c>
      <c r="J62" s="1234">
        <v>0</v>
      </c>
      <c r="K62" s="1234">
        <v>25</v>
      </c>
      <c r="L62" s="1246">
        <f t="shared" si="15"/>
        <v>828</v>
      </c>
      <c r="M62" s="1255">
        <v>46141</v>
      </c>
      <c r="N62" s="1255">
        <v>46137</v>
      </c>
      <c r="O62" s="1255"/>
      <c r="P62" s="1233"/>
      <c r="Q62" s="1233" t="s">
        <v>106</v>
      </c>
      <c r="R62" s="1234"/>
      <c r="S62" s="1234"/>
      <c r="T62" s="1233">
        <f>13125+5275+2300</f>
        <v>20700</v>
      </c>
      <c r="U62" s="1233">
        <f t="shared" si="4"/>
        <v>0</v>
      </c>
      <c r="V62" s="1234" t="s">
        <v>120</v>
      </c>
      <c r="W62" s="1256">
        <v>46108</v>
      </c>
      <c r="X62" s="1257" t="s">
        <v>107</v>
      </c>
      <c r="Y62" s="1257" t="s">
        <v>415</v>
      </c>
      <c r="Z62" s="1188"/>
      <c r="AA62" s="1188"/>
      <c r="AB62" s="1247"/>
      <c r="AC62" s="1247" t="s">
        <v>416</v>
      </c>
      <c r="AD62" s="1255" t="s">
        <v>123</v>
      </c>
      <c r="AE62" s="1188">
        <v>1.29</v>
      </c>
      <c r="AF62" s="1248">
        <f>I62*AE62</f>
        <v>26703</v>
      </c>
      <c r="AG62" s="1266" t="s">
        <v>417</v>
      </c>
      <c r="AH62" s="1253" t="s">
        <v>118</v>
      </c>
      <c r="AI62" s="1234" t="s">
        <v>112</v>
      </c>
      <c r="AJ62" s="1234" t="s">
        <v>113</v>
      </c>
      <c r="AK62" s="1188"/>
      <c r="AL62" s="1188"/>
      <c r="AM62" s="1188">
        <f>I62</f>
        <v>20700</v>
      </c>
      <c r="AN62" s="1188">
        <f t="shared" ref="AN62:AN68" si="20">I62</f>
        <v>20700</v>
      </c>
      <c r="AO62" s="1188"/>
      <c r="AP62" s="1188"/>
      <c r="AQ62" s="1240"/>
      <c r="AR62" s="1188"/>
      <c r="AS62" s="1260"/>
      <c r="AT62" s="1260"/>
      <c r="AU62" s="1188">
        <f t="shared" ref="AU62:AU74" si="21">I62</f>
        <v>20700</v>
      </c>
      <c r="AV62" s="1250">
        <f t="shared" ref="AV62:AV71" si="22">I62*0.06</f>
        <v>1242</v>
      </c>
      <c r="AW62" s="1250"/>
      <c r="AX62" s="1188"/>
      <c r="AY62" s="1188"/>
      <c r="AZ62" s="1188"/>
      <c r="BA62" s="1188"/>
      <c r="BB62" s="1188"/>
      <c r="BC62" s="1188"/>
      <c r="BD62" s="1188"/>
      <c r="BE62" s="1188"/>
      <c r="BF62" s="1188"/>
      <c r="BG62" s="1188"/>
      <c r="BH62" s="1188"/>
      <c r="BI62" s="1188"/>
      <c r="BJ62" s="1188"/>
      <c r="BK62" s="1188"/>
      <c r="BL62" s="1188"/>
      <c r="BM62" s="1188"/>
      <c r="BN62" s="1188"/>
      <c r="BO62" s="1240"/>
      <c r="BP62" s="1240"/>
      <c r="BQ62" s="1188"/>
      <c r="BR62" s="1236"/>
      <c r="BS62" s="1188"/>
      <c r="BT62" s="1188"/>
      <c r="BU62" s="1251">
        <f>I62/25</f>
        <v>828</v>
      </c>
      <c r="BV62" s="1240"/>
      <c r="BW62" s="1188"/>
      <c r="BX62" s="1188"/>
      <c r="BY62" s="1188"/>
      <c r="BZ62" s="1188"/>
      <c r="CA62" s="1188"/>
      <c r="CB62" s="1188"/>
      <c r="CC62" s="1188"/>
      <c r="CD62" s="1188">
        <f t="shared" si="0"/>
        <v>0</v>
      </c>
      <c r="CE62" s="1188">
        <f t="shared" si="1"/>
        <v>828</v>
      </c>
      <c r="CF62" s="1188">
        <f t="shared" si="2"/>
        <v>0</v>
      </c>
      <c r="CG62" s="1188">
        <f t="shared" si="3"/>
        <v>0</v>
      </c>
      <c r="CH62" s="1236"/>
      <c r="CI62" s="1236"/>
      <c r="CJ62" s="1236"/>
      <c r="CK62" s="1188"/>
      <c r="CL62" s="1188"/>
    </row>
    <row r="63" s="1168" customFormat="1" customHeight="1" spans="1:90">
      <c r="A63" s="1245">
        <v>46085</v>
      </c>
      <c r="B63" s="1247" t="s">
        <v>418</v>
      </c>
      <c r="C63" s="1234" t="s">
        <v>115</v>
      </c>
      <c r="D63" s="1188">
        <v>4500195170</v>
      </c>
      <c r="E63" s="1233">
        <v>21870359</v>
      </c>
      <c r="F63" s="1188" t="s">
        <v>419</v>
      </c>
      <c r="G63" s="1253" t="s">
        <v>188</v>
      </c>
      <c r="H63" s="1234" t="s">
        <v>138</v>
      </c>
      <c r="I63" s="1254">
        <v>9000</v>
      </c>
      <c r="J63" s="1234">
        <v>0</v>
      </c>
      <c r="K63" s="1234">
        <v>50</v>
      </c>
      <c r="L63" s="1246">
        <f t="shared" si="15"/>
        <v>180</v>
      </c>
      <c r="M63" s="1255">
        <v>46142</v>
      </c>
      <c r="N63" s="1255">
        <v>46139</v>
      </c>
      <c r="O63" s="1255"/>
      <c r="P63" s="1233"/>
      <c r="Q63" s="1233" t="s">
        <v>106</v>
      </c>
      <c r="R63" s="1234"/>
      <c r="S63" s="1234"/>
      <c r="T63" s="1233">
        <v>9000</v>
      </c>
      <c r="U63" s="1233">
        <f t="shared" si="4"/>
        <v>0</v>
      </c>
      <c r="V63" s="1234" t="s">
        <v>95</v>
      </c>
      <c r="W63" s="1256">
        <v>46104</v>
      </c>
      <c r="X63" s="1257" t="s">
        <v>95</v>
      </c>
      <c r="Y63" s="1257" t="s">
        <v>95</v>
      </c>
      <c r="Z63" s="1188"/>
      <c r="AA63" s="1188"/>
      <c r="AB63" s="1247"/>
      <c r="AC63" s="1247" t="s">
        <v>420</v>
      </c>
      <c r="AD63" s="1255" t="s">
        <v>421</v>
      </c>
      <c r="AE63" s="1188">
        <v>0.6042</v>
      </c>
      <c r="AF63" s="1248">
        <f>AE63*I63</f>
        <v>5437.8</v>
      </c>
      <c r="AG63" s="1249" t="s">
        <v>422</v>
      </c>
      <c r="AH63" s="1234" t="s">
        <v>188</v>
      </c>
      <c r="AI63" s="1234" t="s">
        <v>112</v>
      </c>
      <c r="AJ63" s="1234" t="s">
        <v>113</v>
      </c>
      <c r="AK63" s="1188">
        <f>I63</f>
        <v>9000</v>
      </c>
      <c r="AL63" s="1188"/>
      <c r="AM63" s="1188"/>
      <c r="AN63" s="1188">
        <f t="shared" si="20"/>
        <v>9000</v>
      </c>
      <c r="AO63" s="1188"/>
      <c r="AP63" s="1188"/>
      <c r="AQ63" s="1240"/>
      <c r="AR63" s="1188"/>
      <c r="AS63" s="1260"/>
      <c r="AT63" s="1260"/>
      <c r="AU63" s="1188">
        <f t="shared" si="21"/>
        <v>9000</v>
      </c>
      <c r="AV63" s="1250">
        <f t="shared" si="22"/>
        <v>540</v>
      </c>
      <c r="AW63" s="1250"/>
      <c r="AX63" s="1188"/>
      <c r="AY63" s="1188"/>
      <c r="AZ63" s="1188"/>
      <c r="BA63" s="1188"/>
      <c r="BB63" s="1188"/>
      <c r="BC63" s="1188"/>
      <c r="BD63" s="1188"/>
      <c r="BE63" s="1188"/>
      <c r="BF63" s="1188"/>
      <c r="BG63" s="1188"/>
      <c r="BH63" s="1188"/>
      <c r="BI63" s="1188"/>
      <c r="BJ63" s="1188"/>
      <c r="BK63" s="1188"/>
      <c r="BL63" s="1188"/>
      <c r="BM63" s="1188"/>
      <c r="BN63" s="1188">
        <f>I63/25</f>
        <v>360</v>
      </c>
      <c r="BO63" s="1240"/>
      <c r="BP63" s="1240"/>
      <c r="BQ63" s="1188"/>
      <c r="BR63" s="1236"/>
      <c r="BS63" s="1188"/>
      <c r="BT63" s="1188"/>
      <c r="BU63" s="1188"/>
      <c r="BV63" s="1240"/>
      <c r="BW63" s="1188"/>
      <c r="BX63" s="1188"/>
      <c r="BY63" s="1188"/>
      <c r="BZ63" s="1188"/>
      <c r="CA63" s="1188"/>
      <c r="CB63" s="1188"/>
      <c r="CC63" s="1188"/>
      <c r="CD63" s="1188">
        <f t="shared" si="0"/>
        <v>360</v>
      </c>
      <c r="CE63" s="1188">
        <f t="shared" si="1"/>
        <v>0</v>
      </c>
      <c r="CF63" s="1188">
        <f t="shared" si="2"/>
        <v>0</v>
      </c>
      <c r="CG63" s="1188">
        <f t="shared" si="3"/>
        <v>0</v>
      </c>
      <c r="CH63" s="1236"/>
      <c r="CI63" s="1236"/>
      <c r="CJ63" s="1236"/>
      <c r="CK63" s="1188"/>
      <c r="CL63" s="1188"/>
    </row>
    <row r="64" s="1168" customFormat="1" customHeight="1" spans="1:90">
      <c r="A64" s="1245">
        <v>46080</v>
      </c>
      <c r="B64" s="1247" t="s">
        <v>296</v>
      </c>
      <c r="C64" s="1234" t="s">
        <v>115</v>
      </c>
      <c r="D64" s="1188">
        <v>4500194442</v>
      </c>
      <c r="E64" s="1234">
        <v>219072794</v>
      </c>
      <c r="F64" s="1188" t="s">
        <v>423</v>
      </c>
      <c r="G64" s="1253" t="s">
        <v>289</v>
      </c>
      <c r="H64" s="1234" t="s">
        <v>194</v>
      </c>
      <c r="I64" s="1254">
        <v>1755</v>
      </c>
      <c r="J64" s="1234">
        <v>0</v>
      </c>
      <c r="K64" s="1234">
        <v>13</v>
      </c>
      <c r="L64" s="1246">
        <f t="shared" si="15"/>
        <v>135</v>
      </c>
      <c r="M64" s="1255">
        <v>46142</v>
      </c>
      <c r="N64" s="1255">
        <v>46139</v>
      </c>
      <c r="O64" s="1255"/>
      <c r="P64" s="1233"/>
      <c r="Q64" s="1233" t="s">
        <v>106</v>
      </c>
      <c r="R64" s="1234"/>
      <c r="S64" s="1234"/>
      <c r="T64" s="1233">
        <v>1755</v>
      </c>
      <c r="U64" s="1233">
        <f t="shared" si="4"/>
        <v>0</v>
      </c>
      <c r="V64" s="1234" t="s">
        <v>95</v>
      </c>
      <c r="W64" s="1256" t="s">
        <v>297</v>
      </c>
      <c r="X64" s="1257" t="s">
        <v>95</v>
      </c>
      <c r="Y64" s="1257" t="s">
        <v>95</v>
      </c>
      <c r="Z64" s="1188"/>
      <c r="AA64" s="1188"/>
      <c r="AB64" s="1247"/>
      <c r="AC64" s="1247" t="s">
        <v>424</v>
      </c>
      <c r="AD64" s="1255" t="s">
        <v>299</v>
      </c>
      <c r="AE64" s="1188">
        <v>0.72</v>
      </c>
      <c r="AF64" s="1248">
        <f>I64*AE64</f>
        <v>1263.6</v>
      </c>
      <c r="AG64" s="1249" t="s">
        <v>425</v>
      </c>
      <c r="AH64" s="1253" t="s">
        <v>289</v>
      </c>
      <c r="AI64" s="1234" t="s">
        <v>112</v>
      </c>
      <c r="AJ64" s="1234" t="s">
        <v>113</v>
      </c>
      <c r="AK64" s="1188">
        <f>I64</f>
        <v>1755</v>
      </c>
      <c r="AL64" s="1188"/>
      <c r="AM64" s="1188"/>
      <c r="AN64" s="1188">
        <f t="shared" si="20"/>
        <v>1755</v>
      </c>
      <c r="AO64" s="1188"/>
      <c r="AP64" s="1188"/>
      <c r="AQ64" s="1240"/>
      <c r="AR64" s="1188"/>
      <c r="AS64" s="1236"/>
      <c r="AT64" s="1236"/>
      <c r="AU64" s="1188">
        <f t="shared" si="21"/>
        <v>1755</v>
      </c>
      <c r="AV64" s="1250">
        <f t="shared" si="22"/>
        <v>105.3</v>
      </c>
      <c r="AW64" s="1250"/>
      <c r="AX64" s="1188"/>
      <c r="AY64" s="1188"/>
      <c r="AZ64" s="1188"/>
      <c r="BA64" s="1188"/>
      <c r="BB64" s="1188"/>
      <c r="BC64" s="1188"/>
      <c r="BD64" s="1188"/>
      <c r="BE64" s="1188"/>
      <c r="BF64" s="1188"/>
      <c r="BG64" s="1188"/>
      <c r="BH64" s="1188"/>
      <c r="BI64" s="1188"/>
      <c r="BJ64" s="1188"/>
      <c r="BK64" s="1188">
        <f>I64/13</f>
        <v>135</v>
      </c>
      <c r="BL64" s="1188"/>
      <c r="BM64" s="1188"/>
      <c r="BN64" s="1188"/>
      <c r="BO64" s="1240"/>
      <c r="BP64" s="1240"/>
      <c r="BQ64" s="1188"/>
      <c r="BR64" s="1236"/>
      <c r="BS64" s="1188"/>
      <c r="BT64" s="1188"/>
      <c r="BU64" s="1188"/>
      <c r="BV64" s="1240"/>
      <c r="BW64" s="1188"/>
      <c r="BX64" s="1188"/>
      <c r="BY64" s="1188"/>
      <c r="BZ64" s="1188"/>
      <c r="CA64" s="1188"/>
      <c r="CB64" s="1188"/>
      <c r="CC64" s="1188"/>
      <c r="CD64" s="1188">
        <f t="shared" ref="CD64:CD127" si="23">BN64+BO64+BQ64+BS64+BR64</f>
        <v>0</v>
      </c>
      <c r="CE64" s="1188">
        <f t="shared" ref="CE64:CE127" si="24">BU64</f>
        <v>0</v>
      </c>
      <c r="CF64" s="1188">
        <f t="shared" ref="CF64:CF127" si="25">CC64</f>
        <v>0</v>
      </c>
      <c r="CG64" s="1188">
        <f t="shared" ref="CG64:CG127" si="26">BV64+BW64+BX64</f>
        <v>0</v>
      </c>
      <c r="CH64" s="1236"/>
      <c r="CI64" s="1236"/>
      <c r="CJ64" s="1236"/>
      <c r="CK64" s="1188"/>
      <c r="CL64" s="1188"/>
    </row>
    <row r="65" s="1168" customFormat="1" customHeight="1" spans="1:90">
      <c r="A65" s="1245">
        <v>46080</v>
      </c>
      <c r="B65" s="1247" t="s">
        <v>296</v>
      </c>
      <c r="C65" s="1234" t="s">
        <v>115</v>
      </c>
      <c r="D65" s="1188">
        <v>4500194442</v>
      </c>
      <c r="E65" s="1234">
        <v>219072800</v>
      </c>
      <c r="F65" s="1188" t="s">
        <v>426</v>
      </c>
      <c r="G65" s="1253" t="s">
        <v>289</v>
      </c>
      <c r="H65" s="1234" t="s">
        <v>194</v>
      </c>
      <c r="I65" s="1254">
        <v>3250</v>
      </c>
      <c r="J65" s="1234">
        <v>0</v>
      </c>
      <c r="K65" s="1234">
        <v>13</v>
      </c>
      <c r="L65" s="1246">
        <f t="shared" si="15"/>
        <v>250</v>
      </c>
      <c r="M65" s="1255">
        <v>46142</v>
      </c>
      <c r="N65" s="1255">
        <v>46139</v>
      </c>
      <c r="O65" s="1255"/>
      <c r="P65" s="1233"/>
      <c r="Q65" s="1233" t="s">
        <v>106</v>
      </c>
      <c r="R65" s="1234"/>
      <c r="S65" s="1234"/>
      <c r="T65" s="1233">
        <v>3250</v>
      </c>
      <c r="U65" s="1233">
        <f t="shared" si="4"/>
        <v>0</v>
      </c>
      <c r="V65" s="1234" t="s">
        <v>95</v>
      </c>
      <c r="W65" s="1256" t="s">
        <v>297</v>
      </c>
      <c r="X65" s="1257" t="s">
        <v>95</v>
      </c>
      <c r="Y65" s="1257" t="s">
        <v>95</v>
      </c>
      <c r="Z65" s="1188"/>
      <c r="AA65" s="1188"/>
      <c r="AB65" s="1247"/>
      <c r="AC65" s="1247" t="s">
        <v>424</v>
      </c>
      <c r="AD65" s="1255" t="s">
        <v>299</v>
      </c>
      <c r="AE65" s="1188">
        <v>2.02</v>
      </c>
      <c r="AF65" s="1248">
        <f>I65*AE65</f>
        <v>6565</v>
      </c>
      <c r="AG65" s="1249" t="s">
        <v>425</v>
      </c>
      <c r="AH65" s="1253" t="s">
        <v>289</v>
      </c>
      <c r="AI65" s="1234" t="s">
        <v>112</v>
      </c>
      <c r="AJ65" s="1234" t="s">
        <v>113</v>
      </c>
      <c r="AK65" s="1188">
        <f>I65</f>
        <v>3250</v>
      </c>
      <c r="AL65" s="1188"/>
      <c r="AM65" s="1188"/>
      <c r="AN65" s="1188">
        <f t="shared" si="20"/>
        <v>3250</v>
      </c>
      <c r="AO65" s="1188"/>
      <c r="AP65" s="1188"/>
      <c r="AQ65" s="1240"/>
      <c r="AR65" s="1188"/>
      <c r="AS65" s="1236"/>
      <c r="AT65" s="1236"/>
      <c r="AU65" s="1188">
        <f t="shared" si="21"/>
        <v>3250</v>
      </c>
      <c r="AV65" s="1250">
        <f t="shared" si="22"/>
        <v>195</v>
      </c>
      <c r="AW65" s="1250"/>
      <c r="AX65" s="1188"/>
      <c r="AY65" s="1188"/>
      <c r="AZ65" s="1188"/>
      <c r="BA65" s="1188"/>
      <c r="BB65" s="1188"/>
      <c r="BC65" s="1188"/>
      <c r="BD65" s="1188"/>
      <c r="BE65" s="1188"/>
      <c r="BF65" s="1188"/>
      <c r="BG65" s="1188"/>
      <c r="BH65" s="1188"/>
      <c r="BI65" s="1188"/>
      <c r="BJ65" s="1188"/>
      <c r="BK65" s="1188">
        <f>I65/13</f>
        <v>250</v>
      </c>
      <c r="BL65" s="1188"/>
      <c r="BM65" s="1188"/>
      <c r="BN65" s="1188"/>
      <c r="BO65" s="1240"/>
      <c r="BP65" s="1240"/>
      <c r="BQ65" s="1188"/>
      <c r="BR65" s="1236"/>
      <c r="BS65" s="1188"/>
      <c r="BT65" s="1188"/>
      <c r="BU65" s="1188"/>
      <c r="BV65" s="1240"/>
      <c r="BW65" s="1188"/>
      <c r="BX65" s="1188"/>
      <c r="BY65" s="1188"/>
      <c r="BZ65" s="1188"/>
      <c r="CA65" s="1188"/>
      <c r="CB65" s="1188"/>
      <c r="CC65" s="1188"/>
      <c r="CD65" s="1188">
        <f t="shared" si="23"/>
        <v>0</v>
      </c>
      <c r="CE65" s="1188">
        <f t="shared" si="24"/>
        <v>0</v>
      </c>
      <c r="CF65" s="1188">
        <f t="shared" si="25"/>
        <v>0</v>
      </c>
      <c r="CG65" s="1188">
        <f t="shared" si="26"/>
        <v>0</v>
      </c>
      <c r="CH65" s="1236"/>
      <c r="CI65" s="1236"/>
      <c r="CJ65" s="1236"/>
      <c r="CK65" s="1188"/>
      <c r="CL65" s="1188"/>
    </row>
    <row r="66" s="1168" customFormat="1" customHeight="1" spans="1:90">
      <c r="A66" s="1245">
        <v>46093</v>
      </c>
      <c r="B66" s="1247" t="s">
        <v>427</v>
      </c>
      <c r="C66" s="1234" t="s">
        <v>115</v>
      </c>
      <c r="D66" s="1188">
        <v>4500196320</v>
      </c>
      <c r="E66" s="1234">
        <v>5228</v>
      </c>
      <c r="F66" s="1188" t="s">
        <v>428</v>
      </c>
      <c r="G66" s="1253" t="s">
        <v>174</v>
      </c>
      <c r="H66" s="1234" t="s">
        <v>175</v>
      </c>
      <c r="I66" s="1254">
        <v>936</v>
      </c>
      <c r="J66" s="1234">
        <v>0</v>
      </c>
      <c r="K66" s="1234">
        <v>52</v>
      </c>
      <c r="L66" s="1246">
        <f t="shared" si="15"/>
        <v>18</v>
      </c>
      <c r="M66" s="1255">
        <v>46142</v>
      </c>
      <c r="N66" s="1255">
        <v>46139</v>
      </c>
      <c r="O66" s="1255"/>
      <c r="P66" s="1233"/>
      <c r="Q66" s="1233" t="s">
        <v>106</v>
      </c>
      <c r="R66" s="1234"/>
      <c r="S66" s="1234"/>
      <c r="T66" s="1233">
        <v>936</v>
      </c>
      <c r="U66" s="1233">
        <f t="shared" si="4"/>
        <v>0</v>
      </c>
      <c r="V66" s="1234" t="s">
        <v>95</v>
      </c>
      <c r="W66" s="1256">
        <v>46114</v>
      </c>
      <c r="X66" s="1257" t="s">
        <v>95</v>
      </c>
      <c r="Y66" s="1257" t="s">
        <v>95</v>
      </c>
      <c r="Z66" s="1188"/>
      <c r="AA66" s="1188"/>
      <c r="AB66" s="1247"/>
      <c r="AC66" s="1247" t="s">
        <v>429</v>
      </c>
      <c r="AD66" s="1255" t="s">
        <v>430</v>
      </c>
      <c r="AE66" s="1188">
        <v>0.6198</v>
      </c>
      <c r="AF66" s="1248">
        <f>AE66*I66</f>
        <v>580.1328</v>
      </c>
      <c r="AG66" s="1249" t="s">
        <v>431</v>
      </c>
      <c r="AH66" s="1253" t="s">
        <v>174</v>
      </c>
      <c r="AI66" s="1234" t="s">
        <v>112</v>
      </c>
      <c r="AJ66" s="1234" t="s">
        <v>113</v>
      </c>
      <c r="AK66" s="1188">
        <f>I66</f>
        <v>936</v>
      </c>
      <c r="AL66" s="1188"/>
      <c r="AM66" s="1188"/>
      <c r="AN66" s="1188">
        <f t="shared" si="20"/>
        <v>936</v>
      </c>
      <c r="AO66" s="1188"/>
      <c r="AP66" s="1188"/>
      <c r="AQ66" s="1240"/>
      <c r="AR66" s="1188"/>
      <c r="AS66" s="1260"/>
      <c r="AT66" s="1260"/>
      <c r="AU66" s="1188">
        <f t="shared" si="21"/>
        <v>936</v>
      </c>
      <c r="AV66" s="1250">
        <f t="shared" si="22"/>
        <v>56.16</v>
      </c>
      <c r="AW66" s="1250"/>
      <c r="AX66" s="1188"/>
      <c r="AY66" s="1188"/>
      <c r="AZ66" s="1188"/>
      <c r="BA66" s="1188"/>
      <c r="BB66" s="1188"/>
      <c r="BC66" s="1188"/>
      <c r="BD66" s="1188"/>
      <c r="BE66" s="1188"/>
      <c r="BF66" s="1188"/>
      <c r="BG66" s="1188"/>
      <c r="BH66" s="1188"/>
      <c r="BI66" s="1188"/>
      <c r="BJ66" s="1188"/>
      <c r="BK66" s="1188">
        <f>I66/13</f>
        <v>72</v>
      </c>
      <c r="BL66" s="1188"/>
      <c r="BM66" s="1188"/>
      <c r="BN66" s="1188"/>
      <c r="BO66" s="1240"/>
      <c r="BP66" s="1240"/>
      <c r="BQ66" s="1188"/>
      <c r="BR66" s="1236"/>
      <c r="BS66" s="1188"/>
      <c r="BT66" s="1188"/>
      <c r="BU66" s="1188"/>
      <c r="BV66" s="1240"/>
      <c r="BW66" s="1188"/>
      <c r="BX66" s="1188"/>
      <c r="BY66" s="1188"/>
      <c r="BZ66" s="1188"/>
      <c r="CA66" s="1188"/>
      <c r="CB66" s="1188"/>
      <c r="CC66" s="1188"/>
      <c r="CD66" s="1188">
        <f t="shared" si="23"/>
        <v>0</v>
      </c>
      <c r="CE66" s="1188">
        <f t="shared" si="24"/>
        <v>0</v>
      </c>
      <c r="CF66" s="1188">
        <f t="shared" si="25"/>
        <v>0</v>
      </c>
      <c r="CG66" s="1188">
        <f t="shared" si="26"/>
        <v>0</v>
      </c>
      <c r="CH66" s="1236"/>
      <c r="CI66" s="1236"/>
      <c r="CJ66" s="1236"/>
      <c r="CK66" s="1188"/>
      <c r="CL66" s="1188"/>
    </row>
    <row r="67" s="1168" customFormat="1" customHeight="1" spans="1:90">
      <c r="A67" s="1245">
        <v>46091</v>
      </c>
      <c r="B67" s="1247" t="s">
        <v>432</v>
      </c>
      <c r="C67" s="1234" t="s">
        <v>433</v>
      </c>
      <c r="D67" s="1188">
        <v>4500196085</v>
      </c>
      <c r="E67" s="1234"/>
      <c r="F67" s="1188" t="s">
        <v>434</v>
      </c>
      <c r="G67" s="1253" t="s">
        <v>174</v>
      </c>
      <c r="H67" s="1234" t="s">
        <v>175</v>
      </c>
      <c r="I67" s="1254">
        <v>1300</v>
      </c>
      <c r="J67" s="1234">
        <v>0</v>
      </c>
      <c r="K67" s="1234">
        <v>52</v>
      </c>
      <c r="L67" s="1246">
        <f t="shared" si="15"/>
        <v>25</v>
      </c>
      <c r="M67" s="1255">
        <v>46142</v>
      </c>
      <c r="N67" s="1255">
        <v>46139</v>
      </c>
      <c r="O67" s="1255"/>
      <c r="P67" s="1233"/>
      <c r="Q67" s="1233" t="s">
        <v>106</v>
      </c>
      <c r="R67" s="1234"/>
      <c r="S67" s="1234"/>
      <c r="T67" s="1233">
        <v>1300</v>
      </c>
      <c r="U67" s="1233">
        <f t="shared" si="4"/>
        <v>0</v>
      </c>
      <c r="V67" s="1234" t="s">
        <v>120</v>
      </c>
      <c r="W67" s="1256">
        <v>46107</v>
      </c>
      <c r="X67" s="1257" t="s">
        <v>95</v>
      </c>
      <c r="Y67" s="1257" t="s">
        <v>435</v>
      </c>
      <c r="Z67" s="1188"/>
      <c r="AA67" s="1188"/>
      <c r="AB67" s="1247"/>
      <c r="AC67" s="1247" t="s">
        <v>436</v>
      </c>
      <c r="AD67" s="1255" t="s">
        <v>437</v>
      </c>
      <c r="AE67" s="1188">
        <v>1.033</v>
      </c>
      <c r="AF67" s="1248">
        <f>AE67*I67</f>
        <v>1342.9</v>
      </c>
      <c r="AG67" s="1258"/>
      <c r="AH67" s="1253" t="s">
        <v>174</v>
      </c>
      <c r="AI67" s="1234" t="s">
        <v>112</v>
      </c>
      <c r="AJ67" s="1234" t="s">
        <v>113</v>
      </c>
      <c r="AK67" s="1188">
        <f>I67</f>
        <v>1300</v>
      </c>
      <c r="AL67" s="1188"/>
      <c r="AM67" s="1188"/>
      <c r="AN67" s="1188">
        <f t="shared" si="20"/>
        <v>1300</v>
      </c>
      <c r="AO67" s="1188"/>
      <c r="AP67" s="1188"/>
      <c r="AQ67" s="1240"/>
      <c r="AR67" s="1188"/>
      <c r="AS67" s="1236"/>
      <c r="AT67" s="1236"/>
      <c r="AU67" s="1188">
        <f t="shared" si="21"/>
        <v>1300</v>
      </c>
      <c r="AV67" s="1250">
        <f t="shared" si="22"/>
        <v>78</v>
      </c>
      <c r="AW67" s="1250"/>
      <c r="AX67" s="1188"/>
      <c r="AY67" s="1188"/>
      <c r="AZ67" s="1188"/>
      <c r="BA67" s="1188"/>
      <c r="BB67" s="1188"/>
      <c r="BC67" s="1188"/>
      <c r="BD67" s="1188"/>
      <c r="BE67" s="1188"/>
      <c r="BF67" s="1188"/>
      <c r="BG67" s="1188"/>
      <c r="BH67" s="1188"/>
      <c r="BI67" s="1188"/>
      <c r="BJ67" s="1188"/>
      <c r="BK67" s="1188">
        <f>I67/13</f>
        <v>100</v>
      </c>
      <c r="BL67" s="1188"/>
      <c r="BM67" s="1188"/>
      <c r="BN67" s="1188"/>
      <c r="BO67" s="1240"/>
      <c r="BP67" s="1240"/>
      <c r="BQ67" s="1188"/>
      <c r="BR67" s="1236"/>
      <c r="BS67" s="1188"/>
      <c r="BT67" s="1188"/>
      <c r="BU67" s="1188"/>
      <c r="BV67" s="1240"/>
      <c r="BW67" s="1188"/>
      <c r="BX67" s="1188"/>
      <c r="BY67" s="1188"/>
      <c r="BZ67" s="1188"/>
      <c r="CA67" s="1188"/>
      <c r="CB67" s="1188"/>
      <c r="CC67" s="1188"/>
      <c r="CD67" s="1188">
        <f t="shared" si="23"/>
        <v>0</v>
      </c>
      <c r="CE67" s="1188">
        <f t="shared" si="24"/>
        <v>0</v>
      </c>
      <c r="CF67" s="1188">
        <f t="shared" si="25"/>
        <v>0</v>
      </c>
      <c r="CG67" s="1188">
        <f t="shared" si="26"/>
        <v>0</v>
      </c>
      <c r="CH67" s="1236"/>
      <c r="CI67" s="1236"/>
      <c r="CJ67" s="1236"/>
      <c r="CK67" s="1188"/>
      <c r="CL67" s="1188"/>
    </row>
    <row r="68" s="1168" customFormat="1" customHeight="1" spans="1:90">
      <c r="A68" s="1245">
        <v>46094</v>
      </c>
      <c r="B68" s="1247" t="s">
        <v>438</v>
      </c>
      <c r="C68" s="1234" t="s">
        <v>115</v>
      </c>
      <c r="D68" s="1188">
        <v>4500196785</v>
      </c>
      <c r="E68" s="1234" t="s">
        <v>439</v>
      </c>
      <c r="F68" s="1188" t="s">
        <v>440</v>
      </c>
      <c r="G68" s="1253" t="s">
        <v>118</v>
      </c>
      <c r="H68" s="1234" t="s">
        <v>104</v>
      </c>
      <c r="I68" s="1234">
        <v>28875</v>
      </c>
      <c r="J68" s="1234">
        <v>0</v>
      </c>
      <c r="K68" s="1234">
        <v>25</v>
      </c>
      <c r="L68" s="1246">
        <f t="shared" si="15"/>
        <v>1155</v>
      </c>
      <c r="M68" s="1255">
        <v>46142</v>
      </c>
      <c r="N68" s="1255">
        <v>46139</v>
      </c>
      <c r="O68" s="1255"/>
      <c r="P68" s="1233"/>
      <c r="Q68" s="1265" t="s">
        <v>267</v>
      </c>
      <c r="R68" s="1234"/>
      <c r="S68" s="1234"/>
      <c r="T68" s="1233">
        <v>28875</v>
      </c>
      <c r="U68" s="1233">
        <f t="shared" si="4"/>
        <v>0</v>
      </c>
      <c r="V68" s="1234" t="s">
        <v>120</v>
      </c>
      <c r="W68" s="1256">
        <v>46108</v>
      </c>
      <c r="X68" s="1257" t="s">
        <v>107</v>
      </c>
      <c r="Y68" s="1257" t="s">
        <v>441</v>
      </c>
      <c r="Z68" s="1188"/>
      <c r="AA68" s="1188"/>
      <c r="AB68" s="1247"/>
      <c r="AC68" s="1247" t="s">
        <v>442</v>
      </c>
      <c r="AD68" s="1255" t="s">
        <v>443</v>
      </c>
      <c r="AE68" s="1267">
        <v>1.29</v>
      </c>
      <c r="AF68" s="1248">
        <f>I68*AE68</f>
        <v>37248.75</v>
      </c>
      <c r="AG68" s="1249" t="s">
        <v>444</v>
      </c>
      <c r="AH68" s="1253" t="s">
        <v>118</v>
      </c>
      <c r="AI68" s="1234" t="s">
        <v>112</v>
      </c>
      <c r="AJ68" s="1234" t="s">
        <v>113</v>
      </c>
      <c r="AK68" s="1188"/>
      <c r="AL68" s="1188"/>
      <c r="AM68" s="1188">
        <f>I68</f>
        <v>28875</v>
      </c>
      <c r="AN68" s="1188">
        <f t="shared" si="20"/>
        <v>28875</v>
      </c>
      <c r="AO68" s="1188"/>
      <c r="AP68" s="1188"/>
      <c r="AQ68" s="1240"/>
      <c r="AR68" s="1188"/>
      <c r="AS68" s="1260"/>
      <c r="AT68" s="1260"/>
      <c r="AU68" s="1188">
        <f t="shared" si="21"/>
        <v>28875</v>
      </c>
      <c r="AV68" s="1250">
        <f t="shared" si="22"/>
        <v>1732.5</v>
      </c>
      <c r="AW68" s="1250"/>
      <c r="AX68" s="1188"/>
      <c r="AY68" s="1188"/>
      <c r="AZ68" s="1188"/>
      <c r="BA68" s="1188"/>
      <c r="BB68" s="1188"/>
      <c r="BC68" s="1188"/>
      <c r="BD68" s="1188"/>
      <c r="BE68" s="1188"/>
      <c r="BF68" s="1188"/>
      <c r="BG68" s="1188"/>
      <c r="BH68" s="1188"/>
      <c r="BI68" s="1188"/>
      <c r="BJ68" s="1188"/>
      <c r="BK68" s="1188"/>
      <c r="BL68" s="1188"/>
      <c r="BM68" s="1188"/>
      <c r="BN68" s="1188"/>
      <c r="BO68" s="1240"/>
      <c r="BP68" s="1240"/>
      <c r="BQ68" s="1188"/>
      <c r="BR68" s="1236"/>
      <c r="BS68" s="1188"/>
      <c r="BT68" s="1188"/>
      <c r="BU68" s="1251">
        <f>I68/25</f>
        <v>1155</v>
      </c>
      <c r="BV68" s="1240"/>
      <c r="BW68" s="1188"/>
      <c r="BX68" s="1188"/>
      <c r="BY68" s="1188"/>
      <c r="BZ68" s="1188"/>
      <c r="CA68" s="1188"/>
      <c r="CB68" s="1188"/>
      <c r="CC68" s="1188"/>
      <c r="CD68" s="1188">
        <f t="shared" si="23"/>
        <v>0</v>
      </c>
      <c r="CE68" s="1188">
        <f t="shared" si="24"/>
        <v>1155</v>
      </c>
      <c r="CF68" s="1188">
        <f t="shared" si="25"/>
        <v>0</v>
      </c>
      <c r="CG68" s="1188">
        <f t="shared" si="26"/>
        <v>0</v>
      </c>
      <c r="CH68" s="1236"/>
      <c r="CI68" s="1236"/>
      <c r="CJ68" s="1236"/>
      <c r="CK68" s="1188"/>
      <c r="CL68" s="1188"/>
    </row>
    <row r="69" s="1168" customFormat="1" customHeight="1" spans="1:90">
      <c r="A69" s="1245">
        <v>46065</v>
      </c>
      <c r="B69" s="1247" t="s">
        <v>445</v>
      </c>
      <c r="C69" s="1234" t="s">
        <v>291</v>
      </c>
      <c r="D69" s="1188">
        <v>4500193910</v>
      </c>
      <c r="E69" s="1234"/>
      <c r="F69" s="1188" t="s">
        <v>446</v>
      </c>
      <c r="G69" s="1253" t="s">
        <v>188</v>
      </c>
      <c r="H69" s="1234" t="s">
        <v>138</v>
      </c>
      <c r="I69" s="1254">
        <v>1500</v>
      </c>
      <c r="J69" s="1234">
        <v>0</v>
      </c>
      <c r="K69" s="1234">
        <v>50</v>
      </c>
      <c r="L69" s="1246">
        <f t="shared" si="15"/>
        <v>30</v>
      </c>
      <c r="M69" s="1255">
        <v>46148</v>
      </c>
      <c r="N69" s="1255">
        <v>46144</v>
      </c>
      <c r="O69" s="1255"/>
      <c r="P69" s="1233"/>
      <c r="Q69" s="1233" t="s">
        <v>106</v>
      </c>
      <c r="R69" s="1234"/>
      <c r="S69" s="1234" t="s">
        <v>447</v>
      </c>
      <c r="T69" s="1233">
        <v>1500</v>
      </c>
      <c r="U69" s="1233">
        <f t="shared" ref="U69:U132" si="27">T69-I69</f>
        <v>0</v>
      </c>
      <c r="V69" s="1234" t="s">
        <v>120</v>
      </c>
      <c r="W69" s="1256">
        <v>46093</v>
      </c>
      <c r="X69" s="1257" t="s">
        <v>95</v>
      </c>
      <c r="Y69" s="1257" t="s">
        <v>448</v>
      </c>
      <c r="Z69" s="1188"/>
      <c r="AA69" s="1188"/>
      <c r="AB69" s="1247"/>
      <c r="AC69" s="1247" t="s">
        <v>449</v>
      </c>
      <c r="AD69" s="1255" t="s">
        <v>450</v>
      </c>
      <c r="AE69" s="1188">
        <v>1.007</v>
      </c>
      <c r="AF69" s="1248">
        <f>I69*AE69</f>
        <v>1510.5</v>
      </c>
      <c r="AG69" s="1258"/>
      <c r="AH69" s="1234" t="s">
        <v>314</v>
      </c>
      <c r="AI69" s="1234" t="s">
        <v>112</v>
      </c>
      <c r="AJ69" s="1234" t="s">
        <v>113</v>
      </c>
      <c r="AK69" s="1188">
        <f>I69</f>
        <v>1500</v>
      </c>
      <c r="AL69" s="1188"/>
      <c r="AM69" s="1188"/>
      <c r="AN69" s="1188"/>
      <c r="AO69" s="1188"/>
      <c r="AP69" s="1188">
        <f>I69</f>
        <v>1500</v>
      </c>
      <c r="AQ69" s="1240"/>
      <c r="AR69" s="1188"/>
      <c r="AS69" s="1236"/>
      <c r="AT69" s="1236"/>
      <c r="AU69" s="1188">
        <f t="shared" si="21"/>
        <v>1500</v>
      </c>
      <c r="AV69" s="1250">
        <f t="shared" si="22"/>
        <v>90</v>
      </c>
      <c r="AW69" s="1250"/>
      <c r="AX69" s="1188"/>
      <c r="AY69" s="1188"/>
      <c r="AZ69" s="1188"/>
      <c r="BA69" s="1188"/>
      <c r="BB69" s="1188"/>
      <c r="BC69" s="1188"/>
      <c r="BD69" s="1188"/>
      <c r="BE69" s="1188"/>
      <c r="BF69" s="1188"/>
      <c r="BG69" s="1188"/>
      <c r="BH69" s="1188"/>
      <c r="BI69" s="1188"/>
      <c r="BJ69" s="1188"/>
      <c r="BK69" s="1188"/>
      <c r="BL69" s="1188"/>
      <c r="BM69" s="1188"/>
      <c r="BN69" s="1188"/>
      <c r="BO69" s="1235">
        <f>I69/25</f>
        <v>60</v>
      </c>
      <c r="BP69" s="1240"/>
      <c r="BQ69" s="1188"/>
      <c r="BR69" s="1236"/>
      <c r="BS69" s="1188"/>
      <c r="BT69" s="1188"/>
      <c r="BU69" s="1188"/>
      <c r="BV69" s="1240"/>
      <c r="BW69" s="1188"/>
      <c r="BX69" s="1188"/>
      <c r="BY69" s="1188"/>
      <c r="BZ69" s="1188"/>
      <c r="CA69" s="1188"/>
      <c r="CB69" s="1188"/>
      <c r="CC69" s="1188"/>
      <c r="CD69" s="1188">
        <f t="shared" si="23"/>
        <v>60</v>
      </c>
      <c r="CE69" s="1188">
        <f t="shared" si="24"/>
        <v>0</v>
      </c>
      <c r="CF69" s="1188">
        <f t="shared" si="25"/>
        <v>0</v>
      </c>
      <c r="CG69" s="1188">
        <f t="shared" si="26"/>
        <v>0</v>
      </c>
      <c r="CH69" s="1236"/>
      <c r="CI69" s="1236"/>
      <c r="CJ69" s="1236"/>
      <c r="CK69" s="1188"/>
      <c r="CL69" s="1188"/>
    </row>
    <row r="70" s="1168" customFormat="1" customHeight="1" spans="1:90">
      <c r="A70" s="1245">
        <v>46092</v>
      </c>
      <c r="B70" s="1247" t="s">
        <v>451</v>
      </c>
      <c r="C70" s="1234" t="s">
        <v>201</v>
      </c>
      <c r="D70" s="1188">
        <v>4500196293</v>
      </c>
      <c r="E70" s="1234">
        <v>42349</v>
      </c>
      <c r="F70" s="1188" t="s">
        <v>452</v>
      </c>
      <c r="G70" s="1253" t="s">
        <v>188</v>
      </c>
      <c r="H70" s="1234" t="s">
        <v>138</v>
      </c>
      <c r="I70" s="1254">
        <v>5000</v>
      </c>
      <c r="J70" s="1234">
        <v>0</v>
      </c>
      <c r="K70" s="1234">
        <v>50</v>
      </c>
      <c r="L70" s="1246">
        <f t="shared" si="15"/>
        <v>100</v>
      </c>
      <c r="M70" s="1255">
        <v>46149</v>
      </c>
      <c r="N70" s="1255">
        <v>46146</v>
      </c>
      <c r="O70" s="1255"/>
      <c r="P70" s="1233"/>
      <c r="Q70" s="1233" t="s">
        <v>106</v>
      </c>
      <c r="R70" s="1234"/>
      <c r="S70" s="1234"/>
      <c r="T70" s="1233">
        <v>5000</v>
      </c>
      <c r="U70" s="1233">
        <f t="shared" si="27"/>
        <v>0</v>
      </c>
      <c r="V70" s="1234" t="s">
        <v>120</v>
      </c>
      <c r="W70" s="1256">
        <v>46121</v>
      </c>
      <c r="X70" s="1257" t="s">
        <v>95</v>
      </c>
      <c r="Y70" s="1257" t="s">
        <v>453</v>
      </c>
      <c r="Z70" s="1188"/>
      <c r="AA70" s="1188"/>
      <c r="AB70" s="1247"/>
      <c r="AC70" s="1247" t="s">
        <v>454</v>
      </c>
      <c r="AD70" s="1255" t="s">
        <v>204</v>
      </c>
      <c r="AE70" s="1188">
        <v>1.007</v>
      </c>
      <c r="AF70" s="1248">
        <f>I70*AE70</f>
        <v>5035</v>
      </c>
      <c r="AG70" s="1258"/>
      <c r="AH70" s="1234" t="s">
        <v>314</v>
      </c>
      <c r="AI70" s="1234" t="s">
        <v>112</v>
      </c>
      <c r="AJ70" s="1234" t="s">
        <v>113</v>
      </c>
      <c r="AK70" s="1188">
        <f>I70</f>
        <v>5000</v>
      </c>
      <c r="AL70" s="1188"/>
      <c r="AM70" s="1188"/>
      <c r="AN70" s="1188"/>
      <c r="AO70" s="1188"/>
      <c r="AP70" s="1188">
        <f>I70</f>
        <v>5000</v>
      </c>
      <c r="AQ70" s="1240"/>
      <c r="AR70" s="1188"/>
      <c r="AS70" s="1260"/>
      <c r="AT70" s="1260"/>
      <c r="AU70" s="1188">
        <f t="shared" si="21"/>
        <v>5000</v>
      </c>
      <c r="AV70" s="1250">
        <f t="shared" si="22"/>
        <v>300</v>
      </c>
      <c r="AW70" s="1250"/>
      <c r="AX70" s="1188"/>
      <c r="AY70" s="1188"/>
      <c r="AZ70" s="1188"/>
      <c r="BA70" s="1188"/>
      <c r="BB70" s="1188"/>
      <c r="BC70" s="1188"/>
      <c r="BD70" s="1188"/>
      <c r="BE70" s="1188"/>
      <c r="BF70" s="1188"/>
      <c r="BG70" s="1188"/>
      <c r="BH70" s="1188"/>
      <c r="BI70" s="1188"/>
      <c r="BJ70" s="1188"/>
      <c r="BK70" s="1188"/>
      <c r="BL70" s="1188"/>
      <c r="BM70" s="1188"/>
      <c r="BN70" s="1188"/>
      <c r="BO70" s="1235">
        <f>I70/25</f>
        <v>200</v>
      </c>
      <c r="BP70" s="1240"/>
      <c r="BQ70" s="1188"/>
      <c r="BR70" s="1236"/>
      <c r="BS70" s="1188"/>
      <c r="BT70" s="1188"/>
      <c r="BU70" s="1188"/>
      <c r="BV70" s="1240"/>
      <c r="BW70" s="1188"/>
      <c r="BX70" s="1188"/>
      <c r="BY70" s="1188"/>
      <c r="BZ70" s="1188"/>
      <c r="CA70" s="1188"/>
      <c r="CB70" s="1188"/>
      <c r="CC70" s="1188"/>
      <c r="CD70" s="1188">
        <f t="shared" si="23"/>
        <v>200</v>
      </c>
      <c r="CE70" s="1188">
        <f t="shared" si="24"/>
        <v>0</v>
      </c>
      <c r="CF70" s="1188">
        <f t="shared" si="25"/>
        <v>0</v>
      </c>
      <c r="CG70" s="1188">
        <f t="shared" si="26"/>
        <v>0</v>
      </c>
      <c r="CH70" s="1236"/>
      <c r="CI70" s="1236"/>
      <c r="CJ70" s="1236"/>
      <c r="CK70" s="1188"/>
      <c r="CL70" s="1188"/>
    </row>
    <row r="71" s="1168" customFormat="1" customHeight="1" spans="1:90">
      <c r="A71" s="1245">
        <v>46106</v>
      </c>
      <c r="B71" s="1247" t="s">
        <v>455</v>
      </c>
      <c r="C71" s="1234" t="s">
        <v>115</v>
      </c>
      <c r="D71" s="1188">
        <v>4500197250</v>
      </c>
      <c r="E71" s="1890" t="s">
        <v>456</v>
      </c>
      <c r="F71" s="1188" t="s">
        <v>457</v>
      </c>
      <c r="G71" s="1253" t="s">
        <v>349</v>
      </c>
      <c r="H71" s="1234" t="s">
        <v>350</v>
      </c>
      <c r="I71" s="1254">
        <v>14400</v>
      </c>
      <c r="J71" s="1234">
        <v>0</v>
      </c>
      <c r="K71" s="1234">
        <v>960</v>
      </c>
      <c r="L71" s="1246">
        <f t="shared" si="15"/>
        <v>15</v>
      </c>
      <c r="M71" s="1255">
        <v>46149</v>
      </c>
      <c r="N71" s="1255">
        <v>46146</v>
      </c>
      <c r="O71" s="1255"/>
      <c r="P71" s="1233" t="s">
        <v>458</v>
      </c>
      <c r="Q71" s="1233" t="s">
        <v>106</v>
      </c>
      <c r="R71" s="1234"/>
      <c r="S71" s="1234"/>
      <c r="T71" s="1233">
        <v>14400</v>
      </c>
      <c r="U71" s="1233">
        <f t="shared" si="27"/>
        <v>0</v>
      </c>
      <c r="V71" s="1234" t="s">
        <v>120</v>
      </c>
      <c r="W71" s="1256" t="s">
        <v>459</v>
      </c>
      <c r="X71" s="1257" t="s">
        <v>95</v>
      </c>
      <c r="Y71" s="1257" t="s">
        <v>460</v>
      </c>
      <c r="Z71" s="1188"/>
      <c r="AA71" s="1188"/>
      <c r="AB71" s="1247"/>
      <c r="AC71" s="1247" t="s">
        <v>461</v>
      </c>
      <c r="AD71" s="1255" t="s">
        <v>462</v>
      </c>
      <c r="AE71" s="1188">
        <v>645.144</v>
      </c>
      <c r="AF71" s="1248">
        <f>AE71*L71</f>
        <v>9677.16</v>
      </c>
      <c r="AG71" s="1249" t="s">
        <v>463</v>
      </c>
      <c r="AH71" s="1234" t="s">
        <v>356</v>
      </c>
      <c r="AI71" s="1234" t="s">
        <v>112</v>
      </c>
      <c r="AJ71" s="1234" t="s">
        <v>113</v>
      </c>
      <c r="AK71" s="1188">
        <f>I71</f>
        <v>14400</v>
      </c>
      <c r="AL71" s="1188"/>
      <c r="AM71" s="1188"/>
      <c r="AN71" s="1188">
        <f>I71</f>
        <v>14400</v>
      </c>
      <c r="AO71" s="1188"/>
      <c r="AP71" s="1188"/>
      <c r="AQ71" s="1240"/>
      <c r="AR71" s="1188"/>
      <c r="AS71" s="1260"/>
      <c r="AT71" s="1260"/>
      <c r="AU71" s="1188">
        <f t="shared" si="21"/>
        <v>14400</v>
      </c>
      <c r="AV71" s="1250">
        <f t="shared" si="22"/>
        <v>864</v>
      </c>
      <c r="AW71" s="1250"/>
      <c r="AX71" s="1188"/>
      <c r="AY71" s="1188"/>
      <c r="AZ71" s="1188"/>
      <c r="BA71" s="1188"/>
      <c r="BB71" s="1188"/>
      <c r="BC71" s="1188"/>
      <c r="BD71" s="1188"/>
      <c r="BE71" s="1188"/>
      <c r="BF71" s="1188"/>
      <c r="BG71" s="1188"/>
      <c r="BH71" s="1188"/>
      <c r="BI71" s="1188"/>
      <c r="BJ71" s="1188"/>
      <c r="BK71" s="1188"/>
      <c r="BL71" s="1188"/>
      <c r="BM71" s="1188"/>
      <c r="BN71" s="1188"/>
      <c r="BO71" s="1240"/>
      <c r="BP71" s="1240"/>
      <c r="BQ71" s="1188"/>
      <c r="BR71" s="1236">
        <f>I71/16</f>
        <v>900</v>
      </c>
      <c r="BS71" s="1188"/>
      <c r="BT71" s="1188"/>
      <c r="BU71" s="1188"/>
      <c r="BV71" s="1240"/>
      <c r="BW71" s="1188"/>
      <c r="BX71" s="1188"/>
      <c r="BY71" s="1188"/>
      <c r="BZ71" s="1188"/>
      <c r="CA71" s="1188"/>
      <c r="CB71" s="1188"/>
      <c r="CC71" s="1188"/>
      <c r="CD71" s="1188">
        <f t="shared" si="23"/>
        <v>900</v>
      </c>
      <c r="CE71" s="1188">
        <f t="shared" si="24"/>
        <v>0</v>
      </c>
      <c r="CF71" s="1188">
        <f t="shared" si="25"/>
        <v>0</v>
      </c>
      <c r="CG71" s="1188">
        <f t="shared" si="26"/>
        <v>0</v>
      </c>
      <c r="CH71" s="1236"/>
      <c r="CI71" s="1236"/>
      <c r="CJ71" s="1236"/>
      <c r="CK71" s="1188"/>
      <c r="CL71" s="1188"/>
    </row>
    <row r="72" s="1168" customFormat="1" customHeight="1" spans="1:90">
      <c r="A72" s="1245">
        <v>46111</v>
      </c>
      <c r="B72" s="1247"/>
      <c r="C72" s="1234"/>
      <c r="D72" s="1188" t="s">
        <v>464</v>
      </c>
      <c r="E72" s="1234"/>
      <c r="F72" s="1188" t="s">
        <v>465</v>
      </c>
      <c r="G72" s="1891" t="s">
        <v>91</v>
      </c>
      <c r="H72" s="1234" t="s">
        <v>92</v>
      </c>
      <c r="I72" s="1254">
        <v>1248</v>
      </c>
      <c r="J72" s="1234">
        <v>0</v>
      </c>
      <c r="K72" s="1234">
        <v>24</v>
      </c>
      <c r="L72" s="1246">
        <f t="shared" si="15"/>
        <v>52</v>
      </c>
      <c r="M72" s="1255">
        <v>46149</v>
      </c>
      <c r="N72" s="1255">
        <v>46146</v>
      </c>
      <c r="O72" s="1255"/>
      <c r="P72" s="1233"/>
      <c r="Q72" s="1233" t="s">
        <v>106</v>
      </c>
      <c r="R72" s="1234"/>
      <c r="S72" s="1234"/>
      <c r="T72" s="1233">
        <v>1248</v>
      </c>
      <c r="U72" s="1233">
        <f t="shared" si="27"/>
        <v>0</v>
      </c>
      <c r="V72" s="1234" t="s">
        <v>95</v>
      </c>
      <c r="W72" s="1256">
        <v>46113</v>
      </c>
      <c r="X72" s="1257" t="s">
        <v>95</v>
      </c>
      <c r="Y72" s="1257" t="s">
        <v>95</v>
      </c>
      <c r="Z72" s="1247"/>
      <c r="AA72" s="1247"/>
      <c r="AB72" s="1247"/>
      <c r="AC72" s="1247" t="s">
        <v>466</v>
      </c>
      <c r="AD72" s="1255" t="s">
        <v>272</v>
      </c>
      <c r="AE72" s="1188"/>
      <c r="AF72" s="1248"/>
      <c r="AG72" s="1258"/>
      <c r="AH72" s="1234" t="s">
        <v>91</v>
      </c>
      <c r="AI72" s="1234" t="s">
        <v>112</v>
      </c>
      <c r="AJ72" s="1234" t="s">
        <v>113</v>
      </c>
      <c r="AK72" s="1188">
        <f>I72</f>
        <v>1248</v>
      </c>
      <c r="AL72" s="1188"/>
      <c r="AM72" s="1188"/>
      <c r="AN72" s="1188">
        <f>I72</f>
        <v>1248</v>
      </c>
      <c r="AO72" s="1188"/>
      <c r="AP72" s="1188"/>
      <c r="AQ72" s="1240"/>
      <c r="AR72" s="1188"/>
      <c r="AS72" s="1236"/>
      <c r="AT72" s="1236"/>
      <c r="AU72" s="1188">
        <f t="shared" si="21"/>
        <v>1248</v>
      </c>
      <c r="AV72" s="1250">
        <f>I72*0.06*2</f>
        <v>149.76</v>
      </c>
      <c r="AW72" s="1250"/>
      <c r="AX72" s="1188"/>
      <c r="AY72" s="1188"/>
      <c r="AZ72" s="1188"/>
      <c r="BA72" s="1188"/>
      <c r="BB72" s="1188"/>
      <c r="BC72" s="1188"/>
      <c r="BD72" s="1188"/>
      <c r="BE72" s="1188"/>
      <c r="BF72" s="1188"/>
      <c r="BG72" s="1188"/>
      <c r="BH72" s="1188"/>
      <c r="BI72" s="1188"/>
      <c r="BJ72" s="1188"/>
      <c r="BK72" s="1188"/>
      <c r="BL72" s="1188"/>
      <c r="BM72" s="1188"/>
      <c r="BN72" s="1188"/>
      <c r="BO72" s="1240"/>
      <c r="BP72" s="1240"/>
      <c r="BQ72" s="1188"/>
      <c r="BR72" s="1236"/>
      <c r="BS72" s="1188"/>
      <c r="BT72" s="1188"/>
      <c r="BU72" s="1188"/>
      <c r="BV72" s="1240"/>
      <c r="BW72" s="1188"/>
      <c r="BX72" s="1188"/>
      <c r="BY72" s="1188"/>
      <c r="BZ72" s="1188"/>
      <c r="CA72" s="1188"/>
      <c r="CB72" s="1188"/>
      <c r="CC72" s="1188"/>
      <c r="CD72" s="1188">
        <f t="shared" si="23"/>
        <v>0</v>
      </c>
      <c r="CE72" s="1188">
        <f t="shared" si="24"/>
        <v>0</v>
      </c>
      <c r="CF72" s="1188">
        <f t="shared" si="25"/>
        <v>0</v>
      </c>
      <c r="CG72" s="1188">
        <f t="shared" si="26"/>
        <v>0</v>
      </c>
      <c r="CH72" s="1236"/>
      <c r="CI72" s="1236"/>
      <c r="CJ72" s="1236"/>
      <c r="CK72" s="1188"/>
      <c r="CL72" s="1188"/>
    </row>
    <row r="73" s="1168" customFormat="1" customHeight="1" spans="1:90">
      <c r="A73" s="1245">
        <v>46080</v>
      </c>
      <c r="B73" s="1247" t="s">
        <v>467</v>
      </c>
      <c r="C73" s="1234" t="s">
        <v>115</v>
      </c>
      <c r="D73" s="1188">
        <v>4500194421</v>
      </c>
      <c r="E73" s="1234">
        <v>5633896</v>
      </c>
      <c r="F73" s="1188" t="s">
        <v>468</v>
      </c>
      <c r="G73" s="1253" t="s">
        <v>248</v>
      </c>
      <c r="H73" s="1234" t="s">
        <v>249</v>
      </c>
      <c r="I73" s="1254">
        <v>1164</v>
      </c>
      <c r="J73" s="1234">
        <v>0</v>
      </c>
      <c r="K73" s="1234">
        <v>6</v>
      </c>
      <c r="L73" s="1246">
        <f t="shared" si="15"/>
        <v>194</v>
      </c>
      <c r="M73" s="1255">
        <v>46150</v>
      </c>
      <c r="N73" s="1255">
        <v>46146</v>
      </c>
      <c r="O73" s="1255"/>
      <c r="P73" s="1233" t="s">
        <v>469</v>
      </c>
      <c r="Q73" s="1233" t="s">
        <v>106</v>
      </c>
      <c r="R73" s="1234"/>
      <c r="S73" s="1234"/>
      <c r="T73" s="1233">
        <v>1164</v>
      </c>
      <c r="U73" s="1233">
        <f t="shared" si="27"/>
        <v>0</v>
      </c>
      <c r="V73" s="1234" t="s">
        <v>95</v>
      </c>
      <c r="W73" s="1256" t="s">
        <v>470</v>
      </c>
      <c r="X73" s="1257" t="s">
        <v>95</v>
      </c>
      <c r="Y73" s="1257" t="s">
        <v>95</v>
      </c>
      <c r="Z73" s="1247"/>
      <c r="AA73" s="1247"/>
      <c r="AB73" s="1247" t="s">
        <v>471</v>
      </c>
      <c r="AC73" s="1247" t="s">
        <v>472</v>
      </c>
      <c r="AD73" s="1255" t="s">
        <v>473</v>
      </c>
      <c r="AE73" s="1188">
        <v>1.248</v>
      </c>
      <c r="AF73" s="1248">
        <f>I73*AE73</f>
        <v>1452.672</v>
      </c>
      <c r="AG73" s="1249" t="s">
        <v>474</v>
      </c>
      <c r="AH73" s="1253" t="s">
        <v>248</v>
      </c>
      <c r="AI73" s="1234" t="s">
        <v>112</v>
      </c>
      <c r="AJ73" s="1234" t="s">
        <v>113</v>
      </c>
      <c r="AK73" s="1188">
        <f>I73</f>
        <v>1164</v>
      </c>
      <c r="AL73" s="1188"/>
      <c r="AM73" s="1188"/>
      <c r="AN73" s="1188">
        <f>I73</f>
        <v>1164</v>
      </c>
      <c r="AO73" s="1188"/>
      <c r="AP73" s="1188"/>
      <c r="AQ73" s="1240"/>
      <c r="AR73" s="1188"/>
      <c r="AS73" s="1236"/>
      <c r="AT73" s="1236"/>
      <c r="AU73" s="1188">
        <f t="shared" si="21"/>
        <v>1164</v>
      </c>
      <c r="AV73" s="1250">
        <f>I73*0.06</f>
        <v>69.84</v>
      </c>
      <c r="AW73" s="1250"/>
      <c r="AX73" s="1188"/>
      <c r="AY73" s="1188"/>
      <c r="AZ73" s="1188"/>
      <c r="BA73" s="1188"/>
      <c r="BB73" s="1188"/>
      <c r="BC73" s="1188"/>
      <c r="BD73" s="1188"/>
      <c r="BE73" s="1188"/>
      <c r="BF73" s="1188"/>
      <c r="BG73" s="1188"/>
      <c r="BH73" s="1188"/>
      <c r="BI73" s="1188"/>
      <c r="BJ73" s="1188"/>
      <c r="BK73" s="1188"/>
      <c r="BL73" s="1188"/>
      <c r="BM73" s="1188"/>
      <c r="BN73" s="1188"/>
      <c r="BO73" s="1240"/>
      <c r="BP73" s="1240"/>
      <c r="BQ73" s="1188"/>
      <c r="BR73" s="1236"/>
      <c r="BS73" s="1188"/>
      <c r="BT73" s="1188">
        <f>I73/6</f>
        <v>194</v>
      </c>
      <c r="BU73" s="1188"/>
      <c r="BV73" s="1240"/>
      <c r="BW73" s="1188"/>
      <c r="BX73" s="1188"/>
      <c r="BY73" s="1188"/>
      <c r="BZ73" s="1188"/>
      <c r="CA73" s="1188"/>
      <c r="CB73" s="1188"/>
      <c r="CC73" s="1188"/>
      <c r="CD73" s="1188">
        <f t="shared" si="23"/>
        <v>0</v>
      </c>
      <c r="CE73" s="1188">
        <f t="shared" si="24"/>
        <v>0</v>
      </c>
      <c r="CF73" s="1188">
        <f t="shared" si="25"/>
        <v>0</v>
      </c>
      <c r="CG73" s="1188">
        <f t="shared" si="26"/>
        <v>0</v>
      </c>
      <c r="CH73" s="1236"/>
      <c r="CI73" s="1236"/>
      <c r="CJ73" s="1236"/>
      <c r="CK73" s="1188"/>
      <c r="CL73" s="1188"/>
    </row>
    <row r="74" s="1168" customFormat="1" customHeight="1" spans="1:90">
      <c r="A74" s="1245">
        <v>46108</v>
      </c>
      <c r="B74" s="1247" t="s">
        <v>114</v>
      </c>
      <c r="C74" s="1234" t="s">
        <v>115</v>
      </c>
      <c r="D74" s="1188">
        <v>4500199055</v>
      </c>
      <c r="E74" s="1234" t="s">
        <v>475</v>
      </c>
      <c r="F74" s="1188" t="s">
        <v>476</v>
      </c>
      <c r="G74" s="1253" t="s">
        <v>118</v>
      </c>
      <c r="H74" s="1234" t="s">
        <v>104</v>
      </c>
      <c r="I74" s="1234">
        <v>28525</v>
      </c>
      <c r="J74" s="1234">
        <v>0</v>
      </c>
      <c r="K74" s="1234">
        <v>25</v>
      </c>
      <c r="L74" s="1246">
        <f t="shared" si="15"/>
        <v>1141</v>
      </c>
      <c r="M74" s="1255">
        <v>46150</v>
      </c>
      <c r="N74" s="1255">
        <v>46146</v>
      </c>
      <c r="O74" s="1255"/>
      <c r="P74" s="1233"/>
      <c r="Q74" s="1233" t="s">
        <v>106</v>
      </c>
      <c r="R74" s="1234"/>
      <c r="S74" s="1234"/>
      <c r="T74" s="1233">
        <v>28525</v>
      </c>
      <c r="U74" s="1233">
        <f t="shared" si="27"/>
        <v>0</v>
      </c>
      <c r="V74" s="1234" t="s">
        <v>120</v>
      </c>
      <c r="W74" s="1256">
        <v>46120</v>
      </c>
      <c r="X74" s="1257" t="s">
        <v>107</v>
      </c>
      <c r="Y74" s="1257" t="s">
        <v>477</v>
      </c>
      <c r="Z74" s="1188"/>
      <c r="AA74" s="1188"/>
      <c r="AB74" s="1247"/>
      <c r="AC74" s="1247" t="s">
        <v>478</v>
      </c>
      <c r="AD74" s="1255" t="s">
        <v>123</v>
      </c>
      <c r="AE74" s="1267">
        <v>1.29</v>
      </c>
      <c r="AF74" s="1248">
        <f>I74*AE74</f>
        <v>36797.25</v>
      </c>
      <c r="AG74" s="1249" t="s">
        <v>479</v>
      </c>
      <c r="AH74" s="1253" t="s">
        <v>118</v>
      </c>
      <c r="AI74" s="1234" t="s">
        <v>112</v>
      </c>
      <c r="AJ74" s="1234" t="s">
        <v>113</v>
      </c>
      <c r="AK74" s="1188">
        <v>28525</v>
      </c>
      <c r="AL74" s="1188"/>
      <c r="AM74" s="1188">
        <f>I74</f>
        <v>28525</v>
      </c>
      <c r="AN74" s="1188">
        <f>I74</f>
        <v>28525</v>
      </c>
      <c r="AO74" s="1188"/>
      <c r="AP74" s="1188"/>
      <c r="AQ74" s="1240"/>
      <c r="AR74" s="1188"/>
      <c r="AS74" s="1260"/>
      <c r="AT74" s="1260"/>
      <c r="AU74" s="1188">
        <f t="shared" si="21"/>
        <v>28525</v>
      </c>
      <c r="AV74" s="1250">
        <f>I74*0.06</f>
        <v>1711.5</v>
      </c>
      <c r="AW74" s="1250"/>
      <c r="AX74" s="1188"/>
      <c r="AY74" s="1188"/>
      <c r="AZ74" s="1188"/>
      <c r="BA74" s="1188"/>
      <c r="BB74" s="1188"/>
      <c r="BC74" s="1188"/>
      <c r="BD74" s="1188"/>
      <c r="BE74" s="1188"/>
      <c r="BF74" s="1188"/>
      <c r="BG74" s="1188"/>
      <c r="BH74" s="1188"/>
      <c r="BI74" s="1188"/>
      <c r="BJ74" s="1188"/>
      <c r="BK74" s="1188"/>
      <c r="BL74" s="1188"/>
      <c r="BM74" s="1188"/>
      <c r="BN74" s="1188"/>
      <c r="BO74" s="1240"/>
      <c r="BP74" s="1240"/>
      <c r="BQ74" s="1188"/>
      <c r="BR74" s="1236"/>
      <c r="BS74" s="1188"/>
      <c r="BT74" s="1188"/>
      <c r="BU74" s="1188">
        <f>I74/25</f>
        <v>1141</v>
      </c>
      <c r="BV74" s="1240"/>
      <c r="BW74" s="1188"/>
      <c r="BX74" s="1188"/>
      <c r="BY74" s="1188"/>
      <c r="BZ74" s="1188"/>
      <c r="CA74" s="1188"/>
      <c r="CB74" s="1188"/>
      <c r="CC74" s="1188"/>
      <c r="CD74" s="1188">
        <f t="shared" si="23"/>
        <v>0</v>
      </c>
      <c r="CE74" s="1188">
        <f t="shared" si="24"/>
        <v>1141</v>
      </c>
      <c r="CF74" s="1188">
        <f t="shared" si="25"/>
        <v>0</v>
      </c>
      <c r="CG74" s="1188">
        <f t="shared" si="26"/>
        <v>0</v>
      </c>
      <c r="CH74" s="1236"/>
      <c r="CI74" s="1236"/>
      <c r="CJ74" s="1236"/>
      <c r="CK74" s="1188"/>
      <c r="CL74" s="1188"/>
    </row>
    <row r="75" s="1168" customFormat="1" customHeight="1" spans="1:90">
      <c r="A75" s="1245">
        <v>46084</v>
      </c>
      <c r="B75" s="1247" t="s">
        <v>480</v>
      </c>
      <c r="C75" s="1234" t="s">
        <v>115</v>
      </c>
      <c r="D75" s="1188">
        <v>4500194937</v>
      </c>
      <c r="E75" s="1233">
        <v>9600512462</v>
      </c>
      <c r="F75" s="1188" t="s">
        <v>481</v>
      </c>
      <c r="G75" s="1253" t="s">
        <v>482</v>
      </c>
      <c r="H75" s="1234" t="s">
        <v>483</v>
      </c>
      <c r="I75" s="1254">
        <v>4320</v>
      </c>
      <c r="J75" s="1234">
        <v>0</v>
      </c>
      <c r="K75" s="1234">
        <v>120</v>
      </c>
      <c r="L75" s="1246">
        <f t="shared" si="15"/>
        <v>36</v>
      </c>
      <c r="M75" s="1255">
        <v>46150</v>
      </c>
      <c r="N75" s="1255">
        <v>46146</v>
      </c>
      <c r="O75" s="1255"/>
      <c r="P75" s="1233" t="s">
        <v>484</v>
      </c>
      <c r="Q75" s="1233" t="s">
        <v>106</v>
      </c>
      <c r="R75" s="1234" t="s">
        <v>485</v>
      </c>
      <c r="S75" s="1234"/>
      <c r="T75" s="715">
        <f>456+1176+1529+999+160</f>
        <v>4320</v>
      </c>
      <c r="U75" s="1233">
        <f t="shared" si="27"/>
        <v>0</v>
      </c>
      <c r="V75" s="1234" t="s">
        <v>95</v>
      </c>
      <c r="W75" s="1256">
        <v>46155</v>
      </c>
      <c r="X75" s="1257" t="s">
        <v>107</v>
      </c>
      <c r="Y75" s="1257" t="s">
        <v>95</v>
      </c>
      <c r="Z75" s="1247"/>
      <c r="AA75" s="1247"/>
      <c r="AB75" s="1247" t="s">
        <v>486</v>
      </c>
      <c r="AC75" s="1247" t="s">
        <v>487</v>
      </c>
      <c r="AD75" s="1255" t="s">
        <v>488</v>
      </c>
      <c r="AE75" s="1188">
        <v>642</v>
      </c>
      <c r="AF75" s="1248">
        <f>L75*AE75</f>
        <v>23112</v>
      </c>
      <c r="AG75" s="1249" t="s">
        <v>489</v>
      </c>
      <c r="AH75" s="1234" t="s">
        <v>490</v>
      </c>
      <c r="AI75" s="1234" t="s">
        <v>112</v>
      </c>
      <c r="AJ75" s="1234" t="s">
        <v>113</v>
      </c>
      <c r="AK75" s="1188"/>
      <c r="AL75" s="1188">
        <f>I75*3</f>
        <v>12960</v>
      </c>
      <c r="AM75" s="1188"/>
      <c r="AN75" s="1188"/>
      <c r="AO75" s="1188"/>
      <c r="AP75" s="1188"/>
      <c r="AQ75" s="1240"/>
      <c r="AR75" s="1188"/>
      <c r="AS75" s="1260"/>
      <c r="AT75" s="1260"/>
      <c r="AU75" s="1188"/>
      <c r="AV75" s="1250">
        <f>I75*0.06*2</f>
        <v>518.4</v>
      </c>
      <c r="AW75" s="1250"/>
      <c r="AX75" s="1188"/>
      <c r="AY75" s="1188"/>
      <c r="AZ75" s="1188"/>
      <c r="BA75" s="1188"/>
      <c r="BB75" s="1188">
        <f>I75*3</f>
        <v>12960</v>
      </c>
      <c r="BC75" s="1188">
        <f>I75*3</f>
        <v>12960</v>
      </c>
      <c r="BD75" s="1188">
        <f>I75*3</f>
        <v>12960</v>
      </c>
      <c r="BE75" s="1188">
        <f>I75</f>
        <v>4320</v>
      </c>
      <c r="BF75" s="1188">
        <f>I75/6</f>
        <v>720</v>
      </c>
      <c r="BG75" s="1188"/>
      <c r="BH75" s="1188"/>
      <c r="BI75" s="1188"/>
      <c r="BJ75" s="1188"/>
      <c r="BK75" s="1188"/>
      <c r="BL75" s="1188"/>
      <c r="BM75" s="1188"/>
      <c r="BN75" s="1188"/>
      <c r="BO75" s="1240"/>
      <c r="BP75" s="1240"/>
      <c r="BQ75" s="1188"/>
      <c r="BR75" s="1236"/>
      <c r="BS75" s="1188"/>
      <c r="BT75" s="1188"/>
      <c r="BU75" s="1188"/>
      <c r="BV75" s="1240"/>
      <c r="BW75" s="1188"/>
      <c r="BX75" s="1188"/>
      <c r="BY75" s="1188"/>
      <c r="BZ75" s="1188"/>
      <c r="CA75" s="1188"/>
      <c r="CB75" s="1188"/>
      <c r="CC75" s="1188"/>
      <c r="CD75" s="1188">
        <f t="shared" si="23"/>
        <v>0</v>
      </c>
      <c r="CE75" s="1188">
        <f t="shared" si="24"/>
        <v>0</v>
      </c>
      <c r="CF75" s="1188">
        <f t="shared" si="25"/>
        <v>0</v>
      </c>
      <c r="CG75" s="1188">
        <f t="shared" si="26"/>
        <v>0</v>
      </c>
      <c r="CH75" s="1236"/>
      <c r="CI75" s="1236"/>
      <c r="CJ75" s="1236"/>
      <c r="CK75" s="1188"/>
      <c r="CL75" s="1188"/>
    </row>
    <row r="76" s="1168" customFormat="1" customHeight="1" spans="1:90">
      <c r="A76" s="1245">
        <v>46095</v>
      </c>
      <c r="B76" s="1247" t="s">
        <v>491</v>
      </c>
      <c r="C76" s="1234" t="s">
        <v>492</v>
      </c>
      <c r="D76" s="1188">
        <v>4500196870</v>
      </c>
      <c r="E76" s="1234">
        <v>32830058</v>
      </c>
      <c r="F76" s="1188" t="s">
        <v>493</v>
      </c>
      <c r="G76" s="1253" t="s">
        <v>289</v>
      </c>
      <c r="H76" s="1234" t="s">
        <v>194</v>
      </c>
      <c r="I76" s="1254">
        <v>1365</v>
      </c>
      <c r="J76" s="1234">
        <v>0</v>
      </c>
      <c r="K76" s="1234">
        <v>13</v>
      </c>
      <c r="L76" s="1246">
        <f t="shared" si="15"/>
        <v>105</v>
      </c>
      <c r="M76" s="1255">
        <v>46150</v>
      </c>
      <c r="N76" s="1255">
        <v>46146</v>
      </c>
      <c r="O76" s="1255"/>
      <c r="P76" s="1233"/>
      <c r="Q76" s="1233" t="s">
        <v>106</v>
      </c>
      <c r="R76" s="1234"/>
      <c r="S76" s="1234"/>
      <c r="T76" s="1233">
        <v>1365</v>
      </c>
      <c r="U76" s="1233">
        <f t="shared" si="27"/>
        <v>0</v>
      </c>
      <c r="V76" s="1234" t="s">
        <v>120</v>
      </c>
      <c r="W76" s="1256">
        <v>46119</v>
      </c>
      <c r="X76" s="1257" t="s">
        <v>95</v>
      </c>
      <c r="Y76" s="1257" t="s">
        <v>322</v>
      </c>
      <c r="Z76" s="1247" t="s">
        <v>494</v>
      </c>
      <c r="AA76" s="1247"/>
      <c r="AB76" s="1247"/>
      <c r="AC76" s="1247" t="s">
        <v>495</v>
      </c>
      <c r="AD76" s="1255" t="s">
        <v>236</v>
      </c>
      <c r="AE76" s="1188">
        <v>1.2</v>
      </c>
      <c r="AF76" s="1248">
        <f>I76*AE76</f>
        <v>1638</v>
      </c>
      <c r="AG76" s="1258"/>
      <c r="AH76" s="1234" t="s">
        <v>199</v>
      </c>
      <c r="AI76" s="1234" t="s">
        <v>112</v>
      </c>
      <c r="AJ76" s="1234" t="s">
        <v>113</v>
      </c>
      <c r="AK76" s="1188">
        <f t="shared" ref="AK76:AK88" si="28">I76</f>
        <v>1365</v>
      </c>
      <c r="AL76" s="1188"/>
      <c r="AM76" s="1188"/>
      <c r="AN76" s="1188"/>
      <c r="AO76" s="1188"/>
      <c r="AP76" s="1188">
        <f>I76</f>
        <v>1365</v>
      </c>
      <c r="AQ76" s="1240"/>
      <c r="AR76" s="1188"/>
      <c r="AS76" s="1236"/>
      <c r="AT76" s="1236"/>
      <c r="AU76" s="1188">
        <f t="shared" ref="AU76:AU88" si="29">I76</f>
        <v>1365</v>
      </c>
      <c r="AV76" s="1250">
        <f t="shared" ref="AV76:AV85" si="30">I76*0.06</f>
        <v>81.9</v>
      </c>
      <c r="AW76" s="1250"/>
      <c r="AX76" s="1188"/>
      <c r="AY76" s="1188"/>
      <c r="AZ76" s="1188"/>
      <c r="BA76" s="1188"/>
      <c r="BB76" s="1188"/>
      <c r="BC76" s="1188"/>
      <c r="BD76" s="1188"/>
      <c r="BE76" s="1188"/>
      <c r="BF76" s="1188"/>
      <c r="BG76" s="1188"/>
      <c r="BH76" s="1188"/>
      <c r="BI76" s="1188"/>
      <c r="BJ76" s="1188"/>
      <c r="BK76" s="1188"/>
      <c r="BL76" s="1188">
        <f>I76/13</f>
        <v>105</v>
      </c>
      <c r="BM76" s="1188"/>
      <c r="BN76" s="1188"/>
      <c r="BO76" s="1240"/>
      <c r="BP76" s="1240"/>
      <c r="BQ76" s="1188"/>
      <c r="BR76" s="1236"/>
      <c r="BS76" s="1188"/>
      <c r="BT76" s="1188"/>
      <c r="BU76" s="1188"/>
      <c r="BV76" s="1240"/>
      <c r="BW76" s="1188"/>
      <c r="BX76" s="1188"/>
      <c r="BY76" s="1188"/>
      <c r="BZ76" s="1188"/>
      <c r="CA76" s="1188"/>
      <c r="CB76" s="1188"/>
      <c r="CC76" s="1188"/>
      <c r="CD76" s="1188">
        <f t="shared" si="23"/>
        <v>0</v>
      </c>
      <c r="CE76" s="1188">
        <f t="shared" si="24"/>
        <v>0</v>
      </c>
      <c r="CF76" s="1188">
        <f t="shared" si="25"/>
        <v>0</v>
      </c>
      <c r="CG76" s="1188">
        <f t="shared" si="26"/>
        <v>0</v>
      </c>
      <c r="CH76" s="1236"/>
      <c r="CI76" s="1236"/>
      <c r="CJ76" s="1236"/>
      <c r="CK76" s="1188"/>
      <c r="CL76" s="1188"/>
    </row>
    <row r="77" s="1168" customFormat="1" customHeight="1" spans="1:90">
      <c r="A77" s="1245">
        <v>46107</v>
      </c>
      <c r="B77" s="1247"/>
      <c r="C77" s="1234"/>
      <c r="D77" s="1188" t="s">
        <v>496</v>
      </c>
      <c r="E77" s="1234"/>
      <c r="F77" s="1188" t="s">
        <v>497</v>
      </c>
      <c r="G77" s="1253" t="s">
        <v>91</v>
      </c>
      <c r="H77" s="1234" t="s">
        <v>92</v>
      </c>
      <c r="I77" s="1234">
        <v>2904</v>
      </c>
      <c r="J77" s="1234">
        <v>0</v>
      </c>
      <c r="K77" s="1234">
        <v>24</v>
      </c>
      <c r="L77" s="1246">
        <f t="shared" si="15"/>
        <v>121</v>
      </c>
      <c r="M77" s="1255">
        <v>46152</v>
      </c>
      <c r="N77" s="1255">
        <v>46148</v>
      </c>
      <c r="O77" s="1255"/>
      <c r="P77" s="1233"/>
      <c r="Q77" s="1233" t="s">
        <v>106</v>
      </c>
      <c r="R77" s="1234"/>
      <c r="S77" s="1234"/>
      <c r="T77" s="1233">
        <v>2904</v>
      </c>
      <c r="U77" s="1233">
        <f t="shared" si="27"/>
        <v>0</v>
      </c>
      <c r="V77" s="1234" t="s">
        <v>95</v>
      </c>
      <c r="W77" s="1256">
        <v>46107</v>
      </c>
      <c r="X77" s="1257" t="s">
        <v>95</v>
      </c>
      <c r="Y77" s="1257"/>
      <c r="Z77" s="1247"/>
      <c r="AA77" s="1247"/>
      <c r="AB77" s="1247"/>
      <c r="AC77" s="1247" t="s">
        <v>498</v>
      </c>
      <c r="AD77" s="1255"/>
      <c r="AE77" s="1188"/>
      <c r="AF77" s="1248"/>
      <c r="AG77" s="1258"/>
      <c r="AH77" s="1234" t="s">
        <v>91</v>
      </c>
      <c r="AI77" s="1234" t="s">
        <v>112</v>
      </c>
      <c r="AJ77" s="1234" t="s">
        <v>113</v>
      </c>
      <c r="AK77" s="1188">
        <f t="shared" si="28"/>
        <v>2904</v>
      </c>
      <c r="AL77" s="1188"/>
      <c r="AM77" s="1188"/>
      <c r="AN77" s="1188">
        <f t="shared" ref="AN77:AN88" si="31">I77</f>
        <v>2904</v>
      </c>
      <c r="AO77" s="1188"/>
      <c r="AP77" s="1188"/>
      <c r="AQ77" s="1240"/>
      <c r="AR77" s="1188"/>
      <c r="AS77" s="1236"/>
      <c r="AT77" s="1236"/>
      <c r="AU77" s="1188">
        <f t="shared" si="29"/>
        <v>2904</v>
      </c>
      <c r="AV77" s="1250">
        <f t="shared" si="30"/>
        <v>174.24</v>
      </c>
      <c r="AW77" s="1250"/>
      <c r="AX77" s="1188"/>
      <c r="AY77" s="1188"/>
      <c r="AZ77" s="1188"/>
      <c r="BA77" s="1188"/>
      <c r="BB77" s="1188"/>
      <c r="BC77" s="1188"/>
      <c r="BD77" s="1188"/>
      <c r="BE77" s="1188"/>
      <c r="BF77" s="1188"/>
      <c r="BG77" s="1188"/>
      <c r="BH77" s="1188"/>
      <c r="BI77" s="1188"/>
      <c r="BJ77" s="1188"/>
      <c r="BK77" s="1188"/>
      <c r="BL77" s="1188"/>
      <c r="BM77" s="1188"/>
      <c r="BN77" s="1188"/>
      <c r="BO77" s="1240"/>
      <c r="BP77" s="1240"/>
      <c r="BQ77" s="1188"/>
      <c r="BR77" s="1236"/>
      <c r="BS77" s="1188"/>
      <c r="BT77" s="1188"/>
      <c r="BU77" s="1188"/>
      <c r="BV77" s="1240"/>
      <c r="BW77" s="1188"/>
      <c r="BX77" s="1188"/>
      <c r="BY77" s="1188"/>
      <c r="BZ77" s="1188"/>
      <c r="CA77" s="1188"/>
      <c r="CB77" s="1188"/>
      <c r="CC77" s="1188"/>
      <c r="CD77" s="1188">
        <f t="shared" si="23"/>
        <v>0</v>
      </c>
      <c r="CE77" s="1188">
        <f t="shared" si="24"/>
        <v>0</v>
      </c>
      <c r="CF77" s="1188">
        <f t="shared" si="25"/>
        <v>0</v>
      </c>
      <c r="CG77" s="1188">
        <f t="shared" si="26"/>
        <v>0</v>
      </c>
      <c r="CH77" s="1236"/>
      <c r="CI77" s="1236"/>
      <c r="CJ77" s="1236"/>
      <c r="CK77" s="1188"/>
      <c r="CL77" s="1188"/>
    </row>
    <row r="78" s="1168" customFormat="1" customHeight="1" spans="1:90">
      <c r="A78" s="1245">
        <v>46093</v>
      </c>
      <c r="B78" s="1247" t="s">
        <v>499</v>
      </c>
      <c r="C78" s="1234" t="s">
        <v>115</v>
      </c>
      <c r="D78" s="1188">
        <v>4500196503</v>
      </c>
      <c r="E78" s="1233">
        <v>980444077</v>
      </c>
      <c r="F78" s="1188" t="s">
        <v>500</v>
      </c>
      <c r="G78" s="1253" t="s">
        <v>380</v>
      </c>
      <c r="H78" s="1234" t="s">
        <v>381</v>
      </c>
      <c r="I78" s="1254">
        <v>17792</v>
      </c>
      <c r="J78" s="1234">
        <v>0</v>
      </c>
      <c r="K78" s="1234">
        <v>16</v>
      </c>
      <c r="L78" s="1246">
        <f t="shared" si="15"/>
        <v>1112</v>
      </c>
      <c r="M78" s="1255">
        <v>46153</v>
      </c>
      <c r="N78" s="1255">
        <v>46149</v>
      </c>
      <c r="O78" s="1255"/>
      <c r="P78" s="1233" t="s">
        <v>501</v>
      </c>
      <c r="Q78" s="1233" t="s">
        <v>106</v>
      </c>
      <c r="R78" s="1234"/>
      <c r="S78" s="1234"/>
      <c r="T78" s="1233">
        <v>17792</v>
      </c>
      <c r="U78" s="1233">
        <f t="shared" si="27"/>
        <v>0</v>
      </c>
      <c r="V78" s="1234" t="s">
        <v>120</v>
      </c>
      <c r="W78" s="1256">
        <v>46099</v>
      </c>
      <c r="X78" s="1257" t="s">
        <v>95</v>
      </c>
      <c r="Y78" s="1257" t="s">
        <v>352</v>
      </c>
      <c r="Z78" s="1247"/>
      <c r="AA78" s="1247"/>
      <c r="AB78" s="1247"/>
      <c r="AC78" s="1247" t="s">
        <v>502</v>
      </c>
      <c r="AD78" s="1255" t="s">
        <v>503</v>
      </c>
      <c r="AE78" s="1267">
        <v>0.78</v>
      </c>
      <c r="AF78" s="1248">
        <f>AE78*I78</f>
        <v>13877.76</v>
      </c>
      <c r="AG78" s="1249" t="s">
        <v>504</v>
      </c>
      <c r="AH78" s="1234" t="s">
        <v>380</v>
      </c>
      <c r="AI78" s="1234" t="s">
        <v>112</v>
      </c>
      <c r="AJ78" s="1234" t="s">
        <v>113</v>
      </c>
      <c r="AK78" s="1188">
        <f t="shared" si="28"/>
        <v>17792</v>
      </c>
      <c r="AL78" s="1188"/>
      <c r="AM78" s="1188"/>
      <c r="AN78" s="1188">
        <f t="shared" si="31"/>
        <v>17792</v>
      </c>
      <c r="AO78" s="1188"/>
      <c r="AP78" s="1188"/>
      <c r="AQ78" s="1240"/>
      <c r="AR78" s="1188"/>
      <c r="AS78" s="1260"/>
      <c r="AT78" s="1260"/>
      <c r="AU78" s="1188">
        <f t="shared" si="29"/>
        <v>17792</v>
      </c>
      <c r="AV78" s="1250">
        <f t="shared" si="30"/>
        <v>1067.52</v>
      </c>
      <c r="AW78" s="1250"/>
      <c r="AX78" s="1188"/>
      <c r="AY78" s="1188"/>
      <c r="AZ78" s="1188"/>
      <c r="BA78" s="1188"/>
      <c r="BB78" s="1188"/>
      <c r="BC78" s="1188"/>
      <c r="BD78" s="1188"/>
      <c r="BE78" s="1188"/>
      <c r="BF78" s="1188"/>
      <c r="BG78" s="1188"/>
      <c r="BH78" s="1188"/>
      <c r="BI78" s="1188"/>
      <c r="BJ78" s="1188"/>
      <c r="BK78" s="1188"/>
      <c r="BL78" s="1188"/>
      <c r="BM78" s="1188"/>
      <c r="BN78" s="1188"/>
      <c r="BO78" s="1240"/>
      <c r="BP78" s="1240"/>
      <c r="BQ78" s="1188"/>
      <c r="BR78" s="1236">
        <f>I78/16</f>
        <v>1112</v>
      </c>
      <c r="BS78" s="1188"/>
      <c r="BT78" s="1188"/>
      <c r="BU78" s="1188"/>
      <c r="BV78" s="1240"/>
      <c r="BW78" s="1188"/>
      <c r="BX78" s="1188"/>
      <c r="BY78" s="1188"/>
      <c r="BZ78" s="1188"/>
      <c r="CA78" s="1188"/>
      <c r="CB78" s="1188"/>
      <c r="CC78" s="1188"/>
      <c r="CD78" s="1188">
        <f t="shared" si="23"/>
        <v>1112</v>
      </c>
      <c r="CE78" s="1188">
        <f t="shared" si="24"/>
        <v>0</v>
      </c>
      <c r="CF78" s="1188">
        <f t="shared" si="25"/>
        <v>0</v>
      </c>
      <c r="CG78" s="1188">
        <f t="shared" si="26"/>
        <v>0</v>
      </c>
      <c r="CH78" s="1236"/>
      <c r="CI78" s="1236"/>
      <c r="CJ78" s="1236"/>
      <c r="CK78" s="1188"/>
      <c r="CL78" s="1188"/>
    </row>
    <row r="79" s="1168" customFormat="1" customHeight="1" spans="1:90">
      <c r="A79" s="1245">
        <v>46093</v>
      </c>
      <c r="B79" s="1247" t="s">
        <v>499</v>
      </c>
      <c r="C79" s="1234" t="s">
        <v>115</v>
      </c>
      <c r="D79" s="1188">
        <v>4500196503</v>
      </c>
      <c r="E79" s="1233">
        <v>980444112</v>
      </c>
      <c r="F79" s="1188" t="s">
        <v>505</v>
      </c>
      <c r="G79" s="1253" t="s">
        <v>380</v>
      </c>
      <c r="H79" s="1234" t="s">
        <v>381</v>
      </c>
      <c r="I79" s="1254">
        <v>15680</v>
      </c>
      <c r="J79" s="1234">
        <v>0</v>
      </c>
      <c r="K79" s="1234">
        <v>16</v>
      </c>
      <c r="L79" s="1246">
        <f t="shared" si="15"/>
        <v>980</v>
      </c>
      <c r="M79" s="1255">
        <v>46153</v>
      </c>
      <c r="N79" s="1255">
        <v>46149</v>
      </c>
      <c r="O79" s="1255"/>
      <c r="P79" s="1233" t="s">
        <v>501</v>
      </c>
      <c r="Q79" s="1233" t="s">
        <v>106</v>
      </c>
      <c r="R79" s="1234"/>
      <c r="S79" s="1234"/>
      <c r="T79" s="1233">
        <v>15680</v>
      </c>
      <c r="U79" s="1233">
        <f t="shared" si="27"/>
        <v>0</v>
      </c>
      <c r="V79" s="1234" t="s">
        <v>120</v>
      </c>
      <c r="W79" s="1256">
        <v>46099</v>
      </c>
      <c r="X79" s="1257" t="s">
        <v>95</v>
      </c>
      <c r="Y79" s="1257" t="s">
        <v>352</v>
      </c>
      <c r="Z79" s="1247"/>
      <c r="AA79" s="1247"/>
      <c r="AB79" s="1247"/>
      <c r="AC79" s="1247" t="s">
        <v>502</v>
      </c>
      <c r="AD79" s="1255" t="s">
        <v>503</v>
      </c>
      <c r="AE79" s="1267">
        <v>0.78</v>
      </c>
      <c r="AF79" s="1248">
        <f>AE79*I79</f>
        <v>12230.4</v>
      </c>
      <c r="AG79" s="1249" t="s">
        <v>506</v>
      </c>
      <c r="AH79" s="1234" t="s">
        <v>380</v>
      </c>
      <c r="AI79" s="1234" t="s">
        <v>112</v>
      </c>
      <c r="AJ79" s="1234" t="s">
        <v>113</v>
      </c>
      <c r="AK79" s="1188">
        <f t="shared" si="28"/>
        <v>15680</v>
      </c>
      <c r="AL79" s="1188"/>
      <c r="AM79" s="1188"/>
      <c r="AN79" s="1188">
        <f t="shared" si="31"/>
        <v>15680</v>
      </c>
      <c r="AO79" s="1188"/>
      <c r="AP79" s="1188"/>
      <c r="AQ79" s="1240"/>
      <c r="AR79" s="1188"/>
      <c r="AS79" s="1236"/>
      <c r="AT79" s="1236"/>
      <c r="AU79" s="1188">
        <f t="shared" si="29"/>
        <v>15680</v>
      </c>
      <c r="AV79" s="1250">
        <f t="shared" si="30"/>
        <v>940.8</v>
      </c>
      <c r="AW79" s="1250"/>
      <c r="AX79" s="1188"/>
      <c r="AY79" s="1188"/>
      <c r="AZ79" s="1188"/>
      <c r="BA79" s="1188"/>
      <c r="BB79" s="1188"/>
      <c r="BC79" s="1188"/>
      <c r="BD79" s="1188"/>
      <c r="BE79" s="1188"/>
      <c r="BF79" s="1188"/>
      <c r="BG79" s="1188"/>
      <c r="BH79" s="1188"/>
      <c r="BI79" s="1188"/>
      <c r="BJ79" s="1188"/>
      <c r="BK79" s="1188"/>
      <c r="BL79" s="1188"/>
      <c r="BM79" s="1188"/>
      <c r="BN79" s="1188"/>
      <c r="BO79" s="1240"/>
      <c r="BP79" s="1240"/>
      <c r="BQ79" s="1188"/>
      <c r="BR79" s="1236">
        <f>I79/16</f>
        <v>980</v>
      </c>
      <c r="BS79" s="1188"/>
      <c r="BT79" s="1188"/>
      <c r="BU79" s="1188"/>
      <c r="BV79" s="1240"/>
      <c r="BW79" s="1188"/>
      <c r="BX79" s="1188"/>
      <c r="BY79" s="1188"/>
      <c r="BZ79" s="1188"/>
      <c r="CA79" s="1188"/>
      <c r="CB79" s="1188"/>
      <c r="CC79" s="1188"/>
      <c r="CD79" s="1188">
        <f t="shared" si="23"/>
        <v>980</v>
      </c>
      <c r="CE79" s="1188">
        <f t="shared" si="24"/>
        <v>0</v>
      </c>
      <c r="CF79" s="1188">
        <f t="shared" si="25"/>
        <v>0</v>
      </c>
      <c r="CG79" s="1188">
        <f t="shared" si="26"/>
        <v>0</v>
      </c>
      <c r="CH79" s="1236"/>
      <c r="CI79" s="1236"/>
      <c r="CJ79" s="1236"/>
      <c r="CK79" s="1188"/>
      <c r="CL79" s="1188"/>
    </row>
    <row r="80" s="1168" customFormat="1" customHeight="1" spans="1:90">
      <c r="A80" s="1245">
        <v>46095</v>
      </c>
      <c r="B80" s="1247" t="s">
        <v>507</v>
      </c>
      <c r="C80" s="1234" t="s">
        <v>508</v>
      </c>
      <c r="D80" s="1188">
        <v>4500196881</v>
      </c>
      <c r="E80" s="1233">
        <v>2599183</v>
      </c>
      <c r="F80" s="1188" t="s">
        <v>509</v>
      </c>
      <c r="G80" s="1253" t="s">
        <v>510</v>
      </c>
      <c r="H80" s="1234" t="s">
        <v>194</v>
      </c>
      <c r="I80" s="1254">
        <v>5239</v>
      </c>
      <c r="J80" s="1234">
        <v>0</v>
      </c>
      <c r="K80" s="1234">
        <v>13</v>
      </c>
      <c r="L80" s="1246">
        <f t="shared" si="15"/>
        <v>403</v>
      </c>
      <c r="M80" s="1255">
        <v>46153</v>
      </c>
      <c r="N80" s="1255">
        <f>M80-4</f>
        <v>46149</v>
      </c>
      <c r="O80" s="1255"/>
      <c r="P80" s="1233"/>
      <c r="Q80" s="1233" t="s">
        <v>106</v>
      </c>
      <c r="R80" s="1234"/>
      <c r="S80" s="1234"/>
      <c r="T80" s="1233">
        <v>5239</v>
      </c>
      <c r="U80" s="1233">
        <f t="shared" si="27"/>
        <v>0</v>
      </c>
      <c r="V80" s="1234"/>
      <c r="W80" s="1256">
        <v>46097</v>
      </c>
      <c r="X80" s="1257" t="s">
        <v>107</v>
      </c>
      <c r="Y80" s="1257" t="s">
        <v>511</v>
      </c>
      <c r="Z80" s="1247" t="s">
        <v>360</v>
      </c>
      <c r="AA80" s="1247"/>
      <c r="AB80" s="1247"/>
      <c r="AC80" s="1247" t="s">
        <v>512</v>
      </c>
      <c r="AD80" s="1255" t="s">
        <v>513</v>
      </c>
      <c r="AE80" s="1188">
        <v>1.2</v>
      </c>
      <c r="AF80" s="1248">
        <f>I80*AE80</f>
        <v>6286.8</v>
      </c>
      <c r="AG80" s="1258"/>
      <c r="AH80" s="1253" t="s">
        <v>289</v>
      </c>
      <c r="AI80" s="1234" t="s">
        <v>112</v>
      </c>
      <c r="AJ80" s="1234" t="s">
        <v>113</v>
      </c>
      <c r="AK80" s="1188">
        <f t="shared" si="28"/>
        <v>5239</v>
      </c>
      <c r="AL80" s="1188"/>
      <c r="AM80" s="1188"/>
      <c r="AN80" s="1188">
        <f t="shared" si="31"/>
        <v>5239</v>
      </c>
      <c r="AO80" s="1188"/>
      <c r="AP80" s="1188"/>
      <c r="AQ80" s="1240"/>
      <c r="AR80" s="1188"/>
      <c r="AS80" s="1236"/>
      <c r="AT80" s="1236"/>
      <c r="AU80" s="1188">
        <f t="shared" si="29"/>
        <v>5239</v>
      </c>
      <c r="AV80" s="1250">
        <f t="shared" si="30"/>
        <v>314.34</v>
      </c>
      <c r="AW80" s="1250"/>
      <c r="AX80" s="1188"/>
      <c r="AY80" s="1188"/>
      <c r="AZ80" s="1188"/>
      <c r="BA80" s="1188"/>
      <c r="BB80" s="1188"/>
      <c r="BC80" s="1188"/>
      <c r="BD80" s="1188"/>
      <c r="BE80" s="1188"/>
      <c r="BF80" s="1188"/>
      <c r="BG80" s="1188"/>
      <c r="BH80" s="1188"/>
      <c r="BI80" s="1188"/>
      <c r="BJ80" s="1188"/>
      <c r="BK80" s="1188">
        <f>I80/13</f>
        <v>403</v>
      </c>
      <c r="BL80" s="1188"/>
      <c r="BM80" s="1188"/>
      <c r="BN80" s="1188"/>
      <c r="BO80" s="1240"/>
      <c r="BP80" s="1240"/>
      <c r="BQ80" s="1188"/>
      <c r="BR80" s="1236"/>
      <c r="BS80" s="1188"/>
      <c r="BT80" s="1188"/>
      <c r="BU80" s="1188"/>
      <c r="BV80" s="1240"/>
      <c r="BW80" s="1188"/>
      <c r="BX80" s="1188"/>
      <c r="BY80" s="1188"/>
      <c r="BZ80" s="1188"/>
      <c r="CA80" s="1188"/>
      <c r="CB80" s="1188"/>
      <c r="CC80" s="1188"/>
      <c r="CD80" s="1188">
        <f t="shared" si="23"/>
        <v>0</v>
      </c>
      <c r="CE80" s="1188">
        <f t="shared" si="24"/>
        <v>0</v>
      </c>
      <c r="CF80" s="1188">
        <f t="shared" si="25"/>
        <v>0</v>
      </c>
      <c r="CG80" s="1188">
        <f t="shared" si="26"/>
        <v>0</v>
      </c>
      <c r="CH80" s="1236"/>
      <c r="CI80" s="1236"/>
      <c r="CJ80" s="1236"/>
      <c r="CK80" s="1188"/>
      <c r="CL80" s="1188"/>
    </row>
    <row r="81" s="1168" customFormat="1" customHeight="1" spans="1:111">
      <c r="A81" s="1245">
        <v>46106</v>
      </c>
      <c r="B81" s="1247" t="s">
        <v>346</v>
      </c>
      <c r="C81" s="1234" t="s">
        <v>115</v>
      </c>
      <c r="D81" s="1188">
        <v>4500197333</v>
      </c>
      <c r="E81" s="1890" t="s">
        <v>514</v>
      </c>
      <c r="F81" s="1188" t="s">
        <v>515</v>
      </c>
      <c r="G81" s="1253" t="s">
        <v>349</v>
      </c>
      <c r="H81" s="1234" t="s">
        <v>350</v>
      </c>
      <c r="I81" s="1254">
        <v>15360</v>
      </c>
      <c r="J81" s="1234">
        <v>0</v>
      </c>
      <c r="K81" s="1234">
        <v>960</v>
      </c>
      <c r="L81" s="1246">
        <f t="shared" si="15"/>
        <v>16</v>
      </c>
      <c r="M81" s="1255">
        <v>46153</v>
      </c>
      <c r="N81" s="1255">
        <v>46149</v>
      </c>
      <c r="O81" s="1255"/>
      <c r="P81" s="1233" t="s">
        <v>516</v>
      </c>
      <c r="Q81" s="1233" t="s">
        <v>106</v>
      </c>
      <c r="R81" s="1234"/>
      <c r="S81" s="1234"/>
      <c r="T81" s="1233">
        <v>15360</v>
      </c>
      <c r="U81" s="1233">
        <f t="shared" si="27"/>
        <v>0</v>
      </c>
      <c r="V81" s="1234" t="s">
        <v>120</v>
      </c>
      <c r="W81" s="1256" t="s">
        <v>459</v>
      </c>
      <c r="X81" s="1257" t="s">
        <v>95</v>
      </c>
      <c r="Y81" s="1257" t="s">
        <v>460</v>
      </c>
      <c r="Z81" s="1247"/>
      <c r="AA81" s="1247"/>
      <c r="AB81" s="1247"/>
      <c r="AC81" s="1247" t="s">
        <v>517</v>
      </c>
      <c r="AD81" s="1255" t="s">
        <v>354</v>
      </c>
      <c r="AE81" s="1188">
        <v>645.1438</v>
      </c>
      <c r="AF81" s="1248">
        <f>AE81*L81</f>
        <v>10322.3008</v>
      </c>
      <c r="AG81" s="1258" t="s">
        <v>518</v>
      </c>
      <c r="AH81" s="1234" t="s">
        <v>356</v>
      </c>
      <c r="AI81" s="1234" t="s">
        <v>112</v>
      </c>
      <c r="AJ81" s="1234" t="s">
        <v>113</v>
      </c>
      <c r="AK81" s="1188">
        <f t="shared" si="28"/>
        <v>15360</v>
      </c>
      <c r="AL81" s="1188"/>
      <c r="AM81" s="1188"/>
      <c r="AN81" s="1188">
        <f t="shared" si="31"/>
        <v>15360</v>
      </c>
      <c r="AO81" s="1188"/>
      <c r="AP81" s="1188"/>
      <c r="AQ81" s="1240"/>
      <c r="AR81" s="1188"/>
      <c r="AS81" s="1236"/>
      <c r="AT81" s="1236"/>
      <c r="AU81" s="1188">
        <f t="shared" si="29"/>
        <v>15360</v>
      </c>
      <c r="AV81" s="1250">
        <f t="shared" si="30"/>
        <v>921.6</v>
      </c>
      <c r="AW81" s="1250"/>
      <c r="AX81" s="1188"/>
      <c r="AY81" s="1188"/>
      <c r="AZ81" s="1188"/>
      <c r="BA81" s="1188"/>
      <c r="BB81" s="1188"/>
      <c r="BC81" s="1188"/>
      <c r="BD81" s="1188"/>
      <c r="BE81" s="1188"/>
      <c r="BF81" s="1188"/>
      <c r="BG81" s="1188"/>
      <c r="BH81" s="1188"/>
      <c r="BI81" s="1188"/>
      <c r="BJ81" s="1188"/>
      <c r="BK81" s="1188"/>
      <c r="BL81" s="1188"/>
      <c r="BM81" s="1188"/>
      <c r="BN81" s="1188"/>
      <c r="BO81" s="1240"/>
      <c r="BP81" s="1240"/>
      <c r="BQ81" s="1188"/>
      <c r="BR81" s="1236">
        <f>I81/16</f>
        <v>960</v>
      </c>
      <c r="BS81" s="1188"/>
      <c r="BT81" s="1188"/>
      <c r="BU81" s="1188"/>
      <c r="BV81" s="1240"/>
      <c r="BW81" s="1188"/>
      <c r="BX81" s="1188"/>
      <c r="BY81" s="1188"/>
      <c r="BZ81" s="1188"/>
      <c r="CA81" s="1188"/>
      <c r="CB81" s="1188"/>
      <c r="CC81" s="1188"/>
      <c r="CD81" s="1188">
        <f t="shared" si="23"/>
        <v>960</v>
      </c>
      <c r="CE81" s="1188">
        <f t="shared" si="24"/>
        <v>0</v>
      </c>
      <c r="CF81" s="1188">
        <f t="shared" si="25"/>
        <v>0</v>
      </c>
      <c r="CG81" s="1188">
        <f t="shared" si="26"/>
        <v>0</v>
      </c>
      <c r="CH81" s="1236"/>
      <c r="CI81" s="1236"/>
      <c r="CJ81" s="1236"/>
      <c r="CK81" s="1188"/>
      <c r="CL81" s="1188"/>
    </row>
    <row r="82" s="1168" customFormat="1" customHeight="1" spans="1:111">
      <c r="A82" s="1245">
        <v>46106</v>
      </c>
      <c r="B82" s="1247" t="s">
        <v>346</v>
      </c>
      <c r="C82" s="1234" t="s">
        <v>115</v>
      </c>
      <c r="D82" s="1188">
        <v>4500197278</v>
      </c>
      <c r="E82" s="1890" t="s">
        <v>519</v>
      </c>
      <c r="F82" s="1188" t="s">
        <v>520</v>
      </c>
      <c r="G82" s="1253" t="s">
        <v>349</v>
      </c>
      <c r="H82" s="1234" t="s">
        <v>350</v>
      </c>
      <c r="I82" s="1254">
        <v>10560</v>
      </c>
      <c r="J82" s="1234">
        <v>0</v>
      </c>
      <c r="K82" s="1234">
        <v>960</v>
      </c>
      <c r="L82" s="1246">
        <f t="shared" si="15"/>
        <v>11</v>
      </c>
      <c r="M82" s="1255">
        <v>46153</v>
      </c>
      <c r="N82" s="1255">
        <v>46149</v>
      </c>
      <c r="O82" s="1255"/>
      <c r="P82" s="1233" t="s">
        <v>516</v>
      </c>
      <c r="Q82" s="1233" t="s">
        <v>106</v>
      </c>
      <c r="R82" s="1234"/>
      <c r="S82" s="1234"/>
      <c r="T82" s="1233">
        <v>10560</v>
      </c>
      <c r="U82" s="1233">
        <f t="shared" si="27"/>
        <v>0</v>
      </c>
      <c r="V82" s="1234" t="s">
        <v>120</v>
      </c>
      <c r="W82" s="1256" t="s">
        <v>459</v>
      </c>
      <c r="X82" s="1257" t="s">
        <v>95</v>
      </c>
      <c r="Y82" s="1257" t="s">
        <v>460</v>
      </c>
      <c r="Z82" s="1247"/>
      <c r="AA82" s="1247"/>
      <c r="AB82" s="1247"/>
      <c r="AC82" s="1247" t="s">
        <v>517</v>
      </c>
      <c r="AD82" s="1255" t="s">
        <v>354</v>
      </c>
      <c r="AE82" s="1188">
        <v>645.1436</v>
      </c>
      <c r="AF82" s="1248">
        <f>AE82*L82</f>
        <v>7096.5796</v>
      </c>
      <c r="AG82" s="1258" t="s">
        <v>518</v>
      </c>
      <c r="AH82" s="1234" t="s">
        <v>356</v>
      </c>
      <c r="AI82" s="1234" t="s">
        <v>112</v>
      </c>
      <c r="AJ82" s="1234" t="s">
        <v>113</v>
      </c>
      <c r="AK82" s="1188">
        <f t="shared" si="28"/>
        <v>10560</v>
      </c>
      <c r="AL82" s="1188"/>
      <c r="AM82" s="1188"/>
      <c r="AN82" s="1188">
        <f t="shared" si="31"/>
        <v>10560</v>
      </c>
      <c r="AO82" s="1188"/>
      <c r="AP82" s="1188"/>
      <c r="AQ82" s="1240"/>
      <c r="AR82" s="1188"/>
      <c r="AS82" s="1236"/>
      <c r="AT82" s="1236"/>
      <c r="AU82" s="1188">
        <f t="shared" si="29"/>
        <v>10560</v>
      </c>
      <c r="AV82" s="1250">
        <f t="shared" si="30"/>
        <v>633.6</v>
      </c>
      <c r="AW82" s="1250"/>
      <c r="AX82" s="1188"/>
      <c r="AY82" s="1188"/>
      <c r="AZ82" s="1188"/>
      <c r="BA82" s="1188"/>
      <c r="BB82" s="1188"/>
      <c r="BC82" s="1188"/>
      <c r="BD82" s="1188"/>
      <c r="BE82" s="1188"/>
      <c r="BF82" s="1188"/>
      <c r="BG82" s="1188"/>
      <c r="BH82" s="1188"/>
      <c r="BI82" s="1188"/>
      <c r="BJ82" s="1188"/>
      <c r="BK82" s="1188"/>
      <c r="BL82" s="1188"/>
      <c r="BM82" s="1188"/>
      <c r="BN82" s="1188"/>
      <c r="BO82" s="1240"/>
      <c r="BP82" s="1240"/>
      <c r="BQ82" s="1188"/>
      <c r="BR82" s="1236">
        <f>I82/16</f>
        <v>660</v>
      </c>
      <c r="BS82" s="1188"/>
      <c r="BT82" s="1188"/>
      <c r="BU82" s="1188"/>
      <c r="BV82" s="1240"/>
      <c r="BW82" s="1188"/>
      <c r="BX82" s="1188"/>
      <c r="BY82" s="1188"/>
      <c r="BZ82" s="1188"/>
      <c r="CA82" s="1188"/>
      <c r="CB82" s="1188"/>
      <c r="CC82" s="1188"/>
      <c r="CD82" s="1188">
        <f t="shared" si="23"/>
        <v>660</v>
      </c>
      <c r="CE82" s="1188">
        <f t="shared" si="24"/>
        <v>0</v>
      </c>
      <c r="CF82" s="1188">
        <f t="shared" si="25"/>
        <v>0</v>
      </c>
      <c r="CG82" s="1188">
        <f t="shared" si="26"/>
        <v>0</v>
      </c>
      <c r="CH82" s="1236"/>
      <c r="CI82" s="1236"/>
      <c r="CJ82" s="1236"/>
      <c r="CK82" s="1188"/>
      <c r="CL82" s="1188"/>
    </row>
    <row r="83" s="1168" customFormat="1" customHeight="1" spans="1:111">
      <c r="A83" s="1245">
        <v>46062</v>
      </c>
      <c r="B83" s="1247" t="s">
        <v>521</v>
      </c>
      <c r="C83" s="1234" t="s">
        <v>101</v>
      </c>
      <c r="D83" s="1188">
        <v>4500193541</v>
      </c>
      <c r="E83" s="1234">
        <v>21680609</v>
      </c>
      <c r="F83" s="1188" t="s">
        <v>522</v>
      </c>
      <c r="G83" s="1253" t="s">
        <v>510</v>
      </c>
      <c r="H83" s="1234" t="s">
        <v>194</v>
      </c>
      <c r="I83" s="1254">
        <v>585</v>
      </c>
      <c r="J83" s="1234">
        <v>0</v>
      </c>
      <c r="K83" s="1234">
        <v>13</v>
      </c>
      <c r="L83" s="1246">
        <f t="shared" si="15"/>
        <v>45</v>
      </c>
      <c r="M83" s="1255">
        <v>46153</v>
      </c>
      <c r="N83" s="1255">
        <f>M83-4</f>
        <v>46149</v>
      </c>
      <c r="O83" s="1255"/>
      <c r="P83" s="1233"/>
      <c r="Q83" s="1233" t="s">
        <v>106</v>
      </c>
      <c r="R83" s="1234"/>
      <c r="S83" s="1234"/>
      <c r="T83" s="1233">
        <v>585</v>
      </c>
      <c r="U83" s="1233">
        <f t="shared" si="27"/>
        <v>0</v>
      </c>
      <c r="V83" s="1234" t="s">
        <v>120</v>
      </c>
      <c r="W83" s="1256">
        <v>46088</v>
      </c>
      <c r="X83" s="1257" t="s">
        <v>107</v>
      </c>
      <c r="Y83" s="1257" t="s">
        <v>523</v>
      </c>
      <c r="Z83" s="1247" t="s">
        <v>360</v>
      </c>
      <c r="AA83" s="1247"/>
      <c r="AB83" s="1247"/>
      <c r="AC83" s="1247" t="s">
        <v>524</v>
      </c>
      <c r="AD83" s="1255" t="s">
        <v>362</v>
      </c>
      <c r="AE83" s="1188">
        <v>2.02</v>
      </c>
      <c r="AF83" s="1248">
        <f>I83*AE83</f>
        <v>1181.7</v>
      </c>
      <c r="AG83" s="1258"/>
      <c r="AH83" s="1234" t="s">
        <v>289</v>
      </c>
      <c r="AI83" s="1234" t="s">
        <v>112</v>
      </c>
      <c r="AJ83" s="1234" t="s">
        <v>113</v>
      </c>
      <c r="AK83" s="1188">
        <f t="shared" si="28"/>
        <v>585</v>
      </c>
      <c r="AL83" s="1188"/>
      <c r="AM83" s="1188"/>
      <c r="AN83" s="1188">
        <f t="shared" si="31"/>
        <v>585</v>
      </c>
      <c r="AO83" s="1188"/>
      <c r="AP83" s="1188"/>
      <c r="AQ83" s="1240"/>
      <c r="AR83" s="1188"/>
      <c r="AS83" s="1236"/>
      <c r="AT83" s="1236"/>
      <c r="AU83" s="1188">
        <f t="shared" si="29"/>
        <v>585</v>
      </c>
      <c r="AV83" s="1250">
        <f t="shared" si="30"/>
        <v>35.1</v>
      </c>
      <c r="AW83" s="1250"/>
      <c r="AX83" s="1188"/>
      <c r="AY83" s="1188"/>
      <c r="AZ83" s="1188"/>
      <c r="BA83" s="1188"/>
      <c r="BB83" s="1188"/>
      <c r="BC83" s="1188"/>
      <c r="BD83" s="1188"/>
      <c r="BE83" s="1188"/>
      <c r="BF83" s="1188"/>
      <c r="BG83" s="1188"/>
      <c r="BH83" s="1188"/>
      <c r="BI83" s="1188"/>
      <c r="BJ83" s="1188"/>
      <c r="BK83" s="1188">
        <f>I83/13</f>
        <v>45</v>
      </c>
      <c r="BL83" s="1188"/>
      <c r="BM83" s="1188"/>
      <c r="BN83" s="1188"/>
      <c r="BO83" s="1240"/>
      <c r="BP83" s="1240"/>
      <c r="BQ83" s="1188"/>
      <c r="BR83" s="1236"/>
      <c r="BS83" s="1188"/>
      <c r="BT83" s="1188"/>
      <c r="BU83" s="1188"/>
      <c r="BV83" s="1240"/>
      <c r="BW83" s="1188"/>
      <c r="BX83" s="1188"/>
      <c r="BY83" s="1188"/>
      <c r="BZ83" s="1188"/>
      <c r="CA83" s="1188"/>
      <c r="CB83" s="1188"/>
      <c r="CC83" s="1188"/>
      <c r="CD83" s="1188">
        <f t="shared" si="23"/>
        <v>0</v>
      </c>
      <c r="CE83" s="1188">
        <f t="shared" si="24"/>
        <v>0</v>
      </c>
      <c r="CF83" s="1188">
        <f t="shared" si="25"/>
        <v>0</v>
      </c>
      <c r="CG83" s="1188">
        <f t="shared" si="26"/>
        <v>0</v>
      </c>
      <c r="CH83" s="1236"/>
      <c r="CI83" s="1236"/>
      <c r="CJ83" s="1236"/>
      <c r="CK83" s="1188"/>
      <c r="CL83" s="1188"/>
    </row>
    <row r="84" s="1168" customFormat="1" customHeight="1" spans="1:111">
      <c r="A84" s="1245">
        <v>46062</v>
      </c>
      <c r="B84" s="1247" t="s">
        <v>525</v>
      </c>
      <c r="C84" s="1234" t="s">
        <v>508</v>
      </c>
      <c r="D84" s="1188">
        <v>4500193539</v>
      </c>
      <c r="E84" s="1234">
        <v>21680608</v>
      </c>
      <c r="F84" s="1188" t="s">
        <v>526</v>
      </c>
      <c r="G84" s="1253" t="s">
        <v>510</v>
      </c>
      <c r="H84" s="1234" t="s">
        <v>194</v>
      </c>
      <c r="I84" s="1254">
        <v>7293</v>
      </c>
      <c r="J84" s="1234">
        <v>0</v>
      </c>
      <c r="K84" s="1234">
        <v>13</v>
      </c>
      <c r="L84" s="1246">
        <f t="shared" si="15"/>
        <v>561</v>
      </c>
      <c r="M84" s="1255">
        <v>46153</v>
      </c>
      <c r="N84" s="1255">
        <f>M84-4</f>
        <v>46149</v>
      </c>
      <c r="O84" s="1255"/>
      <c r="P84" s="1233"/>
      <c r="Q84" s="1233" t="s">
        <v>106</v>
      </c>
      <c r="R84" s="1234"/>
      <c r="S84" s="1234"/>
      <c r="T84" s="1233">
        <v>7293</v>
      </c>
      <c r="U84" s="1233">
        <f t="shared" si="27"/>
        <v>0</v>
      </c>
      <c r="V84" s="1234" t="s">
        <v>120</v>
      </c>
      <c r="W84" s="1256">
        <v>46088</v>
      </c>
      <c r="X84" s="1257" t="s">
        <v>107</v>
      </c>
      <c r="Y84" s="1257">
        <v>46099</v>
      </c>
      <c r="Z84" s="1247" t="s">
        <v>360</v>
      </c>
      <c r="AA84" s="1247"/>
      <c r="AB84" s="1247"/>
      <c r="AC84" s="1247" t="s">
        <v>527</v>
      </c>
      <c r="AD84" s="1255" t="s">
        <v>362</v>
      </c>
      <c r="AE84" s="1188">
        <v>2.02</v>
      </c>
      <c r="AF84" s="1248">
        <f>I84*AE84</f>
        <v>14731.86</v>
      </c>
      <c r="AG84" s="1258"/>
      <c r="AH84" s="1234" t="s">
        <v>289</v>
      </c>
      <c r="AI84" s="1234" t="s">
        <v>112</v>
      </c>
      <c r="AJ84" s="1234" t="s">
        <v>113</v>
      </c>
      <c r="AK84" s="1188">
        <f t="shared" si="28"/>
        <v>7293</v>
      </c>
      <c r="AL84" s="1188"/>
      <c r="AM84" s="1188"/>
      <c r="AN84" s="1188">
        <f t="shared" si="31"/>
        <v>7293</v>
      </c>
      <c r="AO84" s="1188"/>
      <c r="AP84" s="1188"/>
      <c r="AQ84" s="1240"/>
      <c r="AR84" s="1188"/>
      <c r="AS84" s="1236"/>
      <c r="AT84" s="1236"/>
      <c r="AU84" s="1188">
        <f t="shared" si="29"/>
        <v>7293</v>
      </c>
      <c r="AV84" s="1250">
        <f t="shared" si="30"/>
        <v>437.58</v>
      </c>
      <c r="AW84" s="1250"/>
      <c r="AX84" s="1188"/>
      <c r="AY84" s="1188"/>
      <c r="AZ84" s="1188"/>
      <c r="BA84" s="1188"/>
      <c r="BB84" s="1188"/>
      <c r="BC84" s="1188"/>
      <c r="BD84" s="1188"/>
      <c r="BE84" s="1188"/>
      <c r="BF84" s="1188"/>
      <c r="BG84" s="1188"/>
      <c r="BH84" s="1188"/>
      <c r="BI84" s="1188"/>
      <c r="BJ84" s="1188"/>
      <c r="BK84" s="1188">
        <f>I84/13</f>
        <v>561</v>
      </c>
      <c r="BL84" s="1188"/>
      <c r="BM84" s="1188"/>
      <c r="BN84" s="1188"/>
      <c r="BO84" s="1240"/>
      <c r="BP84" s="1240"/>
      <c r="BQ84" s="1188"/>
      <c r="BR84" s="1236"/>
      <c r="BS84" s="1188"/>
      <c r="BT84" s="1188"/>
      <c r="BU84" s="1188"/>
      <c r="BV84" s="1240"/>
      <c r="BW84" s="1188"/>
      <c r="BX84" s="1188"/>
      <c r="BY84" s="1188"/>
      <c r="BZ84" s="1188"/>
      <c r="CA84" s="1188"/>
      <c r="CB84" s="1188"/>
      <c r="CC84" s="1188"/>
      <c r="CD84" s="1188">
        <f t="shared" si="23"/>
        <v>0</v>
      </c>
      <c r="CE84" s="1188">
        <f t="shared" si="24"/>
        <v>0</v>
      </c>
      <c r="CF84" s="1188">
        <f t="shared" si="25"/>
        <v>0</v>
      </c>
      <c r="CG84" s="1188">
        <f t="shared" si="26"/>
        <v>0</v>
      </c>
      <c r="CH84" s="1236"/>
      <c r="CI84" s="1236"/>
      <c r="CJ84" s="1236"/>
      <c r="CK84" s="1188"/>
      <c r="CL84" s="1188"/>
    </row>
    <row r="85" s="1168" customFormat="1" customHeight="1" spans="1:111">
      <c r="A85" s="1245">
        <v>46090</v>
      </c>
      <c r="B85" s="1247" t="s">
        <v>525</v>
      </c>
      <c r="C85" s="1234" t="s">
        <v>508</v>
      </c>
      <c r="D85" s="1188">
        <v>4500195654</v>
      </c>
      <c r="E85" s="1234">
        <v>21680610</v>
      </c>
      <c r="F85" s="1188" t="s">
        <v>526</v>
      </c>
      <c r="G85" s="1253" t="s">
        <v>510</v>
      </c>
      <c r="H85" s="1234" t="s">
        <v>194</v>
      </c>
      <c r="I85" s="1254">
        <v>1417</v>
      </c>
      <c r="J85" s="1234">
        <v>0</v>
      </c>
      <c r="K85" s="1234">
        <v>13</v>
      </c>
      <c r="L85" s="1246">
        <f t="shared" si="15"/>
        <v>109</v>
      </c>
      <c r="M85" s="1255">
        <v>46153</v>
      </c>
      <c r="N85" s="1255">
        <v>46149</v>
      </c>
      <c r="O85" s="1255"/>
      <c r="P85" s="1233"/>
      <c r="Q85" s="1233" t="s">
        <v>106</v>
      </c>
      <c r="R85" s="1234"/>
      <c r="S85" s="1234"/>
      <c r="T85" s="1233">
        <v>1417</v>
      </c>
      <c r="U85" s="1233">
        <f t="shared" si="27"/>
        <v>0</v>
      </c>
      <c r="V85" s="1234"/>
      <c r="W85" s="1256">
        <v>46107</v>
      </c>
      <c r="X85" s="1257" t="s">
        <v>107</v>
      </c>
      <c r="Y85" s="1257" t="s">
        <v>528</v>
      </c>
      <c r="Z85" s="1247" t="s">
        <v>360</v>
      </c>
      <c r="AA85" s="1247"/>
      <c r="AB85" s="1247"/>
      <c r="AC85" s="1247" t="s">
        <v>529</v>
      </c>
      <c r="AD85" s="1255" t="s">
        <v>362</v>
      </c>
      <c r="AE85" s="1188">
        <v>1.2</v>
      </c>
      <c r="AF85" s="1248">
        <f>I85*AE85</f>
        <v>1700.4</v>
      </c>
      <c r="AG85" s="1258"/>
      <c r="AH85" s="1234" t="s">
        <v>289</v>
      </c>
      <c r="AI85" s="1234" t="s">
        <v>112</v>
      </c>
      <c r="AJ85" s="1234" t="s">
        <v>113</v>
      </c>
      <c r="AK85" s="1188">
        <f t="shared" si="28"/>
        <v>1417</v>
      </c>
      <c r="AL85" s="1188"/>
      <c r="AM85" s="1188"/>
      <c r="AN85" s="1188">
        <f t="shared" si="31"/>
        <v>1417</v>
      </c>
      <c r="AO85" s="1188"/>
      <c r="AP85" s="1188"/>
      <c r="AQ85" s="1240"/>
      <c r="AR85" s="1188"/>
      <c r="AS85" s="1236"/>
      <c r="AT85" s="1236"/>
      <c r="AU85" s="1188">
        <f t="shared" si="29"/>
        <v>1417</v>
      </c>
      <c r="AV85" s="1250">
        <f t="shared" si="30"/>
        <v>85.02</v>
      </c>
      <c r="AW85" s="1250"/>
      <c r="AX85" s="1188"/>
      <c r="AY85" s="1188"/>
      <c r="AZ85" s="1188"/>
      <c r="BA85" s="1188"/>
      <c r="BB85" s="1188"/>
      <c r="BC85" s="1188"/>
      <c r="BD85" s="1188"/>
      <c r="BE85" s="1188"/>
      <c r="BF85" s="1188"/>
      <c r="BG85" s="1188"/>
      <c r="BH85" s="1188"/>
      <c r="BI85" s="1188"/>
      <c r="BJ85" s="1188"/>
      <c r="BK85" s="1188">
        <f>I85/13</f>
        <v>109</v>
      </c>
      <c r="BL85" s="1188"/>
      <c r="BM85" s="1188"/>
      <c r="BN85" s="1188"/>
      <c r="BO85" s="1240"/>
      <c r="BP85" s="1240"/>
      <c r="BQ85" s="1188"/>
      <c r="BR85" s="1236"/>
      <c r="BS85" s="1188"/>
      <c r="BT85" s="1188"/>
      <c r="BU85" s="1188"/>
      <c r="BV85" s="1240"/>
      <c r="BW85" s="1188"/>
      <c r="BX85" s="1188"/>
      <c r="BY85" s="1188"/>
      <c r="BZ85" s="1188"/>
      <c r="CA85" s="1188"/>
      <c r="CB85" s="1188"/>
      <c r="CC85" s="1188"/>
      <c r="CD85" s="1188">
        <f t="shared" si="23"/>
        <v>0</v>
      </c>
      <c r="CE85" s="1188">
        <f t="shared" si="24"/>
        <v>0</v>
      </c>
      <c r="CF85" s="1188">
        <f t="shared" si="25"/>
        <v>0</v>
      </c>
      <c r="CG85" s="1188">
        <f t="shared" si="26"/>
        <v>0</v>
      </c>
      <c r="CH85" s="1236"/>
      <c r="CI85" s="1236"/>
      <c r="CJ85" s="1236"/>
      <c r="CK85" s="1188"/>
      <c r="CL85" s="1188"/>
    </row>
    <row r="86" s="1168" customFormat="1" customHeight="1" spans="1:111">
      <c r="A86" s="1245">
        <v>46112</v>
      </c>
      <c r="B86" s="1247" t="s">
        <v>530</v>
      </c>
      <c r="C86" s="1234" t="s">
        <v>135</v>
      </c>
      <c r="D86" s="1268">
        <v>4500199237</v>
      </c>
      <c r="E86" s="1233">
        <v>89006289</v>
      </c>
      <c r="F86" s="1188" t="s">
        <v>531</v>
      </c>
      <c r="G86" s="1253" t="s">
        <v>532</v>
      </c>
      <c r="H86" s="1234" t="s">
        <v>194</v>
      </c>
      <c r="I86" s="1254">
        <v>6448</v>
      </c>
      <c r="J86" s="1234">
        <v>13</v>
      </c>
      <c r="K86" s="1234">
        <v>104</v>
      </c>
      <c r="L86" s="1246">
        <f t="shared" si="15"/>
        <v>62</v>
      </c>
      <c r="M86" s="1255">
        <v>46153</v>
      </c>
      <c r="N86" s="1255">
        <v>46149</v>
      </c>
      <c r="O86" s="1255"/>
      <c r="P86" s="1233"/>
      <c r="Q86" s="1233" t="s">
        <v>106</v>
      </c>
      <c r="R86" s="1234"/>
      <c r="S86" s="1234"/>
      <c r="T86" s="1233">
        <v>6448</v>
      </c>
      <c r="U86" s="1233">
        <f t="shared" si="27"/>
        <v>0</v>
      </c>
      <c r="V86" s="1234" t="s">
        <v>95</v>
      </c>
      <c r="W86" s="1256">
        <v>46129</v>
      </c>
      <c r="X86" s="1257" t="s">
        <v>95</v>
      </c>
      <c r="Y86" s="1257" t="s">
        <v>95</v>
      </c>
      <c r="Z86" s="1188" t="s">
        <v>140</v>
      </c>
      <c r="AA86" s="1188"/>
      <c r="AB86" s="1247"/>
      <c r="AC86" s="1247" t="s">
        <v>533</v>
      </c>
      <c r="AD86" s="1255" t="s">
        <v>142</v>
      </c>
      <c r="AE86" s="1188">
        <v>1.2</v>
      </c>
      <c r="AF86" s="1248">
        <f>I86*AE86</f>
        <v>7737.6</v>
      </c>
      <c r="AG86" s="1258"/>
      <c r="AH86" s="1253" t="s">
        <v>532</v>
      </c>
      <c r="AI86" s="1234" t="s">
        <v>112</v>
      </c>
      <c r="AJ86" s="1234" t="s">
        <v>113</v>
      </c>
      <c r="AK86" s="1188">
        <f t="shared" si="28"/>
        <v>6448</v>
      </c>
      <c r="AL86" s="1188"/>
      <c r="AM86" s="1188"/>
      <c r="AN86" s="1188">
        <f t="shared" si="31"/>
        <v>6448</v>
      </c>
      <c r="AO86" s="1188"/>
      <c r="AP86" s="1188"/>
      <c r="AQ86" s="1240"/>
      <c r="AR86" s="1188"/>
      <c r="AS86" s="1260"/>
      <c r="AT86" s="1260"/>
      <c r="AU86" s="1188">
        <f t="shared" si="29"/>
        <v>6448</v>
      </c>
      <c r="AV86" s="1250">
        <f>I86*0.06*2</f>
        <v>773.76</v>
      </c>
      <c r="AW86" s="1250"/>
      <c r="AX86" s="1188"/>
      <c r="AY86" s="1188"/>
      <c r="AZ86" s="1188"/>
      <c r="BA86" s="1188"/>
      <c r="BB86" s="1188"/>
      <c r="BC86" s="1188"/>
      <c r="BD86" s="1188"/>
      <c r="BE86" s="1188"/>
      <c r="BF86" s="1188"/>
      <c r="BG86" s="1188"/>
      <c r="BH86" s="1188"/>
      <c r="BI86" s="1188"/>
      <c r="BJ86" s="1188"/>
      <c r="BK86" s="1188">
        <f>I86/13</f>
        <v>496</v>
      </c>
      <c r="BL86" s="1188"/>
      <c r="BM86" s="1188"/>
      <c r="BN86" s="1188"/>
      <c r="BO86" s="1240"/>
      <c r="BP86" s="1240"/>
      <c r="BQ86" s="1188"/>
      <c r="BR86" s="1236"/>
      <c r="BS86" s="1188"/>
      <c r="BT86" s="1188"/>
      <c r="BU86" s="1188"/>
      <c r="BV86" s="1240"/>
      <c r="BW86" s="1188"/>
      <c r="BX86" s="1188"/>
      <c r="BY86" s="1188"/>
      <c r="BZ86" s="1188"/>
      <c r="CA86" s="1188"/>
      <c r="CB86" s="1188"/>
      <c r="CC86" s="1188"/>
      <c r="CD86" s="1188">
        <f t="shared" si="23"/>
        <v>0</v>
      </c>
      <c r="CE86" s="1188">
        <f t="shared" si="24"/>
        <v>0</v>
      </c>
      <c r="CF86" s="1188">
        <f t="shared" si="25"/>
        <v>0</v>
      </c>
      <c r="CG86" s="1188">
        <f t="shared" si="26"/>
        <v>0</v>
      </c>
      <c r="CH86" s="1236"/>
      <c r="CI86" s="1236"/>
      <c r="CJ86" s="1236"/>
      <c r="CK86" s="1188"/>
      <c r="CL86" s="1188"/>
    </row>
    <row r="87" s="1168" customFormat="1" customHeight="1" spans="1:111">
      <c r="A87" s="1245">
        <v>46093</v>
      </c>
      <c r="B87" s="1247" t="s">
        <v>499</v>
      </c>
      <c r="C87" s="1234" t="s">
        <v>115</v>
      </c>
      <c r="D87" s="1188">
        <v>4500196504</v>
      </c>
      <c r="E87" s="1233">
        <v>980444116</v>
      </c>
      <c r="F87" s="1188" t="s">
        <v>534</v>
      </c>
      <c r="G87" s="1253" t="s">
        <v>380</v>
      </c>
      <c r="H87" s="1234" t="s">
        <v>381</v>
      </c>
      <c r="I87" s="1254">
        <v>13440</v>
      </c>
      <c r="J87" s="1234">
        <v>0</v>
      </c>
      <c r="K87" s="1234">
        <v>16</v>
      </c>
      <c r="L87" s="1246">
        <f t="shared" si="15"/>
        <v>840</v>
      </c>
      <c r="M87" s="1255">
        <v>46156</v>
      </c>
      <c r="N87" s="1255">
        <v>46153</v>
      </c>
      <c r="O87" s="1255"/>
      <c r="P87" s="1233" t="s">
        <v>516</v>
      </c>
      <c r="Q87" s="1233" t="s">
        <v>106</v>
      </c>
      <c r="R87" s="1234"/>
      <c r="S87" s="1234"/>
      <c r="T87" s="1233">
        <v>13440</v>
      </c>
      <c r="U87" s="1233">
        <f t="shared" si="27"/>
        <v>0</v>
      </c>
      <c r="V87" s="1234" t="s">
        <v>120</v>
      </c>
      <c r="W87" s="1256">
        <v>46099</v>
      </c>
      <c r="X87" s="1257" t="s">
        <v>95</v>
      </c>
      <c r="Y87" s="1257" t="s">
        <v>352</v>
      </c>
      <c r="Z87" s="1247"/>
      <c r="AA87" s="1247"/>
      <c r="AB87" s="1247"/>
      <c r="AC87" s="1247" t="s">
        <v>502</v>
      </c>
      <c r="AD87" s="1255" t="s">
        <v>503</v>
      </c>
      <c r="AE87" s="1267">
        <v>0.78</v>
      </c>
      <c r="AF87" s="1248">
        <f>AE87*I87</f>
        <v>10483.2</v>
      </c>
      <c r="AG87" s="1249" t="s">
        <v>535</v>
      </c>
      <c r="AH87" s="1234" t="s">
        <v>380</v>
      </c>
      <c r="AI87" s="1234" t="s">
        <v>112</v>
      </c>
      <c r="AJ87" s="1234" t="s">
        <v>113</v>
      </c>
      <c r="AK87" s="1188">
        <f t="shared" si="28"/>
        <v>13440</v>
      </c>
      <c r="AL87" s="1188"/>
      <c r="AM87" s="1188"/>
      <c r="AN87" s="1188">
        <f t="shared" si="31"/>
        <v>13440</v>
      </c>
      <c r="AO87" s="1188"/>
      <c r="AP87" s="1188"/>
      <c r="AQ87" s="1240"/>
      <c r="AR87" s="1188"/>
      <c r="AS87" s="1260"/>
      <c r="AT87" s="1260"/>
      <c r="AU87" s="1188">
        <f t="shared" si="29"/>
        <v>13440</v>
      </c>
      <c r="AV87" s="1250">
        <f>I87*0.06</f>
        <v>806.4</v>
      </c>
      <c r="AW87" s="1250"/>
      <c r="AX87" s="1188"/>
      <c r="AY87" s="1188"/>
      <c r="AZ87" s="1188"/>
      <c r="BA87" s="1188"/>
      <c r="BB87" s="1188"/>
      <c r="BC87" s="1188"/>
      <c r="BD87" s="1188"/>
      <c r="BE87" s="1188"/>
      <c r="BF87" s="1188"/>
      <c r="BG87" s="1188"/>
      <c r="BH87" s="1188"/>
      <c r="BI87" s="1188"/>
      <c r="BJ87" s="1188"/>
      <c r="BK87" s="1188"/>
      <c r="BL87" s="1188"/>
      <c r="BM87" s="1188"/>
      <c r="BN87" s="1188"/>
      <c r="BO87" s="1240"/>
      <c r="BP87" s="1240"/>
      <c r="BQ87" s="1188"/>
      <c r="BR87" s="1236">
        <f>I87/16</f>
        <v>840</v>
      </c>
      <c r="BS87" s="1188"/>
      <c r="BT87" s="1188"/>
      <c r="BU87" s="1188"/>
      <c r="BV87" s="1240"/>
      <c r="BW87" s="1188"/>
      <c r="BX87" s="1188"/>
      <c r="BY87" s="1188"/>
      <c r="BZ87" s="1188"/>
      <c r="CA87" s="1188"/>
      <c r="CB87" s="1188"/>
      <c r="CC87" s="1188"/>
      <c r="CD87" s="1188">
        <f t="shared" si="23"/>
        <v>840</v>
      </c>
      <c r="CE87" s="1188">
        <f t="shared" si="24"/>
        <v>0</v>
      </c>
      <c r="CF87" s="1188">
        <f t="shared" si="25"/>
        <v>0</v>
      </c>
      <c r="CG87" s="1188">
        <f t="shared" si="26"/>
        <v>0</v>
      </c>
      <c r="CH87" s="1236"/>
      <c r="CI87" s="1236"/>
      <c r="CJ87" s="1236"/>
      <c r="CK87" s="1188"/>
      <c r="CL87" s="1188"/>
    </row>
    <row r="88" s="1168" customFormat="1" customHeight="1" spans="1:111">
      <c r="A88" s="1245">
        <v>46093</v>
      </c>
      <c r="B88" s="1247" t="s">
        <v>499</v>
      </c>
      <c r="C88" s="1234" t="s">
        <v>115</v>
      </c>
      <c r="D88" s="1188">
        <v>4500196504</v>
      </c>
      <c r="E88" s="1233">
        <v>980444121</v>
      </c>
      <c r="F88" s="1188" t="s">
        <v>536</v>
      </c>
      <c r="G88" s="1253" t="s">
        <v>380</v>
      </c>
      <c r="H88" s="1234" t="s">
        <v>381</v>
      </c>
      <c r="I88" s="1254">
        <v>21056</v>
      </c>
      <c r="J88" s="1234">
        <v>0</v>
      </c>
      <c r="K88" s="1234">
        <v>16</v>
      </c>
      <c r="L88" s="1246">
        <f t="shared" si="15"/>
        <v>1316</v>
      </c>
      <c r="M88" s="1255">
        <v>46156</v>
      </c>
      <c r="N88" s="1255">
        <v>46153</v>
      </c>
      <c r="O88" s="1255"/>
      <c r="P88" s="1233" t="s">
        <v>516</v>
      </c>
      <c r="Q88" s="1233" t="s">
        <v>106</v>
      </c>
      <c r="R88" s="1234"/>
      <c r="S88" s="1234"/>
      <c r="T88" s="1233">
        <v>21056</v>
      </c>
      <c r="U88" s="1233">
        <f t="shared" si="27"/>
        <v>0</v>
      </c>
      <c r="V88" s="1234" t="s">
        <v>120</v>
      </c>
      <c r="W88" s="1256">
        <v>46099</v>
      </c>
      <c r="X88" s="1257" t="s">
        <v>95</v>
      </c>
      <c r="Y88" s="1257" t="s">
        <v>352</v>
      </c>
      <c r="Z88" s="1247"/>
      <c r="AA88" s="1247"/>
      <c r="AB88" s="1247"/>
      <c r="AC88" s="1247" t="s">
        <v>502</v>
      </c>
      <c r="AD88" s="1255" t="s">
        <v>503</v>
      </c>
      <c r="AE88" s="1267">
        <v>0.78</v>
      </c>
      <c r="AF88" s="1248">
        <f>AE88*I88</f>
        <v>16423.68</v>
      </c>
      <c r="AG88" s="1249" t="s">
        <v>537</v>
      </c>
      <c r="AH88" s="1234" t="s">
        <v>380</v>
      </c>
      <c r="AI88" s="1234" t="s">
        <v>112</v>
      </c>
      <c r="AJ88" s="1234" t="s">
        <v>113</v>
      </c>
      <c r="AK88" s="1188">
        <f t="shared" si="28"/>
        <v>21056</v>
      </c>
      <c r="AL88" s="1188"/>
      <c r="AM88" s="1188"/>
      <c r="AN88" s="1188">
        <f t="shared" si="31"/>
        <v>21056</v>
      </c>
      <c r="AO88" s="1188"/>
      <c r="AP88" s="1188"/>
      <c r="AQ88" s="1240"/>
      <c r="AR88" s="1188"/>
      <c r="AS88" s="1260"/>
      <c r="AT88" s="1260"/>
      <c r="AU88" s="1188">
        <f t="shared" si="29"/>
        <v>21056</v>
      </c>
      <c r="AV88" s="1250">
        <f>I88*0.06</f>
        <v>1263.36</v>
      </c>
      <c r="AW88" s="1250"/>
      <c r="AX88" s="1188"/>
      <c r="AY88" s="1188"/>
      <c r="AZ88" s="1188"/>
      <c r="BA88" s="1188"/>
      <c r="BB88" s="1188"/>
      <c r="BC88" s="1188"/>
      <c r="BD88" s="1188"/>
      <c r="BE88" s="1188"/>
      <c r="BF88" s="1188"/>
      <c r="BG88" s="1188"/>
      <c r="BH88" s="1188"/>
      <c r="BI88" s="1188"/>
      <c r="BJ88" s="1188"/>
      <c r="BK88" s="1188"/>
      <c r="BL88" s="1188"/>
      <c r="BM88" s="1188"/>
      <c r="BN88" s="1188"/>
      <c r="BO88" s="1240"/>
      <c r="BP88" s="1240"/>
      <c r="BQ88" s="1188"/>
      <c r="BR88" s="1236">
        <f>I88/16</f>
        <v>1316</v>
      </c>
      <c r="BS88" s="1188"/>
      <c r="BT88" s="1188"/>
      <c r="BU88" s="1188"/>
      <c r="BV88" s="1240"/>
      <c r="BW88" s="1188"/>
      <c r="BX88" s="1188"/>
      <c r="BY88" s="1188"/>
      <c r="BZ88" s="1188"/>
      <c r="CA88" s="1188"/>
      <c r="CB88" s="1188"/>
      <c r="CC88" s="1188"/>
      <c r="CD88" s="1188">
        <f t="shared" si="23"/>
        <v>1316</v>
      </c>
      <c r="CE88" s="1188">
        <f t="shared" si="24"/>
        <v>0</v>
      </c>
      <c r="CF88" s="1188">
        <f t="shared" si="25"/>
        <v>0</v>
      </c>
      <c r="CG88" s="1188">
        <f t="shared" si="26"/>
        <v>0</v>
      </c>
      <c r="CH88" s="1236"/>
      <c r="CI88" s="1236"/>
      <c r="CJ88" s="1236"/>
      <c r="CK88" s="1188"/>
      <c r="CL88" s="1188"/>
    </row>
    <row r="89" s="1168" customFormat="1" customHeight="1" spans="1:111">
      <c r="A89" s="1245">
        <v>46112</v>
      </c>
      <c r="B89" s="1247" t="s">
        <v>538</v>
      </c>
      <c r="C89" s="1234" t="s">
        <v>135</v>
      </c>
      <c r="D89" s="1188">
        <v>4500198642</v>
      </c>
      <c r="E89" s="1234" t="s">
        <v>539</v>
      </c>
      <c r="F89" s="1188" t="s">
        <v>540</v>
      </c>
      <c r="G89" s="1253" t="s">
        <v>389</v>
      </c>
      <c r="H89" s="1234" t="s">
        <v>390</v>
      </c>
      <c r="I89" s="1254">
        <v>5520</v>
      </c>
      <c r="J89" s="1234">
        <v>0</v>
      </c>
      <c r="K89" s="1234">
        <v>12</v>
      </c>
      <c r="L89" s="1246">
        <f t="shared" si="15"/>
        <v>460</v>
      </c>
      <c r="M89" s="1255">
        <v>46156</v>
      </c>
      <c r="N89" s="1255">
        <v>46153</v>
      </c>
      <c r="O89" s="1255"/>
      <c r="P89" s="1233"/>
      <c r="Q89" s="1233" t="s">
        <v>106</v>
      </c>
      <c r="R89" s="1234"/>
      <c r="S89" s="1234"/>
      <c r="T89" s="1233">
        <v>5520</v>
      </c>
      <c r="U89" s="1233">
        <f t="shared" si="27"/>
        <v>0</v>
      </c>
      <c r="V89" s="1234"/>
      <c r="W89" s="1238" t="s">
        <v>541</v>
      </c>
      <c r="X89" s="1227" t="s">
        <v>107</v>
      </c>
      <c r="Y89" s="1227" t="s">
        <v>542</v>
      </c>
      <c r="Z89" s="1247" t="s">
        <v>543</v>
      </c>
      <c r="AA89" s="1247"/>
      <c r="AB89" s="1247"/>
      <c r="AC89" s="1247" t="s">
        <v>544</v>
      </c>
      <c r="AD89" s="1255" t="s">
        <v>545</v>
      </c>
      <c r="AE89" s="1188">
        <v>2.29</v>
      </c>
      <c r="AF89" s="1248">
        <f>I89*AE89</f>
        <v>12640.8</v>
      </c>
      <c r="AG89" s="1258"/>
      <c r="AH89" s="1234" t="s">
        <v>389</v>
      </c>
      <c r="AI89" s="1234" t="s">
        <v>112</v>
      </c>
      <c r="AJ89" s="1234" t="s">
        <v>113</v>
      </c>
      <c r="AK89" s="1188">
        <f>I89*2</f>
        <v>11040</v>
      </c>
      <c r="AL89" s="1188"/>
      <c r="AM89" s="1188"/>
      <c r="AN89" s="1188"/>
      <c r="AO89" s="1188"/>
      <c r="AP89" s="1188"/>
      <c r="AQ89" s="1240">
        <f>I89*2</f>
        <v>11040</v>
      </c>
      <c r="AR89" s="1251"/>
      <c r="AS89" s="1236"/>
      <c r="AT89" s="1236"/>
      <c r="AU89" s="1188">
        <f>I89*2</f>
        <v>11040</v>
      </c>
      <c r="AV89" s="1250">
        <f>I89*0.06*2</f>
        <v>662.4</v>
      </c>
      <c r="AW89" s="1250"/>
      <c r="AX89" s="1188"/>
      <c r="AY89" s="1188"/>
      <c r="AZ89" s="1188"/>
      <c r="BA89" s="1188"/>
      <c r="BB89" s="1188"/>
      <c r="BC89" s="1188"/>
      <c r="BD89" s="1188"/>
      <c r="BE89" s="1188"/>
      <c r="BF89" s="1188"/>
      <c r="BG89" s="1188"/>
      <c r="BH89" s="1188"/>
      <c r="BI89" s="1188"/>
      <c r="BJ89" s="1188"/>
      <c r="BK89" s="1188"/>
      <c r="BL89" s="1188"/>
      <c r="BM89" s="1188"/>
      <c r="BN89" s="1188"/>
      <c r="BO89" s="1240"/>
      <c r="BP89" s="1240"/>
      <c r="BQ89" s="1188"/>
      <c r="BR89" s="1236"/>
      <c r="BS89" s="1236"/>
      <c r="BT89" s="1188"/>
      <c r="BU89" s="1188"/>
      <c r="BV89" s="1240"/>
      <c r="BW89" s="1188"/>
      <c r="BX89" s="1188"/>
      <c r="BY89" s="1188"/>
      <c r="BZ89" s="1188"/>
      <c r="CA89" s="1188"/>
      <c r="CB89" s="1188"/>
      <c r="CC89" s="1188"/>
      <c r="CD89" s="1188">
        <f t="shared" si="23"/>
        <v>0</v>
      </c>
      <c r="CE89" s="1188">
        <f t="shared" si="24"/>
        <v>0</v>
      </c>
      <c r="CF89" s="1188">
        <f t="shared" si="25"/>
        <v>0</v>
      </c>
      <c r="CG89" s="1188">
        <f t="shared" si="26"/>
        <v>0</v>
      </c>
      <c r="CH89" s="1236"/>
      <c r="CI89" s="1236"/>
      <c r="CJ89" s="1236">
        <f>I89</f>
        <v>5520</v>
      </c>
      <c r="CK89" s="1188">
        <f>I89</f>
        <v>5520</v>
      </c>
      <c r="CL89" s="1188">
        <f>I89</f>
        <v>5520</v>
      </c>
    </row>
    <row r="90" s="1168" customFormat="1" customHeight="1" spans="1:111">
      <c r="A90" s="1245">
        <v>46112</v>
      </c>
      <c r="B90" s="1247" t="s">
        <v>538</v>
      </c>
      <c r="C90" s="1234" t="s">
        <v>135</v>
      </c>
      <c r="D90" s="1188">
        <v>4500198642</v>
      </c>
      <c r="E90" s="1234" t="s">
        <v>546</v>
      </c>
      <c r="F90" s="1188" t="s">
        <v>547</v>
      </c>
      <c r="G90" s="1253" t="s">
        <v>389</v>
      </c>
      <c r="H90" s="1234" t="s">
        <v>390</v>
      </c>
      <c r="I90" s="1254">
        <v>5520</v>
      </c>
      <c r="J90" s="1234">
        <v>0</v>
      </c>
      <c r="K90" s="1234">
        <v>12</v>
      </c>
      <c r="L90" s="1246">
        <f t="shared" si="15"/>
        <v>460</v>
      </c>
      <c r="M90" s="1255">
        <v>46156</v>
      </c>
      <c r="N90" s="1255">
        <v>46153</v>
      </c>
      <c r="O90" s="1255"/>
      <c r="P90" s="1233"/>
      <c r="Q90" s="1233" t="s">
        <v>106</v>
      </c>
      <c r="R90" s="1234"/>
      <c r="S90" s="1234"/>
      <c r="T90" s="1233">
        <v>5520</v>
      </c>
      <c r="U90" s="1233">
        <f t="shared" si="27"/>
        <v>0</v>
      </c>
      <c r="V90" s="1234"/>
      <c r="W90" s="1256" t="s">
        <v>541</v>
      </c>
      <c r="X90" s="1257" t="s">
        <v>107</v>
      </c>
      <c r="Y90" s="1257" t="s">
        <v>542</v>
      </c>
      <c r="Z90" s="1247" t="s">
        <v>543</v>
      </c>
      <c r="AA90" s="1247"/>
      <c r="AB90" s="1247"/>
      <c r="AC90" s="1247" t="s">
        <v>544</v>
      </c>
      <c r="AD90" s="1255" t="s">
        <v>545</v>
      </c>
      <c r="AE90" s="1188">
        <v>2.29</v>
      </c>
      <c r="AF90" s="1248">
        <f>I90*AE90</f>
        <v>12640.8</v>
      </c>
      <c r="AG90" s="1258"/>
      <c r="AH90" s="1234" t="s">
        <v>389</v>
      </c>
      <c r="AI90" s="1234" t="s">
        <v>112</v>
      </c>
      <c r="AJ90" s="1234" t="s">
        <v>113</v>
      </c>
      <c r="AK90" s="1188">
        <f>I90*2</f>
        <v>11040</v>
      </c>
      <c r="AL90" s="1188"/>
      <c r="AM90" s="1188"/>
      <c r="AN90" s="1188"/>
      <c r="AO90" s="1188"/>
      <c r="AP90" s="1188"/>
      <c r="AQ90" s="1240">
        <f>I90*2</f>
        <v>11040</v>
      </c>
      <c r="AR90" s="1251"/>
      <c r="AS90" s="1236"/>
      <c r="AT90" s="1236"/>
      <c r="AU90" s="1188">
        <f>I90*2</f>
        <v>11040</v>
      </c>
      <c r="AV90" s="1250">
        <f>I90*0.06*2</f>
        <v>662.4</v>
      </c>
      <c r="AW90" s="1250"/>
      <c r="AX90" s="1188"/>
      <c r="AY90" s="1188"/>
      <c r="AZ90" s="1188"/>
      <c r="BA90" s="1188"/>
      <c r="BB90" s="1188"/>
      <c r="BC90" s="1188"/>
      <c r="BD90" s="1188"/>
      <c r="BE90" s="1188"/>
      <c r="BF90" s="1188"/>
      <c r="BG90" s="1188"/>
      <c r="BH90" s="1188"/>
      <c r="BI90" s="1188"/>
      <c r="BJ90" s="1188"/>
      <c r="BK90" s="1188"/>
      <c r="BL90" s="1188"/>
      <c r="BM90" s="1188"/>
      <c r="BN90" s="1188"/>
      <c r="BO90" s="1240"/>
      <c r="BP90" s="1240"/>
      <c r="BQ90" s="1188"/>
      <c r="BR90" s="1236"/>
      <c r="BS90" s="1188"/>
      <c r="BT90" s="1188"/>
      <c r="BU90" s="1188"/>
      <c r="BV90" s="1240"/>
      <c r="BW90" s="1188"/>
      <c r="BX90" s="1188"/>
      <c r="BY90" s="1188"/>
      <c r="BZ90" s="1188"/>
      <c r="CA90" s="1188"/>
      <c r="CB90" s="1188"/>
      <c r="CC90" s="1188"/>
      <c r="CD90" s="1188">
        <f t="shared" si="23"/>
        <v>0</v>
      </c>
      <c r="CE90" s="1188">
        <f t="shared" si="24"/>
        <v>0</v>
      </c>
      <c r="CF90" s="1188">
        <f t="shared" si="25"/>
        <v>0</v>
      </c>
      <c r="CG90" s="1188">
        <f t="shared" si="26"/>
        <v>0</v>
      </c>
      <c r="CH90" s="1236"/>
      <c r="CI90" s="1236"/>
      <c r="CJ90" s="1236">
        <f>I90</f>
        <v>5520</v>
      </c>
      <c r="CK90" s="1188">
        <f>I90</f>
        <v>5520</v>
      </c>
      <c r="CL90" s="1188">
        <f>I90</f>
        <v>5520</v>
      </c>
    </row>
    <row r="91" s="1168" customFormat="1" customHeight="1" spans="1:111">
      <c r="A91" s="1245">
        <v>46106</v>
      </c>
      <c r="B91" s="1247" t="s">
        <v>346</v>
      </c>
      <c r="C91" s="1234" t="s">
        <v>115</v>
      </c>
      <c r="D91" s="1188">
        <v>4500197336</v>
      </c>
      <c r="E91" s="1890" t="s">
        <v>548</v>
      </c>
      <c r="F91" s="1188" t="s">
        <v>549</v>
      </c>
      <c r="G91" s="1253" t="s">
        <v>349</v>
      </c>
      <c r="H91" s="1234" t="s">
        <v>350</v>
      </c>
      <c r="I91" s="1254">
        <v>21120</v>
      </c>
      <c r="J91" s="1234">
        <v>0</v>
      </c>
      <c r="K91" s="1234">
        <v>960</v>
      </c>
      <c r="L91" s="1246">
        <f t="shared" si="15"/>
        <v>22</v>
      </c>
      <c r="M91" s="1255">
        <v>46156</v>
      </c>
      <c r="N91" s="1255">
        <v>46153</v>
      </c>
      <c r="O91" s="1255"/>
      <c r="P91" s="1256" t="s">
        <v>550</v>
      </c>
      <c r="Q91" s="1233" t="s">
        <v>106</v>
      </c>
      <c r="R91" s="1234"/>
      <c r="S91" s="1234"/>
      <c r="T91" s="1233">
        <v>21120</v>
      </c>
      <c r="U91" s="1233">
        <f t="shared" si="27"/>
        <v>0</v>
      </c>
      <c r="V91" s="1234"/>
      <c r="W91" s="1256" t="s">
        <v>459</v>
      </c>
      <c r="X91" s="1257" t="s">
        <v>95</v>
      </c>
      <c r="Y91" s="1257" t="s">
        <v>460</v>
      </c>
      <c r="Z91" s="1247"/>
      <c r="AA91" s="1247"/>
      <c r="AB91" s="1247"/>
      <c r="AC91" s="1247" t="s">
        <v>517</v>
      </c>
      <c r="AD91" s="1255" t="s">
        <v>354</v>
      </c>
      <c r="AE91" s="1188">
        <v>645.1441</v>
      </c>
      <c r="AF91" s="1248">
        <f>AE91*L91</f>
        <v>14193.1702</v>
      </c>
      <c r="AG91" s="1249" t="s">
        <v>551</v>
      </c>
      <c r="AH91" s="1234" t="s">
        <v>356</v>
      </c>
      <c r="AI91" s="1234" t="s">
        <v>112</v>
      </c>
      <c r="AJ91" s="1234" t="s">
        <v>113</v>
      </c>
      <c r="AK91" s="1188">
        <f>I91</f>
        <v>21120</v>
      </c>
      <c r="AL91" s="1188"/>
      <c r="AM91" s="1188"/>
      <c r="AN91" s="1188">
        <f>I91</f>
        <v>21120</v>
      </c>
      <c r="AO91" s="1188"/>
      <c r="AP91" s="1188"/>
      <c r="AQ91" s="1240"/>
      <c r="AR91" s="1188"/>
      <c r="AS91" s="1236"/>
      <c r="AT91" s="1236"/>
      <c r="AU91" s="1188">
        <f>I91</f>
        <v>21120</v>
      </c>
      <c r="AV91" s="1250">
        <f>I91*0.06</f>
        <v>1267.2</v>
      </c>
      <c r="AW91" s="1250"/>
      <c r="AX91" s="1188"/>
      <c r="AY91" s="1188"/>
      <c r="AZ91" s="1188"/>
      <c r="BA91" s="1188"/>
      <c r="BB91" s="1188"/>
      <c r="BC91" s="1188"/>
      <c r="BD91" s="1188"/>
      <c r="BE91" s="1188"/>
      <c r="BF91" s="1188"/>
      <c r="BG91" s="1188"/>
      <c r="BH91" s="1188"/>
      <c r="BI91" s="1188"/>
      <c r="BJ91" s="1188"/>
      <c r="BK91" s="1188"/>
      <c r="BL91" s="1188"/>
      <c r="BM91" s="1188"/>
      <c r="BN91" s="1188"/>
      <c r="BO91" s="1240"/>
      <c r="BP91" s="1240"/>
      <c r="BQ91" s="1188"/>
      <c r="BR91" s="1236">
        <f>I91/16</f>
        <v>1320</v>
      </c>
      <c r="BS91" s="1188"/>
      <c r="BT91" s="1188"/>
      <c r="BU91" s="1188"/>
      <c r="BV91" s="1240"/>
      <c r="BW91" s="1188"/>
      <c r="BX91" s="1188"/>
      <c r="BY91" s="1188"/>
      <c r="BZ91" s="1188"/>
      <c r="CA91" s="1188"/>
      <c r="CB91" s="1188"/>
      <c r="CC91" s="1188"/>
      <c r="CD91" s="1188">
        <f t="shared" si="23"/>
        <v>1320</v>
      </c>
      <c r="CE91" s="1188">
        <f t="shared" si="24"/>
        <v>0</v>
      </c>
      <c r="CF91" s="1188">
        <f t="shared" si="25"/>
        <v>0</v>
      </c>
      <c r="CG91" s="1188">
        <f t="shared" si="26"/>
        <v>0</v>
      </c>
      <c r="CH91" s="1236"/>
      <c r="CI91" s="1236"/>
      <c r="CJ91" s="1236"/>
      <c r="CK91" s="1188"/>
      <c r="CL91" s="1188"/>
      <c r="CM91" s="1169"/>
      <c r="CN91" s="1169"/>
      <c r="CO91" s="1169"/>
      <c r="CP91" s="1169"/>
      <c r="CQ91" s="1169"/>
      <c r="CR91" s="1169"/>
      <c r="CS91" s="1169"/>
      <c r="CT91" s="1169"/>
      <c r="CU91" s="1169"/>
      <c r="CV91" s="1169"/>
      <c r="CW91" s="1169"/>
      <c r="CX91" s="1169"/>
      <c r="CY91" s="1169"/>
      <c r="CZ91" s="1169"/>
      <c r="DA91" s="1169"/>
      <c r="DB91" s="1169"/>
      <c r="DC91" s="1169"/>
      <c r="DD91" s="1169"/>
      <c r="DE91" s="1169"/>
      <c r="DF91" s="1169"/>
      <c r="DG91" s="1169"/>
    </row>
    <row r="92" s="1168" customFormat="1" customHeight="1" spans="1:111">
      <c r="A92" s="1245">
        <v>46112</v>
      </c>
      <c r="B92" s="1247" t="s">
        <v>180</v>
      </c>
      <c r="C92" s="1234" t="s">
        <v>115</v>
      </c>
      <c r="D92" s="1268">
        <v>4500199498</v>
      </c>
      <c r="E92" s="1233">
        <v>5200009502</v>
      </c>
      <c r="F92" s="1188" t="s">
        <v>552</v>
      </c>
      <c r="G92" s="1253" t="s">
        <v>553</v>
      </c>
      <c r="H92" s="1234" t="s">
        <v>390</v>
      </c>
      <c r="I92" s="1254">
        <v>3840</v>
      </c>
      <c r="J92" s="1234">
        <v>0</v>
      </c>
      <c r="K92" s="1234">
        <v>12</v>
      </c>
      <c r="L92" s="1246">
        <f t="shared" si="15"/>
        <v>320</v>
      </c>
      <c r="M92" s="1255">
        <v>46157</v>
      </c>
      <c r="N92" s="1255">
        <v>46153</v>
      </c>
      <c r="O92" s="1255"/>
      <c r="P92" s="1233"/>
      <c r="Q92" s="1233" t="s">
        <v>106</v>
      </c>
      <c r="R92" s="1234"/>
      <c r="S92" s="1234"/>
      <c r="T92" s="1233">
        <v>3840</v>
      </c>
      <c r="U92" s="1233">
        <f t="shared" si="27"/>
        <v>0</v>
      </c>
      <c r="V92" s="1234"/>
      <c r="W92" s="1256" t="s">
        <v>554</v>
      </c>
      <c r="X92" s="1257" t="s">
        <v>95</v>
      </c>
      <c r="Y92" s="1257" t="s">
        <v>95</v>
      </c>
      <c r="Z92" s="1247" t="s">
        <v>555</v>
      </c>
      <c r="AA92" s="1247"/>
      <c r="AB92" s="1247"/>
      <c r="AC92" s="1247" t="s">
        <v>556</v>
      </c>
      <c r="AD92" s="1255" t="s">
        <v>557</v>
      </c>
      <c r="AE92" s="1188">
        <v>1.374</v>
      </c>
      <c r="AF92" s="1248">
        <f>I92*AE92</f>
        <v>5276.16</v>
      </c>
      <c r="AG92" s="1249" t="s">
        <v>558</v>
      </c>
      <c r="AH92" s="1234" t="s">
        <v>389</v>
      </c>
      <c r="AI92" s="1234" t="s">
        <v>112</v>
      </c>
      <c r="AJ92" s="1234" t="s">
        <v>113</v>
      </c>
      <c r="AK92" s="1188">
        <f>I92*2</f>
        <v>7680</v>
      </c>
      <c r="AL92" s="1188"/>
      <c r="AM92" s="1188"/>
      <c r="AN92" s="1188"/>
      <c r="AO92" s="1188"/>
      <c r="AP92" s="1188"/>
      <c r="AQ92" s="1240">
        <f>I92*2</f>
        <v>7680</v>
      </c>
      <c r="AR92" s="1188"/>
      <c r="AS92" s="1236"/>
      <c r="AT92" s="1236"/>
      <c r="AU92" s="1188">
        <f>I92*2</f>
        <v>7680</v>
      </c>
      <c r="AV92" s="1250">
        <f t="shared" ref="AV92:AV97" si="32">I92*0.06*2</f>
        <v>460.8</v>
      </c>
      <c r="AW92" s="1250"/>
      <c r="AX92" s="1188"/>
      <c r="AY92" s="1188"/>
      <c r="AZ92" s="1188"/>
      <c r="BA92" s="1188"/>
      <c r="BB92" s="1188"/>
      <c r="BC92" s="1188"/>
      <c r="BD92" s="1188"/>
      <c r="BE92" s="1188"/>
      <c r="BF92" s="1188"/>
      <c r="BG92" s="1188"/>
      <c r="BH92" s="1188"/>
      <c r="BI92" s="1188"/>
      <c r="BJ92" s="1188"/>
      <c r="BK92" s="1188"/>
      <c r="BL92" s="1188"/>
      <c r="BM92" s="1188"/>
      <c r="BN92" s="1188"/>
      <c r="BO92" s="1240"/>
      <c r="BP92" s="1240"/>
      <c r="BQ92" s="1188"/>
      <c r="BR92" s="1236"/>
      <c r="BS92" s="1188"/>
      <c r="BT92" s="1188"/>
      <c r="BU92" s="1188"/>
      <c r="BV92" s="1240"/>
      <c r="BW92" s="1188"/>
      <c r="BX92" s="1188"/>
      <c r="BY92" s="1188"/>
      <c r="BZ92" s="1188"/>
      <c r="CA92" s="1188"/>
      <c r="CB92" s="1188"/>
      <c r="CC92" s="1188"/>
      <c r="CD92" s="1188">
        <f t="shared" si="23"/>
        <v>0</v>
      </c>
      <c r="CE92" s="1188">
        <f t="shared" si="24"/>
        <v>0</v>
      </c>
      <c r="CF92" s="1188">
        <f t="shared" si="25"/>
        <v>0</v>
      </c>
      <c r="CG92" s="1188">
        <f t="shared" si="26"/>
        <v>0</v>
      </c>
      <c r="CH92" s="1236"/>
      <c r="CI92" s="1236"/>
      <c r="CJ92" s="1236">
        <f>I92</f>
        <v>3840</v>
      </c>
      <c r="CK92" s="1188">
        <f>I92</f>
        <v>3840</v>
      </c>
      <c r="CL92" s="1188">
        <f>I92</f>
        <v>3840</v>
      </c>
    </row>
    <row r="93" s="1168" customFormat="1" customHeight="1" spans="1:111">
      <c r="A93" s="1245">
        <v>46108</v>
      </c>
      <c r="B93" s="1247" t="s">
        <v>559</v>
      </c>
      <c r="C93" s="1234" t="s">
        <v>115</v>
      </c>
      <c r="D93" s="1188">
        <v>4500198817</v>
      </c>
      <c r="E93" s="1234" t="s">
        <v>560</v>
      </c>
      <c r="F93" s="1188" t="s">
        <v>561</v>
      </c>
      <c r="G93" s="1253" t="s">
        <v>389</v>
      </c>
      <c r="H93" s="1234" t="s">
        <v>390</v>
      </c>
      <c r="I93" s="1254">
        <v>1728</v>
      </c>
      <c r="J93" s="1234">
        <v>0</v>
      </c>
      <c r="K93" s="1234">
        <v>12</v>
      </c>
      <c r="L93" s="1246">
        <f t="shared" si="15"/>
        <v>144</v>
      </c>
      <c r="M93" s="1255">
        <v>46157</v>
      </c>
      <c r="N93" s="1255">
        <v>46153</v>
      </c>
      <c r="O93" s="1255"/>
      <c r="P93" s="1233"/>
      <c r="Q93" s="1233" t="s">
        <v>106</v>
      </c>
      <c r="R93" s="1234"/>
      <c r="S93" s="1234"/>
      <c r="T93" s="1233">
        <v>1728</v>
      </c>
      <c r="U93" s="1233">
        <f t="shared" si="27"/>
        <v>0</v>
      </c>
      <c r="V93" s="1234" t="s">
        <v>120</v>
      </c>
      <c r="W93" s="1256">
        <v>46108</v>
      </c>
      <c r="X93" s="1257" t="s">
        <v>107</v>
      </c>
      <c r="Y93" s="1257" t="s">
        <v>562</v>
      </c>
      <c r="Z93" s="1188"/>
      <c r="AA93" s="1188"/>
      <c r="AB93" s="1247"/>
      <c r="AC93" s="1247" t="s">
        <v>392</v>
      </c>
      <c r="AD93" s="1255" t="s">
        <v>563</v>
      </c>
      <c r="AE93" s="1267">
        <v>1.374</v>
      </c>
      <c r="AF93" s="1248">
        <f>AE93*I93</f>
        <v>2374.272</v>
      </c>
      <c r="AG93" s="1249" t="s">
        <v>564</v>
      </c>
      <c r="AH93" s="1234" t="s">
        <v>389</v>
      </c>
      <c r="AI93" s="1234" t="s">
        <v>112</v>
      </c>
      <c r="AJ93" s="1234" t="s">
        <v>113</v>
      </c>
      <c r="AK93" s="1188">
        <f>I93*2</f>
        <v>3456</v>
      </c>
      <c r="AL93" s="1188"/>
      <c r="AM93" s="1188"/>
      <c r="AN93" s="1188"/>
      <c r="AO93" s="1188"/>
      <c r="AP93" s="1188"/>
      <c r="AQ93" s="1240">
        <f>I93*2</f>
        <v>3456</v>
      </c>
      <c r="AR93" s="1188"/>
      <c r="AS93" s="1260"/>
      <c r="AT93" s="1260"/>
      <c r="AU93" s="1188">
        <f>I93*2</f>
        <v>3456</v>
      </c>
      <c r="AV93" s="1250">
        <f t="shared" si="32"/>
        <v>207.36</v>
      </c>
      <c r="AW93" s="1250"/>
      <c r="AX93" s="1188"/>
      <c r="AY93" s="1188"/>
      <c r="AZ93" s="1188"/>
      <c r="BA93" s="1188"/>
      <c r="BB93" s="1188"/>
      <c r="BC93" s="1188"/>
      <c r="BD93" s="1188"/>
      <c r="BE93" s="1188"/>
      <c r="BF93" s="1188"/>
      <c r="BG93" s="1188"/>
      <c r="BH93" s="1188"/>
      <c r="BI93" s="1188"/>
      <c r="BJ93" s="1188"/>
      <c r="BK93" s="1188"/>
      <c r="BL93" s="1188"/>
      <c r="BM93" s="1188"/>
      <c r="BN93" s="1188"/>
      <c r="BO93" s="1240"/>
      <c r="BP93" s="1240"/>
      <c r="BQ93" s="1188"/>
      <c r="BR93" s="1236"/>
      <c r="BS93" s="1188"/>
      <c r="BT93" s="1188"/>
      <c r="BU93" s="1188"/>
      <c r="BV93" s="1240"/>
      <c r="BW93" s="1188"/>
      <c r="BX93" s="1188"/>
      <c r="BY93" s="1188"/>
      <c r="BZ93" s="1188"/>
      <c r="CA93" s="1188"/>
      <c r="CB93" s="1188"/>
      <c r="CC93" s="1188"/>
      <c r="CD93" s="1188">
        <f t="shared" si="23"/>
        <v>0</v>
      </c>
      <c r="CE93" s="1188">
        <f t="shared" si="24"/>
        <v>0</v>
      </c>
      <c r="CF93" s="1188">
        <f t="shared" si="25"/>
        <v>0</v>
      </c>
      <c r="CG93" s="1188">
        <f t="shared" si="26"/>
        <v>0</v>
      </c>
      <c r="CH93" s="1236"/>
      <c r="CI93" s="1236"/>
      <c r="CJ93" s="1236">
        <f>I93</f>
        <v>1728</v>
      </c>
      <c r="CK93" s="1188">
        <f>I93</f>
        <v>1728</v>
      </c>
      <c r="CL93" s="1188">
        <f>I93</f>
        <v>1728</v>
      </c>
    </row>
    <row r="94" s="1168" customFormat="1" customHeight="1" spans="1:111">
      <c r="A94" s="1245">
        <v>46108</v>
      </c>
      <c r="B94" s="1247" t="s">
        <v>559</v>
      </c>
      <c r="C94" s="1234" t="s">
        <v>115</v>
      </c>
      <c r="D94" s="1188">
        <v>4500198818</v>
      </c>
      <c r="E94" s="1234" t="s">
        <v>565</v>
      </c>
      <c r="F94" s="1188" t="s">
        <v>566</v>
      </c>
      <c r="G94" s="1253" t="s">
        <v>389</v>
      </c>
      <c r="H94" s="1234" t="s">
        <v>390</v>
      </c>
      <c r="I94" s="1254">
        <v>3144</v>
      </c>
      <c r="J94" s="1234">
        <v>0</v>
      </c>
      <c r="K94" s="1234">
        <v>12</v>
      </c>
      <c r="L94" s="1246">
        <f t="shared" si="15"/>
        <v>262</v>
      </c>
      <c r="M94" s="1255">
        <v>46157</v>
      </c>
      <c r="N94" s="1255">
        <v>46153</v>
      </c>
      <c r="O94" s="1255"/>
      <c r="P94" s="1233"/>
      <c r="Q94" s="1233" t="s">
        <v>106</v>
      </c>
      <c r="R94" s="1234"/>
      <c r="S94" s="1234"/>
      <c r="T94" s="1233">
        <v>3144</v>
      </c>
      <c r="U94" s="1233">
        <f t="shared" si="27"/>
        <v>0</v>
      </c>
      <c r="V94" s="1234" t="s">
        <v>120</v>
      </c>
      <c r="W94" s="1256">
        <v>46108</v>
      </c>
      <c r="X94" s="1257" t="s">
        <v>107</v>
      </c>
      <c r="Y94" s="1257" t="s">
        <v>562</v>
      </c>
      <c r="Z94" s="1188"/>
      <c r="AA94" s="1188"/>
      <c r="AB94" s="1247"/>
      <c r="AC94" s="1247" t="s">
        <v>392</v>
      </c>
      <c r="AD94" s="1255" t="s">
        <v>563</v>
      </c>
      <c r="AE94" s="1267">
        <v>1.374</v>
      </c>
      <c r="AF94" s="1248">
        <f>AE94*I94</f>
        <v>4319.856</v>
      </c>
      <c r="AG94" s="1249" t="s">
        <v>567</v>
      </c>
      <c r="AH94" s="1234" t="s">
        <v>389</v>
      </c>
      <c r="AI94" s="1234" t="s">
        <v>112</v>
      </c>
      <c r="AJ94" s="1234" t="s">
        <v>113</v>
      </c>
      <c r="AK94" s="1188">
        <f>I94*2</f>
        <v>6288</v>
      </c>
      <c r="AL94" s="1188"/>
      <c r="AM94" s="1188"/>
      <c r="AN94" s="1188"/>
      <c r="AO94" s="1188"/>
      <c r="AP94" s="1188"/>
      <c r="AQ94" s="1240">
        <f>I94*2</f>
        <v>6288</v>
      </c>
      <c r="AR94" s="1188"/>
      <c r="AS94" s="1236"/>
      <c r="AT94" s="1236"/>
      <c r="AU94" s="1188">
        <f>I94*2</f>
        <v>6288</v>
      </c>
      <c r="AV94" s="1250">
        <f t="shared" si="32"/>
        <v>377.28</v>
      </c>
      <c r="AW94" s="1250"/>
      <c r="AX94" s="1188"/>
      <c r="AY94" s="1188"/>
      <c r="AZ94" s="1188"/>
      <c r="BA94" s="1188"/>
      <c r="BB94" s="1188"/>
      <c r="BC94" s="1188"/>
      <c r="BD94" s="1188"/>
      <c r="BE94" s="1188"/>
      <c r="BF94" s="1188"/>
      <c r="BG94" s="1188"/>
      <c r="BH94" s="1188"/>
      <c r="BI94" s="1188"/>
      <c r="BJ94" s="1188"/>
      <c r="BK94" s="1188"/>
      <c r="BL94" s="1188"/>
      <c r="BM94" s="1188"/>
      <c r="BN94" s="1188"/>
      <c r="BO94" s="1240"/>
      <c r="BP94" s="1240"/>
      <c r="BQ94" s="1188"/>
      <c r="BR94" s="1236"/>
      <c r="BS94" s="1188"/>
      <c r="BT94" s="1188"/>
      <c r="BU94" s="1188"/>
      <c r="BV94" s="1240"/>
      <c r="BW94" s="1188"/>
      <c r="BX94" s="1188"/>
      <c r="BY94" s="1188"/>
      <c r="BZ94" s="1188"/>
      <c r="CA94" s="1188"/>
      <c r="CB94" s="1188"/>
      <c r="CC94" s="1188"/>
      <c r="CD94" s="1188">
        <f t="shared" si="23"/>
        <v>0</v>
      </c>
      <c r="CE94" s="1188">
        <f t="shared" si="24"/>
        <v>0</v>
      </c>
      <c r="CF94" s="1188">
        <f t="shared" si="25"/>
        <v>0</v>
      </c>
      <c r="CG94" s="1188">
        <f t="shared" si="26"/>
        <v>0</v>
      </c>
      <c r="CH94" s="1236"/>
      <c r="CI94" s="1236"/>
      <c r="CJ94" s="1236">
        <f>I94</f>
        <v>3144</v>
      </c>
      <c r="CK94" s="1188">
        <f>I94</f>
        <v>3144</v>
      </c>
      <c r="CL94" s="1188">
        <f>I94</f>
        <v>3144</v>
      </c>
    </row>
    <row r="95" s="1168" customFormat="1" customHeight="1" spans="1:111">
      <c r="A95" s="1245">
        <v>46108</v>
      </c>
      <c r="B95" s="1247" t="s">
        <v>559</v>
      </c>
      <c r="C95" s="1234" t="s">
        <v>115</v>
      </c>
      <c r="D95" s="1188">
        <v>4500198819</v>
      </c>
      <c r="E95" s="1234" t="s">
        <v>568</v>
      </c>
      <c r="F95" s="1188" t="s">
        <v>569</v>
      </c>
      <c r="G95" s="1253" t="s">
        <v>389</v>
      </c>
      <c r="H95" s="1234" t="s">
        <v>390</v>
      </c>
      <c r="I95" s="1254">
        <v>1428</v>
      </c>
      <c r="J95" s="1234">
        <v>0</v>
      </c>
      <c r="K95" s="1234">
        <v>12</v>
      </c>
      <c r="L95" s="1246">
        <f t="shared" si="15"/>
        <v>119</v>
      </c>
      <c r="M95" s="1255">
        <v>46157</v>
      </c>
      <c r="N95" s="1255">
        <v>46153</v>
      </c>
      <c r="O95" s="1255"/>
      <c r="P95" s="1233"/>
      <c r="Q95" s="1233" t="s">
        <v>106</v>
      </c>
      <c r="R95" s="1234"/>
      <c r="S95" s="1234"/>
      <c r="T95" s="1233">
        <v>1428</v>
      </c>
      <c r="U95" s="1233">
        <f t="shared" si="27"/>
        <v>0</v>
      </c>
      <c r="V95" s="1234" t="s">
        <v>120</v>
      </c>
      <c r="W95" s="1256">
        <v>46108</v>
      </c>
      <c r="X95" s="1257" t="s">
        <v>107</v>
      </c>
      <c r="Y95" s="1257" t="s">
        <v>562</v>
      </c>
      <c r="Z95" s="1188"/>
      <c r="AA95" s="1188"/>
      <c r="AB95" s="1247"/>
      <c r="AC95" s="1247" t="s">
        <v>392</v>
      </c>
      <c r="AD95" s="1255" t="s">
        <v>563</v>
      </c>
      <c r="AE95" s="1267">
        <v>1.374</v>
      </c>
      <c r="AF95" s="1248">
        <f>AE95*I95</f>
        <v>1962.072</v>
      </c>
      <c r="AG95" s="1249" t="s">
        <v>570</v>
      </c>
      <c r="AH95" s="1234" t="s">
        <v>389</v>
      </c>
      <c r="AI95" s="1234" t="s">
        <v>112</v>
      </c>
      <c r="AJ95" s="1234" t="s">
        <v>113</v>
      </c>
      <c r="AK95" s="1188">
        <f>I95*2</f>
        <v>2856</v>
      </c>
      <c r="AL95" s="1188"/>
      <c r="AM95" s="1188"/>
      <c r="AN95" s="1188"/>
      <c r="AO95" s="1188"/>
      <c r="AP95" s="1188"/>
      <c r="AQ95" s="1240">
        <f>I95*2</f>
        <v>2856</v>
      </c>
      <c r="AR95" s="1188"/>
      <c r="AS95" s="1236"/>
      <c r="AT95" s="1236"/>
      <c r="AU95" s="1188">
        <f>I95*2</f>
        <v>2856</v>
      </c>
      <c r="AV95" s="1250">
        <f t="shared" si="32"/>
        <v>171.36</v>
      </c>
      <c r="AW95" s="1250"/>
      <c r="AX95" s="1188"/>
      <c r="AY95" s="1188"/>
      <c r="AZ95" s="1188"/>
      <c r="BA95" s="1188"/>
      <c r="BB95" s="1188"/>
      <c r="BC95" s="1188"/>
      <c r="BD95" s="1188"/>
      <c r="BE95" s="1188"/>
      <c r="BF95" s="1188"/>
      <c r="BG95" s="1188"/>
      <c r="BH95" s="1188"/>
      <c r="BI95" s="1188"/>
      <c r="BJ95" s="1188"/>
      <c r="BK95" s="1188"/>
      <c r="BL95" s="1188"/>
      <c r="BM95" s="1188"/>
      <c r="BN95" s="1188"/>
      <c r="BO95" s="1240"/>
      <c r="BP95" s="1240"/>
      <c r="BQ95" s="1188"/>
      <c r="BR95" s="1236"/>
      <c r="BS95" s="1188"/>
      <c r="BT95" s="1188"/>
      <c r="BU95" s="1188"/>
      <c r="BV95" s="1240"/>
      <c r="BW95" s="1188"/>
      <c r="BX95" s="1188"/>
      <c r="BY95" s="1188"/>
      <c r="BZ95" s="1188"/>
      <c r="CA95" s="1188"/>
      <c r="CB95" s="1188"/>
      <c r="CC95" s="1188"/>
      <c r="CD95" s="1188">
        <f t="shared" si="23"/>
        <v>0</v>
      </c>
      <c r="CE95" s="1188">
        <f t="shared" si="24"/>
        <v>0</v>
      </c>
      <c r="CF95" s="1188">
        <f t="shared" si="25"/>
        <v>0</v>
      </c>
      <c r="CG95" s="1188">
        <f t="shared" si="26"/>
        <v>0</v>
      </c>
      <c r="CH95" s="1236"/>
      <c r="CI95" s="1236"/>
      <c r="CJ95" s="1236">
        <f>I95</f>
        <v>1428</v>
      </c>
      <c r="CK95" s="1188">
        <f>I95</f>
        <v>1428</v>
      </c>
      <c r="CL95" s="1188">
        <f>I95</f>
        <v>1428</v>
      </c>
    </row>
    <row r="96" s="1168" customFormat="1" customHeight="1" spans="1:111">
      <c r="A96" s="1245">
        <v>46108</v>
      </c>
      <c r="B96" s="1247" t="s">
        <v>386</v>
      </c>
      <c r="C96" s="1234" t="s">
        <v>115</v>
      </c>
      <c r="D96" s="1188">
        <v>4500198821</v>
      </c>
      <c r="E96" s="1253" t="s">
        <v>571</v>
      </c>
      <c r="F96" s="1188" t="s">
        <v>572</v>
      </c>
      <c r="G96" s="1253" t="s">
        <v>389</v>
      </c>
      <c r="H96" s="1234" t="s">
        <v>390</v>
      </c>
      <c r="I96" s="1254">
        <v>1392</v>
      </c>
      <c r="J96" s="1234">
        <v>0</v>
      </c>
      <c r="K96" s="1234">
        <v>12</v>
      </c>
      <c r="L96" s="1246">
        <f t="shared" si="15"/>
        <v>116</v>
      </c>
      <c r="M96" s="1255">
        <v>46157</v>
      </c>
      <c r="N96" s="1255">
        <v>46153</v>
      </c>
      <c r="O96" s="1255"/>
      <c r="P96" s="1233"/>
      <c r="Q96" s="1233" t="s">
        <v>106</v>
      </c>
      <c r="R96" s="1234"/>
      <c r="S96" s="1234"/>
      <c r="T96" s="1233">
        <v>1392</v>
      </c>
      <c r="U96" s="1233">
        <f t="shared" si="27"/>
        <v>0</v>
      </c>
      <c r="V96" s="1234" t="s">
        <v>120</v>
      </c>
      <c r="W96" s="1256">
        <v>46108</v>
      </c>
      <c r="X96" s="1257" t="s">
        <v>107</v>
      </c>
      <c r="Y96" s="1257" t="s">
        <v>562</v>
      </c>
      <c r="Z96" s="1247"/>
      <c r="AA96" s="1247"/>
      <c r="AB96" s="1247"/>
      <c r="AC96" s="1247" t="s">
        <v>573</v>
      </c>
      <c r="AD96" s="1255" t="s">
        <v>393</v>
      </c>
      <c r="AE96" s="1188">
        <v>1.374</v>
      </c>
      <c r="AF96" s="1248">
        <f>AE96*I96</f>
        <v>1912.608</v>
      </c>
      <c r="AG96" s="1249" t="s">
        <v>574</v>
      </c>
      <c r="AH96" s="1234" t="s">
        <v>389</v>
      </c>
      <c r="AI96" s="1234" t="s">
        <v>112</v>
      </c>
      <c r="AJ96" s="1234" t="s">
        <v>113</v>
      </c>
      <c r="AK96" s="1188">
        <f>I96*2</f>
        <v>2784</v>
      </c>
      <c r="AL96" s="1188"/>
      <c r="AM96" s="1188"/>
      <c r="AN96" s="1188"/>
      <c r="AO96" s="1188"/>
      <c r="AP96" s="1188"/>
      <c r="AQ96" s="1240">
        <f>I96*2</f>
        <v>2784</v>
      </c>
      <c r="AR96" s="1188"/>
      <c r="AS96" s="1236"/>
      <c r="AT96" s="1236"/>
      <c r="AU96" s="1188">
        <f>I96*2</f>
        <v>2784</v>
      </c>
      <c r="AV96" s="1250">
        <f t="shared" si="32"/>
        <v>167.04</v>
      </c>
      <c r="AW96" s="1250"/>
      <c r="AX96" s="1188"/>
      <c r="AY96" s="1188"/>
      <c r="AZ96" s="1188"/>
      <c r="BA96" s="1188"/>
      <c r="BB96" s="1188"/>
      <c r="BC96" s="1188"/>
      <c r="BD96" s="1188"/>
      <c r="BE96" s="1188"/>
      <c r="BF96" s="1188"/>
      <c r="BG96" s="1188"/>
      <c r="BH96" s="1188"/>
      <c r="BI96" s="1188"/>
      <c r="BJ96" s="1188"/>
      <c r="BK96" s="1188"/>
      <c r="BL96" s="1188"/>
      <c r="BM96" s="1188"/>
      <c r="BN96" s="1188"/>
      <c r="BO96" s="1240"/>
      <c r="BP96" s="1240"/>
      <c r="BQ96" s="1188"/>
      <c r="BR96" s="1236"/>
      <c r="BS96" s="1188"/>
      <c r="BT96" s="1188"/>
      <c r="BU96" s="1188"/>
      <c r="BV96" s="1240"/>
      <c r="BW96" s="1188"/>
      <c r="BX96" s="1188"/>
      <c r="BY96" s="1188"/>
      <c r="BZ96" s="1188"/>
      <c r="CA96" s="1188"/>
      <c r="CB96" s="1188"/>
      <c r="CC96" s="1188"/>
      <c r="CD96" s="1188">
        <f t="shared" si="23"/>
        <v>0</v>
      </c>
      <c r="CE96" s="1188">
        <f t="shared" si="24"/>
        <v>0</v>
      </c>
      <c r="CF96" s="1188">
        <f t="shared" si="25"/>
        <v>0</v>
      </c>
      <c r="CG96" s="1188">
        <f t="shared" si="26"/>
        <v>0</v>
      </c>
      <c r="CH96" s="1236"/>
      <c r="CI96" s="1236"/>
      <c r="CJ96" s="1236">
        <f>I96</f>
        <v>1392</v>
      </c>
      <c r="CK96" s="1188">
        <f>I96</f>
        <v>1392</v>
      </c>
      <c r="CL96" s="1188">
        <f>I96</f>
        <v>1392</v>
      </c>
    </row>
    <row r="97" s="1168" customFormat="1" customHeight="1" spans="1:111">
      <c r="A97" s="1245">
        <v>46134</v>
      </c>
      <c r="B97" s="1247"/>
      <c r="C97" s="1234"/>
      <c r="D97" s="1188" t="s">
        <v>575</v>
      </c>
      <c r="E97" s="1234"/>
      <c r="F97" s="1188" t="s">
        <v>576</v>
      </c>
      <c r="G97" s="1253" t="s">
        <v>91</v>
      </c>
      <c r="H97" s="1234" t="s">
        <v>92</v>
      </c>
      <c r="I97" s="1234">
        <v>2400</v>
      </c>
      <c r="J97" s="1234">
        <v>0</v>
      </c>
      <c r="K97" s="1234">
        <v>24</v>
      </c>
      <c r="L97" s="1246">
        <f t="shared" si="15"/>
        <v>100</v>
      </c>
      <c r="M97" s="1255">
        <v>46157</v>
      </c>
      <c r="N97" s="1255">
        <v>46153</v>
      </c>
      <c r="O97" s="1255"/>
      <c r="P97" s="1233"/>
      <c r="Q97" s="1233" t="s">
        <v>106</v>
      </c>
      <c r="R97" s="1234"/>
      <c r="S97" s="1234"/>
      <c r="T97" s="1233">
        <v>2400</v>
      </c>
      <c r="U97" s="1233">
        <f t="shared" si="27"/>
        <v>0</v>
      </c>
      <c r="V97" s="1234"/>
      <c r="W97" s="1256" t="s">
        <v>94</v>
      </c>
      <c r="X97" s="1257" t="s">
        <v>95</v>
      </c>
      <c r="Y97" s="1257" t="s">
        <v>95</v>
      </c>
      <c r="Z97" s="1247"/>
      <c r="AA97" s="1247"/>
      <c r="AB97" s="1247"/>
      <c r="AC97" s="1247" t="s">
        <v>577</v>
      </c>
      <c r="AD97" s="1255" t="s">
        <v>272</v>
      </c>
      <c r="AE97" s="1188"/>
      <c r="AF97" s="1248"/>
      <c r="AG97" s="1258"/>
      <c r="AH97" s="1234" t="s">
        <v>91</v>
      </c>
      <c r="AI97" s="1234" t="s">
        <v>112</v>
      </c>
      <c r="AJ97" s="1234" t="s">
        <v>113</v>
      </c>
      <c r="AK97" s="1188">
        <f>I97</f>
        <v>2400</v>
      </c>
      <c r="AL97" s="1188"/>
      <c r="AM97" s="1188"/>
      <c r="AN97" s="1188">
        <f>I97</f>
        <v>2400</v>
      </c>
      <c r="AO97" s="1188"/>
      <c r="AP97" s="1188"/>
      <c r="AQ97" s="1240"/>
      <c r="AR97" s="1188"/>
      <c r="AS97" s="1236"/>
      <c r="AT97" s="1236"/>
      <c r="AU97" s="1188">
        <f>I97</f>
        <v>2400</v>
      </c>
      <c r="AV97" s="1250">
        <f t="shared" si="32"/>
        <v>288</v>
      </c>
      <c r="AW97" s="1250"/>
      <c r="AX97" s="1188"/>
      <c r="AY97" s="1188"/>
      <c r="AZ97" s="1188"/>
      <c r="BA97" s="1188"/>
      <c r="BB97" s="1188"/>
      <c r="BC97" s="1188"/>
      <c r="BD97" s="1188"/>
      <c r="BE97" s="1188"/>
      <c r="BF97" s="1188"/>
      <c r="BG97" s="1188"/>
      <c r="BH97" s="1188"/>
      <c r="BI97" s="1188"/>
      <c r="BJ97" s="1188"/>
      <c r="BK97" s="1188"/>
      <c r="BL97" s="1188"/>
      <c r="BM97" s="1188"/>
      <c r="BN97" s="1188"/>
      <c r="BO97" s="1240"/>
      <c r="BP97" s="1240"/>
      <c r="BQ97" s="1188"/>
      <c r="BR97" s="1236"/>
      <c r="BS97" s="1188"/>
      <c r="BT97" s="1188"/>
      <c r="BU97" s="1188"/>
      <c r="BV97" s="1240"/>
      <c r="BW97" s="1188"/>
      <c r="BX97" s="1188"/>
      <c r="BY97" s="1188"/>
      <c r="BZ97" s="1188"/>
      <c r="CA97" s="1188"/>
      <c r="CB97" s="1188"/>
      <c r="CC97" s="1188"/>
      <c r="CD97" s="1188">
        <f t="shared" si="23"/>
        <v>0</v>
      </c>
      <c r="CE97" s="1188">
        <f t="shared" si="24"/>
        <v>0</v>
      </c>
      <c r="CF97" s="1188">
        <f t="shared" si="25"/>
        <v>0</v>
      </c>
      <c r="CG97" s="1188">
        <f t="shared" si="26"/>
        <v>0</v>
      </c>
      <c r="CH97" s="1236"/>
      <c r="CI97" s="1236"/>
      <c r="CJ97" s="1236"/>
      <c r="CK97" s="1188"/>
      <c r="CL97" s="1188"/>
    </row>
    <row r="98" s="1168" customFormat="1" customHeight="1" spans="1:111">
      <c r="A98" s="1245">
        <v>46094</v>
      </c>
      <c r="B98" s="1247" t="s">
        <v>578</v>
      </c>
      <c r="C98" s="1234" t="s">
        <v>115</v>
      </c>
      <c r="D98" s="1188">
        <v>4500196710</v>
      </c>
      <c r="E98" s="1234">
        <v>5286</v>
      </c>
      <c r="F98" s="1188" t="s">
        <v>579</v>
      </c>
      <c r="G98" s="1253" t="s">
        <v>174</v>
      </c>
      <c r="H98" s="1234" t="s">
        <v>175</v>
      </c>
      <c r="I98" s="1254">
        <v>416</v>
      </c>
      <c r="J98" s="1234">
        <v>0</v>
      </c>
      <c r="K98" s="1234">
        <v>52</v>
      </c>
      <c r="L98" s="1246">
        <f t="shared" si="15"/>
        <v>8</v>
      </c>
      <c r="M98" s="1255">
        <v>46157</v>
      </c>
      <c r="N98" s="1255">
        <v>46153</v>
      </c>
      <c r="O98" s="1255"/>
      <c r="P98" s="1233"/>
      <c r="Q98" s="1233" t="s">
        <v>106</v>
      </c>
      <c r="R98" s="1234"/>
      <c r="S98" s="1234"/>
      <c r="T98" s="1233">
        <v>416</v>
      </c>
      <c r="U98" s="1233">
        <f t="shared" si="27"/>
        <v>0</v>
      </c>
      <c r="V98" s="1234"/>
      <c r="W98" s="1256">
        <v>46119</v>
      </c>
      <c r="X98" s="1257" t="s">
        <v>95</v>
      </c>
      <c r="Y98" s="1257" t="s">
        <v>95</v>
      </c>
      <c r="Z98" s="1247"/>
      <c r="AA98" s="1247"/>
      <c r="AB98" s="1247"/>
      <c r="AC98" s="1247" t="s">
        <v>580</v>
      </c>
      <c r="AD98" s="1255" t="s">
        <v>581</v>
      </c>
      <c r="AE98" s="1267">
        <v>0.6198</v>
      </c>
      <c r="AF98" s="1248">
        <f>I98*AE98</f>
        <v>257.8368</v>
      </c>
      <c r="AG98" s="1249" t="s">
        <v>582</v>
      </c>
      <c r="AH98" s="1253" t="s">
        <v>174</v>
      </c>
      <c r="AI98" s="1234" t="s">
        <v>112</v>
      </c>
      <c r="AJ98" s="1234" t="s">
        <v>113</v>
      </c>
      <c r="AK98" s="1188">
        <f>I98</f>
        <v>416</v>
      </c>
      <c r="AL98" s="1188"/>
      <c r="AM98" s="1188"/>
      <c r="AN98" s="1188">
        <f>I98</f>
        <v>416</v>
      </c>
      <c r="AO98" s="1188"/>
      <c r="AP98" s="1188"/>
      <c r="AQ98" s="1240"/>
      <c r="AR98" s="1188"/>
      <c r="AS98" s="1236"/>
      <c r="AT98" s="1236"/>
      <c r="AU98" s="1188">
        <f>I98</f>
        <v>416</v>
      </c>
      <c r="AV98" s="1250">
        <f>I98*0.06</f>
        <v>24.96</v>
      </c>
      <c r="AW98" s="1250"/>
      <c r="AX98" s="1188"/>
      <c r="AY98" s="1188"/>
      <c r="AZ98" s="1188"/>
      <c r="BA98" s="1188"/>
      <c r="BB98" s="1188"/>
      <c r="BC98" s="1188"/>
      <c r="BD98" s="1188"/>
      <c r="BE98" s="1188"/>
      <c r="BF98" s="1188"/>
      <c r="BG98" s="1188"/>
      <c r="BH98" s="1188"/>
      <c r="BI98" s="1188"/>
      <c r="BJ98" s="1188"/>
      <c r="BK98" s="1188">
        <f>I98/13</f>
        <v>32</v>
      </c>
      <c r="BL98" s="1188"/>
      <c r="BM98" s="1188"/>
      <c r="BN98" s="1188"/>
      <c r="BO98" s="1240"/>
      <c r="BP98" s="1240"/>
      <c r="BQ98" s="1188"/>
      <c r="BR98" s="1236"/>
      <c r="BS98" s="1188"/>
      <c r="BT98" s="1188"/>
      <c r="BU98" s="1188"/>
      <c r="BV98" s="1240"/>
      <c r="BW98" s="1188"/>
      <c r="BX98" s="1188"/>
      <c r="BY98" s="1188"/>
      <c r="BZ98" s="1188"/>
      <c r="CA98" s="1188"/>
      <c r="CB98" s="1188"/>
      <c r="CC98" s="1188"/>
      <c r="CD98" s="1188">
        <f t="shared" si="23"/>
        <v>0</v>
      </c>
      <c r="CE98" s="1188">
        <f t="shared" si="24"/>
        <v>0</v>
      </c>
      <c r="CF98" s="1188">
        <f t="shared" si="25"/>
        <v>0</v>
      </c>
      <c r="CG98" s="1188">
        <f t="shared" si="26"/>
        <v>0</v>
      </c>
      <c r="CH98" s="1236"/>
      <c r="CI98" s="1236"/>
      <c r="CJ98" s="1236"/>
      <c r="CK98" s="1188"/>
      <c r="CL98" s="1188"/>
    </row>
    <row r="99" s="1168" customFormat="1" customHeight="1" spans="1:111">
      <c r="A99" s="1245">
        <v>46094</v>
      </c>
      <c r="B99" s="1247" t="s">
        <v>583</v>
      </c>
      <c r="C99" s="1234" t="s">
        <v>135</v>
      </c>
      <c r="D99" s="1188">
        <v>4500196674</v>
      </c>
      <c r="E99" s="1234">
        <v>2950868300</v>
      </c>
      <c r="F99" s="1188" t="s">
        <v>584</v>
      </c>
      <c r="G99" s="1253" t="s">
        <v>585</v>
      </c>
      <c r="H99" s="1234" t="s">
        <v>586</v>
      </c>
      <c r="I99" s="1254">
        <v>4160</v>
      </c>
      <c r="J99" s="1234">
        <v>0</v>
      </c>
      <c r="K99" s="1234">
        <v>1040</v>
      </c>
      <c r="L99" s="1246">
        <f>I99/K99</f>
        <v>4</v>
      </c>
      <c r="M99" s="1255">
        <v>46157</v>
      </c>
      <c r="N99" s="1255">
        <f>M99-4</f>
        <v>46153</v>
      </c>
      <c r="O99" s="1255"/>
      <c r="P99" s="1233"/>
      <c r="Q99" s="1233" t="s">
        <v>106</v>
      </c>
      <c r="R99" s="1234"/>
      <c r="S99" s="1234">
        <v>4160</v>
      </c>
      <c r="T99" s="1233">
        <v>4160</v>
      </c>
      <c r="U99" s="1233">
        <f t="shared" si="27"/>
        <v>0</v>
      </c>
      <c r="V99" s="1234"/>
      <c r="W99" s="1256">
        <v>46122</v>
      </c>
      <c r="X99" s="1257" t="s">
        <v>95</v>
      </c>
      <c r="Y99" s="1257" t="s">
        <v>587</v>
      </c>
      <c r="Z99" s="1188" t="s">
        <v>140</v>
      </c>
      <c r="AA99" s="1188"/>
      <c r="AB99" s="1247"/>
      <c r="AC99" s="1247" t="s">
        <v>588</v>
      </c>
      <c r="AD99" s="1255" t="s">
        <v>288</v>
      </c>
      <c r="AE99" s="1188">
        <v>90.4614</v>
      </c>
      <c r="AF99" s="1248">
        <f>L99*AE99</f>
        <v>361.8456</v>
      </c>
      <c r="AG99" s="1258"/>
      <c r="AH99" s="1234" t="s">
        <v>585</v>
      </c>
      <c r="AI99" s="1234" t="s">
        <v>112</v>
      </c>
      <c r="AJ99" s="1234" t="s">
        <v>113</v>
      </c>
      <c r="AK99" s="1188">
        <f>I99</f>
        <v>4160</v>
      </c>
      <c r="AL99" s="1188"/>
      <c r="AM99" s="1188"/>
      <c r="AN99" s="1188">
        <f>I99</f>
        <v>4160</v>
      </c>
      <c r="AO99" s="1188"/>
      <c r="AP99" s="1188"/>
      <c r="AQ99" s="1240"/>
      <c r="AR99" s="1188"/>
      <c r="AS99" s="1236"/>
      <c r="AT99" s="1236"/>
      <c r="AU99" s="1188">
        <f>I99</f>
        <v>4160</v>
      </c>
      <c r="AV99" s="1250">
        <f>I99*0.06</f>
        <v>249.6</v>
      </c>
      <c r="AW99" s="1250"/>
      <c r="AX99" s="1188"/>
      <c r="AY99" s="1188"/>
      <c r="AZ99" s="1188"/>
      <c r="BA99" s="1188"/>
      <c r="BB99" s="1188"/>
      <c r="BC99" s="1188"/>
      <c r="BD99" s="1188"/>
      <c r="BE99" s="1188"/>
      <c r="BF99" s="1188"/>
      <c r="BG99" s="1188"/>
      <c r="BH99" s="1188"/>
      <c r="BI99" s="1188"/>
      <c r="BJ99" s="1188"/>
      <c r="BK99" s="1188">
        <f>I99/13</f>
        <v>320</v>
      </c>
      <c r="BL99" s="1188"/>
      <c r="BM99" s="1188"/>
      <c r="BN99" s="1188"/>
      <c r="BO99" s="1240"/>
      <c r="BP99" s="1240"/>
      <c r="BQ99" s="1188"/>
      <c r="BR99" s="1236"/>
      <c r="BS99" s="1188"/>
      <c r="BT99" s="1188"/>
      <c r="BU99" s="1188"/>
      <c r="BV99" s="1240"/>
      <c r="BW99" s="1188"/>
      <c r="BX99" s="1188"/>
      <c r="BY99" s="1188"/>
      <c r="BZ99" s="1188"/>
      <c r="CA99" s="1188"/>
      <c r="CB99" s="1188"/>
      <c r="CC99" s="1188"/>
      <c r="CD99" s="1188">
        <f t="shared" si="23"/>
        <v>0</v>
      </c>
      <c r="CE99" s="1188">
        <f t="shared" si="24"/>
        <v>0</v>
      </c>
      <c r="CF99" s="1188">
        <f t="shared" si="25"/>
        <v>0</v>
      </c>
      <c r="CG99" s="1188">
        <f t="shared" si="26"/>
        <v>0</v>
      </c>
      <c r="CH99" s="1236"/>
      <c r="CI99" s="1236"/>
      <c r="CJ99" s="1236"/>
      <c r="CK99" s="1188"/>
      <c r="CL99" s="1188"/>
      <c r="CM99" s="1169"/>
      <c r="CN99" s="1169"/>
      <c r="CO99" s="1169"/>
      <c r="CP99" s="1169"/>
      <c r="CQ99" s="1169"/>
      <c r="CR99" s="1169"/>
      <c r="CS99" s="1169"/>
      <c r="CT99" s="1169"/>
      <c r="CU99" s="1169"/>
      <c r="CV99" s="1169"/>
      <c r="CW99" s="1169"/>
      <c r="CX99" s="1169"/>
      <c r="CY99" s="1169"/>
      <c r="CZ99" s="1169"/>
      <c r="DA99" s="1169"/>
      <c r="DB99" s="1169"/>
      <c r="DC99" s="1169"/>
      <c r="DD99" s="1169"/>
      <c r="DE99" s="1169"/>
      <c r="DF99" s="1169"/>
      <c r="DG99" s="1169"/>
    </row>
    <row r="100" s="1168" customFormat="1" customHeight="1" spans="1:111">
      <c r="A100" s="1245">
        <v>46108</v>
      </c>
      <c r="B100" s="1247" t="s">
        <v>114</v>
      </c>
      <c r="C100" s="1234" t="s">
        <v>115</v>
      </c>
      <c r="D100" s="1188">
        <v>4500199078</v>
      </c>
      <c r="E100" s="1234" t="s">
        <v>589</v>
      </c>
      <c r="F100" s="1188" t="s">
        <v>590</v>
      </c>
      <c r="G100" s="1253" t="s">
        <v>118</v>
      </c>
      <c r="H100" s="1234" t="s">
        <v>104</v>
      </c>
      <c r="I100" s="1254">
        <v>25950</v>
      </c>
      <c r="J100" s="1234">
        <v>0</v>
      </c>
      <c r="K100" s="1234">
        <v>25</v>
      </c>
      <c r="L100" s="1246">
        <f>I100/K100</f>
        <v>1038</v>
      </c>
      <c r="M100" s="1255">
        <v>46160</v>
      </c>
      <c r="N100" s="1255">
        <v>46156</v>
      </c>
      <c r="O100" s="1255"/>
      <c r="P100" s="1233"/>
      <c r="Q100" s="1233" t="s">
        <v>106</v>
      </c>
      <c r="R100" s="1234"/>
      <c r="S100" s="1234"/>
      <c r="T100" s="1233">
        <v>25950</v>
      </c>
      <c r="U100" s="1233">
        <f t="shared" si="27"/>
        <v>0</v>
      </c>
      <c r="V100" s="1234" t="s">
        <v>120</v>
      </c>
      <c r="W100" s="1256">
        <v>46128</v>
      </c>
      <c r="X100" s="1257" t="s">
        <v>107</v>
      </c>
      <c r="Y100" s="1257" t="s">
        <v>591</v>
      </c>
      <c r="Z100" s="1247"/>
      <c r="AA100" s="1247"/>
      <c r="AB100" s="1247"/>
      <c r="AC100" s="1247" t="s">
        <v>442</v>
      </c>
      <c r="AD100" s="1255" t="s">
        <v>592</v>
      </c>
      <c r="AE100" s="1188">
        <v>1.29</v>
      </c>
      <c r="AF100" s="1248">
        <f>I100*AE100</f>
        <v>33475.5</v>
      </c>
      <c r="AG100" s="1249" t="s">
        <v>593</v>
      </c>
      <c r="AH100" s="1253" t="s">
        <v>118</v>
      </c>
      <c r="AI100" s="1234" t="s">
        <v>112</v>
      </c>
      <c r="AJ100" s="1234" t="s">
        <v>113</v>
      </c>
      <c r="AK100" s="1188"/>
      <c r="AL100" s="1188"/>
      <c r="AM100" s="1188">
        <f>I100</f>
        <v>25950</v>
      </c>
      <c r="AN100" s="1188">
        <f>I100</f>
        <v>25950</v>
      </c>
      <c r="AO100" s="1188"/>
      <c r="AP100" s="1188"/>
      <c r="AQ100" s="1240"/>
      <c r="AR100" s="1188"/>
      <c r="AS100" s="1236"/>
      <c r="AT100" s="1236"/>
      <c r="AU100" s="1188">
        <f>I100</f>
        <v>25950</v>
      </c>
      <c r="AV100" s="1250">
        <f>I100*0.06</f>
        <v>1557</v>
      </c>
      <c r="AW100" s="1250"/>
      <c r="AX100" s="1188"/>
      <c r="AY100" s="1188"/>
      <c r="AZ100" s="1188"/>
      <c r="BA100" s="1188"/>
      <c r="BB100" s="1188"/>
      <c r="BC100" s="1188"/>
      <c r="BD100" s="1188"/>
      <c r="BE100" s="1188"/>
      <c r="BF100" s="1188"/>
      <c r="BG100" s="1188"/>
      <c r="BH100" s="1188"/>
      <c r="BI100" s="1188"/>
      <c r="BJ100" s="1188"/>
      <c r="BK100" s="1188"/>
      <c r="BL100" s="1188"/>
      <c r="BM100" s="1188"/>
      <c r="BN100" s="1188"/>
      <c r="BO100" s="1240"/>
      <c r="BP100" s="1240"/>
      <c r="BQ100" s="1188"/>
      <c r="BR100" s="1236"/>
      <c r="BS100" s="1188"/>
      <c r="BT100" s="1188"/>
      <c r="BU100" s="1188">
        <f>I100/25</f>
        <v>1038</v>
      </c>
      <c r="BV100" s="1240"/>
      <c r="BW100" s="1188"/>
      <c r="BX100" s="1188"/>
      <c r="BY100" s="1188"/>
      <c r="BZ100" s="1188"/>
      <c r="CA100" s="1188"/>
      <c r="CB100" s="1188"/>
      <c r="CC100" s="1188"/>
      <c r="CD100" s="1188">
        <f t="shared" si="23"/>
        <v>0</v>
      </c>
      <c r="CE100" s="1188">
        <f t="shared" si="24"/>
        <v>1038</v>
      </c>
      <c r="CF100" s="1188">
        <f t="shared" si="25"/>
        <v>0</v>
      </c>
      <c r="CG100" s="1188">
        <f t="shared" si="26"/>
        <v>0</v>
      </c>
      <c r="CH100" s="1236"/>
      <c r="CI100" s="1236"/>
      <c r="CJ100" s="1236"/>
      <c r="CK100" s="1188"/>
      <c r="CL100" s="1188"/>
    </row>
    <row r="101" s="1168" customFormat="1" customHeight="1" spans="1:111">
      <c r="A101" s="1245">
        <v>46108</v>
      </c>
      <c r="B101" s="1247" t="s">
        <v>114</v>
      </c>
      <c r="C101" s="1234" t="s">
        <v>115</v>
      </c>
      <c r="D101" s="1188">
        <v>4500199079</v>
      </c>
      <c r="E101" s="1234" t="s">
        <v>594</v>
      </c>
      <c r="F101" s="1188" t="s">
        <v>595</v>
      </c>
      <c r="G101" s="1253" t="s">
        <v>118</v>
      </c>
      <c r="H101" s="1234" t="s">
        <v>104</v>
      </c>
      <c r="I101" s="1254">
        <v>41125</v>
      </c>
      <c r="J101" s="1234">
        <v>0</v>
      </c>
      <c r="K101" s="1234">
        <v>25</v>
      </c>
      <c r="L101" s="1246">
        <f>I101/K101</f>
        <v>1645</v>
      </c>
      <c r="M101" s="1255">
        <v>46160</v>
      </c>
      <c r="N101" s="1255">
        <v>46156</v>
      </c>
      <c r="O101" s="1255"/>
      <c r="P101" s="1233"/>
      <c r="Q101" s="1233" t="s">
        <v>106</v>
      </c>
      <c r="R101" s="1234"/>
      <c r="S101" s="1234"/>
      <c r="T101" s="1233">
        <v>41125</v>
      </c>
      <c r="U101" s="1233">
        <f t="shared" si="27"/>
        <v>0</v>
      </c>
      <c r="V101" s="1234" t="s">
        <v>120</v>
      </c>
      <c r="W101" s="1256">
        <v>46128</v>
      </c>
      <c r="X101" s="1257" t="s">
        <v>107</v>
      </c>
      <c r="Y101" s="1257" t="s">
        <v>591</v>
      </c>
      <c r="Z101" s="1247"/>
      <c r="AA101" s="1247"/>
      <c r="AB101" s="1247"/>
      <c r="AC101" s="1247" t="s">
        <v>442</v>
      </c>
      <c r="AD101" s="1255" t="s">
        <v>123</v>
      </c>
      <c r="AE101" s="1188">
        <v>1.29</v>
      </c>
      <c r="AF101" s="1248">
        <f>I101*AE101</f>
        <v>53051.25</v>
      </c>
      <c r="AG101" s="1249" t="s">
        <v>596</v>
      </c>
      <c r="AH101" s="1253" t="s">
        <v>118</v>
      </c>
      <c r="AI101" s="1234" t="s">
        <v>112</v>
      </c>
      <c r="AJ101" s="1234" t="s">
        <v>113</v>
      </c>
      <c r="AK101" s="1188"/>
      <c r="AL101" s="1188"/>
      <c r="AM101" s="1188">
        <f>I101</f>
        <v>41125</v>
      </c>
      <c r="AN101" s="1188">
        <f>I101</f>
        <v>41125</v>
      </c>
      <c r="AO101" s="1188"/>
      <c r="AP101" s="1188"/>
      <c r="AQ101" s="1240"/>
      <c r="AR101" s="1188"/>
      <c r="AS101" s="1236"/>
      <c r="AT101" s="1236"/>
      <c r="AU101" s="1188">
        <f>I101</f>
        <v>41125</v>
      </c>
      <c r="AV101" s="1250">
        <f>I101*0.06</f>
        <v>2467.5</v>
      </c>
      <c r="AW101" s="1250"/>
      <c r="AX101" s="1188"/>
      <c r="AY101" s="1188"/>
      <c r="AZ101" s="1188"/>
      <c r="BA101" s="1188"/>
      <c r="BB101" s="1188"/>
      <c r="BC101" s="1188"/>
      <c r="BD101" s="1188"/>
      <c r="BE101" s="1188"/>
      <c r="BF101" s="1188"/>
      <c r="BG101" s="1188"/>
      <c r="BH101" s="1188"/>
      <c r="BI101" s="1188"/>
      <c r="BJ101" s="1188"/>
      <c r="BK101" s="1188"/>
      <c r="BL101" s="1188"/>
      <c r="BM101" s="1188"/>
      <c r="BN101" s="1188"/>
      <c r="BO101" s="1240"/>
      <c r="BP101" s="1240"/>
      <c r="BQ101" s="1188"/>
      <c r="BR101" s="1236"/>
      <c r="BS101" s="1188"/>
      <c r="BT101" s="1188"/>
      <c r="BU101" s="1188">
        <f>I101/25</f>
        <v>1645</v>
      </c>
      <c r="BV101" s="1240"/>
      <c r="BW101" s="1188"/>
      <c r="BX101" s="1188"/>
      <c r="BY101" s="1188"/>
      <c r="BZ101" s="1188"/>
      <c r="CA101" s="1188"/>
      <c r="CB101" s="1188"/>
      <c r="CC101" s="1188"/>
      <c r="CD101" s="1188">
        <f t="shared" si="23"/>
        <v>0</v>
      </c>
      <c r="CE101" s="1188">
        <f t="shared" si="24"/>
        <v>1645</v>
      </c>
      <c r="CF101" s="1188">
        <f t="shared" si="25"/>
        <v>0</v>
      </c>
      <c r="CG101" s="1188">
        <f t="shared" si="26"/>
        <v>0</v>
      </c>
      <c r="CH101" s="1236"/>
      <c r="CI101" s="1236"/>
      <c r="CJ101" s="1236"/>
      <c r="CK101" s="1188"/>
      <c r="CL101" s="1188"/>
    </row>
    <row r="102" s="1168" customFormat="1" customHeight="1" spans="1:111">
      <c r="A102" s="1245">
        <v>46153</v>
      </c>
      <c r="B102" s="1247"/>
      <c r="C102" s="1234" t="s">
        <v>597</v>
      </c>
      <c r="D102" s="1188" t="s">
        <v>598</v>
      </c>
      <c r="E102" s="1234"/>
      <c r="F102" s="1188" t="s">
        <v>599</v>
      </c>
      <c r="G102" s="1253" t="s">
        <v>91</v>
      </c>
      <c r="H102" s="1234" t="s">
        <v>600</v>
      </c>
      <c r="I102" s="1254" t="s">
        <v>127</v>
      </c>
      <c r="J102" s="1234"/>
      <c r="K102" s="1234"/>
      <c r="L102" s="1246"/>
      <c r="M102" s="1255">
        <v>46161</v>
      </c>
      <c r="N102" s="1255">
        <v>46157</v>
      </c>
      <c r="O102" s="1255"/>
      <c r="P102" s="1233"/>
      <c r="Q102" s="1233" t="s">
        <v>106</v>
      </c>
      <c r="R102" s="1234"/>
      <c r="S102" s="1234"/>
      <c r="U102" s="1233" t="e">
        <f>T149-I102</f>
        <v>#VALUE!</v>
      </c>
      <c r="V102" s="1234"/>
      <c r="W102" s="1256">
        <v>46153</v>
      </c>
      <c r="X102" s="1257" t="s">
        <v>95</v>
      </c>
      <c r="Y102" s="1257" t="s">
        <v>95</v>
      </c>
      <c r="Z102" s="1247"/>
      <c r="AA102" s="1247"/>
      <c r="AB102" s="1247"/>
      <c r="AC102" s="1247" t="s">
        <v>601</v>
      </c>
      <c r="AD102" s="1255" t="s">
        <v>272</v>
      </c>
      <c r="AE102" s="1188"/>
      <c r="AF102" s="1248"/>
      <c r="AG102" s="1258"/>
      <c r="AH102" s="1234" t="s">
        <v>99</v>
      </c>
      <c r="AI102" s="1234" t="s">
        <v>99</v>
      </c>
      <c r="AJ102" s="1234"/>
      <c r="AK102" s="1188"/>
      <c r="AL102" s="1188"/>
      <c r="AM102" s="1188"/>
      <c r="AN102" s="1188"/>
      <c r="AO102" s="1188"/>
      <c r="AP102" s="1188"/>
      <c r="AQ102" s="1240"/>
      <c r="AR102" s="1188"/>
      <c r="AS102" s="1236"/>
      <c r="AT102" s="1236"/>
      <c r="AU102" s="1188"/>
      <c r="AV102" s="1250"/>
      <c r="AW102" s="1250"/>
      <c r="AX102" s="1188"/>
      <c r="AY102" s="1188"/>
      <c r="AZ102" s="1188"/>
      <c r="BA102" s="1188"/>
      <c r="BB102" s="1188"/>
      <c r="BC102" s="1188"/>
      <c r="BD102" s="1188"/>
      <c r="BE102" s="1188"/>
      <c r="BF102" s="1188"/>
      <c r="BG102" s="1188"/>
      <c r="BH102" s="1188"/>
      <c r="BI102" s="1188"/>
      <c r="BJ102" s="1188"/>
      <c r="BK102" s="1188"/>
      <c r="BL102" s="1188"/>
      <c r="BM102" s="1188"/>
      <c r="BN102" s="1188"/>
      <c r="BO102" s="1240"/>
      <c r="BP102" s="1240"/>
      <c r="BQ102" s="1188"/>
      <c r="BR102" s="1236"/>
      <c r="BS102" s="1188"/>
      <c r="BT102" s="1188"/>
      <c r="BU102" s="1188"/>
      <c r="BV102" s="1240"/>
      <c r="BW102" s="1188"/>
      <c r="BX102" s="1188"/>
      <c r="BY102" s="1188"/>
      <c r="BZ102" s="1188"/>
      <c r="CA102" s="1188"/>
      <c r="CB102" s="1188"/>
      <c r="CC102" s="1188"/>
      <c r="CD102" s="1188">
        <f t="shared" si="23"/>
        <v>0</v>
      </c>
      <c r="CE102" s="1188">
        <f t="shared" si="24"/>
        <v>0</v>
      </c>
      <c r="CF102" s="1188">
        <f t="shared" si="25"/>
        <v>0</v>
      </c>
      <c r="CG102" s="1188">
        <f t="shared" si="26"/>
        <v>0</v>
      </c>
      <c r="CH102" s="1236"/>
      <c r="CI102" s="1236"/>
      <c r="CJ102" s="1236"/>
      <c r="CK102" s="1188"/>
      <c r="CL102" s="1188"/>
    </row>
    <row r="103" s="1168" customFormat="1" customHeight="1" spans="1:111">
      <c r="A103" s="1245">
        <v>46062</v>
      </c>
      <c r="B103" s="1247" t="s">
        <v>602</v>
      </c>
      <c r="C103" s="1234" t="s">
        <v>508</v>
      </c>
      <c r="D103" s="1188">
        <v>4500193524</v>
      </c>
      <c r="E103" s="1234">
        <v>86072</v>
      </c>
      <c r="F103" s="1188" t="s">
        <v>603</v>
      </c>
      <c r="G103" s="1253" t="s">
        <v>604</v>
      </c>
      <c r="H103" s="1234" t="s">
        <v>104</v>
      </c>
      <c r="I103" s="1254">
        <v>8000</v>
      </c>
      <c r="J103" s="1234">
        <v>0</v>
      </c>
      <c r="K103" s="1234">
        <v>25</v>
      </c>
      <c r="L103" s="1246">
        <f t="shared" ref="L103:L132" si="33">I103/K103</f>
        <v>320</v>
      </c>
      <c r="M103" s="1255">
        <v>46162</v>
      </c>
      <c r="N103" s="1255">
        <f>M103-4</f>
        <v>46158</v>
      </c>
      <c r="O103" s="1255"/>
      <c r="P103" s="1233"/>
      <c r="Q103" s="1233" t="s">
        <v>106</v>
      </c>
      <c r="R103" s="1234"/>
      <c r="S103" s="1234"/>
      <c r="T103" s="1233">
        <v>8000</v>
      </c>
      <c r="U103" s="1233">
        <f t="shared" si="27"/>
        <v>0</v>
      </c>
      <c r="V103" s="1234"/>
      <c r="W103" s="1256">
        <v>46101</v>
      </c>
      <c r="X103" s="1257" t="s">
        <v>95</v>
      </c>
      <c r="Y103" s="1257" t="s">
        <v>605</v>
      </c>
      <c r="Z103" s="1247" t="s">
        <v>360</v>
      </c>
      <c r="AA103" s="1247"/>
      <c r="AB103" s="1247"/>
      <c r="AC103" s="1247" t="s">
        <v>606</v>
      </c>
      <c r="AD103" s="1255" t="s">
        <v>362</v>
      </c>
      <c r="AE103" s="1188">
        <v>1.27</v>
      </c>
      <c r="AF103" s="1248">
        <f>I103*AE103</f>
        <v>10160</v>
      </c>
      <c r="AG103" s="1258"/>
      <c r="AH103" s="1234" t="s">
        <v>146</v>
      </c>
      <c r="AI103" s="1234" t="s">
        <v>112</v>
      </c>
      <c r="AJ103" s="1234" t="s">
        <v>113</v>
      </c>
      <c r="AK103" s="1188">
        <f t="shared" ref="AK103:AK109" si="34">I103</f>
        <v>8000</v>
      </c>
      <c r="AL103" s="1188"/>
      <c r="AM103" s="1188"/>
      <c r="AN103" s="1188">
        <f>I103</f>
        <v>8000</v>
      </c>
      <c r="AO103" s="1188"/>
      <c r="AP103" s="1188"/>
      <c r="AQ103" s="1240"/>
      <c r="AR103" s="1188"/>
      <c r="AS103" s="1236"/>
      <c r="AT103" s="1236"/>
      <c r="AU103" s="1188">
        <f t="shared" ref="AU103:AU109" si="35">I103</f>
        <v>8000</v>
      </c>
      <c r="AV103" s="1250">
        <f t="shared" ref="AV103:AV109" si="36">I103*0.06</f>
        <v>480</v>
      </c>
      <c r="AW103" s="1250"/>
      <c r="AX103" s="1188"/>
      <c r="AY103" s="1188"/>
      <c r="AZ103" s="1188"/>
      <c r="BA103" s="1188"/>
      <c r="BB103" s="1188"/>
      <c r="BC103" s="1188"/>
      <c r="BD103" s="1188"/>
      <c r="BE103" s="1188"/>
      <c r="BF103" s="1188"/>
      <c r="BG103" s="1188"/>
      <c r="BH103" s="1188"/>
      <c r="BI103" s="1188"/>
      <c r="BJ103" s="1188"/>
      <c r="BK103" s="1188"/>
      <c r="BL103" s="1188"/>
      <c r="BM103" s="1188"/>
      <c r="BN103" s="1188">
        <f>I103/25</f>
        <v>320</v>
      </c>
      <c r="BO103" s="1240"/>
      <c r="BP103" s="1240"/>
      <c r="BQ103" s="1188"/>
      <c r="BR103" s="1236"/>
      <c r="BS103" s="1188"/>
      <c r="BT103" s="1188"/>
      <c r="BU103" s="1188"/>
      <c r="BV103" s="1240"/>
      <c r="BW103" s="1188"/>
      <c r="BX103" s="1188"/>
      <c r="BY103" s="1188"/>
      <c r="BZ103" s="1188"/>
      <c r="CA103" s="1188"/>
      <c r="CB103" s="1188"/>
      <c r="CC103" s="1188"/>
      <c r="CD103" s="1188">
        <f t="shared" si="23"/>
        <v>320</v>
      </c>
      <c r="CE103" s="1188">
        <f t="shared" si="24"/>
        <v>0</v>
      </c>
      <c r="CF103" s="1188">
        <f t="shared" si="25"/>
        <v>0</v>
      </c>
      <c r="CG103" s="1188">
        <f t="shared" si="26"/>
        <v>0</v>
      </c>
      <c r="CH103" s="1236"/>
      <c r="CI103" s="1236"/>
      <c r="CJ103" s="1236"/>
      <c r="CK103" s="1188"/>
      <c r="CL103" s="1188"/>
    </row>
    <row r="104" s="1168" customFormat="1" customHeight="1" spans="1:111">
      <c r="A104" s="1245">
        <v>46104</v>
      </c>
      <c r="B104" s="1247" t="s">
        <v>607</v>
      </c>
      <c r="C104" s="1234" t="s">
        <v>608</v>
      </c>
      <c r="D104" s="1188">
        <v>4500198012</v>
      </c>
      <c r="E104" s="1234">
        <v>5200009333</v>
      </c>
      <c r="F104" s="1188" t="s">
        <v>609</v>
      </c>
      <c r="G104" s="1253" t="s">
        <v>610</v>
      </c>
      <c r="H104" s="1234" t="s">
        <v>104</v>
      </c>
      <c r="I104" s="1254">
        <v>8750</v>
      </c>
      <c r="J104" s="1234">
        <v>0</v>
      </c>
      <c r="K104" s="1234">
        <v>25</v>
      </c>
      <c r="L104" s="1246">
        <f t="shared" si="33"/>
        <v>350</v>
      </c>
      <c r="M104" s="1255">
        <v>46162</v>
      </c>
      <c r="N104" s="1255">
        <v>46158</v>
      </c>
      <c r="O104" s="1255"/>
      <c r="P104" s="1233"/>
      <c r="Q104" s="1233" t="s">
        <v>106</v>
      </c>
      <c r="R104" s="1234"/>
      <c r="S104" s="1234"/>
      <c r="T104" s="1233">
        <v>8750</v>
      </c>
      <c r="U104" s="1233">
        <f t="shared" si="27"/>
        <v>0</v>
      </c>
      <c r="V104" s="1234" t="s">
        <v>120</v>
      </c>
      <c r="W104" s="1256">
        <v>46122</v>
      </c>
      <c r="X104" s="1257" t="s">
        <v>95</v>
      </c>
      <c r="Y104" s="1257" t="s">
        <v>611</v>
      </c>
      <c r="Z104" s="1247" t="s">
        <v>612</v>
      </c>
      <c r="AA104" s="1247"/>
      <c r="AB104" s="1247"/>
      <c r="AC104" s="1247" t="s">
        <v>613</v>
      </c>
      <c r="AD104" s="1255" t="s">
        <v>337</v>
      </c>
      <c r="AE104" s="1267">
        <v>1.27</v>
      </c>
      <c r="AF104" s="1248">
        <f>I104*AE104</f>
        <v>11112.5</v>
      </c>
      <c r="AG104" s="1258"/>
      <c r="AH104" s="1234" t="s">
        <v>111</v>
      </c>
      <c r="AI104" s="1234" t="s">
        <v>112</v>
      </c>
      <c r="AJ104" s="1234" t="s">
        <v>113</v>
      </c>
      <c r="AK104" s="1188">
        <f t="shared" si="34"/>
        <v>8750</v>
      </c>
      <c r="AL104" s="1188"/>
      <c r="AM104" s="1188"/>
      <c r="AN104" s="1188"/>
      <c r="AO104" s="1188"/>
      <c r="AP104" s="1188">
        <f>I104</f>
        <v>8750</v>
      </c>
      <c r="AQ104" s="1240"/>
      <c r="AR104" s="1188"/>
      <c r="AS104" s="1236"/>
      <c r="AT104" s="1236"/>
      <c r="AU104" s="1188">
        <f t="shared" si="35"/>
        <v>8750</v>
      </c>
      <c r="AV104" s="1250">
        <f t="shared" si="36"/>
        <v>525</v>
      </c>
      <c r="AW104" s="1250"/>
      <c r="AX104" s="1188"/>
      <c r="AY104" s="1188"/>
      <c r="AZ104" s="1188"/>
      <c r="BA104" s="1188"/>
      <c r="BB104" s="1188"/>
      <c r="BC104" s="1188"/>
      <c r="BD104" s="1188"/>
      <c r="BE104" s="1188"/>
      <c r="BF104" s="1188"/>
      <c r="BG104" s="1188"/>
      <c r="BH104" s="1188"/>
      <c r="BI104" s="1188"/>
      <c r="BJ104" s="1188"/>
      <c r="BK104" s="1188"/>
      <c r="BL104" s="1188"/>
      <c r="BM104" s="1188"/>
      <c r="BN104" s="1188"/>
      <c r="BO104" s="1235">
        <f>I104/25</f>
        <v>350</v>
      </c>
      <c r="BP104" s="1240"/>
      <c r="BQ104" s="1188"/>
      <c r="BR104" s="1236"/>
      <c r="BS104" s="1236"/>
      <c r="BT104" s="1188"/>
      <c r="BU104" s="1188"/>
      <c r="BV104" s="1240"/>
      <c r="BW104" s="1188"/>
      <c r="BX104" s="1188"/>
      <c r="BY104" s="1188"/>
      <c r="BZ104" s="1188"/>
      <c r="CA104" s="1188"/>
      <c r="CB104" s="1188"/>
      <c r="CC104" s="1188"/>
      <c r="CD104" s="1188">
        <f t="shared" si="23"/>
        <v>350</v>
      </c>
      <c r="CE104" s="1188">
        <f t="shared" si="24"/>
        <v>0</v>
      </c>
      <c r="CF104" s="1188">
        <f t="shared" si="25"/>
        <v>0</v>
      </c>
      <c r="CG104" s="1188">
        <f t="shared" si="26"/>
        <v>0</v>
      </c>
      <c r="CH104" s="1236"/>
      <c r="CI104" s="1236"/>
      <c r="CJ104" s="1236"/>
      <c r="CK104" s="1188"/>
      <c r="CL104" s="1188"/>
    </row>
    <row r="105" s="1169" customFormat="1" customHeight="1" spans="1:111">
      <c r="A105" s="1245">
        <v>46093</v>
      </c>
      <c r="B105" s="1247" t="s">
        <v>499</v>
      </c>
      <c r="C105" s="1234" t="s">
        <v>115</v>
      </c>
      <c r="D105" s="1188">
        <v>4500196505</v>
      </c>
      <c r="E105" s="1233">
        <v>980444120</v>
      </c>
      <c r="F105" s="1188" t="s">
        <v>614</v>
      </c>
      <c r="G105" s="1253" t="s">
        <v>380</v>
      </c>
      <c r="H105" s="1234" t="s">
        <v>381</v>
      </c>
      <c r="I105" s="1254">
        <v>24672</v>
      </c>
      <c r="J105" s="1234">
        <v>0</v>
      </c>
      <c r="K105" s="1234">
        <v>16</v>
      </c>
      <c r="L105" s="1246">
        <f t="shared" si="33"/>
        <v>1542</v>
      </c>
      <c r="M105" s="1255">
        <v>46162</v>
      </c>
      <c r="N105" s="1255">
        <v>46158</v>
      </c>
      <c r="O105" s="1255"/>
      <c r="P105" s="1233" t="s">
        <v>615</v>
      </c>
      <c r="Q105" s="1233" t="s">
        <v>106</v>
      </c>
      <c r="R105" s="1234"/>
      <c r="S105" s="1234"/>
      <c r="T105" s="1233">
        <v>24672</v>
      </c>
      <c r="U105" s="1233">
        <f t="shared" si="27"/>
        <v>0</v>
      </c>
      <c r="V105" s="1234"/>
      <c r="W105" s="1256">
        <v>46099</v>
      </c>
      <c r="X105" s="1257" t="s">
        <v>95</v>
      </c>
      <c r="Y105" s="1257" t="s">
        <v>352</v>
      </c>
      <c r="Z105" s="1247"/>
      <c r="AA105" s="1247"/>
      <c r="AB105" s="1247"/>
      <c r="AC105" s="1247" t="s">
        <v>502</v>
      </c>
      <c r="AD105" s="1255" t="s">
        <v>503</v>
      </c>
      <c r="AE105" s="1267">
        <v>0.78</v>
      </c>
      <c r="AF105" s="1248">
        <f>AE105*I105</f>
        <v>19244.16</v>
      </c>
      <c r="AG105" s="1249" t="s">
        <v>616</v>
      </c>
      <c r="AH105" s="1234" t="s">
        <v>380</v>
      </c>
      <c r="AI105" s="1234" t="s">
        <v>112</v>
      </c>
      <c r="AJ105" s="1234" t="s">
        <v>113</v>
      </c>
      <c r="AK105" s="1188">
        <f t="shared" si="34"/>
        <v>24672</v>
      </c>
      <c r="AL105" s="1188"/>
      <c r="AM105" s="1188"/>
      <c r="AN105" s="1188">
        <f>I105</f>
        <v>24672</v>
      </c>
      <c r="AO105" s="1188"/>
      <c r="AP105" s="1188"/>
      <c r="AQ105" s="1240"/>
      <c r="AR105" s="1188"/>
      <c r="AS105" s="1236"/>
      <c r="AT105" s="1236"/>
      <c r="AU105" s="1188">
        <f t="shared" si="35"/>
        <v>24672</v>
      </c>
      <c r="AV105" s="1250">
        <f t="shared" si="36"/>
        <v>1480.32</v>
      </c>
      <c r="AW105" s="1250"/>
      <c r="AX105" s="1188"/>
      <c r="AY105" s="1188"/>
      <c r="AZ105" s="1188"/>
      <c r="BA105" s="1188"/>
      <c r="BB105" s="1188"/>
      <c r="BC105" s="1188"/>
      <c r="BD105" s="1188"/>
      <c r="BE105" s="1188"/>
      <c r="BF105" s="1188"/>
      <c r="BG105" s="1188"/>
      <c r="BH105" s="1188"/>
      <c r="BI105" s="1188"/>
      <c r="BJ105" s="1188"/>
      <c r="BK105" s="1188"/>
      <c r="BL105" s="1188"/>
      <c r="BM105" s="1188"/>
      <c r="BN105" s="1188"/>
      <c r="BO105" s="1240"/>
      <c r="BP105" s="1240"/>
      <c r="BQ105" s="1188"/>
      <c r="BR105" s="1236">
        <f>I105/16</f>
        <v>1542</v>
      </c>
      <c r="BS105" s="1188"/>
      <c r="BT105" s="1188"/>
      <c r="BU105" s="1188"/>
      <c r="BV105" s="1240"/>
      <c r="BW105" s="1188"/>
      <c r="BX105" s="1188"/>
      <c r="BY105" s="1188"/>
      <c r="BZ105" s="1188"/>
      <c r="CA105" s="1188"/>
      <c r="CB105" s="1188"/>
      <c r="CC105" s="1188"/>
      <c r="CD105" s="1188">
        <f t="shared" si="23"/>
        <v>1542</v>
      </c>
      <c r="CE105" s="1188">
        <f t="shared" si="24"/>
        <v>0</v>
      </c>
      <c r="CF105" s="1188">
        <f t="shared" si="25"/>
        <v>0</v>
      </c>
      <c r="CG105" s="1188">
        <f t="shared" si="26"/>
        <v>0</v>
      </c>
      <c r="CH105" s="1236"/>
      <c r="CI105" s="1236"/>
      <c r="CJ105" s="1236"/>
      <c r="CK105" s="1188"/>
      <c r="CL105" s="1188"/>
      <c r="CM105" s="1168"/>
      <c r="CN105" s="1168"/>
      <c r="CO105" s="1168"/>
      <c r="CP105" s="1168"/>
      <c r="CQ105" s="1168"/>
      <c r="CR105" s="1168"/>
      <c r="CS105" s="1168"/>
      <c r="CT105" s="1168"/>
      <c r="CU105" s="1168"/>
      <c r="CV105" s="1168"/>
      <c r="CW105" s="1168"/>
      <c r="CX105" s="1168"/>
      <c r="CY105" s="1168"/>
      <c r="CZ105" s="1168"/>
      <c r="DA105" s="1168"/>
      <c r="DB105" s="1168"/>
      <c r="DC105" s="1168"/>
      <c r="DD105" s="1168"/>
      <c r="DE105" s="1168"/>
      <c r="DF105" s="1168"/>
      <c r="DG105" s="1168"/>
    </row>
    <row r="106" s="1168" customFormat="1" customHeight="1" spans="1:111">
      <c r="A106" s="1245">
        <v>46106</v>
      </c>
      <c r="B106" s="1247" t="s">
        <v>346</v>
      </c>
      <c r="C106" s="1234" t="s">
        <v>115</v>
      </c>
      <c r="D106" s="1188">
        <v>4500197340</v>
      </c>
      <c r="E106" s="1890" t="s">
        <v>617</v>
      </c>
      <c r="F106" s="1188" t="s">
        <v>618</v>
      </c>
      <c r="G106" s="1253" t="s">
        <v>349</v>
      </c>
      <c r="H106" s="1234" t="s">
        <v>350</v>
      </c>
      <c r="I106" s="1254">
        <v>14400</v>
      </c>
      <c r="J106" s="1234">
        <v>0</v>
      </c>
      <c r="K106" s="1234">
        <v>960</v>
      </c>
      <c r="L106" s="1246">
        <f t="shared" si="33"/>
        <v>15</v>
      </c>
      <c r="M106" s="1255">
        <v>46162</v>
      </c>
      <c r="N106" s="1255">
        <v>46158</v>
      </c>
      <c r="O106" s="1255"/>
      <c r="P106" s="1233" t="s">
        <v>619</v>
      </c>
      <c r="Q106" s="1233" t="s">
        <v>106</v>
      </c>
      <c r="R106" s="1234"/>
      <c r="S106" s="1234"/>
      <c r="T106" s="1233">
        <v>14400</v>
      </c>
      <c r="U106" s="1233">
        <f t="shared" si="27"/>
        <v>0</v>
      </c>
      <c r="V106" s="1234"/>
      <c r="W106" s="1256" t="s">
        <v>459</v>
      </c>
      <c r="X106" s="1257" t="s">
        <v>95</v>
      </c>
      <c r="Y106" s="1257" t="s">
        <v>620</v>
      </c>
      <c r="Z106" s="1247"/>
      <c r="AA106" s="1247"/>
      <c r="AB106" s="1247"/>
      <c r="AC106" s="1247" t="s">
        <v>517</v>
      </c>
      <c r="AD106" s="1255" t="s">
        <v>354</v>
      </c>
      <c r="AE106" s="1188">
        <v>645.144</v>
      </c>
      <c r="AF106" s="1248">
        <f>AE106*L106</f>
        <v>9677.16</v>
      </c>
      <c r="AG106" s="1249" t="s">
        <v>621</v>
      </c>
      <c r="AH106" s="1234" t="s">
        <v>356</v>
      </c>
      <c r="AI106" s="1234" t="s">
        <v>112</v>
      </c>
      <c r="AJ106" s="1234" t="s">
        <v>113</v>
      </c>
      <c r="AK106" s="1188">
        <f t="shared" si="34"/>
        <v>14400</v>
      </c>
      <c r="AL106" s="1188"/>
      <c r="AM106" s="1188"/>
      <c r="AN106" s="1188">
        <f>I106</f>
        <v>14400</v>
      </c>
      <c r="AO106" s="1188"/>
      <c r="AP106" s="1188"/>
      <c r="AQ106" s="1240"/>
      <c r="AR106" s="1188"/>
      <c r="AS106" s="1236"/>
      <c r="AT106" s="1236"/>
      <c r="AU106" s="1188">
        <f t="shared" si="35"/>
        <v>14400</v>
      </c>
      <c r="AV106" s="1250">
        <f t="shared" si="36"/>
        <v>864</v>
      </c>
      <c r="AW106" s="1250"/>
      <c r="AX106" s="1188"/>
      <c r="AY106" s="1188"/>
      <c r="AZ106" s="1188"/>
      <c r="BA106" s="1188"/>
      <c r="BB106" s="1188"/>
      <c r="BC106" s="1188"/>
      <c r="BD106" s="1188"/>
      <c r="BE106" s="1188"/>
      <c r="BF106" s="1188"/>
      <c r="BG106" s="1188"/>
      <c r="BH106" s="1188"/>
      <c r="BI106" s="1188"/>
      <c r="BJ106" s="1188"/>
      <c r="BK106" s="1188"/>
      <c r="BL106" s="1188"/>
      <c r="BM106" s="1188"/>
      <c r="BN106" s="1188"/>
      <c r="BO106" s="1240"/>
      <c r="BP106" s="1240"/>
      <c r="BQ106" s="1188"/>
      <c r="BR106" s="1236">
        <f>I106/16</f>
        <v>900</v>
      </c>
      <c r="BS106" s="1188"/>
      <c r="BT106" s="1188"/>
      <c r="BU106" s="1188"/>
      <c r="BV106" s="1240"/>
      <c r="BW106" s="1188"/>
      <c r="BX106" s="1188"/>
      <c r="BY106" s="1188"/>
      <c r="BZ106" s="1188"/>
      <c r="CA106" s="1188"/>
      <c r="CB106" s="1188"/>
      <c r="CC106" s="1188"/>
      <c r="CD106" s="1188">
        <f t="shared" si="23"/>
        <v>900</v>
      </c>
      <c r="CE106" s="1188">
        <f t="shared" si="24"/>
        <v>0</v>
      </c>
      <c r="CF106" s="1188">
        <f t="shared" si="25"/>
        <v>0</v>
      </c>
      <c r="CG106" s="1188">
        <f t="shared" si="26"/>
        <v>0</v>
      </c>
      <c r="CH106" s="1236"/>
      <c r="CI106" s="1236"/>
      <c r="CJ106" s="1236"/>
      <c r="CK106" s="1188"/>
      <c r="CL106" s="1188"/>
    </row>
    <row r="107" s="1168" customFormat="1" customHeight="1" spans="1:111">
      <c r="A107" s="1245">
        <v>46106</v>
      </c>
      <c r="B107" s="1247" t="s">
        <v>346</v>
      </c>
      <c r="C107" s="1234" t="s">
        <v>115</v>
      </c>
      <c r="D107" s="1188">
        <v>4500197343</v>
      </c>
      <c r="E107" s="1890" t="s">
        <v>622</v>
      </c>
      <c r="F107" s="1188" t="s">
        <v>623</v>
      </c>
      <c r="G107" s="1253" t="s">
        <v>349</v>
      </c>
      <c r="H107" s="1234" t="s">
        <v>350</v>
      </c>
      <c r="I107" s="1254">
        <v>11520</v>
      </c>
      <c r="J107" s="1234">
        <v>0</v>
      </c>
      <c r="K107" s="1234">
        <v>960</v>
      </c>
      <c r="L107" s="1246">
        <f t="shared" si="33"/>
        <v>12</v>
      </c>
      <c r="M107" s="1255">
        <v>46162</v>
      </c>
      <c r="N107" s="1255">
        <v>46158</v>
      </c>
      <c r="O107" s="1255"/>
      <c r="P107" s="1233" t="s">
        <v>624</v>
      </c>
      <c r="Q107" s="1233" t="s">
        <v>106</v>
      </c>
      <c r="R107" s="1234"/>
      <c r="S107" s="1234"/>
      <c r="T107" s="1233">
        <v>11520</v>
      </c>
      <c r="U107" s="1233">
        <f t="shared" si="27"/>
        <v>0</v>
      </c>
      <c r="V107" s="1234"/>
      <c r="W107" s="1256" t="s">
        <v>459</v>
      </c>
      <c r="X107" s="1257" t="s">
        <v>95</v>
      </c>
      <c r="Y107" s="1257" t="s">
        <v>620</v>
      </c>
      <c r="Z107" s="1247"/>
      <c r="AA107" s="1247"/>
      <c r="AB107" s="1247"/>
      <c r="AC107" s="1247" t="s">
        <v>517</v>
      </c>
      <c r="AD107" s="1255" t="s">
        <v>354</v>
      </c>
      <c r="AE107" s="1188">
        <v>645.1442</v>
      </c>
      <c r="AF107" s="1248">
        <f>AE107*L107</f>
        <v>7741.7304</v>
      </c>
      <c r="AG107" s="1249" t="s">
        <v>625</v>
      </c>
      <c r="AH107" s="1234" t="s">
        <v>356</v>
      </c>
      <c r="AI107" s="1234" t="s">
        <v>112</v>
      </c>
      <c r="AJ107" s="1234" t="s">
        <v>113</v>
      </c>
      <c r="AK107" s="1188">
        <f t="shared" si="34"/>
        <v>11520</v>
      </c>
      <c r="AL107" s="1188"/>
      <c r="AM107" s="1188"/>
      <c r="AN107" s="1188">
        <f>I107</f>
        <v>11520</v>
      </c>
      <c r="AO107" s="1188"/>
      <c r="AP107" s="1188"/>
      <c r="AQ107" s="1240"/>
      <c r="AR107" s="1188"/>
      <c r="AS107" s="1236"/>
      <c r="AT107" s="1236"/>
      <c r="AU107" s="1188">
        <f t="shared" si="35"/>
        <v>11520</v>
      </c>
      <c r="AV107" s="1250">
        <f t="shared" si="36"/>
        <v>691.2</v>
      </c>
      <c r="AW107" s="1250"/>
      <c r="AX107" s="1188"/>
      <c r="AY107" s="1188"/>
      <c r="AZ107" s="1188"/>
      <c r="BA107" s="1188"/>
      <c r="BB107" s="1188"/>
      <c r="BC107" s="1188"/>
      <c r="BD107" s="1188"/>
      <c r="BE107" s="1188"/>
      <c r="BF107" s="1188"/>
      <c r="BG107" s="1188"/>
      <c r="BH107" s="1188"/>
      <c r="BI107" s="1188"/>
      <c r="BJ107" s="1188"/>
      <c r="BK107" s="1188"/>
      <c r="BL107" s="1188"/>
      <c r="BM107" s="1188"/>
      <c r="BN107" s="1188"/>
      <c r="BO107" s="1240"/>
      <c r="BP107" s="1240"/>
      <c r="BQ107" s="1188"/>
      <c r="BR107" s="1236">
        <f>I107/16</f>
        <v>720</v>
      </c>
      <c r="BS107" s="1188"/>
      <c r="BT107" s="1188"/>
      <c r="BU107" s="1188"/>
      <c r="BV107" s="1240"/>
      <c r="BW107" s="1188"/>
      <c r="BX107" s="1188"/>
      <c r="BY107" s="1188"/>
      <c r="BZ107" s="1188"/>
      <c r="CA107" s="1188"/>
      <c r="CB107" s="1188"/>
      <c r="CC107" s="1188"/>
      <c r="CD107" s="1188">
        <f t="shared" si="23"/>
        <v>720</v>
      </c>
      <c r="CE107" s="1188">
        <f t="shared" si="24"/>
        <v>0</v>
      </c>
      <c r="CF107" s="1188">
        <f t="shared" si="25"/>
        <v>0</v>
      </c>
      <c r="CG107" s="1188">
        <f t="shared" si="26"/>
        <v>0</v>
      </c>
      <c r="CH107" s="1236"/>
      <c r="CI107" s="1236"/>
      <c r="CJ107" s="1236"/>
      <c r="CK107" s="1188"/>
      <c r="CL107" s="1188"/>
    </row>
    <row r="108" s="1168" customFormat="1" customHeight="1" spans="1:111">
      <c r="A108" s="1245">
        <v>46120</v>
      </c>
      <c r="B108" s="1247" t="s">
        <v>626</v>
      </c>
      <c r="C108" s="1234" t="s">
        <v>627</v>
      </c>
      <c r="D108" s="1268">
        <v>4500200402</v>
      </c>
      <c r="E108" s="1234" t="s">
        <v>628</v>
      </c>
      <c r="F108" s="1188" t="s">
        <v>629</v>
      </c>
      <c r="G108" s="1253" t="s">
        <v>188</v>
      </c>
      <c r="H108" s="1234" t="s">
        <v>350</v>
      </c>
      <c r="I108" s="1254">
        <v>3000</v>
      </c>
      <c r="J108" s="1234">
        <v>0</v>
      </c>
      <c r="K108" s="1234">
        <v>50</v>
      </c>
      <c r="L108" s="1246">
        <f t="shared" si="33"/>
        <v>60</v>
      </c>
      <c r="M108" s="1255">
        <v>46162</v>
      </c>
      <c r="N108" s="1255">
        <v>46158</v>
      </c>
      <c r="O108" s="1255"/>
      <c r="P108" s="1233"/>
      <c r="Q108" s="1233" t="s">
        <v>106</v>
      </c>
      <c r="R108" s="1234"/>
      <c r="S108" s="1234"/>
      <c r="T108" s="1233">
        <v>3000</v>
      </c>
      <c r="U108" s="1233">
        <f t="shared" si="27"/>
        <v>0</v>
      </c>
      <c r="V108" s="1234"/>
      <c r="W108" s="1256">
        <v>46128</v>
      </c>
      <c r="X108" s="1257" t="s">
        <v>95</v>
      </c>
      <c r="Y108" s="1257" t="s">
        <v>630</v>
      </c>
      <c r="Z108" s="1247"/>
      <c r="AA108" s="1247"/>
      <c r="AB108" s="1247"/>
      <c r="AC108" s="1257" t="s">
        <v>631</v>
      </c>
      <c r="AD108" s="1255" t="s">
        <v>295</v>
      </c>
      <c r="AE108" s="1267">
        <v>1.089</v>
      </c>
      <c r="AF108" s="1248">
        <f>I108*AE108</f>
        <v>3267</v>
      </c>
      <c r="AG108" s="1258"/>
      <c r="AH108" s="1234" t="s">
        <v>314</v>
      </c>
      <c r="AI108" s="1234" t="s">
        <v>112</v>
      </c>
      <c r="AJ108" s="1234" t="s">
        <v>113</v>
      </c>
      <c r="AK108" s="1188">
        <f t="shared" si="34"/>
        <v>3000</v>
      </c>
      <c r="AL108" s="1188"/>
      <c r="AM108" s="1188"/>
      <c r="AN108" s="1188"/>
      <c r="AO108" s="1188"/>
      <c r="AP108" s="1188">
        <f>I197</f>
        <v>786</v>
      </c>
      <c r="AQ108" s="1240"/>
      <c r="AR108" s="1188"/>
      <c r="AS108" s="1236"/>
      <c r="AT108" s="1236"/>
      <c r="AU108" s="1188">
        <f t="shared" si="35"/>
        <v>3000</v>
      </c>
      <c r="AV108" s="1250">
        <f t="shared" si="36"/>
        <v>180</v>
      </c>
      <c r="AW108" s="1250"/>
      <c r="AX108" s="1188"/>
      <c r="AY108" s="1188"/>
      <c r="AZ108" s="1188"/>
      <c r="BA108" s="1188"/>
      <c r="BB108" s="1188"/>
      <c r="BC108" s="1188"/>
      <c r="BD108" s="1188"/>
      <c r="BE108" s="1188"/>
      <c r="BF108" s="1188"/>
      <c r="BG108" s="1188"/>
      <c r="BH108" s="1188"/>
      <c r="BI108" s="1188"/>
      <c r="BJ108" s="1188"/>
      <c r="BK108" s="1188"/>
      <c r="BL108" s="1188"/>
      <c r="BM108" s="1188"/>
      <c r="BN108" s="1188"/>
      <c r="BO108" s="1235">
        <f>I108/25</f>
        <v>120</v>
      </c>
      <c r="BP108" s="1240"/>
      <c r="BQ108" s="1188"/>
      <c r="BR108" s="1236"/>
      <c r="BS108" s="1188"/>
      <c r="BT108" s="1188"/>
      <c r="BU108" s="1188"/>
      <c r="BV108" s="1240"/>
      <c r="BW108" s="1188"/>
      <c r="BX108" s="1188"/>
      <c r="BY108" s="1188"/>
      <c r="BZ108" s="1188"/>
      <c r="CA108" s="1188"/>
      <c r="CB108" s="1188"/>
      <c r="CC108" s="1188"/>
      <c r="CD108" s="1188">
        <f t="shared" si="23"/>
        <v>120</v>
      </c>
      <c r="CE108" s="1188">
        <f t="shared" si="24"/>
        <v>0</v>
      </c>
      <c r="CF108" s="1188">
        <f t="shared" si="25"/>
        <v>0</v>
      </c>
      <c r="CG108" s="1188">
        <f t="shared" si="26"/>
        <v>0</v>
      </c>
      <c r="CH108" s="1236"/>
      <c r="CI108" s="1236"/>
      <c r="CJ108" s="1236"/>
      <c r="CK108" s="1188"/>
      <c r="CL108" s="1188"/>
    </row>
    <row r="109" s="1168" customFormat="1" customHeight="1" spans="1:111">
      <c r="A109" s="1245">
        <v>46106</v>
      </c>
      <c r="B109" s="1247" t="s">
        <v>346</v>
      </c>
      <c r="C109" s="1234" t="s">
        <v>115</v>
      </c>
      <c r="D109" s="1188">
        <v>4500197348</v>
      </c>
      <c r="E109" s="1890" t="s">
        <v>632</v>
      </c>
      <c r="F109" s="1188" t="s">
        <v>633</v>
      </c>
      <c r="G109" s="1253" t="s">
        <v>349</v>
      </c>
      <c r="H109" s="1234" t="s">
        <v>350</v>
      </c>
      <c r="I109" s="1254">
        <v>9600</v>
      </c>
      <c r="J109" s="1234">
        <v>0</v>
      </c>
      <c r="K109" s="1234">
        <v>960</v>
      </c>
      <c r="L109" s="1246">
        <f t="shared" si="33"/>
        <v>10</v>
      </c>
      <c r="M109" s="1255">
        <v>46162</v>
      </c>
      <c r="N109" s="1255">
        <v>46158</v>
      </c>
      <c r="O109" s="1255"/>
      <c r="P109" s="1233" t="s">
        <v>624</v>
      </c>
      <c r="Q109" s="1233" t="s">
        <v>106</v>
      </c>
      <c r="R109" s="1234"/>
      <c r="S109" s="1234"/>
      <c r="T109" s="1233">
        <v>9600</v>
      </c>
      <c r="U109" s="1233">
        <f t="shared" si="27"/>
        <v>0</v>
      </c>
      <c r="V109" s="1234"/>
      <c r="W109" s="1256" t="s">
        <v>459</v>
      </c>
      <c r="X109" s="1257" t="s">
        <v>95</v>
      </c>
      <c r="Y109" s="1257" t="s">
        <v>620</v>
      </c>
      <c r="Z109" s="1247"/>
      <c r="AA109" s="1247"/>
      <c r="AB109" s="1247"/>
      <c r="AC109" s="1247" t="s">
        <v>517</v>
      </c>
      <c r="AD109" s="1255" t="s">
        <v>354</v>
      </c>
      <c r="AE109" s="1188">
        <v>645.144</v>
      </c>
      <c r="AF109" s="1248">
        <f>AE109*L109</f>
        <v>6451.44</v>
      </c>
      <c r="AG109" s="1249" t="s">
        <v>634</v>
      </c>
      <c r="AH109" s="1234" t="s">
        <v>356</v>
      </c>
      <c r="AI109" s="1234" t="s">
        <v>112</v>
      </c>
      <c r="AJ109" s="1234" t="s">
        <v>113</v>
      </c>
      <c r="AK109" s="1188">
        <f t="shared" si="34"/>
        <v>9600</v>
      </c>
      <c r="AL109" s="1188"/>
      <c r="AM109" s="1188"/>
      <c r="AN109" s="1188">
        <f>I109</f>
        <v>9600</v>
      </c>
      <c r="AO109" s="1188"/>
      <c r="AP109" s="1188"/>
      <c r="AQ109" s="1240"/>
      <c r="AR109" s="1188"/>
      <c r="AS109" s="1236"/>
      <c r="AT109" s="1236"/>
      <c r="AU109" s="1188">
        <f t="shared" si="35"/>
        <v>9600</v>
      </c>
      <c r="AV109" s="1250">
        <f t="shared" si="36"/>
        <v>576</v>
      </c>
      <c r="AW109" s="1250"/>
      <c r="AX109" s="1188"/>
      <c r="AY109" s="1188"/>
      <c r="AZ109" s="1188"/>
      <c r="BA109" s="1188"/>
      <c r="BB109" s="1188"/>
      <c r="BC109" s="1188"/>
      <c r="BD109" s="1188"/>
      <c r="BE109" s="1188"/>
      <c r="BF109" s="1188"/>
      <c r="BG109" s="1188"/>
      <c r="BH109" s="1188"/>
      <c r="BI109" s="1188"/>
      <c r="BJ109" s="1188"/>
      <c r="BK109" s="1188"/>
      <c r="BL109" s="1188"/>
      <c r="BM109" s="1188"/>
      <c r="BN109" s="1188"/>
      <c r="BO109" s="1240"/>
      <c r="BP109" s="1240"/>
      <c r="BQ109" s="1188"/>
      <c r="BR109" s="1236">
        <f>I109/16</f>
        <v>600</v>
      </c>
      <c r="BS109" s="1188"/>
      <c r="BT109" s="1188"/>
      <c r="BU109" s="1188"/>
      <c r="BV109" s="1240"/>
      <c r="BW109" s="1188"/>
      <c r="BX109" s="1188"/>
      <c r="BY109" s="1188"/>
      <c r="BZ109" s="1188"/>
      <c r="CA109" s="1188"/>
      <c r="CB109" s="1188"/>
      <c r="CC109" s="1188"/>
      <c r="CD109" s="1188">
        <f t="shared" si="23"/>
        <v>600</v>
      </c>
      <c r="CE109" s="1188">
        <f t="shared" si="24"/>
        <v>0</v>
      </c>
      <c r="CF109" s="1188">
        <f t="shared" si="25"/>
        <v>0</v>
      </c>
      <c r="CG109" s="1188">
        <f t="shared" si="26"/>
        <v>0</v>
      </c>
      <c r="CH109" s="1236"/>
      <c r="CI109" s="1236"/>
      <c r="CJ109" s="1236"/>
      <c r="CK109" s="1188"/>
      <c r="CL109" s="1188"/>
    </row>
    <row r="110" s="1168" customFormat="1" customHeight="1" spans="1:111">
      <c r="A110" s="1245">
        <v>46084</v>
      </c>
      <c r="B110" s="1247" t="s">
        <v>480</v>
      </c>
      <c r="C110" s="1234" t="s">
        <v>115</v>
      </c>
      <c r="D110" s="1188">
        <v>4500194942</v>
      </c>
      <c r="E110" s="1233">
        <v>9600512487</v>
      </c>
      <c r="F110" s="1188" t="s">
        <v>635</v>
      </c>
      <c r="G110" s="1253" t="s">
        <v>482</v>
      </c>
      <c r="H110" s="1234" t="s">
        <v>483</v>
      </c>
      <c r="I110" s="1254">
        <v>4320</v>
      </c>
      <c r="J110" s="1234">
        <v>0</v>
      </c>
      <c r="K110" s="1234">
        <v>120</v>
      </c>
      <c r="L110" s="1246">
        <f t="shared" si="33"/>
        <v>36</v>
      </c>
      <c r="M110" s="1255">
        <v>46162</v>
      </c>
      <c r="N110" s="1255">
        <v>46158</v>
      </c>
      <c r="O110" s="1255"/>
      <c r="P110" s="1233"/>
      <c r="Q110" s="1233" t="s">
        <v>106</v>
      </c>
      <c r="R110" s="1234" t="s">
        <v>485</v>
      </c>
      <c r="S110" s="1234"/>
      <c r="T110" s="715">
        <v>4320</v>
      </c>
      <c r="U110" s="1233">
        <f t="shared" si="27"/>
        <v>0</v>
      </c>
      <c r="V110" s="1234"/>
      <c r="W110" s="1256">
        <v>46155</v>
      </c>
      <c r="X110" s="1257" t="s">
        <v>107</v>
      </c>
      <c r="Y110" s="1257" t="s">
        <v>95</v>
      </c>
      <c r="Z110" s="1247"/>
      <c r="AA110" s="1247"/>
      <c r="AB110" s="1247"/>
      <c r="AC110" s="1247" t="s">
        <v>636</v>
      </c>
      <c r="AD110" s="1255" t="s">
        <v>488</v>
      </c>
      <c r="AE110" s="1188">
        <v>642</v>
      </c>
      <c r="AF110" s="1248">
        <f>L110*AE110</f>
        <v>23112</v>
      </c>
      <c r="AG110" s="1249" t="s">
        <v>637</v>
      </c>
      <c r="AH110" s="1234" t="s">
        <v>490</v>
      </c>
      <c r="AI110" s="1234" t="s">
        <v>112</v>
      </c>
      <c r="AJ110" s="1234" t="s">
        <v>113</v>
      </c>
      <c r="AK110" s="1188"/>
      <c r="AL110" s="1188">
        <f>I110*3</f>
        <v>12960</v>
      </c>
      <c r="AM110" s="1188"/>
      <c r="AN110" s="1188"/>
      <c r="AO110" s="1188"/>
      <c r="AP110" s="1188"/>
      <c r="AQ110" s="1240"/>
      <c r="AR110" s="1188"/>
      <c r="AS110" s="1236"/>
      <c r="AT110" s="1236"/>
      <c r="AU110" s="1188"/>
      <c r="AV110" s="1250">
        <f>I110*0.06*2</f>
        <v>518.4</v>
      </c>
      <c r="AW110" s="1250"/>
      <c r="AX110" s="1188"/>
      <c r="AY110" s="1188"/>
      <c r="AZ110" s="1188"/>
      <c r="BA110" s="1188"/>
      <c r="BB110" s="1188">
        <f>I110*3</f>
        <v>12960</v>
      </c>
      <c r="BC110" s="1188">
        <f>I110*3</f>
        <v>12960</v>
      </c>
      <c r="BD110" s="1188">
        <f>I110*3</f>
        <v>12960</v>
      </c>
      <c r="BE110" s="1188">
        <f>I110</f>
        <v>4320</v>
      </c>
      <c r="BF110" s="1188">
        <f>I110/6</f>
        <v>720</v>
      </c>
      <c r="BG110" s="1188"/>
      <c r="BH110" s="1188"/>
      <c r="BI110" s="1188"/>
      <c r="BJ110" s="1188"/>
      <c r="BK110" s="1188"/>
      <c r="BL110" s="1188"/>
      <c r="BM110" s="1188"/>
      <c r="BN110" s="1188"/>
      <c r="BO110" s="1240"/>
      <c r="BP110" s="1240"/>
      <c r="BQ110" s="1188"/>
      <c r="BR110" s="1236"/>
      <c r="BS110" s="1188"/>
      <c r="BT110" s="1188"/>
      <c r="BU110" s="1188"/>
      <c r="BV110" s="1240"/>
      <c r="BW110" s="1188"/>
      <c r="BX110" s="1188"/>
      <c r="BY110" s="1188"/>
      <c r="BZ110" s="1188"/>
      <c r="CA110" s="1188"/>
      <c r="CB110" s="1188"/>
      <c r="CC110" s="1188"/>
      <c r="CD110" s="1188">
        <f t="shared" si="23"/>
        <v>0</v>
      </c>
      <c r="CE110" s="1188">
        <f t="shared" si="24"/>
        <v>0</v>
      </c>
      <c r="CF110" s="1188">
        <f t="shared" si="25"/>
        <v>0</v>
      </c>
      <c r="CG110" s="1188">
        <f t="shared" si="26"/>
        <v>0</v>
      </c>
      <c r="CH110" s="1236"/>
      <c r="CI110" s="1236"/>
      <c r="CJ110" s="1236"/>
      <c r="CK110" s="1188"/>
      <c r="CL110" s="1188"/>
    </row>
    <row r="111" s="1168" customFormat="1" customHeight="1" spans="1:111">
      <c r="A111" s="1245">
        <v>46093</v>
      </c>
      <c r="B111" s="1247" t="s">
        <v>378</v>
      </c>
      <c r="C111" s="1234" t="s">
        <v>201</v>
      </c>
      <c r="D111" s="1188">
        <v>4500196563</v>
      </c>
      <c r="E111" s="1234">
        <v>7000992557</v>
      </c>
      <c r="F111" s="1188" t="s">
        <v>638</v>
      </c>
      <c r="G111" s="1253" t="s">
        <v>380</v>
      </c>
      <c r="H111" s="1234" t="s">
        <v>381</v>
      </c>
      <c r="I111" s="1254">
        <v>12064</v>
      </c>
      <c r="J111" s="1234">
        <v>0</v>
      </c>
      <c r="K111" s="1234">
        <v>16</v>
      </c>
      <c r="L111" s="1246">
        <f t="shared" si="33"/>
        <v>754</v>
      </c>
      <c r="M111" s="1255">
        <v>46163</v>
      </c>
      <c r="N111" s="1255">
        <v>46160</v>
      </c>
      <c r="O111" s="1255"/>
      <c r="P111" s="1233"/>
      <c r="Q111" s="1233" t="s">
        <v>106</v>
      </c>
      <c r="R111" s="1234"/>
      <c r="S111" s="1234"/>
      <c r="T111" s="1233">
        <v>12064</v>
      </c>
      <c r="U111" s="1233">
        <f t="shared" si="27"/>
        <v>0</v>
      </c>
      <c r="V111" s="1234"/>
      <c r="W111" s="1256">
        <v>46130</v>
      </c>
      <c r="X111" s="1257" t="s">
        <v>95</v>
      </c>
      <c r="Y111" s="1257" t="s">
        <v>95</v>
      </c>
      <c r="Z111" s="1247"/>
      <c r="AA111" s="1247"/>
      <c r="AB111" s="1247"/>
      <c r="AC111" s="1247" t="s">
        <v>639</v>
      </c>
      <c r="AD111" s="1255" t="s">
        <v>384</v>
      </c>
      <c r="AE111" s="1188">
        <v>1.3</v>
      </c>
      <c r="AF111" s="1248">
        <f>AE111*I111</f>
        <v>15683.2</v>
      </c>
      <c r="AG111" s="1258"/>
      <c r="AH111" s="1234" t="s">
        <v>385</v>
      </c>
      <c r="AI111" s="1234" t="s">
        <v>112</v>
      </c>
      <c r="AJ111" s="1234" t="s">
        <v>113</v>
      </c>
      <c r="AK111" s="1188">
        <f>I111</f>
        <v>12064</v>
      </c>
      <c r="AL111" s="1188"/>
      <c r="AM111" s="1188"/>
      <c r="AN111" s="1188"/>
      <c r="AO111" s="1188"/>
      <c r="AP111" s="1188"/>
      <c r="AQ111" s="1240"/>
      <c r="AR111" s="1188"/>
      <c r="AS111" s="1236">
        <f>I111</f>
        <v>12064</v>
      </c>
      <c r="AT111" s="1236"/>
      <c r="AU111" s="1188">
        <f>I111</f>
        <v>12064</v>
      </c>
      <c r="AV111" s="1250">
        <f>I111*0.06</f>
        <v>723.84</v>
      </c>
      <c r="AW111" s="1250"/>
      <c r="AX111" s="1188"/>
      <c r="AY111" s="1188"/>
      <c r="AZ111" s="1188"/>
      <c r="BA111" s="1188"/>
      <c r="BB111" s="1188"/>
      <c r="BC111" s="1188"/>
      <c r="BD111" s="1188"/>
      <c r="BE111" s="1188"/>
      <c r="BF111" s="1188"/>
      <c r="BG111" s="1188"/>
      <c r="BH111" s="1188"/>
      <c r="BI111" s="1188"/>
      <c r="BJ111" s="1188"/>
      <c r="BK111" s="1188"/>
      <c r="BL111" s="1188"/>
      <c r="BM111" s="1188"/>
      <c r="BN111" s="1188"/>
      <c r="BO111" s="1240"/>
      <c r="BP111" s="1240"/>
      <c r="BQ111" s="1188"/>
      <c r="BR111" s="1236"/>
      <c r="BS111" s="1188">
        <f>I111/16</f>
        <v>754</v>
      </c>
      <c r="BT111" s="1188"/>
      <c r="BU111" s="1188"/>
      <c r="BV111" s="1240"/>
      <c r="BW111" s="1188"/>
      <c r="BX111" s="1188"/>
      <c r="BY111" s="1188"/>
      <c r="BZ111" s="1188"/>
      <c r="CA111" s="1188"/>
      <c r="CB111" s="1188"/>
      <c r="CC111" s="1188"/>
      <c r="CD111" s="1188">
        <f t="shared" si="23"/>
        <v>754</v>
      </c>
      <c r="CE111" s="1188">
        <f t="shared" si="24"/>
        <v>0</v>
      </c>
      <c r="CF111" s="1188">
        <f t="shared" si="25"/>
        <v>0</v>
      </c>
      <c r="CG111" s="1188">
        <f t="shared" si="26"/>
        <v>0</v>
      </c>
      <c r="CH111" s="1236"/>
      <c r="CI111" s="1236"/>
      <c r="CJ111" s="1236"/>
      <c r="CK111" s="1188"/>
      <c r="CL111" s="1188"/>
    </row>
    <row r="112" s="1168" customFormat="1" customHeight="1" spans="1:111">
      <c r="A112" s="1245">
        <v>46119</v>
      </c>
      <c r="B112" s="1247" t="s">
        <v>386</v>
      </c>
      <c r="C112" s="1234" t="s">
        <v>115</v>
      </c>
      <c r="D112" s="1268">
        <v>4500200380</v>
      </c>
      <c r="E112" s="1234" t="s">
        <v>640</v>
      </c>
      <c r="F112" s="1188" t="s">
        <v>641</v>
      </c>
      <c r="G112" s="1253" t="s">
        <v>389</v>
      </c>
      <c r="H112" s="1234" t="s">
        <v>390</v>
      </c>
      <c r="I112" s="1254">
        <v>1680</v>
      </c>
      <c r="J112" s="1234">
        <v>0</v>
      </c>
      <c r="K112" s="1234">
        <v>12</v>
      </c>
      <c r="L112" s="1246">
        <f t="shared" si="33"/>
        <v>140</v>
      </c>
      <c r="M112" s="1255">
        <v>46164</v>
      </c>
      <c r="N112" s="1255">
        <v>46160</v>
      </c>
      <c r="O112" s="1255"/>
      <c r="P112" s="1233"/>
      <c r="Q112" s="1233" t="s">
        <v>106</v>
      </c>
      <c r="R112" s="1234"/>
      <c r="S112" s="1234"/>
      <c r="T112" s="1233">
        <v>1680</v>
      </c>
      <c r="U112" s="1233">
        <f t="shared" si="27"/>
        <v>0</v>
      </c>
      <c r="V112" s="1234" t="s">
        <v>120</v>
      </c>
      <c r="W112" s="1256">
        <v>46119</v>
      </c>
      <c r="X112" s="1257" t="s">
        <v>107</v>
      </c>
      <c r="Y112" s="1257" t="s">
        <v>562</v>
      </c>
      <c r="Z112" s="1247"/>
      <c r="AA112" s="1247"/>
      <c r="AB112" s="1247"/>
      <c r="AC112" s="1257" t="s">
        <v>642</v>
      </c>
      <c r="AD112" s="1255" t="s">
        <v>393</v>
      </c>
      <c r="AE112" s="1267">
        <v>1.374</v>
      </c>
      <c r="AF112" s="1248">
        <f t="shared" ref="AF112:AF122" si="37">I112*AE112</f>
        <v>2308.32</v>
      </c>
      <c r="AG112" s="1249" t="s">
        <v>643</v>
      </c>
      <c r="AH112" s="1234" t="s">
        <v>389</v>
      </c>
      <c r="AI112" s="1234" t="s">
        <v>112</v>
      </c>
      <c r="AJ112" s="1234" t="s">
        <v>113</v>
      </c>
      <c r="AK112" s="1188">
        <f>I112*2</f>
        <v>3360</v>
      </c>
      <c r="AL112" s="1188"/>
      <c r="AM112" s="1188"/>
      <c r="AN112" s="1188"/>
      <c r="AO112" s="1188"/>
      <c r="AP112" s="1188"/>
      <c r="AQ112" s="1240">
        <f>I112*2</f>
        <v>3360</v>
      </c>
      <c r="AR112" s="1188"/>
      <c r="AS112" s="1236"/>
      <c r="AT112" s="1236"/>
      <c r="AU112" s="1188">
        <f>I112*2</f>
        <v>3360</v>
      </c>
      <c r="AV112" s="1250">
        <f>I112*0.06*2</f>
        <v>201.6</v>
      </c>
      <c r="AW112" s="1250"/>
      <c r="AX112" s="1188"/>
      <c r="AY112" s="1188"/>
      <c r="AZ112" s="1188"/>
      <c r="BA112" s="1188"/>
      <c r="BB112" s="1188"/>
      <c r="BC112" s="1188"/>
      <c r="BD112" s="1188"/>
      <c r="BE112" s="1188"/>
      <c r="BF112" s="1188"/>
      <c r="BG112" s="1188"/>
      <c r="BH112" s="1188"/>
      <c r="BI112" s="1188"/>
      <c r="BJ112" s="1188"/>
      <c r="BK112" s="1188"/>
      <c r="BL112" s="1188"/>
      <c r="BM112" s="1188"/>
      <c r="BN112" s="1188"/>
      <c r="BO112" s="1240"/>
      <c r="BP112" s="1240"/>
      <c r="BQ112" s="1188"/>
      <c r="BR112" s="1236"/>
      <c r="BS112" s="1188"/>
      <c r="BT112" s="1188"/>
      <c r="BU112" s="1188"/>
      <c r="BV112" s="1240"/>
      <c r="BW112" s="1188"/>
      <c r="BX112" s="1188"/>
      <c r="BY112" s="1188"/>
      <c r="BZ112" s="1188"/>
      <c r="CA112" s="1188"/>
      <c r="CB112" s="1188"/>
      <c r="CC112" s="1188"/>
      <c r="CD112" s="1188">
        <f t="shared" si="23"/>
        <v>0</v>
      </c>
      <c r="CE112" s="1188">
        <f t="shared" si="24"/>
        <v>0</v>
      </c>
      <c r="CF112" s="1188">
        <f t="shared" si="25"/>
        <v>0</v>
      </c>
      <c r="CG112" s="1188">
        <f t="shared" si="26"/>
        <v>0</v>
      </c>
      <c r="CH112" s="1236"/>
      <c r="CI112" s="1236"/>
      <c r="CJ112" s="1236">
        <f>I112</f>
        <v>1680</v>
      </c>
      <c r="CK112" s="1188">
        <f>I112</f>
        <v>1680</v>
      </c>
      <c r="CL112" s="1188">
        <f>I112</f>
        <v>1680</v>
      </c>
    </row>
    <row r="113" s="1169" customFormat="1" customHeight="1" spans="1:111">
      <c r="A113" s="1245">
        <v>46119</v>
      </c>
      <c r="B113" s="1247" t="s">
        <v>386</v>
      </c>
      <c r="C113" s="1234" t="s">
        <v>115</v>
      </c>
      <c r="D113" s="1268">
        <v>4500200381</v>
      </c>
      <c r="E113" s="1234" t="s">
        <v>644</v>
      </c>
      <c r="F113" s="1188" t="s">
        <v>645</v>
      </c>
      <c r="G113" s="1253" t="s">
        <v>389</v>
      </c>
      <c r="H113" s="1234" t="s">
        <v>390</v>
      </c>
      <c r="I113" s="1254">
        <v>1332</v>
      </c>
      <c r="J113" s="1234">
        <v>0</v>
      </c>
      <c r="K113" s="1234">
        <v>12</v>
      </c>
      <c r="L113" s="1246">
        <f t="shared" si="33"/>
        <v>111</v>
      </c>
      <c r="M113" s="1255">
        <v>46164</v>
      </c>
      <c r="N113" s="1255">
        <v>46160</v>
      </c>
      <c r="O113" s="1255"/>
      <c r="P113" s="1233"/>
      <c r="Q113" s="1233" t="s">
        <v>106</v>
      </c>
      <c r="R113" s="1234"/>
      <c r="S113" s="1234"/>
      <c r="T113" s="1233">
        <v>1332</v>
      </c>
      <c r="U113" s="1233">
        <f t="shared" si="27"/>
        <v>0</v>
      </c>
      <c r="V113" s="1234" t="s">
        <v>120</v>
      </c>
      <c r="W113" s="1256">
        <v>46119</v>
      </c>
      <c r="X113" s="1257" t="s">
        <v>107</v>
      </c>
      <c r="Y113" s="1257" t="s">
        <v>562</v>
      </c>
      <c r="Z113" s="1247"/>
      <c r="AA113" s="1247"/>
      <c r="AB113" s="1247"/>
      <c r="AC113" s="1257" t="s">
        <v>646</v>
      </c>
      <c r="AD113" s="1255" t="s">
        <v>393</v>
      </c>
      <c r="AE113" s="1267">
        <v>1.374</v>
      </c>
      <c r="AF113" s="1248">
        <f t="shared" si="37"/>
        <v>1830.168</v>
      </c>
      <c r="AG113" s="1249" t="s">
        <v>647</v>
      </c>
      <c r="AH113" s="1234" t="s">
        <v>389</v>
      </c>
      <c r="AI113" s="1234" t="s">
        <v>112</v>
      </c>
      <c r="AJ113" s="1234" t="s">
        <v>113</v>
      </c>
      <c r="AK113" s="1188">
        <f>I113*2</f>
        <v>2664</v>
      </c>
      <c r="AL113" s="1188"/>
      <c r="AM113" s="1188"/>
      <c r="AN113" s="1188"/>
      <c r="AO113" s="1188"/>
      <c r="AP113" s="1188"/>
      <c r="AQ113" s="1240">
        <f>I113*2</f>
        <v>2664</v>
      </c>
      <c r="AR113" s="1188"/>
      <c r="AS113" s="1236"/>
      <c r="AT113" s="1236"/>
      <c r="AU113" s="1188">
        <f>I113*2</f>
        <v>2664</v>
      </c>
      <c r="AV113" s="1250">
        <f>I113*0.06*2</f>
        <v>159.84</v>
      </c>
      <c r="AW113" s="1250"/>
      <c r="AX113" s="1188"/>
      <c r="AY113" s="1188"/>
      <c r="AZ113" s="1188"/>
      <c r="BA113" s="1188"/>
      <c r="BB113" s="1188"/>
      <c r="BC113" s="1188"/>
      <c r="BD113" s="1188"/>
      <c r="BE113" s="1188"/>
      <c r="BF113" s="1188"/>
      <c r="BG113" s="1188"/>
      <c r="BH113" s="1188"/>
      <c r="BI113" s="1188"/>
      <c r="BJ113" s="1188"/>
      <c r="BK113" s="1188"/>
      <c r="BL113" s="1188"/>
      <c r="BM113" s="1188"/>
      <c r="BN113" s="1188"/>
      <c r="BO113" s="1240"/>
      <c r="BP113" s="1240"/>
      <c r="BQ113" s="1188"/>
      <c r="BR113" s="1236"/>
      <c r="BS113" s="1188"/>
      <c r="BT113" s="1188"/>
      <c r="BU113" s="1188"/>
      <c r="BV113" s="1240"/>
      <c r="BW113" s="1188"/>
      <c r="BX113" s="1188"/>
      <c r="BY113" s="1188"/>
      <c r="BZ113" s="1188"/>
      <c r="CA113" s="1188"/>
      <c r="CB113" s="1188"/>
      <c r="CC113" s="1188"/>
      <c r="CD113" s="1188">
        <f t="shared" si="23"/>
        <v>0</v>
      </c>
      <c r="CE113" s="1188">
        <f t="shared" si="24"/>
        <v>0</v>
      </c>
      <c r="CF113" s="1188">
        <f t="shared" si="25"/>
        <v>0</v>
      </c>
      <c r="CG113" s="1188">
        <f t="shared" si="26"/>
        <v>0</v>
      </c>
      <c r="CH113" s="1236"/>
      <c r="CI113" s="1236"/>
      <c r="CJ113" s="1236">
        <f>I113</f>
        <v>1332</v>
      </c>
      <c r="CK113" s="1188">
        <f>I113</f>
        <v>1332</v>
      </c>
      <c r="CL113" s="1188">
        <f>I113</f>
        <v>1332</v>
      </c>
      <c r="CM113" s="1168"/>
      <c r="CN113" s="1168"/>
      <c r="CO113" s="1168"/>
      <c r="CP113" s="1168"/>
      <c r="CQ113" s="1168"/>
      <c r="CR113" s="1168"/>
      <c r="CS113" s="1168"/>
      <c r="CT113" s="1168"/>
      <c r="CU113" s="1168"/>
      <c r="CV113" s="1168"/>
      <c r="CW113" s="1168"/>
      <c r="CX113" s="1168"/>
      <c r="CY113" s="1168"/>
      <c r="CZ113" s="1168"/>
      <c r="DA113" s="1168"/>
      <c r="DB113" s="1168"/>
      <c r="DC113" s="1168"/>
      <c r="DD113" s="1168"/>
      <c r="DE113" s="1168"/>
      <c r="DF113" s="1168"/>
      <c r="DG113" s="1168"/>
    </row>
    <row r="114" s="1168" customFormat="1" customHeight="1" spans="1:111">
      <c r="A114" s="1245">
        <v>46119</v>
      </c>
      <c r="B114" s="1247" t="s">
        <v>386</v>
      </c>
      <c r="C114" s="1234" t="s">
        <v>115</v>
      </c>
      <c r="D114" s="1268">
        <v>4500200381</v>
      </c>
      <c r="E114" s="1234" t="s">
        <v>648</v>
      </c>
      <c r="F114" s="1188" t="s">
        <v>649</v>
      </c>
      <c r="G114" s="1253" t="s">
        <v>389</v>
      </c>
      <c r="H114" s="1234" t="s">
        <v>390</v>
      </c>
      <c r="I114" s="1254">
        <v>1500</v>
      </c>
      <c r="J114" s="1234">
        <v>0</v>
      </c>
      <c r="K114" s="1234">
        <v>12</v>
      </c>
      <c r="L114" s="1246">
        <f t="shared" si="33"/>
        <v>125</v>
      </c>
      <c r="M114" s="1255">
        <v>46164</v>
      </c>
      <c r="N114" s="1255">
        <v>46160</v>
      </c>
      <c r="O114" s="1255"/>
      <c r="P114" s="1233"/>
      <c r="Q114" s="1233" t="s">
        <v>106</v>
      </c>
      <c r="R114" s="1234"/>
      <c r="S114" s="1234"/>
      <c r="T114" s="1233">
        <v>1500</v>
      </c>
      <c r="U114" s="1233">
        <f t="shared" si="27"/>
        <v>0</v>
      </c>
      <c r="V114" s="1234" t="s">
        <v>120</v>
      </c>
      <c r="W114" s="1256">
        <v>46119</v>
      </c>
      <c r="X114" s="1257" t="s">
        <v>107</v>
      </c>
      <c r="Y114" s="1257" t="s">
        <v>562</v>
      </c>
      <c r="Z114" s="1247"/>
      <c r="AA114" s="1247"/>
      <c r="AB114" s="1247"/>
      <c r="AC114" s="1257" t="s">
        <v>646</v>
      </c>
      <c r="AD114" s="1255" t="s">
        <v>393</v>
      </c>
      <c r="AE114" s="1267">
        <v>1.374</v>
      </c>
      <c r="AF114" s="1248">
        <f t="shared" si="37"/>
        <v>2061</v>
      </c>
      <c r="AG114" s="1249" t="s">
        <v>647</v>
      </c>
      <c r="AH114" s="1234" t="s">
        <v>389</v>
      </c>
      <c r="AI114" s="1234" t="s">
        <v>112</v>
      </c>
      <c r="AJ114" s="1234" t="s">
        <v>113</v>
      </c>
      <c r="AK114" s="1188">
        <f>I114*2</f>
        <v>3000</v>
      </c>
      <c r="AL114" s="1188"/>
      <c r="AM114" s="1188"/>
      <c r="AN114" s="1188"/>
      <c r="AO114" s="1188"/>
      <c r="AP114" s="1188"/>
      <c r="AQ114" s="1240">
        <f>I114*2</f>
        <v>3000</v>
      </c>
      <c r="AR114" s="1188"/>
      <c r="AS114" s="1236"/>
      <c r="AT114" s="1236"/>
      <c r="AU114" s="1188">
        <f>I114*2</f>
        <v>3000</v>
      </c>
      <c r="AV114" s="1250">
        <f>I114*0.06*2</f>
        <v>180</v>
      </c>
      <c r="AW114" s="1250"/>
      <c r="AX114" s="1188"/>
      <c r="AY114" s="1188"/>
      <c r="AZ114" s="1188"/>
      <c r="BA114" s="1188"/>
      <c r="BB114" s="1188"/>
      <c r="BC114" s="1188"/>
      <c r="BD114" s="1188"/>
      <c r="BE114" s="1188"/>
      <c r="BF114" s="1188"/>
      <c r="BG114" s="1188"/>
      <c r="BH114" s="1188"/>
      <c r="BI114" s="1188"/>
      <c r="BJ114" s="1188"/>
      <c r="BK114" s="1188"/>
      <c r="BL114" s="1188"/>
      <c r="BM114" s="1188"/>
      <c r="BN114" s="1188"/>
      <c r="BO114" s="1240"/>
      <c r="BP114" s="1240"/>
      <c r="BQ114" s="1188"/>
      <c r="BR114" s="1236"/>
      <c r="BS114" s="1188"/>
      <c r="BT114" s="1188"/>
      <c r="BU114" s="1188"/>
      <c r="BV114" s="1240"/>
      <c r="BW114" s="1188"/>
      <c r="BX114" s="1188"/>
      <c r="BY114" s="1188"/>
      <c r="BZ114" s="1188"/>
      <c r="CA114" s="1188"/>
      <c r="CB114" s="1188"/>
      <c r="CC114" s="1188"/>
      <c r="CD114" s="1188">
        <f t="shared" si="23"/>
        <v>0</v>
      </c>
      <c r="CE114" s="1188">
        <f t="shared" si="24"/>
        <v>0</v>
      </c>
      <c r="CF114" s="1188">
        <f t="shared" si="25"/>
        <v>0</v>
      </c>
      <c r="CG114" s="1188">
        <f t="shared" si="26"/>
        <v>0</v>
      </c>
      <c r="CH114" s="1236"/>
      <c r="CI114" s="1236"/>
      <c r="CJ114" s="1236">
        <f>I114</f>
        <v>1500</v>
      </c>
      <c r="CK114" s="1188">
        <f>I114</f>
        <v>1500</v>
      </c>
      <c r="CL114" s="1188">
        <f>I114</f>
        <v>1500</v>
      </c>
    </row>
    <row r="115" s="1168" customFormat="1" customHeight="1" spans="1:111">
      <c r="A115" s="1245">
        <v>46119</v>
      </c>
      <c r="B115" s="1247" t="s">
        <v>386</v>
      </c>
      <c r="C115" s="1234" t="s">
        <v>115</v>
      </c>
      <c r="D115" s="1268">
        <v>4500200382</v>
      </c>
      <c r="E115" s="1234" t="s">
        <v>650</v>
      </c>
      <c r="F115" s="1188" t="s">
        <v>651</v>
      </c>
      <c r="G115" s="1253" t="s">
        <v>389</v>
      </c>
      <c r="H115" s="1234" t="s">
        <v>390</v>
      </c>
      <c r="I115" s="1254">
        <v>1428</v>
      </c>
      <c r="J115" s="1234">
        <v>0</v>
      </c>
      <c r="K115" s="1234">
        <v>12</v>
      </c>
      <c r="L115" s="1246">
        <f t="shared" si="33"/>
        <v>119</v>
      </c>
      <c r="M115" s="1255">
        <v>46164</v>
      </c>
      <c r="N115" s="1255">
        <v>46160</v>
      </c>
      <c r="O115" s="1255"/>
      <c r="P115" s="1233"/>
      <c r="Q115" s="1233" t="s">
        <v>106</v>
      </c>
      <c r="R115" s="1234"/>
      <c r="S115" s="1234"/>
      <c r="T115" s="1233">
        <v>1428</v>
      </c>
      <c r="U115" s="1233">
        <f t="shared" si="27"/>
        <v>0</v>
      </c>
      <c r="V115" s="1234" t="s">
        <v>120</v>
      </c>
      <c r="W115" s="1256">
        <v>46119</v>
      </c>
      <c r="X115" s="1257" t="s">
        <v>107</v>
      </c>
      <c r="Y115" s="1257" t="s">
        <v>562</v>
      </c>
      <c r="Z115" s="1247"/>
      <c r="AA115" s="1247"/>
      <c r="AB115" s="1247"/>
      <c r="AC115" s="1257" t="s">
        <v>646</v>
      </c>
      <c r="AD115" s="1255" t="s">
        <v>393</v>
      </c>
      <c r="AE115" s="1267">
        <v>1.374</v>
      </c>
      <c r="AF115" s="1248">
        <f t="shared" si="37"/>
        <v>1962.072</v>
      </c>
      <c r="AG115" s="1249" t="s">
        <v>652</v>
      </c>
      <c r="AH115" s="1234" t="s">
        <v>389</v>
      </c>
      <c r="AI115" s="1234" t="s">
        <v>112</v>
      </c>
      <c r="AJ115" s="1234" t="s">
        <v>113</v>
      </c>
      <c r="AK115" s="1188">
        <f>I115*2</f>
        <v>2856</v>
      </c>
      <c r="AL115" s="1188"/>
      <c r="AM115" s="1188"/>
      <c r="AN115" s="1188"/>
      <c r="AO115" s="1188"/>
      <c r="AP115" s="1188"/>
      <c r="AQ115" s="1240">
        <f>I115*2</f>
        <v>2856</v>
      </c>
      <c r="AR115" s="1188"/>
      <c r="AS115" s="1236"/>
      <c r="AT115" s="1236"/>
      <c r="AU115" s="1188">
        <f>I115*2</f>
        <v>2856</v>
      </c>
      <c r="AV115" s="1250">
        <f>I115*0.06*2</f>
        <v>171.36</v>
      </c>
      <c r="AW115" s="1250"/>
      <c r="AX115" s="1188"/>
      <c r="AY115" s="1188"/>
      <c r="AZ115" s="1188"/>
      <c r="BA115" s="1188"/>
      <c r="BB115" s="1188"/>
      <c r="BC115" s="1188"/>
      <c r="BD115" s="1188"/>
      <c r="BE115" s="1188"/>
      <c r="BF115" s="1188"/>
      <c r="BG115" s="1188"/>
      <c r="BH115" s="1188"/>
      <c r="BI115" s="1188"/>
      <c r="BJ115" s="1188"/>
      <c r="BK115" s="1188"/>
      <c r="BL115" s="1188"/>
      <c r="BM115" s="1188"/>
      <c r="BN115" s="1188"/>
      <c r="BO115" s="1240"/>
      <c r="BP115" s="1240"/>
      <c r="BQ115" s="1188"/>
      <c r="BR115" s="1236"/>
      <c r="BS115" s="1188"/>
      <c r="BT115" s="1188"/>
      <c r="BU115" s="1188"/>
      <c r="BV115" s="1240"/>
      <c r="BW115" s="1188"/>
      <c r="BX115" s="1188"/>
      <c r="BY115" s="1188"/>
      <c r="BZ115" s="1188"/>
      <c r="CA115" s="1188"/>
      <c r="CB115" s="1188"/>
      <c r="CC115" s="1188"/>
      <c r="CD115" s="1188">
        <f t="shared" si="23"/>
        <v>0</v>
      </c>
      <c r="CE115" s="1188">
        <f t="shared" si="24"/>
        <v>0</v>
      </c>
      <c r="CF115" s="1188">
        <f t="shared" si="25"/>
        <v>0</v>
      </c>
      <c r="CG115" s="1188">
        <f t="shared" si="26"/>
        <v>0</v>
      </c>
      <c r="CH115" s="1236"/>
      <c r="CI115" s="1236"/>
      <c r="CJ115" s="1236">
        <f>I115</f>
        <v>1428</v>
      </c>
      <c r="CK115" s="1188">
        <f>I115</f>
        <v>1428</v>
      </c>
      <c r="CL115" s="1188">
        <f>I115</f>
        <v>1428</v>
      </c>
    </row>
    <row r="116" s="1168" customFormat="1" customHeight="1" spans="1:111">
      <c r="A116" s="1245">
        <v>46119</v>
      </c>
      <c r="B116" s="1247" t="s">
        <v>386</v>
      </c>
      <c r="C116" s="1234" t="s">
        <v>115</v>
      </c>
      <c r="D116" s="1268">
        <v>4500200382</v>
      </c>
      <c r="E116" s="1234" t="s">
        <v>653</v>
      </c>
      <c r="F116" s="1188" t="s">
        <v>654</v>
      </c>
      <c r="G116" s="1253" t="s">
        <v>389</v>
      </c>
      <c r="H116" s="1234" t="s">
        <v>390</v>
      </c>
      <c r="I116" s="1254">
        <v>1392</v>
      </c>
      <c r="J116" s="1234">
        <v>0</v>
      </c>
      <c r="K116" s="1234">
        <v>12</v>
      </c>
      <c r="L116" s="1246">
        <f t="shared" si="33"/>
        <v>116</v>
      </c>
      <c r="M116" s="1255">
        <v>46164</v>
      </c>
      <c r="N116" s="1255">
        <v>46160</v>
      </c>
      <c r="O116" s="1255"/>
      <c r="P116" s="1233"/>
      <c r="Q116" s="1233" t="s">
        <v>106</v>
      </c>
      <c r="R116" s="1234"/>
      <c r="S116" s="1234"/>
      <c r="T116" s="1233">
        <v>1392</v>
      </c>
      <c r="U116" s="1233">
        <f t="shared" si="27"/>
        <v>0</v>
      </c>
      <c r="V116" s="1234" t="s">
        <v>120</v>
      </c>
      <c r="W116" s="1256">
        <v>46119</v>
      </c>
      <c r="X116" s="1257" t="s">
        <v>107</v>
      </c>
      <c r="Y116" s="1257" t="s">
        <v>562</v>
      </c>
      <c r="Z116" s="1247"/>
      <c r="AA116" s="1247"/>
      <c r="AB116" s="1247"/>
      <c r="AC116" s="1257" t="s">
        <v>646</v>
      </c>
      <c r="AD116" s="1255" t="s">
        <v>393</v>
      </c>
      <c r="AE116" s="1267">
        <v>1.374</v>
      </c>
      <c r="AF116" s="1248">
        <f t="shared" si="37"/>
        <v>1912.608</v>
      </c>
      <c r="AG116" s="1249" t="s">
        <v>652</v>
      </c>
      <c r="AH116" s="1234" t="s">
        <v>389</v>
      </c>
      <c r="AI116" s="1234" t="s">
        <v>112</v>
      </c>
      <c r="AJ116" s="1234" t="s">
        <v>113</v>
      </c>
      <c r="AK116" s="1188">
        <f>I116*2</f>
        <v>2784</v>
      </c>
      <c r="AL116" s="1188"/>
      <c r="AM116" s="1188"/>
      <c r="AN116" s="1188"/>
      <c r="AO116" s="1188"/>
      <c r="AP116" s="1188"/>
      <c r="AQ116" s="1240">
        <f>I116*2</f>
        <v>2784</v>
      </c>
      <c r="AR116" s="1188"/>
      <c r="AS116" s="1236"/>
      <c r="AT116" s="1236"/>
      <c r="AU116" s="1188">
        <f>I116*2</f>
        <v>2784</v>
      </c>
      <c r="AV116" s="1250">
        <f>I116*0.06*2</f>
        <v>167.04</v>
      </c>
      <c r="AW116" s="1250"/>
      <c r="AX116" s="1188"/>
      <c r="AY116" s="1188"/>
      <c r="AZ116" s="1188"/>
      <c r="BA116" s="1188"/>
      <c r="BB116" s="1188"/>
      <c r="BC116" s="1188"/>
      <c r="BD116" s="1188"/>
      <c r="BE116" s="1188"/>
      <c r="BF116" s="1188"/>
      <c r="BG116" s="1188"/>
      <c r="BH116" s="1188"/>
      <c r="BI116" s="1188"/>
      <c r="BJ116" s="1188"/>
      <c r="BK116" s="1188"/>
      <c r="BL116" s="1188"/>
      <c r="BM116" s="1188"/>
      <c r="BN116" s="1188"/>
      <c r="BO116" s="1240"/>
      <c r="BP116" s="1240"/>
      <c r="BQ116" s="1188"/>
      <c r="BR116" s="1236"/>
      <c r="BS116" s="1188"/>
      <c r="BT116" s="1188"/>
      <c r="BU116" s="1188"/>
      <c r="BV116" s="1240"/>
      <c r="BW116" s="1188"/>
      <c r="BX116" s="1188"/>
      <c r="BY116" s="1188"/>
      <c r="BZ116" s="1188"/>
      <c r="CA116" s="1188"/>
      <c r="CB116" s="1188"/>
      <c r="CC116" s="1188"/>
      <c r="CD116" s="1188">
        <f t="shared" si="23"/>
        <v>0</v>
      </c>
      <c r="CE116" s="1188">
        <f t="shared" si="24"/>
        <v>0</v>
      </c>
      <c r="CF116" s="1188">
        <f t="shared" si="25"/>
        <v>0</v>
      </c>
      <c r="CG116" s="1188">
        <f t="shared" si="26"/>
        <v>0</v>
      </c>
      <c r="CH116" s="1236"/>
      <c r="CI116" s="1236"/>
      <c r="CJ116" s="1236">
        <f>I116</f>
        <v>1392</v>
      </c>
      <c r="CK116" s="1188">
        <f>I116</f>
        <v>1392</v>
      </c>
      <c r="CL116" s="1188">
        <f>I116</f>
        <v>1392</v>
      </c>
    </row>
    <row r="117" s="1168" customFormat="1" customHeight="1" spans="1:111">
      <c r="A117" s="1245">
        <v>46091</v>
      </c>
      <c r="B117" s="1247" t="s">
        <v>655</v>
      </c>
      <c r="C117" s="1234" t="s">
        <v>656</v>
      </c>
      <c r="D117" s="1188">
        <v>4500195981</v>
      </c>
      <c r="E117" s="1234"/>
      <c r="F117" s="1188" t="s">
        <v>657</v>
      </c>
      <c r="G117" s="1253" t="s">
        <v>188</v>
      </c>
      <c r="H117" s="1234" t="s">
        <v>138</v>
      </c>
      <c r="I117" s="1254">
        <v>1250</v>
      </c>
      <c r="J117" s="1234">
        <v>0</v>
      </c>
      <c r="K117" s="1234">
        <v>50</v>
      </c>
      <c r="L117" s="1246">
        <f t="shared" si="33"/>
        <v>25</v>
      </c>
      <c r="M117" s="1255">
        <v>46164</v>
      </c>
      <c r="N117" s="1255">
        <v>46160</v>
      </c>
      <c r="O117" s="1255"/>
      <c r="P117" s="1233"/>
      <c r="Q117" s="1255" t="s">
        <v>106</v>
      </c>
      <c r="R117" s="1234"/>
      <c r="S117" s="1234"/>
      <c r="T117" s="1233">
        <v>1250</v>
      </c>
      <c r="U117" s="1233">
        <f t="shared" si="27"/>
        <v>0</v>
      </c>
      <c r="V117" s="1234"/>
      <c r="W117" s="1256">
        <v>46094</v>
      </c>
      <c r="X117" s="1257" t="s">
        <v>107</v>
      </c>
      <c r="Y117" s="1257">
        <v>46111</v>
      </c>
      <c r="Z117" s="1247"/>
      <c r="AA117" s="1247"/>
      <c r="AB117" s="1247"/>
      <c r="AC117" s="1247" t="s">
        <v>658</v>
      </c>
      <c r="AD117" s="1255" t="s">
        <v>659</v>
      </c>
      <c r="AE117" s="1188">
        <v>1.007</v>
      </c>
      <c r="AF117" s="1248">
        <f t="shared" si="37"/>
        <v>1258.75</v>
      </c>
      <c r="AG117" s="1258"/>
      <c r="AH117" s="1234" t="s">
        <v>314</v>
      </c>
      <c r="AI117" s="1234" t="s">
        <v>112</v>
      </c>
      <c r="AJ117" s="1234" t="s">
        <v>113</v>
      </c>
      <c r="AK117" s="1188">
        <f t="shared" ref="AK117:AK127" si="38">I117</f>
        <v>1250</v>
      </c>
      <c r="AL117" s="1188"/>
      <c r="AM117" s="1188"/>
      <c r="AN117" s="1188"/>
      <c r="AO117" s="1188"/>
      <c r="AP117" s="1188">
        <f>I117</f>
        <v>1250</v>
      </c>
      <c r="AQ117" s="1240"/>
      <c r="AR117" s="1188"/>
      <c r="AS117" s="1236"/>
      <c r="AT117" s="1236"/>
      <c r="AU117" s="1188">
        <f t="shared" ref="AU117:AU127" si="39">I117</f>
        <v>1250</v>
      </c>
      <c r="AV117" s="1250">
        <f t="shared" ref="AV117:AV127" si="40">I117*0.06</f>
        <v>75</v>
      </c>
      <c r="AW117" s="1250"/>
      <c r="AX117" s="1188"/>
      <c r="AY117" s="1188"/>
      <c r="AZ117" s="1188"/>
      <c r="BA117" s="1188"/>
      <c r="BB117" s="1188"/>
      <c r="BC117" s="1188"/>
      <c r="BD117" s="1188"/>
      <c r="BE117" s="1188"/>
      <c r="BF117" s="1188"/>
      <c r="BG117" s="1188"/>
      <c r="BH117" s="1188"/>
      <c r="BI117" s="1188"/>
      <c r="BJ117" s="1188"/>
      <c r="BK117" s="1188"/>
      <c r="BL117" s="1188"/>
      <c r="BM117" s="1188"/>
      <c r="BN117" s="1188"/>
      <c r="BO117" s="1235">
        <f>I117/25</f>
        <v>50</v>
      </c>
      <c r="BP117" s="1240"/>
      <c r="BQ117" s="1188"/>
      <c r="BR117" s="1236"/>
      <c r="BS117" s="1188"/>
      <c r="BT117" s="1188"/>
      <c r="BU117" s="1188"/>
      <c r="BV117" s="1240"/>
      <c r="BW117" s="1188"/>
      <c r="BX117" s="1188"/>
      <c r="BY117" s="1188"/>
      <c r="BZ117" s="1188"/>
      <c r="CA117" s="1188"/>
      <c r="CB117" s="1188"/>
      <c r="CC117" s="1188"/>
      <c r="CD117" s="1188">
        <f t="shared" si="23"/>
        <v>50</v>
      </c>
      <c r="CE117" s="1188">
        <f t="shared" si="24"/>
        <v>0</v>
      </c>
      <c r="CF117" s="1188">
        <f t="shared" si="25"/>
        <v>0</v>
      </c>
      <c r="CG117" s="1188">
        <f t="shared" si="26"/>
        <v>0</v>
      </c>
      <c r="CH117" s="1236"/>
      <c r="CI117" s="1236"/>
      <c r="CJ117" s="1236"/>
      <c r="CK117" s="1188"/>
      <c r="CL117" s="1188"/>
    </row>
    <row r="118" s="1168" customFormat="1" customHeight="1" spans="1:111">
      <c r="A118" s="1245">
        <v>46090</v>
      </c>
      <c r="B118" s="1247" t="s">
        <v>521</v>
      </c>
      <c r="C118" s="1234" t="s">
        <v>101</v>
      </c>
      <c r="D118" s="1188">
        <v>4500195655</v>
      </c>
      <c r="E118" s="1234">
        <v>21605188</v>
      </c>
      <c r="F118" s="1188" t="s">
        <v>660</v>
      </c>
      <c r="G118" s="1253" t="s">
        <v>510</v>
      </c>
      <c r="H118" s="1234" t="s">
        <v>194</v>
      </c>
      <c r="I118" s="1254">
        <v>91</v>
      </c>
      <c r="J118" s="1234">
        <v>0</v>
      </c>
      <c r="K118" s="1234">
        <v>13</v>
      </c>
      <c r="L118" s="1246">
        <f t="shared" si="33"/>
        <v>7</v>
      </c>
      <c r="M118" s="1255">
        <v>46167</v>
      </c>
      <c r="N118" s="1255">
        <f>M118-4</f>
        <v>46163</v>
      </c>
      <c r="O118" s="1255"/>
      <c r="P118" s="1233"/>
      <c r="Q118" s="1233" t="s">
        <v>106</v>
      </c>
      <c r="R118" s="1234"/>
      <c r="S118" s="1234"/>
      <c r="T118" s="1233">
        <v>91</v>
      </c>
      <c r="U118" s="1233">
        <f t="shared" si="27"/>
        <v>0</v>
      </c>
      <c r="V118" s="1234"/>
      <c r="W118" s="1256">
        <v>46107</v>
      </c>
      <c r="X118" s="1257" t="s">
        <v>107</v>
      </c>
      <c r="Y118" s="1257" t="s">
        <v>661</v>
      </c>
      <c r="Z118" s="1247" t="s">
        <v>360</v>
      </c>
      <c r="AA118" s="1247"/>
      <c r="AB118" s="1247"/>
      <c r="AC118" s="1247" t="s">
        <v>662</v>
      </c>
      <c r="AD118" s="1255" t="s">
        <v>362</v>
      </c>
      <c r="AE118" s="1188">
        <v>1.2</v>
      </c>
      <c r="AF118" s="1248">
        <f t="shared" si="37"/>
        <v>109.2</v>
      </c>
      <c r="AG118" s="1258"/>
      <c r="AH118" s="1234" t="s">
        <v>289</v>
      </c>
      <c r="AI118" s="1234" t="s">
        <v>112</v>
      </c>
      <c r="AJ118" s="1234" t="s">
        <v>113</v>
      </c>
      <c r="AK118" s="1188">
        <f t="shared" si="38"/>
        <v>91</v>
      </c>
      <c r="AL118" s="1188"/>
      <c r="AM118" s="1188"/>
      <c r="AN118" s="1188">
        <f t="shared" ref="AN118:AN127" si="41">I118</f>
        <v>91</v>
      </c>
      <c r="AO118" s="1188"/>
      <c r="AP118" s="1188"/>
      <c r="AQ118" s="1240"/>
      <c r="AR118" s="1188"/>
      <c r="AS118" s="1236"/>
      <c r="AT118" s="1236"/>
      <c r="AU118" s="1188">
        <f t="shared" si="39"/>
        <v>91</v>
      </c>
      <c r="AV118" s="1250">
        <f t="shared" si="40"/>
        <v>5.46</v>
      </c>
      <c r="AW118" s="1250"/>
      <c r="AX118" s="1188"/>
      <c r="AY118" s="1188"/>
      <c r="AZ118" s="1188"/>
      <c r="BA118" s="1188"/>
      <c r="BB118" s="1188"/>
      <c r="BC118" s="1188"/>
      <c r="BD118" s="1188"/>
      <c r="BE118" s="1188"/>
      <c r="BF118" s="1188"/>
      <c r="BG118" s="1188"/>
      <c r="BH118" s="1188"/>
      <c r="BI118" s="1188"/>
      <c r="BJ118" s="1188"/>
      <c r="BK118" s="1188">
        <f>I118/13</f>
        <v>7</v>
      </c>
      <c r="BL118" s="1188"/>
      <c r="BM118" s="1188"/>
      <c r="BN118" s="1188"/>
      <c r="BO118" s="1240"/>
      <c r="BP118" s="1240"/>
      <c r="BQ118" s="1188"/>
      <c r="BR118" s="1236"/>
      <c r="BS118" s="1188"/>
      <c r="BT118" s="1188"/>
      <c r="BU118" s="1188"/>
      <c r="BV118" s="1240"/>
      <c r="BW118" s="1188"/>
      <c r="BX118" s="1188"/>
      <c r="BY118" s="1188"/>
      <c r="BZ118" s="1188"/>
      <c r="CA118" s="1188"/>
      <c r="CB118" s="1188"/>
      <c r="CC118" s="1188"/>
      <c r="CD118" s="1188">
        <f t="shared" si="23"/>
        <v>0</v>
      </c>
      <c r="CE118" s="1188">
        <f t="shared" si="24"/>
        <v>0</v>
      </c>
      <c r="CF118" s="1188">
        <f t="shared" si="25"/>
        <v>0</v>
      </c>
      <c r="CG118" s="1188">
        <f t="shared" si="26"/>
        <v>0</v>
      </c>
      <c r="CH118" s="1236"/>
      <c r="CI118" s="1236"/>
      <c r="CJ118" s="1236"/>
      <c r="CK118" s="1188"/>
      <c r="CL118" s="1188"/>
    </row>
    <row r="119" s="1168" customFormat="1" customHeight="1" spans="1:111">
      <c r="A119" s="1245">
        <v>46110</v>
      </c>
      <c r="B119" s="1247" t="s">
        <v>525</v>
      </c>
      <c r="C119" s="1234" t="s">
        <v>508</v>
      </c>
      <c r="D119" s="1188">
        <v>4500198007</v>
      </c>
      <c r="E119" s="1234">
        <v>21650949</v>
      </c>
      <c r="F119" s="1188" t="s">
        <v>663</v>
      </c>
      <c r="G119" s="1253" t="s">
        <v>510</v>
      </c>
      <c r="H119" s="1234" t="s">
        <v>194</v>
      </c>
      <c r="I119" s="1254">
        <v>1508</v>
      </c>
      <c r="J119" s="1234">
        <v>0</v>
      </c>
      <c r="K119" s="1234">
        <v>13</v>
      </c>
      <c r="L119" s="1246">
        <f t="shared" si="33"/>
        <v>116</v>
      </c>
      <c r="M119" s="1255">
        <v>46167</v>
      </c>
      <c r="N119" s="1255">
        <f>M119-4</f>
        <v>46163</v>
      </c>
      <c r="O119" s="1255"/>
      <c r="P119" s="1233"/>
      <c r="Q119" s="1233" t="s">
        <v>106</v>
      </c>
      <c r="R119" s="1234"/>
      <c r="S119" s="1234"/>
      <c r="T119" s="1233">
        <v>1508</v>
      </c>
      <c r="U119" s="1233">
        <f t="shared" si="27"/>
        <v>0</v>
      </c>
      <c r="V119" s="1234"/>
      <c r="W119" s="1256">
        <v>46110</v>
      </c>
      <c r="X119" s="1257" t="s">
        <v>107</v>
      </c>
      <c r="Y119" s="1257" t="s">
        <v>664</v>
      </c>
      <c r="Z119" s="1247" t="s">
        <v>360</v>
      </c>
      <c r="AA119" s="1247"/>
      <c r="AB119" s="1247"/>
      <c r="AC119" s="1247" t="s">
        <v>665</v>
      </c>
      <c r="AD119" s="1255" t="s">
        <v>362</v>
      </c>
      <c r="AE119" s="1188">
        <v>1.2</v>
      </c>
      <c r="AF119" s="1248">
        <f t="shared" si="37"/>
        <v>1809.6</v>
      </c>
      <c r="AG119" s="1258"/>
      <c r="AH119" s="1234" t="s">
        <v>289</v>
      </c>
      <c r="AI119" s="1234" t="s">
        <v>112</v>
      </c>
      <c r="AJ119" s="1234" t="s">
        <v>113</v>
      </c>
      <c r="AK119" s="1188">
        <f t="shared" si="38"/>
        <v>1508</v>
      </c>
      <c r="AL119" s="1188"/>
      <c r="AM119" s="1188"/>
      <c r="AN119" s="1188">
        <f t="shared" si="41"/>
        <v>1508</v>
      </c>
      <c r="AO119" s="1188"/>
      <c r="AP119" s="1188"/>
      <c r="AQ119" s="1240"/>
      <c r="AR119" s="1188"/>
      <c r="AS119" s="1236"/>
      <c r="AT119" s="1236"/>
      <c r="AU119" s="1188">
        <f t="shared" si="39"/>
        <v>1508</v>
      </c>
      <c r="AV119" s="1250">
        <f t="shared" si="40"/>
        <v>90.48</v>
      </c>
      <c r="AW119" s="1250"/>
      <c r="AX119" s="1188"/>
      <c r="AY119" s="1188"/>
      <c r="AZ119" s="1188"/>
      <c r="BA119" s="1188"/>
      <c r="BB119" s="1188"/>
      <c r="BC119" s="1188"/>
      <c r="BD119" s="1188"/>
      <c r="BE119" s="1188"/>
      <c r="BF119" s="1188"/>
      <c r="BG119" s="1188"/>
      <c r="BH119" s="1188"/>
      <c r="BI119" s="1188"/>
      <c r="BJ119" s="1188"/>
      <c r="BK119" s="1188">
        <f>I119/13</f>
        <v>116</v>
      </c>
      <c r="BL119" s="1188"/>
      <c r="BM119" s="1188"/>
      <c r="BN119" s="1188"/>
      <c r="BO119" s="1240"/>
      <c r="BP119" s="1240"/>
      <c r="BQ119" s="1188"/>
      <c r="BR119" s="1236"/>
      <c r="BS119" s="1188"/>
      <c r="BT119" s="1188"/>
      <c r="BU119" s="1188"/>
      <c r="BV119" s="1240"/>
      <c r="BW119" s="1188"/>
      <c r="BX119" s="1188"/>
      <c r="BY119" s="1188"/>
      <c r="BZ119" s="1188"/>
      <c r="CA119" s="1188"/>
      <c r="CB119" s="1188"/>
      <c r="CC119" s="1188"/>
      <c r="CD119" s="1188">
        <f t="shared" si="23"/>
        <v>0</v>
      </c>
      <c r="CE119" s="1188">
        <f t="shared" si="24"/>
        <v>0</v>
      </c>
      <c r="CF119" s="1188">
        <f t="shared" si="25"/>
        <v>0</v>
      </c>
      <c r="CG119" s="1188">
        <f t="shared" si="26"/>
        <v>0</v>
      </c>
      <c r="CH119" s="1236"/>
      <c r="CI119" s="1236"/>
      <c r="CJ119" s="1236"/>
      <c r="CK119" s="1188"/>
      <c r="CL119" s="1188"/>
    </row>
    <row r="120" s="1168" customFormat="1" customHeight="1" spans="1:111">
      <c r="A120" s="1245">
        <v>46095</v>
      </c>
      <c r="B120" s="1247" t="s">
        <v>507</v>
      </c>
      <c r="C120" s="1234" t="s">
        <v>508</v>
      </c>
      <c r="D120" s="1188">
        <v>4500196882</v>
      </c>
      <c r="E120" s="1233">
        <v>2599188</v>
      </c>
      <c r="F120" s="1188" t="s">
        <v>666</v>
      </c>
      <c r="G120" s="1253" t="s">
        <v>510</v>
      </c>
      <c r="H120" s="1234" t="s">
        <v>194</v>
      </c>
      <c r="I120" s="1254">
        <v>1508</v>
      </c>
      <c r="J120" s="1234">
        <v>0</v>
      </c>
      <c r="K120" s="1234">
        <v>13</v>
      </c>
      <c r="L120" s="1246">
        <f t="shared" si="33"/>
        <v>116</v>
      </c>
      <c r="M120" s="1255">
        <v>46167</v>
      </c>
      <c r="N120" s="1255">
        <v>46163</v>
      </c>
      <c r="O120" s="1255"/>
      <c r="P120" s="1233"/>
      <c r="Q120" s="1233" t="s">
        <v>106</v>
      </c>
      <c r="R120" s="1234"/>
      <c r="S120" s="1234"/>
      <c r="T120" s="1233">
        <v>1508</v>
      </c>
      <c r="U120" s="1233">
        <f t="shared" si="27"/>
        <v>0</v>
      </c>
      <c r="V120" s="1234"/>
      <c r="W120" s="1256">
        <v>46097</v>
      </c>
      <c r="X120" s="1257" t="s">
        <v>107</v>
      </c>
      <c r="Y120" s="1257" t="s">
        <v>667</v>
      </c>
      <c r="Z120" s="1247" t="s">
        <v>360</v>
      </c>
      <c r="AA120" s="1247"/>
      <c r="AB120" s="1247"/>
      <c r="AC120" s="1247" t="s">
        <v>668</v>
      </c>
      <c r="AD120" s="1255" t="s">
        <v>513</v>
      </c>
      <c r="AE120" s="1188">
        <v>1.2</v>
      </c>
      <c r="AF120" s="1248">
        <f t="shared" si="37"/>
        <v>1809.6</v>
      </c>
      <c r="AG120" s="1258"/>
      <c r="AH120" s="1234" t="s">
        <v>289</v>
      </c>
      <c r="AI120" s="1234" t="s">
        <v>112</v>
      </c>
      <c r="AJ120" s="1234" t="s">
        <v>113</v>
      </c>
      <c r="AK120" s="1188">
        <f t="shared" si="38"/>
        <v>1508</v>
      </c>
      <c r="AL120" s="1188"/>
      <c r="AM120" s="1188"/>
      <c r="AN120" s="1188">
        <f t="shared" si="41"/>
        <v>1508</v>
      </c>
      <c r="AO120" s="1188"/>
      <c r="AP120" s="1188"/>
      <c r="AQ120" s="1240"/>
      <c r="AR120" s="1188"/>
      <c r="AS120" s="1260"/>
      <c r="AT120" s="1260"/>
      <c r="AU120" s="1188">
        <f t="shared" si="39"/>
        <v>1508</v>
      </c>
      <c r="AV120" s="1250">
        <f t="shared" si="40"/>
        <v>90.48</v>
      </c>
      <c r="AW120" s="1250"/>
      <c r="AX120" s="1188"/>
      <c r="AY120" s="1188"/>
      <c r="AZ120" s="1188"/>
      <c r="BA120" s="1188"/>
      <c r="BB120" s="1188"/>
      <c r="BC120" s="1188"/>
      <c r="BD120" s="1188"/>
      <c r="BE120" s="1188"/>
      <c r="BF120" s="1188"/>
      <c r="BG120" s="1188"/>
      <c r="BH120" s="1188"/>
      <c r="BI120" s="1188"/>
      <c r="BJ120" s="1188"/>
      <c r="BK120" s="1188">
        <f>I120/13</f>
        <v>116</v>
      </c>
      <c r="BL120" s="1188"/>
      <c r="BM120" s="1188"/>
      <c r="BN120" s="1188"/>
      <c r="BO120" s="1240"/>
      <c r="BP120" s="1240"/>
      <c r="BQ120" s="1188"/>
      <c r="BR120" s="1236"/>
      <c r="BS120" s="1188"/>
      <c r="BT120" s="1188"/>
      <c r="BU120" s="1188"/>
      <c r="BV120" s="1240"/>
      <c r="BW120" s="1188"/>
      <c r="BX120" s="1188"/>
      <c r="BY120" s="1188"/>
      <c r="BZ120" s="1188"/>
      <c r="CA120" s="1188"/>
      <c r="CB120" s="1188"/>
      <c r="CC120" s="1188"/>
      <c r="CD120" s="1188">
        <f t="shared" si="23"/>
        <v>0</v>
      </c>
      <c r="CE120" s="1188">
        <f t="shared" si="24"/>
        <v>0</v>
      </c>
      <c r="CF120" s="1188">
        <f t="shared" si="25"/>
        <v>0</v>
      </c>
      <c r="CG120" s="1188">
        <f t="shared" si="26"/>
        <v>0</v>
      </c>
      <c r="CH120" s="1236"/>
      <c r="CI120" s="1236"/>
      <c r="CJ120" s="1236"/>
      <c r="CK120" s="1188"/>
      <c r="CL120" s="1188"/>
    </row>
    <row r="121" s="1168" customFormat="1" customHeight="1" spans="1:111">
      <c r="A121" s="1245">
        <v>46104</v>
      </c>
      <c r="B121" s="1247" t="s">
        <v>669</v>
      </c>
      <c r="C121" s="1234" t="s">
        <v>101</v>
      </c>
      <c r="D121" s="1188">
        <v>4500198032</v>
      </c>
      <c r="E121" s="1234">
        <v>29609779</v>
      </c>
      <c r="F121" s="1188" t="s">
        <v>670</v>
      </c>
      <c r="G121" s="1253" t="s">
        <v>137</v>
      </c>
      <c r="H121" s="1234" t="s">
        <v>138</v>
      </c>
      <c r="I121" s="1254">
        <v>1200</v>
      </c>
      <c r="J121" s="1234">
        <v>0</v>
      </c>
      <c r="K121" s="1234">
        <v>50</v>
      </c>
      <c r="L121" s="1246">
        <f t="shared" si="33"/>
        <v>24</v>
      </c>
      <c r="M121" s="1255">
        <v>46167</v>
      </c>
      <c r="N121" s="1255">
        <f>M121-4</f>
        <v>46163</v>
      </c>
      <c r="O121" s="1255"/>
      <c r="P121" s="1233"/>
      <c r="Q121" s="1233" t="s">
        <v>106</v>
      </c>
      <c r="R121" s="1234"/>
      <c r="S121" s="1234"/>
      <c r="T121" s="1233">
        <v>1200</v>
      </c>
      <c r="U121" s="1233">
        <f t="shared" si="27"/>
        <v>0</v>
      </c>
      <c r="V121" s="1234"/>
      <c r="W121" s="1256">
        <v>46104</v>
      </c>
      <c r="X121" s="1257" t="s">
        <v>95</v>
      </c>
      <c r="Y121" s="1257" t="s">
        <v>95</v>
      </c>
      <c r="Z121" s="1247" t="s">
        <v>360</v>
      </c>
      <c r="AA121" s="1247"/>
      <c r="AB121" s="1247" t="s">
        <v>671</v>
      </c>
      <c r="AC121" s="1247" t="s">
        <v>672</v>
      </c>
      <c r="AD121" s="1255" t="s">
        <v>673</v>
      </c>
      <c r="AE121" s="1267">
        <v>1.007</v>
      </c>
      <c r="AF121" s="1248">
        <f t="shared" si="37"/>
        <v>1208.4</v>
      </c>
      <c r="AG121" s="1258"/>
      <c r="AH121" s="1234" t="s">
        <v>188</v>
      </c>
      <c r="AI121" s="1234" t="s">
        <v>112</v>
      </c>
      <c r="AJ121" s="1234" t="s">
        <v>113</v>
      </c>
      <c r="AK121" s="1188">
        <f t="shared" si="38"/>
        <v>1200</v>
      </c>
      <c r="AL121" s="1188"/>
      <c r="AM121" s="1188"/>
      <c r="AN121" s="1188">
        <f t="shared" si="41"/>
        <v>1200</v>
      </c>
      <c r="AO121" s="1188"/>
      <c r="AP121" s="1188"/>
      <c r="AQ121" s="1240"/>
      <c r="AR121" s="1188"/>
      <c r="AS121" s="1236"/>
      <c r="AT121" s="1236"/>
      <c r="AU121" s="1188">
        <f t="shared" si="39"/>
        <v>1200</v>
      </c>
      <c r="AV121" s="1250">
        <f t="shared" si="40"/>
        <v>72</v>
      </c>
      <c r="AW121" s="1250"/>
      <c r="AX121" s="1188"/>
      <c r="AY121" s="1188"/>
      <c r="AZ121" s="1188"/>
      <c r="BA121" s="1188"/>
      <c r="BB121" s="1188"/>
      <c r="BC121" s="1188"/>
      <c r="BD121" s="1188"/>
      <c r="BE121" s="1188"/>
      <c r="BF121" s="1188"/>
      <c r="BG121" s="1188"/>
      <c r="BH121" s="1188"/>
      <c r="BI121" s="1188"/>
      <c r="BJ121" s="1188"/>
      <c r="BK121" s="1188"/>
      <c r="BL121" s="1188"/>
      <c r="BM121" s="1188"/>
      <c r="BN121" s="1188">
        <f>I121/25</f>
        <v>48</v>
      </c>
      <c r="BO121" s="1240"/>
      <c r="BP121" s="1240"/>
      <c r="BQ121" s="1188"/>
      <c r="BR121" s="1236"/>
      <c r="BS121" s="1188"/>
      <c r="BT121" s="1188"/>
      <c r="BU121" s="1188"/>
      <c r="BV121" s="1240"/>
      <c r="BW121" s="1188"/>
      <c r="BX121" s="1188"/>
      <c r="BY121" s="1188"/>
      <c r="BZ121" s="1188"/>
      <c r="CA121" s="1188"/>
      <c r="CB121" s="1188"/>
      <c r="CC121" s="1188"/>
      <c r="CD121" s="1188">
        <f t="shared" si="23"/>
        <v>48</v>
      </c>
      <c r="CE121" s="1188">
        <f t="shared" si="24"/>
        <v>0</v>
      </c>
      <c r="CF121" s="1188">
        <f t="shared" si="25"/>
        <v>0</v>
      </c>
      <c r="CG121" s="1188">
        <f t="shared" si="26"/>
        <v>0</v>
      </c>
      <c r="CH121" s="1236"/>
      <c r="CI121" s="1236"/>
      <c r="CJ121" s="1236"/>
      <c r="CK121" s="1188"/>
      <c r="CL121" s="1188"/>
    </row>
    <row r="122" s="1168" customFormat="1" customHeight="1" spans="1:111">
      <c r="A122" s="1245">
        <v>46101</v>
      </c>
      <c r="B122" s="1247" t="s">
        <v>674</v>
      </c>
      <c r="C122" s="1234" t="s">
        <v>101</v>
      </c>
      <c r="D122" s="1188">
        <v>4500197867</v>
      </c>
      <c r="E122" s="1234">
        <v>29609778</v>
      </c>
      <c r="F122" s="1188" t="s">
        <v>675</v>
      </c>
      <c r="G122" s="1253" t="s">
        <v>137</v>
      </c>
      <c r="H122" s="1234" t="s">
        <v>138</v>
      </c>
      <c r="I122" s="1254">
        <v>2600</v>
      </c>
      <c r="J122" s="1234">
        <v>0</v>
      </c>
      <c r="K122" s="1234">
        <v>50</v>
      </c>
      <c r="L122" s="1246">
        <f t="shared" si="33"/>
        <v>52</v>
      </c>
      <c r="M122" s="1255">
        <v>46167</v>
      </c>
      <c r="N122" s="1255">
        <f>M122-4</f>
        <v>46163</v>
      </c>
      <c r="O122" s="1255"/>
      <c r="P122" s="1233"/>
      <c r="Q122" s="1233" t="s">
        <v>106</v>
      </c>
      <c r="R122" s="1234"/>
      <c r="S122" s="1234"/>
      <c r="T122" s="1233">
        <v>2600</v>
      </c>
      <c r="U122" s="1233">
        <f t="shared" si="27"/>
        <v>0</v>
      </c>
      <c r="V122" s="1234"/>
      <c r="W122" s="1256">
        <v>46101</v>
      </c>
      <c r="X122" s="1257" t="s">
        <v>95</v>
      </c>
      <c r="Y122" s="1257" t="s">
        <v>95</v>
      </c>
      <c r="Z122" s="1247" t="s">
        <v>360</v>
      </c>
      <c r="AA122" s="1247"/>
      <c r="AB122" s="1247" t="s">
        <v>671</v>
      </c>
      <c r="AC122" s="1247" t="s">
        <v>672</v>
      </c>
      <c r="AD122" s="1255" t="s">
        <v>676</v>
      </c>
      <c r="AE122" s="1267">
        <v>1.007</v>
      </c>
      <c r="AF122" s="1248">
        <f t="shared" si="37"/>
        <v>2618.2</v>
      </c>
      <c r="AG122" s="1258"/>
      <c r="AH122" s="1234" t="s">
        <v>188</v>
      </c>
      <c r="AI122" s="1234" t="s">
        <v>112</v>
      </c>
      <c r="AJ122" s="1234" t="s">
        <v>113</v>
      </c>
      <c r="AK122" s="1188">
        <f t="shared" si="38"/>
        <v>2600</v>
      </c>
      <c r="AL122" s="1188"/>
      <c r="AM122" s="1188"/>
      <c r="AN122" s="1188">
        <f t="shared" si="41"/>
        <v>2600</v>
      </c>
      <c r="AO122" s="1188"/>
      <c r="AP122" s="1188"/>
      <c r="AQ122" s="1240"/>
      <c r="AR122" s="1188"/>
      <c r="AS122" s="1236"/>
      <c r="AT122" s="1236"/>
      <c r="AU122" s="1188">
        <f t="shared" si="39"/>
        <v>2600</v>
      </c>
      <c r="AV122" s="1250">
        <f t="shared" si="40"/>
        <v>156</v>
      </c>
      <c r="AW122" s="1250"/>
      <c r="AX122" s="1188"/>
      <c r="AY122" s="1188"/>
      <c r="AZ122" s="1188"/>
      <c r="BA122" s="1188"/>
      <c r="BB122" s="1188"/>
      <c r="BC122" s="1188"/>
      <c r="BD122" s="1188"/>
      <c r="BE122" s="1188"/>
      <c r="BF122" s="1188"/>
      <c r="BG122" s="1188"/>
      <c r="BH122" s="1188"/>
      <c r="BI122" s="1188"/>
      <c r="BJ122" s="1188"/>
      <c r="BK122" s="1188"/>
      <c r="BL122" s="1188"/>
      <c r="BM122" s="1188"/>
      <c r="BN122" s="1188">
        <f>I122/25</f>
        <v>104</v>
      </c>
      <c r="BO122" s="1240"/>
      <c r="BP122" s="1240"/>
      <c r="BQ122" s="1188"/>
      <c r="BR122" s="1236"/>
      <c r="BS122" s="1188"/>
      <c r="BT122" s="1188"/>
      <c r="BU122" s="1188"/>
      <c r="BV122" s="1240"/>
      <c r="BW122" s="1188"/>
      <c r="BX122" s="1188"/>
      <c r="BY122" s="1188"/>
      <c r="BZ122" s="1188"/>
      <c r="CA122" s="1188"/>
      <c r="CB122" s="1188"/>
      <c r="CC122" s="1188"/>
      <c r="CD122" s="1188">
        <f t="shared" si="23"/>
        <v>104</v>
      </c>
      <c r="CE122" s="1188">
        <f t="shared" si="24"/>
        <v>0</v>
      </c>
      <c r="CF122" s="1188">
        <f t="shared" si="25"/>
        <v>0</v>
      </c>
      <c r="CG122" s="1188">
        <f t="shared" si="26"/>
        <v>0</v>
      </c>
      <c r="CH122" s="1236"/>
      <c r="CI122" s="1236"/>
      <c r="CJ122" s="1236"/>
      <c r="CK122" s="1188"/>
      <c r="CL122" s="1188"/>
    </row>
    <row r="123" s="1168" customFormat="1" customHeight="1" spans="1:111">
      <c r="A123" s="1245">
        <v>46093</v>
      </c>
      <c r="B123" s="1247" t="s">
        <v>499</v>
      </c>
      <c r="C123" s="1234" t="s">
        <v>115</v>
      </c>
      <c r="D123" s="1188">
        <v>4500196506</v>
      </c>
      <c r="E123" s="1233">
        <v>980444089</v>
      </c>
      <c r="F123" s="1188" t="s">
        <v>677</v>
      </c>
      <c r="G123" s="1253" t="s">
        <v>380</v>
      </c>
      <c r="H123" s="1234" t="s">
        <v>381</v>
      </c>
      <c r="I123" s="1254">
        <v>15936</v>
      </c>
      <c r="J123" s="1234">
        <v>0</v>
      </c>
      <c r="K123" s="1234">
        <v>16</v>
      </c>
      <c r="L123" s="1246">
        <f t="shared" si="33"/>
        <v>996</v>
      </c>
      <c r="M123" s="1255">
        <v>46167</v>
      </c>
      <c r="N123" s="1255">
        <v>46163</v>
      </c>
      <c r="O123" s="1255"/>
      <c r="P123" s="1233" t="s">
        <v>678</v>
      </c>
      <c r="Q123" s="1233" t="s">
        <v>106</v>
      </c>
      <c r="R123" s="1234"/>
      <c r="S123" s="1234"/>
      <c r="T123" s="1233">
        <v>15936</v>
      </c>
      <c r="U123" s="1233">
        <f t="shared" si="27"/>
        <v>0</v>
      </c>
      <c r="V123" s="1234"/>
      <c r="W123" s="1256">
        <v>46099</v>
      </c>
      <c r="X123" s="1257" t="s">
        <v>95</v>
      </c>
      <c r="Y123" s="1257" t="s">
        <v>352</v>
      </c>
      <c r="Z123" s="1247"/>
      <c r="AA123" s="1247"/>
      <c r="AB123" s="1247"/>
      <c r="AC123" s="1247" t="s">
        <v>502</v>
      </c>
      <c r="AD123" s="1255" t="s">
        <v>503</v>
      </c>
      <c r="AE123" s="1267">
        <v>0.78</v>
      </c>
      <c r="AF123" s="1248">
        <f>AE123*I123</f>
        <v>12430.08</v>
      </c>
      <c r="AG123" s="1249" t="s">
        <v>679</v>
      </c>
      <c r="AH123" s="1234" t="s">
        <v>380</v>
      </c>
      <c r="AI123" s="1234" t="s">
        <v>112</v>
      </c>
      <c r="AJ123" s="1234" t="s">
        <v>113</v>
      </c>
      <c r="AK123" s="1188">
        <f t="shared" si="38"/>
        <v>15936</v>
      </c>
      <c r="AL123" s="1188"/>
      <c r="AM123" s="1188"/>
      <c r="AN123" s="1188">
        <f t="shared" si="41"/>
        <v>15936</v>
      </c>
      <c r="AO123" s="1188"/>
      <c r="AP123" s="1188"/>
      <c r="AQ123" s="1240"/>
      <c r="AR123" s="1188"/>
      <c r="AS123" s="1236"/>
      <c r="AT123" s="1236"/>
      <c r="AU123" s="1188">
        <f t="shared" si="39"/>
        <v>15936</v>
      </c>
      <c r="AV123" s="1250">
        <f t="shared" si="40"/>
        <v>956.16</v>
      </c>
      <c r="AW123" s="1250"/>
      <c r="AX123" s="1188"/>
      <c r="AY123" s="1188"/>
      <c r="AZ123" s="1188"/>
      <c r="BA123" s="1188"/>
      <c r="BB123" s="1188"/>
      <c r="BC123" s="1188"/>
      <c r="BD123" s="1188"/>
      <c r="BE123" s="1188"/>
      <c r="BF123" s="1188"/>
      <c r="BG123" s="1188"/>
      <c r="BH123" s="1188"/>
      <c r="BI123" s="1188"/>
      <c r="BJ123" s="1188"/>
      <c r="BK123" s="1188"/>
      <c r="BL123" s="1188"/>
      <c r="BM123" s="1188"/>
      <c r="BN123" s="1188"/>
      <c r="BO123" s="1240"/>
      <c r="BP123" s="1240"/>
      <c r="BQ123" s="1188"/>
      <c r="BR123" s="1236">
        <f>I123/16</f>
        <v>996</v>
      </c>
      <c r="BS123" s="1188"/>
      <c r="BT123" s="1188"/>
      <c r="BU123" s="1188"/>
      <c r="BV123" s="1240"/>
      <c r="BW123" s="1188"/>
      <c r="BX123" s="1188"/>
      <c r="BY123" s="1188"/>
      <c r="BZ123" s="1188"/>
      <c r="CA123" s="1188"/>
      <c r="CB123" s="1188"/>
      <c r="CC123" s="1188"/>
      <c r="CD123" s="1188">
        <f t="shared" si="23"/>
        <v>996</v>
      </c>
      <c r="CE123" s="1188">
        <f t="shared" si="24"/>
        <v>0</v>
      </c>
      <c r="CF123" s="1188">
        <f t="shared" si="25"/>
        <v>0</v>
      </c>
      <c r="CG123" s="1188">
        <f t="shared" si="26"/>
        <v>0</v>
      </c>
      <c r="CH123" s="1236"/>
      <c r="CI123" s="1236"/>
      <c r="CJ123" s="1236"/>
      <c r="CK123" s="1188"/>
      <c r="CL123" s="1188"/>
    </row>
    <row r="124" s="1168" customFormat="1" customHeight="1" spans="1:111">
      <c r="A124" s="1245">
        <v>46106</v>
      </c>
      <c r="B124" s="1247" t="s">
        <v>346</v>
      </c>
      <c r="C124" s="1234" t="s">
        <v>115</v>
      </c>
      <c r="D124" s="1188">
        <v>4500197368</v>
      </c>
      <c r="E124" s="1890" t="s">
        <v>680</v>
      </c>
      <c r="F124" s="1188" t="s">
        <v>681</v>
      </c>
      <c r="G124" s="1253" t="s">
        <v>349</v>
      </c>
      <c r="H124" s="1234" t="s">
        <v>350</v>
      </c>
      <c r="I124" s="1254">
        <v>14400</v>
      </c>
      <c r="J124" s="1234">
        <v>0</v>
      </c>
      <c r="K124" s="1234">
        <v>960</v>
      </c>
      <c r="L124" s="1246">
        <f t="shared" si="33"/>
        <v>15</v>
      </c>
      <c r="M124" s="1255">
        <v>46167</v>
      </c>
      <c r="N124" s="1255">
        <v>46163</v>
      </c>
      <c r="O124" s="1255"/>
      <c r="P124" s="1233" t="s">
        <v>682</v>
      </c>
      <c r="Q124" s="1233" t="s">
        <v>106</v>
      </c>
      <c r="R124" s="1234"/>
      <c r="S124" s="1234"/>
      <c r="T124" s="1233">
        <v>14400</v>
      </c>
      <c r="U124" s="1233">
        <f t="shared" si="27"/>
        <v>0</v>
      </c>
      <c r="V124" s="1234"/>
      <c r="W124" s="1256" t="s">
        <v>459</v>
      </c>
      <c r="X124" s="1257" t="s">
        <v>95</v>
      </c>
      <c r="Y124" s="1257" t="s">
        <v>620</v>
      </c>
      <c r="Z124" s="1247"/>
      <c r="AA124" s="1247"/>
      <c r="AB124" s="1247"/>
      <c r="AC124" s="1247" t="s">
        <v>517</v>
      </c>
      <c r="AD124" s="1255" t="s">
        <v>354</v>
      </c>
      <c r="AE124" s="1188">
        <v>645.144</v>
      </c>
      <c r="AF124" s="1248">
        <f>AE124*L124</f>
        <v>9677.16</v>
      </c>
      <c r="AG124" s="1249" t="s">
        <v>683</v>
      </c>
      <c r="AH124" s="1234" t="s">
        <v>356</v>
      </c>
      <c r="AI124" s="1234" t="s">
        <v>112</v>
      </c>
      <c r="AJ124" s="1234" t="s">
        <v>113</v>
      </c>
      <c r="AK124" s="1188">
        <f t="shared" si="38"/>
        <v>14400</v>
      </c>
      <c r="AL124" s="1188"/>
      <c r="AM124" s="1188"/>
      <c r="AN124" s="1188">
        <f t="shared" si="41"/>
        <v>14400</v>
      </c>
      <c r="AO124" s="1188"/>
      <c r="AP124" s="1188"/>
      <c r="AQ124" s="1240"/>
      <c r="AR124" s="1188"/>
      <c r="AS124" s="1236"/>
      <c r="AT124" s="1236"/>
      <c r="AU124" s="1188">
        <f t="shared" si="39"/>
        <v>14400</v>
      </c>
      <c r="AV124" s="1250">
        <f t="shared" si="40"/>
        <v>864</v>
      </c>
      <c r="AW124" s="1250"/>
      <c r="AX124" s="1188"/>
      <c r="AY124" s="1188"/>
      <c r="AZ124" s="1188"/>
      <c r="BA124" s="1188"/>
      <c r="BB124" s="1188"/>
      <c r="BC124" s="1188"/>
      <c r="BD124" s="1188"/>
      <c r="BE124" s="1188"/>
      <c r="BF124" s="1188"/>
      <c r="BG124" s="1188"/>
      <c r="BH124" s="1188"/>
      <c r="BI124" s="1188"/>
      <c r="BJ124" s="1188"/>
      <c r="BK124" s="1188"/>
      <c r="BL124" s="1188"/>
      <c r="BM124" s="1188"/>
      <c r="BN124" s="1188"/>
      <c r="BO124" s="1240"/>
      <c r="BP124" s="1240"/>
      <c r="BQ124" s="1188"/>
      <c r="BR124" s="1236">
        <f>I124/16</f>
        <v>900</v>
      </c>
      <c r="BS124" s="1188"/>
      <c r="BT124" s="1188"/>
      <c r="BU124" s="1188"/>
      <c r="BV124" s="1240"/>
      <c r="BW124" s="1188"/>
      <c r="BX124" s="1188"/>
      <c r="BY124" s="1188"/>
      <c r="BZ124" s="1188"/>
      <c r="CA124" s="1188"/>
      <c r="CB124" s="1188"/>
      <c r="CC124" s="1188"/>
      <c r="CD124" s="1188">
        <f t="shared" si="23"/>
        <v>900</v>
      </c>
      <c r="CE124" s="1188">
        <f t="shared" si="24"/>
        <v>0</v>
      </c>
      <c r="CF124" s="1188">
        <f t="shared" si="25"/>
        <v>0</v>
      </c>
      <c r="CG124" s="1188">
        <f t="shared" si="26"/>
        <v>0</v>
      </c>
      <c r="CH124" s="1236"/>
      <c r="CI124" s="1236"/>
      <c r="CJ124" s="1236"/>
      <c r="CK124" s="1188"/>
      <c r="CL124" s="1188"/>
    </row>
    <row r="125" s="1168" customFormat="1" customHeight="1" spans="1:111">
      <c r="A125" s="1245">
        <v>46103</v>
      </c>
      <c r="B125" s="1247" t="s">
        <v>521</v>
      </c>
      <c r="C125" s="1234" t="s">
        <v>101</v>
      </c>
      <c r="D125" s="1188">
        <v>4500198000</v>
      </c>
      <c r="E125" s="1234">
        <v>21605189</v>
      </c>
      <c r="F125" s="1188" t="s">
        <v>684</v>
      </c>
      <c r="G125" s="1253" t="s">
        <v>685</v>
      </c>
      <c r="H125" s="1234" t="s">
        <v>194</v>
      </c>
      <c r="I125" s="1254">
        <v>962</v>
      </c>
      <c r="J125" s="1234">
        <v>0</v>
      </c>
      <c r="K125" s="1234">
        <v>13</v>
      </c>
      <c r="L125" s="1246">
        <f t="shared" si="33"/>
        <v>74</v>
      </c>
      <c r="M125" s="1255">
        <v>46167</v>
      </c>
      <c r="N125" s="1255">
        <v>46163</v>
      </c>
      <c r="O125" s="1255"/>
      <c r="P125" s="1233"/>
      <c r="Q125" s="1233" t="s">
        <v>106</v>
      </c>
      <c r="R125" s="1234"/>
      <c r="S125" s="1234"/>
      <c r="T125" s="1233">
        <v>962</v>
      </c>
      <c r="U125" s="1233">
        <f t="shared" si="27"/>
        <v>0</v>
      </c>
      <c r="V125" s="1234"/>
      <c r="W125" s="1256">
        <v>46138</v>
      </c>
      <c r="X125" s="1257" t="s">
        <v>107</v>
      </c>
      <c r="Y125" s="1257" t="s">
        <v>686</v>
      </c>
      <c r="Z125" s="1247" t="s">
        <v>360</v>
      </c>
      <c r="AA125" s="1247"/>
      <c r="AB125" s="1247" t="s">
        <v>687</v>
      </c>
      <c r="AC125" s="1247" t="s">
        <v>688</v>
      </c>
      <c r="AD125" s="1255" t="s">
        <v>362</v>
      </c>
      <c r="AE125" s="1267">
        <v>1.2</v>
      </c>
      <c r="AF125" s="1248">
        <f>I125*AE125</f>
        <v>1154.4</v>
      </c>
      <c r="AG125" s="1258"/>
      <c r="AH125" s="1234" t="s">
        <v>289</v>
      </c>
      <c r="AI125" s="1234" t="s">
        <v>112</v>
      </c>
      <c r="AJ125" s="1234" t="s">
        <v>113</v>
      </c>
      <c r="AK125" s="1188">
        <f t="shared" si="38"/>
        <v>962</v>
      </c>
      <c r="AL125" s="1188"/>
      <c r="AM125" s="1188"/>
      <c r="AN125" s="1188">
        <f t="shared" si="41"/>
        <v>962</v>
      </c>
      <c r="AO125" s="1188"/>
      <c r="AP125" s="1188"/>
      <c r="AQ125" s="1240"/>
      <c r="AR125" s="1188"/>
      <c r="AS125" s="1236"/>
      <c r="AT125" s="1236"/>
      <c r="AU125" s="1188">
        <f t="shared" si="39"/>
        <v>962</v>
      </c>
      <c r="AV125" s="1250">
        <f t="shared" si="40"/>
        <v>57.72</v>
      </c>
      <c r="AW125" s="1250"/>
      <c r="AX125" s="1188"/>
      <c r="AY125" s="1188"/>
      <c r="AZ125" s="1188"/>
      <c r="BA125" s="1188"/>
      <c r="BB125" s="1188"/>
      <c r="BC125" s="1188"/>
      <c r="BD125" s="1188"/>
      <c r="BE125" s="1188"/>
      <c r="BF125" s="1188"/>
      <c r="BG125" s="1188"/>
      <c r="BH125" s="1188"/>
      <c r="BI125" s="1188"/>
      <c r="BJ125" s="1188"/>
      <c r="BK125" s="1188">
        <f>I125/13</f>
        <v>74</v>
      </c>
      <c r="BL125" s="1188"/>
      <c r="BM125" s="1188"/>
      <c r="BN125" s="1188"/>
      <c r="BO125" s="1240"/>
      <c r="BP125" s="1240"/>
      <c r="BQ125" s="1188"/>
      <c r="BR125" s="1236"/>
      <c r="BS125" s="1188"/>
      <c r="BT125" s="1188"/>
      <c r="BU125" s="1188"/>
      <c r="BV125" s="1240"/>
      <c r="BW125" s="1188"/>
      <c r="BX125" s="1188"/>
      <c r="BY125" s="1188"/>
      <c r="BZ125" s="1188"/>
      <c r="CA125" s="1188"/>
      <c r="CB125" s="1188"/>
      <c r="CC125" s="1188"/>
      <c r="CD125" s="1188">
        <f t="shared" si="23"/>
        <v>0</v>
      </c>
      <c r="CE125" s="1188">
        <f t="shared" si="24"/>
        <v>0</v>
      </c>
      <c r="CF125" s="1188">
        <f t="shared" si="25"/>
        <v>0</v>
      </c>
      <c r="CG125" s="1188">
        <f t="shared" si="26"/>
        <v>0</v>
      </c>
      <c r="CH125" s="1236"/>
      <c r="CI125" s="1236"/>
      <c r="CJ125" s="1236"/>
      <c r="CK125" s="1188"/>
      <c r="CL125" s="1188"/>
    </row>
    <row r="126" s="1168" customFormat="1" customHeight="1" spans="1:111">
      <c r="A126" s="1245">
        <v>46103</v>
      </c>
      <c r="B126" s="1247" t="s">
        <v>525</v>
      </c>
      <c r="C126" s="1234" t="s">
        <v>508</v>
      </c>
      <c r="D126" s="1188">
        <v>4500197999</v>
      </c>
      <c r="E126" s="1234">
        <v>21605182</v>
      </c>
      <c r="F126" s="1188" t="s">
        <v>689</v>
      </c>
      <c r="G126" s="1253" t="s">
        <v>685</v>
      </c>
      <c r="H126" s="1234" t="s">
        <v>194</v>
      </c>
      <c r="I126" s="1254">
        <v>14638</v>
      </c>
      <c r="J126" s="1234">
        <v>0</v>
      </c>
      <c r="K126" s="1234">
        <v>13</v>
      </c>
      <c r="L126" s="1246">
        <f t="shared" si="33"/>
        <v>1126</v>
      </c>
      <c r="M126" s="1255">
        <v>46167</v>
      </c>
      <c r="N126" s="1255">
        <v>46163</v>
      </c>
      <c r="O126" s="1255"/>
      <c r="P126" s="1233"/>
      <c r="Q126" s="1233" t="s">
        <v>106</v>
      </c>
      <c r="R126" s="1234"/>
      <c r="S126" s="1234"/>
      <c r="T126" s="1233">
        <v>14638</v>
      </c>
      <c r="U126" s="1233">
        <f t="shared" si="27"/>
        <v>0</v>
      </c>
      <c r="V126" s="1234"/>
      <c r="W126" s="1256">
        <v>46138</v>
      </c>
      <c r="X126" s="1257" t="s">
        <v>107</v>
      </c>
      <c r="Y126" s="1257" t="s">
        <v>686</v>
      </c>
      <c r="Z126" s="1247" t="s">
        <v>360</v>
      </c>
      <c r="AA126" s="1247"/>
      <c r="AB126" s="1247"/>
      <c r="AC126" s="1247" t="s">
        <v>690</v>
      </c>
      <c r="AD126" s="1255" t="s">
        <v>362</v>
      </c>
      <c r="AE126" s="1267">
        <v>1.2</v>
      </c>
      <c r="AF126" s="1248">
        <f>I126*AE126</f>
        <v>17565.6</v>
      </c>
      <c r="AG126" s="1258"/>
      <c r="AH126" s="1234" t="s">
        <v>289</v>
      </c>
      <c r="AI126" s="1234" t="s">
        <v>112</v>
      </c>
      <c r="AJ126" s="1234" t="s">
        <v>113</v>
      </c>
      <c r="AK126" s="1188">
        <f t="shared" si="38"/>
        <v>14638</v>
      </c>
      <c r="AL126" s="1188"/>
      <c r="AM126" s="1188"/>
      <c r="AN126" s="1188">
        <f t="shared" si="41"/>
        <v>14638</v>
      </c>
      <c r="AO126" s="1188"/>
      <c r="AP126" s="1188"/>
      <c r="AQ126" s="1240"/>
      <c r="AR126" s="1188"/>
      <c r="AS126" s="1236"/>
      <c r="AT126" s="1236"/>
      <c r="AU126" s="1188">
        <f t="shared" si="39"/>
        <v>14638</v>
      </c>
      <c r="AV126" s="1250">
        <f t="shared" si="40"/>
        <v>878.28</v>
      </c>
      <c r="AW126" s="1250"/>
      <c r="AX126" s="1188"/>
      <c r="AY126" s="1188"/>
      <c r="AZ126" s="1188"/>
      <c r="BA126" s="1188"/>
      <c r="BB126" s="1188"/>
      <c r="BC126" s="1188"/>
      <c r="BD126" s="1188"/>
      <c r="BE126" s="1188"/>
      <c r="BF126" s="1188"/>
      <c r="BG126" s="1188"/>
      <c r="BH126" s="1188"/>
      <c r="BI126" s="1188"/>
      <c r="BJ126" s="1188"/>
      <c r="BK126" s="1188">
        <f>I126/13</f>
        <v>1126</v>
      </c>
      <c r="BL126" s="1188"/>
      <c r="BM126" s="1188"/>
      <c r="BN126" s="1188"/>
      <c r="BO126" s="1240"/>
      <c r="BP126" s="1240"/>
      <c r="BQ126" s="1188"/>
      <c r="BR126" s="1236"/>
      <c r="BS126" s="1188"/>
      <c r="BT126" s="1188"/>
      <c r="BU126" s="1188"/>
      <c r="BV126" s="1240"/>
      <c r="BW126" s="1188"/>
      <c r="BX126" s="1188"/>
      <c r="BY126" s="1188"/>
      <c r="BZ126" s="1188"/>
      <c r="CA126" s="1188"/>
      <c r="CB126" s="1188"/>
      <c r="CC126" s="1188"/>
      <c r="CD126" s="1188">
        <f t="shared" si="23"/>
        <v>0</v>
      </c>
      <c r="CE126" s="1188">
        <f t="shared" si="24"/>
        <v>0</v>
      </c>
      <c r="CF126" s="1188">
        <f t="shared" si="25"/>
        <v>0</v>
      </c>
      <c r="CG126" s="1188">
        <f t="shared" si="26"/>
        <v>0</v>
      </c>
      <c r="CH126" s="1236"/>
      <c r="CI126" s="1236"/>
      <c r="CJ126" s="1236"/>
      <c r="CK126" s="1188"/>
      <c r="CL126" s="1188"/>
    </row>
    <row r="127" s="1168" customFormat="1" customHeight="1" spans="1:111">
      <c r="A127" s="1245">
        <v>46093</v>
      </c>
      <c r="B127" s="1247" t="s">
        <v>499</v>
      </c>
      <c r="C127" s="1234" t="s">
        <v>115</v>
      </c>
      <c r="D127" s="1188">
        <v>4500196506</v>
      </c>
      <c r="E127" s="1233">
        <v>980444115</v>
      </c>
      <c r="F127" s="1188" t="s">
        <v>691</v>
      </c>
      <c r="G127" s="1253" t="s">
        <v>380</v>
      </c>
      <c r="H127" s="1234" t="s">
        <v>381</v>
      </c>
      <c r="I127" s="1254">
        <v>16704</v>
      </c>
      <c r="J127" s="1234">
        <v>0</v>
      </c>
      <c r="K127" s="1234">
        <v>16</v>
      </c>
      <c r="L127" s="1246">
        <f t="shared" si="33"/>
        <v>1044</v>
      </c>
      <c r="M127" s="1255">
        <v>46167</v>
      </c>
      <c r="N127" s="1255">
        <v>46163</v>
      </c>
      <c r="O127" s="1255"/>
      <c r="P127" s="1233" t="s">
        <v>678</v>
      </c>
      <c r="Q127" s="1233" t="s">
        <v>106</v>
      </c>
      <c r="R127" s="1234"/>
      <c r="S127" s="1234"/>
      <c r="T127" s="1233">
        <v>16704</v>
      </c>
      <c r="U127" s="1233">
        <f t="shared" si="27"/>
        <v>0</v>
      </c>
      <c r="V127" s="1234"/>
      <c r="W127" s="1256">
        <v>46099</v>
      </c>
      <c r="X127" s="1257" t="s">
        <v>95</v>
      </c>
      <c r="Y127" s="1257" t="s">
        <v>352</v>
      </c>
      <c r="Z127" s="1247"/>
      <c r="AA127" s="1247"/>
      <c r="AB127" s="1247"/>
      <c r="AC127" s="1247" t="s">
        <v>502</v>
      </c>
      <c r="AD127" s="1255" t="s">
        <v>503</v>
      </c>
      <c r="AE127" s="1267">
        <v>0.78</v>
      </c>
      <c r="AF127" s="1248">
        <f>AE127*I127</f>
        <v>13029.12</v>
      </c>
      <c r="AG127" s="1249" t="s">
        <v>692</v>
      </c>
      <c r="AH127" s="1234" t="s">
        <v>380</v>
      </c>
      <c r="AI127" s="1234" t="s">
        <v>112</v>
      </c>
      <c r="AJ127" s="1234" t="s">
        <v>113</v>
      </c>
      <c r="AK127" s="1188">
        <f t="shared" si="38"/>
        <v>16704</v>
      </c>
      <c r="AL127" s="1188"/>
      <c r="AM127" s="1188"/>
      <c r="AN127" s="1188">
        <f t="shared" si="41"/>
        <v>16704</v>
      </c>
      <c r="AO127" s="1188"/>
      <c r="AP127" s="1188"/>
      <c r="AQ127" s="1240"/>
      <c r="AR127" s="1188"/>
      <c r="AS127" s="1236"/>
      <c r="AT127" s="1236"/>
      <c r="AU127" s="1188">
        <f t="shared" si="39"/>
        <v>16704</v>
      </c>
      <c r="AV127" s="1250">
        <f t="shared" si="40"/>
        <v>1002.24</v>
      </c>
      <c r="AW127" s="1250"/>
      <c r="AX127" s="1188"/>
      <c r="AY127" s="1188"/>
      <c r="AZ127" s="1188"/>
      <c r="BA127" s="1188"/>
      <c r="BB127" s="1188"/>
      <c r="BC127" s="1188"/>
      <c r="BD127" s="1188"/>
      <c r="BE127" s="1188"/>
      <c r="BF127" s="1188"/>
      <c r="BG127" s="1188"/>
      <c r="BH127" s="1188"/>
      <c r="BI127" s="1188"/>
      <c r="BJ127" s="1188"/>
      <c r="BK127" s="1188"/>
      <c r="BL127" s="1188"/>
      <c r="BM127" s="1188"/>
      <c r="BN127" s="1188"/>
      <c r="BO127" s="1240"/>
      <c r="BP127" s="1240"/>
      <c r="BQ127" s="1188"/>
      <c r="BR127" s="1236">
        <f>I127/16</f>
        <v>1044</v>
      </c>
      <c r="BS127" s="1188"/>
      <c r="BT127" s="1188"/>
      <c r="BU127" s="1188"/>
      <c r="BV127" s="1240"/>
      <c r="BW127" s="1188"/>
      <c r="BX127" s="1188"/>
      <c r="BY127" s="1188"/>
      <c r="BZ127" s="1188"/>
      <c r="CA127" s="1188"/>
      <c r="CB127" s="1188"/>
      <c r="CC127" s="1188"/>
      <c r="CD127" s="1188">
        <f t="shared" si="23"/>
        <v>1044</v>
      </c>
      <c r="CE127" s="1188">
        <f t="shared" si="24"/>
        <v>0</v>
      </c>
      <c r="CF127" s="1188">
        <f t="shared" si="25"/>
        <v>0</v>
      </c>
      <c r="CG127" s="1188">
        <f t="shared" si="26"/>
        <v>0</v>
      </c>
      <c r="CH127" s="1236"/>
      <c r="CI127" s="1236"/>
      <c r="CJ127" s="1236"/>
      <c r="CK127" s="1188"/>
      <c r="CL127" s="1188"/>
    </row>
    <row r="128" s="1168" customFormat="1" customHeight="1" spans="1:111">
      <c r="A128" s="1245">
        <v>46084</v>
      </c>
      <c r="B128" s="1247" t="s">
        <v>480</v>
      </c>
      <c r="C128" s="1234" t="s">
        <v>115</v>
      </c>
      <c r="D128" s="1188">
        <v>4500194943</v>
      </c>
      <c r="E128" s="1233">
        <v>1710512325</v>
      </c>
      <c r="F128" s="1188" t="s">
        <v>693</v>
      </c>
      <c r="G128" s="1253" t="s">
        <v>482</v>
      </c>
      <c r="H128" s="1234" t="s">
        <v>483</v>
      </c>
      <c r="I128" s="1254">
        <v>4320</v>
      </c>
      <c r="J128" s="1234">
        <v>0</v>
      </c>
      <c r="K128" s="1234">
        <v>120</v>
      </c>
      <c r="L128" s="1246">
        <f t="shared" si="33"/>
        <v>36</v>
      </c>
      <c r="M128" s="1255">
        <v>46167</v>
      </c>
      <c r="N128" s="1255">
        <v>46163</v>
      </c>
      <c r="O128" s="1255"/>
      <c r="P128" s="1233"/>
      <c r="Q128" s="1233" t="s">
        <v>106</v>
      </c>
      <c r="R128" s="1234" t="s">
        <v>485</v>
      </c>
      <c r="S128" s="1234"/>
      <c r="T128" s="715">
        <v>4320</v>
      </c>
      <c r="U128" s="1233">
        <f t="shared" si="27"/>
        <v>0</v>
      </c>
      <c r="V128" s="1234"/>
      <c r="W128" s="1256">
        <v>46155</v>
      </c>
      <c r="X128" s="1257" t="s">
        <v>107</v>
      </c>
      <c r="Y128" s="1257" t="s">
        <v>95</v>
      </c>
      <c r="Z128" s="1247"/>
      <c r="AA128" s="1247"/>
      <c r="AB128" s="1247"/>
      <c r="AC128" s="1247" t="s">
        <v>636</v>
      </c>
      <c r="AD128" s="1255" t="s">
        <v>488</v>
      </c>
      <c r="AE128" s="1188">
        <v>642</v>
      </c>
      <c r="AF128" s="1248">
        <f>L128*AE128</f>
        <v>23112</v>
      </c>
      <c r="AG128" s="1249" t="s">
        <v>694</v>
      </c>
      <c r="AH128" s="1234" t="s">
        <v>490</v>
      </c>
      <c r="AI128" s="1234" t="s">
        <v>112</v>
      </c>
      <c r="AJ128" s="1234" t="s">
        <v>113</v>
      </c>
      <c r="AK128" s="1188"/>
      <c r="AL128" s="1188">
        <f>I128*3</f>
        <v>12960</v>
      </c>
      <c r="AM128" s="1188"/>
      <c r="AN128" s="1188"/>
      <c r="AO128" s="1188"/>
      <c r="AP128" s="1188"/>
      <c r="AQ128" s="1240"/>
      <c r="AR128" s="1188"/>
      <c r="AS128" s="1236"/>
      <c r="AT128" s="1236"/>
      <c r="AU128" s="1188"/>
      <c r="AV128" s="1250">
        <f>I128*0.06*2</f>
        <v>518.4</v>
      </c>
      <c r="AW128" s="1250"/>
      <c r="AX128" s="1188"/>
      <c r="AY128" s="1188"/>
      <c r="AZ128" s="1188"/>
      <c r="BA128" s="1188"/>
      <c r="BB128" s="1188">
        <f>I128*3</f>
        <v>12960</v>
      </c>
      <c r="BC128" s="1188">
        <f>I128*3</f>
        <v>12960</v>
      </c>
      <c r="BD128" s="1188">
        <f>I128*3</f>
        <v>12960</v>
      </c>
      <c r="BE128" s="1188">
        <f>I128</f>
        <v>4320</v>
      </c>
      <c r="BF128" s="1188">
        <f>I128/6</f>
        <v>720</v>
      </c>
      <c r="BG128" s="1188"/>
      <c r="BH128" s="1188"/>
      <c r="BI128" s="1188"/>
      <c r="BJ128" s="1188"/>
      <c r="BK128" s="1188"/>
      <c r="BL128" s="1188"/>
      <c r="BM128" s="1188"/>
      <c r="BN128" s="1188"/>
      <c r="BO128" s="1240"/>
      <c r="BP128" s="1240"/>
      <c r="BQ128" s="1188"/>
      <c r="BR128" s="1236"/>
      <c r="BS128" s="1188"/>
      <c r="BT128" s="1188"/>
      <c r="BU128" s="1188"/>
      <c r="BV128" s="1240"/>
      <c r="BW128" s="1188"/>
      <c r="BX128" s="1188"/>
      <c r="BY128" s="1188"/>
      <c r="BZ128" s="1188"/>
      <c r="CA128" s="1188"/>
      <c r="CB128" s="1188"/>
      <c r="CC128" s="1188"/>
      <c r="CD128" s="1188">
        <f t="shared" ref="CD128:CD191" si="42">BN128+BO128+BQ128+BS128+BR128</f>
        <v>0</v>
      </c>
      <c r="CE128" s="1188">
        <f t="shared" ref="CE128:CE191" si="43">BU128</f>
        <v>0</v>
      </c>
      <c r="CF128" s="1188">
        <f t="shared" ref="CF128:CF191" si="44">CC128</f>
        <v>0</v>
      </c>
      <c r="CG128" s="1188">
        <f t="shared" ref="CG128:CG191" si="45">BV128+BW128+BX128</f>
        <v>0</v>
      </c>
      <c r="CH128" s="1236"/>
      <c r="CI128" s="1236"/>
      <c r="CJ128" s="1236"/>
      <c r="CK128" s="1188"/>
      <c r="CL128" s="1188"/>
    </row>
    <row r="129" s="1168" customFormat="1" customHeight="1" spans="1:90">
      <c r="A129" s="1245">
        <v>46106</v>
      </c>
      <c r="B129" s="1247" t="s">
        <v>346</v>
      </c>
      <c r="C129" s="1234" t="s">
        <v>115</v>
      </c>
      <c r="D129" s="1188">
        <v>4500197363</v>
      </c>
      <c r="E129" s="1890" t="s">
        <v>695</v>
      </c>
      <c r="F129" s="1188" t="s">
        <v>696</v>
      </c>
      <c r="G129" s="1253" t="s">
        <v>349</v>
      </c>
      <c r="H129" s="1234" t="s">
        <v>350</v>
      </c>
      <c r="I129" s="1254">
        <v>6720</v>
      </c>
      <c r="J129" s="1234">
        <v>0</v>
      </c>
      <c r="K129" s="1234">
        <v>960</v>
      </c>
      <c r="L129" s="1246">
        <f t="shared" si="33"/>
        <v>7</v>
      </c>
      <c r="M129" s="1255">
        <v>46167</v>
      </c>
      <c r="N129" s="1255">
        <v>46163</v>
      </c>
      <c r="O129" s="1255"/>
      <c r="P129" s="1233" t="s">
        <v>678</v>
      </c>
      <c r="Q129" s="1233" t="s">
        <v>106</v>
      </c>
      <c r="R129" s="1234"/>
      <c r="S129" s="1234"/>
      <c r="T129" s="1233">
        <v>6720</v>
      </c>
      <c r="U129" s="1233">
        <f t="shared" si="27"/>
        <v>0</v>
      </c>
      <c r="V129" s="1234"/>
      <c r="W129" s="1256" t="s">
        <v>459</v>
      </c>
      <c r="X129" s="1257" t="s">
        <v>95</v>
      </c>
      <c r="Y129" s="1257" t="s">
        <v>620</v>
      </c>
      <c r="Z129" s="1247"/>
      <c r="AA129" s="1247"/>
      <c r="AB129" s="1247"/>
      <c r="AC129" s="1247" t="s">
        <v>517</v>
      </c>
      <c r="AD129" s="1255" t="s">
        <v>354</v>
      </c>
      <c r="AE129" s="1188">
        <v>645.1443</v>
      </c>
      <c r="AF129" s="1248">
        <f>AE129*L129</f>
        <v>4516.0101</v>
      </c>
      <c r="AG129" s="1249" t="s">
        <v>697</v>
      </c>
      <c r="AH129" s="1234" t="s">
        <v>356</v>
      </c>
      <c r="AI129" s="1234" t="s">
        <v>112</v>
      </c>
      <c r="AJ129" s="1234" t="s">
        <v>113</v>
      </c>
      <c r="AK129" s="1188">
        <f>I129</f>
        <v>6720</v>
      </c>
      <c r="AL129" s="1188"/>
      <c r="AM129" s="1188"/>
      <c r="AN129" s="1188">
        <f>I129</f>
        <v>6720</v>
      </c>
      <c r="AO129" s="1188"/>
      <c r="AP129" s="1188"/>
      <c r="AQ129" s="1240"/>
      <c r="AR129" s="1188"/>
      <c r="AS129" s="1236"/>
      <c r="AT129" s="1236"/>
      <c r="AU129" s="1188">
        <f>I129</f>
        <v>6720</v>
      </c>
      <c r="AV129" s="1250">
        <f>I129*0.06</f>
        <v>403.2</v>
      </c>
      <c r="AW129" s="1250"/>
      <c r="AX129" s="1188"/>
      <c r="AY129" s="1188"/>
      <c r="AZ129" s="1188"/>
      <c r="BA129" s="1188"/>
      <c r="BB129" s="1188"/>
      <c r="BC129" s="1188"/>
      <c r="BD129" s="1188"/>
      <c r="BE129" s="1188"/>
      <c r="BF129" s="1188"/>
      <c r="BG129" s="1188"/>
      <c r="BH129" s="1188"/>
      <c r="BI129" s="1188"/>
      <c r="BJ129" s="1188"/>
      <c r="BK129" s="1188"/>
      <c r="BL129" s="1188"/>
      <c r="BM129" s="1188"/>
      <c r="BN129" s="1188"/>
      <c r="BO129" s="1240"/>
      <c r="BP129" s="1240"/>
      <c r="BQ129" s="1188"/>
      <c r="BR129" s="1236">
        <f>I129/16</f>
        <v>420</v>
      </c>
      <c r="BS129" s="1188"/>
      <c r="BT129" s="1188"/>
      <c r="BU129" s="1188"/>
      <c r="BV129" s="1240"/>
      <c r="BW129" s="1188"/>
      <c r="BX129" s="1188"/>
      <c r="BY129" s="1188"/>
      <c r="BZ129" s="1188"/>
      <c r="CA129" s="1188"/>
      <c r="CB129" s="1188"/>
      <c r="CC129" s="1188"/>
      <c r="CD129" s="1188">
        <f t="shared" si="42"/>
        <v>420</v>
      </c>
      <c r="CE129" s="1188">
        <f t="shared" si="43"/>
        <v>0</v>
      </c>
      <c r="CF129" s="1188">
        <f t="shared" si="44"/>
        <v>0</v>
      </c>
      <c r="CG129" s="1188">
        <f t="shared" si="45"/>
        <v>0</v>
      </c>
      <c r="CH129" s="1236"/>
      <c r="CI129" s="1236"/>
      <c r="CJ129" s="1236"/>
      <c r="CK129" s="1188"/>
      <c r="CL129" s="1188"/>
    </row>
    <row r="130" s="1168" customFormat="1" customHeight="1" spans="1:90">
      <c r="A130" s="1245">
        <v>46106</v>
      </c>
      <c r="B130" s="1247" t="s">
        <v>346</v>
      </c>
      <c r="C130" s="1234" t="s">
        <v>115</v>
      </c>
      <c r="D130" s="1188">
        <v>4500197370</v>
      </c>
      <c r="E130" s="1890" t="s">
        <v>698</v>
      </c>
      <c r="F130" s="1188" t="s">
        <v>699</v>
      </c>
      <c r="G130" s="1253" t="s">
        <v>349</v>
      </c>
      <c r="H130" s="1234" t="s">
        <v>350</v>
      </c>
      <c r="I130" s="1254">
        <v>9600</v>
      </c>
      <c r="J130" s="1234">
        <v>0</v>
      </c>
      <c r="K130" s="1234">
        <v>960</v>
      </c>
      <c r="L130" s="1246">
        <f t="shared" si="33"/>
        <v>10</v>
      </c>
      <c r="M130" s="1255">
        <v>46167</v>
      </c>
      <c r="N130" s="1255">
        <v>46163</v>
      </c>
      <c r="O130" s="1255"/>
      <c r="P130" s="1233" t="s">
        <v>678</v>
      </c>
      <c r="Q130" s="1233" t="s">
        <v>106</v>
      </c>
      <c r="R130" s="1234"/>
      <c r="S130" s="1234"/>
      <c r="T130" s="1233">
        <f>16+4976+4608</f>
        <v>9600</v>
      </c>
      <c r="U130" s="1233">
        <f t="shared" si="27"/>
        <v>0</v>
      </c>
      <c r="V130" s="1234"/>
      <c r="W130" s="1256" t="s">
        <v>459</v>
      </c>
      <c r="X130" s="1257" t="s">
        <v>95</v>
      </c>
      <c r="Y130" s="1257" t="s">
        <v>620</v>
      </c>
      <c r="Z130" s="1247"/>
      <c r="AA130" s="1247"/>
      <c r="AB130" s="1247"/>
      <c r="AC130" s="1247" t="s">
        <v>517</v>
      </c>
      <c r="AD130" s="1255" t="s">
        <v>354</v>
      </c>
      <c r="AE130" s="1188">
        <v>645.144</v>
      </c>
      <c r="AF130" s="1248">
        <f>AE130*L130</f>
        <v>6451.44</v>
      </c>
      <c r="AG130" s="1249" t="s">
        <v>700</v>
      </c>
      <c r="AH130" s="1234" t="s">
        <v>356</v>
      </c>
      <c r="AI130" s="1234" t="s">
        <v>112</v>
      </c>
      <c r="AJ130" s="1234" t="s">
        <v>113</v>
      </c>
      <c r="AK130" s="1188">
        <f>I130</f>
        <v>9600</v>
      </c>
      <c r="AL130" s="1188"/>
      <c r="AM130" s="1188"/>
      <c r="AN130" s="1188">
        <f>I130</f>
        <v>9600</v>
      </c>
      <c r="AO130" s="1188"/>
      <c r="AP130" s="1188"/>
      <c r="AQ130" s="1240"/>
      <c r="AR130" s="1188"/>
      <c r="AS130" s="1236"/>
      <c r="AT130" s="1236"/>
      <c r="AU130" s="1188">
        <f>I130</f>
        <v>9600</v>
      </c>
      <c r="AV130" s="1250">
        <f>I130*0.06</f>
        <v>576</v>
      </c>
      <c r="AW130" s="1250"/>
      <c r="AX130" s="1188"/>
      <c r="AY130" s="1188"/>
      <c r="AZ130" s="1188"/>
      <c r="BA130" s="1188"/>
      <c r="BB130" s="1188"/>
      <c r="BC130" s="1188"/>
      <c r="BD130" s="1188"/>
      <c r="BE130" s="1188"/>
      <c r="BF130" s="1188"/>
      <c r="BG130" s="1188"/>
      <c r="BH130" s="1188"/>
      <c r="BI130" s="1188"/>
      <c r="BJ130" s="1188"/>
      <c r="BK130" s="1188"/>
      <c r="BL130" s="1188"/>
      <c r="BM130" s="1188"/>
      <c r="BN130" s="1188"/>
      <c r="BO130" s="1240"/>
      <c r="BP130" s="1240"/>
      <c r="BQ130" s="1188"/>
      <c r="BR130" s="1236">
        <f>I130/16</f>
        <v>600</v>
      </c>
      <c r="BS130" s="1188"/>
      <c r="BT130" s="1188"/>
      <c r="BU130" s="1188"/>
      <c r="BV130" s="1240"/>
      <c r="BW130" s="1188"/>
      <c r="BX130" s="1188"/>
      <c r="BY130" s="1188"/>
      <c r="BZ130" s="1188"/>
      <c r="CA130" s="1188"/>
      <c r="CB130" s="1188"/>
      <c r="CC130" s="1188"/>
      <c r="CD130" s="1188">
        <f t="shared" si="42"/>
        <v>600</v>
      </c>
      <c r="CE130" s="1188">
        <f t="shared" si="43"/>
        <v>0</v>
      </c>
      <c r="CF130" s="1188">
        <f t="shared" si="44"/>
        <v>0</v>
      </c>
      <c r="CG130" s="1188">
        <f t="shared" si="45"/>
        <v>0</v>
      </c>
      <c r="CH130" s="1236"/>
      <c r="CI130" s="1236"/>
      <c r="CJ130" s="1236"/>
      <c r="CK130" s="1188"/>
      <c r="CL130" s="1188"/>
    </row>
    <row r="131" s="1168" customFormat="1" customHeight="1" spans="1:90">
      <c r="A131" s="1245">
        <v>46115</v>
      </c>
      <c r="B131" s="1247" t="s">
        <v>507</v>
      </c>
      <c r="C131" s="1234" t="s">
        <v>508</v>
      </c>
      <c r="D131" s="1188">
        <v>4500199929</v>
      </c>
      <c r="E131" s="1234">
        <v>2620278</v>
      </c>
      <c r="F131" s="1188" t="s">
        <v>701</v>
      </c>
      <c r="G131" s="1253" t="s">
        <v>702</v>
      </c>
      <c r="H131" s="1234" t="s">
        <v>151</v>
      </c>
      <c r="I131" s="1254">
        <v>8400</v>
      </c>
      <c r="J131" s="1234">
        <v>0</v>
      </c>
      <c r="K131" s="1234">
        <v>84</v>
      </c>
      <c r="L131" s="1246">
        <f t="shared" si="33"/>
        <v>100</v>
      </c>
      <c r="M131" s="1255">
        <v>46167</v>
      </c>
      <c r="N131" s="1255">
        <v>46163</v>
      </c>
      <c r="O131" s="1255"/>
      <c r="P131" s="1233"/>
      <c r="Q131" s="1233" t="s">
        <v>106</v>
      </c>
      <c r="R131" s="1234"/>
      <c r="S131" s="1234"/>
      <c r="T131" s="1233">
        <v>8400</v>
      </c>
      <c r="U131" s="1233">
        <f t="shared" si="27"/>
        <v>0</v>
      </c>
      <c r="V131" s="1234"/>
      <c r="W131" s="1256">
        <v>46134</v>
      </c>
      <c r="X131" s="1257" t="s">
        <v>107</v>
      </c>
      <c r="Y131" s="1257" t="s">
        <v>703</v>
      </c>
      <c r="Z131" s="1247" t="s">
        <v>360</v>
      </c>
      <c r="AA131" s="1247"/>
      <c r="AB131" s="1247"/>
      <c r="AC131" s="1247" t="s">
        <v>704</v>
      </c>
      <c r="AD131" s="1255" t="s">
        <v>513</v>
      </c>
      <c r="AE131" s="1188">
        <v>217.64</v>
      </c>
      <c r="AF131" s="1248">
        <f>L131*AE131</f>
        <v>21764</v>
      </c>
      <c r="AG131" s="1258"/>
      <c r="AH131" s="1264" t="s">
        <v>705</v>
      </c>
      <c r="AI131" s="1234" t="s">
        <v>112</v>
      </c>
      <c r="AJ131" s="1234" t="s">
        <v>113</v>
      </c>
      <c r="AK131" s="1188">
        <f>I131</f>
        <v>8400</v>
      </c>
      <c r="AL131" s="1188"/>
      <c r="AM131" s="1188"/>
      <c r="AN131" s="1188">
        <f>I131</f>
        <v>8400</v>
      </c>
      <c r="AO131" s="1188"/>
      <c r="AP131" s="1188"/>
      <c r="AQ131" s="1240"/>
      <c r="AR131" s="1188"/>
      <c r="AS131" s="1236"/>
      <c r="AT131" s="1236"/>
      <c r="AU131" s="1188"/>
      <c r="AV131" s="1250">
        <f>I131*0.06</f>
        <v>504</v>
      </c>
      <c r="AW131" s="1250"/>
      <c r="AX131" s="1188">
        <f>I131</f>
        <v>8400</v>
      </c>
      <c r="AY131" s="1188"/>
      <c r="AZ131" s="1188"/>
      <c r="BA131" s="1188"/>
      <c r="BB131" s="1188"/>
      <c r="BC131" s="1188"/>
      <c r="BD131" s="1188"/>
      <c r="BE131" s="1188"/>
      <c r="BF131" s="1188"/>
      <c r="BG131" s="1188"/>
      <c r="BH131" s="1188"/>
      <c r="BI131" s="1188"/>
      <c r="BJ131" s="1188"/>
      <c r="BK131" s="1188"/>
      <c r="BL131" s="1188"/>
      <c r="BM131" s="1188"/>
      <c r="BN131" s="1188"/>
      <c r="BO131" s="1240"/>
      <c r="BP131" s="1240"/>
      <c r="BQ131" s="1188"/>
      <c r="BR131" s="1236"/>
      <c r="BS131" s="1188"/>
      <c r="BT131" s="1188"/>
      <c r="BU131" s="1188"/>
      <c r="BV131" s="1240"/>
      <c r="BW131" s="1188"/>
      <c r="BX131" s="1188">
        <f>I131/84</f>
        <v>100</v>
      </c>
      <c r="BY131" s="1188"/>
      <c r="BZ131" s="1188"/>
      <c r="CA131" s="1188"/>
      <c r="CB131" s="1188"/>
      <c r="CC131" s="1188"/>
      <c r="CD131" s="1188">
        <f t="shared" si="42"/>
        <v>0</v>
      </c>
      <c r="CE131" s="1188">
        <f t="shared" si="43"/>
        <v>0</v>
      </c>
      <c r="CF131" s="1188">
        <f t="shared" si="44"/>
        <v>0</v>
      </c>
      <c r="CG131" s="1188">
        <f t="shared" si="45"/>
        <v>100</v>
      </c>
      <c r="CH131" s="1236"/>
      <c r="CI131" s="1236"/>
      <c r="CJ131" s="1236"/>
      <c r="CK131" s="1188"/>
      <c r="CL131" s="1188"/>
    </row>
    <row r="132" s="1168" customFormat="1" customHeight="1" spans="1:90">
      <c r="A132" s="1245">
        <v>46127</v>
      </c>
      <c r="B132" s="1247" t="s">
        <v>706</v>
      </c>
      <c r="C132" s="1234" t="s">
        <v>201</v>
      </c>
      <c r="D132" s="1188">
        <v>4500202070</v>
      </c>
      <c r="E132" s="1234" t="s">
        <v>628</v>
      </c>
      <c r="F132" s="1188" t="s">
        <v>707</v>
      </c>
      <c r="G132" s="1253" t="s">
        <v>146</v>
      </c>
      <c r="H132" s="1234" t="s">
        <v>104</v>
      </c>
      <c r="I132" s="1254">
        <v>7150</v>
      </c>
      <c r="J132" s="1234">
        <v>0</v>
      </c>
      <c r="K132" s="1234">
        <v>25</v>
      </c>
      <c r="L132" s="1246">
        <f t="shared" si="33"/>
        <v>286</v>
      </c>
      <c r="M132" s="1255">
        <v>46167</v>
      </c>
      <c r="N132" s="1255">
        <v>46163</v>
      </c>
      <c r="O132" s="1255"/>
      <c r="P132" s="1233" t="s">
        <v>708</v>
      </c>
      <c r="Q132" s="1233" t="s">
        <v>106</v>
      </c>
      <c r="R132" s="1234"/>
      <c r="S132" s="1234"/>
      <c r="T132" s="1233">
        <v>7150</v>
      </c>
      <c r="U132" s="1233">
        <f t="shared" si="27"/>
        <v>0</v>
      </c>
      <c r="V132" s="1234"/>
      <c r="W132" s="1256">
        <v>46141</v>
      </c>
      <c r="X132" s="1257" t="s">
        <v>95</v>
      </c>
      <c r="Y132" s="1257" t="s">
        <v>709</v>
      </c>
      <c r="Z132" s="1247"/>
      <c r="AA132" s="1247"/>
      <c r="AB132" s="1247"/>
      <c r="AC132" s="1247" t="s">
        <v>710</v>
      </c>
      <c r="AD132" s="1255" t="s">
        <v>711</v>
      </c>
      <c r="AE132" s="1188">
        <v>1.27</v>
      </c>
      <c r="AF132" s="1248">
        <f>I132*AE132</f>
        <v>9080.5</v>
      </c>
      <c r="AG132" s="1258"/>
      <c r="AH132" s="1234" t="s">
        <v>111</v>
      </c>
      <c r="AI132" s="1234" t="s">
        <v>112</v>
      </c>
      <c r="AJ132" s="1234" t="s">
        <v>113</v>
      </c>
      <c r="AK132" s="1188">
        <f>I132</f>
        <v>7150</v>
      </c>
      <c r="AL132" s="1188"/>
      <c r="AM132" s="1188"/>
      <c r="AN132" s="1188"/>
      <c r="AO132" s="1188"/>
      <c r="AP132" s="1188">
        <f>I132</f>
        <v>7150</v>
      </c>
      <c r="AQ132" s="1240"/>
      <c r="AR132" s="1188"/>
      <c r="AS132" s="1236"/>
      <c r="AT132" s="1236"/>
      <c r="AU132" s="1188">
        <f>I132</f>
        <v>7150</v>
      </c>
      <c r="AV132" s="1250">
        <f>I132*0.06</f>
        <v>429</v>
      </c>
      <c r="AW132" s="1250"/>
      <c r="AX132" s="1188"/>
      <c r="AY132" s="1188"/>
      <c r="AZ132" s="1188"/>
      <c r="BA132" s="1188"/>
      <c r="BB132" s="1188"/>
      <c r="BC132" s="1188"/>
      <c r="BD132" s="1188"/>
      <c r="BE132" s="1188"/>
      <c r="BF132" s="1188"/>
      <c r="BG132" s="1188"/>
      <c r="BH132" s="1188"/>
      <c r="BI132" s="1188"/>
      <c r="BJ132" s="1188"/>
      <c r="BK132" s="1188"/>
      <c r="BL132" s="1188"/>
      <c r="BM132" s="1188"/>
      <c r="BN132" s="1188"/>
      <c r="BO132" s="1235">
        <f>I132/25</f>
        <v>286</v>
      </c>
      <c r="BP132" s="1240"/>
      <c r="BQ132" s="1188"/>
      <c r="BR132" s="1236"/>
      <c r="BS132" s="1188"/>
      <c r="BT132" s="1188"/>
      <c r="BU132" s="1188"/>
      <c r="BV132" s="1240"/>
      <c r="BW132" s="1188"/>
      <c r="BX132" s="1188"/>
      <c r="BY132" s="1188"/>
      <c r="BZ132" s="1188"/>
      <c r="CA132" s="1188"/>
      <c r="CB132" s="1188"/>
      <c r="CC132" s="1188"/>
      <c r="CD132" s="1188">
        <f t="shared" si="42"/>
        <v>286</v>
      </c>
      <c r="CE132" s="1188">
        <f t="shared" si="43"/>
        <v>0</v>
      </c>
      <c r="CF132" s="1188">
        <f t="shared" si="44"/>
        <v>0</v>
      </c>
      <c r="CG132" s="1188">
        <f t="shared" si="45"/>
        <v>0</v>
      </c>
      <c r="CH132" s="1236"/>
      <c r="CI132" s="1236"/>
      <c r="CJ132" s="1236"/>
      <c r="CK132" s="1188"/>
      <c r="CL132" s="1188"/>
    </row>
    <row r="133" s="1168" customFormat="1" customHeight="1" spans="1:90">
      <c r="A133" s="1245">
        <v>46153</v>
      </c>
      <c r="B133" s="1269"/>
      <c r="C133" s="1234" t="s">
        <v>597</v>
      </c>
      <c r="D133" s="1270" t="s">
        <v>712</v>
      </c>
      <c r="E133" s="1271"/>
      <c r="F133" s="1270" t="s">
        <v>713</v>
      </c>
      <c r="G133" s="1272" t="s">
        <v>482</v>
      </c>
      <c r="H133" s="1247" t="s">
        <v>483</v>
      </c>
      <c r="I133" s="1273">
        <v>30</v>
      </c>
      <c r="J133" s="1274"/>
      <c r="K133" s="1274"/>
      <c r="L133" s="1246"/>
      <c r="M133" s="1255">
        <v>46167</v>
      </c>
      <c r="N133" s="1255">
        <v>46163</v>
      </c>
      <c r="O133" s="1255"/>
      <c r="P133" s="1233"/>
      <c r="Q133" s="1233"/>
      <c r="R133" s="1234"/>
      <c r="S133" s="1234"/>
      <c r="U133" s="1233"/>
      <c r="V133" s="1234"/>
      <c r="W133" s="1256">
        <v>46153</v>
      </c>
      <c r="X133" s="1257" t="s">
        <v>95</v>
      </c>
      <c r="Y133" s="1257" t="s">
        <v>95</v>
      </c>
      <c r="Z133" s="1247"/>
      <c r="AA133" s="1247"/>
      <c r="AB133" s="1247"/>
      <c r="AC133" s="1247" t="s">
        <v>714</v>
      </c>
      <c r="AD133" s="1275" t="s">
        <v>272</v>
      </c>
      <c r="AE133" s="1276"/>
      <c r="AF133" s="1248"/>
      <c r="AG133" s="1258"/>
      <c r="AH133" s="1234" t="s">
        <v>99</v>
      </c>
      <c r="AI133" s="1234" t="s">
        <v>99</v>
      </c>
      <c r="AJ133" s="1234"/>
      <c r="AK133" s="1188"/>
      <c r="AL133" s="1188">
        <f>I133*3</f>
        <v>90</v>
      </c>
      <c r="AM133" s="1188"/>
      <c r="AN133" s="1188">
        <f>I133*2</f>
        <v>60</v>
      </c>
      <c r="AO133" s="1188"/>
      <c r="AP133" s="1188"/>
      <c r="AQ133" s="1240"/>
      <c r="AR133" s="1188"/>
      <c r="AS133" s="1236"/>
      <c r="AT133" s="1236"/>
      <c r="AU133" s="1188">
        <f>I133*2</f>
        <v>60</v>
      </c>
      <c r="AV133" s="1250">
        <f>I133*0.06*2</f>
        <v>3.6</v>
      </c>
      <c r="AW133" s="1250"/>
      <c r="AX133" s="1188"/>
      <c r="AY133" s="1188"/>
      <c r="AZ133" s="1188"/>
      <c r="BA133" s="1188"/>
      <c r="BB133" s="1188"/>
      <c r="BC133" s="1188"/>
      <c r="BD133" s="1188"/>
      <c r="BE133" s="1188"/>
      <c r="BF133" s="1188"/>
      <c r="BG133" s="1188"/>
      <c r="BH133" s="1188"/>
      <c r="BI133" s="1188"/>
      <c r="BJ133" s="1188"/>
      <c r="BK133" s="1188"/>
      <c r="BL133" s="1188"/>
      <c r="BM133" s="1188"/>
      <c r="BN133" s="1188"/>
      <c r="BO133" s="1240"/>
      <c r="BP133" s="1240"/>
      <c r="BQ133" s="1188"/>
      <c r="BR133" s="1236"/>
      <c r="BS133" s="1188"/>
      <c r="BT133" s="1188"/>
      <c r="BU133" s="1188"/>
      <c r="BV133" s="1240"/>
      <c r="BW133" s="1188"/>
      <c r="BX133" s="1188"/>
      <c r="BY133" s="1188"/>
      <c r="BZ133" s="1188"/>
      <c r="CA133" s="1188"/>
      <c r="CB133" s="1188"/>
      <c r="CC133" s="1188"/>
      <c r="CD133" s="1188">
        <f t="shared" si="42"/>
        <v>0</v>
      </c>
      <c r="CE133" s="1188">
        <f t="shared" si="43"/>
        <v>0</v>
      </c>
      <c r="CF133" s="1188">
        <f t="shared" si="44"/>
        <v>0</v>
      </c>
      <c r="CG133" s="1188">
        <f t="shared" si="45"/>
        <v>0</v>
      </c>
      <c r="CH133" s="1236"/>
      <c r="CI133" s="1236"/>
      <c r="CJ133" s="1236"/>
      <c r="CK133" s="1188"/>
      <c r="CL133" s="1188"/>
    </row>
    <row r="134" s="1168" customFormat="1" customHeight="1" spans="1:90">
      <c r="A134" s="1245">
        <v>46113</v>
      </c>
      <c r="B134" s="1247" t="s">
        <v>715</v>
      </c>
      <c r="C134" s="1234" t="s">
        <v>148</v>
      </c>
      <c r="D134" s="1268">
        <v>4500199651</v>
      </c>
      <c r="E134" s="1233">
        <v>2000009878</v>
      </c>
      <c r="F134" s="1188" t="s">
        <v>716</v>
      </c>
      <c r="G134" s="1253" t="s">
        <v>188</v>
      </c>
      <c r="H134" s="1234" t="s">
        <v>138</v>
      </c>
      <c r="I134" s="1254">
        <v>5000</v>
      </c>
      <c r="J134" s="1234">
        <v>0</v>
      </c>
      <c r="K134" s="1234">
        <v>50</v>
      </c>
      <c r="L134" s="1246">
        <f t="shared" ref="L134:L164" si="46">I134/K134</f>
        <v>100</v>
      </c>
      <c r="M134" s="1255">
        <v>46167</v>
      </c>
      <c r="N134" s="1255">
        <v>46213</v>
      </c>
      <c r="O134" s="1255"/>
      <c r="P134" s="1233" t="s">
        <v>717</v>
      </c>
      <c r="Q134" s="1255" t="s">
        <v>106</v>
      </c>
      <c r="R134" s="1234"/>
      <c r="S134" s="1234" t="s">
        <v>718</v>
      </c>
      <c r="T134" s="1233">
        <v>5000</v>
      </c>
      <c r="U134" s="1233">
        <f t="shared" ref="U134:U150" si="47">T134-I134</f>
        <v>0</v>
      </c>
      <c r="V134" s="1234"/>
      <c r="W134" s="1256">
        <v>46134</v>
      </c>
      <c r="X134" s="1257" t="s">
        <v>95</v>
      </c>
      <c r="Y134" s="1257" t="s">
        <v>719</v>
      </c>
      <c r="Z134" s="1247" t="s">
        <v>720</v>
      </c>
      <c r="AA134" s="1247"/>
      <c r="AB134" s="1247"/>
      <c r="AC134" s="1247" t="s">
        <v>721</v>
      </c>
      <c r="AD134" s="1248" t="s">
        <v>722</v>
      </c>
      <c r="AE134" s="1247">
        <v>1.007</v>
      </c>
      <c r="AF134" s="1248">
        <f>I134*AE134</f>
        <v>5035</v>
      </c>
      <c r="AG134" s="1258"/>
      <c r="AH134" s="1234" t="s">
        <v>314</v>
      </c>
      <c r="AI134" s="1234" t="s">
        <v>112</v>
      </c>
      <c r="AJ134" s="1234" t="s">
        <v>113</v>
      </c>
      <c r="AK134" s="1188">
        <f>I134</f>
        <v>5000</v>
      </c>
      <c r="AL134" s="1188"/>
      <c r="AM134" s="1188"/>
      <c r="AN134" s="1188"/>
      <c r="AO134" s="1188"/>
      <c r="AP134" s="1188">
        <f>I134</f>
        <v>5000</v>
      </c>
      <c r="AQ134" s="1240"/>
      <c r="AR134" s="1188"/>
      <c r="AS134" s="1236"/>
      <c r="AT134" s="1236"/>
      <c r="AU134" s="1188">
        <f>I134</f>
        <v>5000</v>
      </c>
      <c r="AV134" s="1250">
        <f>I134*0.06</f>
        <v>300</v>
      </c>
      <c r="AW134" s="1250"/>
      <c r="AX134" s="1188"/>
      <c r="AY134" s="1188"/>
      <c r="AZ134" s="1188"/>
      <c r="BA134" s="1188"/>
      <c r="BB134" s="1188"/>
      <c r="BC134" s="1188"/>
      <c r="BD134" s="1188"/>
      <c r="BE134" s="1188"/>
      <c r="BF134" s="1188"/>
      <c r="BG134" s="1188"/>
      <c r="BH134" s="1188"/>
      <c r="BI134" s="1188"/>
      <c r="BJ134" s="1188"/>
      <c r="BK134" s="1188"/>
      <c r="BL134" s="1188"/>
      <c r="BM134" s="1188"/>
      <c r="BN134" s="1188"/>
      <c r="BO134" s="1240">
        <f>I134/25</f>
        <v>200</v>
      </c>
      <c r="BP134" s="1240"/>
      <c r="BQ134" s="1188"/>
      <c r="BR134" s="1236"/>
      <c r="BS134" s="1188"/>
      <c r="BT134" s="1188"/>
      <c r="BU134" s="1188"/>
      <c r="BV134" s="1240"/>
      <c r="BW134" s="1188"/>
      <c r="BX134" s="1188"/>
      <c r="BY134" s="1188"/>
      <c r="BZ134" s="1188"/>
      <c r="CA134" s="1188"/>
      <c r="CB134" s="1188"/>
      <c r="CC134" s="1188"/>
      <c r="CD134" s="1188">
        <f t="shared" si="42"/>
        <v>200</v>
      </c>
      <c r="CE134" s="1188">
        <f t="shared" si="43"/>
        <v>0</v>
      </c>
      <c r="CF134" s="1188">
        <f t="shared" si="44"/>
        <v>0</v>
      </c>
      <c r="CG134" s="1188">
        <f t="shared" si="45"/>
        <v>0</v>
      </c>
      <c r="CH134" s="1236"/>
      <c r="CI134" s="1236"/>
      <c r="CJ134" s="1236"/>
      <c r="CK134" s="1188"/>
      <c r="CL134" s="1188"/>
    </row>
    <row r="135" s="1168" customFormat="1" customHeight="1" spans="1:90">
      <c r="A135" s="1245">
        <v>46099</v>
      </c>
      <c r="B135" s="1247" t="s">
        <v>723</v>
      </c>
      <c r="C135" s="1234" t="s">
        <v>135</v>
      </c>
      <c r="D135" s="1188">
        <v>4500197499</v>
      </c>
      <c r="E135" s="1234" t="s">
        <v>724</v>
      </c>
      <c r="F135" s="1188" t="s">
        <v>725</v>
      </c>
      <c r="G135" s="1253" t="s">
        <v>726</v>
      </c>
      <c r="H135" s="1234" t="s">
        <v>483</v>
      </c>
      <c r="I135" s="1254">
        <v>4320</v>
      </c>
      <c r="J135" s="1234">
        <v>0</v>
      </c>
      <c r="K135" s="1234">
        <v>120</v>
      </c>
      <c r="L135" s="1246">
        <f t="shared" si="46"/>
        <v>36</v>
      </c>
      <c r="M135" s="1255">
        <v>46168</v>
      </c>
      <c r="N135" s="1255">
        <v>46164</v>
      </c>
      <c r="O135" s="1255"/>
      <c r="P135" s="1247" t="s">
        <v>727</v>
      </c>
      <c r="Q135" s="1255" t="s">
        <v>106</v>
      </c>
      <c r="R135" s="1234" t="s">
        <v>485</v>
      </c>
      <c r="S135" s="1234"/>
      <c r="T135" s="715">
        <v>4320</v>
      </c>
      <c r="U135" s="1233">
        <f t="shared" si="47"/>
        <v>0</v>
      </c>
      <c r="V135" s="1234"/>
      <c r="W135" s="1256" t="s">
        <v>728</v>
      </c>
      <c r="X135" s="1257" t="s">
        <v>107</v>
      </c>
      <c r="Y135" s="1257" t="s">
        <v>95</v>
      </c>
      <c r="Z135" s="1247" t="s">
        <v>140</v>
      </c>
      <c r="AA135" s="1247"/>
      <c r="AB135" s="1247"/>
      <c r="AC135" s="1257" t="s">
        <v>729</v>
      </c>
      <c r="AD135" s="1255" t="s">
        <v>730</v>
      </c>
      <c r="AE135" s="1267">
        <v>1118</v>
      </c>
      <c r="AF135" s="1248">
        <f>L135*AE135</f>
        <v>40248</v>
      </c>
      <c r="AG135" s="1258"/>
      <c r="AH135" s="1234" t="s">
        <v>731</v>
      </c>
      <c r="AI135" s="1234" t="s">
        <v>112</v>
      </c>
      <c r="AJ135" s="1234" t="s">
        <v>113</v>
      </c>
      <c r="AK135" s="1188"/>
      <c r="AL135" s="1188">
        <f>I135*3</f>
        <v>12960</v>
      </c>
      <c r="AM135" s="1188"/>
      <c r="AN135" s="1188"/>
      <c r="AO135" s="1188"/>
      <c r="AP135" s="1188"/>
      <c r="AQ135" s="1240"/>
      <c r="AR135" s="1188"/>
      <c r="AS135" s="1236"/>
      <c r="AT135" s="1236"/>
      <c r="AU135" s="1188"/>
      <c r="AV135" s="1250">
        <f>I135*0.06*2</f>
        <v>518.4</v>
      </c>
      <c r="AW135" s="1250"/>
      <c r="AX135" s="1188"/>
      <c r="AY135" s="1188"/>
      <c r="AZ135" s="1188"/>
      <c r="BA135" s="1188"/>
      <c r="BB135" s="1188">
        <f>I135*3</f>
        <v>12960</v>
      </c>
      <c r="BC135" s="1188">
        <f>I135*3</f>
        <v>12960</v>
      </c>
      <c r="BD135" s="1188">
        <f>I135*3</f>
        <v>12960</v>
      </c>
      <c r="BE135" s="1188">
        <f>I135</f>
        <v>4320</v>
      </c>
      <c r="BF135" s="1188">
        <f>I135/6</f>
        <v>720</v>
      </c>
      <c r="BG135" s="1188"/>
      <c r="BH135" s="1188"/>
      <c r="BI135" s="1188"/>
      <c r="BJ135" s="1188"/>
      <c r="BK135" s="1188"/>
      <c r="BL135" s="1188"/>
      <c r="BM135" s="1188"/>
      <c r="BN135" s="1188"/>
      <c r="BO135" s="1240"/>
      <c r="BP135" s="1240"/>
      <c r="BQ135" s="1188"/>
      <c r="BR135" s="1236"/>
      <c r="BS135" s="1188"/>
      <c r="BT135" s="1188"/>
      <c r="BU135" s="1188"/>
      <c r="BV135" s="1240"/>
      <c r="BW135" s="1188"/>
      <c r="BX135" s="1188"/>
      <c r="BY135" s="1188"/>
      <c r="BZ135" s="1188"/>
      <c r="CA135" s="1188"/>
      <c r="CB135" s="1188"/>
      <c r="CC135" s="1188"/>
      <c r="CD135" s="1188">
        <f t="shared" si="42"/>
        <v>0</v>
      </c>
      <c r="CE135" s="1188">
        <f t="shared" si="43"/>
        <v>0</v>
      </c>
      <c r="CF135" s="1188">
        <f t="shared" si="44"/>
        <v>0</v>
      </c>
      <c r="CG135" s="1188">
        <f t="shared" si="45"/>
        <v>0</v>
      </c>
      <c r="CH135" s="1236"/>
      <c r="CI135" s="1236"/>
      <c r="CJ135" s="1236"/>
      <c r="CK135" s="1188"/>
      <c r="CL135" s="1188"/>
    </row>
    <row r="136" s="1168" customFormat="1" customHeight="1" spans="1:90">
      <c r="A136" s="1245">
        <v>46113</v>
      </c>
      <c r="B136" s="1247" t="s">
        <v>230</v>
      </c>
      <c r="C136" s="1234" t="s">
        <v>135</v>
      </c>
      <c r="D136" s="1268">
        <v>4500199726</v>
      </c>
      <c r="E136" s="1233">
        <v>15376</v>
      </c>
      <c r="F136" s="1188" t="s">
        <v>732</v>
      </c>
      <c r="G136" s="1253" t="s">
        <v>137</v>
      </c>
      <c r="H136" s="1234" t="s">
        <v>138</v>
      </c>
      <c r="I136" s="1254">
        <v>7500</v>
      </c>
      <c r="J136" s="1234">
        <v>0</v>
      </c>
      <c r="K136" s="1234">
        <v>50</v>
      </c>
      <c r="L136" s="1246">
        <f t="shared" si="46"/>
        <v>150</v>
      </c>
      <c r="M136" s="1255">
        <v>46168</v>
      </c>
      <c r="N136" s="1255">
        <v>46164</v>
      </c>
      <c r="O136" s="1255"/>
      <c r="P136" s="1233"/>
      <c r="Q136" s="1255" t="s">
        <v>106</v>
      </c>
      <c r="R136" s="1234"/>
      <c r="S136" s="1277"/>
      <c r="T136" s="1278">
        <v>7500</v>
      </c>
      <c r="U136" s="1233">
        <f t="shared" si="47"/>
        <v>0</v>
      </c>
      <c r="V136" s="1277"/>
      <c r="W136" s="1256">
        <v>46120</v>
      </c>
      <c r="X136" s="1257" t="s">
        <v>95</v>
      </c>
      <c r="Y136" s="1257" t="s">
        <v>733</v>
      </c>
      <c r="Z136" s="1247" t="s">
        <v>140</v>
      </c>
      <c r="AA136" s="1247"/>
      <c r="AB136" s="1247"/>
      <c r="AC136" s="1247" t="s">
        <v>734</v>
      </c>
      <c r="AD136" s="1255" t="s">
        <v>236</v>
      </c>
      <c r="AE136" s="1188">
        <v>1.007</v>
      </c>
      <c r="AF136" s="1279">
        <f>I136*AE136</f>
        <v>7552.5</v>
      </c>
      <c r="AG136" s="1280"/>
      <c r="AH136" s="1277" t="s">
        <v>188</v>
      </c>
      <c r="AI136" s="1277" t="s">
        <v>112</v>
      </c>
      <c r="AJ136" s="1234" t="s">
        <v>113</v>
      </c>
      <c r="AK136" s="1281">
        <f>I136</f>
        <v>7500</v>
      </c>
      <c r="AL136" s="1281"/>
      <c r="AM136" s="1281"/>
      <c r="AN136" s="1281">
        <f>I136</f>
        <v>7500</v>
      </c>
      <c r="AO136" s="1281"/>
      <c r="AP136" s="1281"/>
      <c r="AQ136" s="1282"/>
      <c r="AR136" s="1281"/>
      <c r="AS136" s="1283"/>
      <c r="AT136" s="1283"/>
      <c r="AU136" s="1281">
        <f>I136</f>
        <v>7500</v>
      </c>
      <c r="AV136" s="1250">
        <f>I136*0.06</f>
        <v>450</v>
      </c>
      <c r="AW136" s="1250"/>
      <c r="AX136" s="1281"/>
      <c r="AY136" s="1281"/>
      <c r="AZ136" s="1281"/>
      <c r="BA136" s="1281"/>
      <c r="BB136" s="1281"/>
      <c r="BC136" s="1281"/>
      <c r="BD136" s="1281"/>
      <c r="BE136" s="1281"/>
      <c r="BF136" s="1281"/>
      <c r="BG136" s="1281"/>
      <c r="BH136" s="1281"/>
      <c r="BI136" s="1281"/>
      <c r="BJ136" s="1281"/>
      <c r="BK136" s="1281"/>
      <c r="BL136" s="1281"/>
      <c r="BM136" s="1281"/>
      <c r="BN136" s="1281">
        <f>I136/25</f>
        <v>300</v>
      </c>
      <c r="BO136" s="1282"/>
      <c r="BP136" s="1282"/>
      <c r="BQ136" s="1281"/>
      <c r="BR136" s="1284"/>
      <c r="BS136" s="1281"/>
      <c r="BT136" s="1281"/>
      <c r="BU136" s="1281"/>
      <c r="BV136" s="1282"/>
      <c r="BW136" s="1281"/>
      <c r="BX136" s="1281"/>
      <c r="BY136" s="1281"/>
      <c r="BZ136" s="1281"/>
      <c r="CA136" s="1281"/>
      <c r="CB136" s="1281"/>
      <c r="CC136" s="1281"/>
      <c r="CD136" s="1188">
        <f t="shared" si="42"/>
        <v>300</v>
      </c>
      <c r="CE136" s="1188">
        <f t="shared" si="43"/>
        <v>0</v>
      </c>
      <c r="CF136" s="1188">
        <f t="shared" si="44"/>
        <v>0</v>
      </c>
      <c r="CG136" s="1188">
        <f t="shared" si="45"/>
        <v>0</v>
      </c>
      <c r="CH136" s="1236"/>
      <c r="CI136" s="1236"/>
      <c r="CJ136" s="1284"/>
      <c r="CK136" s="1281"/>
      <c r="CL136" s="1281"/>
    </row>
    <row r="137" s="1168" customFormat="1" customHeight="1" spans="1:90">
      <c r="A137" s="1245">
        <v>46120</v>
      </c>
      <c r="B137" s="1247" t="s">
        <v>602</v>
      </c>
      <c r="C137" s="1234" t="s">
        <v>508</v>
      </c>
      <c r="D137" s="1268">
        <v>4500200163</v>
      </c>
      <c r="E137" s="1233">
        <v>86311</v>
      </c>
      <c r="F137" s="1188" t="s">
        <v>735</v>
      </c>
      <c r="G137" s="1253" t="s">
        <v>604</v>
      </c>
      <c r="H137" s="1234" t="s">
        <v>138</v>
      </c>
      <c r="I137" s="1254">
        <v>2500</v>
      </c>
      <c r="J137" s="1234">
        <v>0</v>
      </c>
      <c r="K137" s="1234">
        <v>25</v>
      </c>
      <c r="L137" s="1246">
        <f t="shared" si="46"/>
        <v>100</v>
      </c>
      <c r="M137" s="1255">
        <v>46168</v>
      </c>
      <c r="N137" s="1255">
        <v>46164</v>
      </c>
      <c r="O137" s="1255"/>
      <c r="P137" s="1233"/>
      <c r="Q137" s="1255" t="s">
        <v>106</v>
      </c>
      <c r="R137" s="1234"/>
      <c r="S137" s="1234" t="s">
        <v>736</v>
      </c>
      <c r="T137" s="1233">
        <v>2500</v>
      </c>
      <c r="U137" s="1233">
        <f t="shared" si="47"/>
        <v>0</v>
      </c>
      <c r="V137" s="1234" t="s">
        <v>120</v>
      </c>
      <c r="W137" s="1256">
        <v>46115</v>
      </c>
      <c r="X137" s="1257" t="s">
        <v>107</v>
      </c>
      <c r="Y137" s="1257" t="s">
        <v>737</v>
      </c>
      <c r="Z137" s="1247" t="s">
        <v>360</v>
      </c>
      <c r="AA137" s="1247"/>
      <c r="AB137" s="1247"/>
      <c r="AC137" s="1247" t="s">
        <v>738</v>
      </c>
      <c r="AD137" s="1255" t="s">
        <v>362</v>
      </c>
      <c r="AE137" s="1188">
        <v>1.27</v>
      </c>
      <c r="AF137" s="1248">
        <f>I137*AE137</f>
        <v>3175</v>
      </c>
      <c r="AG137" s="1258"/>
      <c r="AH137" s="1234" t="s">
        <v>146</v>
      </c>
      <c r="AI137" s="1234" t="s">
        <v>112</v>
      </c>
      <c r="AJ137" s="1234" t="s">
        <v>113</v>
      </c>
      <c r="AK137" s="1188">
        <f>I137</f>
        <v>2500</v>
      </c>
      <c r="AL137" s="1188"/>
      <c r="AM137" s="1188"/>
      <c r="AN137" s="1188">
        <f>I137</f>
        <v>2500</v>
      </c>
      <c r="AO137" s="1188"/>
      <c r="AP137" s="1188"/>
      <c r="AQ137" s="1240"/>
      <c r="AR137" s="1188"/>
      <c r="AS137" s="1236"/>
      <c r="AT137" s="1236"/>
      <c r="AU137" s="1188"/>
      <c r="AV137" s="1250">
        <f>I137*0.06</f>
        <v>150</v>
      </c>
      <c r="AW137" s="1250"/>
      <c r="AX137" s="1188">
        <f>I137</f>
        <v>2500</v>
      </c>
      <c r="AY137" s="1188"/>
      <c r="AZ137" s="1188"/>
      <c r="BA137" s="1188"/>
      <c r="BB137" s="1188"/>
      <c r="BC137" s="1188"/>
      <c r="BD137" s="1188"/>
      <c r="BE137" s="1188"/>
      <c r="BF137" s="1188"/>
      <c r="BG137" s="1188"/>
      <c r="BH137" s="1188"/>
      <c r="BI137" s="1188"/>
      <c r="BJ137" s="1188"/>
      <c r="BK137" s="1188"/>
      <c r="BL137" s="1188"/>
      <c r="BM137" s="1188"/>
      <c r="BN137" s="1188">
        <f>I137/25</f>
        <v>100</v>
      </c>
      <c r="BO137" s="1240"/>
      <c r="BP137" s="1240"/>
      <c r="BQ137" s="1188"/>
      <c r="BR137" s="1236"/>
      <c r="BS137" s="1188"/>
      <c r="BT137" s="1188"/>
      <c r="BU137" s="1188"/>
      <c r="BV137" s="1240"/>
      <c r="BW137" s="1188"/>
      <c r="BX137" s="1188"/>
      <c r="BY137" s="1188"/>
      <c r="BZ137" s="1188"/>
      <c r="CA137" s="1188"/>
      <c r="CB137" s="1188"/>
      <c r="CC137" s="1188"/>
      <c r="CD137" s="1188">
        <f t="shared" si="42"/>
        <v>100</v>
      </c>
      <c r="CE137" s="1188">
        <f t="shared" si="43"/>
        <v>0</v>
      </c>
      <c r="CF137" s="1188">
        <f t="shared" si="44"/>
        <v>0</v>
      </c>
      <c r="CG137" s="1188">
        <f t="shared" si="45"/>
        <v>0</v>
      </c>
      <c r="CH137" s="1236"/>
      <c r="CI137" s="1236"/>
      <c r="CJ137" s="1236"/>
      <c r="CK137" s="1188"/>
      <c r="CL137" s="1188"/>
    </row>
    <row r="138" s="1168" customFormat="1" customHeight="1" spans="1:90">
      <c r="A138" s="1245">
        <v>46115</v>
      </c>
      <c r="B138" s="1247" t="s">
        <v>602</v>
      </c>
      <c r="C138" s="1234" t="s">
        <v>508</v>
      </c>
      <c r="D138" s="1268">
        <v>4500200163</v>
      </c>
      <c r="E138" s="1233">
        <v>86311</v>
      </c>
      <c r="F138" s="1188" t="s">
        <v>739</v>
      </c>
      <c r="G138" s="1253" t="s">
        <v>740</v>
      </c>
      <c r="H138" s="1234" t="s">
        <v>151</v>
      </c>
      <c r="I138" s="1254">
        <v>2880</v>
      </c>
      <c r="J138" s="1234">
        <v>0</v>
      </c>
      <c r="K138" s="1234">
        <v>36</v>
      </c>
      <c r="L138" s="1246">
        <f t="shared" si="46"/>
        <v>80</v>
      </c>
      <c r="M138" s="1255">
        <v>46168</v>
      </c>
      <c r="N138" s="1255">
        <v>46164</v>
      </c>
      <c r="O138" s="1255"/>
      <c r="P138" s="1233"/>
      <c r="Q138" s="1255" t="s">
        <v>106</v>
      </c>
      <c r="R138" s="1234"/>
      <c r="S138" s="1234" t="s">
        <v>736</v>
      </c>
      <c r="T138" s="1233">
        <v>2880</v>
      </c>
      <c r="U138" s="1233">
        <f t="shared" si="47"/>
        <v>0</v>
      </c>
      <c r="V138" s="1234" t="s">
        <v>120</v>
      </c>
      <c r="W138" s="1256">
        <v>46115</v>
      </c>
      <c r="X138" s="1257" t="s">
        <v>107</v>
      </c>
      <c r="Y138" s="1257" t="s">
        <v>737</v>
      </c>
      <c r="Z138" s="1247" t="s">
        <v>360</v>
      </c>
      <c r="AA138" s="1247"/>
      <c r="AB138" s="1247"/>
      <c r="AC138" s="1257" t="s">
        <v>738</v>
      </c>
      <c r="AD138" s="1255" t="s">
        <v>362</v>
      </c>
      <c r="AE138" s="1267">
        <v>103.32</v>
      </c>
      <c r="AF138" s="1248">
        <f>AE138*L138</f>
        <v>8265.6</v>
      </c>
      <c r="AG138" s="1258"/>
      <c r="AH138" s="1234" t="s">
        <v>740</v>
      </c>
      <c r="AI138" s="1234" t="s">
        <v>112</v>
      </c>
      <c r="AJ138" s="1234" t="s">
        <v>113</v>
      </c>
      <c r="AK138" s="1188">
        <f>I138</f>
        <v>2880</v>
      </c>
      <c r="AL138" s="1188"/>
      <c r="AM138" s="1188"/>
      <c r="AN138" s="1188">
        <f>I138</f>
        <v>2880</v>
      </c>
      <c r="AO138" s="1188"/>
      <c r="AP138" s="1188"/>
      <c r="AQ138" s="1240"/>
      <c r="AR138" s="1188"/>
      <c r="AS138" s="1236"/>
      <c r="AT138" s="1236"/>
      <c r="AU138" s="1188"/>
      <c r="AV138" s="1250">
        <f>I138*0.06</f>
        <v>172.8</v>
      </c>
      <c r="AW138" s="1250"/>
      <c r="AX138" s="1188">
        <f>I138</f>
        <v>2880</v>
      </c>
      <c r="AY138" s="1188"/>
      <c r="AZ138" s="1188"/>
      <c r="BA138" s="1188"/>
      <c r="BB138" s="1188"/>
      <c r="BC138" s="1188"/>
      <c r="BD138" s="1188"/>
      <c r="BE138" s="1188"/>
      <c r="BF138" s="1188"/>
      <c r="BG138" s="1188"/>
      <c r="BH138" s="1188"/>
      <c r="BI138" s="1188"/>
      <c r="BJ138" s="1188"/>
      <c r="BK138" s="1188"/>
      <c r="BL138" s="1188"/>
      <c r="BM138" s="1188"/>
      <c r="BN138" s="1188"/>
      <c r="BO138" s="1240"/>
      <c r="BP138" s="1240"/>
      <c r="BQ138" s="1188"/>
      <c r="BR138" s="1236"/>
      <c r="BS138" s="1188"/>
      <c r="BT138" s="1188"/>
      <c r="BU138" s="1188"/>
      <c r="BV138" s="1240"/>
      <c r="BW138" s="1188">
        <f>I138/36</f>
        <v>80</v>
      </c>
      <c r="BX138" s="1188"/>
      <c r="BY138" s="1188"/>
      <c r="BZ138" s="1188"/>
      <c r="CA138" s="1188"/>
      <c r="CB138" s="1188"/>
      <c r="CC138" s="1188"/>
      <c r="CD138" s="1188">
        <f t="shared" si="42"/>
        <v>0</v>
      </c>
      <c r="CE138" s="1188">
        <f t="shared" si="43"/>
        <v>0</v>
      </c>
      <c r="CF138" s="1188">
        <f t="shared" si="44"/>
        <v>0</v>
      </c>
      <c r="CG138" s="1188">
        <f t="shared" si="45"/>
        <v>80</v>
      </c>
      <c r="CH138" s="1236"/>
      <c r="CI138" s="1236"/>
      <c r="CJ138" s="1236"/>
      <c r="CK138" s="1188"/>
      <c r="CL138" s="1188"/>
    </row>
    <row r="139" s="1168" customFormat="1" customHeight="1" spans="1:90">
      <c r="A139" s="1245">
        <v>46133</v>
      </c>
      <c r="B139" s="1247" t="s">
        <v>134</v>
      </c>
      <c r="C139" s="1234" t="s">
        <v>135</v>
      </c>
      <c r="D139" s="1268">
        <v>4500203119</v>
      </c>
      <c r="E139" s="1233">
        <v>4400558685</v>
      </c>
      <c r="F139" s="1188" t="s">
        <v>741</v>
      </c>
      <c r="G139" s="1253" t="s">
        <v>270</v>
      </c>
      <c r="H139" s="1234" t="s">
        <v>104</v>
      </c>
      <c r="I139" s="1254">
        <v>8000</v>
      </c>
      <c r="J139" s="1234">
        <v>0</v>
      </c>
      <c r="K139" s="1234">
        <v>25</v>
      </c>
      <c r="L139" s="1246">
        <f t="shared" si="46"/>
        <v>320</v>
      </c>
      <c r="M139" s="1255">
        <v>46169</v>
      </c>
      <c r="N139" s="1255">
        <v>46165</v>
      </c>
      <c r="O139" s="1255"/>
      <c r="P139" s="1233"/>
      <c r="Q139" s="1255" t="s">
        <v>106</v>
      </c>
      <c r="R139" s="1234"/>
      <c r="S139" s="1234"/>
      <c r="T139" s="1233">
        <v>8000</v>
      </c>
      <c r="U139" s="1233">
        <f t="shared" si="47"/>
        <v>0</v>
      </c>
      <c r="V139" s="1234"/>
      <c r="W139" s="1256">
        <v>46141</v>
      </c>
      <c r="X139" s="1257" t="s">
        <v>95</v>
      </c>
      <c r="Y139" s="1257" t="s">
        <v>95</v>
      </c>
      <c r="Z139" s="1188" t="s">
        <v>140</v>
      </c>
      <c r="AA139" s="1188"/>
      <c r="AB139" s="1247"/>
      <c r="AC139" s="1247" t="s">
        <v>742</v>
      </c>
      <c r="AD139" s="1255" t="s">
        <v>142</v>
      </c>
      <c r="AE139" s="1188">
        <v>1.075</v>
      </c>
      <c r="AF139" s="1248">
        <f>I139*AE139</f>
        <v>8600</v>
      </c>
      <c r="AG139" s="1258"/>
      <c r="AH139" s="1234" t="s">
        <v>137</v>
      </c>
      <c r="AI139" s="1234" t="s">
        <v>112</v>
      </c>
      <c r="AJ139" s="1234" t="s">
        <v>113</v>
      </c>
      <c r="AK139" s="1188">
        <f>I139</f>
        <v>8000</v>
      </c>
      <c r="AL139" s="1188"/>
      <c r="AM139" s="1188"/>
      <c r="AN139" s="1188"/>
      <c r="AO139" s="1188"/>
      <c r="AP139" s="1188"/>
      <c r="AQ139" s="1240"/>
      <c r="AR139" s="1188"/>
      <c r="AS139" s="1284"/>
      <c r="AT139" s="1284"/>
      <c r="AU139" s="1188"/>
      <c r="AV139" s="1250">
        <f>I139*0.06</f>
        <v>480</v>
      </c>
      <c r="AW139" s="1250"/>
      <c r="AX139" s="1188"/>
      <c r="AY139" s="1188"/>
      <c r="AZ139" s="1188"/>
      <c r="BA139" s="1188"/>
      <c r="BB139" s="1188"/>
      <c r="BC139" s="1188"/>
      <c r="BD139" s="1188"/>
      <c r="BE139" s="1188"/>
      <c r="BF139" s="1188"/>
      <c r="BG139" s="1188">
        <f>I139</f>
        <v>8000</v>
      </c>
      <c r="BH139" s="1188">
        <f>I139</f>
        <v>8000</v>
      </c>
      <c r="BI139" s="1188"/>
      <c r="BJ139" s="1188"/>
      <c r="BK139" s="1188"/>
      <c r="BL139" s="1188"/>
      <c r="BM139" s="1188"/>
      <c r="BN139" s="1188"/>
      <c r="BO139" s="1235">
        <f>I139/25</f>
        <v>320</v>
      </c>
      <c r="BP139" s="1240"/>
      <c r="BQ139" s="1188"/>
      <c r="BR139" s="1285"/>
      <c r="BS139" s="1188"/>
      <c r="BT139" s="1188"/>
      <c r="BU139" s="1188"/>
      <c r="BV139" s="1240"/>
      <c r="BW139" s="1188"/>
      <c r="BX139" s="1188"/>
      <c r="BY139" s="1188"/>
      <c r="BZ139" s="1188"/>
      <c r="CA139" s="1188"/>
      <c r="CB139" s="1188"/>
      <c r="CC139" s="1188"/>
      <c r="CD139" s="1188">
        <f t="shared" si="42"/>
        <v>320</v>
      </c>
      <c r="CE139" s="1188">
        <f t="shared" si="43"/>
        <v>0</v>
      </c>
      <c r="CF139" s="1188">
        <f t="shared" si="44"/>
        <v>0</v>
      </c>
      <c r="CG139" s="1188">
        <f t="shared" si="45"/>
        <v>0</v>
      </c>
      <c r="CH139" s="1236"/>
      <c r="CI139" s="1236"/>
      <c r="CJ139" s="1236"/>
      <c r="CK139" s="1188"/>
      <c r="CL139" s="1188"/>
    </row>
    <row r="140" s="1168" customFormat="1" customHeight="1" spans="1:90">
      <c r="A140" s="1245">
        <v>46125</v>
      </c>
      <c r="B140" s="1247" t="s">
        <v>743</v>
      </c>
      <c r="C140" s="1234" t="s">
        <v>135</v>
      </c>
      <c r="D140" s="1188">
        <v>4500201277</v>
      </c>
      <c r="E140" s="1234" t="s">
        <v>744</v>
      </c>
      <c r="F140" s="1188" t="s">
        <v>745</v>
      </c>
      <c r="G140" s="1253" t="s">
        <v>746</v>
      </c>
      <c r="H140" s="1234" t="s">
        <v>390</v>
      </c>
      <c r="I140" s="1254">
        <v>4296</v>
      </c>
      <c r="J140" s="1234">
        <v>0</v>
      </c>
      <c r="K140" s="1234">
        <v>12</v>
      </c>
      <c r="L140" s="1246">
        <f t="shared" si="46"/>
        <v>358</v>
      </c>
      <c r="M140" s="1255">
        <v>46169</v>
      </c>
      <c r="N140" s="1255">
        <v>46165</v>
      </c>
      <c r="O140" s="1255"/>
      <c r="P140" s="1233"/>
      <c r="Q140" s="1255" t="s">
        <v>106</v>
      </c>
      <c r="R140" s="1234"/>
      <c r="S140" s="1234" t="s">
        <v>736</v>
      </c>
      <c r="T140" s="1233">
        <v>4296</v>
      </c>
      <c r="U140" s="1233">
        <f t="shared" si="47"/>
        <v>0</v>
      </c>
      <c r="V140" s="1234" t="s">
        <v>120</v>
      </c>
      <c r="W140" s="1256" t="s">
        <v>747</v>
      </c>
      <c r="X140" s="1257" t="s">
        <v>107</v>
      </c>
      <c r="Y140" s="1257" t="s">
        <v>748</v>
      </c>
      <c r="Z140" s="1247" t="s">
        <v>749</v>
      </c>
      <c r="AA140" s="1247"/>
      <c r="AB140" s="1247"/>
      <c r="AC140" s="1247" t="s">
        <v>750</v>
      </c>
      <c r="AD140" s="1255" t="s">
        <v>545</v>
      </c>
      <c r="AE140" s="1188">
        <v>2.29</v>
      </c>
      <c r="AF140" s="1248">
        <f>I140*AE140</f>
        <v>9837.84</v>
      </c>
      <c r="AG140" s="1258"/>
      <c r="AH140" s="1234" t="s">
        <v>389</v>
      </c>
      <c r="AI140" s="1234" t="s">
        <v>112</v>
      </c>
      <c r="AJ140" s="1234" t="s">
        <v>113</v>
      </c>
      <c r="AK140" s="1188">
        <f>I140*2</f>
        <v>8592</v>
      </c>
      <c r="AL140" s="1188"/>
      <c r="AM140" s="1188"/>
      <c r="AN140" s="1188"/>
      <c r="AO140" s="1188"/>
      <c r="AP140" s="1188"/>
      <c r="AQ140" s="1240">
        <f>I140*2</f>
        <v>8592</v>
      </c>
      <c r="AR140" s="1188"/>
      <c r="AS140" s="1236"/>
      <c r="AT140" s="1236"/>
      <c r="AU140" s="1188"/>
      <c r="AV140" s="1250">
        <f>I140*0.06*2</f>
        <v>515.52</v>
      </c>
      <c r="AW140" s="1250">
        <f>I140</f>
        <v>4296</v>
      </c>
      <c r="AX140" s="1188"/>
      <c r="AY140" s="1188"/>
      <c r="AZ140" s="1188"/>
      <c r="BA140" s="1188"/>
      <c r="BB140" s="1188"/>
      <c r="BC140" s="1188"/>
      <c r="BD140" s="1188"/>
      <c r="BE140" s="1188"/>
      <c r="BF140" s="1188"/>
      <c r="BG140" s="1188"/>
      <c r="BH140" s="1188"/>
      <c r="BI140" s="1188"/>
      <c r="BJ140" s="1188"/>
      <c r="BK140" s="1188"/>
      <c r="BL140" s="1188"/>
      <c r="BM140" s="1188"/>
      <c r="BN140" s="1188"/>
      <c r="BO140" s="1240"/>
      <c r="BP140" s="1240"/>
      <c r="BQ140" s="1188"/>
      <c r="BR140" s="1236"/>
      <c r="BS140" s="1188"/>
      <c r="BT140" s="1188"/>
      <c r="BU140" s="1188"/>
      <c r="BV140" s="1240"/>
      <c r="BW140" s="1188"/>
      <c r="BX140" s="1188"/>
      <c r="BY140" s="1188"/>
      <c r="BZ140" s="1188"/>
      <c r="CA140" s="1188"/>
      <c r="CB140" s="1188"/>
      <c r="CC140" s="1188"/>
      <c r="CD140" s="1188">
        <f t="shared" si="42"/>
        <v>0</v>
      </c>
      <c r="CE140" s="1188">
        <f t="shared" si="43"/>
        <v>0</v>
      </c>
      <c r="CF140" s="1188">
        <f t="shared" si="44"/>
        <v>0</v>
      </c>
      <c r="CG140" s="1188">
        <f t="shared" si="45"/>
        <v>0</v>
      </c>
      <c r="CH140" s="1236"/>
      <c r="CI140" s="1236"/>
      <c r="CJ140" s="1236">
        <f>I140</f>
        <v>4296</v>
      </c>
      <c r="CK140" s="1188">
        <f>I140</f>
        <v>4296</v>
      </c>
      <c r="CL140" s="1188">
        <f>I140</f>
        <v>4296</v>
      </c>
    </row>
    <row r="141" s="1168" customFormat="1" customHeight="1" spans="1:90">
      <c r="A141" s="1245">
        <v>46133</v>
      </c>
      <c r="B141" s="1247" t="s">
        <v>751</v>
      </c>
      <c r="C141" s="1234" t="s">
        <v>135</v>
      </c>
      <c r="D141" s="1268">
        <v>4500200368</v>
      </c>
      <c r="E141" s="1233">
        <v>406063</v>
      </c>
      <c r="F141" s="1188" t="s">
        <v>752</v>
      </c>
      <c r="G141" s="1253" t="s">
        <v>753</v>
      </c>
      <c r="H141" s="1234" t="s">
        <v>390</v>
      </c>
      <c r="I141" s="1254">
        <v>720</v>
      </c>
      <c r="J141" s="1234">
        <v>0</v>
      </c>
      <c r="K141" s="1234">
        <v>12</v>
      </c>
      <c r="L141" s="1246">
        <f t="shared" si="46"/>
        <v>60</v>
      </c>
      <c r="M141" s="1255">
        <v>46169</v>
      </c>
      <c r="N141" s="1255">
        <v>46165</v>
      </c>
      <c r="O141" s="1255"/>
      <c r="P141" s="1233"/>
      <c r="Q141" s="1255" t="s">
        <v>106</v>
      </c>
      <c r="R141" s="1234"/>
      <c r="S141" s="1234" t="s">
        <v>736</v>
      </c>
      <c r="T141" s="1233">
        <v>720</v>
      </c>
      <c r="U141" s="1233">
        <f t="shared" si="47"/>
        <v>0</v>
      </c>
      <c r="V141" s="1234"/>
      <c r="W141" s="1256" t="s">
        <v>754</v>
      </c>
      <c r="X141" s="1257" t="s">
        <v>95</v>
      </c>
      <c r="Y141" s="1257" t="s">
        <v>755</v>
      </c>
      <c r="Z141" s="1188" t="s">
        <v>140</v>
      </c>
      <c r="AA141" s="1188"/>
      <c r="AB141" s="1247"/>
      <c r="AC141" s="1247" t="s">
        <v>756</v>
      </c>
      <c r="AD141" s="1255" t="s">
        <v>757</v>
      </c>
      <c r="AE141" s="1188">
        <v>2.29</v>
      </c>
      <c r="AF141" s="1248">
        <f>I141*AE141</f>
        <v>1648.8</v>
      </c>
      <c r="AG141" s="1258"/>
      <c r="AH141" s="1234" t="s">
        <v>753</v>
      </c>
      <c r="AI141" s="1234" t="s">
        <v>112</v>
      </c>
      <c r="AJ141" s="1234" t="s">
        <v>113</v>
      </c>
      <c r="AK141" s="1188">
        <f>I141*2</f>
        <v>1440</v>
      </c>
      <c r="AL141" s="1188"/>
      <c r="AM141" s="1188"/>
      <c r="AN141" s="1188"/>
      <c r="AO141" s="1188"/>
      <c r="AP141" s="1188"/>
      <c r="AQ141" s="1240"/>
      <c r="AR141" s="1188">
        <f>I141*2</f>
        <v>1440</v>
      </c>
      <c r="AS141" s="1236"/>
      <c r="AT141" s="1236"/>
      <c r="AU141" s="1188"/>
      <c r="AV141" s="1250">
        <f>I141*0.06*2</f>
        <v>86.4</v>
      </c>
      <c r="AW141" s="1250">
        <f>I141</f>
        <v>720</v>
      </c>
      <c r="AX141" s="1188"/>
      <c r="AY141" s="1188"/>
      <c r="AZ141" s="1188"/>
      <c r="BA141" s="1188"/>
      <c r="BB141" s="1188"/>
      <c r="BC141" s="1188"/>
      <c r="BD141" s="1188"/>
      <c r="BE141" s="1188"/>
      <c r="BF141" s="1188"/>
      <c r="BG141" s="1188"/>
      <c r="BH141" s="1188"/>
      <c r="BI141" s="1188"/>
      <c r="BJ141" s="1188"/>
      <c r="BK141" s="1188"/>
      <c r="BL141" s="1188"/>
      <c r="BM141" s="1188"/>
      <c r="BN141" s="1188"/>
      <c r="BO141" s="1240"/>
      <c r="BP141" s="1240"/>
      <c r="BQ141" s="1188"/>
      <c r="BR141" s="1236"/>
      <c r="BS141" s="1188"/>
      <c r="BT141" s="1188"/>
      <c r="BU141" s="1188"/>
      <c r="BV141" s="1240"/>
      <c r="BW141" s="1188"/>
      <c r="BX141" s="1188"/>
      <c r="BY141" s="1188"/>
      <c r="BZ141" s="1188"/>
      <c r="CA141" s="1188"/>
      <c r="CB141" s="1188"/>
      <c r="CC141" s="1188"/>
      <c r="CD141" s="1188">
        <f t="shared" si="42"/>
        <v>0</v>
      </c>
      <c r="CE141" s="1188">
        <f t="shared" si="43"/>
        <v>0</v>
      </c>
      <c r="CF141" s="1188">
        <f t="shared" si="44"/>
        <v>0</v>
      </c>
      <c r="CG141" s="1188">
        <f t="shared" si="45"/>
        <v>0</v>
      </c>
      <c r="CH141" s="1236"/>
      <c r="CI141" s="1236"/>
      <c r="CJ141" s="1236">
        <f>I141</f>
        <v>720</v>
      </c>
      <c r="CK141" s="1188">
        <f>I141</f>
        <v>720</v>
      </c>
      <c r="CL141" s="1188">
        <f>I141</f>
        <v>720</v>
      </c>
    </row>
    <row r="142" s="1168" customFormat="1" ht="31" customHeight="1" spans="1:90">
      <c r="A142" s="1245">
        <v>46084</v>
      </c>
      <c r="B142" s="1247" t="s">
        <v>480</v>
      </c>
      <c r="C142" s="1234" t="s">
        <v>115</v>
      </c>
      <c r="D142" s="1188">
        <v>4500194944</v>
      </c>
      <c r="E142" s="1233">
        <v>1710512326</v>
      </c>
      <c r="F142" s="1188" t="s">
        <v>758</v>
      </c>
      <c r="G142" s="1253" t="s">
        <v>482</v>
      </c>
      <c r="H142" s="1234" t="s">
        <v>483</v>
      </c>
      <c r="I142" s="1254">
        <v>4320</v>
      </c>
      <c r="J142" s="1234">
        <v>0</v>
      </c>
      <c r="K142" s="1234">
        <v>120</v>
      </c>
      <c r="L142" s="1246">
        <f t="shared" si="46"/>
        <v>36</v>
      </c>
      <c r="M142" s="1255">
        <v>46169</v>
      </c>
      <c r="N142" s="1255">
        <v>46165</v>
      </c>
      <c r="O142" s="1255"/>
      <c r="P142" s="1233"/>
      <c r="Q142" s="1286" t="s">
        <v>106</v>
      </c>
      <c r="R142" s="1234" t="s">
        <v>485</v>
      </c>
      <c r="S142" s="1234" t="s">
        <v>736</v>
      </c>
      <c r="T142" s="652">
        <v>4320</v>
      </c>
      <c r="U142" s="1233">
        <f t="shared" si="47"/>
        <v>0</v>
      </c>
      <c r="V142" s="1234"/>
      <c r="W142" s="1256" t="s">
        <v>759</v>
      </c>
      <c r="X142" s="1257" t="s">
        <v>107</v>
      </c>
      <c r="Y142" s="1257" t="s">
        <v>95</v>
      </c>
      <c r="Z142" s="1247"/>
      <c r="AA142" s="1247"/>
      <c r="AB142" s="1247"/>
      <c r="AC142" s="1247" t="s">
        <v>636</v>
      </c>
      <c r="AD142" s="1255" t="s">
        <v>488</v>
      </c>
      <c r="AE142" s="1188">
        <v>642</v>
      </c>
      <c r="AF142" s="1248">
        <f>L142*AE142</f>
        <v>23112</v>
      </c>
      <c r="AG142" s="1249" t="s">
        <v>760</v>
      </c>
      <c r="AH142" s="1234" t="s">
        <v>490</v>
      </c>
      <c r="AI142" s="1234" t="s">
        <v>112</v>
      </c>
      <c r="AJ142" s="1234" t="s">
        <v>113</v>
      </c>
      <c r="AK142" s="1188"/>
      <c r="AL142" s="1188">
        <f>I142*3</f>
        <v>12960</v>
      </c>
      <c r="AM142" s="1188"/>
      <c r="AN142" s="1188"/>
      <c r="AO142" s="1188"/>
      <c r="AP142" s="1188"/>
      <c r="AQ142" s="1240"/>
      <c r="AR142" s="1188"/>
      <c r="AS142" s="1236"/>
      <c r="AT142" s="1236"/>
      <c r="AU142" s="1188"/>
      <c r="AV142" s="1250">
        <f>I142*0.06*2</f>
        <v>518.4</v>
      </c>
      <c r="AW142" s="1250"/>
      <c r="AX142" s="1188"/>
      <c r="AY142" s="1188"/>
      <c r="AZ142" s="1188"/>
      <c r="BA142" s="1188"/>
      <c r="BB142" s="1188">
        <f>I142*3</f>
        <v>12960</v>
      </c>
      <c r="BC142" s="1188">
        <f>I142*3</f>
        <v>12960</v>
      </c>
      <c r="BD142" s="1188">
        <f>I142*3</f>
        <v>12960</v>
      </c>
      <c r="BE142" s="1188">
        <f>I142</f>
        <v>4320</v>
      </c>
      <c r="BF142" s="1188">
        <f>I142/6</f>
        <v>720</v>
      </c>
      <c r="BG142" s="1188"/>
      <c r="BH142" s="1188"/>
      <c r="BI142" s="1188"/>
      <c r="BJ142" s="1188"/>
      <c r="BK142" s="1188"/>
      <c r="BL142" s="1188"/>
      <c r="BM142" s="1188"/>
      <c r="BN142" s="1188"/>
      <c r="BO142" s="1240"/>
      <c r="BP142" s="1240"/>
      <c r="BQ142" s="1188"/>
      <c r="BR142" s="1236"/>
      <c r="BS142" s="1236"/>
      <c r="BT142" s="1188"/>
      <c r="BU142" s="1188"/>
      <c r="BV142" s="1240"/>
      <c r="BW142" s="1188"/>
      <c r="BX142" s="1188"/>
      <c r="BY142" s="1188"/>
      <c r="BZ142" s="1188"/>
      <c r="CA142" s="1188"/>
      <c r="CB142" s="1188"/>
      <c r="CC142" s="1188"/>
      <c r="CD142" s="1188">
        <f t="shared" si="42"/>
        <v>0</v>
      </c>
      <c r="CE142" s="1188">
        <f t="shared" si="43"/>
        <v>0</v>
      </c>
      <c r="CF142" s="1188">
        <f t="shared" si="44"/>
        <v>0</v>
      </c>
      <c r="CG142" s="1188">
        <f t="shared" si="45"/>
        <v>0</v>
      </c>
      <c r="CH142" s="1236"/>
      <c r="CI142" s="1236"/>
      <c r="CJ142" s="1236"/>
      <c r="CK142" s="1188"/>
      <c r="CL142" s="1188"/>
    </row>
    <row r="143" s="1168" customFormat="1" ht="31" customHeight="1" spans="1:90">
      <c r="A143" s="1245">
        <v>46097</v>
      </c>
      <c r="B143" s="1247" t="s">
        <v>761</v>
      </c>
      <c r="C143" s="1234" t="s">
        <v>115</v>
      </c>
      <c r="D143" s="1188">
        <v>4500197095</v>
      </c>
      <c r="E143" s="1234" t="s">
        <v>762</v>
      </c>
      <c r="F143" s="1188" t="s">
        <v>763</v>
      </c>
      <c r="G143" s="1253" t="s">
        <v>289</v>
      </c>
      <c r="H143" s="1234" t="s">
        <v>194</v>
      </c>
      <c r="I143" s="1254">
        <v>8697</v>
      </c>
      <c r="J143" s="1234">
        <v>0</v>
      </c>
      <c r="K143" s="1234">
        <v>13</v>
      </c>
      <c r="L143" s="1246">
        <f t="shared" si="46"/>
        <v>669</v>
      </c>
      <c r="M143" s="1255">
        <v>46169</v>
      </c>
      <c r="N143" s="1255">
        <v>46213</v>
      </c>
      <c r="O143" s="1255"/>
      <c r="P143" s="1233" t="s">
        <v>764</v>
      </c>
      <c r="Q143" s="1286" t="s">
        <v>106</v>
      </c>
      <c r="R143" s="1234"/>
      <c r="S143" s="1234" t="s">
        <v>718</v>
      </c>
      <c r="T143" s="1233">
        <v>8697</v>
      </c>
      <c r="U143" s="1233">
        <f t="shared" si="47"/>
        <v>0</v>
      </c>
      <c r="V143" s="1234"/>
      <c r="W143" s="1256">
        <v>46125</v>
      </c>
      <c r="X143" s="1257" t="s">
        <v>95</v>
      </c>
      <c r="Y143" s="1257" t="s">
        <v>95</v>
      </c>
      <c r="Z143" s="1247"/>
      <c r="AA143" s="1247"/>
      <c r="AB143" s="1247" t="s">
        <v>765</v>
      </c>
      <c r="AC143" s="1247" t="s">
        <v>766</v>
      </c>
      <c r="AD143" s="1248" t="s">
        <v>767</v>
      </c>
      <c r="AE143" s="1247">
        <v>0.72</v>
      </c>
      <c r="AF143" s="1248">
        <f t="shared" ref="AF143:AF149" si="48">I143*AE143</f>
        <v>6261.84</v>
      </c>
      <c r="AG143" s="1249" t="s">
        <v>768</v>
      </c>
      <c r="AH143" s="1234" t="s">
        <v>289</v>
      </c>
      <c r="AI143" s="1234" t="s">
        <v>112</v>
      </c>
      <c r="AJ143" s="1234" t="s">
        <v>769</v>
      </c>
      <c r="AK143" s="1188">
        <f>I143</f>
        <v>8697</v>
      </c>
      <c r="AL143" s="1188"/>
      <c r="AM143" s="1188"/>
      <c r="AN143" s="1188">
        <f>I143</f>
        <v>8697</v>
      </c>
      <c r="AO143" s="1188"/>
      <c r="AP143" s="1188"/>
      <c r="AQ143" s="1240"/>
      <c r="AR143" s="1188"/>
      <c r="AS143" s="1236"/>
      <c r="AT143" s="1236"/>
      <c r="AU143" s="1188">
        <f>I143</f>
        <v>8697</v>
      </c>
      <c r="AV143" s="1250">
        <f>I143*0.06</f>
        <v>521.82</v>
      </c>
      <c r="AW143" s="1250"/>
      <c r="AX143" s="1188"/>
      <c r="AY143" s="1188"/>
      <c r="AZ143" s="1188"/>
      <c r="BA143" s="1188"/>
      <c r="BB143" s="1188"/>
      <c r="BC143" s="1188"/>
      <c r="BD143" s="1188"/>
      <c r="BE143" s="1188"/>
      <c r="BF143" s="1188"/>
      <c r="BG143" s="1188"/>
      <c r="BH143" s="1188"/>
      <c r="BI143" s="1188"/>
      <c r="BJ143" s="1188"/>
      <c r="BK143" s="1188">
        <f>I143/13</f>
        <v>669</v>
      </c>
      <c r="BL143" s="1188"/>
      <c r="BM143" s="1188"/>
      <c r="BN143" s="1188"/>
      <c r="BO143" s="1240"/>
      <c r="BP143" s="1240"/>
      <c r="BQ143" s="1188"/>
      <c r="BR143" s="1236"/>
      <c r="BS143" s="1188"/>
      <c r="BT143" s="1188"/>
      <c r="BU143" s="1188"/>
      <c r="BV143" s="1240"/>
      <c r="BW143" s="1188"/>
      <c r="BX143" s="1188"/>
      <c r="BY143" s="1188"/>
      <c r="BZ143" s="1188"/>
      <c r="CA143" s="1188"/>
      <c r="CB143" s="1188"/>
      <c r="CC143" s="1188"/>
      <c r="CD143" s="1188">
        <f t="shared" si="42"/>
        <v>0</v>
      </c>
      <c r="CE143" s="1188">
        <f t="shared" si="43"/>
        <v>0</v>
      </c>
      <c r="CF143" s="1188">
        <f t="shared" si="44"/>
        <v>0</v>
      </c>
      <c r="CG143" s="1188">
        <f t="shared" si="45"/>
        <v>0</v>
      </c>
      <c r="CH143" s="1236"/>
      <c r="CI143" s="1236"/>
      <c r="CJ143" s="1236"/>
      <c r="CK143" s="1188"/>
      <c r="CL143" s="1188"/>
    </row>
    <row r="144" s="1168" customFormat="1" customHeight="1" spans="1:90">
      <c r="A144" s="1245">
        <v>46115</v>
      </c>
      <c r="B144" s="1247" t="s">
        <v>770</v>
      </c>
      <c r="C144" s="1234" t="s">
        <v>771</v>
      </c>
      <c r="D144" s="1268">
        <v>4500200037</v>
      </c>
      <c r="E144" s="1234" t="s">
        <v>628</v>
      </c>
      <c r="F144" s="1188" t="s">
        <v>772</v>
      </c>
      <c r="G144" s="1253" t="s">
        <v>146</v>
      </c>
      <c r="H144" s="1234" t="s">
        <v>104</v>
      </c>
      <c r="I144" s="1254">
        <v>700</v>
      </c>
      <c r="J144" s="1234">
        <v>0</v>
      </c>
      <c r="K144" s="1234">
        <v>25</v>
      </c>
      <c r="L144" s="1246">
        <f t="shared" si="46"/>
        <v>28</v>
      </c>
      <c r="M144" s="1255">
        <v>46170</v>
      </c>
      <c r="N144" s="1255">
        <v>46167</v>
      </c>
      <c r="O144" s="1255"/>
      <c r="P144" s="1233"/>
      <c r="Q144" s="1255" t="s">
        <v>106</v>
      </c>
      <c r="R144" s="1234"/>
      <c r="S144" s="1234"/>
      <c r="T144" s="1233">
        <v>700</v>
      </c>
      <c r="U144" s="1233">
        <f t="shared" si="47"/>
        <v>0</v>
      </c>
      <c r="V144" s="1234"/>
      <c r="W144" s="1256">
        <v>46127</v>
      </c>
      <c r="X144" s="1257" t="s">
        <v>95</v>
      </c>
      <c r="Y144" s="1257" t="s">
        <v>773</v>
      </c>
      <c r="Z144" s="1247"/>
      <c r="AA144" s="1247"/>
      <c r="AB144" s="1247"/>
      <c r="AC144" s="1247" t="s">
        <v>774</v>
      </c>
      <c r="AD144" s="1255" t="s">
        <v>775</v>
      </c>
      <c r="AE144" s="1188">
        <v>1.27</v>
      </c>
      <c r="AF144" s="1248">
        <f t="shared" si="48"/>
        <v>889</v>
      </c>
      <c r="AG144" s="1258"/>
      <c r="AH144" s="1234" t="s">
        <v>111</v>
      </c>
      <c r="AI144" s="1234" t="s">
        <v>112</v>
      </c>
      <c r="AJ144" s="1234" t="s">
        <v>113</v>
      </c>
      <c r="AK144" s="1188">
        <f>I144</f>
        <v>700</v>
      </c>
      <c r="AL144" s="1188"/>
      <c r="AM144" s="1188"/>
      <c r="AN144" s="1188"/>
      <c r="AO144" s="1188"/>
      <c r="AP144" s="1188">
        <f>I139</f>
        <v>8000</v>
      </c>
      <c r="AQ144" s="1240"/>
      <c r="AR144" s="1188"/>
      <c r="AS144" s="1236"/>
      <c r="AT144" s="1236"/>
      <c r="AU144" s="1188">
        <f>I144</f>
        <v>700</v>
      </c>
      <c r="AV144" s="1250">
        <f>I144*0.06</f>
        <v>42</v>
      </c>
      <c r="AW144" s="1250"/>
      <c r="AX144" s="1188"/>
      <c r="AY144" s="1188"/>
      <c r="AZ144" s="1188"/>
      <c r="BA144" s="1188"/>
      <c r="BB144" s="1188"/>
      <c r="BC144" s="1188"/>
      <c r="BD144" s="1188"/>
      <c r="BE144" s="1188"/>
      <c r="BF144" s="1188"/>
      <c r="BG144" s="1188"/>
      <c r="BH144" s="1188"/>
      <c r="BI144" s="1188"/>
      <c r="BJ144" s="1188"/>
      <c r="BK144" s="1188"/>
      <c r="BL144" s="1188"/>
      <c r="BM144" s="1188"/>
      <c r="BN144" s="1188"/>
      <c r="BO144" s="1235">
        <f>I144/25</f>
        <v>28</v>
      </c>
      <c r="BP144" s="1240"/>
      <c r="BQ144" s="1188"/>
      <c r="BR144" s="1236"/>
      <c r="BS144" s="1188"/>
      <c r="BT144" s="1188"/>
      <c r="BU144" s="1188"/>
      <c r="BV144" s="1240"/>
      <c r="BW144" s="1188"/>
      <c r="BX144" s="1188"/>
      <c r="BY144" s="1188"/>
      <c r="BZ144" s="1188"/>
      <c r="CA144" s="1188"/>
      <c r="CB144" s="1188"/>
      <c r="CC144" s="1188"/>
      <c r="CD144" s="1188">
        <f t="shared" si="42"/>
        <v>28</v>
      </c>
      <c r="CE144" s="1188">
        <f t="shared" si="43"/>
        <v>0</v>
      </c>
      <c r="CF144" s="1188">
        <f t="shared" si="44"/>
        <v>0</v>
      </c>
      <c r="CG144" s="1188">
        <f t="shared" si="45"/>
        <v>0</v>
      </c>
      <c r="CH144" s="1236"/>
      <c r="CI144" s="1236"/>
      <c r="CJ144" s="1236"/>
      <c r="CK144" s="1188"/>
      <c r="CL144" s="1188"/>
    </row>
    <row r="145" s="1168" customFormat="1" customHeight="1" spans="1:90">
      <c r="A145" s="1245">
        <v>46115</v>
      </c>
      <c r="B145" s="1247" t="s">
        <v>386</v>
      </c>
      <c r="C145" s="1234" t="s">
        <v>115</v>
      </c>
      <c r="D145" s="1268">
        <v>4500200093</v>
      </c>
      <c r="E145" s="1234" t="s">
        <v>776</v>
      </c>
      <c r="F145" s="1188" t="s">
        <v>777</v>
      </c>
      <c r="G145" s="1253" t="s">
        <v>389</v>
      </c>
      <c r="H145" s="1234" t="s">
        <v>390</v>
      </c>
      <c r="I145" s="1254">
        <v>5892</v>
      </c>
      <c r="J145" s="1234">
        <v>0</v>
      </c>
      <c r="K145" s="1234">
        <v>12</v>
      </c>
      <c r="L145" s="1246">
        <f t="shared" si="46"/>
        <v>491</v>
      </c>
      <c r="M145" s="1255">
        <v>46170</v>
      </c>
      <c r="N145" s="1255">
        <f>M145-3</f>
        <v>46167</v>
      </c>
      <c r="O145" s="1255"/>
      <c r="P145" s="1233"/>
      <c r="Q145" s="1255" t="s">
        <v>106</v>
      </c>
      <c r="R145" s="1234"/>
      <c r="S145" s="1234"/>
      <c r="T145" s="1233">
        <v>5892</v>
      </c>
      <c r="U145" s="1233">
        <f t="shared" si="47"/>
        <v>0</v>
      </c>
      <c r="V145" s="1234" t="s">
        <v>120</v>
      </c>
      <c r="W145" s="1256">
        <v>46119</v>
      </c>
      <c r="X145" s="1257" t="s">
        <v>107</v>
      </c>
      <c r="Y145" s="1257" t="s">
        <v>778</v>
      </c>
      <c r="Z145" s="1247"/>
      <c r="AA145" s="1247"/>
      <c r="AB145" s="1247"/>
      <c r="AC145" s="1257" t="s">
        <v>779</v>
      </c>
      <c r="AD145" s="1255" t="s">
        <v>557</v>
      </c>
      <c r="AE145" s="1267">
        <v>1.374</v>
      </c>
      <c r="AF145" s="1248">
        <f t="shared" si="48"/>
        <v>8095.608</v>
      </c>
      <c r="AG145" s="1249" t="s">
        <v>780</v>
      </c>
      <c r="AH145" s="1234" t="s">
        <v>389</v>
      </c>
      <c r="AI145" s="1234" t="s">
        <v>112</v>
      </c>
      <c r="AJ145" s="1234" t="s">
        <v>113</v>
      </c>
      <c r="AK145" s="1188">
        <f>I145*2</f>
        <v>11784</v>
      </c>
      <c r="AL145" s="1188"/>
      <c r="AM145" s="1188"/>
      <c r="AN145" s="1188"/>
      <c r="AO145" s="1188"/>
      <c r="AP145" s="1188"/>
      <c r="AQ145" s="1240">
        <f>I145*2</f>
        <v>11784</v>
      </c>
      <c r="AR145" s="1188"/>
      <c r="AS145" s="1236"/>
      <c r="AT145" s="1236"/>
      <c r="AU145" s="1188">
        <f>I145*2</f>
        <v>11784</v>
      </c>
      <c r="AV145" s="1250">
        <f>I145*0.06*2</f>
        <v>707.04</v>
      </c>
      <c r="AW145" s="1250"/>
      <c r="AX145" s="1188"/>
      <c r="AY145" s="1188"/>
      <c r="AZ145" s="1188"/>
      <c r="BA145" s="1188"/>
      <c r="BB145" s="1188"/>
      <c r="BC145" s="1188"/>
      <c r="BD145" s="1188"/>
      <c r="BE145" s="1188"/>
      <c r="BF145" s="1188"/>
      <c r="BG145" s="1188"/>
      <c r="BH145" s="1188"/>
      <c r="BI145" s="1188"/>
      <c r="BJ145" s="1188"/>
      <c r="BK145" s="1188"/>
      <c r="BL145" s="1188"/>
      <c r="BM145" s="1188"/>
      <c r="BN145" s="1188"/>
      <c r="BO145" s="1240"/>
      <c r="BP145" s="1240"/>
      <c r="BQ145" s="1188"/>
      <c r="BR145" s="1236"/>
      <c r="BS145" s="1188"/>
      <c r="BT145" s="1188"/>
      <c r="BU145" s="1188"/>
      <c r="BV145" s="1240"/>
      <c r="BW145" s="1188"/>
      <c r="BX145" s="1188"/>
      <c r="BY145" s="1188"/>
      <c r="BZ145" s="1188"/>
      <c r="CA145" s="1188"/>
      <c r="CB145" s="1188"/>
      <c r="CC145" s="1188"/>
      <c r="CD145" s="1188">
        <f t="shared" si="42"/>
        <v>0</v>
      </c>
      <c r="CE145" s="1188">
        <f t="shared" si="43"/>
        <v>0</v>
      </c>
      <c r="CF145" s="1188">
        <f t="shared" si="44"/>
        <v>0</v>
      </c>
      <c r="CG145" s="1188">
        <f t="shared" si="45"/>
        <v>0</v>
      </c>
      <c r="CH145" s="1236"/>
      <c r="CI145" s="1236"/>
      <c r="CJ145" s="1236">
        <f>I145</f>
        <v>5892</v>
      </c>
      <c r="CK145" s="1188">
        <f>I145</f>
        <v>5892</v>
      </c>
      <c r="CL145" s="1188">
        <f>I145</f>
        <v>5892</v>
      </c>
    </row>
    <row r="146" s="1168" customFormat="1" customHeight="1" spans="1:90">
      <c r="A146" s="1245">
        <v>46115</v>
      </c>
      <c r="B146" s="1247" t="s">
        <v>386</v>
      </c>
      <c r="C146" s="1234" t="s">
        <v>115</v>
      </c>
      <c r="D146" s="1268">
        <v>4500200093</v>
      </c>
      <c r="E146" s="1234" t="s">
        <v>781</v>
      </c>
      <c r="F146" s="1188" t="s">
        <v>782</v>
      </c>
      <c r="G146" s="1253" t="s">
        <v>389</v>
      </c>
      <c r="H146" s="1234" t="s">
        <v>390</v>
      </c>
      <c r="I146" s="1254">
        <v>5832</v>
      </c>
      <c r="J146" s="1234">
        <v>0</v>
      </c>
      <c r="K146" s="1234">
        <v>12</v>
      </c>
      <c r="L146" s="1246">
        <f t="shared" si="46"/>
        <v>486</v>
      </c>
      <c r="M146" s="1255">
        <v>46170</v>
      </c>
      <c r="N146" s="1255">
        <f>M146-3</f>
        <v>46167</v>
      </c>
      <c r="O146" s="1255"/>
      <c r="P146" s="1233"/>
      <c r="Q146" s="1255" t="s">
        <v>106</v>
      </c>
      <c r="R146" s="1234"/>
      <c r="S146" s="1234"/>
      <c r="T146" s="1233">
        <v>5832</v>
      </c>
      <c r="U146" s="1233">
        <f t="shared" si="47"/>
        <v>0</v>
      </c>
      <c r="V146" s="1234" t="s">
        <v>120</v>
      </c>
      <c r="W146" s="1256">
        <v>46119</v>
      </c>
      <c r="X146" s="1257" t="s">
        <v>107</v>
      </c>
      <c r="Y146" s="1257" t="s">
        <v>778</v>
      </c>
      <c r="Z146" s="1247"/>
      <c r="AA146" s="1247"/>
      <c r="AB146" s="1247"/>
      <c r="AC146" s="1257" t="s">
        <v>779</v>
      </c>
      <c r="AD146" s="1255" t="s">
        <v>557</v>
      </c>
      <c r="AE146" s="1267">
        <v>1.374</v>
      </c>
      <c r="AF146" s="1248">
        <f t="shared" si="48"/>
        <v>8013.168</v>
      </c>
      <c r="AG146" s="1249" t="s">
        <v>780</v>
      </c>
      <c r="AH146" s="1234" t="s">
        <v>389</v>
      </c>
      <c r="AI146" s="1234" t="s">
        <v>112</v>
      </c>
      <c r="AJ146" s="1234" t="s">
        <v>113</v>
      </c>
      <c r="AK146" s="1188">
        <f>I146*2</f>
        <v>11664</v>
      </c>
      <c r="AL146" s="1188"/>
      <c r="AM146" s="1188"/>
      <c r="AN146" s="1188"/>
      <c r="AO146" s="1188"/>
      <c r="AP146" s="1188"/>
      <c r="AQ146" s="1240">
        <f>I146*2</f>
        <v>11664</v>
      </c>
      <c r="AR146" s="1188"/>
      <c r="AS146" s="1236"/>
      <c r="AT146" s="1236"/>
      <c r="AU146" s="1188">
        <f>I146*2</f>
        <v>11664</v>
      </c>
      <c r="AV146" s="1250">
        <f>I146*0.06*2</f>
        <v>699.84</v>
      </c>
      <c r="AW146" s="1250"/>
      <c r="AX146" s="1188"/>
      <c r="AY146" s="1188"/>
      <c r="AZ146" s="1188"/>
      <c r="BA146" s="1188"/>
      <c r="BB146" s="1188"/>
      <c r="BC146" s="1188"/>
      <c r="BD146" s="1188"/>
      <c r="BE146" s="1188"/>
      <c r="BF146" s="1188"/>
      <c r="BG146" s="1188"/>
      <c r="BH146" s="1188"/>
      <c r="BI146" s="1188"/>
      <c r="BJ146" s="1188"/>
      <c r="BK146" s="1188"/>
      <c r="BL146" s="1188"/>
      <c r="BM146" s="1188"/>
      <c r="BN146" s="1188"/>
      <c r="BO146" s="1240"/>
      <c r="BP146" s="1240"/>
      <c r="BQ146" s="1188"/>
      <c r="BR146" s="1236"/>
      <c r="BS146" s="1188"/>
      <c r="BT146" s="1188"/>
      <c r="BU146" s="1188"/>
      <c r="BV146" s="1240"/>
      <c r="BW146" s="1188"/>
      <c r="BX146" s="1188"/>
      <c r="BY146" s="1188"/>
      <c r="BZ146" s="1188"/>
      <c r="CA146" s="1188"/>
      <c r="CB146" s="1188"/>
      <c r="CC146" s="1188"/>
      <c r="CD146" s="1188">
        <f t="shared" si="42"/>
        <v>0</v>
      </c>
      <c r="CE146" s="1188">
        <f t="shared" si="43"/>
        <v>0</v>
      </c>
      <c r="CF146" s="1188">
        <f t="shared" si="44"/>
        <v>0</v>
      </c>
      <c r="CG146" s="1188">
        <f t="shared" si="45"/>
        <v>0</v>
      </c>
      <c r="CH146" s="1236"/>
      <c r="CI146" s="1236"/>
      <c r="CJ146" s="1236">
        <f>I146</f>
        <v>5832</v>
      </c>
      <c r="CK146" s="1188">
        <f>I146</f>
        <v>5832</v>
      </c>
      <c r="CL146" s="1188">
        <f>I146</f>
        <v>5832</v>
      </c>
    </row>
    <row r="147" s="1168" customFormat="1" customHeight="1" spans="1:90">
      <c r="A147" s="1245">
        <v>46115</v>
      </c>
      <c r="B147" s="1247" t="s">
        <v>386</v>
      </c>
      <c r="C147" s="1234" t="s">
        <v>115</v>
      </c>
      <c r="D147" s="1268">
        <v>4500200069</v>
      </c>
      <c r="E147" s="1234" t="s">
        <v>783</v>
      </c>
      <c r="F147" s="1188" t="s">
        <v>784</v>
      </c>
      <c r="G147" s="1253" t="s">
        <v>389</v>
      </c>
      <c r="H147" s="1234" t="s">
        <v>390</v>
      </c>
      <c r="I147" s="1254">
        <v>6960</v>
      </c>
      <c r="J147" s="1234">
        <v>0</v>
      </c>
      <c r="K147" s="1234">
        <v>12</v>
      </c>
      <c r="L147" s="1246">
        <f t="shared" si="46"/>
        <v>580</v>
      </c>
      <c r="M147" s="1255">
        <v>46170</v>
      </c>
      <c r="N147" s="1255">
        <v>46167</v>
      </c>
      <c r="O147" s="1255"/>
      <c r="P147" s="1233"/>
      <c r="Q147" s="1255" t="s">
        <v>106</v>
      </c>
      <c r="R147" s="1234"/>
      <c r="S147" s="1234"/>
      <c r="T147" s="1233">
        <v>6960</v>
      </c>
      <c r="U147" s="1233">
        <f t="shared" si="47"/>
        <v>0</v>
      </c>
      <c r="V147" s="1234" t="s">
        <v>120</v>
      </c>
      <c r="W147" s="1256">
        <v>46119</v>
      </c>
      <c r="X147" s="1257" t="s">
        <v>107</v>
      </c>
      <c r="Y147" s="1257" t="s">
        <v>778</v>
      </c>
      <c r="Z147" s="1247"/>
      <c r="AA147" s="1247"/>
      <c r="AB147" s="1247"/>
      <c r="AC147" s="1257" t="s">
        <v>785</v>
      </c>
      <c r="AD147" s="1255" t="s">
        <v>393</v>
      </c>
      <c r="AE147" s="1267">
        <v>1.374</v>
      </c>
      <c r="AF147" s="1248">
        <f t="shared" si="48"/>
        <v>9563.04</v>
      </c>
      <c r="AG147" s="1249" t="s">
        <v>786</v>
      </c>
      <c r="AH147" s="1234" t="s">
        <v>389</v>
      </c>
      <c r="AI147" s="1234" t="s">
        <v>112</v>
      </c>
      <c r="AJ147" s="1234" t="s">
        <v>113</v>
      </c>
      <c r="AK147" s="1188">
        <f>I147*2</f>
        <v>13920</v>
      </c>
      <c r="AL147" s="1188"/>
      <c r="AM147" s="1188"/>
      <c r="AN147" s="1188"/>
      <c r="AO147" s="1188"/>
      <c r="AP147" s="1188"/>
      <c r="AQ147" s="1240">
        <f>I147*2</f>
        <v>13920</v>
      </c>
      <c r="AR147" s="1188"/>
      <c r="AS147" s="1236"/>
      <c r="AT147" s="1236"/>
      <c r="AU147" s="1188">
        <f>I147*2</f>
        <v>13920</v>
      </c>
      <c r="AV147" s="1250">
        <f>I147*0.06*2</f>
        <v>835.2</v>
      </c>
      <c r="AW147" s="1250"/>
      <c r="AX147" s="1188"/>
      <c r="AY147" s="1188"/>
      <c r="AZ147" s="1188"/>
      <c r="BA147" s="1188"/>
      <c r="BB147" s="1188"/>
      <c r="BC147" s="1188"/>
      <c r="BD147" s="1188"/>
      <c r="BE147" s="1188"/>
      <c r="BF147" s="1188"/>
      <c r="BG147" s="1188"/>
      <c r="BH147" s="1188"/>
      <c r="BI147" s="1188"/>
      <c r="BJ147" s="1188"/>
      <c r="BK147" s="1188"/>
      <c r="BL147" s="1188"/>
      <c r="BM147" s="1188"/>
      <c r="BN147" s="1188"/>
      <c r="BO147" s="1240"/>
      <c r="BP147" s="1240"/>
      <c r="BQ147" s="1188"/>
      <c r="BR147" s="1236"/>
      <c r="BS147" s="1188"/>
      <c r="BT147" s="1188"/>
      <c r="BU147" s="1188"/>
      <c r="BV147" s="1240"/>
      <c r="BW147" s="1188"/>
      <c r="BX147" s="1188"/>
      <c r="BY147" s="1188"/>
      <c r="BZ147" s="1188"/>
      <c r="CA147" s="1188"/>
      <c r="CB147" s="1188"/>
      <c r="CC147" s="1188"/>
      <c r="CD147" s="1188">
        <f t="shared" si="42"/>
        <v>0</v>
      </c>
      <c r="CE147" s="1188">
        <f t="shared" si="43"/>
        <v>0</v>
      </c>
      <c r="CF147" s="1188">
        <f t="shared" si="44"/>
        <v>0</v>
      </c>
      <c r="CG147" s="1188">
        <f t="shared" si="45"/>
        <v>0</v>
      </c>
      <c r="CH147" s="1236"/>
      <c r="CI147" s="1236"/>
      <c r="CJ147" s="1236">
        <f>I147</f>
        <v>6960</v>
      </c>
      <c r="CK147" s="1188">
        <f>I147</f>
        <v>6960</v>
      </c>
      <c r="CL147" s="1188">
        <f>I147</f>
        <v>6960</v>
      </c>
    </row>
    <row r="148" s="1168" customFormat="1" customHeight="1" spans="1:90">
      <c r="A148" s="1245">
        <v>46108</v>
      </c>
      <c r="B148" s="1247" t="s">
        <v>114</v>
      </c>
      <c r="C148" s="1234" t="s">
        <v>115</v>
      </c>
      <c r="D148" s="1188">
        <v>4500199086</v>
      </c>
      <c r="E148" s="1234" t="s">
        <v>787</v>
      </c>
      <c r="F148" s="1188" t="s">
        <v>788</v>
      </c>
      <c r="G148" s="1253" t="s">
        <v>118</v>
      </c>
      <c r="H148" s="1234" t="s">
        <v>104</v>
      </c>
      <c r="I148" s="1254">
        <v>16775</v>
      </c>
      <c r="J148" s="1234">
        <v>0</v>
      </c>
      <c r="K148" s="1234">
        <v>25</v>
      </c>
      <c r="L148" s="1246">
        <f t="shared" si="46"/>
        <v>671</v>
      </c>
      <c r="M148" s="1255">
        <v>46170</v>
      </c>
      <c r="N148" s="1255">
        <v>46167</v>
      </c>
      <c r="O148" s="1255"/>
      <c r="P148" s="1233"/>
      <c r="Q148" s="1255" t="s">
        <v>106</v>
      </c>
      <c r="R148" s="1234"/>
      <c r="S148" s="1234"/>
      <c r="T148" s="1233">
        <v>16775</v>
      </c>
      <c r="U148" s="1233">
        <f t="shared" si="47"/>
        <v>0</v>
      </c>
      <c r="V148" s="1234" t="s">
        <v>120</v>
      </c>
      <c r="W148" s="1256">
        <v>46133</v>
      </c>
      <c r="X148" s="1257" t="s">
        <v>107</v>
      </c>
      <c r="Y148" s="1257" t="s">
        <v>789</v>
      </c>
      <c r="Z148" s="1247"/>
      <c r="AA148" s="1247"/>
      <c r="AB148" s="1247"/>
      <c r="AC148" s="1247" t="s">
        <v>790</v>
      </c>
      <c r="AD148" s="1255" t="s">
        <v>123</v>
      </c>
      <c r="AE148" s="1188">
        <v>1.29</v>
      </c>
      <c r="AF148" s="1248">
        <f t="shared" si="48"/>
        <v>21639.75</v>
      </c>
      <c r="AG148" s="1249" t="s">
        <v>791</v>
      </c>
      <c r="AH148" s="1253" t="s">
        <v>118</v>
      </c>
      <c r="AI148" s="1234" t="s">
        <v>112</v>
      </c>
      <c r="AJ148" s="1234" t="s">
        <v>113</v>
      </c>
      <c r="AK148" s="1234"/>
      <c r="AL148" s="1188"/>
      <c r="AM148" s="1188">
        <f>I148</f>
        <v>16775</v>
      </c>
      <c r="AN148" s="1188">
        <f>I148</f>
        <v>16775</v>
      </c>
      <c r="AO148" s="1188"/>
      <c r="AP148" s="1188"/>
      <c r="AQ148" s="1240"/>
      <c r="AR148" s="1188"/>
      <c r="AS148" s="1236"/>
      <c r="AT148" s="1236"/>
      <c r="AU148" s="1188">
        <f>I148</f>
        <v>16775</v>
      </c>
      <c r="AV148" s="1250">
        <f>I148*0.06</f>
        <v>1006.5</v>
      </c>
      <c r="AW148" s="1250"/>
      <c r="AX148" s="1188"/>
      <c r="AY148" s="1188"/>
      <c r="AZ148" s="1188"/>
      <c r="BA148" s="1188"/>
      <c r="BB148" s="1188"/>
      <c r="BC148" s="1188"/>
      <c r="BD148" s="1188"/>
      <c r="BE148" s="1188"/>
      <c r="BF148" s="1188"/>
      <c r="BG148" s="1188"/>
      <c r="BH148" s="1188"/>
      <c r="BI148" s="1188"/>
      <c r="BJ148" s="1188"/>
      <c r="BK148" s="1188"/>
      <c r="BL148" s="1188"/>
      <c r="BM148" s="1188"/>
      <c r="BN148" s="1188"/>
      <c r="BO148" s="1240"/>
      <c r="BP148" s="1240"/>
      <c r="BQ148" s="1188"/>
      <c r="BR148" s="1236"/>
      <c r="BS148" s="1188"/>
      <c r="BT148" s="1188"/>
      <c r="BU148" s="1188">
        <f>I148/25</f>
        <v>671</v>
      </c>
      <c r="BV148" s="1240"/>
      <c r="BW148" s="1188"/>
      <c r="BX148" s="1188"/>
      <c r="BY148" s="1188"/>
      <c r="BZ148" s="1188"/>
      <c r="CA148" s="1188"/>
      <c r="CB148" s="1188"/>
      <c r="CC148" s="1188"/>
      <c r="CD148" s="1188">
        <f t="shared" si="42"/>
        <v>0</v>
      </c>
      <c r="CE148" s="1188">
        <f t="shared" si="43"/>
        <v>671</v>
      </c>
      <c r="CF148" s="1188">
        <f t="shared" si="44"/>
        <v>0</v>
      </c>
      <c r="CG148" s="1188">
        <f t="shared" si="45"/>
        <v>0</v>
      </c>
      <c r="CH148" s="1236"/>
      <c r="CI148" s="1236"/>
      <c r="CJ148" s="1236"/>
      <c r="CK148" s="1188"/>
      <c r="CL148" s="1188"/>
    </row>
    <row r="149" s="1168" customFormat="1" customHeight="1" spans="1:90">
      <c r="A149" s="1245">
        <v>46094</v>
      </c>
      <c r="B149" s="1247" t="s">
        <v>792</v>
      </c>
      <c r="C149" s="1234" t="s">
        <v>793</v>
      </c>
      <c r="D149" s="1188">
        <v>4500196453</v>
      </c>
      <c r="E149" s="1234">
        <v>188529</v>
      </c>
      <c r="F149" s="1188" t="s">
        <v>794</v>
      </c>
      <c r="G149" s="1253" t="s">
        <v>289</v>
      </c>
      <c r="H149" s="1234" t="s">
        <v>194</v>
      </c>
      <c r="I149" s="1254">
        <v>1001</v>
      </c>
      <c r="J149" s="1234">
        <v>0</v>
      </c>
      <c r="K149" s="1234">
        <v>13</v>
      </c>
      <c r="L149" s="1246">
        <f t="shared" si="46"/>
        <v>77</v>
      </c>
      <c r="M149" s="1255">
        <v>46170</v>
      </c>
      <c r="N149" s="1255">
        <v>46167</v>
      </c>
      <c r="O149" s="1255"/>
      <c r="P149" s="1233"/>
      <c r="Q149" s="1255" t="s">
        <v>106</v>
      </c>
      <c r="R149" s="1234"/>
      <c r="S149" s="1234"/>
      <c r="T149" s="1233">
        <v>1001</v>
      </c>
      <c r="U149" s="1233">
        <f t="shared" si="47"/>
        <v>0</v>
      </c>
      <c r="V149" s="1234"/>
      <c r="W149" s="1256">
        <v>46132</v>
      </c>
      <c r="X149" s="1257" t="s">
        <v>95</v>
      </c>
      <c r="Y149" s="1257" t="s">
        <v>795</v>
      </c>
      <c r="Z149" s="1188"/>
      <c r="AA149" s="1188"/>
      <c r="AB149" s="1247" t="s">
        <v>796</v>
      </c>
      <c r="AC149" s="1247" t="s">
        <v>797</v>
      </c>
      <c r="AD149" s="1255" t="s">
        <v>775</v>
      </c>
      <c r="AE149" s="1267">
        <v>1.2</v>
      </c>
      <c r="AF149" s="1248">
        <f t="shared" si="48"/>
        <v>1201.2</v>
      </c>
      <c r="AG149" s="1258"/>
      <c r="AH149" s="1234" t="s">
        <v>199</v>
      </c>
      <c r="AI149" s="1234" t="s">
        <v>112</v>
      </c>
      <c r="AJ149" s="1234" t="s">
        <v>113</v>
      </c>
      <c r="AK149" s="1188">
        <f>I149</f>
        <v>1001</v>
      </c>
      <c r="AL149" s="1188"/>
      <c r="AM149" s="1188"/>
      <c r="AN149" s="1188"/>
      <c r="AO149" s="1188"/>
      <c r="AP149" s="1188">
        <f>I149</f>
        <v>1001</v>
      </c>
      <c r="AQ149" s="1240"/>
      <c r="AR149" s="1188"/>
      <c r="AS149" s="1236"/>
      <c r="AT149" s="1236"/>
      <c r="AU149" s="1188">
        <f>I149</f>
        <v>1001</v>
      </c>
      <c r="AV149" s="1250">
        <f>I149*0.06</f>
        <v>60.06</v>
      </c>
      <c r="AW149" s="1250"/>
      <c r="AX149" s="1188"/>
      <c r="AY149" s="1188"/>
      <c r="AZ149" s="1188"/>
      <c r="BA149" s="1188"/>
      <c r="BB149" s="1188"/>
      <c r="BC149" s="1188"/>
      <c r="BD149" s="1188"/>
      <c r="BE149" s="1188"/>
      <c r="BF149" s="1188"/>
      <c r="BG149" s="1188"/>
      <c r="BH149" s="1188"/>
      <c r="BI149" s="1188"/>
      <c r="BJ149" s="1188"/>
      <c r="BK149" s="1188"/>
      <c r="BL149" s="1188">
        <f>I149/13</f>
        <v>77</v>
      </c>
      <c r="BM149" s="1188"/>
      <c r="BN149" s="1188"/>
      <c r="BO149" s="1240"/>
      <c r="BP149" s="1240"/>
      <c r="BQ149" s="1188"/>
      <c r="BR149" s="1236"/>
      <c r="BS149" s="1188"/>
      <c r="BT149" s="1188"/>
      <c r="BU149" s="1188"/>
      <c r="BV149" s="1240"/>
      <c r="BW149" s="1188"/>
      <c r="BX149" s="1188"/>
      <c r="BY149" s="1188"/>
      <c r="BZ149" s="1188"/>
      <c r="CA149" s="1188"/>
      <c r="CB149" s="1188"/>
      <c r="CC149" s="1188"/>
      <c r="CD149" s="1188">
        <f t="shared" si="42"/>
        <v>0</v>
      </c>
      <c r="CE149" s="1188">
        <f t="shared" si="43"/>
        <v>0</v>
      </c>
      <c r="CF149" s="1188">
        <f t="shared" si="44"/>
        <v>0</v>
      </c>
      <c r="CG149" s="1188">
        <f t="shared" si="45"/>
        <v>0</v>
      </c>
      <c r="CH149" s="1236"/>
      <c r="CI149" s="1236"/>
      <c r="CJ149" s="1236"/>
      <c r="CK149" s="1188"/>
      <c r="CL149" s="1188"/>
    </row>
    <row r="150" s="1168" customFormat="1" customHeight="1" spans="1:90">
      <c r="A150" s="1245">
        <v>46115</v>
      </c>
      <c r="B150" s="1247" t="s">
        <v>770</v>
      </c>
      <c r="C150" s="1234" t="s">
        <v>771</v>
      </c>
      <c r="D150" s="1268">
        <v>4500200037</v>
      </c>
      <c r="E150" s="1234" t="s">
        <v>628</v>
      </c>
      <c r="F150" s="1188" t="s">
        <v>798</v>
      </c>
      <c r="G150" s="1253" t="s">
        <v>799</v>
      </c>
      <c r="H150" s="1234" t="s">
        <v>800</v>
      </c>
      <c r="I150" s="1254">
        <v>510</v>
      </c>
      <c r="J150" s="1234">
        <v>0</v>
      </c>
      <c r="K150" s="1234">
        <v>30</v>
      </c>
      <c r="L150" s="1246">
        <f t="shared" si="46"/>
        <v>17</v>
      </c>
      <c r="M150" s="1255">
        <v>46170</v>
      </c>
      <c r="N150" s="1255">
        <v>46167</v>
      </c>
      <c r="O150" s="1255"/>
      <c r="P150" s="1233"/>
      <c r="Q150" s="1255" t="s">
        <v>106</v>
      </c>
      <c r="R150" s="1234"/>
      <c r="S150" s="1234" t="s">
        <v>736</v>
      </c>
      <c r="T150" s="1233">
        <v>510</v>
      </c>
      <c r="U150" s="1233">
        <f t="shared" si="47"/>
        <v>0</v>
      </c>
      <c r="V150" s="1234"/>
      <c r="W150" s="1256">
        <v>46127</v>
      </c>
      <c r="X150" s="1257" t="s">
        <v>95</v>
      </c>
      <c r="Y150" s="1257" t="s">
        <v>773</v>
      </c>
      <c r="Z150" s="1247"/>
      <c r="AA150" s="1247"/>
      <c r="AB150" s="1247"/>
      <c r="AC150" s="1247" t="s">
        <v>774</v>
      </c>
      <c r="AD150" s="1255" t="s">
        <v>775</v>
      </c>
      <c r="AE150" s="1188">
        <v>41.34</v>
      </c>
      <c r="AF150" s="1248">
        <f>AE150*L150</f>
        <v>702.78</v>
      </c>
      <c r="AG150" s="1258"/>
      <c r="AH150" s="1253" t="s">
        <v>799</v>
      </c>
      <c r="AI150" s="1234" t="s">
        <v>112</v>
      </c>
      <c r="AJ150" s="1234" t="s">
        <v>113</v>
      </c>
      <c r="AK150" s="1188">
        <f>I150</f>
        <v>510</v>
      </c>
      <c r="AL150" s="1188"/>
      <c r="AM150" s="1188"/>
      <c r="AN150" s="1188"/>
      <c r="AO150" s="1188"/>
      <c r="AP150" s="1188">
        <f>I105</f>
        <v>24672</v>
      </c>
      <c r="AQ150" s="1240"/>
      <c r="AR150" s="1188"/>
      <c r="AS150" s="1236"/>
      <c r="AT150" s="1236"/>
      <c r="AU150" s="1188">
        <f>I150</f>
        <v>510</v>
      </c>
      <c r="AV150" s="1250">
        <f>I150*0.06</f>
        <v>30.6</v>
      </c>
      <c r="AW150" s="1250"/>
      <c r="AX150" s="1188"/>
      <c r="AY150" s="1188"/>
      <c r="AZ150" s="1188"/>
      <c r="BA150" s="1188"/>
      <c r="BB150" s="1188"/>
      <c r="BC150" s="1188"/>
      <c r="BD150" s="1188"/>
      <c r="BE150" s="1188"/>
      <c r="BF150" s="1188"/>
      <c r="BG150" s="1188"/>
      <c r="BH150" s="1188"/>
      <c r="BI150" s="1188"/>
      <c r="BJ150" s="1188"/>
      <c r="BK150" s="1188"/>
      <c r="BL150" s="1188"/>
      <c r="BM150" s="1188"/>
      <c r="BN150" s="1188"/>
      <c r="BO150" s="1240"/>
      <c r="BP150" s="1240"/>
      <c r="BQ150" s="1188"/>
      <c r="BR150" s="1236"/>
      <c r="BS150" s="1188"/>
      <c r="BT150" s="1188"/>
      <c r="BU150" s="1188"/>
      <c r="BV150" s="1240"/>
      <c r="BW150" s="1188"/>
      <c r="BX150" s="1188"/>
      <c r="BY150" s="1188"/>
      <c r="BZ150" s="1188"/>
      <c r="CA150" s="1188"/>
      <c r="CB150" s="1188"/>
      <c r="CC150" s="1188">
        <f>L150</f>
        <v>17</v>
      </c>
      <c r="CD150" s="1188">
        <f t="shared" si="42"/>
        <v>0</v>
      </c>
      <c r="CE150" s="1188">
        <f t="shared" si="43"/>
        <v>0</v>
      </c>
      <c r="CF150" s="1188">
        <f t="shared" si="44"/>
        <v>17</v>
      </c>
      <c r="CG150" s="1188">
        <f t="shared" si="45"/>
        <v>0</v>
      </c>
      <c r="CH150" s="1236"/>
      <c r="CI150" s="1236"/>
      <c r="CJ150" s="1236"/>
      <c r="CK150" s="1188"/>
      <c r="CL150" s="1188"/>
    </row>
    <row r="151" s="1168" customFormat="1" customHeight="1" spans="1:90">
      <c r="A151" s="1245">
        <v>46156</v>
      </c>
      <c r="B151" s="1269"/>
      <c r="C151" s="1287" t="s">
        <v>597</v>
      </c>
      <c r="D151" s="1270" t="s">
        <v>801</v>
      </c>
      <c r="E151" s="1271"/>
      <c r="F151" s="1270" t="s">
        <v>802</v>
      </c>
      <c r="G151" s="1272" t="s">
        <v>803</v>
      </c>
      <c r="H151" s="1247" t="s">
        <v>804</v>
      </c>
      <c r="I151" s="1273">
        <v>40</v>
      </c>
      <c r="J151" s="1234">
        <v>0</v>
      </c>
      <c r="K151" s="1234">
        <v>6</v>
      </c>
      <c r="L151" s="1246">
        <f t="shared" si="46"/>
        <v>6.66666666666667</v>
      </c>
      <c r="M151" s="1255">
        <v>46170</v>
      </c>
      <c r="N151" s="1255">
        <f>M151-3</f>
        <v>46167</v>
      </c>
      <c r="O151" s="1255"/>
      <c r="P151" s="1233"/>
      <c r="Q151" s="1255"/>
      <c r="R151" s="1234"/>
      <c r="S151" s="1234"/>
      <c r="T151" s="1233"/>
      <c r="U151" s="1233"/>
      <c r="V151" s="1234"/>
      <c r="W151" s="1256">
        <v>46153</v>
      </c>
      <c r="X151" s="1257" t="s">
        <v>95</v>
      </c>
      <c r="Y151" s="1257" t="s">
        <v>95</v>
      </c>
      <c r="Z151" s="1247"/>
      <c r="AA151" s="1247"/>
      <c r="AB151" s="1247"/>
      <c r="AC151" s="1247" t="s">
        <v>805</v>
      </c>
      <c r="AD151" s="1275" t="s">
        <v>272</v>
      </c>
      <c r="AE151" s="1276"/>
      <c r="AF151" s="1248"/>
      <c r="AG151" s="1258"/>
      <c r="AH151" s="1234" t="s">
        <v>806</v>
      </c>
      <c r="AI151" s="1234" t="s">
        <v>112</v>
      </c>
      <c r="AJ151" s="1234" t="s">
        <v>113</v>
      </c>
      <c r="AK151" s="1188">
        <f>I151*2</f>
        <v>80</v>
      </c>
      <c r="AL151" s="1188"/>
      <c r="AM151" s="1188"/>
      <c r="AN151" s="1188">
        <f>I151*2</f>
        <v>80</v>
      </c>
      <c r="AO151" s="1188"/>
      <c r="AP151" s="1188"/>
      <c r="AQ151" s="1240"/>
      <c r="AR151" s="1188"/>
      <c r="AS151" s="1236"/>
      <c r="AT151" s="1236"/>
      <c r="AU151" s="1188">
        <f>I151*2</f>
        <v>80</v>
      </c>
      <c r="AV151" s="1250">
        <f>I151*0.06*2</f>
        <v>4.8</v>
      </c>
      <c r="AW151" s="1250"/>
      <c r="AX151" s="1188"/>
      <c r="AY151" s="1188"/>
      <c r="AZ151" s="1188"/>
      <c r="BA151" s="1188"/>
      <c r="BB151" s="1188"/>
      <c r="BC151" s="1188"/>
      <c r="BD151" s="1188"/>
      <c r="BE151" s="1188"/>
      <c r="BF151" s="1188"/>
      <c r="BG151" s="1188"/>
      <c r="BH151" s="1188"/>
      <c r="BI151" s="1188"/>
      <c r="BJ151" s="1188"/>
      <c r="BK151" s="1188"/>
      <c r="BL151" s="1188"/>
      <c r="BM151" s="1188"/>
      <c r="BN151" s="1188"/>
      <c r="BO151" s="1240"/>
      <c r="BP151" s="1240"/>
      <c r="BQ151" s="1188"/>
      <c r="BR151" s="1236"/>
      <c r="BS151" s="1236"/>
      <c r="BT151" s="1188"/>
      <c r="BU151" s="1188"/>
      <c r="BV151" s="1240"/>
      <c r="BW151" s="1188"/>
      <c r="BX151" s="1188"/>
      <c r="BY151" s="1188"/>
      <c r="BZ151" s="1188"/>
      <c r="CA151" s="1188"/>
      <c r="CB151" s="1188"/>
      <c r="CC151" s="1188"/>
      <c r="CD151" s="1188">
        <f t="shared" si="42"/>
        <v>0</v>
      </c>
      <c r="CE151" s="1188">
        <f t="shared" si="43"/>
        <v>0</v>
      </c>
      <c r="CF151" s="1188">
        <f t="shared" si="44"/>
        <v>0</v>
      </c>
      <c r="CG151" s="1188">
        <f t="shared" si="45"/>
        <v>0</v>
      </c>
      <c r="CH151" s="1236"/>
      <c r="CI151" s="1236"/>
      <c r="CJ151" s="1236"/>
      <c r="CK151" s="1188"/>
      <c r="CL151" s="1188"/>
    </row>
    <row r="152" s="1168" customFormat="1" ht="31" customHeight="1" spans="1:90">
      <c r="A152" s="1245">
        <v>46057</v>
      </c>
      <c r="B152" s="1247" t="s">
        <v>200</v>
      </c>
      <c r="C152" s="1234" t="s">
        <v>201</v>
      </c>
      <c r="D152" s="1188">
        <v>4500193076</v>
      </c>
      <c r="E152" s="1234">
        <v>4552042235</v>
      </c>
      <c r="F152" s="1188" t="s">
        <v>807</v>
      </c>
      <c r="G152" s="1253" t="s">
        <v>146</v>
      </c>
      <c r="H152" s="1234" t="s">
        <v>104</v>
      </c>
      <c r="I152" s="1254">
        <v>3000</v>
      </c>
      <c r="J152" s="1234">
        <v>0</v>
      </c>
      <c r="K152" s="1234">
        <v>25</v>
      </c>
      <c r="L152" s="1246">
        <f t="shared" si="46"/>
        <v>120</v>
      </c>
      <c r="M152" s="1255">
        <v>46170</v>
      </c>
      <c r="N152" s="1255">
        <v>46237</v>
      </c>
      <c r="O152" s="1255" t="s">
        <v>736</v>
      </c>
      <c r="P152" s="1233"/>
      <c r="Q152" s="1255" t="s">
        <v>106</v>
      </c>
      <c r="R152" s="1234"/>
      <c r="S152" s="1234"/>
      <c r="T152" s="1233">
        <v>4500</v>
      </c>
      <c r="U152" s="1233">
        <f t="shared" ref="U152:U215" si="49">T152-I152</f>
        <v>1500</v>
      </c>
      <c r="V152" s="1234" t="s">
        <v>120</v>
      </c>
      <c r="W152" s="1256">
        <v>46097</v>
      </c>
      <c r="X152" s="1257" t="s">
        <v>107</v>
      </c>
      <c r="Y152" s="1257">
        <v>46105</v>
      </c>
      <c r="Z152" s="1247"/>
      <c r="AA152" s="1247"/>
      <c r="AB152" s="1247"/>
      <c r="AC152" s="1247" t="s">
        <v>808</v>
      </c>
      <c r="AD152" s="1248" t="s">
        <v>204</v>
      </c>
      <c r="AE152" s="1247">
        <v>1.0697</v>
      </c>
      <c r="AF152" s="1248">
        <f>I152*AE152</f>
        <v>3209.1</v>
      </c>
      <c r="AG152" s="1258"/>
      <c r="AH152" s="1234" t="s">
        <v>111</v>
      </c>
      <c r="AI152" s="1234" t="s">
        <v>112</v>
      </c>
      <c r="AJ152" s="1234" t="s">
        <v>113</v>
      </c>
      <c r="AK152" s="1188">
        <f>I152</f>
        <v>3000</v>
      </c>
      <c r="AL152" s="1188"/>
      <c r="AM152" s="1188"/>
      <c r="AN152" s="1188"/>
      <c r="AO152" s="1188"/>
      <c r="AP152" s="1188">
        <f>I152</f>
        <v>3000</v>
      </c>
      <c r="AQ152" s="1240"/>
      <c r="AR152" s="1188"/>
      <c r="AS152" s="1236"/>
      <c r="AT152" s="1236"/>
      <c r="AU152" s="1188">
        <f>I152</f>
        <v>3000</v>
      </c>
      <c r="AV152" s="1250">
        <f>I152*0.06</f>
        <v>180</v>
      </c>
      <c r="AW152" s="1250"/>
      <c r="AX152" s="1188"/>
      <c r="AY152" s="1188"/>
      <c r="AZ152" s="1188"/>
      <c r="BA152" s="1188"/>
      <c r="BB152" s="1188"/>
      <c r="BC152" s="1188"/>
      <c r="BD152" s="1188"/>
      <c r="BE152" s="1188"/>
      <c r="BF152" s="1188"/>
      <c r="BG152" s="1188"/>
      <c r="BH152" s="1188"/>
      <c r="BI152" s="1188"/>
      <c r="BJ152" s="1188"/>
      <c r="BK152" s="1188"/>
      <c r="BL152" s="1188"/>
      <c r="BM152" s="1188"/>
      <c r="BN152" s="1188"/>
      <c r="BO152" s="1240">
        <f>I152/25</f>
        <v>120</v>
      </c>
      <c r="BP152" s="1240"/>
      <c r="BQ152" s="1188"/>
      <c r="BR152" s="1236"/>
      <c r="BS152" s="1236"/>
      <c r="BT152" s="1188"/>
      <c r="BU152" s="1188"/>
      <c r="BV152" s="1240"/>
      <c r="BW152" s="1188"/>
      <c r="BX152" s="1188"/>
      <c r="BY152" s="1188"/>
      <c r="BZ152" s="1188"/>
      <c r="CA152" s="1188"/>
      <c r="CB152" s="1188"/>
      <c r="CC152" s="1188"/>
      <c r="CD152" s="1188">
        <f t="shared" si="42"/>
        <v>120</v>
      </c>
      <c r="CE152" s="1188">
        <f t="shared" si="43"/>
        <v>0</v>
      </c>
      <c r="CF152" s="1188">
        <f t="shared" si="44"/>
        <v>0</v>
      </c>
      <c r="CG152" s="1188">
        <f t="shared" si="45"/>
        <v>0</v>
      </c>
      <c r="CH152" s="1236"/>
      <c r="CI152" s="1236"/>
      <c r="CJ152" s="1236"/>
      <c r="CK152" s="1188"/>
      <c r="CL152" s="1188"/>
    </row>
    <row r="153" s="1168" customFormat="1" customHeight="1" spans="1:90">
      <c r="A153" s="1245">
        <v>46115</v>
      </c>
      <c r="B153" s="1247" t="s">
        <v>809</v>
      </c>
      <c r="C153" s="1234" t="s">
        <v>810</v>
      </c>
      <c r="D153" s="1268">
        <v>4500199947</v>
      </c>
      <c r="E153" s="1233">
        <v>5200009414</v>
      </c>
      <c r="F153" s="1188" t="s">
        <v>811</v>
      </c>
      <c r="G153" s="1253" t="s">
        <v>193</v>
      </c>
      <c r="H153" s="1234" t="s">
        <v>194</v>
      </c>
      <c r="I153" s="1254">
        <v>6500</v>
      </c>
      <c r="J153" s="1234">
        <v>0</v>
      </c>
      <c r="K153" s="1234">
        <v>13</v>
      </c>
      <c r="L153" s="1246">
        <f t="shared" si="46"/>
        <v>500</v>
      </c>
      <c r="M153" s="1255">
        <v>46171</v>
      </c>
      <c r="N153" s="1255">
        <v>46167</v>
      </c>
      <c r="O153" s="1255"/>
      <c r="P153" s="1233"/>
      <c r="Q153" s="1255" t="s">
        <v>106</v>
      </c>
      <c r="R153" s="1234"/>
      <c r="S153" s="1234"/>
      <c r="T153" s="1233">
        <v>6500</v>
      </c>
      <c r="U153" s="1233">
        <f t="shared" si="49"/>
        <v>0</v>
      </c>
      <c r="V153" s="1234"/>
      <c r="W153" s="1238">
        <v>46139</v>
      </c>
      <c r="X153" s="1227" t="s">
        <v>95</v>
      </c>
      <c r="Y153" s="1227" t="s">
        <v>812</v>
      </c>
      <c r="Z153" s="1247" t="s">
        <v>813</v>
      </c>
      <c r="AA153" s="1247"/>
      <c r="AB153" s="1247"/>
      <c r="AC153" s="1247" t="s">
        <v>814</v>
      </c>
      <c r="AD153" s="1255" t="s">
        <v>722</v>
      </c>
      <c r="AE153" s="1188">
        <v>1.2</v>
      </c>
      <c r="AF153" s="1248">
        <f>I153*AE153</f>
        <v>7800</v>
      </c>
      <c r="AG153" s="1258"/>
      <c r="AH153" s="1234" t="s">
        <v>199</v>
      </c>
      <c r="AI153" s="1234" t="s">
        <v>112</v>
      </c>
      <c r="AJ153" s="1234" t="s">
        <v>113</v>
      </c>
      <c r="AK153" s="1188">
        <f>I153</f>
        <v>6500</v>
      </c>
      <c r="AL153" s="1188"/>
      <c r="AM153" s="1188"/>
      <c r="AN153" s="1188"/>
      <c r="AO153" s="1188"/>
      <c r="AP153" s="1188">
        <f>I153</f>
        <v>6500</v>
      </c>
      <c r="AQ153" s="1240"/>
      <c r="AR153" s="1188"/>
      <c r="AS153" s="1236"/>
      <c r="AT153" s="1236"/>
      <c r="AU153" s="1188">
        <f>I153</f>
        <v>6500</v>
      </c>
      <c r="AV153" s="1250">
        <f>I153*0.06</f>
        <v>390</v>
      </c>
      <c r="AW153" s="1250"/>
      <c r="AX153" s="1188"/>
      <c r="AY153" s="1188"/>
      <c r="AZ153" s="1188"/>
      <c r="BA153" s="1188"/>
      <c r="BB153" s="1188"/>
      <c r="BC153" s="1188"/>
      <c r="BD153" s="1188"/>
      <c r="BE153" s="1188"/>
      <c r="BF153" s="1188"/>
      <c r="BG153" s="1188"/>
      <c r="BH153" s="1188"/>
      <c r="BI153" s="1188"/>
      <c r="BJ153" s="1188"/>
      <c r="BK153" s="1188"/>
      <c r="BL153" s="1188">
        <f>I153/13</f>
        <v>500</v>
      </c>
      <c r="BM153" s="1188"/>
      <c r="BN153" s="1188"/>
      <c r="BO153" s="1240"/>
      <c r="BP153" s="1240"/>
      <c r="BQ153" s="1188"/>
      <c r="BR153" s="1236"/>
      <c r="BS153" s="1236"/>
      <c r="BT153" s="1188"/>
      <c r="BU153" s="1188"/>
      <c r="BV153" s="1240"/>
      <c r="BW153" s="1188"/>
      <c r="BX153" s="1188"/>
      <c r="BY153" s="1188"/>
      <c r="BZ153" s="1188"/>
      <c r="CA153" s="1188"/>
      <c r="CB153" s="1188"/>
      <c r="CC153" s="1188"/>
      <c r="CD153" s="1188">
        <f t="shared" si="42"/>
        <v>0</v>
      </c>
      <c r="CE153" s="1188">
        <f t="shared" si="43"/>
        <v>0</v>
      </c>
      <c r="CF153" s="1188">
        <f t="shared" si="44"/>
        <v>0</v>
      </c>
      <c r="CG153" s="1188">
        <f t="shared" si="45"/>
        <v>0</v>
      </c>
      <c r="CH153" s="1236"/>
      <c r="CI153" s="1236"/>
      <c r="CJ153" s="1236"/>
      <c r="CK153" s="1188"/>
      <c r="CL153" s="1188"/>
    </row>
    <row r="154" s="1168" customFormat="1" customHeight="1" spans="1:90">
      <c r="A154" s="1245">
        <v>46122</v>
      </c>
      <c r="B154" s="1247" t="s">
        <v>815</v>
      </c>
      <c r="C154" s="1234" t="s">
        <v>101</v>
      </c>
      <c r="D154" s="1188">
        <v>4500201073</v>
      </c>
      <c r="E154" s="1234">
        <v>4504222805</v>
      </c>
      <c r="F154" s="1188" t="s">
        <v>816</v>
      </c>
      <c r="G154" s="1253" t="s">
        <v>510</v>
      </c>
      <c r="H154" s="1234" t="s">
        <v>194</v>
      </c>
      <c r="I154" s="1254">
        <v>3250</v>
      </c>
      <c r="J154" s="1234">
        <v>0</v>
      </c>
      <c r="K154" s="1234">
        <v>13</v>
      </c>
      <c r="L154" s="1246">
        <f t="shared" si="46"/>
        <v>250</v>
      </c>
      <c r="M154" s="1255">
        <v>46171</v>
      </c>
      <c r="N154" s="1255">
        <v>46167</v>
      </c>
      <c r="O154" s="1255"/>
      <c r="P154" s="1233"/>
      <c r="Q154" s="1286" t="s">
        <v>106</v>
      </c>
      <c r="R154" s="1234"/>
      <c r="S154" s="1234"/>
      <c r="T154" s="1233">
        <v>3250</v>
      </c>
      <c r="U154" s="1233">
        <f t="shared" si="49"/>
        <v>0</v>
      </c>
      <c r="V154" s="1234"/>
      <c r="W154" s="1256">
        <v>46129</v>
      </c>
      <c r="X154" s="1257" t="s">
        <v>95</v>
      </c>
      <c r="Y154" s="1257" t="s">
        <v>817</v>
      </c>
      <c r="Z154" s="1247" t="s">
        <v>360</v>
      </c>
      <c r="AA154" s="1247"/>
      <c r="AB154" s="1247"/>
      <c r="AC154" s="1247" t="s">
        <v>818</v>
      </c>
      <c r="AD154" s="1255" t="s">
        <v>819</v>
      </c>
      <c r="AE154" s="1267">
        <v>1.0809</v>
      </c>
      <c r="AF154" s="1248">
        <f>I154*AE154</f>
        <v>3512.925</v>
      </c>
      <c r="AG154" s="1258"/>
      <c r="AH154" s="1253" t="s">
        <v>510</v>
      </c>
      <c r="AI154" s="1234" t="s">
        <v>112</v>
      </c>
      <c r="AJ154" s="1234" t="s">
        <v>113</v>
      </c>
      <c r="AK154" s="1188">
        <f>I154</f>
        <v>3250</v>
      </c>
      <c r="AL154" s="1188"/>
      <c r="AM154" s="1188"/>
      <c r="AN154" s="1188">
        <f>I154</f>
        <v>3250</v>
      </c>
      <c r="AO154" s="1188"/>
      <c r="AP154" s="1188"/>
      <c r="AQ154" s="1240"/>
      <c r="AR154" s="1188"/>
      <c r="AS154" s="1236"/>
      <c r="AT154" s="1236"/>
      <c r="AU154" s="1188"/>
      <c r="AV154" s="1250">
        <f>I154*0.06*2</f>
        <v>390</v>
      </c>
      <c r="AW154" s="1250"/>
      <c r="AX154" s="1188">
        <f>I154</f>
        <v>3250</v>
      </c>
      <c r="AY154" s="1188"/>
      <c r="AZ154" s="1188"/>
      <c r="BA154" s="1188"/>
      <c r="BB154" s="1188"/>
      <c r="BC154" s="1188"/>
      <c r="BD154" s="1188"/>
      <c r="BE154" s="1188"/>
      <c r="BF154" s="1188"/>
      <c r="BG154" s="1188"/>
      <c r="BH154" s="1188"/>
      <c r="BI154" s="1188"/>
      <c r="BJ154" s="1188"/>
      <c r="BK154" s="1188">
        <f>I154/13</f>
        <v>250</v>
      </c>
      <c r="BL154" s="1188"/>
      <c r="BM154" s="1188"/>
      <c r="BN154" s="1188"/>
      <c r="BO154" s="1240"/>
      <c r="BP154" s="1240"/>
      <c r="BQ154" s="1188"/>
      <c r="BR154" s="1236"/>
      <c r="BS154" s="1188"/>
      <c r="BT154" s="1188"/>
      <c r="BU154" s="1188"/>
      <c r="BV154" s="1240"/>
      <c r="BW154" s="1188"/>
      <c r="BX154" s="1188"/>
      <c r="BY154" s="1188"/>
      <c r="BZ154" s="1188"/>
      <c r="CA154" s="1188"/>
      <c r="CB154" s="1188"/>
      <c r="CC154" s="1188"/>
      <c r="CD154" s="1188">
        <f t="shared" si="42"/>
        <v>0</v>
      </c>
      <c r="CE154" s="1188">
        <f t="shared" si="43"/>
        <v>0</v>
      </c>
      <c r="CF154" s="1188">
        <f t="shared" si="44"/>
        <v>0</v>
      </c>
      <c r="CG154" s="1188">
        <f t="shared" si="45"/>
        <v>0</v>
      </c>
      <c r="CH154" s="1236"/>
      <c r="CI154" s="1236"/>
      <c r="CJ154" s="1236"/>
      <c r="CK154" s="1188"/>
      <c r="CL154" s="1188"/>
    </row>
    <row r="155" s="1168" customFormat="1" customHeight="1" spans="1:90">
      <c r="A155" s="1245">
        <v>46125</v>
      </c>
      <c r="B155" s="1247" t="s">
        <v>809</v>
      </c>
      <c r="C155" s="1234" t="s">
        <v>810</v>
      </c>
      <c r="D155" s="1188">
        <v>4500199947</v>
      </c>
      <c r="E155" s="1234">
        <v>5200009414</v>
      </c>
      <c r="F155" s="1188" t="s">
        <v>820</v>
      </c>
      <c r="G155" s="1253" t="s">
        <v>821</v>
      </c>
      <c r="H155" s="1234" t="s">
        <v>800</v>
      </c>
      <c r="I155" s="1254">
        <v>3000</v>
      </c>
      <c r="J155" s="1234">
        <v>0</v>
      </c>
      <c r="K155" s="1234">
        <v>30</v>
      </c>
      <c r="L155" s="1246">
        <f t="shared" si="46"/>
        <v>100</v>
      </c>
      <c r="M155" s="1255">
        <v>46171</v>
      </c>
      <c r="N155" s="1255">
        <v>46167</v>
      </c>
      <c r="O155" s="1255"/>
      <c r="P155" s="1233"/>
      <c r="Q155" s="1286" t="s">
        <v>106</v>
      </c>
      <c r="R155" s="1234"/>
      <c r="S155" s="1234"/>
      <c r="T155" s="1233">
        <v>3000</v>
      </c>
      <c r="U155" s="1233">
        <f t="shared" si="49"/>
        <v>0</v>
      </c>
      <c r="V155" s="1234"/>
      <c r="W155" s="1256">
        <v>46139</v>
      </c>
      <c r="X155" s="1257" t="s">
        <v>95</v>
      </c>
      <c r="Y155" s="1257" t="s">
        <v>822</v>
      </c>
      <c r="Z155" s="1247"/>
      <c r="AA155" s="1247"/>
      <c r="AB155" s="1247"/>
      <c r="AC155" s="1247" t="s">
        <v>814</v>
      </c>
      <c r="AD155" s="1255" t="s">
        <v>722</v>
      </c>
      <c r="AE155" s="1188">
        <v>41.265</v>
      </c>
      <c r="AF155" s="1248">
        <f>I155*AE155</f>
        <v>123795</v>
      </c>
      <c r="AG155" s="1258"/>
      <c r="AH155" s="1253" t="s">
        <v>799</v>
      </c>
      <c r="AI155" s="1234" t="s">
        <v>112</v>
      </c>
      <c r="AJ155" s="1234" t="s">
        <v>113</v>
      </c>
      <c r="AK155" s="1188">
        <f>I155</f>
        <v>3000</v>
      </c>
      <c r="AL155" s="1188"/>
      <c r="AM155" s="1188"/>
      <c r="AN155" s="1188"/>
      <c r="AO155" s="1188"/>
      <c r="AP155" s="1188">
        <f>I155</f>
        <v>3000</v>
      </c>
      <c r="AQ155" s="1240"/>
      <c r="AR155" s="1188"/>
      <c r="AS155" s="1236"/>
      <c r="AT155" s="1236"/>
      <c r="AU155" s="1188">
        <f>I155</f>
        <v>3000</v>
      </c>
      <c r="AV155" s="1250">
        <f>I155*0.06</f>
        <v>180</v>
      </c>
      <c r="AW155" s="1250"/>
      <c r="AX155" s="1188"/>
      <c r="AY155" s="1188"/>
      <c r="AZ155" s="1188"/>
      <c r="BA155" s="1188"/>
      <c r="BB155" s="1188"/>
      <c r="BC155" s="1188"/>
      <c r="BD155" s="1188"/>
      <c r="BE155" s="1188"/>
      <c r="BF155" s="1188"/>
      <c r="BG155" s="1188"/>
      <c r="BH155" s="1188"/>
      <c r="BI155" s="1188"/>
      <c r="BJ155" s="1188"/>
      <c r="BK155" s="1188"/>
      <c r="BL155" s="1188"/>
      <c r="BM155" s="1188"/>
      <c r="BN155" s="1188"/>
      <c r="BO155" s="1240"/>
      <c r="BP155" s="1240"/>
      <c r="BQ155" s="1188"/>
      <c r="BR155" s="1236"/>
      <c r="BS155" s="1188"/>
      <c r="BT155" s="1188"/>
      <c r="BU155" s="1188"/>
      <c r="BV155" s="1240"/>
      <c r="BW155" s="1188"/>
      <c r="BX155" s="1188"/>
      <c r="BY155" s="1188"/>
      <c r="BZ155" s="1188"/>
      <c r="CA155" s="1188"/>
      <c r="CB155" s="1188"/>
      <c r="CC155" s="1188">
        <f>L155</f>
        <v>100</v>
      </c>
      <c r="CD155" s="1188">
        <f t="shared" si="42"/>
        <v>0</v>
      </c>
      <c r="CE155" s="1188">
        <f t="shared" si="43"/>
        <v>0</v>
      </c>
      <c r="CF155" s="1188">
        <f t="shared" si="44"/>
        <v>100</v>
      </c>
      <c r="CG155" s="1188">
        <f t="shared" si="45"/>
        <v>0</v>
      </c>
      <c r="CH155" s="1236"/>
      <c r="CI155" s="1236"/>
      <c r="CJ155" s="1236"/>
      <c r="CK155" s="1188"/>
      <c r="CL155" s="1188"/>
    </row>
    <row r="156" s="1168" customFormat="1" customHeight="1" spans="1:90">
      <c r="A156" s="1245">
        <v>46084</v>
      </c>
      <c r="B156" s="1247" t="s">
        <v>480</v>
      </c>
      <c r="C156" s="1234" t="s">
        <v>115</v>
      </c>
      <c r="D156" s="1188">
        <v>4500194945</v>
      </c>
      <c r="E156" s="1233">
        <v>1790512268</v>
      </c>
      <c r="F156" s="1188" t="s">
        <v>823</v>
      </c>
      <c r="G156" s="1253" t="s">
        <v>482</v>
      </c>
      <c r="H156" s="1234" t="s">
        <v>483</v>
      </c>
      <c r="I156" s="1254">
        <v>4320</v>
      </c>
      <c r="J156" s="1234">
        <v>0</v>
      </c>
      <c r="K156" s="1234">
        <v>120</v>
      </c>
      <c r="L156" s="1246">
        <f t="shared" si="46"/>
        <v>36</v>
      </c>
      <c r="M156" s="1255">
        <v>46171</v>
      </c>
      <c r="N156" s="1255">
        <v>46167</v>
      </c>
      <c r="O156" s="1255"/>
      <c r="P156" s="1233"/>
      <c r="Q156" s="1286" t="s">
        <v>106</v>
      </c>
      <c r="R156" s="1234" t="s">
        <v>485</v>
      </c>
      <c r="S156" s="1234"/>
      <c r="T156" s="1233">
        <v>4320</v>
      </c>
      <c r="U156" s="1233">
        <f t="shared" si="49"/>
        <v>0</v>
      </c>
      <c r="V156" s="1234"/>
      <c r="W156" s="1256">
        <v>46155</v>
      </c>
      <c r="X156" s="1257" t="s">
        <v>107</v>
      </c>
      <c r="Y156" s="1257" t="s">
        <v>95</v>
      </c>
      <c r="Z156" s="1247"/>
      <c r="AA156" s="1247"/>
      <c r="AB156" s="1247"/>
      <c r="AC156" s="1247" t="s">
        <v>636</v>
      </c>
      <c r="AD156" s="1255" t="s">
        <v>488</v>
      </c>
      <c r="AE156" s="1188">
        <v>642</v>
      </c>
      <c r="AF156" s="1248">
        <f>L156*AE156</f>
        <v>23112</v>
      </c>
      <c r="AG156" s="1249" t="s">
        <v>824</v>
      </c>
      <c r="AH156" s="1234" t="s">
        <v>490</v>
      </c>
      <c r="AI156" s="1234" t="s">
        <v>112</v>
      </c>
      <c r="AJ156" s="1234" t="s">
        <v>113</v>
      </c>
      <c r="AK156" s="1188"/>
      <c r="AL156" s="1188">
        <f>I156*3</f>
        <v>12960</v>
      </c>
      <c r="AM156" s="1188"/>
      <c r="AN156" s="1188"/>
      <c r="AO156" s="1188"/>
      <c r="AP156" s="1188"/>
      <c r="AQ156" s="1240"/>
      <c r="AR156" s="1188"/>
      <c r="AS156" s="1236"/>
      <c r="AT156" s="1236"/>
      <c r="AU156" s="1188"/>
      <c r="AV156" s="1250">
        <f>I156*0.06*2</f>
        <v>518.4</v>
      </c>
      <c r="AW156" s="1250"/>
      <c r="AX156" s="1188"/>
      <c r="AY156" s="1188"/>
      <c r="AZ156" s="1188"/>
      <c r="BA156" s="1188"/>
      <c r="BB156" s="1188">
        <f>I156*3</f>
        <v>12960</v>
      </c>
      <c r="BC156" s="1188">
        <f>I156*3</f>
        <v>12960</v>
      </c>
      <c r="BD156" s="1188">
        <f>I156*3</f>
        <v>12960</v>
      </c>
      <c r="BE156" s="1188">
        <f>I156</f>
        <v>4320</v>
      </c>
      <c r="BF156" s="1188">
        <f>I156/6</f>
        <v>720</v>
      </c>
      <c r="BG156" s="1188"/>
      <c r="BH156" s="1188"/>
      <c r="BI156" s="1188"/>
      <c r="BJ156" s="1188"/>
      <c r="BK156" s="1188"/>
      <c r="BL156" s="1188"/>
      <c r="BM156" s="1188"/>
      <c r="BN156" s="1188"/>
      <c r="BO156" s="1240"/>
      <c r="BP156" s="1240"/>
      <c r="BQ156" s="1188"/>
      <c r="BR156" s="1236"/>
      <c r="BS156" s="1188"/>
      <c r="BT156" s="1188"/>
      <c r="BU156" s="1188"/>
      <c r="BV156" s="1240"/>
      <c r="BW156" s="1188"/>
      <c r="BX156" s="1188"/>
      <c r="BY156" s="1188"/>
      <c r="BZ156" s="1188"/>
      <c r="CA156" s="1188"/>
      <c r="CB156" s="1188"/>
      <c r="CC156" s="1188"/>
      <c r="CD156" s="1188">
        <f t="shared" si="42"/>
        <v>0</v>
      </c>
      <c r="CE156" s="1188">
        <f t="shared" si="43"/>
        <v>0</v>
      </c>
      <c r="CF156" s="1188">
        <f t="shared" si="44"/>
        <v>0</v>
      </c>
      <c r="CG156" s="1188">
        <f t="shared" si="45"/>
        <v>0</v>
      </c>
      <c r="CH156" s="1236"/>
      <c r="CI156" s="1236"/>
      <c r="CJ156" s="1236"/>
      <c r="CK156" s="1188"/>
      <c r="CL156" s="1188"/>
    </row>
    <row r="157" s="1168" customFormat="1" customHeight="1" spans="1:90">
      <c r="A157" s="1245">
        <v>46084</v>
      </c>
      <c r="B157" s="1247" t="s">
        <v>480</v>
      </c>
      <c r="C157" s="1234" t="s">
        <v>115</v>
      </c>
      <c r="D157" s="1188">
        <v>4500194948</v>
      </c>
      <c r="E157" s="1233">
        <v>2880512233</v>
      </c>
      <c r="F157" s="1188" t="s">
        <v>825</v>
      </c>
      <c r="G157" s="1253" t="s">
        <v>482</v>
      </c>
      <c r="H157" s="1234" t="s">
        <v>483</v>
      </c>
      <c r="I157" s="1254">
        <v>4320</v>
      </c>
      <c r="J157" s="1234">
        <v>0</v>
      </c>
      <c r="K157" s="1234">
        <v>120</v>
      </c>
      <c r="L157" s="1246">
        <f t="shared" si="46"/>
        <v>36</v>
      </c>
      <c r="M157" s="1255">
        <v>46171</v>
      </c>
      <c r="N157" s="1255">
        <v>46167</v>
      </c>
      <c r="O157" s="1255"/>
      <c r="P157" s="1233"/>
      <c r="Q157" s="1286" t="s">
        <v>106</v>
      </c>
      <c r="R157" s="1234" t="s">
        <v>485</v>
      </c>
      <c r="S157" s="1234"/>
      <c r="T157" s="1233">
        <v>4320</v>
      </c>
      <c r="U157" s="1233">
        <f t="shared" si="49"/>
        <v>0</v>
      </c>
      <c r="V157" s="1234"/>
      <c r="W157" s="1256">
        <v>46155</v>
      </c>
      <c r="X157" s="1257" t="s">
        <v>107</v>
      </c>
      <c r="Y157" s="1257" t="s">
        <v>95</v>
      </c>
      <c r="Z157" s="1247"/>
      <c r="AA157" s="1247"/>
      <c r="AB157" s="1247"/>
      <c r="AC157" s="1247" t="s">
        <v>636</v>
      </c>
      <c r="AD157" s="1255" t="s">
        <v>488</v>
      </c>
      <c r="AE157" s="1188">
        <v>642</v>
      </c>
      <c r="AF157" s="1248">
        <f>L157*AE157</f>
        <v>23112</v>
      </c>
      <c r="AG157" s="1249" t="s">
        <v>826</v>
      </c>
      <c r="AH157" s="1234" t="s">
        <v>490</v>
      </c>
      <c r="AI157" s="1234" t="s">
        <v>112</v>
      </c>
      <c r="AJ157" s="1234" t="s">
        <v>113</v>
      </c>
      <c r="AK157" s="1188"/>
      <c r="AL157" s="1188">
        <f>I157*3</f>
        <v>12960</v>
      </c>
      <c r="AM157" s="1188"/>
      <c r="AN157" s="1188"/>
      <c r="AO157" s="1188"/>
      <c r="AP157" s="1188"/>
      <c r="AQ157" s="1240"/>
      <c r="AR157" s="1188"/>
      <c r="AS157" s="1236"/>
      <c r="AT157" s="1236"/>
      <c r="AU157" s="1188"/>
      <c r="AV157" s="1250">
        <f>I157*0.06*2</f>
        <v>518.4</v>
      </c>
      <c r="AW157" s="1250"/>
      <c r="AX157" s="1188"/>
      <c r="AY157" s="1188"/>
      <c r="AZ157" s="1188"/>
      <c r="BA157" s="1188"/>
      <c r="BB157" s="1188">
        <f>I157*3</f>
        <v>12960</v>
      </c>
      <c r="BC157" s="1188">
        <f>I157*3</f>
        <v>12960</v>
      </c>
      <c r="BD157" s="1188">
        <f>I157*3</f>
        <v>12960</v>
      </c>
      <c r="BE157" s="1188">
        <f>I157</f>
        <v>4320</v>
      </c>
      <c r="BF157" s="1188">
        <f>I157/6</f>
        <v>720</v>
      </c>
      <c r="BG157" s="1188"/>
      <c r="BH157" s="1188"/>
      <c r="BI157" s="1188"/>
      <c r="BJ157" s="1188"/>
      <c r="BK157" s="1188"/>
      <c r="BL157" s="1188"/>
      <c r="BM157" s="1188"/>
      <c r="BN157" s="1188"/>
      <c r="BO157" s="1240"/>
      <c r="BP157" s="1240"/>
      <c r="BQ157" s="1188"/>
      <c r="BR157" s="1236"/>
      <c r="BS157" s="1188"/>
      <c r="BT157" s="1188"/>
      <c r="BU157" s="1188"/>
      <c r="BV157" s="1240"/>
      <c r="BW157" s="1188"/>
      <c r="BX157" s="1188"/>
      <c r="BY157" s="1188"/>
      <c r="BZ157" s="1188"/>
      <c r="CA157" s="1188"/>
      <c r="CB157" s="1188"/>
      <c r="CC157" s="1188"/>
      <c r="CD157" s="1188">
        <f t="shared" si="42"/>
        <v>0</v>
      </c>
      <c r="CE157" s="1188">
        <f t="shared" si="43"/>
        <v>0</v>
      </c>
      <c r="CF157" s="1188">
        <f t="shared" si="44"/>
        <v>0</v>
      </c>
      <c r="CG157" s="1188">
        <f t="shared" si="45"/>
        <v>0</v>
      </c>
      <c r="CH157" s="1236"/>
      <c r="CI157" s="1236"/>
      <c r="CJ157" s="1236"/>
      <c r="CK157" s="1188"/>
      <c r="CL157" s="1188"/>
    </row>
    <row r="158" s="1168" customFormat="1" customHeight="1" spans="1:90">
      <c r="A158" s="1245">
        <v>46059</v>
      </c>
      <c r="B158" s="1247" t="s">
        <v>827</v>
      </c>
      <c r="C158" s="1234" t="s">
        <v>101</v>
      </c>
      <c r="D158" s="1188">
        <v>4500193278</v>
      </c>
      <c r="E158" s="1234">
        <v>3104</v>
      </c>
      <c r="F158" s="1188" t="s">
        <v>828</v>
      </c>
      <c r="G158" s="1253" t="s">
        <v>604</v>
      </c>
      <c r="H158" s="1234" t="s">
        <v>104</v>
      </c>
      <c r="I158" s="1254">
        <v>1600</v>
      </c>
      <c r="J158" s="1234">
        <v>0</v>
      </c>
      <c r="K158" s="1234">
        <v>25</v>
      </c>
      <c r="L158" s="1246">
        <f t="shared" si="46"/>
        <v>64</v>
      </c>
      <c r="M158" s="1255">
        <v>46171</v>
      </c>
      <c r="N158" s="1255">
        <f>M158-4</f>
        <v>46167</v>
      </c>
      <c r="O158" s="1255"/>
      <c r="P158" s="1233"/>
      <c r="Q158" s="1286" t="s">
        <v>106</v>
      </c>
      <c r="R158" s="1234"/>
      <c r="S158" s="1234" t="s">
        <v>736</v>
      </c>
      <c r="T158" s="1233">
        <v>1600</v>
      </c>
      <c r="U158" s="1233">
        <f t="shared" si="49"/>
        <v>0</v>
      </c>
      <c r="V158" s="1234"/>
      <c r="W158" s="1256" t="s">
        <v>829</v>
      </c>
      <c r="X158" s="1257" t="s">
        <v>95</v>
      </c>
      <c r="Y158" s="1257" t="s">
        <v>95</v>
      </c>
      <c r="Z158" s="1247" t="s">
        <v>360</v>
      </c>
      <c r="AA158" s="1247"/>
      <c r="AB158" s="1247"/>
      <c r="AC158" s="1247" t="s">
        <v>830</v>
      </c>
      <c r="AD158" s="1255" t="s">
        <v>673</v>
      </c>
      <c r="AE158" s="1188">
        <v>1.27</v>
      </c>
      <c r="AF158" s="1248">
        <f>I158*AE158</f>
        <v>2032</v>
      </c>
      <c r="AG158" s="1258"/>
      <c r="AH158" s="1234" t="s">
        <v>146</v>
      </c>
      <c r="AI158" s="1234" t="s">
        <v>112</v>
      </c>
      <c r="AJ158" s="1234" t="s">
        <v>113</v>
      </c>
      <c r="AK158" s="1188">
        <f>I158</f>
        <v>1600</v>
      </c>
      <c r="AL158" s="1188"/>
      <c r="AM158" s="1188"/>
      <c r="AN158" s="1188">
        <f>I158</f>
        <v>1600</v>
      </c>
      <c r="AO158" s="1188"/>
      <c r="AP158" s="1188"/>
      <c r="AQ158" s="1240"/>
      <c r="AR158" s="1188"/>
      <c r="AS158" s="1236"/>
      <c r="AT158" s="1236"/>
      <c r="AU158" s="1188"/>
      <c r="AV158" s="1250">
        <f>I158*0.06</f>
        <v>96</v>
      </c>
      <c r="AW158" s="1250"/>
      <c r="AX158" s="1188">
        <f>I158</f>
        <v>1600</v>
      </c>
      <c r="AY158" s="1188"/>
      <c r="AZ158" s="1188"/>
      <c r="BA158" s="1188"/>
      <c r="BB158" s="1188"/>
      <c r="BC158" s="1188"/>
      <c r="BD158" s="1188"/>
      <c r="BE158" s="1188"/>
      <c r="BF158" s="1188"/>
      <c r="BG158" s="1188"/>
      <c r="BH158" s="1188"/>
      <c r="BI158" s="1188"/>
      <c r="BJ158" s="1188"/>
      <c r="BK158" s="1188"/>
      <c r="BL158" s="1188"/>
      <c r="BM158" s="1188"/>
      <c r="BN158" s="1188"/>
      <c r="BO158" s="1240"/>
      <c r="BP158" s="1240"/>
      <c r="BQ158" s="1188">
        <f>I158/25</f>
        <v>64</v>
      </c>
      <c r="BR158" s="1236"/>
      <c r="BS158" s="1188"/>
      <c r="BT158" s="1188"/>
      <c r="BU158" s="1188"/>
      <c r="BV158" s="1240"/>
      <c r="BW158" s="1188"/>
      <c r="BX158" s="1188"/>
      <c r="BY158" s="1188"/>
      <c r="BZ158" s="1188"/>
      <c r="CA158" s="1188"/>
      <c r="CB158" s="1188"/>
      <c r="CC158" s="1188"/>
      <c r="CD158" s="1188">
        <f t="shared" si="42"/>
        <v>64</v>
      </c>
      <c r="CE158" s="1188">
        <f t="shared" si="43"/>
        <v>0</v>
      </c>
      <c r="CF158" s="1188">
        <f t="shared" si="44"/>
        <v>0</v>
      </c>
      <c r="CG158" s="1188">
        <f t="shared" si="45"/>
        <v>0</v>
      </c>
      <c r="CH158" s="1236"/>
      <c r="CI158" s="1236"/>
      <c r="CJ158" s="1236"/>
      <c r="CK158" s="1188"/>
      <c r="CL158" s="1188"/>
    </row>
    <row r="159" s="1168" customFormat="1" customHeight="1" spans="1:90">
      <c r="A159" s="1245">
        <v>46084</v>
      </c>
      <c r="B159" s="1247" t="s">
        <v>480</v>
      </c>
      <c r="C159" s="1234" t="s">
        <v>115</v>
      </c>
      <c r="D159" s="1188">
        <v>4500194947</v>
      </c>
      <c r="E159" s="1233">
        <v>1790512277</v>
      </c>
      <c r="F159" s="1188" t="s">
        <v>831</v>
      </c>
      <c r="G159" s="1253" t="s">
        <v>482</v>
      </c>
      <c r="H159" s="1234" t="s">
        <v>483</v>
      </c>
      <c r="I159" s="1254">
        <v>4320</v>
      </c>
      <c r="J159" s="1234">
        <v>0</v>
      </c>
      <c r="K159" s="1234">
        <v>120</v>
      </c>
      <c r="L159" s="1246">
        <f t="shared" si="46"/>
        <v>36</v>
      </c>
      <c r="M159" s="1255">
        <v>46171</v>
      </c>
      <c r="N159" s="1255">
        <v>46167</v>
      </c>
      <c r="O159" s="1255"/>
      <c r="P159" s="1233"/>
      <c r="Q159" s="1286" t="s">
        <v>106</v>
      </c>
      <c r="R159" s="1234" t="s">
        <v>485</v>
      </c>
      <c r="S159" s="1234" t="s">
        <v>736</v>
      </c>
      <c r="T159" s="1233">
        <v>4320</v>
      </c>
      <c r="U159" s="1233">
        <f t="shared" si="49"/>
        <v>0</v>
      </c>
      <c r="V159" s="1234"/>
      <c r="W159" s="1256">
        <v>46155</v>
      </c>
      <c r="X159" s="1257" t="s">
        <v>107</v>
      </c>
      <c r="Y159" s="1257" t="s">
        <v>95</v>
      </c>
      <c r="Z159" s="1247"/>
      <c r="AA159" s="1247"/>
      <c r="AB159" s="1247"/>
      <c r="AC159" s="1247" t="s">
        <v>636</v>
      </c>
      <c r="AD159" s="1255" t="s">
        <v>488</v>
      </c>
      <c r="AE159" s="1188">
        <v>642</v>
      </c>
      <c r="AF159" s="1248">
        <f t="shared" ref="AF159:AF166" si="50">L159*AE159</f>
        <v>23112</v>
      </c>
      <c r="AG159" s="1249" t="s">
        <v>832</v>
      </c>
      <c r="AH159" s="1234" t="s">
        <v>490</v>
      </c>
      <c r="AI159" s="1234" t="s">
        <v>112</v>
      </c>
      <c r="AJ159" s="1234" t="s">
        <v>113</v>
      </c>
      <c r="AK159" s="1188"/>
      <c r="AL159" s="1188">
        <f t="shared" ref="AL159:AL166" si="51">I159*3</f>
        <v>12960</v>
      </c>
      <c r="AM159" s="1188"/>
      <c r="AN159" s="1188"/>
      <c r="AO159" s="1188"/>
      <c r="AP159" s="1188"/>
      <c r="AQ159" s="1240"/>
      <c r="AR159" s="1188"/>
      <c r="AS159" s="1236"/>
      <c r="AT159" s="1236"/>
      <c r="AU159" s="1188"/>
      <c r="AV159" s="1250">
        <f t="shared" ref="AV159:AV166" si="52">I159*0.06*2</f>
        <v>518.4</v>
      </c>
      <c r="AW159" s="1250"/>
      <c r="AX159" s="1188"/>
      <c r="AY159" s="1188"/>
      <c r="AZ159" s="1188"/>
      <c r="BA159" s="1188"/>
      <c r="BB159" s="1188">
        <f t="shared" ref="BB159:BB166" si="53">I159*3</f>
        <v>12960</v>
      </c>
      <c r="BC159" s="1188">
        <f t="shared" ref="BC159:BC166" si="54">I159*3</f>
        <v>12960</v>
      </c>
      <c r="BD159" s="1188">
        <f t="shared" ref="BD159:BD166" si="55">I159*3</f>
        <v>12960</v>
      </c>
      <c r="BE159" s="1188">
        <f t="shared" ref="BE159:BE166" si="56">I159</f>
        <v>4320</v>
      </c>
      <c r="BF159" s="1188">
        <f t="shared" ref="BF159:BF166" si="57">I159/6</f>
        <v>720</v>
      </c>
      <c r="BG159" s="1188"/>
      <c r="BH159" s="1188"/>
      <c r="BI159" s="1188"/>
      <c r="BJ159" s="1188"/>
      <c r="BK159" s="1188"/>
      <c r="BL159" s="1188"/>
      <c r="BM159" s="1188"/>
      <c r="BN159" s="1188"/>
      <c r="BO159" s="1240"/>
      <c r="BP159" s="1240"/>
      <c r="BQ159" s="1188"/>
      <c r="BR159" s="1236"/>
      <c r="BS159" s="1188"/>
      <c r="BT159" s="1188"/>
      <c r="BU159" s="1188"/>
      <c r="BV159" s="1240"/>
      <c r="BW159" s="1188"/>
      <c r="BX159" s="1188"/>
      <c r="BY159" s="1188"/>
      <c r="BZ159" s="1188"/>
      <c r="CA159" s="1188"/>
      <c r="CB159" s="1188"/>
      <c r="CC159" s="1188"/>
      <c r="CD159" s="1188">
        <f t="shared" si="42"/>
        <v>0</v>
      </c>
      <c r="CE159" s="1188">
        <f t="shared" si="43"/>
        <v>0</v>
      </c>
      <c r="CF159" s="1188">
        <f t="shared" si="44"/>
        <v>0</v>
      </c>
      <c r="CG159" s="1188">
        <f t="shared" si="45"/>
        <v>0</v>
      </c>
      <c r="CH159" s="1236"/>
      <c r="CI159" s="1236"/>
      <c r="CJ159" s="1236"/>
      <c r="CK159" s="1188"/>
      <c r="CL159" s="1188"/>
    </row>
    <row r="160" s="1168" customFormat="1" customHeight="1" spans="1:90">
      <c r="A160" s="1245">
        <v>46084</v>
      </c>
      <c r="B160" s="1247" t="s">
        <v>480</v>
      </c>
      <c r="C160" s="1234" t="s">
        <v>115</v>
      </c>
      <c r="D160" s="1188">
        <v>4500194953</v>
      </c>
      <c r="E160" s="1233">
        <v>5840512188</v>
      </c>
      <c r="F160" s="1188" t="s">
        <v>833</v>
      </c>
      <c r="G160" s="1253" t="s">
        <v>482</v>
      </c>
      <c r="H160" s="1234" t="s">
        <v>483</v>
      </c>
      <c r="I160" s="1254">
        <v>4320</v>
      </c>
      <c r="J160" s="1234">
        <v>0</v>
      </c>
      <c r="K160" s="1234">
        <v>120</v>
      </c>
      <c r="L160" s="1246">
        <f t="shared" si="46"/>
        <v>36</v>
      </c>
      <c r="M160" s="1255">
        <v>46171</v>
      </c>
      <c r="N160" s="1255">
        <v>46167</v>
      </c>
      <c r="O160" s="1255"/>
      <c r="P160" s="1233"/>
      <c r="Q160" s="1286" t="s">
        <v>106</v>
      </c>
      <c r="R160" s="1234" t="s">
        <v>485</v>
      </c>
      <c r="S160" s="1234" t="s">
        <v>736</v>
      </c>
      <c r="T160" s="1233">
        <v>4320</v>
      </c>
      <c r="U160" s="1233">
        <f t="shared" si="49"/>
        <v>0</v>
      </c>
      <c r="V160" s="1234"/>
      <c r="W160" s="1256">
        <v>46155</v>
      </c>
      <c r="X160" s="1257" t="s">
        <v>107</v>
      </c>
      <c r="Y160" s="1257" t="s">
        <v>95</v>
      </c>
      <c r="Z160" s="1247"/>
      <c r="AA160" s="1247"/>
      <c r="AB160" s="1247"/>
      <c r="AC160" s="1247" t="s">
        <v>636</v>
      </c>
      <c r="AD160" s="1255" t="s">
        <v>488</v>
      </c>
      <c r="AE160" s="1188">
        <v>642</v>
      </c>
      <c r="AF160" s="1248">
        <f t="shared" si="50"/>
        <v>23112</v>
      </c>
      <c r="AG160" s="1249" t="s">
        <v>834</v>
      </c>
      <c r="AH160" s="1234" t="s">
        <v>490</v>
      </c>
      <c r="AI160" s="1234" t="s">
        <v>112</v>
      </c>
      <c r="AJ160" s="1234" t="s">
        <v>113</v>
      </c>
      <c r="AK160" s="1188"/>
      <c r="AL160" s="1188">
        <f t="shared" si="51"/>
        <v>12960</v>
      </c>
      <c r="AM160" s="1188"/>
      <c r="AN160" s="1188"/>
      <c r="AO160" s="1188"/>
      <c r="AP160" s="1188"/>
      <c r="AQ160" s="1240"/>
      <c r="AR160" s="1188"/>
      <c r="AS160" s="1236"/>
      <c r="AT160" s="1236"/>
      <c r="AU160" s="1188"/>
      <c r="AV160" s="1250">
        <f t="shared" si="52"/>
        <v>518.4</v>
      </c>
      <c r="AW160" s="1250"/>
      <c r="AX160" s="1188"/>
      <c r="AY160" s="1188"/>
      <c r="AZ160" s="1188"/>
      <c r="BA160" s="1188"/>
      <c r="BB160" s="1188">
        <f t="shared" si="53"/>
        <v>12960</v>
      </c>
      <c r="BC160" s="1188">
        <f t="shared" si="54"/>
        <v>12960</v>
      </c>
      <c r="BD160" s="1188">
        <f t="shared" si="55"/>
        <v>12960</v>
      </c>
      <c r="BE160" s="1188">
        <f t="shared" si="56"/>
        <v>4320</v>
      </c>
      <c r="BF160" s="1188">
        <f t="shared" si="57"/>
        <v>720</v>
      </c>
      <c r="BG160" s="1188"/>
      <c r="BH160" s="1188"/>
      <c r="BI160" s="1188"/>
      <c r="BJ160" s="1188"/>
      <c r="BK160" s="1188"/>
      <c r="BL160" s="1188"/>
      <c r="BM160" s="1188"/>
      <c r="BN160" s="1188"/>
      <c r="BO160" s="1240"/>
      <c r="BP160" s="1240"/>
      <c r="BQ160" s="1188"/>
      <c r="BR160" s="1236"/>
      <c r="BS160" s="1188"/>
      <c r="BT160" s="1188"/>
      <c r="BU160" s="1188"/>
      <c r="BV160" s="1240"/>
      <c r="BW160" s="1188"/>
      <c r="BX160" s="1188"/>
      <c r="BY160" s="1188"/>
      <c r="BZ160" s="1188"/>
      <c r="CA160" s="1188"/>
      <c r="CB160" s="1188"/>
      <c r="CC160" s="1188"/>
      <c r="CD160" s="1188">
        <f t="shared" si="42"/>
        <v>0</v>
      </c>
      <c r="CE160" s="1188">
        <f t="shared" si="43"/>
        <v>0</v>
      </c>
      <c r="CF160" s="1188">
        <f t="shared" si="44"/>
        <v>0</v>
      </c>
      <c r="CG160" s="1188">
        <f t="shared" si="45"/>
        <v>0</v>
      </c>
      <c r="CH160" s="1236"/>
      <c r="CI160" s="1236"/>
      <c r="CJ160" s="1236"/>
      <c r="CK160" s="1188"/>
      <c r="CL160" s="1188"/>
    </row>
    <row r="161" s="1168" customFormat="1" customHeight="1" spans="1:90">
      <c r="A161" s="1245">
        <v>46084</v>
      </c>
      <c r="B161" s="1247" t="s">
        <v>480</v>
      </c>
      <c r="C161" s="1234" t="s">
        <v>115</v>
      </c>
      <c r="D161" s="1188">
        <v>4500194954</v>
      </c>
      <c r="E161" s="1233">
        <v>5840512189</v>
      </c>
      <c r="F161" s="1188" t="s">
        <v>835</v>
      </c>
      <c r="G161" s="1253" t="s">
        <v>482</v>
      </c>
      <c r="H161" s="1234" t="s">
        <v>483</v>
      </c>
      <c r="I161" s="1254">
        <v>4320</v>
      </c>
      <c r="J161" s="1234">
        <v>0</v>
      </c>
      <c r="K161" s="1234">
        <v>120</v>
      </c>
      <c r="L161" s="1246">
        <f t="shared" si="46"/>
        <v>36</v>
      </c>
      <c r="M161" s="1255">
        <v>46171</v>
      </c>
      <c r="N161" s="1255">
        <v>46167</v>
      </c>
      <c r="O161" s="1255"/>
      <c r="P161" s="1233"/>
      <c r="Q161" s="1286" t="s">
        <v>106</v>
      </c>
      <c r="R161" s="1234" t="s">
        <v>485</v>
      </c>
      <c r="S161" s="1234" t="s">
        <v>736</v>
      </c>
      <c r="T161" s="1233">
        <v>4320</v>
      </c>
      <c r="U161" s="1233">
        <f t="shared" si="49"/>
        <v>0</v>
      </c>
      <c r="V161" s="1234"/>
      <c r="W161" s="1256">
        <v>46155</v>
      </c>
      <c r="X161" s="1257" t="s">
        <v>107</v>
      </c>
      <c r="Y161" s="1257" t="s">
        <v>95</v>
      </c>
      <c r="Z161" s="1247"/>
      <c r="AA161" s="1247"/>
      <c r="AB161" s="1247"/>
      <c r="AC161" s="1247" t="s">
        <v>636</v>
      </c>
      <c r="AD161" s="1255" t="s">
        <v>488</v>
      </c>
      <c r="AE161" s="1188">
        <v>642</v>
      </c>
      <c r="AF161" s="1248">
        <f t="shared" si="50"/>
        <v>23112</v>
      </c>
      <c r="AG161" s="1249" t="s">
        <v>836</v>
      </c>
      <c r="AH161" s="1234" t="s">
        <v>490</v>
      </c>
      <c r="AI161" s="1234" t="s">
        <v>112</v>
      </c>
      <c r="AJ161" s="1234" t="s">
        <v>113</v>
      </c>
      <c r="AK161" s="1188"/>
      <c r="AL161" s="1188">
        <f t="shared" si="51"/>
        <v>12960</v>
      </c>
      <c r="AM161" s="1188"/>
      <c r="AN161" s="1188"/>
      <c r="AO161" s="1188"/>
      <c r="AP161" s="1188"/>
      <c r="AQ161" s="1240"/>
      <c r="AR161" s="1188"/>
      <c r="AS161" s="1236"/>
      <c r="AT161" s="1236"/>
      <c r="AU161" s="1188"/>
      <c r="AV161" s="1250">
        <f t="shared" si="52"/>
        <v>518.4</v>
      </c>
      <c r="AW161" s="1250"/>
      <c r="AX161" s="1188"/>
      <c r="AY161" s="1188"/>
      <c r="AZ161" s="1188"/>
      <c r="BA161" s="1188"/>
      <c r="BB161" s="1188">
        <f t="shared" si="53"/>
        <v>12960</v>
      </c>
      <c r="BC161" s="1188">
        <f t="shared" si="54"/>
        <v>12960</v>
      </c>
      <c r="BD161" s="1188">
        <f t="shared" si="55"/>
        <v>12960</v>
      </c>
      <c r="BE161" s="1188">
        <f t="shared" si="56"/>
        <v>4320</v>
      </c>
      <c r="BF161" s="1188">
        <f t="shared" si="57"/>
        <v>720</v>
      </c>
      <c r="BG161" s="1188"/>
      <c r="BH161" s="1188"/>
      <c r="BI161" s="1188"/>
      <c r="BJ161" s="1188"/>
      <c r="BK161" s="1188"/>
      <c r="BL161" s="1188"/>
      <c r="BM161" s="1188"/>
      <c r="BN161" s="1188"/>
      <c r="BO161" s="1240"/>
      <c r="BP161" s="1240"/>
      <c r="BQ161" s="1188"/>
      <c r="BR161" s="1236"/>
      <c r="BS161" s="1188"/>
      <c r="BT161" s="1188"/>
      <c r="BU161" s="1188"/>
      <c r="BV161" s="1240"/>
      <c r="BW161" s="1188"/>
      <c r="BX161" s="1188"/>
      <c r="BY161" s="1188"/>
      <c r="BZ161" s="1188"/>
      <c r="CA161" s="1188"/>
      <c r="CB161" s="1188"/>
      <c r="CC161" s="1188"/>
      <c r="CD161" s="1188">
        <f t="shared" si="42"/>
        <v>0</v>
      </c>
      <c r="CE161" s="1188">
        <f t="shared" si="43"/>
        <v>0</v>
      </c>
      <c r="CF161" s="1188">
        <f t="shared" si="44"/>
        <v>0</v>
      </c>
      <c r="CG161" s="1188">
        <f t="shared" si="45"/>
        <v>0</v>
      </c>
      <c r="CH161" s="1236"/>
      <c r="CI161" s="1236"/>
      <c r="CJ161" s="1236"/>
      <c r="CK161" s="1188"/>
      <c r="CL161" s="1188"/>
    </row>
    <row r="162" s="1168" customFormat="1" customHeight="1" spans="1:90">
      <c r="A162" s="1245">
        <v>46084</v>
      </c>
      <c r="B162" s="1247" t="s">
        <v>480</v>
      </c>
      <c r="C162" s="1234" t="s">
        <v>115</v>
      </c>
      <c r="D162" s="1188">
        <v>4500194957</v>
      </c>
      <c r="E162" s="1233">
        <v>13760512285</v>
      </c>
      <c r="F162" s="1188" t="s">
        <v>837</v>
      </c>
      <c r="G162" s="1253" t="s">
        <v>482</v>
      </c>
      <c r="H162" s="1234" t="s">
        <v>483</v>
      </c>
      <c r="I162" s="1254">
        <v>4320</v>
      </c>
      <c r="J162" s="1234">
        <v>0</v>
      </c>
      <c r="K162" s="1234">
        <v>120</v>
      </c>
      <c r="L162" s="1246">
        <f t="shared" si="46"/>
        <v>36</v>
      </c>
      <c r="M162" s="1255">
        <v>46171</v>
      </c>
      <c r="N162" s="1255">
        <v>46167</v>
      </c>
      <c r="O162" s="1255"/>
      <c r="P162" s="1233"/>
      <c r="Q162" s="1286" t="s">
        <v>106</v>
      </c>
      <c r="R162" s="1234" t="s">
        <v>485</v>
      </c>
      <c r="S162" s="1234" t="s">
        <v>736</v>
      </c>
      <c r="T162" s="1233">
        <v>4320</v>
      </c>
      <c r="U162" s="1233">
        <f t="shared" si="49"/>
        <v>0</v>
      </c>
      <c r="V162" s="1234"/>
      <c r="W162" s="1256">
        <v>46155</v>
      </c>
      <c r="X162" s="1257" t="s">
        <v>107</v>
      </c>
      <c r="Y162" s="1257" t="s">
        <v>95</v>
      </c>
      <c r="Z162" s="1247"/>
      <c r="AA162" s="1247"/>
      <c r="AB162" s="1247"/>
      <c r="AC162" s="1247" t="s">
        <v>636</v>
      </c>
      <c r="AD162" s="1255" t="s">
        <v>488</v>
      </c>
      <c r="AE162" s="1188">
        <v>642</v>
      </c>
      <c r="AF162" s="1248">
        <f t="shared" si="50"/>
        <v>23112</v>
      </c>
      <c r="AG162" s="1249" t="s">
        <v>838</v>
      </c>
      <c r="AH162" s="1234" t="s">
        <v>490</v>
      </c>
      <c r="AI162" s="1234" t="s">
        <v>112</v>
      </c>
      <c r="AJ162" s="1234" t="s">
        <v>113</v>
      </c>
      <c r="AK162" s="1188"/>
      <c r="AL162" s="1188">
        <f t="shared" si="51"/>
        <v>12960</v>
      </c>
      <c r="AM162" s="1188"/>
      <c r="AN162" s="1188"/>
      <c r="AO162" s="1188"/>
      <c r="AP162" s="1188"/>
      <c r="AQ162" s="1240"/>
      <c r="AR162" s="1188"/>
      <c r="AS162" s="1236"/>
      <c r="AT162" s="1236"/>
      <c r="AU162" s="1188"/>
      <c r="AV162" s="1250">
        <f t="shared" si="52"/>
        <v>518.4</v>
      </c>
      <c r="AW162" s="1250"/>
      <c r="AX162" s="1188"/>
      <c r="AY162" s="1188"/>
      <c r="AZ162" s="1188"/>
      <c r="BA162" s="1188"/>
      <c r="BB162" s="1188">
        <f t="shared" si="53"/>
        <v>12960</v>
      </c>
      <c r="BC162" s="1188">
        <f t="shared" si="54"/>
        <v>12960</v>
      </c>
      <c r="BD162" s="1188">
        <f t="shared" si="55"/>
        <v>12960</v>
      </c>
      <c r="BE162" s="1188">
        <f t="shared" si="56"/>
        <v>4320</v>
      </c>
      <c r="BF162" s="1188">
        <f t="shared" si="57"/>
        <v>720</v>
      </c>
      <c r="BG162" s="1188"/>
      <c r="BH162" s="1188"/>
      <c r="BI162" s="1188"/>
      <c r="BJ162" s="1188"/>
      <c r="BK162" s="1188"/>
      <c r="BL162" s="1188"/>
      <c r="BM162" s="1188"/>
      <c r="BN162" s="1188"/>
      <c r="BO162" s="1240"/>
      <c r="BP162" s="1240"/>
      <c r="BQ162" s="1188"/>
      <c r="BR162" s="1236"/>
      <c r="BS162" s="1188"/>
      <c r="BT162" s="1188"/>
      <c r="BU162" s="1188"/>
      <c r="BV162" s="1240"/>
      <c r="BW162" s="1188"/>
      <c r="BX162" s="1188"/>
      <c r="BY162" s="1188"/>
      <c r="BZ162" s="1188"/>
      <c r="CA162" s="1188"/>
      <c r="CB162" s="1188"/>
      <c r="CC162" s="1188"/>
      <c r="CD162" s="1188">
        <f t="shared" si="42"/>
        <v>0</v>
      </c>
      <c r="CE162" s="1188">
        <f t="shared" si="43"/>
        <v>0</v>
      </c>
      <c r="CF162" s="1188">
        <f t="shared" si="44"/>
        <v>0</v>
      </c>
      <c r="CG162" s="1188">
        <f t="shared" si="45"/>
        <v>0</v>
      </c>
      <c r="CH162" s="1236"/>
      <c r="CI162" s="1236"/>
      <c r="CJ162" s="1236"/>
      <c r="CK162" s="1188"/>
      <c r="CL162" s="1188"/>
    </row>
    <row r="163" s="1168" customFormat="1" customHeight="1" spans="1:90">
      <c r="A163" s="1245">
        <v>46084</v>
      </c>
      <c r="B163" s="1247" t="s">
        <v>480</v>
      </c>
      <c r="C163" s="1234" t="s">
        <v>115</v>
      </c>
      <c r="D163" s="1188">
        <v>4500194951</v>
      </c>
      <c r="E163" s="1233">
        <v>2670512369</v>
      </c>
      <c r="F163" s="1188" t="s">
        <v>839</v>
      </c>
      <c r="G163" s="1253" t="s">
        <v>482</v>
      </c>
      <c r="H163" s="1234" t="s">
        <v>483</v>
      </c>
      <c r="I163" s="1254">
        <v>4320</v>
      </c>
      <c r="J163" s="1234">
        <v>0</v>
      </c>
      <c r="K163" s="1234">
        <v>120</v>
      </c>
      <c r="L163" s="1246">
        <f t="shared" si="46"/>
        <v>36</v>
      </c>
      <c r="M163" s="1255">
        <v>46171</v>
      </c>
      <c r="N163" s="1255">
        <v>46202</v>
      </c>
      <c r="O163" s="1255"/>
      <c r="P163" s="1233"/>
      <c r="Q163" s="1286" t="s">
        <v>106</v>
      </c>
      <c r="R163" s="1234" t="s">
        <v>840</v>
      </c>
      <c r="S163" s="1234" t="s">
        <v>718</v>
      </c>
      <c r="T163" s="1233">
        <v>4320</v>
      </c>
      <c r="U163" s="1233">
        <f t="shared" si="49"/>
        <v>0</v>
      </c>
      <c r="V163" s="1234"/>
      <c r="W163" s="1256">
        <v>46155</v>
      </c>
      <c r="X163" s="1257" t="s">
        <v>107</v>
      </c>
      <c r="Y163" s="1257" t="s">
        <v>95</v>
      </c>
      <c r="Z163" s="1247"/>
      <c r="AA163" s="1247"/>
      <c r="AB163" s="1247"/>
      <c r="AC163" s="1247" t="s">
        <v>636</v>
      </c>
      <c r="AD163" s="1248" t="s">
        <v>488</v>
      </c>
      <c r="AE163" s="1247">
        <v>642</v>
      </c>
      <c r="AF163" s="1248">
        <f t="shared" si="50"/>
        <v>23112</v>
      </c>
      <c r="AG163" s="1249" t="s">
        <v>841</v>
      </c>
      <c r="AH163" s="1234" t="s">
        <v>490</v>
      </c>
      <c r="AI163" s="1234" t="s">
        <v>112</v>
      </c>
      <c r="AJ163" s="1234" t="s">
        <v>113</v>
      </c>
      <c r="AK163" s="1188"/>
      <c r="AL163" s="1188">
        <f t="shared" si="51"/>
        <v>12960</v>
      </c>
      <c r="AM163" s="1188"/>
      <c r="AN163" s="1188"/>
      <c r="AO163" s="1188"/>
      <c r="AP163" s="1188"/>
      <c r="AQ163" s="1240"/>
      <c r="AR163" s="1188"/>
      <c r="AS163" s="1260"/>
      <c r="AT163" s="1260"/>
      <c r="AU163" s="1188"/>
      <c r="AV163" s="1250">
        <f t="shared" si="52"/>
        <v>518.4</v>
      </c>
      <c r="AW163" s="1250"/>
      <c r="AX163" s="1188"/>
      <c r="AY163" s="1188"/>
      <c r="AZ163" s="1188"/>
      <c r="BA163" s="1188"/>
      <c r="BB163" s="1188">
        <f t="shared" si="53"/>
        <v>12960</v>
      </c>
      <c r="BC163" s="1188">
        <f t="shared" si="54"/>
        <v>12960</v>
      </c>
      <c r="BD163" s="1188">
        <f t="shared" si="55"/>
        <v>12960</v>
      </c>
      <c r="BE163" s="1188">
        <f t="shared" si="56"/>
        <v>4320</v>
      </c>
      <c r="BF163" s="1188">
        <f t="shared" si="57"/>
        <v>720</v>
      </c>
      <c r="BG163" s="1188"/>
      <c r="BH163" s="1188"/>
      <c r="BI163" s="1188"/>
      <c r="BJ163" s="1188"/>
      <c r="BK163" s="1188"/>
      <c r="BL163" s="1188"/>
      <c r="BM163" s="1188"/>
      <c r="BN163" s="1188"/>
      <c r="BO163" s="1240"/>
      <c r="BP163" s="1240"/>
      <c r="BQ163" s="1188"/>
      <c r="BR163" s="1236"/>
      <c r="BS163" s="1188"/>
      <c r="BT163" s="1188"/>
      <c r="BU163" s="1188"/>
      <c r="BV163" s="1240"/>
      <c r="BW163" s="1188"/>
      <c r="BX163" s="1188"/>
      <c r="BY163" s="1188"/>
      <c r="BZ163" s="1188"/>
      <c r="CA163" s="1188"/>
      <c r="CB163" s="1188"/>
      <c r="CC163" s="1188"/>
      <c r="CD163" s="1188">
        <f t="shared" si="42"/>
        <v>0</v>
      </c>
      <c r="CE163" s="1188">
        <f t="shared" si="43"/>
        <v>0</v>
      </c>
      <c r="CF163" s="1188">
        <f t="shared" si="44"/>
        <v>0</v>
      </c>
      <c r="CG163" s="1188">
        <f t="shared" si="45"/>
        <v>0</v>
      </c>
      <c r="CH163" s="1236"/>
      <c r="CI163" s="1236"/>
      <c r="CJ163" s="1236"/>
      <c r="CK163" s="1188"/>
      <c r="CL163" s="1188"/>
    </row>
    <row r="164" s="1168" customFormat="1" customHeight="1" spans="1:90">
      <c r="A164" s="1245">
        <v>46084</v>
      </c>
      <c r="B164" s="1247" t="s">
        <v>480</v>
      </c>
      <c r="C164" s="1234" t="s">
        <v>115</v>
      </c>
      <c r="D164" s="1188">
        <v>4500194956</v>
      </c>
      <c r="E164" s="1233">
        <v>13860512198</v>
      </c>
      <c r="F164" s="1188" t="s">
        <v>842</v>
      </c>
      <c r="G164" s="1253" t="s">
        <v>482</v>
      </c>
      <c r="H164" s="1234" t="s">
        <v>483</v>
      </c>
      <c r="I164" s="1254">
        <v>4320</v>
      </c>
      <c r="J164" s="1234">
        <v>0</v>
      </c>
      <c r="K164" s="1234">
        <v>120</v>
      </c>
      <c r="L164" s="1246">
        <f t="shared" si="46"/>
        <v>36</v>
      </c>
      <c r="M164" s="1255">
        <v>46171</v>
      </c>
      <c r="N164" s="1255">
        <v>46202</v>
      </c>
      <c r="O164" s="1255"/>
      <c r="P164" s="1233"/>
      <c r="Q164" s="1286" t="s">
        <v>106</v>
      </c>
      <c r="R164" s="1234" t="s">
        <v>843</v>
      </c>
      <c r="S164" s="1234" t="s">
        <v>718</v>
      </c>
      <c r="T164" s="1233">
        <v>4320</v>
      </c>
      <c r="U164" s="1233">
        <f t="shared" si="49"/>
        <v>0</v>
      </c>
      <c r="V164" s="1234"/>
      <c r="W164" s="1256">
        <v>46155</v>
      </c>
      <c r="X164" s="1257" t="s">
        <v>107</v>
      </c>
      <c r="Y164" s="1257" t="s">
        <v>95</v>
      </c>
      <c r="Z164" s="1247"/>
      <c r="AA164" s="1247"/>
      <c r="AB164" s="1247"/>
      <c r="AC164" s="1247" t="s">
        <v>636</v>
      </c>
      <c r="AD164" s="1248" t="s">
        <v>488</v>
      </c>
      <c r="AE164" s="1247">
        <v>642</v>
      </c>
      <c r="AF164" s="1248">
        <f t="shared" si="50"/>
        <v>23112</v>
      </c>
      <c r="AG164" s="1249" t="s">
        <v>844</v>
      </c>
      <c r="AH164" s="1234" t="s">
        <v>490</v>
      </c>
      <c r="AI164" s="1234" t="s">
        <v>112</v>
      </c>
      <c r="AJ164" s="1234" t="s">
        <v>113</v>
      </c>
      <c r="AK164" s="1188"/>
      <c r="AL164" s="1188">
        <f t="shared" si="51"/>
        <v>12960</v>
      </c>
      <c r="AM164" s="1188"/>
      <c r="AN164" s="1188"/>
      <c r="AO164" s="1188"/>
      <c r="AP164" s="1188"/>
      <c r="AQ164" s="1240"/>
      <c r="AR164" s="1188"/>
      <c r="AS164" s="1236"/>
      <c r="AT164" s="1236"/>
      <c r="AU164" s="1188"/>
      <c r="AV164" s="1250">
        <f t="shared" si="52"/>
        <v>518.4</v>
      </c>
      <c r="AW164" s="1250"/>
      <c r="AX164" s="1188"/>
      <c r="AY164" s="1188"/>
      <c r="AZ164" s="1188"/>
      <c r="BA164" s="1188"/>
      <c r="BB164" s="1188">
        <f t="shared" si="53"/>
        <v>12960</v>
      </c>
      <c r="BC164" s="1188">
        <f t="shared" si="54"/>
        <v>12960</v>
      </c>
      <c r="BD164" s="1188">
        <f t="shared" si="55"/>
        <v>12960</v>
      </c>
      <c r="BE164" s="1188">
        <f t="shared" si="56"/>
        <v>4320</v>
      </c>
      <c r="BF164" s="1188">
        <f t="shared" si="57"/>
        <v>720</v>
      </c>
      <c r="BG164" s="1188"/>
      <c r="BH164" s="1188"/>
      <c r="BI164" s="1188"/>
      <c r="BJ164" s="1188"/>
      <c r="BK164" s="1188"/>
      <c r="BL164" s="1188"/>
      <c r="BM164" s="1188"/>
      <c r="BN164" s="1188"/>
      <c r="BO164" s="1240"/>
      <c r="BP164" s="1240"/>
      <c r="BQ164" s="1188"/>
      <c r="BR164" s="1236"/>
      <c r="BS164" s="1188"/>
      <c r="BT164" s="1188"/>
      <c r="BU164" s="1188"/>
      <c r="BV164" s="1240"/>
      <c r="BW164" s="1188"/>
      <c r="BX164" s="1188"/>
      <c r="BY164" s="1188"/>
      <c r="BZ164" s="1188"/>
      <c r="CA164" s="1188"/>
      <c r="CB164" s="1188"/>
      <c r="CC164" s="1188"/>
      <c r="CD164" s="1188">
        <f t="shared" si="42"/>
        <v>0</v>
      </c>
      <c r="CE164" s="1188">
        <f t="shared" si="43"/>
        <v>0</v>
      </c>
      <c r="CF164" s="1188">
        <f t="shared" si="44"/>
        <v>0</v>
      </c>
      <c r="CG164" s="1188">
        <f t="shared" si="45"/>
        <v>0</v>
      </c>
      <c r="CH164" s="1236"/>
      <c r="CI164" s="1236"/>
      <c r="CJ164" s="1236"/>
      <c r="CK164" s="1188"/>
      <c r="CL164" s="1188"/>
    </row>
    <row r="165" s="1168" customFormat="1" customHeight="1" spans="1:90">
      <c r="A165" s="1245">
        <v>46107</v>
      </c>
      <c r="B165" s="1247" t="s">
        <v>845</v>
      </c>
      <c r="C165" s="1234" t="s">
        <v>291</v>
      </c>
      <c r="D165" s="1188">
        <v>4500198838</v>
      </c>
      <c r="E165" s="1234">
        <v>7950324033</v>
      </c>
      <c r="F165" s="1188" t="s">
        <v>846</v>
      </c>
      <c r="G165" s="1253" t="s">
        <v>482</v>
      </c>
      <c r="H165" s="1234" t="s">
        <v>483</v>
      </c>
      <c r="I165" s="1254">
        <v>4320</v>
      </c>
      <c r="J165" s="1234">
        <v>0</v>
      </c>
      <c r="K165" s="1234">
        <v>120</v>
      </c>
      <c r="L165" s="1246">
        <v>36</v>
      </c>
      <c r="M165" s="1255">
        <v>46171</v>
      </c>
      <c r="N165" s="1255">
        <v>46204</v>
      </c>
      <c r="O165" s="1255"/>
      <c r="P165" s="1233" t="s">
        <v>847</v>
      </c>
      <c r="Q165" s="1286" t="s">
        <v>106</v>
      </c>
      <c r="R165" s="1234" t="s">
        <v>848</v>
      </c>
      <c r="S165" s="1234" t="s">
        <v>718</v>
      </c>
      <c r="T165" s="1233">
        <v>4320</v>
      </c>
      <c r="U165" s="1233">
        <f t="shared" si="49"/>
        <v>0</v>
      </c>
      <c r="V165" s="1234"/>
      <c r="W165" s="1238">
        <v>46134</v>
      </c>
      <c r="X165" s="1227" t="s">
        <v>107</v>
      </c>
      <c r="Y165" s="1227" t="s">
        <v>849</v>
      </c>
      <c r="Z165" s="1247"/>
      <c r="AA165" s="1247"/>
      <c r="AB165" s="1247" t="s">
        <v>850</v>
      </c>
      <c r="AC165" s="1247" t="s">
        <v>851</v>
      </c>
      <c r="AD165" s="1248" t="s">
        <v>295</v>
      </c>
      <c r="AE165" s="1247">
        <v>1070</v>
      </c>
      <c r="AF165" s="1248">
        <f t="shared" si="50"/>
        <v>38520</v>
      </c>
      <c r="AG165" s="1258"/>
      <c r="AH165" s="1234" t="s">
        <v>490</v>
      </c>
      <c r="AI165" s="1234" t="s">
        <v>112</v>
      </c>
      <c r="AJ165" s="1234" t="s">
        <v>113</v>
      </c>
      <c r="AK165" s="1188"/>
      <c r="AL165" s="1188">
        <f t="shared" si="51"/>
        <v>12960</v>
      </c>
      <c r="AM165" s="1188"/>
      <c r="AN165" s="1188"/>
      <c r="AO165" s="1188"/>
      <c r="AP165" s="1188"/>
      <c r="AQ165" s="1240"/>
      <c r="AR165" s="1188"/>
      <c r="AS165" s="1236"/>
      <c r="AT165" s="1236"/>
      <c r="AU165" s="1188"/>
      <c r="AV165" s="1250">
        <f t="shared" si="52"/>
        <v>518.4</v>
      </c>
      <c r="AW165" s="1250"/>
      <c r="AX165" s="1188"/>
      <c r="AY165" s="1188"/>
      <c r="AZ165" s="1188"/>
      <c r="BA165" s="1188"/>
      <c r="BB165" s="1188">
        <f t="shared" si="53"/>
        <v>12960</v>
      </c>
      <c r="BC165" s="1188">
        <f t="shared" si="54"/>
        <v>12960</v>
      </c>
      <c r="BD165" s="1188">
        <f t="shared" si="55"/>
        <v>12960</v>
      </c>
      <c r="BE165" s="1188">
        <f t="shared" si="56"/>
        <v>4320</v>
      </c>
      <c r="BF165" s="1188">
        <f t="shared" si="57"/>
        <v>720</v>
      </c>
      <c r="BG165" s="1188"/>
      <c r="BH165" s="1188"/>
      <c r="BI165" s="1188"/>
      <c r="BJ165" s="1188"/>
      <c r="BK165" s="1188"/>
      <c r="BL165" s="1188"/>
      <c r="BM165" s="1188"/>
      <c r="BN165" s="1188"/>
      <c r="BO165" s="1240"/>
      <c r="BP165" s="1240"/>
      <c r="BQ165" s="1188"/>
      <c r="BR165" s="1236"/>
      <c r="BS165" s="1236"/>
      <c r="BT165" s="1188"/>
      <c r="BU165" s="1188"/>
      <c r="BV165" s="1240"/>
      <c r="BW165" s="1188"/>
      <c r="BX165" s="1188"/>
      <c r="BY165" s="1188"/>
      <c r="BZ165" s="1188"/>
      <c r="CA165" s="1188"/>
      <c r="CB165" s="1188"/>
      <c r="CC165" s="1188"/>
      <c r="CD165" s="1188">
        <f t="shared" si="42"/>
        <v>0</v>
      </c>
      <c r="CE165" s="1188">
        <f t="shared" si="43"/>
        <v>0</v>
      </c>
      <c r="CF165" s="1188">
        <f t="shared" si="44"/>
        <v>0</v>
      </c>
      <c r="CG165" s="1188">
        <f t="shared" si="45"/>
        <v>0</v>
      </c>
      <c r="CH165" s="1236"/>
      <c r="CI165" s="1236"/>
      <c r="CJ165" s="1236"/>
      <c r="CK165" s="1188"/>
      <c r="CL165" s="1188"/>
    </row>
    <row r="166" s="1168" customFormat="1" customHeight="1" spans="1:90">
      <c r="A166" s="1245">
        <v>46107</v>
      </c>
      <c r="B166" s="1247" t="s">
        <v>845</v>
      </c>
      <c r="C166" s="1234" t="s">
        <v>291</v>
      </c>
      <c r="D166" s="1188">
        <v>4500198839</v>
      </c>
      <c r="E166" s="1234">
        <v>7950324034</v>
      </c>
      <c r="F166" s="1188" t="s">
        <v>852</v>
      </c>
      <c r="G166" s="1253" t="s">
        <v>482</v>
      </c>
      <c r="H166" s="1234" t="s">
        <v>483</v>
      </c>
      <c r="I166" s="1254">
        <v>4320</v>
      </c>
      <c r="J166" s="1234">
        <v>0</v>
      </c>
      <c r="K166" s="1234">
        <v>120</v>
      </c>
      <c r="L166" s="1246">
        <f>I166/K166</f>
        <v>36</v>
      </c>
      <c r="M166" s="1255">
        <v>46171</v>
      </c>
      <c r="N166" s="1255">
        <v>46204</v>
      </c>
      <c r="O166" s="1255"/>
      <c r="P166" s="1233" t="s">
        <v>853</v>
      </c>
      <c r="Q166" s="1286" t="s">
        <v>106</v>
      </c>
      <c r="R166" s="1234" t="s">
        <v>848</v>
      </c>
      <c r="S166" s="1234" t="s">
        <v>718</v>
      </c>
      <c r="T166" s="1233">
        <v>4320</v>
      </c>
      <c r="U166" s="1233">
        <f t="shared" si="49"/>
        <v>0</v>
      </c>
      <c r="V166" s="1234"/>
      <c r="W166" s="1256">
        <v>46134</v>
      </c>
      <c r="X166" s="1257" t="s">
        <v>107</v>
      </c>
      <c r="Y166" s="1257" t="s">
        <v>849</v>
      </c>
      <c r="Z166" s="1247"/>
      <c r="AA166" s="1247"/>
      <c r="AB166" s="1247" t="s">
        <v>850</v>
      </c>
      <c r="AC166" s="1247" t="s">
        <v>854</v>
      </c>
      <c r="AD166" s="1248" t="s">
        <v>295</v>
      </c>
      <c r="AE166" s="1247">
        <v>1070</v>
      </c>
      <c r="AF166" s="1248">
        <f t="shared" si="50"/>
        <v>38520</v>
      </c>
      <c r="AG166" s="1258"/>
      <c r="AH166" s="1234" t="s">
        <v>490</v>
      </c>
      <c r="AI166" s="1234" t="s">
        <v>112</v>
      </c>
      <c r="AJ166" s="1234" t="s">
        <v>113</v>
      </c>
      <c r="AK166" s="1188"/>
      <c r="AL166" s="1188">
        <f t="shared" si="51"/>
        <v>12960</v>
      </c>
      <c r="AM166" s="1188"/>
      <c r="AN166" s="1188"/>
      <c r="AO166" s="1188"/>
      <c r="AP166" s="1188"/>
      <c r="AQ166" s="1240"/>
      <c r="AR166" s="1188"/>
      <c r="AS166" s="1236"/>
      <c r="AT166" s="1236"/>
      <c r="AU166" s="1188"/>
      <c r="AV166" s="1250">
        <f t="shared" si="52"/>
        <v>518.4</v>
      </c>
      <c r="AW166" s="1250"/>
      <c r="AX166" s="1188"/>
      <c r="AY166" s="1188"/>
      <c r="AZ166" s="1188"/>
      <c r="BA166" s="1188"/>
      <c r="BB166" s="1188">
        <f t="shared" si="53"/>
        <v>12960</v>
      </c>
      <c r="BC166" s="1188">
        <f t="shared" si="54"/>
        <v>12960</v>
      </c>
      <c r="BD166" s="1188">
        <f t="shared" si="55"/>
        <v>12960</v>
      </c>
      <c r="BE166" s="1188">
        <f t="shared" si="56"/>
        <v>4320</v>
      </c>
      <c r="BF166" s="1188">
        <f t="shared" si="57"/>
        <v>720</v>
      </c>
      <c r="BG166" s="1188"/>
      <c r="BH166" s="1188"/>
      <c r="BI166" s="1188"/>
      <c r="BJ166" s="1188"/>
      <c r="BK166" s="1188"/>
      <c r="BL166" s="1188"/>
      <c r="BM166" s="1188"/>
      <c r="BN166" s="1188"/>
      <c r="BO166" s="1240"/>
      <c r="BP166" s="1240"/>
      <c r="BQ166" s="1188"/>
      <c r="BR166" s="1236"/>
      <c r="BS166" s="1236"/>
      <c r="BT166" s="1188"/>
      <c r="BU166" s="1188"/>
      <c r="BV166" s="1240"/>
      <c r="BW166" s="1188"/>
      <c r="BX166" s="1188"/>
      <c r="BY166" s="1188"/>
      <c r="BZ166" s="1188"/>
      <c r="CA166" s="1188"/>
      <c r="CB166" s="1188"/>
      <c r="CC166" s="1188"/>
      <c r="CD166" s="1188">
        <f t="shared" si="42"/>
        <v>0</v>
      </c>
      <c r="CE166" s="1188">
        <f t="shared" si="43"/>
        <v>0</v>
      </c>
      <c r="CF166" s="1188">
        <f t="shared" si="44"/>
        <v>0</v>
      </c>
      <c r="CG166" s="1188">
        <f t="shared" si="45"/>
        <v>0</v>
      </c>
      <c r="CH166" s="1236"/>
      <c r="CI166" s="1236"/>
      <c r="CJ166" s="1236"/>
      <c r="CK166" s="1188"/>
      <c r="CL166" s="1188"/>
    </row>
    <row r="167" s="1168" customFormat="1" customHeight="1" spans="1:90">
      <c r="A167" s="1245">
        <v>46127</v>
      </c>
      <c r="B167" s="1247" t="s">
        <v>855</v>
      </c>
      <c r="C167" s="1234" t="s">
        <v>856</v>
      </c>
      <c r="D167" s="1188">
        <v>4500202163</v>
      </c>
      <c r="E167" s="1234" t="s">
        <v>857</v>
      </c>
      <c r="F167" s="1188" t="s">
        <v>858</v>
      </c>
      <c r="G167" s="1253" t="s">
        <v>289</v>
      </c>
      <c r="H167" s="1234" t="s">
        <v>859</v>
      </c>
      <c r="I167" s="1254">
        <v>10868</v>
      </c>
      <c r="J167" s="1234">
        <v>0</v>
      </c>
      <c r="K167" s="1234">
        <v>13</v>
      </c>
      <c r="L167" s="1246">
        <f>I167/K167</f>
        <v>836</v>
      </c>
      <c r="M167" s="1255">
        <v>46171</v>
      </c>
      <c r="N167" s="1255">
        <v>46214</v>
      </c>
      <c r="O167" s="1255"/>
      <c r="P167" s="1233"/>
      <c r="Q167" s="1286" t="s">
        <v>106</v>
      </c>
      <c r="R167" s="1234"/>
      <c r="S167" s="1234" t="s">
        <v>718</v>
      </c>
      <c r="T167" s="1233">
        <v>10868</v>
      </c>
      <c r="U167" s="1233">
        <f t="shared" si="49"/>
        <v>0</v>
      </c>
      <c r="V167" s="1234" t="s">
        <v>120</v>
      </c>
      <c r="W167" s="1256">
        <v>46135</v>
      </c>
      <c r="X167" s="1257" t="s">
        <v>95</v>
      </c>
      <c r="Y167" s="1257" t="s">
        <v>860</v>
      </c>
      <c r="Z167" s="1247"/>
      <c r="AA167" s="1247"/>
      <c r="AB167" s="1247"/>
      <c r="AC167" s="1247" t="s">
        <v>861</v>
      </c>
      <c r="AD167" s="1248" t="s">
        <v>862</v>
      </c>
      <c r="AE167" s="1247">
        <v>1.2</v>
      </c>
      <c r="AF167" s="1248">
        <f>I167*AE167</f>
        <v>13041.6</v>
      </c>
      <c r="AG167" s="1258"/>
      <c r="AH167" s="1234" t="s">
        <v>289</v>
      </c>
      <c r="AI167" s="1234" t="s">
        <v>112</v>
      </c>
      <c r="AJ167" s="1234" t="s">
        <v>769</v>
      </c>
      <c r="AK167" s="1188">
        <f t="shared" ref="AK167:AK180" si="58">I167</f>
        <v>10868</v>
      </c>
      <c r="AL167" s="1188"/>
      <c r="AM167" s="1188"/>
      <c r="AN167" s="1188">
        <f>I167</f>
        <v>10868</v>
      </c>
      <c r="AO167" s="1188"/>
      <c r="AP167" s="1188"/>
      <c r="AQ167" s="1240"/>
      <c r="AR167" s="1188"/>
      <c r="AS167" s="1236"/>
      <c r="AT167" s="1236"/>
      <c r="AU167" s="1188">
        <f>I167</f>
        <v>10868</v>
      </c>
      <c r="AV167" s="1250">
        <f t="shared" ref="AV167:AV174" si="59">I167*0.06</f>
        <v>652.08</v>
      </c>
      <c r="AW167" s="1250"/>
      <c r="AX167" s="1188"/>
      <c r="AY167" s="1188"/>
      <c r="AZ167" s="1188"/>
      <c r="BA167" s="1188"/>
      <c r="BB167" s="1188"/>
      <c r="BC167" s="1188"/>
      <c r="BD167" s="1188"/>
      <c r="BE167" s="1188"/>
      <c r="BF167" s="1188"/>
      <c r="BG167" s="1188"/>
      <c r="BH167" s="1188"/>
      <c r="BI167" s="1188"/>
      <c r="BJ167" s="1188"/>
      <c r="BK167" s="1188">
        <f>I167/13</f>
        <v>836</v>
      </c>
      <c r="BL167" s="1188"/>
      <c r="BM167" s="1188"/>
      <c r="BN167" s="1188"/>
      <c r="BO167" s="1240"/>
      <c r="BP167" s="1240"/>
      <c r="BQ167" s="1188"/>
      <c r="BR167" s="1236"/>
      <c r="BS167" s="1188"/>
      <c r="BT167" s="1188"/>
      <c r="BU167" s="1188"/>
      <c r="BV167" s="1240"/>
      <c r="BW167" s="1188"/>
      <c r="BX167" s="1188"/>
      <c r="BY167" s="1188"/>
      <c r="BZ167" s="1188"/>
      <c r="CA167" s="1188"/>
      <c r="CB167" s="1188"/>
      <c r="CC167" s="1188"/>
      <c r="CD167" s="1188">
        <f t="shared" si="42"/>
        <v>0</v>
      </c>
      <c r="CE167" s="1188">
        <f t="shared" si="43"/>
        <v>0</v>
      </c>
      <c r="CF167" s="1188">
        <f t="shared" si="44"/>
        <v>0</v>
      </c>
      <c r="CG167" s="1188">
        <f t="shared" si="45"/>
        <v>0</v>
      </c>
      <c r="CH167" s="1236"/>
      <c r="CI167" s="1236"/>
      <c r="CJ167" s="1236"/>
      <c r="CK167" s="1188"/>
      <c r="CL167" s="1188"/>
    </row>
    <row r="168" s="1168" customFormat="1" customHeight="1" spans="1:90">
      <c r="A168" s="1245">
        <v>46129</v>
      </c>
      <c r="B168" s="1247"/>
      <c r="C168" s="1234" t="s">
        <v>863</v>
      </c>
      <c r="D168" s="1188" t="s">
        <v>864</v>
      </c>
      <c r="E168" s="1234"/>
      <c r="F168" s="1188"/>
      <c r="G168" s="1253" t="s">
        <v>188</v>
      </c>
      <c r="H168" s="1234" t="s">
        <v>138</v>
      </c>
      <c r="I168" s="1254">
        <v>0</v>
      </c>
      <c r="J168" s="1234">
        <v>0</v>
      </c>
      <c r="K168" s="1234">
        <v>50</v>
      </c>
      <c r="L168" s="1246"/>
      <c r="M168" s="1255">
        <v>46171</v>
      </c>
      <c r="N168" s="1255" t="s">
        <v>865</v>
      </c>
      <c r="O168" s="1255"/>
      <c r="P168" s="1233"/>
      <c r="Q168" s="1286"/>
      <c r="R168" s="1234"/>
      <c r="S168" s="1234"/>
      <c r="T168" s="1233"/>
      <c r="U168" s="1233">
        <f t="shared" si="49"/>
        <v>0</v>
      </c>
      <c r="V168" s="1234"/>
      <c r="W168" s="1257" t="s">
        <v>95</v>
      </c>
      <c r="X168" s="1257" t="s">
        <v>95</v>
      </c>
      <c r="Y168" s="1257" t="s">
        <v>95</v>
      </c>
      <c r="Z168" s="1247"/>
      <c r="AA168" s="1247"/>
      <c r="AB168" s="1247"/>
      <c r="AC168" s="1247" t="s">
        <v>866</v>
      </c>
      <c r="AD168" s="1255" t="s">
        <v>673</v>
      </c>
      <c r="AE168" s="1188">
        <v>1.0942</v>
      </c>
      <c r="AF168" s="1248"/>
      <c r="AG168" s="1258"/>
      <c r="AH168" s="1234" t="s">
        <v>188</v>
      </c>
      <c r="AI168" s="1188" t="s">
        <v>273</v>
      </c>
      <c r="AJ168" s="1234"/>
      <c r="AK168" s="1188">
        <f t="shared" si="58"/>
        <v>0</v>
      </c>
      <c r="AL168" s="1188"/>
      <c r="AM168" s="1188"/>
      <c r="AN168" s="1188">
        <f>I168</f>
        <v>0</v>
      </c>
      <c r="AO168" s="1188"/>
      <c r="AP168" s="1188"/>
      <c r="AQ168" s="1240"/>
      <c r="AR168" s="1188"/>
      <c r="AS168" s="1236"/>
      <c r="AT168" s="1236"/>
      <c r="AU168" s="1188">
        <f>I168</f>
        <v>0</v>
      </c>
      <c r="AV168" s="1250">
        <f t="shared" si="59"/>
        <v>0</v>
      </c>
      <c r="AW168" s="1250"/>
      <c r="AX168" s="1188"/>
      <c r="AY168" s="1188"/>
      <c r="AZ168" s="1188"/>
      <c r="BA168" s="1188"/>
      <c r="BB168" s="1188"/>
      <c r="BC168" s="1188"/>
      <c r="BD168" s="1188"/>
      <c r="BE168" s="1188"/>
      <c r="BF168" s="1188"/>
      <c r="BG168" s="1188"/>
      <c r="BH168" s="1188"/>
      <c r="BI168" s="1188"/>
      <c r="BJ168" s="1188"/>
      <c r="BK168" s="1188"/>
      <c r="BL168" s="1188"/>
      <c r="BM168" s="1188"/>
      <c r="BN168" s="1188">
        <f>I168/25</f>
        <v>0</v>
      </c>
      <c r="BO168" s="1240"/>
      <c r="BP168" s="1240"/>
      <c r="BQ168" s="1188"/>
      <c r="BR168" s="1236"/>
      <c r="BS168" s="1188"/>
      <c r="BT168" s="1188"/>
      <c r="BU168" s="1188"/>
      <c r="BV168" s="1240"/>
      <c r="BW168" s="1188"/>
      <c r="BX168" s="1188"/>
      <c r="BY168" s="1188"/>
      <c r="BZ168" s="1188"/>
      <c r="CA168" s="1188"/>
      <c r="CB168" s="1188"/>
      <c r="CC168" s="1188"/>
      <c r="CD168" s="1188">
        <f t="shared" si="42"/>
        <v>0</v>
      </c>
      <c r="CE168" s="1188">
        <f t="shared" si="43"/>
        <v>0</v>
      </c>
      <c r="CF168" s="1188">
        <f t="shared" si="44"/>
        <v>0</v>
      </c>
      <c r="CG168" s="1188">
        <f t="shared" si="45"/>
        <v>0</v>
      </c>
      <c r="CH168" s="1236"/>
      <c r="CI168" s="1236"/>
      <c r="CJ168" s="1236"/>
      <c r="CK168" s="1188"/>
      <c r="CL168" s="1188"/>
    </row>
    <row r="169" s="1168" customFormat="1" customHeight="1" spans="1:90">
      <c r="A169" s="1245">
        <v>46115</v>
      </c>
      <c r="B169" s="1247" t="s">
        <v>867</v>
      </c>
      <c r="C169" s="1234" t="s">
        <v>164</v>
      </c>
      <c r="D169" s="1268">
        <v>4500200071</v>
      </c>
      <c r="E169" s="1234">
        <v>212099421</v>
      </c>
      <c r="F169" s="1188" t="s">
        <v>868</v>
      </c>
      <c r="G169" s="1253" t="s">
        <v>740</v>
      </c>
      <c r="H169" s="1234" t="s">
        <v>151</v>
      </c>
      <c r="I169" s="1254">
        <v>900</v>
      </c>
      <c r="J169" s="1234">
        <v>0</v>
      </c>
      <c r="K169" s="1234">
        <v>36</v>
      </c>
      <c r="L169" s="1246">
        <f t="shared" ref="L169:L232" si="60">I169/K169</f>
        <v>25</v>
      </c>
      <c r="M169" s="1255">
        <v>46174</v>
      </c>
      <c r="N169" s="1255">
        <v>46170</v>
      </c>
      <c r="O169" s="1255"/>
      <c r="P169" s="1233" t="s">
        <v>869</v>
      </c>
      <c r="Q169" s="1286" t="s">
        <v>106</v>
      </c>
      <c r="R169" s="1234"/>
      <c r="S169" s="1234"/>
      <c r="T169" s="1233">
        <v>900</v>
      </c>
      <c r="U169" s="1233">
        <f t="shared" si="49"/>
        <v>0</v>
      </c>
      <c r="V169" s="1234"/>
      <c r="W169" s="1256">
        <v>46128</v>
      </c>
      <c r="X169" s="1257" t="s">
        <v>95</v>
      </c>
      <c r="Y169" s="1257" t="s">
        <v>870</v>
      </c>
      <c r="Z169" s="1247"/>
      <c r="AA169" s="1247"/>
      <c r="AB169" s="1247"/>
      <c r="AC169" s="1288" t="s">
        <v>871</v>
      </c>
      <c r="AD169" s="1255" t="s">
        <v>872</v>
      </c>
      <c r="AE169" s="1267">
        <v>102.204</v>
      </c>
      <c r="AF169" s="1248">
        <f>AE169*L169</f>
        <v>2555.1</v>
      </c>
      <c r="AG169" s="1258"/>
      <c r="AH169" s="1234" t="s">
        <v>873</v>
      </c>
      <c r="AI169" s="1234" t="s">
        <v>112</v>
      </c>
      <c r="AJ169" s="1234" t="s">
        <v>113</v>
      </c>
      <c r="AK169" s="1188">
        <f t="shared" si="58"/>
        <v>900</v>
      </c>
      <c r="AL169" s="1188"/>
      <c r="AM169" s="1188"/>
      <c r="AN169" s="1188"/>
      <c r="AO169" s="1188"/>
      <c r="AP169" s="1188">
        <f>I209</f>
        <v>1200</v>
      </c>
      <c r="AQ169" s="1240"/>
      <c r="AR169" s="1188"/>
      <c r="AS169" s="1236"/>
      <c r="AT169" s="1236"/>
      <c r="AU169" s="1188">
        <f>I169</f>
        <v>900</v>
      </c>
      <c r="AV169" s="1250">
        <f t="shared" si="59"/>
        <v>54</v>
      </c>
      <c r="AW169" s="1250"/>
      <c r="AX169" s="1188"/>
      <c r="AY169" s="1188"/>
      <c r="AZ169" s="1188"/>
      <c r="BA169" s="1188"/>
      <c r="BB169" s="1188"/>
      <c r="BC169" s="1188"/>
      <c r="BD169" s="1188"/>
      <c r="BE169" s="1188"/>
      <c r="BF169" s="1188"/>
      <c r="BG169" s="1188"/>
      <c r="BH169" s="1188"/>
      <c r="BI169" s="1188"/>
      <c r="BJ169" s="1188"/>
      <c r="BK169" s="1188"/>
      <c r="BL169" s="1188"/>
      <c r="BM169" s="1188"/>
      <c r="BN169" s="1188"/>
      <c r="BO169" s="1240"/>
      <c r="BP169" s="1240"/>
      <c r="BQ169" s="1188"/>
      <c r="BR169" s="1236"/>
      <c r="BS169" s="1236"/>
      <c r="BT169" s="1188"/>
      <c r="BU169" s="1188"/>
      <c r="BV169" s="1240"/>
      <c r="BW169" s="1188">
        <f>I169/36</f>
        <v>25</v>
      </c>
      <c r="BX169" s="1188"/>
      <c r="BY169" s="1188"/>
      <c r="BZ169" s="1188"/>
      <c r="CA169" s="1188"/>
      <c r="CB169" s="1188"/>
      <c r="CC169" s="1188"/>
      <c r="CD169" s="1188">
        <f t="shared" si="42"/>
        <v>0</v>
      </c>
      <c r="CE169" s="1188">
        <f t="shared" si="43"/>
        <v>0</v>
      </c>
      <c r="CF169" s="1188">
        <f t="shared" si="44"/>
        <v>0</v>
      </c>
      <c r="CG169" s="1188">
        <f t="shared" si="45"/>
        <v>25</v>
      </c>
      <c r="CH169" s="1236"/>
      <c r="CI169" s="1236"/>
      <c r="CJ169" s="1236"/>
      <c r="CK169" s="1188"/>
      <c r="CL169" s="1188"/>
    </row>
    <row r="170" s="1168" customFormat="1" customHeight="1" spans="1:90">
      <c r="A170" s="1245">
        <v>46113</v>
      </c>
      <c r="B170" s="1247" t="s">
        <v>874</v>
      </c>
      <c r="C170" s="1234" t="s">
        <v>135</v>
      </c>
      <c r="D170" s="1268">
        <v>4500199725</v>
      </c>
      <c r="E170" s="1234">
        <v>2809364</v>
      </c>
      <c r="F170" s="1188" t="s">
        <v>875</v>
      </c>
      <c r="G170" s="1253" t="s">
        <v>283</v>
      </c>
      <c r="H170" s="1234" t="s">
        <v>194</v>
      </c>
      <c r="I170" s="1254">
        <v>15522</v>
      </c>
      <c r="J170" s="1234">
        <v>0</v>
      </c>
      <c r="K170" s="1234">
        <v>13</v>
      </c>
      <c r="L170" s="1246">
        <f t="shared" si="60"/>
        <v>1194</v>
      </c>
      <c r="M170" s="1255">
        <v>46174</v>
      </c>
      <c r="N170" s="1255">
        <f>M170-4</f>
        <v>46170</v>
      </c>
      <c r="O170" s="1255"/>
      <c r="P170" s="1233"/>
      <c r="Q170" s="1286" t="s">
        <v>106</v>
      </c>
      <c r="R170" s="1234"/>
      <c r="S170" s="1234"/>
      <c r="T170" s="1233">
        <v>15522</v>
      </c>
      <c r="U170" s="1233">
        <f t="shared" si="49"/>
        <v>0</v>
      </c>
      <c r="V170" s="1234"/>
      <c r="W170" s="1256">
        <v>46123</v>
      </c>
      <c r="X170" s="1257" t="s">
        <v>95</v>
      </c>
      <c r="Y170" s="1257" t="s">
        <v>95</v>
      </c>
      <c r="Z170" s="1247" t="s">
        <v>140</v>
      </c>
      <c r="AA170" s="1247"/>
      <c r="AB170" s="1247"/>
      <c r="AC170" s="1247" t="s">
        <v>876</v>
      </c>
      <c r="AD170" s="1255" t="s">
        <v>236</v>
      </c>
      <c r="AE170" s="1188">
        <v>1.0391</v>
      </c>
      <c r="AF170" s="1248">
        <f>I170*AE170</f>
        <v>16128.9102</v>
      </c>
      <c r="AG170" s="1258"/>
      <c r="AH170" s="1234" t="s">
        <v>289</v>
      </c>
      <c r="AI170" s="1234" t="s">
        <v>112</v>
      </c>
      <c r="AJ170" s="1234" t="s">
        <v>113</v>
      </c>
      <c r="AK170" s="1188">
        <f t="shared" si="58"/>
        <v>15522</v>
      </c>
      <c r="AL170" s="1188"/>
      <c r="AM170" s="1188"/>
      <c r="AN170" s="1188">
        <f>I170</f>
        <v>15522</v>
      </c>
      <c r="AO170" s="1188"/>
      <c r="AP170" s="1188"/>
      <c r="AQ170" s="1240"/>
      <c r="AR170" s="1188"/>
      <c r="AS170" s="1236"/>
      <c r="AT170" s="1236"/>
      <c r="AU170" s="1188">
        <f>I170</f>
        <v>15522</v>
      </c>
      <c r="AV170" s="1250">
        <f t="shared" si="59"/>
        <v>931.32</v>
      </c>
      <c r="AW170" s="1250"/>
      <c r="AX170" s="1188"/>
      <c r="AY170" s="1188"/>
      <c r="AZ170" s="1188"/>
      <c r="BA170" s="1188"/>
      <c r="BB170" s="1188"/>
      <c r="BC170" s="1188"/>
      <c r="BD170" s="1188"/>
      <c r="BE170" s="1188"/>
      <c r="BF170" s="1188"/>
      <c r="BG170" s="1188"/>
      <c r="BH170" s="1188"/>
      <c r="BI170" s="1188"/>
      <c r="BJ170" s="1188"/>
      <c r="BK170" s="1188">
        <f>I170/13</f>
        <v>1194</v>
      </c>
      <c r="BL170" s="1188"/>
      <c r="BM170" s="1188"/>
      <c r="BN170" s="1188"/>
      <c r="BO170" s="1240"/>
      <c r="BP170" s="1240"/>
      <c r="BQ170" s="1188"/>
      <c r="BR170" s="1236"/>
      <c r="BS170" s="1188"/>
      <c r="BT170" s="1188"/>
      <c r="BU170" s="1188"/>
      <c r="BV170" s="1240"/>
      <c r="BW170" s="1188"/>
      <c r="BX170" s="1188"/>
      <c r="BY170" s="1188"/>
      <c r="BZ170" s="1188"/>
      <c r="CA170" s="1188"/>
      <c r="CB170" s="1188"/>
      <c r="CC170" s="1188"/>
      <c r="CD170" s="1188">
        <f t="shared" si="42"/>
        <v>0</v>
      </c>
      <c r="CE170" s="1188">
        <f t="shared" si="43"/>
        <v>0</v>
      </c>
      <c r="CF170" s="1188">
        <f t="shared" si="44"/>
        <v>0</v>
      </c>
      <c r="CG170" s="1188">
        <f t="shared" si="45"/>
        <v>0</v>
      </c>
      <c r="CH170" s="1236"/>
      <c r="CI170" s="1236"/>
      <c r="CJ170" s="1236"/>
      <c r="CK170" s="1188"/>
      <c r="CL170" s="1188"/>
    </row>
    <row r="171" s="1168" customFormat="1" customHeight="1" spans="1:90">
      <c r="A171" s="1245">
        <v>46115</v>
      </c>
      <c r="B171" s="1247" t="s">
        <v>877</v>
      </c>
      <c r="C171" s="1234" t="s">
        <v>878</v>
      </c>
      <c r="D171" s="1268">
        <v>4500200184</v>
      </c>
      <c r="E171" s="1234" t="s">
        <v>628</v>
      </c>
      <c r="F171" s="1188" t="s">
        <v>879</v>
      </c>
      <c r="G171" s="1253" t="s">
        <v>174</v>
      </c>
      <c r="H171" s="1234" t="s">
        <v>175</v>
      </c>
      <c r="I171" s="1254">
        <v>1040</v>
      </c>
      <c r="J171" s="1234">
        <v>0</v>
      </c>
      <c r="K171" s="1234">
        <v>52</v>
      </c>
      <c r="L171" s="1246">
        <f t="shared" si="60"/>
        <v>20</v>
      </c>
      <c r="M171" s="1255">
        <v>46174</v>
      </c>
      <c r="N171" s="1255">
        <f>M171-4</f>
        <v>46170</v>
      </c>
      <c r="O171" s="1255"/>
      <c r="P171" s="1233"/>
      <c r="Q171" s="1286" t="s">
        <v>106</v>
      </c>
      <c r="R171" s="1234"/>
      <c r="S171" s="1234" t="s">
        <v>736</v>
      </c>
      <c r="T171" s="1233">
        <v>1040</v>
      </c>
      <c r="U171" s="1233">
        <f t="shared" si="49"/>
        <v>0</v>
      </c>
      <c r="V171" s="1234"/>
      <c r="W171" s="1256">
        <v>46125</v>
      </c>
      <c r="X171" s="1257" t="s">
        <v>95</v>
      </c>
      <c r="Y171" s="1257" t="s">
        <v>880</v>
      </c>
      <c r="Z171" s="1247"/>
      <c r="AA171" s="1247"/>
      <c r="AB171" s="1247"/>
      <c r="AC171" s="1257" t="s">
        <v>881</v>
      </c>
      <c r="AD171" s="1255" t="s">
        <v>659</v>
      </c>
      <c r="AE171" s="1267">
        <v>1.033</v>
      </c>
      <c r="AF171" s="1248">
        <f>AE171*I171</f>
        <v>1074.32</v>
      </c>
      <c r="AG171" s="1258"/>
      <c r="AH171" s="1253" t="s">
        <v>174</v>
      </c>
      <c r="AI171" s="1234" t="s">
        <v>112</v>
      </c>
      <c r="AJ171" s="1234" t="s">
        <v>113</v>
      </c>
      <c r="AK171" s="1188">
        <f t="shared" si="58"/>
        <v>1040</v>
      </c>
      <c r="AL171" s="1188"/>
      <c r="AM171" s="1188"/>
      <c r="AN171" s="1188">
        <f>I171</f>
        <v>1040</v>
      </c>
      <c r="AO171" s="1188"/>
      <c r="AP171" s="1188"/>
      <c r="AQ171" s="1240"/>
      <c r="AR171" s="1188"/>
      <c r="AS171" s="1236"/>
      <c r="AT171" s="1236"/>
      <c r="AU171" s="1188">
        <f>I171</f>
        <v>1040</v>
      </c>
      <c r="AV171" s="1250">
        <f t="shared" si="59"/>
        <v>62.4</v>
      </c>
      <c r="AW171" s="1250"/>
      <c r="AX171" s="1188"/>
      <c r="AY171" s="1188"/>
      <c r="AZ171" s="1188"/>
      <c r="BA171" s="1188"/>
      <c r="BB171" s="1188"/>
      <c r="BC171" s="1188"/>
      <c r="BD171" s="1188"/>
      <c r="BE171" s="1188"/>
      <c r="BF171" s="1188"/>
      <c r="BG171" s="1188"/>
      <c r="BH171" s="1188"/>
      <c r="BI171" s="1188"/>
      <c r="BJ171" s="1188"/>
      <c r="BK171" s="1188">
        <f>I171/13</f>
        <v>80</v>
      </c>
      <c r="BL171" s="1188"/>
      <c r="BM171" s="1188"/>
      <c r="BN171" s="1188"/>
      <c r="BO171" s="1240"/>
      <c r="BP171" s="1240"/>
      <c r="BQ171" s="1188"/>
      <c r="BR171" s="1236"/>
      <c r="BS171" s="1188"/>
      <c r="BT171" s="1188"/>
      <c r="BU171" s="1188"/>
      <c r="BV171" s="1240"/>
      <c r="BW171" s="1188"/>
      <c r="BX171" s="1188"/>
      <c r="BY171" s="1188"/>
      <c r="BZ171" s="1188"/>
      <c r="CA171" s="1188"/>
      <c r="CB171" s="1188"/>
      <c r="CC171" s="1188"/>
      <c r="CD171" s="1188">
        <f t="shared" si="42"/>
        <v>0</v>
      </c>
      <c r="CE171" s="1188">
        <f t="shared" si="43"/>
        <v>0</v>
      </c>
      <c r="CF171" s="1188">
        <f t="shared" si="44"/>
        <v>0</v>
      </c>
      <c r="CG171" s="1188">
        <f t="shared" si="45"/>
        <v>0</v>
      </c>
      <c r="CH171" s="1236"/>
      <c r="CI171" s="1236"/>
      <c r="CJ171" s="1236"/>
      <c r="CK171" s="1188"/>
      <c r="CL171" s="1188"/>
    </row>
    <row r="172" s="1168" customFormat="1" customHeight="1" spans="1:90">
      <c r="A172" s="1245">
        <v>46104</v>
      </c>
      <c r="B172" s="1247" t="s">
        <v>521</v>
      </c>
      <c r="C172" s="1234" t="s">
        <v>101</v>
      </c>
      <c r="D172" s="1188">
        <v>4500198149</v>
      </c>
      <c r="E172" s="1234">
        <v>21605190</v>
      </c>
      <c r="F172" s="1188" t="s">
        <v>882</v>
      </c>
      <c r="G172" s="1253" t="s">
        <v>685</v>
      </c>
      <c r="H172" s="1234" t="s">
        <v>194</v>
      </c>
      <c r="I172" s="1254">
        <v>403</v>
      </c>
      <c r="J172" s="1234">
        <v>0</v>
      </c>
      <c r="K172" s="1234">
        <v>13</v>
      </c>
      <c r="L172" s="1246">
        <f t="shared" si="60"/>
        <v>31</v>
      </c>
      <c r="M172" s="1255">
        <v>46174</v>
      </c>
      <c r="N172" s="1255">
        <v>46174</v>
      </c>
      <c r="O172" s="1255"/>
      <c r="P172" s="1233"/>
      <c r="Q172" s="1286" t="s">
        <v>106</v>
      </c>
      <c r="R172" s="1234"/>
      <c r="S172" s="1234"/>
      <c r="T172" s="1233">
        <v>403</v>
      </c>
      <c r="U172" s="1233">
        <f t="shared" si="49"/>
        <v>0</v>
      </c>
      <c r="V172" s="1234"/>
      <c r="W172" s="1256">
        <v>46151</v>
      </c>
      <c r="X172" s="1257" t="s">
        <v>107</v>
      </c>
      <c r="Y172" s="1257" t="s">
        <v>883</v>
      </c>
      <c r="Z172" s="1247" t="s">
        <v>360</v>
      </c>
      <c r="AA172" s="1247"/>
      <c r="AB172" s="1247"/>
      <c r="AC172" s="1247" t="s">
        <v>884</v>
      </c>
      <c r="AD172" s="1255" t="s">
        <v>362</v>
      </c>
      <c r="AE172" s="1267">
        <v>1.2</v>
      </c>
      <c r="AF172" s="1248">
        <f>I172*AE172</f>
        <v>483.6</v>
      </c>
      <c r="AG172" s="1258"/>
      <c r="AH172" s="1234" t="s">
        <v>289</v>
      </c>
      <c r="AI172" s="1234" t="s">
        <v>112</v>
      </c>
      <c r="AJ172" s="1234" t="s">
        <v>113</v>
      </c>
      <c r="AK172" s="1188">
        <f t="shared" si="58"/>
        <v>403</v>
      </c>
      <c r="AL172" s="1188"/>
      <c r="AM172" s="1188"/>
      <c r="AN172" s="1188">
        <f>I172</f>
        <v>403</v>
      </c>
      <c r="AO172" s="1188"/>
      <c r="AP172" s="1188"/>
      <c r="AQ172" s="1240"/>
      <c r="AR172" s="1188"/>
      <c r="AS172" s="1236"/>
      <c r="AT172" s="1236"/>
      <c r="AU172" s="1188"/>
      <c r="AV172" s="1250">
        <f t="shared" si="59"/>
        <v>24.18</v>
      </c>
      <c r="AW172" s="1250"/>
      <c r="AX172" s="1188">
        <f>I172</f>
        <v>403</v>
      </c>
      <c r="AY172" s="1188"/>
      <c r="AZ172" s="1188"/>
      <c r="BA172" s="1188"/>
      <c r="BB172" s="1188"/>
      <c r="BC172" s="1188"/>
      <c r="BD172" s="1188"/>
      <c r="BE172" s="1188"/>
      <c r="BF172" s="1188"/>
      <c r="BG172" s="1188"/>
      <c r="BH172" s="1188"/>
      <c r="BI172" s="1188"/>
      <c r="BJ172" s="1188"/>
      <c r="BK172" s="1188">
        <f>I172/13</f>
        <v>31</v>
      </c>
      <c r="BL172" s="1188"/>
      <c r="BM172" s="1188"/>
      <c r="BN172" s="1188"/>
      <c r="BO172" s="1240"/>
      <c r="BP172" s="1240"/>
      <c r="BQ172" s="1188"/>
      <c r="BR172" s="1236"/>
      <c r="BS172" s="1188"/>
      <c r="BT172" s="1188"/>
      <c r="BU172" s="1188"/>
      <c r="BV172" s="1240"/>
      <c r="BW172" s="1188"/>
      <c r="BX172" s="1188"/>
      <c r="BY172" s="1188"/>
      <c r="BZ172" s="1188"/>
      <c r="CA172" s="1188"/>
      <c r="CB172" s="1188"/>
      <c r="CC172" s="1188"/>
      <c r="CD172" s="1188">
        <f t="shared" si="42"/>
        <v>0</v>
      </c>
      <c r="CE172" s="1188">
        <f t="shared" si="43"/>
        <v>0</v>
      </c>
      <c r="CF172" s="1188">
        <f t="shared" si="44"/>
        <v>0</v>
      </c>
      <c r="CG172" s="1188">
        <f t="shared" si="45"/>
        <v>0</v>
      </c>
      <c r="CH172" s="1236"/>
      <c r="CI172" s="1236"/>
      <c r="CJ172" s="1236"/>
      <c r="CK172" s="1188"/>
      <c r="CL172" s="1188"/>
    </row>
    <row r="173" s="1168" customFormat="1" customHeight="1" spans="1:90">
      <c r="A173" s="1245">
        <v>46104</v>
      </c>
      <c r="B173" s="1247" t="s">
        <v>525</v>
      </c>
      <c r="C173" s="1234" t="s">
        <v>508</v>
      </c>
      <c r="D173" s="1188">
        <v>4500198146</v>
      </c>
      <c r="E173" s="1234">
        <v>21605183</v>
      </c>
      <c r="F173" s="1188" t="s">
        <v>885</v>
      </c>
      <c r="G173" s="1253" t="s">
        <v>685</v>
      </c>
      <c r="H173" s="1234" t="s">
        <v>194</v>
      </c>
      <c r="I173" s="1254">
        <v>6097</v>
      </c>
      <c r="J173" s="1234">
        <v>0</v>
      </c>
      <c r="K173" s="1234">
        <v>13</v>
      </c>
      <c r="L173" s="1246">
        <f t="shared" si="60"/>
        <v>469</v>
      </c>
      <c r="M173" s="1255">
        <v>46174</v>
      </c>
      <c r="N173" s="1255">
        <v>46174</v>
      </c>
      <c r="O173" s="1255"/>
      <c r="P173" s="1233"/>
      <c r="Q173" s="1286" t="s">
        <v>106</v>
      </c>
      <c r="R173" s="1234"/>
      <c r="S173" s="1234"/>
      <c r="T173" s="1233">
        <v>6097</v>
      </c>
      <c r="U173" s="1233">
        <f t="shared" si="49"/>
        <v>0</v>
      </c>
      <c r="V173" s="1234"/>
      <c r="W173" s="1256">
        <v>46151</v>
      </c>
      <c r="X173" s="1257" t="s">
        <v>107</v>
      </c>
      <c r="Y173" s="1257" t="s">
        <v>883</v>
      </c>
      <c r="Z173" s="1247" t="s">
        <v>360</v>
      </c>
      <c r="AA173" s="1247"/>
      <c r="AB173" s="1247"/>
      <c r="AC173" s="1247" t="s">
        <v>886</v>
      </c>
      <c r="AD173" s="1255" t="s">
        <v>362</v>
      </c>
      <c r="AE173" s="1267">
        <v>1.2</v>
      </c>
      <c r="AF173" s="1248">
        <f>I173*AE173</f>
        <v>7316.4</v>
      </c>
      <c r="AG173" s="1258"/>
      <c r="AH173" s="1234" t="s">
        <v>289</v>
      </c>
      <c r="AI173" s="1234" t="s">
        <v>112</v>
      </c>
      <c r="AJ173" s="1234" t="s">
        <v>113</v>
      </c>
      <c r="AK173" s="1188">
        <f t="shared" si="58"/>
        <v>6097</v>
      </c>
      <c r="AL173" s="1188"/>
      <c r="AM173" s="1188"/>
      <c r="AN173" s="1188">
        <f>I173</f>
        <v>6097</v>
      </c>
      <c r="AO173" s="1188"/>
      <c r="AP173" s="1188"/>
      <c r="AQ173" s="1240"/>
      <c r="AR173" s="1188"/>
      <c r="AS173" s="1236"/>
      <c r="AT173" s="1236"/>
      <c r="AU173" s="1188"/>
      <c r="AV173" s="1250">
        <f t="shared" si="59"/>
        <v>365.82</v>
      </c>
      <c r="AW173" s="1250"/>
      <c r="AX173" s="1188">
        <f>I173</f>
        <v>6097</v>
      </c>
      <c r="AY173" s="1188"/>
      <c r="AZ173" s="1188"/>
      <c r="BA173" s="1188"/>
      <c r="BB173" s="1188"/>
      <c r="BC173" s="1188"/>
      <c r="BD173" s="1188"/>
      <c r="BE173" s="1188"/>
      <c r="BF173" s="1188"/>
      <c r="BG173" s="1188"/>
      <c r="BH173" s="1188"/>
      <c r="BI173" s="1188"/>
      <c r="BJ173" s="1188"/>
      <c r="BK173" s="1188">
        <f>I173/13</f>
        <v>469</v>
      </c>
      <c r="BL173" s="1188"/>
      <c r="BM173" s="1188"/>
      <c r="BN173" s="1188"/>
      <c r="BO173" s="1240"/>
      <c r="BP173" s="1240"/>
      <c r="BQ173" s="1188"/>
      <c r="BR173" s="1236"/>
      <c r="BS173" s="1188"/>
      <c r="BT173" s="1188"/>
      <c r="BU173" s="1188"/>
      <c r="BV173" s="1240"/>
      <c r="BW173" s="1188"/>
      <c r="BX173" s="1188"/>
      <c r="BY173" s="1188"/>
      <c r="BZ173" s="1188"/>
      <c r="CA173" s="1188"/>
      <c r="CB173" s="1188"/>
      <c r="CC173" s="1188"/>
      <c r="CD173" s="1188">
        <f t="shared" si="42"/>
        <v>0</v>
      </c>
      <c r="CE173" s="1188">
        <f t="shared" si="43"/>
        <v>0</v>
      </c>
      <c r="CF173" s="1188">
        <f t="shared" si="44"/>
        <v>0</v>
      </c>
      <c r="CG173" s="1188">
        <f t="shared" si="45"/>
        <v>0</v>
      </c>
      <c r="CH173" s="1236"/>
      <c r="CI173" s="1236"/>
      <c r="CJ173" s="1236"/>
      <c r="CK173" s="1188"/>
      <c r="CL173" s="1188"/>
    </row>
    <row r="174" s="1168" customFormat="1" ht="31" customHeight="1" spans="1:90">
      <c r="A174" s="1245">
        <v>46120</v>
      </c>
      <c r="B174" s="1247" t="s">
        <v>172</v>
      </c>
      <c r="C174" s="1234" t="s">
        <v>115</v>
      </c>
      <c r="D174" s="1268">
        <v>4500199607</v>
      </c>
      <c r="E174" s="1233">
        <v>36567</v>
      </c>
      <c r="F174" s="1188" t="s">
        <v>887</v>
      </c>
      <c r="G174" s="1253" t="s">
        <v>174</v>
      </c>
      <c r="H174" s="1234" t="s">
        <v>175</v>
      </c>
      <c r="I174" s="1254">
        <v>5772</v>
      </c>
      <c r="J174" s="1234">
        <v>0</v>
      </c>
      <c r="K174" s="1234">
        <v>52</v>
      </c>
      <c r="L174" s="1246">
        <f t="shared" si="60"/>
        <v>111</v>
      </c>
      <c r="M174" s="1255">
        <v>46175</v>
      </c>
      <c r="N174" s="1255">
        <v>46171</v>
      </c>
      <c r="O174" s="1255"/>
      <c r="P174" s="1233"/>
      <c r="Q174" s="1286" t="s">
        <v>106</v>
      </c>
      <c r="R174" s="1234"/>
      <c r="S174" s="1234" t="s">
        <v>736</v>
      </c>
      <c r="T174" s="1233">
        <v>5772</v>
      </c>
      <c r="U174" s="1233">
        <f t="shared" si="49"/>
        <v>0</v>
      </c>
      <c r="V174" s="1234"/>
      <c r="W174" s="1256">
        <v>46149</v>
      </c>
      <c r="X174" s="1257" t="s">
        <v>95</v>
      </c>
      <c r="Y174" s="1257" t="s">
        <v>95</v>
      </c>
      <c r="Z174" s="1247"/>
      <c r="AA174" s="1247"/>
      <c r="AB174" s="1247"/>
      <c r="AC174" s="1257" t="s">
        <v>888</v>
      </c>
      <c r="AD174" s="1255" t="s">
        <v>178</v>
      </c>
      <c r="AE174" s="1267">
        <v>0.6275</v>
      </c>
      <c r="AF174" s="1248">
        <f>AE174*I174</f>
        <v>3621.93</v>
      </c>
      <c r="AG174" s="1249" t="s">
        <v>889</v>
      </c>
      <c r="AH174" s="1253" t="s">
        <v>174</v>
      </c>
      <c r="AI174" s="1234" t="s">
        <v>112</v>
      </c>
      <c r="AJ174" s="1234" t="s">
        <v>113</v>
      </c>
      <c r="AK174" s="1188">
        <f t="shared" si="58"/>
        <v>5772</v>
      </c>
      <c r="AL174" s="1188"/>
      <c r="AM174" s="1188"/>
      <c r="AN174" s="1188">
        <f>I174</f>
        <v>5772</v>
      </c>
      <c r="AO174" s="1188"/>
      <c r="AP174" s="1188"/>
      <c r="AQ174" s="1240"/>
      <c r="AR174" s="1188"/>
      <c r="AS174" s="1260"/>
      <c r="AT174" s="1260"/>
      <c r="AU174" s="1188">
        <f t="shared" ref="AU174:AU180" si="61">I174</f>
        <v>5772</v>
      </c>
      <c r="AV174" s="1250">
        <f t="shared" si="59"/>
        <v>346.32</v>
      </c>
      <c r="AW174" s="1250"/>
      <c r="AX174" s="1188"/>
      <c r="AY174" s="1188"/>
      <c r="AZ174" s="1188"/>
      <c r="BA174" s="1188"/>
      <c r="BB174" s="1188"/>
      <c r="BC174" s="1188"/>
      <c r="BD174" s="1188"/>
      <c r="BE174" s="1188"/>
      <c r="BF174" s="1188"/>
      <c r="BG174" s="1188"/>
      <c r="BH174" s="1188"/>
      <c r="BI174" s="1188"/>
      <c r="BJ174" s="1188"/>
      <c r="BK174" s="1188">
        <f>I174/13</f>
        <v>444</v>
      </c>
      <c r="BL174" s="1188"/>
      <c r="BM174" s="1188"/>
      <c r="BN174" s="1188"/>
      <c r="BO174" s="1240"/>
      <c r="BP174" s="1240"/>
      <c r="BQ174" s="1188"/>
      <c r="BR174" s="1236"/>
      <c r="BS174" s="1188"/>
      <c r="BT174" s="1188"/>
      <c r="BU174" s="1188"/>
      <c r="BV174" s="1240"/>
      <c r="BW174" s="1188"/>
      <c r="BX174" s="1188"/>
      <c r="BY174" s="1188"/>
      <c r="BZ174" s="1188"/>
      <c r="CA174" s="1188"/>
      <c r="CB174" s="1188"/>
      <c r="CC174" s="1188"/>
      <c r="CD174" s="1188">
        <f t="shared" si="42"/>
        <v>0</v>
      </c>
      <c r="CE174" s="1188">
        <f t="shared" si="43"/>
        <v>0</v>
      </c>
      <c r="CF174" s="1188">
        <f t="shared" si="44"/>
        <v>0</v>
      </c>
      <c r="CG174" s="1188">
        <f t="shared" si="45"/>
        <v>0</v>
      </c>
      <c r="CH174" s="1236"/>
      <c r="CI174" s="1236"/>
      <c r="CJ174" s="1236"/>
      <c r="CK174" s="1188"/>
      <c r="CL174" s="1188"/>
    </row>
    <row r="175" s="1168" customFormat="1" ht="31" customHeight="1" spans="1:90">
      <c r="A175" s="1245">
        <v>46129</v>
      </c>
      <c r="B175" s="1247" t="s">
        <v>890</v>
      </c>
      <c r="C175" s="1234" t="s">
        <v>891</v>
      </c>
      <c r="D175" s="1268">
        <v>4500202623</v>
      </c>
      <c r="E175" s="1233">
        <v>5200009651</v>
      </c>
      <c r="F175" s="1188" t="s">
        <v>892</v>
      </c>
      <c r="G175" s="1253" t="s">
        <v>610</v>
      </c>
      <c r="H175" s="1234" t="s">
        <v>893</v>
      </c>
      <c r="I175" s="1254">
        <v>1300</v>
      </c>
      <c r="J175" s="1234">
        <v>0</v>
      </c>
      <c r="K175" s="1234">
        <v>25</v>
      </c>
      <c r="L175" s="1246">
        <f t="shared" si="60"/>
        <v>52</v>
      </c>
      <c r="M175" s="1255">
        <v>46176</v>
      </c>
      <c r="N175" s="1255">
        <v>46172</v>
      </c>
      <c r="O175" s="1255"/>
      <c r="P175" s="1233"/>
      <c r="Q175" s="1286" t="s">
        <v>106</v>
      </c>
      <c r="R175" s="1234"/>
      <c r="S175" s="1234"/>
      <c r="T175" s="1233">
        <v>1300</v>
      </c>
      <c r="U175" s="1233">
        <f t="shared" si="49"/>
        <v>0</v>
      </c>
      <c r="V175" s="1234"/>
      <c r="W175" s="1256">
        <v>46148</v>
      </c>
      <c r="X175" s="1257" t="s">
        <v>95</v>
      </c>
      <c r="Y175" s="1257" t="s">
        <v>822</v>
      </c>
      <c r="Z175" s="1247"/>
      <c r="AA175" s="1247"/>
      <c r="AB175" s="1247"/>
      <c r="AC175" s="1247" t="s">
        <v>894</v>
      </c>
      <c r="AD175" s="1255" t="s">
        <v>895</v>
      </c>
      <c r="AE175" s="1267">
        <v>1.0803</v>
      </c>
      <c r="AF175" s="1248">
        <f>AE175*I175</f>
        <v>1404.39</v>
      </c>
      <c r="AG175" s="1258"/>
      <c r="AH175" s="1234" t="s">
        <v>111</v>
      </c>
      <c r="AI175" s="1234" t="s">
        <v>112</v>
      </c>
      <c r="AJ175" s="1234" t="s">
        <v>113</v>
      </c>
      <c r="AK175" s="1188">
        <f t="shared" si="58"/>
        <v>1300</v>
      </c>
      <c r="AL175" s="1188"/>
      <c r="AM175" s="1188"/>
      <c r="AN175" s="1188"/>
      <c r="AO175" s="1188"/>
      <c r="AP175" s="1188">
        <f>I175</f>
        <v>1300</v>
      </c>
      <c r="AQ175" s="1240"/>
      <c r="AR175" s="1188"/>
      <c r="AS175" s="1236"/>
      <c r="AT175" s="1236"/>
      <c r="AU175" s="1188">
        <f t="shared" si="61"/>
        <v>1300</v>
      </c>
      <c r="AV175" s="1250">
        <f t="shared" ref="AV175:AV182" si="62">I175*0.06*2</f>
        <v>156</v>
      </c>
      <c r="AW175" s="1250"/>
      <c r="AX175" s="1188"/>
      <c r="AY175" s="1188"/>
      <c r="AZ175" s="1188"/>
      <c r="BA175" s="1188"/>
      <c r="BB175" s="1188"/>
      <c r="BC175" s="1188"/>
      <c r="BD175" s="1188"/>
      <c r="BE175" s="1188"/>
      <c r="BF175" s="1188"/>
      <c r="BG175" s="1188"/>
      <c r="BH175" s="1188"/>
      <c r="BI175" s="1188"/>
      <c r="BJ175" s="1188"/>
      <c r="BK175" s="1188"/>
      <c r="BL175" s="1188"/>
      <c r="BM175" s="1188"/>
      <c r="BN175" s="1188"/>
      <c r="BO175" s="1240"/>
      <c r="BP175" s="1240"/>
      <c r="BQ175" s="1188"/>
      <c r="BR175" s="1236"/>
      <c r="BS175" s="1188"/>
      <c r="BT175" s="1188"/>
      <c r="BU175" s="1188"/>
      <c r="BV175" s="1240"/>
      <c r="BW175" s="1188"/>
      <c r="BX175" s="1188"/>
      <c r="BY175" s="1188"/>
      <c r="BZ175" s="1188"/>
      <c r="CA175" s="1188"/>
      <c r="CB175" s="1188"/>
      <c r="CC175" s="1188"/>
      <c r="CD175" s="1188">
        <f t="shared" si="42"/>
        <v>0</v>
      </c>
      <c r="CE175" s="1188">
        <f t="shared" si="43"/>
        <v>0</v>
      </c>
      <c r="CF175" s="1188">
        <f t="shared" si="44"/>
        <v>0</v>
      </c>
      <c r="CG175" s="1188">
        <f t="shared" si="45"/>
        <v>0</v>
      </c>
      <c r="CH175" s="1236"/>
      <c r="CI175" s="1236"/>
      <c r="CJ175" s="1236"/>
      <c r="CK175" s="1188"/>
      <c r="CL175" s="1188"/>
    </row>
    <row r="176" s="1168" customFormat="1" ht="31" customHeight="1" spans="1:90">
      <c r="A176" s="1245">
        <v>46129</v>
      </c>
      <c r="B176" s="1247" t="s">
        <v>890</v>
      </c>
      <c r="C176" s="1234" t="s">
        <v>891</v>
      </c>
      <c r="D176" s="1268">
        <v>4500202623</v>
      </c>
      <c r="E176" s="1233">
        <v>5200009651</v>
      </c>
      <c r="F176" s="1188" t="s">
        <v>896</v>
      </c>
      <c r="G176" s="1253" t="s">
        <v>193</v>
      </c>
      <c r="H176" s="1234" t="s">
        <v>194</v>
      </c>
      <c r="I176" s="1254">
        <v>1859</v>
      </c>
      <c r="J176" s="1234">
        <v>0</v>
      </c>
      <c r="K176" s="1234">
        <v>13</v>
      </c>
      <c r="L176" s="1246">
        <f t="shared" si="60"/>
        <v>143</v>
      </c>
      <c r="M176" s="1255">
        <v>46176</v>
      </c>
      <c r="N176" s="1255">
        <v>46172</v>
      </c>
      <c r="O176" s="1255"/>
      <c r="P176" s="1233"/>
      <c r="Q176" s="1286" t="s">
        <v>106</v>
      </c>
      <c r="R176" s="1234"/>
      <c r="S176" s="1234" t="s">
        <v>736</v>
      </c>
      <c r="T176" s="1233">
        <v>1859</v>
      </c>
      <c r="U176" s="1233">
        <f t="shared" si="49"/>
        <v>0</v>
      </c>
      <c r="V176" s="1234"/>
      <c r="W176" s="1256">
        <v>46148</v>
      </c>
      <c r="X176" s="1257" t="s">
        <v>95</v>
      </c>
      <c r="Y176" s="1257" t="s">
        <v>822</v>
      </c>
      <c r="Z176" s="1247"/>
      <c r="AA176" s="1247"/>
      <c r="AB176" s="1247"/>
      <c r="AC176" s="1247" t="s">
        <v>897</v>
      </c>
      <c r="AD176" s="1255" t="s">
        <v>895</v>
      </c>
      <c r="AE176" s="1188">
        <v>1.2</v>
      </c>
      <c r="AF176" s="1248">
        <f>I176*AE176</f>
        <v>2230.8</v>
      </c>
      <c r="AG176" s="1258"/>
      <c r="AH176" s="1234" t="s">
        <v>199</v>
      </c>
      <c r="AI176" s="1234" t="s">
        <v>112</v>
      </c>
      <c r="AJ176" s="1234" t="s">
        <v>113</v>
      </c>
      <c r="AK176" s="1188">
        <f t="shared" si="58"/>
        <v>1859</v>
      </c>
      <c r="AL176" s="1188"/>
      <c r="AM176" s="1188"/>
      <c r="AN176" s="1188"/>
      <c r="AO176" s="1188"/>
      <c r="AP176" s="1188">
        <f>I176</f>
        <v>1859</v>
      </c>
      <c r="AQ176" s="1240"/>
      <c r="AR176" s="1188"/>
      <c r="AS176" s="1236"/>
      <c r="AT176" s="1236"/>
      <c r="AU176" s="1188">
        <f t="shared" si="61"/>
        <v>1859</v>
      </c>
      <c r="AV176" s="1250">
        <f t="shared" si="62"/>
        <v>223.08</v>
      </c>
      <c r="AW176" s="1250"/>
      <c r="AX176" s="1188"/>
      <c r="AY176" s="1188"/>
      <c r="AZ176" s="1188"/>
      <c r="BA176" s="1188"/>
      <c r="BB176" s="1188"/>
      <c r="BC176" s="1188"/>
      <c r="BD176" s="1188"/>
      <c r="BE176" s="1188"/>
      <c r="BF176" s="1188"/>
      <c r="BG176" s="1188"/>
      <c r="BH176" s="1188"/>
      <c r="BI176" s="1188"/>
      <c r="BJ176" s="1188"/>
      <c r="BK176" s="1188"/>
      <c r="BL176" s="1188">
        <f>I176/13</f>
        <v>143</v>
      </c>
      <c r="BM176" s="1188"/>
      <c r="BN176" s="1188"/>
      <c r="BO176" s="1240"/>
      <c r="BP176" s="1240"/>
      <c r="BQ176" s="1188"/>
      <c r="BR176" s="1236"/>
      <c r="BS176" s="1188"/>
      <c r="BT176" s="1188"/>
      <c r="BU176" s="1188"/>
      <c r="BV176" s="1240"/>
      <c r="BW176" s="1188"/>
      <c r="BX176" s="1188"/>
      <c r="BY176" s="1188"/>
      <c r="BZ176" s="1188"/>
      <c r="CA176" s="1188"/>
      <c r="CB176" s="1188"/>
      <c r="CC176" s="1188"/>
      <c r="CD176" s="1188">
        <f t="shared" si="42"/>
        <v>0</v>
      </c>
      <c r="CE176" s="1188">
        <f t="shared" si="43"/>
        <v>0</v>
      </c>
      <c r="CF176" s="1188">
        <f t="shared" si="44"/>
        <v>0</v>
      </c>
      <c r="CG176" s="1188">
        <f t="shared" si="45"/>
        <v>0</v>
      </c>
      <c r="CH176" s="1236"/>
      <c r="CI176" s="1236"/>
      <c r="CJ176" s="1236"/>
      <c r="CK176" s="1188"/>
      <c r="CL176" s="1188"/>
    </row>
    <row r="177" s="1168" customFormat="1" customHeight="1" spans="1:111">
      <c r="A177" s="1245">
        <v>46129</v>
      </c>
      <c r="B177" s="1247" t="s">
        <v>890</v>
      </c>
      <c r="C177" s="1234" t="s">
        <v>891</v>
      </c>
      <c r="D177" s="1268">
        <v>4500202623</v>
      </c>
      <c r="E177" s="1233">
        <v>5200009651</v>
      </c>
      <c r="F177" s="1188" t="s">
        <v>898</v>
      </c>
      <c r="G177" s="1253" t="s">
        <v>821</v>
      </c>
      <c r="H177" s="1234" t="s">
        <v>800</v>
      </c>
      <c r="I177" s="1254">
        <v>390</v>
      </c>
      <c r="J177" s="1234">
        <v>0</v>
      </c>
      <c r="K177" s="1234">
        <v>30</v>
      </c>
      <c r="L177" s="1246">
        <f t="shared" si="60"/>
        <v>13</v>
      </c>
      <c r="M177" s="1255">
        <v>46176</v>
      </c>
      <c r="N177" s="1255">
        <v>46172</v>
      </c>
      <c r="O177" s="1255"/>
      <c r="P177" s="1233"/>
      <c r="Q177" s="1286" t="s">
        <v>106</v>
      </c>
      <c r="R177" s="1234"/>
      <c r="S177" s="1234" t="s">
        <v>736</v>
      </c>
      <c r="T177" s="1233">
        <v>390</v>
      </c>
      <c r="U177" s="1233">
        <f t="shared" si="49"/>
        <v>0</v>
      </c>
      <c r="V177" s="1234"/>
      <c r="W177" s="1256">
        <v>46148</v>
      </c>
      <c r="X177" s="1257" t="s">
        <v>95</v>
      </c>
      <c r="Y177" s="1257" t="s">
        <v>822</v>
      </c>
      <c r="Z177" s="1247"/>
      <c r="AA177" s="1247"/>
      <c r="AB177" s="1247"/>
      <c r="AC177" s="1247" t="s">
        <v>899</v>
      </c>
      <c r="AD177" s="1255" t="s">
        <v>895</v>
      </c>
      <c r="AE177" s="1188">
        <v>41.424</v>
      </c>
      <c r="AF177" s="1248">
        <f>I177*AE177</f>
        <v>16155.36</v>
      </c>
      <c r="AG177" s="1258"/>
      <c r="AH177" s="1253" t="s">
        <v>799</v>
      </c>
      <c r="AI177" s="1234" t="s">
        <v>112</v>
      </c>
      <c r="AJ177" s="1234" t="s">
        <v>113</v>
      </c>
      <c r="AK177" s="1188">
        <f t="shared" si="58"/>
        <v>390</v>
      </c>
      <c r="AL177" s="1188"/>
      <c r="AM177" s="1188"/>
      <c r="AN177" s="1188"/>
      <c r="AO177" s="1188"/>
      <c r="AP177" s="1188">
        <f>I177</f>
        <v>390</v>
      </c>
      <c r="AQ177" s="1240"/>
      <c r="AR177" s="1188"/>
      <c r="AS177" s="1236"/>
      <c r="AT177" s="1236"/>
      <c r="AU177" s="1188">
        <f t="shared" si="61"/>
        <v>390</v>
      </c>
      <c r="AV177" s="1250">
        <f t="shared" si="62"/>
        <v>46.8</v>
      </c>
      <c r="AW177" s="1250"/>
      <c r="AX177" s="1188"/>
      <c r="AY177" s="1188"/>
      <c r="AZ177" s="1188"/>
      <c r="BA177" s="1188"/>
      <c r="BB177" s="1188"/>
      <c r="BC177" s="1188"/>
      <c r="BD177" s="1188"/>
      <c r="BE177" s="1188"/>
      <c r="BF177" s="1188"/>
      <c r="BG177" s="1188"/>
      <c r="BH177" s="1188"/>
      <c r="BI177" s="1188"/>
      <c r="BJ177" s="1188"/>
      <c r="BK177" s="1188"/>
      <c r="BL177" s="1188"/>
      <c r="BM177" s="1188"/>
      <c r="BN177" s="1188"/>
      <c r="BO177" s="1240"/>
      <c r="BP177" s="1240"/>
      <c r="BQ177" s="1188"/>
      <c r="BR177" s="1236"/>
      <c r="BS177" s="1188"/>
      <c r="BT177" s="1188"/>
      <c r="BU177" s="1188"/>
      <c r="BV177" s="1240"/>
      <c r="BW177" s="1188"/>
      <c r="BX177" s="1188"/>
      <c r="BY177" s="1188"/>
      <c r="BZ177" s="1188"/>
      <c r="CA177" s="1188"/>
      <c r="CB177" s="1188"/>
      <c r="CC177" s="1188">
        <f>L177</f>
        <v>13</v>
      </c>
      <c r="CD177" s="1188">
        <f t="shared" si="42"/>
        <v>0</v>
      </c>
      <c r="CE177" s="1188">
        <f t="shared" si="43"/>
        <v>0</v>
      </c>
      <c r="CF177" s="1188">
        <f t="shared" si="44"/>
        <v>13</v>
      </c>
      <c r="CG177" s="1188">
        <f t="shared" si="45"/>
        <v>0</v>
      </c>
      <c r="CH177" s="1236"/>
      <c r="CI177" s="1236"/>
      <c r="CJ177" s="1236"/>
      <c r="CK177" s="1188"/>
      <c r="CL177" s="1188"/>
    </row>
    <row r="178" s="1170" customFormat="1" customHeight="1" spans="1:111">
      <c r="A178" s="1289">
        <v>46175</v>
      </c>
      <c r="B178" s="543"/>
      <c r="C178" s="504" t="s">
        <v>597</v>
      </c>
      <c r="D178" s="502" t="s">
        <v>900</v>
      </c>
      <c r="E178" s="504"/>
      <c r="F178" s="502" t="s">
        <v>901</v>
      </c>
      <c r="G178" s="505" t="s">
        <v>91</v>
      </c>
      <c r="H178" s="504" t="s">
        <v>600</v>
      </c>
      <c r="I178" s="1290">
        <v>10</v>
      </c>
      <c r="J178" s="504">
        <v>0</v>
      </c>
      <c r="K178" s="504">
        <v>24</v>
      </c>
      <c r="L178" s="1291">
        <f t="shared" si="60"/>
        <v>0.416666666666667</v>
      </c>
      <c r="M178" s="501">
        <v>46177</v>
      </c>
      <c r="N178" s="501">
        <v>46172</v>
      </c>
      <c r="O178" s="501"/>
      <c r="P178" s="506"/>
      <c r="Q178" s="1292"/>
      <c r="R178" s="504"/>
      <c r="S178" s="504"/>
      <c r="T178" s="506"/>
      <c r="U178" s="500">
        <f t="shared" si="49"/>
        <v>-10</v>
      </c>
      <c r="V178" s="504"/>
      <c r="W178" s="1293" t="s">
        <v>94</v>
      </c>
      <c r="X178" s="1294" t="s">
        <v>95</v>
      </c>
      <c r="Y178" s="1294" t="s">
        <v>95</v>
      </c>
      <c r="Z178" s="544"/>
      <c r="AA178" s="544"/>
      <c r="AB178" s="543"/>
      <c r="AC178" s="543" t="s">
        <v>902</v>
      </c>
      <c r="AD178" s="501" t="s">
        <v>241</v>
      </c>
      <c r="AE178" s="502"/>
      <c r="AF178" s="503"/>
      <c r="AG178" s="1295"/>
      <c r="AH178" s="488" t="s">
        <v>903</v>
      </c>
      <c r="AI178" s="488" t="s">
        <v>99</v>
      </c>
      <c r="AJ178" s="504"/>
      <c r="AK178" s="502">
        <f t="shared" si="58"/>
        <v>10</v>
      </c>
      <c r="AL178" s="502"/>
      <c r="AM178" s="1218"/>
      <c r="AN178" s="502"/>
      <c r="AO178" s="502"/>
      <c r="AP178" s="502">
        <f>I178</f>
        <v>10</v>
      </c>
      <c r="AQ178" s="1296"/>
      <c r="AR178" s="438"/>
      <c r="AS178" s="1297"/>
      <c r="AT178" s="1297"/>
      <c r="AU178" s="502">
        <f t="shared" si="61"/>
        <v>10</v>
      </c>
      <c r="AV178" s="1298">
        <f t="shared" si="62"/>
        <v>1.2</v>
      </c>
      <c r="AW178" s="1298"/>
      <c r="AX178" s="502"/>
      <c r="AY178" s="502"/>
      <c r="AZ178" s="502"/>
      <c r="BA178" s="502"/>
      <c r="BB178" s="502"/>
      <c r="BC178" s="502"/>
      <c r="BD178" s="502"/>
      <c r="BE178" s="502"/>
      <c r="BF178" s="502"/>
      <c r="BG178" s="502"/>
      <c r="BH178" s="502"/>
      <c r="BI178" s="502"/>
      <c r="BJ178" s="502"/>
      <c r="BK178" s="502"/>
      <c r="BL178" s="502"/>
      <c r="BM178" s="502"/>
      <c r="BN178" s="502"/>
      <c r="BO178" s="1296"/>
      <c r="BP178" s="1296"/>
      <c r="BQ178" s="1218"/>
      <c r="BR178" s="1297"/>
      <c r="BS178" s="502"/>
      <c r="BT178" s="502"/>
      <c r="BU178" s="502"/>
      <c r="BV178" s="1296"/>
      <c r="BW178" s="1218"/>
      <c r="BX178" s="1218"/>
      <c r="BY178" s="1218"/>
      <c r="BZ178" s="1218"/>
      <c r="CA178" s="1218"/>
      <c r="CB178" s="1218"/>
      <c r="CC178" s="1218"/>
      <c r="CD178" s="1218">
        <f t="shared" si="42"/>
        <v>0</v>
      </c>
      <c r="CE178" s="1218">
        <f t="shared" si="43"/>
        <v>0</v>
      </c>
      <c r="CF178" s="502">
        <f t="shared" si="44"/>
        <v>0</v>
      </c>
      <c r="CG178" s="1218">
        <f t="shared" si="45"/>
        <v>0</v>
      </c>
      <c r="CH178" s="1299"/>
      <c r="CI178" s="1299"/>
      <c r="CJ178" s="1297"/>
      <c r="CK178" s="502"/>
      <c r="CL178" s="502"/>
      <c r="CM178" s="293"/>
      <c r="CN178" s="293"/>
      <c r="CO178" s="293"/>
      <c r="CP178" s="293"/>
      <c r="CQ178" s="293"/>
      <c r="CR178" s="293"/>
      <c r="CS178" s="293"/>
      <c r="CT178" s="293"/>
      <c r="CU178" s="293"/>
      <c r="CV178" s="293"/>
      <c r="CW178" s="293"/>
      <c r="CX178" s="293"/>
      <c r="CY178" s="293"/>
      <c r="CZ178" s="293"/>
      <c r="DA178" s="293"/>
      <c r="DB178" s="293"/>
      <c r="DC178" s="293"/>
      <c r="DD178" s="293"/>
      <c r="DE178" s="293"/>
      <c r="DF178" s="293"/>
      <c r="DG178" s="293"/>
    </row>
    <row r="179" s="1170" customFormat="1" customHeight="1" spans="1:111">
      <c r="A179" s="1289">
        <v>46175</v>
      </c>
      <c r="B179" s="543"/>
      <c r="C179" s="504" t="s">
        <v>597</v>
      </c>
      <c r="D179" s="502" t="s">
        <v>904</v>
      </c>
      <c r="E179" s="504"/>
      <c r="F179" s="502" t="s">
        <v>905</v>
      </c>
      <c r="G179" s="505" t="s">
        <v>91</v>
      </c>
      <c r="H179" s="504" t="s">
        <v>600</v>
      </c>
      <c r="I179" s="1290">
        <v>5</v>
      </c>
      <c r="J179" s="504">
        <v>0</v>
      </c>
      <c r="K179" s="504">
        <v>24</v>
      </c>
      <c r="L179" s="1291">
        <f t="shared" si="60"/>
        <v>0.208333333333333</v>
      </c>
      <c r="M179" s="501">
        <v>46177</v>
      </c>
      <c r="N179" s="501">
        <v>46172</v>
      </c>
      <c r="O179" s="501"/>
      <c r="P179" s="506"/>
      <c r="Q179" s="1292"/>
      <c r="R179" s="504"/>
      <c r="S179" s="504"/>
      <c r="T179" s="506"/>
      <c r="U179" s="500">
        <f t="shared" si="49"/>
        <v>-5</v>
      </c>
      <c r="V179" s="504"/>
      <c r="W179" s="1300" t="s">
        <v>94</v>
      </c>
      <c r="X179" s="1301" t="s">
        <v>95</v>
      </c>
      <c r="Y179" s="1301" t="s">
        <v>95</v>
      </c>
      <c r="Z179" s="544"/>
      <c r="AA179" s="544"/>
      <c r="AB179" s="543"/>
      <c r="AC179" s="543" t="s">
        <v>906</v>
      </c>
      <c r="AD179" s="501" t="s">
        <v>241</v>
      </c>
      <c r="AE179" s="502"/>
      <c r="AF179" s="503"/>
      <c r="AG179" s="1295"/>
      <c r="AH179" s="498" t="s">
        <v>91</v>
      </c>
      <c r="AI179" s="488" t="s">
        <v>112</v>
      </c>
      <c r="AJ179" s="1234" t="s">
        <v>113</v>
      </c>
      <c r="AK179" s="502">
        <f t="shared" si="58"/>
        <v>5</v>
      </c>
      <c r="AL179" s="502"/>
      <c r="AM179" s="1218"/>
      <c r="AN179" s="502">
        <f>I179</f>
        <v>5</v>
      </c>
      <c r="AO179" s="502"/>
      <c r="AP179" s="502"/>
      <c r="AQ179" s="1296"/>
      <c r="AR179" s="438"/>
      <c r="AS179" s="1297"/>
      <c r="AT179" s="1297"/>
      <c r="AU179" s="502">
        <f t="shared" si="61"/>
        <v>5</v>
      </c>
      <c r="AV179" s="1298">
        <f t="shared" si="62"/>
        <v>0.6</v>
      </c>
      <c r="AW179" s="1298"/>
      <c r="AX179" s="502"/>
      <c r="AY179" s="502"/>
      <c r="AZ179" s="502"/>
      <c r="BA179" s="502"/>
      <c r="BB179" s="502"/>
      <c r="BC179" s="502"/>
      <c r="BD179" s="502"/>
      <c r="BE179" s="502"/>
      <c r="BF179" s="502"/>
      <c r="BG179" s="502"/>
      <c r="BH179" s="502"/>
      <c r="BI179" s="502"/>
      <c r="BJ179" s="502"/>
      <c r="BK179" s="502"/>
      <c r="BL179" s="502"/>
      <c r="BM179" s="502"/>
      <c r="BN179" s="502"/>
      <c r="BO179" s="1296"/>
      <c r="BP179" s="1296"/>
      <c r="BQ179" s="1218"/>
      <c r="BR179" s="1297"/>
      <c r="BS179" s="1297"/>
      <c r="BT179" s="502"/>
      <c r="BU179" s="502"/>
      <c r="BV179" s="1296"/>
      <c r="BW179" s="1218"/>
      <c r="BX179" s="1218"/>
      <c r="BY179" s="1218"/>
      <c r="BZ179" s="1218"/>
      <c r="CA179" s="1218"/>
      <c r="CB179" s="1218"/>
      <c r="CC179" s="1218"/>
      <c r="CD179" s="1218">
        <f t="shared" si="42"/>
        <v>0</v>
      </c>
      <c r="CE179" s="1218">
        <f t="shared" si="43"/>
        <v>0</v>
      </c>
      <c r="CF179" s="502">
        <f t="shared" si="44"/>
        <v>0</v>
      </c>
      <c r="CG179" s="1218">
        <f t="shared" si="45"/>
        <v>0</v>
      </c>
      <c r="CH179" s="1299"/>
      <c r="CI179" s="1299"/>
      <c r="CJ179" s="1297"/>
      <c r="CK179" s="502"/>
      <c r="CL179" s="502"/>
      <c r="CM179" s="293"/>
      <c r="CN179" s="293"/>
      <c r="CO179" s="293"/>
      <c r="CP179" s="293"/>
      <c r="CQ179" s="293"/>
      <c r="CR179" s="293"/>
      <c r="CS179" s="293"/>
      <c r="CT179" s="293"/>
      <c r="CU179" s="293"/>
      <c r="CV179" s="293"/>
      <c r="CW179" s="293"/>
      <c r="CX179" s="293"/>
      <c r="CY179" s="293"/>
      <c r="CZ179" s="293"/>
      <c r="DA179" s="293"/>
      <c r="DB179" s="293"/>
      <c r="DC179" s="293"/>
      <c r="DD179" s="293"/>
      <c r="DE179" s="293"/>
      <c r="DF179" s="293"/>
      <c r="DG179" s="293"/>
    </row>
    <row r="180" s="1170" customFormat="1" customHeight="1" spans="1:111">
      <c r="A180" s="1289">
        <v>46175</v>
      </c>
      <c r="B180" s="543"/>
      <c r="C180" s="504" t="s">
        <v>597</v>
      </c>
      <c r="D180" s="502" t="s">
        <v>904</v>
      </c>
      <c r="E180" s="504"/>
      <c r="F180" s="502" t="s">
        <v>907</v>
      </c>
      <c r="G180" s="505" t="s">
        <v>91</v>
      </c>
      <c r="H180" s="504" t="s">
        <v>600</v>
      </c>
      <c r="I180" s="1290">
        <v>5</v>
      </c>
      <c r="J180" s="504">
        <v>0</v>
      </c>
      <c r="K180" s="504">
        <v>24</v>
      </c>
      <c r="L180" s="1291">
        <f t="shared" si="60"/>
        <v>0.208333333333333</v>
      </c>
      <c r="M180" s="501">
        <v>46177</v>
      </c>
      <c r="N180" s="501">
        <v>46172</v>
      </c>
      <c r="O180" s="501"/>
      <c r="P180" s="506"/>
      <c r="Q180" s="1292"/>
      <c r="R180" s="504"/>
      <c r="S180" s="504"/>
      <c r="T180" s="506"/>
      <c r="U180" s="500">
        <f t="shared" si="49"/>
        <v>-5</v>
      </c>
      <c r="V180" s="504"/>
      <c r="W180" s="1300" t="s">
        <v>94</v>
      </c>
      <c r="X180" s="1294" t="s">
        <v>95</v>
      </c>
      <c r="Y180" s="1301" t="s">
        <v>95</v>
      </c>
      <c r="Z180" s="544"/>
      <c r="AA180" s="544"/>
      <c r="AB180" s="543"/>
      <c r="AC180" s="543" t="s">
        <v>908</v>
      </c>
      <c r="AD180" s="501" t="s">
        <v>241</v>
      </c>
      <c r="AE180" s="502"/>
      <c r="AF180" s="503"/>
      <c r="AG180" s="1295"/>
      <c r="AH180" s="498" t="s">
        <v>91</v>
      </c>
      <c r="AI180" s="488" t="s">
        <v>112</v>
      </c>
      <c r="AJ180" s="1234" t="s">
        <v>113</v>
      </c>
      <c r="AK180" s="502">
        <f t="shared" si="58"/>
        <v>5</v>
      </c>
      <c r="AL180" s="502"/>
      <c r="AM180" s="1218"/>
      <c r="AN180" s="502">
        <f>I180</f>
        <v>5</v>
      </c>
      <c r="AO180" s="502"/>
      <c r="AP180" s="502"/>
      <c r="AQ180" s="1296"/>
      <c r="AR180" s="438"/>
      <c r="AS180" s="1297"/>
      <c r="AT180" s="1297"/>
      <c r="AU180" s="502">
        <f t="shared" si="61"/>
        <v>5</v>
      </c>
      <c r="AV180" s="1298">
        <f t="shared" si="62"/>
        <v>0.6</v>
      </c>
      <c r="AW180" s="1298"/>
      <c r="AX180" s="502"/>
      <c r="AY180" s="502"/>
      <c r="AZ180" s="502"/>
      <c r="BA180" s="502"/>
      <c r="BB180" s="502"/>
      <c r="BC180" s="502"/>
      <c r="BD180" s="502"/>
      <c r="BE180" s="502"/>
      <c r="BF180" s="502"/>
      <c r="BG180" s="502"/>
      <c r="BH180" s="502"/>
      <c r="BI180" s="502"/>
      <c r="BJ180" s="502"/>
      <c r="BK180" s="502"/>
      <c r="BL180" s="502"/>
      <c r="BM180" s="502"/>
      <c r="BN180" s="502"/>
      <c r="BO180" s="1296"/>
      <c r="BP180" s="1296"/>
      <c r="BQ180" s="1218"/>
      <c r="BR180" s="1297"/>
      <c r="BS180" s="1297"/>
      <c r="BT180" s="502"/>
      <c r="BU180" s="502"/>
      <c r="BV180" s="1296"/>
      <c r="BW180" s="1218"/>
      <c r="BX180" s="1218"/>
      <c r="BY180" s="1218"/>
      <c r="BZ180" s="1218"/>
      <c r="CA180" s="1218"/>
      <c r="CB180" s="1218"/>
      <c r="CC180" s="1218"/>
      <c r="CD180" s="1218">
        <f t="shared" si="42"/>
        <v>0</v>
      </c>
      <c r="CE180" s="1218">
        <f t="shared" si="43"/>
        <v>0</v>
      </c>
      <c r="CF180" s="502">
        <f t="shared" si="44"/>
        <v>0</v>
      </c>
      <c r="CG180" s="1218">
        <f t="shared" si="45"/>
        <v>0</v>
      </c>
      <c r="CH180" s="1299"/>
      <c r="CI180" s="1299"/>
      <c r="CJ180" s="1297"/>
      <c r="CK180" s="502"/>
      <c r="CL180" s="502"/>
      <c r="CM180" s="293"/>
      <c r="CN180" s="293"/>
      <c r="CO180" s="293"/>
      <c r="CP180" s="293"/>
      <c r="CQ180" s="293"/>
      <c r="CR180" s="293"/>
      <c r="CS180" s="293"/>
      <c r="CT180" s="293"/>
      <c r="CU180" s="293"/>
      <c r="CV180" s="293"/>
      <c r="CW180" s="293"/>
      <c r="CX180" s="293"/>
      <c r="CY180" s="293"/>
      <c r="CZ180" s="293"/>
      <c r="DA180" s="293"/>
      <c r="DB180" s="293"/>
      <c r="DC180" s="293"/>
      <c r="DD180" s="293"/>
      <c r="DE180" s="293"/>
      <c r="DF180" s="293"/>
      <c r="DG180" s="293"/>
    </row>
    <row r="181" s="1168" customFormat="1" customHeight="1" spans="1:111">
      <c r="A181" s="1245">
        <v>46112</v>
      </c>
      <c r="B181" s="1247" t="s">
        <v>538</v>
      </c>
      <c r="C181" s="1234" t="s">
        <v>135</v>
      </c>
      <c r="D181" s="1268">
        <v>4500198654</v>
      </c>
      <c r="E181" s="1234" t="s">
        <v>909</v>
      </c>
      <c r="F181" s="1188" t="s">
        <v>910</v>
      </c>
      <c r="G181" s="1253" t="s">
        <v>746</v>
      </c>
      <c r="H181" s="1234" t="s">
        <v>390</v>
      </c>
      <c r="I181" s="1254">
        <v>2748</v>
      </c>
      <c r="J181" s="1234">
        <v>0</v>
      </c>
      <c r="K181" s="1234">
        <v>12</v>
      </c>
      <c r="L181" s="1246">
        <f t="shared" si="60"/>
        <v>229</v>
      </c>
      <c r="M181" s="1255">
        <v>46177</v>
      </c>
      <c r="N181" s="1255">
        <v>46174</v>
      </c>
      <c r="O181" s="1255"/>
      <c r="P181" s="1233"/>
      <c r="Q181" s="1286" t="s">
        <v>106</v>
      </c>
      <c r="R181" s="1234"/>
      <c r="S181" s="1234" t="s">
        <v>736</v>
      </c>
      <c r="T181" s="1233">
        <v>2748</v>
      </c>
      <c r="U181" s="1233">
        <f t="shared" si="49"/>
        <v>0</v>
      </c>
      <c r="V181" s="1234"/>
      <c r="W181" s="1256" t="s">
        <v>747</v>
      </c>
      <c r="X181" s="1257" t="s">
        <v>107</v>
      </c>
      <c r="Y181" s="1257" t="s">
        <v>911</v>
      </c>
      <c r="Z181" s="1188" t="s">
        <v>140</v>
      </c>
      <c r="AA181" s="1188"/>
      <c r="AB181" s="1247"/>
      <c r="AC181" s="1247" t="s">
        <v>912</v>
      </c>
      <c r="AD181" s="1255" t="s">
        <v>545</v>
      </c>
      <c r="AE181" s="1188">
        <v>2.6154</v>
      </c>
      <c r="AF181" s="1248">
        <f>I181*AE181</f>
        <v>7187.1192</v>
      </c>
      <c r="AG181" s="1258"/>
      <c r="AH181" s="1234" t="s">
        <v>389</v>
      </c>
      <c r="AI181" s="1234" t="s">
        <v>112</v>
      </c>
      <c r="AJ181" s="1234" t="s">
        <v>113</v>
      </c>
      <c r="AK181" s="1188">
        <f>I181*2</f>
        <v>5496</v>
      </c>
      <c r="AL181" s="1188"/>
      <c r="AM181" s="1188"/>
      <c r="AN181" s="1188"/>
      <c r="AO181" s="1188"/>
      <c r="AP181" s="1188"/>
      <c r="AQ181" s="1240"/>
      <c r="AR181" s="1251">
        <f>I181*2</f>
        <v>5496</v>
      </c>
      <c r="AS181" s="1236"/>
      <c r="AT181" s="1236"/>
      <c r="AU181" s="1188"/>
      <c r="AV181" s="1250">
        <f t="shared" si="62"/>
        <v>329.76</v>
      </c>
      <c r="AW181" s="1250">
        <f>I181</f>
        <v>2748</v>
      </c>
      <c r="AX181" s="1188"/>
      <c r="AY181" s="1188"/>
      <c r="AZ181" s="1188"/>
      <c r="BA181" s="1188"/>
      <c r="BB181" s="1188"/>
      <c r="BC181" s="1188"/>
      <c r="BD181" s="1188"/>
      <c r="BE181" s="1188"/>
      <c r="BF181" s="1188"/>
      <c r="BG181" s="1188"/>
      <c r="BH181" s="1188"/>
      <c r="BI181" s="1188"/>
      <c r="BJ181" s="1188"/>
      <c r="BK181" s="1188"/>
      <c r="BL181" s="1188"/>
      <c r="BM181" s="1188"/>
      <c r="BN181" s="1188"/>
      <c r="BO181" s="1240"/>
      <c r="BP181" s="1240"/>
      <c r="BQ181" s="1188"/>
      <c r="BR181" s="1236"/>
      <c r="BS181" s="1188"/>
      <c r="BT181" s="1188"/>
      <c r="BU181" s="1188"/>
      <c r="BV181" s="1240"/>
      <c r="BW181" s="1188"/>
      <c r="BX181" s="1188"/>
      <c r="BY181" s="1188"/>
      <c r="BZ181" s="1188"/>
      <c r="CA181" s="1188"/>
      <c r="CB181" s="1188"/>
      <c r="CC181" s="1188"/>
      <c r="CD181" s="1188">
        <f t="shared" si="42"/>
        <v>0</v>
      </c>
      <c r="CE181" s="1188">
        <f t="shared" si="43"/>
        <v>0</v>
      </c>
      <c r="CF181" s="1188">
        <f t="shared" si="44"/>
        <v>0</v>
      </c>
      <c r="CG181" s="1188">
        <f t="shared" si="45"/>
        <v>0</v>
      </c>
      <c r="CH181" s="1236"/>
      <c r="CI181" s="1236"/>
      <c r="CJ181" s="1236">
        <f>I181</f>
        <v>2748</v>
      </c>
      <c r="CK181" s="1188">
        <f>I181</f>
        <v>2748</v>
      </c>
      <c r="CL181" s="1188">
        <f>I181</f>
        <v>2748</v>
      </c>
    </row>
    <row r="182" s="1168" customFormat="1" customHeight="1" spans="1:111">
      <c r="A182" s="1245">
        <v>46112</v>
      </c>
      <c r="B182" s="1247" t="s">
        <v>538</v>
      </c>
      <c r="C182" s="1234" t="s">
        <v>135</v>
      </c>
      <c r="D182" s="1268">
        <v>4500198654</v>
      </c>
      <c r="E182" s="1234" t="s">
        <v>913</v>
      </c>
      <c r="F182" s="1188" t="s">
        <v>914</v>
      </c>
      <c r="G182" s="1253" t="s">
        <v>746</v>
      </c>
      <c r="H182" s="1234" t="s">
        <v>390</v>
      </c>
      <c r="I182" s="1254">
        <v>1032</v>
      </c>
      <c r="J182" s="1234">
        <v>0</v>
      </c>
      <c r="K182" s="1234">
        <v>12</v>
      </c>
      <c r="L182" s="1246">
        <f t="shared" si="60"/>
        <v>86</v>
      </c>
      <c r="M182" s="1255">
        <v>46177</v>
      </c>
      <c r="N182" s="1255">
        <v>46174</v>
      </c>
      <c r="O182" s="1255"/>
      <c r="P182" s="1233"/>
      <c r="Q182" s="1286" t="s">
        <v>106</v>
      </c>
      <c r="R182" s="1234"/>
      <c r="S182" s="1234" t="s">
        <v>736</v>
      </c>
      <c r="T182" s="1233">
        <v>1032</v>
      </c>
      <c r="U182" s="1233">
        <f t="shared" si="49"/>
        <v>0</v>
      </c>
      <c r="V182" s="1234"/>
      <c r="W182" s="1256" t="s">
        <v>747</v>
      </c>
      <c r="X182" s="1257" t="s">
        <v>107</v>
      </c>
      <c r="Y182" s="1257" t="s">
        <v>911</v>
      </c>
      <c r="Z182" s="1188" t="s">
        <v>140</v>
      </c>
      <c r="AA182" s="1188"/>
      <c r="AB182" s="1247"/>
      <c r="AC182" s="1247" t="s">
        <v>912</v>
      </c>
      <c r="AD182" s="1255" t="s">
        <v>545</v>
      </c>
      <c r="AE182" s="1188">
        <v>2.5332</v>
      </c>
      <c r="AF182" s="1248">
        <f>I182*AE182</f>
        <v>2614.2624</v>
      </c>
      <c r="AG182" s="1258"/>
      <c r="AH182" s="1234" t="s">
        <v>389</v>
      </c>
      <c r="AI182" s="1234" t="s">
        <v>112</v>
      </c>
      <c r="AJ182" s="1234" t="s">
        <v>113</v>
      </c>
      <c r="AK182" s="1188">
        <f>I182*2</f>
        <v>2064</v>
      </c>
      <c r="AL182" s="1188"/>
      <c r="AM182" s="1188"/>
      <c r="AN182" s="1188"/>
      <c r="AO182" s="1188"/>
      <c r="AP182" s="1188"/>
      <c r="AQ182" s="1240"/>
      <c r="AR182" s="1251">
        <f>I182*2</f>
        <v>2064</v>
      </c>
      <c r="AS182" s="1260"/>
      <c r="AT182" s="1260"/>
      <c r="AU182" s="1188"/>
      <c r="AV182" s="1250">
        <f t="shared" si="62"/>
        <v>123.84</v>
      </c>
      <c r="AW182" s="1250">
        <f>I182</f>
        <v>1032</v>
      </c>
      <c r="AX182" s="1188"/>
      <c r="AY182" s="1188"/>
      <c r="AZ182" s="1188"/>
      <c r="BA182" s="1188"/>
      <c r="BB182" s="1188"/>
      <c r="BC182" s="1188"/>
      <c r="BD182" s="1188"/>
      <c r="BE182" s="1188"/>
      <c r="BF182" s="1188"/>
      <c r="BG182" s="1188"/>
      <c r="BH182" s="1188"/>
      <c r="BI182" s="1188"/>
      <c r="BJ182" s="1188"/>
      <c r="BK182" s="1188"/>
      <c r="BL182" s="1188"/>
      <c r="BM182" s="1188"/>
      <c r="BN182" s="1188"/>
      <c r="BO182" s="1240"/>
      <c r="BP182" s="1240"/>
      <c r="BQ182" s="1188"/>
      <c r="BR182" s="1236"/>
      <c r="BS182" s="1188"/>
      <c r="BT182" s="1188"/>
      <c r="BU182" s="1188"/>
      <c r="BV182" s="1240"/>
      <c r="BW182" s="1188"/>
      <c r="BX182" s="1188"/>
      <c r="BY182" s="1188"/>
      <c r="BZ182" s="1188"/>
      <c r="CA182" s="1188"/>
      <c r="CB182" s="1188"/>
      <c r="CC182" s="1188"/>
      <c r="CD182" s="1188">
        <f t="shared" si="42"/>
        <v>0</v>
      </c>
      <c r="CE182" s="1188">
        <f t="shared" si="43"/>
        <v>0</v>
      </c>
      <c r="CF182" s="1188">
        <f t="shared" si="44"/>
        <v>0</v>
      </c>
      <c r="CG182" s="1188">
        <f t="shared" si="45"/>
        <v>0</v>
      </c>
      <c r="CH182" s="1236"/>
      <c r="CI182" s="1236"/>
      <c r="CJ182" s="1236">
        <f>I182</f>
        <v>1032</v>
      </c>
      <c r="CK182" s="1188">
        <f>I182</f>
        <v>1032</v>
      </c>
      <c r="CL182" s="1188">
        <f>I182</f>
        <v>1032</v>
      </c>
    </row>
    <row r="183" s="1168" customFormat="1" customHeight="1" spans="1:111">
      <c r="A183" s="1245">
        <v>46135</v>
      </c>
      <c r="B183" s="1247" t="s">
        <v>378</v>
      </c>
      <c r="C183" s="1234" t="s">
        <v>201</v>
      </c>
      <c r="D183" s="1188">
        <v>4500202338</v>
      </c>
      <c r="E183" s="1234">
        <v>2551020506</v>
      </c>
      <c r="F183" s="1188" t="s">
        <v>915</v>
      </c>
      <c r="G183" s="1253" t="s">
        <v>380</v>
      </c>
      <c r="H183" s="1234" t="s">
        <v>381</v>
      </c>
      <c r="I183" s="1254">
        <v>6640</v>
      </c>
      <c r="J183" s="1234">
        <v>0</v>
      </c>
      <c r="K183" s="1234">
        <v>16</v>
      </c>
      <c r="L183" s="1246">
        <f t="shared" si="60"/>
        <v>415</v>
      </c>
      <c r="M183" s="1255">
        <v>46177</v>
      </c>
      <c r="N183" s="1255">
        <v>46220</v>
      </c>
      <c r="O183" s="1255" t="s">
        <v>736</v>
      </c>
      <c r="P183" s="1233" t="s">
        <v>916</v>
      </c>
      <c r="Q183" s="1286" t="s">
        <v>106</v>
      </c>
      <c r="R183" s="1234"/>
      <c r="S183" s="1234"/>
      <c r="T183" s="1233">
        <f>160+6480</f>
        <v>6640</v>
      </c>
      <c r="U183" s="1233">
        <f t="shared" si="49"/>
        <v>0</v>
      </c>
      <c r="V183" s="1234"/>
      <c r="W183" s="1256">
        <v>46150</v>
      </c>
      <c r="X183" s="1257" t="s">
        <v>95</v>
      </c>
      <c r="Y183" s="1257" t="s">
        <v>95</v>
      </c>
      <c r="Z183" s="1247"/>
      <c r="AA183" s="1247"/>
      <c r="AB183" s="1247"/>
      <c r="AC183" s="1247" t="s">
        <v>917</v>
      </c>
      <c r="AD183" s="1248" t="s">
        <v>384</v>
      </c>
      <c r="AE183" s="1247">
        <v>1.3</v>
      </c>
      <c r="AF183" s="1248">
        <f>AE183*I183</f>
        <v>8632</v>
      </c>
      <c r="AG183" s="1258"/>
      <c r="AH183" s="1234" t="s">
        <v>385</v>
      </c>
      <c r="AI183" s="1234" t="s">
        <v>112</v>
      </c>
      <c r="AJ183" s="1234" t="s">
        <v>113</v>
      </c>
      <c r="AK183" s="1188">
        <f>I183</f>
        <v>6640</v>
      </c>
      <c r="AL183" s="1188"/>
      <c r="AM183" s="1188"/>
      <c r="AN183" s="1188"/>
      <c r="AO183" s="1188"/>
      <c r="AP183" s="1188">
        <f>I183</f>
        <v>6640</v>
      </c>
      <c r="AQ183" s="1240"/>
      <c r="AR183" s="1188"/>
      <c r="AS183" s="1260"/>
      <c r="AT183" s="1260"/>
      <c r="AU183" s="1188">
        <f>I183</f>
        <v>6640</v>
      </c>
      <c r="AV183" s="1250">
        <f>I183*0.06</f>
        <v>398.4</v>
      </c>
      <c r="AW183" s="1250"/>
      <c r="AX183" s="1188"/>
      <c r="AY183" s="1188"/>
      <c r="AZ183" s="1188"/>
      <c r="BA183" s="1188"/>
      <c r="BB183" s="1188"/>
      <c r="BC183" s="1188"/>
      <c r="BD183" s="1188"/>
      <c r="BE183" s="1188"/>
      <c r="BF183" s="1188"/>
      <c r="BG183" s="1188"/>
      <c r="BH183" s="1188"/>
      <c r="BI183" s="1188"/>
      <c r="BJ183" s="1188"/>
      <c r="BK183" s="1188"/>
      <c r="BL183" s="1188"/>
      <c r="BM183" s="1188"/>
      <c r="BN183" s="1188"/>
      <c r="BO183" s="1240"/>
      <c r="BP183" s="1240"/>
      <c r="BQ183" s="1188"/>
      <c r="BR183" s="1236"/>
      <c r="BS183" s="1188">
        <f>I183/16</f>
        <v>415</v>
      </c>
      <c r="BT183" s="1188"/>
      <c r="BU183" s="1188"/>
      <c r="BV183" s="1240"/>
      <c r="BW183" s="1188"/>
      <c r="BX183" s="1188"/>
      <c r="BY183" s="1188"/>
      <c r="BZ183" s="1188"/>
      <c r="CA183" s="1188"/>
      <c r="CB183" s="1188"/>
      <c r="CC183" s="1188"/>
      <c r="CD183" s="1188">
        <f t="shared" si="42"/>
        <v>415</v>
      </c>
      <c r="CE183" s="1188">
        <f t="shared" si="43"/>
        <v>0</v>
      </c>
      <c r="CF183" s="1188">
        <f t="shared" si="44"/>
        <v>0</v>
      </c>
      <c r="CG183" s="1188">
        <f t="shared" si="45"/>
        <v>0</v>
      </c>
      <c r="CH183" s="1236"/>
      <c r="CI183" s="1236"/>
      <c r="CJ183" s="1236"/>
      <c r="CK183" s="1188"/>
      <c r="CL183" s="1188"/>
    </row>
    <row r="184" s="1168" customFormat="1" customHeight="1" spans="1:111">
      <c r="A184" s="1245">
        <v>46128</v>
      </c>
      <c r="B184" s="1247" t="s">
        <v>191</v>
      </c>
      <c r="C184" s="1234" t="s">
        <v>164</v>
      </c>
      <c r="D184" s="1188">
        <v>4500201883</v>
      </c>
      <c r="E184" s="1234">
        <v>5200009314</v>
      </c>
      <c r="F184" s="1188" t="s">
        <v>918</v>
      </c>
      <c r="G184" s="1253" t="s">
        <v>193</v>
      </c>
      <c r="H184" s="1234" t="s">
        <v>194</v>
      </c>
      <c r="I184" s="1254">
        <v>4810</v>
      </c>
      <c r="J184" s="1234">
        <v>0</v>
      </c>
      <c r="K184" s="1234">
        <v>13</v>
      </c>
      <c r="L184" s="1246">
        <f t="shared" si="60"/>
        <v>370</v>
      </c>
      <c r="M184" s="1255">
        <v>46178</v>
      </c>
      <c r="N184" s="1255">
        <v>46174</v>
      </c>
      <c r="O184" s="1255"/>
      <c r="P184" s="1233"/>
      <c r="Q184" s="1286" t="s">
        <v>106</v>
      </c>
      <c r="R184" s="1234"/>
      <c r="S184" s="1234"/>
      <c r="T184" s="1233">
        <v>4810</v>
      </c>
      <c r="U184" s="1233">
        <f t="shared" si="49"/>
        <v>0</v>
      </c>
      <c r="V184" s="1234"/>
      <c r="W184" s="1256">
        <v>46128</v>
      </c>
      <c r="X184" s="1257" t="s">
        <v>95</v>
      </c>
      <c r="Y184" s="1257" t="s">
        <v>919</v>
      </c>
      <c r="Z184" s="1247" t="s">
        <v>920</v>
      </c>
      <c r="AA184" s="1247"/>
      <c r="AB184" s="1247"/>
      <c r="AC184" s="1247" t="s">
        <v>921</v>
      </c>
      <c r="AD184" s="1255" t="s">
        <v>922</v>
      </c>
      <c r="AE184" s="1188">
        <v>1.2</v>
      </c>
      <c r="AF184" s="1248">
        <f>I184*AE184</f>
        <v>5772</v>
      </c>
      <c r="AG184" s="1258"/>
      <c r="AH184" s="1234" t="s">
        <v>199</v>
      </c>
      <c r="AI184" s="1234" t="s">
        <v>112</v>
      </c>
      <c r="AJ184" s="1234" t="s">
        <v>113</v>
      </c>
      <c r="AK184" s="1188">
        <f>I184</f>
        <v>4810</v>
      </c>
      <c r="AL184" s="1188"/>
      <c r="AM184" s="1188"/>
      <c r="AN184" s="1188"/>
      <c r="AO184" s="1188"/>
      <c r="AP184" s="1188">
        <f>I184</f>
        <v>4810</v>
      </c>
      <c r="AQ184" s="1240"/>
      <c r="AR184" s="1188"/>
      <c r="AS184" s="1260"/>
      <c r="AT184" s="1260"/>
      <c r="AU184" s="1188">
        <f>I184</f>
        <v>4810</v>
      </c>
      <c r="AV184" s="1250">
        <f>I184*0.06</f>
        <v>288.6</v>
      </c>
      <c r="AW184" s="1250"/>
      <c r="AX184" s="1188"/>
      <c r="AY184" s="1188"/>
      <c r="AZ184" s="1188"/>
      <c r="BA184" s="1188"/>
      <c r="BB184" s="1188"/>
      <c r="BC184" s="1188"/>
      <c r="BD184" s="1188"/>
      <c r="BE184" s="1188"/>
      <c r="BF184" s="1188"/>
      <c r="BG184" s="1188"/>
      <c r="BH184" s="1188"/>
      <c r="BI184" s="1188"/>
      <c r="BJ184" s="1188"/>
      <c r="BK184" s="1188"/>
      <c r="BL184" s="1188">
        <f>I184/13</f>
        <v>370</v>
      </c>
      <c r="BM184" s="1188"/>
      <c r="BN184" s="1188"/>
      <c r="BO184" s="1240"/>
      <c r="BP184" s="1240"/>
      <c r="BQ184" s="1188"/>
      <c r="BR184" s="1236"/>
      <c r="BS184" s="1188"/>
      <c r="BT184" s="1188"/>
      <c r="BU184" s="1188"/>
      <c r="BV184" s="1240"/>
      <c r="BW184" s="1188"/>
      <c r="BX184" s="1188"/>
      <c r="BY184" s="1188"/>
      <c r="BZ184" s="1188"/>
      <c r="CA184" s="1188"/>
      <c r="CB184" s="1188"/>
      <c r="CC184" s="1188"/>
      <c r="CD184" s="1188">
        <f t="shared" si="42"/>
        <v>0</v>
      </c>
      <c r="CE184" s="1188">
        <f t="shared" si="43"/>
        <v>0</v>
      </c>
      <c r="CF184" s="1188">
        <f t="shared" si="44"/>
        <v>0</v>
      </c>
      <c r="CG184" s="1188">
        <f t="shared" si="45"/>
        <v>0</v>
      </c>
      <c r="CH184" s="1236"/>
      <c r="CI184" s="1236"/>
      <c r="CJ184" s="1236"/>
      <c r="CK184" s="1188"/>
      <c r="CL184" s="1188"/>
    </row>
    <row r="185" s="1168" customFormat="1" customHeight="1" spans="1:111">
      <c r="A185" s="1245">
        <v>46129</v>
      </c>
      <c r="B185" s="1247" t="s">
        <v>923</v>
      </c>
      <c r="C185" s="1234" t="s">
        <v>492</v>
      </c>
      <c r="D185" s="1268">
        <v>4500202457</v>
      </c>
      <c r="E185" s="1233">
        <v>15090</v>
      </c>
      <c r="F185" s="1188" t="s">
        <v>924</v>
      </c>
      <c r="G185" s="1253" t="s">
        <v>289</v>
      </c>
      <c r="H185" s="1234" t="s">
        <v>859</v>
      </c>
      <c r="I185" s="1254">
        <v>325</v>
      </c>
      <c r="J185" s="1234">
        <v>0</v>
      </c>
      <c r="K185" s="1234">
        <v>13</v>
      </c>
      <c r="L185" s="1246">
        <f t="shared" si="60"/>
        <v>25</v>
      </c>
      <c r="M185" s="1255">
        <v>46178</v>
      </c>
      <c r="N185" s="1255">
        <v>46174</v>
      </c>
      <c r="O185" s="1255"/>
      <c r="P185" s="1233"/>
      <c r="Q185" s="1286" t="s">
        <v>106</v>
      </c>
      <c r="R185" s="1234"/>
      <c r="S185" s="1234" t="s">
        <v>736</v>
      </c>
      <c r="T185" s="1233">
        <v>325</v>
      </c>
      <c r="U185" s="1233">
        <f t="shared" si="49"/>
        <v>0</v>
      </c>
      <c r="V185" s="1234"/>
      <c r="W185" s="1256">
        <v>46148</v>
      </c>
      <c r="X185" s="1257" t="s">
        <v>95</v>
      </c>
      <c r="Y185" s="1257" t="s">
        <v>925</v>
      </c>
      <c r="Z185" s="1247"/>
      <c r="AA185" s="1247"/>
      <c r="AB185" s="1247"/>
      <c r="AC185" s="1247" t="s">
        <v>926</v>
      </c>
      <c r="AD185" s="1255" t="s">
        <v>236</v>
      </c>
      <c r="AE185" s="1267">
        <v>1.0588</v>
      </c>
      <c r="AF185" s="1248">
        <f>I185*AE185</f>
        <v>344.11</v>
      </c>
      <c r="AG185" s="1258"/>
      <c r="AH185" s="1234" t="s">
        <v>199</v>
      </c>
      <c r="AI185" s="1234" t="s">
        <v>112</v>
      </c>
      <c r="AJ185" s="1234"/>
      <c r="AK185" s="1188">
        <f>I185</f>
        <v>325</v>
      </c>
      <c r="AL185" s="1188"/>
      <c r="AM185" s="1188"/>
      <c r="AN185" s="1188"/>
      <c r="AO185" s="1188"/>
      <c r="AP185" s="1188">
        <f>I185</f>
        <v>325</v>
      </c>
      <c r="AQ185" s="1240"/>
      <c r="AR185" s="1188"/>
      <c r="AS185" s="1260"/>
      <c r="AT185" s="1260"/>
      <c r="AU185" s="1188">
        <f>I185</f>
        <v>325</v>
      </c>
      <c r="AV185" s="1250">
        <f t="shared" ref="AV185:AV190" si="63">I185*0.06*2</f>
        <v>39</v>
      </c>
      <c r="AW185" s="1250"/>
      <c r="AX185" s="1188"/>
      <c r="AY185" s="1188"/>
      <c r="AZ185" s="1188"/>
      <c r="BA185" s="1188"/>
      <c r="BB185" s="1188"/>
      <c r="BC185" s="1188"/>
      <c r="BD185" s="1188"/>
      <c r="BE185" s="1188"/>
      <c r="BF185" s="1188"/>
      <c r="BG185" s="1188"/>
      <c r="BH185" s="1188"/>
      <c r="BI185" s="1188"/>
      <c r="BJ185" s="1188"/>
      <c r="BK185" s="1188"/>
      <c r="BL185" s="1188">
        <f>I185/13</f>
        <v>25</v>
      </c>
      <c r="BM185" s="1188"/>
      <c r="BN185" s="1188"/>
      <c r="BO185" s="1240"/>
      <c r="BP185" s="1240"/>
      <c r="BQ185" s="1188"/>
      <c r="BR185" s="1236"/>
      <c r="BS185" s="1188"/>
      <c r="BT185" s="1188"/>
      <c r="BU185" s="1188"/>
      <c r="BV185" s="1240"/>
      <c r="BW185" s="1188"/>
      <c r="BX185" s="1188"/>
      <c r="BY185" s="1188"/>
      <c r="BZ185" s="1188"/>
      <c r="CA185" s="1188"/>
      <c r="CB185" s="1188"/>
      <c r="CC185" s="1188"/>
      <c r="CD185" s="1188">
        <f t="shared" si="42"/>
        <v>0</v>
      </c>
      <c r="CE185" s="1188">
        <f t="shared" si="43"/>
        <v>0</v>
      </c>
      <c r="CF185" s="1188">
        <f t="shared" si="44"/>
        <v>0</v>
      </c>
      <c r="CG185" s="1188">
        <f t="shared" si="45"/>
        <v>0</v>
      </c>
      <c r="CH185" s="1236"/>
      <c r="CI185" s="1236"/>
      <c r="CJ185" s="1236"/>
      <c r="CK185" s="1188"/>
      <c r="CL185" s="1188"/>
    </row>
    <row r="186" s="1168" customFormat="1" customHeight="1" spans="1:111">
      <c r="A186" s="1245">
        <v>46129</v>
      </c>
      <c r="B186" s="1247" t="s">
        <v>923</v>
      </c>
      <c r="C186" s="1234" t="s">
        <v>492</v>
      </c>
      <c r="D186" s="1268">
        <v>4500202457</v>
      </c>
      <c r="E186" s="1233">
        <v>15090</v>
      </c>
      <c r="F186" s="1188" t="s">
        <v>927</v>
      </c>
      <c r="G186" s="1253" t="s">
        <v>799</v>
      </c>
      <c r="H186" s="1234" t="s">
        <v>800</v>
      </c>
      <c r="I186" s="1254">
        <v>1410</v>
      </c>
      <c r="J186" s="1234">
        <v>0</v>
      </c>
      <c r="K186" s="1234">
        <v>30</v>
      </c>
      <c r="L186" s="1246">
        <f t="shared" si="60"/>
        <v>47</v>
      </c>
      <c r="M186" s="1255">
        <v>46178</v>
      </c>
      <c r="N186" s="1255">
        <v>46174</v>
      </c>
      <c r="O186" s="1255"/>
      <c r="P186" s="1233"/>
      <c r="Q186" s="1286" t="s">
        <v>106</v>
      </c>
      <c r="R186" s="1234"/>
      <c r="S186" s="1234" t="s">
        <v>736</v>
      </c>
      <c r="T186" s="1233">
        <v>1410</v>
      </c>
      <c r="U186" s="1233">
        <f t="shared" si="49"/>
        <v>0</v>
      </c>
      <c r="V186" s="1234"/>
      <c r="W186" s="1256">
        <v>46148</v>
      </c>
      <c r="X186" s="1257" t="s">
        <v>95</v>
      </c>
      <c r="Y186" s="1257" t="s">
        <v>925</v>
      </c>
      <c r="Z186" s="1247"/>
      <c r="AA186" s="1247"/>
      <c r="AB186" s="1247"/>
      <c r="AC186" s="1247" t="s">
        <v>926</v>
      </c>
      <c r="AD186" s="1255" t="s">
        <v>236</v>
      </c>
      <c r="AE186" s="1188">
        <v>41.265</v>
      </c>
      <c r="AF186" s="1248">
        <f>AE186*L186</f>
        <v>1939.455</v>
      </c>
      <c r="AG186" s="1258"/>
      <c r="AH186" s="1253" t="s">
        <v>799</v>
      </c>
      <c r="AI186" s="1234" t="s">
        <v>112</v>
      </c>
      <c r="AJ186" s="1234" t="s">
        <v>113</v>
      </c>
      <c r="AK186" s="1188">
        <f>I186</f>
        <v>1410</v>
      </c>
      <c r="AL186" s="1188"/>
      <c r="AM186" s="1188"/>
      <c r="AN186" s="1188"/>
      <c r="AO186" s="1188"/>
      <c r="AP186" s="1188">
        <f>I186</f>
        <v>1410</v>
      </c>
      <c r="AQ186" s="1240"/>
      <c r="AR186" s="1188"/>
      <c r="AS186" s="1260"/>
      <c r="AT186" s="1260"/>
      <c r="AU186" s="1188">
        <f>I186</f>
        <v>1410</v>
      </c>
      <c r="AV186" s="1250">
        <f t="shared" si="63"/>
        <v>169.2</v>
      </c>
      <c r="AW186" s="1250"/>
      <c r="AX186" s="1188"/>
      <c r="AY186" s="1188"/>
      <c r="AZ186" s="1188"/>
      <c r="BA186" s="1188"/>
      <c r="BB186" s="1188"/>
      <c r="BC186" s="1188"/>
      <c r="BD186" s="1188"/>
      <c r="BE186" s="1188"/>
      <c r="BF186" s="1188"/>
      <c r="BG186" s="1188"/>
      <c r="BH186" s="1188"/>
      <c r="BI186" s="1188"/>
      <c r="BJ186" s="1188"/>
      <c r="BK186" s="1188"/>
      <c r="BL186" s="1188"/>
      <c r="BM186" s="1188"/>
      <c r="BN186" s="1188"/>
      <c r="BO186" s="1240"/>
      <c r="BP186" s="1240"/>
      <c r="BQ186" s="1188"/>
      <c r="BR186" s="1236"/>
      <c r="BS186" s="1188"/>
      <c r="BT186" s="1188"/>
      <c r="BU186" s="1188"/>
      <c r="BV186" s="1240"/>
      <c r="BW186" s="1188"/>
      <c r="BX186" s="1188"/>
      <c r="BY186" s="1188"/>
      <c r="BZ186" s="1188"/>
      <c r="CA186" s="1188"/>
      <c r="CB186" s="1188"/>
      <c r="CC186" s="1188">
        <f>L186</f>
        <v>47</v>
      </c>
      <c r="CD186" s="1188">
        <f t="shared" si="42"/>
        <v>0</v>
      </c>
      <c r="CE186" s="1188">
        <f t="shared" si="43"/>
        <v>0</v>
      </c>
      <c r="CF186" s="1188">
        <f t="shared" si="44"/>
        <v>47</v>
      </c>
      <c r="CG186" s="1188">
        <f t="shared" si="45"/>
        <v>0</v>
      </c>
      <c r="CH186" s="1236"/>
      <c r="CI186" s="1236"/>
      <c r="CJ186" s="1236"/>
      <c r="CK186" s="1188"/>
      <c r="CL186" s="1188"/>
    </row>
    <row r="187" s="1168" customFormat="1" ht="31" customHeight="1" spans="1:111">
      <c r="A187" s="1245">
        <v>46115</v>
      </c>
      <c r="B187" s="1247" t="s">
        <v>386</v>
      </c>
      <c r="C187" s="1234" t="s">
        <v>115</v>
      </c>
      <c r="D187" s="1268">
        <v>4500200069</v>
      </c>
      <c r="E187" s="1234" t="s">
        <v>928</v>
      </c>
      <c r="F187" s="1188" t="s">
        <v>929</v>
      </c>
      <c r="G187" s="1253" t="s">
        <v>389</v>
      </c>
      <c r="H187" s="1234" t="s">
        <v>390</v>
      </c>
      <c r="I187" s="1254">
        <v>5628</v>
      </c>
      <c r="J187" s="1234">
        <v>0</v>
      </c>
      <c r="K187" s="1234">
        <v>12</v>
      </c>
      <c r="L187" s="1246">
        <f t="shared" si="60"/>
        <v>469</v>
      </c>
      <c r="M187" s="1255">
        <v>46178</v>
      </c>
      <c r="N187" s="1255">
        <v>46174</v>
      </c>
      <c r="O187" s="1255"/>
      <c r="P187" s="1233"/>
      <c r="Q187" s="1286" t="s">
        <v>106</v>
      </c>
      <c r="R187" s="1234"/>
      <c r="S187" s="1234" t="s">
        <v>736</v>
      </c>
      <c r="T187" s="1233">
        <v>5628</v>
      </c>
      <c r="U187" s="1233">
        <f t="shared" si="49"/>
        <v>0</v>
      </c>
      <c r="V187" s="1234"/>
      <c r="W187" s="1256">
        <v>46119</v>
      </c>
      <c r="X187" s="1257" t="s">
        <v>107</v>
      </c>
      <c r="Y187" s="1257" t="s">
        <v>930</v>
      </c>
      <c r="Z187" s="1247"/>
      <c r="AA187" s="1247"/>
      <c r="AB187" s="1247"/>
      <c r="AC187" s="1257" t="s">
        <v>785</v>
      </c>
      <c r="AD187" s="1255" t="s">
        <v>393</v>
      </c>
      <c r="AE187" s="1267">
        <v>1.374</v>
      </c>
      <c r="AF187" s="1248">
        <f>I187*AE187</f>
        <v>7732.872</v>
      </c>
      <c r="AG187" s="1249" t="s">
        <v>931</v>
      </c>
      <c r="AH187" s="1234" t="s">
        <v>389</v>
      </c>
      <c r="AI187" s="1234" t="s">
        <v>112</v>
      </c>
      <c r="AJ187" s="1234" t="s">
        <v>113</v>
      </c>
      <c r="AK187" s="1188">
        <f>I187*2</f>
        <v>11256</v>
      </c>
      <c r="AL187" s="1188"/>
      <c r="AM187" s="1188"/>
      <c r="AN187" s="1188"/>
      <c r="AO187" s="1188"/>
      <c r="AP187" s="1188"/>
      <c r="AQ187" s="1240">
        <f>I187*2</f>
        <v>11256</v>
      </c>
      <c r="AR187" s="1188"/>
      <c r="AS187" s="1260"/>
      <c r="AT187" s="1260"/>
      <c r="AU187" s="1188">
        <f>I187*2</f>
        <v>11256</v>
      </c>
      <c r="AV187" s="1250">
        <f t="shared" si="63"/>
        <v>675.36</v>
      </c>
      <c r="AW187" s="1250"/>
      <c r="AX187" s="1188"/>
      <c r="AY187" s="1188"/>
      <c r="AZ187" s="1188"/>
      <c r="BA187" s="1188"/>
      <c r="BB187" s="1188"/>
      <c r="BC187" s="1188"/>
      <c r="BD187" s="1188"/>
      <c r="BE187" s="1188"/>
      <c r="BF187" s="1188"/>
      <c r="BG187" s="1188"/>
      <c r="BH187" s="1188"/>
      <c r="BI187" s="1188"/>
      <c r="BJ187" s="1188"/>
      <c r="BK187" s="1188"/>
      <c r="BL187" s="1188"/>
      <c r="BM187" s="1188"/>
      <c r="BN187" s="1188"/>
      <c r="BO187" s="1240"/>
      <c r="BP187" s="1240"/>
      <c r="BQ187" s="1188"/>
      <c r="BR187" s="1236"/>
      <c r="BS187" s="1188"/>
      <c r="BT187" s="1188"/>
      <c r="BU187" s="1188"/>
      <c r="BV187" s="1240"/>
      <c r="BW187" s="1188"/>
      <c r="BX187" s="1188"/>
      <c r="BY187" s="1188"/>
      <c r="BZ187" s="1188"/>
      <c r="CA187" s="1188"/>
      <c r="CB187" s="1188"/>
      <c r="CC187" s="1188"/>
      <c r="CD187" s="1188">
        <f t="shared" si="42"/>
        <v>0</v>
      </c>
      <c r="CE187" s="1188">
        <f t="shared" si="43"/>
        <v>0</v>
      </c>
      <c r="CF187" s="1188">
        <f t="shared" si="44"/>
        <v>0</v>
      </c>
      <c r="CG187" s="1188">
        <f t="shared" si="45"/>
        <v>0</v>
      </c>
      <c r="CH187" s="1236"/>
      <c r="CI187" s="1236"/>
      <c r="CJ187" s="1236">
        <f>I187</f>
        <v>5628</v>
      </c>
      <c r="CK187" s="1188">
        <f>I187</f>
        <v>5628</v>
      </c>
      <c r="CL187" s="1188">
        <f>I187</f>
        <v>5628</v>
      </c>
    </row>
    <row r="188" s="1168" customFormat="1" ht="31" customHeight="1" spans="1:111">
      <c r="A188" s="1245">
        <v>46115</v>
      </c>
      <c r="B188" s="1247" t="s">
        <v>386</v>
      </c>
      <c r="C188" s="1234" t="s">
        <v>115</v>
      </c>
      <c r="D188" s="1268">
        <v>4500200060</v>
      </c>
      <c r="E188" s="1234" t="s">
        <v>932</v>
      </c>
      <c r="F188" s="1188" t="s">
        <v>933</v>
      </c>
      <c r="G188" s="1253" t="s">
        <v>389</v>
      </c>
      <c r="H188" s="1234" t="s">
        <v>390</v>
      </c>
      <c r="I188" s="1254">
        <v>7188</v>
      </c>
      <c r="J188" s="1234">
        <v>0</v>
      </c>
      <c r="K188" s="1234">
        <v>12</v>
      </c>
      <c r="L188" s="1246">
        <f t="shared" si="60"/>
        <v>599</v>
      </c>
      <c r="M188" s="1255">
        <v>46178</v>
      </c>
      <c r="N188" s="1255">
        <v>46174</v>
      </c>
      <c r="O188" s="1255"/>
      <c r="P188" s="1233"/>
      <c r="Q188" s="1286" t="s">
        <v>106</v>
      </c>
      <c r="R188" s="1234"/>
      <c r="S188" s="1234" t="s">
        <v>736</v>
      </c>
      <c r="T188" s="1233">
        <v>7188</v>
      </c>
      <c r="U188" s="1233">
        <f t="shared" si="49"/>
        <v>0</v>
      </c>
      <c r="V188" s="1234"/>
      <c r="W188" s="1256">
        <v>46119</v>
      </c>
      <c r="X188" s="1257" t="s">
        <v>107</v>
      </c>
      <c r="Y188" s="1257" t="s">
        <v>930</v>
      </c>
      <c r="Z188" s="1247"/>
      <c r="AA188" s="1247"/>
      <c r="AB188" s="1247"/>
      <c r="AC188" s="1257" t="s">
        <v>785</v>
      </c>
      <c r="AD188" s="1255" t="s">
        <v>393</v>
      </c>
      <c r="AE188" s="1267">
        <v>1.374</v>
      </c>
      <c r="AF188" s="1248">
        <f>I188*AE188</f>
        <v>9876.312</v>
      </c>
      <c r="AG188" s="1249" t="s">
        <v>934</v>
      </c>
      <c r="AH188" s="1253" t="s">
        <v>389</v>
      </c>
      <c r="AI188" s="1234" t="s">
        <v>112</v>
      </c>
      <c r="AJ188" s="1234" t="s">
        <v>113</v>
      </c>
      <c r="AK188" s="1188">
        <f>I188*2</f>
        <v>14376</v>
      </c>
      <c r="AL188" s="1188"/>
      <c r="AM188" s="1188"/>
      <c r="AN188" s="1188"/>
      <c r="AO188" s="1188"/>
      <c r="AP188" s="1188"/>
      <c r="AQ188" s="1240">
        <f>I188*2</f>
        <v>14376</v>
      </c>
      <c r="AR188" s="1188"/>
      <c r="AS188" s="1260"/>
      <c r="AT188" s="1260"/>
      <c r="AU188" s="1188">
        <f>I188*2</f>
        <v>14376</v>
      </c>
      <c r="AV188" s="1250">
        <f t="shared" si="63"/>
        <v>862.56</v>
      </c>
      <c r="AW188" s="1250"/>
      <c r="AX188" s="1188"/>
      <c r="AY188" s="1188"/>
      <c r="AZ188" s="1188"/>
      <c r="BA188" s="1188"/>
      <c r="BB188" s="1188"/>
      <c r="BC188" s="1188"/>
      <c r="BD188" s="1188"/>
      <c r="BE188" s="1188"/>
      <c r="BF188" s="1188"/>
      <c r="BG188" s="1188"/>
      <c r="BH188" s="1188"/>
      <c r="BI188" s="1188"/>
      <c r="BJ188" s="1188"/>
      <c r="BK188" s="1188"/>
      <c r="BL188" s="1188"/>
      <c r="BM188" s="1188"/>
      <c r="BN188" s="1188"/>
      <c r="BO188" s="1240"/>
      <c r="BP188" s="1240"/>
      <c r="BQ188" s="1188"/>
      <c r="BR188" s="1236"/>
      <c r="BS188" s="1188"/>
      <c r="BT188" s="1188"/>
      <c r="BU188" s="1188"/>
      <c r="BV188" s="1240"/>
      <c r="BW188" s="1188"/>
      <c r="BX188" s="1188"/>
      <c r="BY188" s="1188"/>
      <c r="BZ188" s="1188"/>
      <c r="CA188" s="1188"/>
      <c r="CB188" s="1188"/>
      <c r="CC188" s="1188"/>
      <c r="CD188" s="1188">
        <f t="shared" si="42"/>
        <v>0</v>
      </c>
      <c r="CE188" s="1188">
        <f t="shared" si="43"/>
        <v>0</v>
      </c>
      <c r="CF188" s="1188">
        <f t="shared" si="44"/>
        <v>0</v>
      </c>
      <c r="CG188" s="1188">
        <f t="shared" si="45"/>
        <v>0</v>
      </c>
      <c r="CH188" s="1236"/>
      <c r="CI188" s="1236"/>
      <c r="CJ188" s="1236">
        <f>I188</f>
        <v>7188</v>
      </c>
      <c r="CK188" s="1188">
        <f>I188</f>
        <v>7188</v>
      </c>
      <c r="CL188" s="1188">
        <f>I188</f>
        <v>7188</v>
      </c>
    </row>
    <row r="189" s="1168" customFormat="1" ht="31" customHeight="1" spans="1:111">
      <c r="A189" s="1245">
        <v>46122</v>
      </c>
      <c r="B189" s="1247" t="s">
        <v>935</v>
      </c>
      <c r="C189" s="1234" t="s">
        <v>115</v>
      </c>
      <c r="D189" s="1268">
        <v>4500201181</v>
      </c>
      <c r="E189" s="1302">
        <v>12030512316</v>
      </c>
      <c r="F189" s="1188" t="s">
        <v>936</v>
      </c>
      <c r="G189" s="1253" t="s">
        <v>482</v>
      </c>
      <c r="H189" s="1234" t="s">
        <v>483</v>
      </c>
      <c r="I189" s="1254">
        <v>4320</v>
      </c>
      <c r="J189" s="1234">
        <v>0</v>
      </c>
      <c r="K189" s="1234">
        <v>120</v>
      </c>
      <c r="L189" s="1246">
        <f t="shared" si="60"/>
        <v>36</v>
      </c>
      <c r="M189" s="1255">
        <v>46178</v>
      </c>
      <c r="N189" s="1255">
        <v>46174</v>
      </c>
      <c r="O189" s="1255"/>
      <c r="P189" s="1233"/>
      <c r="Q189" s="1286" t="s">
        <v>106</v>
      </c>
      <c r="R189" s="1234" t="s">
        <v>485</v>
      </c>
      <c r="S189" s="1234" t="s">
        <v>736</v>
      </c>
      <c r="T189" s="1233">
        <v>4320</v>
      </c>
      <c r="U189" s="1233">
        <f t="shared" si="49"/>
        <v>0</v>
      </c>
      <c r="V189" s="1234"/>
      <c r="W189" s="1256">
        <v>46155</v>
      </c>
      <c r="X189" s="1257" t="s">
        <v>107</v>
      </c>
      <c r="Y189" s="1257" t="s">
        <v>95</v>
      </c>
      <c r="Z189" s="1247"/>
      <c r="AA189" s="1247"/>
      <c r="AB189" s="1247"/>
      <c r="AC189" s="1247" t="s">
        <v>937</v>
      </c>
      <c r="AD189" s="1255" t="s">
        <v>488</v>
      </c>
      <c r="AE189" s="1267">
        <v>642</v>
      </c>
      <c r="AF189" s="1248">
        <f>L189*AE189</f>
        <v>23112</v>
      </c>
      <c r="AG189" s="1249" t="s">
        <v>938</v>
      </c>
      <c r="AH189" s="1234" t="s">
        <v>490</v>
      </c>
      <c r="AI189" s="1234" t="s">
        <v>112</v>
      </c>
      <c r="AJ189" s="1234" t="s">
        <v>113</v>
      </c>
      <c r="AK189" s="1188"/>
      <c r="AL189" s="1188">
        <f>I189*3</f>
        <v>12960</v>
      </c>
      <c r="AM189" s="1188"/>
      <c r="AN189" s="1188"/>
      <c r="AO189" s="1188"/>
      <c r="AP189" s="1188"/>
      <c r="AQ189" s="1240"/>
      <c r="AR189" s="1188"/>
      <c r="AS189" s="1260"/>
      <c r="AT189" s="1260"/>
      <c r="AU189" s="1188"/>
      <c r="AV189" s="1250">
        <f t="shared" si="63"/>
        <v>518.4</v>
      </c>
      <c r="AW189" s="1250"/>
      <c r="AX189" s="1188"/>
      <c r="AY189" s="1188"/>
      <c r="AZ189" s="1188"/>
      <c r="BA189" s="1188"/>
      <c r="BB189" s="1188">
        <f>I189*3</f>
        <v>12960</v>
      </c>
      <c r="BC189" s="1188">
        <f>I189*3</f>
        <v>12960</v>
      </c>
      <c r="BD189" s="1188">
        <f>I189*3</f>
        <v>12960</v>
      </c>
      <c r="BE189" s="1188">
        <f>I189</f>
        <v>4320</v>
      </c>
      <c r="BF189" s="1188">
        <f>I189/6</f>
        <v>720</v>
      </c>
      <c r="BG189" s="1188"/>
      <c r="BH189" s="1188"/>
      <c r="BI189" s="1188"/>
      <c r="BJ189" s="1188"/>
      <c r="BK189" s="1188"/>
      <c r="BL189" s="1188"/>
      <c r="BM189" s="1188"/>
      <c r="BN189" s="1188"/>
      <c r="BO189" s="1240"/>
      <c r="BP189" s="1240"/>
      <c r="BQ189" s="1188"/>
      <c r="BR189" s="1236"/>
      <c r="BS189" s="1188"/>
      <c r="BT189" s="1188"/>
      <c r="BU189" s="1188"/>
      <c r="BV189" s="1240"/>
      <c r="BW189" s="1188"/>
      <c r="BX189" s="1188"/>
      <c r="BY189" s="1188"/>
      <c r="BZ189" s="1188"/>
      <c r="CA189" s="1188"/>
      <c r="CB189" s="1188"/>
      <c r="CC189" s="1188"/>
      <c r="CD189" s="1188">
        <f t="shared" si="42"/>
        <v>0</v>
      </c>
      <c r="CE189" s="1188">
        <f t="shared" si="43"/>
        <v>0</v>
      </c>
      <c r="CF189" s="1188">
        <f t="shared" si="44"/>
        <v>0</v>
      </c>
      <c r="CG189" s="1188">
        <f t="shared" si="45"/>
        <v>0</v>
      </c>
      <c r="CH189" s="1236"/>
      <c r="CI189" s="1236"/>
      <c r="CJ189" s="1236"/>
      <c r="CK189" s="1188"/>
      <c r="CL189" s="1188"/>
    </row>
    <row r="190" s="1168" customFormat="1" customHeight="1" spans="1:111">
      <c r="A190" s="1245">
        <v>46122</v>
      </c>
      <c r="B190" s="1247" t="s">
        <v>935</v>
      </c>
      <c r="C190" s="1234" t="s">
        <v>115</v>
      </c>
      <c r="D190" s="1268">
        <v>4500201182</v>
      </c>
      <c r="E190" s="1233">
        <v>13540512235</v>
      </c>
      <c r="F190" s="1188" t="s">
        <v>939</v>
      </c>
      <c r="G190" s="1253" t="s">
        <v>482</v>
      </c>
      <c r="H190" s="1234" t="s">
        <v>483</v>
      </c>
      <c r="I190" s="1254">
        <v>4320</v>
      </c>
      <c r="J190" s="1234">
        <v>0</v>
      </c>
      <c r="K190" s="1234">
        <v>120</v>
      </c>
      <c r="L190" s="1246">
        <f t="shared" si="60"/>
        <v>36</v>
      </c>
      <c r="M190" s="1255">
        <v>46178</v>
      </c>
      <c r="N190" s="1255">
        <v>46202</v>
      </c>
      <c r="O190" s="1255"/>
      <c r="P190" s="1233"/>
      <c r="Q190" s="1286" t="s">
        <v>106</v>
      </c>
      <c r="R190" s="1234" t="s">
        <v>485</v>
      </c>
      <c r="S190" s="1234" t="s">
        <v>718</v>
      </c>
      <c r="T190" s="1233">
        <f>3198+1122</f>
        <v>4320</v>
      </c>
      <c r="U190" s="1233">
        <f t="shared" si="49"/>
        <v>0</v>
      </c>
      <c r="V190" s="1234"/>
      <c r="W190" s="1256">
        <v>46155</v>
      </c>
      <c r="X190" s="1257" t="s">
        <v>107</v>
      </c>
      <c r="Y190" s="1257" t="s">
        <v>95</v>
      </c>
      <c r="Z190" s="1247"/>
      <c r="AA190" s="1247"/>
      <c r="AB190" s="1247"/>
      <c r="AC190" s="1247" t="s">
        <v>937</v>
      </c>
      <c r="AD190" s="1248" t="s">
        <v>488</v>
      </c>
      <c r="AE190" s="1247">
        <v>642</v>
      </c>
      <c r="AF190" s="1248">
        <f>L190*AE190</f>
        <v>23112</v>
      </c>
      <c r="AG190" s="1249" t="s">
        <v>940</v>
      </c>
      <c r="AH190" s="1234" t="s">
        <v>490</v>
      </c>
      <c r="AI190" s="1234" t="s">
        <v>112</v>
      </c>
      <c r="AJ190" s="1234" t="s">
        <v>113</v>
      </c>
      <c r="AK190" s="1188"/>
      <c r="AL190" s="1188">
        <f>I190*3</f>
        <v>12960</v>
      </c>
      <c r="AM190" s="1188"/>
      <c r="AN190" s="1188"/>
      <c r="AO190" s="1188"/>
      <c r="AP190" s="1188"/>
      <c r="AQ190" s="1240"/>
      <c r="AR190" s="1188"/>
      <c r="AS190" s="1260"/>
      <c r="AT190" s="1260"/>
      <c r="AU190" s="1188"/>
      <c r="AV190" s="1250">
        <f t="shared" si="63"/>
        <v>518.4</v>
      </c>
      <c r="AW190" s="1250"/>
      <c r="AX190" s="1188"/>
      <c r="AY190" s="1188"/>
      <c r="AZ190" s="1188"/>
      <c r="BA190" s="1188"/>
      <c r="BB190" s="1188">
        <f>I190*3</f>
        <v>12960</v>
      </c>
      <c r="BC190" s="1188">
        <f>I190*3</f>
        <v>12960</v>
      </c>
      <c r="BD190" s="1188">
        <f>I190*3</f>
        <v>12960</v>
      </c>
      <c r="BE190" s="1188">
        <f>I190</f>
        <v>4320</v>
      </c>
      <c r="BF190" s="1188">
        <f>I190/6</f>
        <v>720</v>
      </c>
      <c r="BG190" s="1188"/>
      <c r="BH190" s="1188"/>
      <c r="BI190" s="1188"/>
      <c r="BJ190" s="1188"/>
      <c r="BK190" s="1188"/>
      <c r="BL190" s="1188"/>
      <c r="BM190" s="1188"/>
      <c r="BN190" s="1188"/>
      <c r="BO190" s="1240"/>
      <c r="BP190" s="1240"/>
      <c r="BQ190" s="1188"/>
      <c r="BR190" s="1236"/>
      <c r="BS190" s="1188"/>
      <c r="BT190" s="1188"/>
      <c r="BU190" s="1188"/>
      <c r="BV190" s="1240"/>
      <c r="BW190" s="1188"/>
      <c r="BX190" s="1188"/>
      <c r="BY190" s="1188"/>
      <c r="BZ190" s="1188"/>
      <c r="CA190" s="1188"/>
      <c r="CB190" s="1188"/>
      <c r="CC190" s="1188"/>
      <c r="CD190" s="1188">
        <f t="shared" si="42"/>
        <v>0</v>
      </c>
      <c r="CE190" s="1188">
        <f t="shared" si="43"/>
        <v>0</v>
      </c>
      <c r="CF190" s="1188">
        <f t="shared" si="44"/>
        <v>0</v>
      </c>
      <c r="CG190" s="1188">
        <f t="shared" si="45"/>
        <v>0</v>
      </c>
      <c r="CH190" s="1236"/>
      <c r="CI190" s="1236"/>
      <c r="CJ190" s="1236"/>
      <c r="CK190" s="1188"/>
      <c r="CL190" s="1188"/>
    </row>
    <row r="191" s="1168" customFormat="1" customHeight="1" spans="1:111">
      <c r="A191" s="1245">
        <v>46127</v>
      </c>
      <c r="B191" s="1247" t="s">
        <v>715</v>
      </c>
      <c r="C191" s="1234" t="s">
        <v>148</v>
      </c>
      <c r="D191" s="1188">
        <v>4500202216</v>
      </c>
      <c r="E191" s="1234">
        <v>2000010089</v>
      </c>
      <c r="F191" s="1188" t="s">
        <v>941</v>
      </c>
      <c r="G191" s="1253" t="s">
        <v>188</v>
      </c>
      <c r="H191" s="1234" t="s">
        <v>893</v>
      </c>
      <c r="I191" s="1254">
        <v>2000</v>
      </c>
      <c r="J191" s="1234">
        <v>0</v>
      </c>
      <c r="K191" s="1234">
        <v>50</v>
      </c>
      <c r="L191" s="1246">
        <f t="shared" si="60"/>
        <v>40</v>
      </c>
      <c r="M191" s="1255">
        <v>46178</v>
      </c>
      <c r="N191" s="1255">
        <v>46214</v>
      </c>
      <c r="O191" s="1255"/>
      <c r="P191" s="1233" t="s">
        <v>942</v>
      </c>
      <c r="Q191" s="1286" t="s">
        <v>106</v>
      </c>
      <c r="R191" s="1234"/>
      <c r="S191" s="1234" t="s">
        <v>943</v>
      </c>
      <c r="T191" s="1233">
        <v>2000</v>
      </c>
      <c r="U191" s="1233">
        <f t="shared" si="49"/>
        <v>0</v>
      </c>
      <c r="V191" s="1234"/>
      <c r="W191" s="1256">
        <v>46149</v>
      </c>
      <c r="X191" s="1257" t="s">
        <v>95</v>
      </c>
      <c r="Y191" s="1257" t="s">
        <v>944</v>
      </c>
      <c r="Z191" s="1247" t="s">
        <v>945</v>
      </c>
      <c r="AA191" s="1247"/>
      <c r="AB191" s="1247"/>
      <c r="AC191" s="1247" t="s">
        <v>946</v>
      </c>
      <c r="AD191" s="1248" t="s">
        <v>722</v>
      </c>
      <c r="AE191" s="1247">
        <v>1.089</v>
      </c>
      <c r="AF191" s="1248">
        <f>AE191*I191</f>
        <v>2178</v>
      </c>
      <c r="AG191" s="1258"/>
      <c r="AH191" s="1234" t="s">
        <v>314</v>
      </c>
      <c r="AI191" s="1234" t="s">
        <v>112</v>
      </c>
      <c r="AJ191" s="1234" t="s">
        <v>769</v>
      </c>
      <c r="AK191" s="1188">
        <f>I191</f>
        <v>2000</v>
      </c>
      <c r="AL191" s="1188"/>
      <c r="AM191" s="1188"/>
      <c r="AN191" s="1188"/>
      <c r="AO191" s="1188"/>
      <c r="AP191" s="1188">
        <f>I191</f>
        <v>2000</v>
      </c>
      <c r="AQ191" s="1240"/>
      <c r="AR191" s="1188"/>
      <c r="AS191" s="1260"/>
      <c r="AT191" s="1260"/>
      <c r="AU191" s="1188">
        <f>I191</f>
        <v>2000</v>
      </c>
      <c r="AV191" s="1250">
        <f>I191*0.06</f>
        <v>120</v>
      </c>
      <c r="AW191" s="1250"/>
      <c r="AX191" s="1188">
        <f>I191</f>
        <v>2000</v>
      </c>
      <c r="AY191" s="1188"/>
      <c r="AZ191" s="1188"/>
      <c r="BA191" s="1188"/>
      <c r="BB191" s="1188"/>
      <c r="BC191" s="1188"/>
      <c r="BD191" s="1188"/>
      <c r="BE191" s="1188"/>
      <c r="BF191" s="1188"/>
      <c r="BG191" s="1188"/>
      <c r="BH191" s="1188"/>
      <c r="BI191" s="1188"/>
      <c r="BJ191" s="1188"/>
      <c r="BK191" s="1188"/>
      <c r="BL191" s="1188"/>
      <c r="BM191" s="1188"/>
      <c r="BN191" s="1188"/>
      <c r="BO191" s="1240">
        <f>I191/25</f>
        <v>80</v>
      </c>
      <c r="BP191" s="1240"/>
      <c r="BQ191" s="1188"/>
      <c r="BR191" s="1236"/>
      <c r="BS191" s="1188"/>
      <c r="BT191" s="1188"/>
      <c r="BU191" s="1188"/>
      <c r="BV191" s="1240"/>
      <c r="BW191" s="1188"/>
      <c r="BX191" s="1188"/>
      <c r="BY191" s="1188"/>
      <c r="BZ191" s="1188"/>
      <c r="CA191" s="1188"/>
      <c r="CB191" s="1188"/>
      <c r="CC191" s="1188"/>
      <c r="CD191" s="1188">
        <f t="shared" si="42"/>
        <v>80</v>
      </c>
      <c r="CE191" s="1188">
        <f t="shared" si="43"/>
        <v>0</v>
      </c>
      <c r="CF191" s="1188">
        <f t="shared" si="44"/>
        <v>0</v>
      </c>
      <c r="CG191" s="1188">
        <f t="shared" si="45"/>
        <v>0</v>
      </c>
      <c r="CH191" s="1236"/>
      <c r="CI191" s="1236"/>
      <c r="CJ191" s="1236"/>
      <c r="CK191" s="1188"/>
      <c r="CL191" s="1188"/>
    </row>
    <row r="192" s="1168" customFormat="1" customHeight="1" spans="1:111">
      <c r="A192" s="1245">
        <v>46113</v>
      </c>
      <c r="B192" s="1247" t="s">
        <v>715</v>
      </c>
      <c r="C192" s="1234" t="s">
        <v>148</v>
      </c>
      <c r="D192" s="1268">
        <v>4500199646</v>
      </c>
      <c r="E192" s="1233">
        <v>2000009902</v>
      </c>
      <c r="F192" s="1188" t="s">
        <v>947</v>
      </c>
      <c r="G192" s="1253" t="s">
        <v>803</v>
      </c>
      <c r="H192" s="1234" t="s">
        <v>804</v>
      </c>
      <c r="I192" s="1254">
        <v>2124</v>
      </c>
      <c r="J192" s="1234">
        <v>0</v>
      </c>
      <c r="K192" s="1234">
        <v>6</v>
      </c>
      <c r="L192" s="1246">
        <f t="shared" si="60"/>
        <v>354</v>
      </c>
      <c r="M192" s="1255">
        <v>46178</v>
      </c>
      <c r="N192" s="1255">
        <v>46214</v>
      </c>
      <c r="O192" s="1255" t="s">
        <v>736</v>
      </c>
      <c r="P192" s="1233"/>
      <c r="Q192" s="1286" t="s">
        <v>106</v>
      </c>
      <c r="R192" s="1234"/>
      <c r="S192" s="1234"/>
      <c r="T192" s="1233">
        <v>2124</v>
      </c>
      <c r="U192" s="1233">
        <f t="shared" si="49"/>
        <v>0</v>
      </c>
      <c r="V192" s="1234" t="s">
        <v>120</v>
      </c>
      <c r="W192" s="1256">
        <v>46127</v>
      </c>
      <c r="X192" s="1257" t="s">
        <v>95</v>
      </c>
      <c r="Y192" s="1257" t="s">
        <v>948</v>
      </c>
      <c r="Z192" s="1247" t="s">
        <v>949</v>
      </c>
      <c r="AA192" s="1247"/>
      <c r="AB192" s="1247" t="s">
        <v>950</v>
      </c>
      <c r="AC192" s="1247" t="s">
        <v>951</v>
      </c>
      <c r="AD192" s="1248" t="s">
        <v>722</v>
      </c>
      <c r="AE192" s="1247">
        <v>8.15</v>
      </c>
      <c r="AF192" s="1248">
        <f t="shared" ref="AF192:AF209" si="64">I192*AE192</f>
        <v>17310.6</v>
      </c>
      <c r="AG192" s="1258"/>
      <c r="AH192" s="1234" t="s">
        <v>952</v>
      </c>
      <c r="AI192" s="1234" t="s">
        <v>112</v>
      </c>
      <c r="AJ192" s="1234" t="s">
        <v>113</v>
      </c>
      <c r="AK192" s="1188">
        <f>I192*2</f>
        <v>4248</v>
      </c>
      <c r="AL192" s="1188"/>
      <c r="AM192" s="1188"/>
      <c r="AN192" s="1188"/>
      <c r="AO192" s="1188"/>
      <c r="AP192" s="1188">
        <f>I192*2</f>
        <v>4248</v>
      </c>
      <c r="AQ192" s="1240"/>
      <c r="AR192" s="1188"/>
      <c r="AS192" s="1260"/>
      <c r="AT192" s="1260"/>
      <c r="AU192" s="1188">
        <f>I192*2</f>
        <v>4248</v>
      </c>
      <c r="AV192" s="1250">
        <f>I192*0.06*2</f>
        <v>254.88</v>
      </c>
      <c r="AW192" s="1250"/>
      <c r="AX192" s="1188"/>
      <c r="AY192" s="1188"/>
      <c r="AZ192" s="1188"/>
      <c r="BA192" s="1188"/>
      <c r="BB192" s="1188"/>
      <c r="BC192" s="1188"/>
      <c r="BD192" s="1188"/>
      <c r="BE192" s="1188"/>
      <c r="BF192" s="1188"/>
      <c r="BG192" s="1188"/>
      <c r="BH192" s="1188"/>
      <c r="BI192" s="1188"/>
      <c r="BJ192" s="1188"/>
      <c r="BK192" s="1188"/>
      <c r="BL192" s="1188"/>
      <c r="BM192" s="1188"/>
      <c r="BN192" s="1188"/>
      <c r="BO192" s="1240"/>
      <c r="BP192" s="1240"/>
      <c r="BQ192" s="1188"/>
      <c r="BR192" s="1236"/>
      <c r="BS192" s="1188"/>
      <c r="BT192" s="1188"/>
      <c r="BU192" s="1188"/>
      <c r="BV192" s="1240"/>
      <c r="BW192" s="1188"/>
      <c r="BX192" s="1188"/>
      <c r="BY192" s="1188"/>
      <c r="BZ192" s="1188"/>
      <c r="CA192" s="1188"/>
      <c r="CB192" s="1188"/>
      <c r="CC192" s="1188"/>
      <c r="CD192" s="1188">
        <f t="shared" ref="CD192:CD255" si="65">BN192+BO192+BQ192+BS192+BR192</f>
        <v>0</v>
      </c>
      <c r="CE192" s="1188">
        <f t="shared" ref="CE192:CE255" si="66">BU192</f>
        <v>0</v>
      </c>
      <c r="CF192" s="1188">
        <f t="shared" ref="CF192:CF255" si="67">CC192</f>
        <v>0</v>
      </c>
      <c r="CG192" s="1188">
        <f t="shared" ref="CG192:CG255" si="68">BV192+BW192+BX192</f>
        <v>0</v>
      </c>
      <c r="CH192" s="1236"/>
      <c r="CI192" s="1236"/>
      <c r="CJ192" s="1236"/>
      <c r="CK192" s="1188"/>
      <c r="CL192" s="1188"/>
    </row>
    <row r="193" s="1168" customFormat="1" customHeight="1" spans="1:90">
      <c r="A193" s="1245">
        <v>46080</v>
      </c>
      <c r="B193" s="1247" t="s">
        <v>467</v>
      </c>
      <c r="C193" s="1234" t="s">
        <v>115</v>
      </c>
      <c r="D193" s="1188">
        <v>4500194421</v>
      </c>
      <c r="E193" s="1234">
        <v>7402950</v>
      </c>
      <c r="F193" s="1188" t="s">
        <v>953</v>
      </c>
      <c r="G193" s="1253" t="s">
        <v>248</v>
      </c>
      <c r="H193" s="1234" t="s">
        <v>249</v>
      </c>
      <c r="I193" s="1254">
        <v>954</v>
      </c>
      <c r="J193" s="1234">
        <v>0</v>
      </c>
      <c r="K193" s="1234">
        <v>6</v>
      </c>
      <c r="L193" s="1246">
        <f t="shared" si="60"/>
        <v>159</v>
      </c>
      <c r="M193" s="1255">
        <v>46181</v>
      </c>
      <c r="N193" s="1255">
        <v>46177</v>
      </c>
      <c r="O193" s="1255"/>
      <c r="P193" s="1233" t="s">
        <v>954</v>
      </c>
      <c r="Q193" s="1286" t="s">
        <v>106</v>
      </c>
      <c r="R193" s="1234"/>
      <c r="S193" s="1234"/>
      <c r="T193" s="1233">
        <v>954</v>
      </c>
      <c r="U193" s="1233">
        <f t="shared" si="49"/>
        <v>0</v>
      </c>
      <c r="V193" s="1234"/>
      <c r="W193" s="1256">
        <v>46105</v>
      </c>
      <c r="X193" s="1257" t="s">
        <v>95</v>
      </c>
      <c r="Y193" s="1257" t="s">
        <v>95</v>
      </c>
      <c r="Z193" s="1247"/>
      <c r="AA193" s="1247"/>
      <c r="AB193" s="1247"/>
      <c r="AC193" s="1247" t="s">
        <v>472</v>
      </c>
      <c r="AD193" s="1255" t="s">
        <v>473</v>
      </c>
      <c r="AE193" s="1188">
        <v>1.248</v>
      </c>
      <c r="AF193" s="1248">
        <f t="shared" si="64"/>
        <v>1190.592</v>
      </c>
      <c r="AG193" s="1249" t="s">
        <v>955</v>
      </c>
      <c r="AH193" s="1234" t="s">
        <v>248</v>
      </c>
      <c r="AI193" s="1234" t="s">
        <v>112</v>
      </c>
      <c r="AJ193" s="1234" t="s">
        <v>113</v>
      </c>
      <c r="AK193" s="1188">
        <f t="shared" ref="AK193:AK209" si="69">I193</f>
        <v>954</v>
      </c>
      <c r="AL193" s="1188"/>
      <c r="AM193" s="1188"/>
      <c r="AN193" s="1188">
        <f t="shared" ref="AN193:AN204" si="70">I193</f>
        <v>954</v>
      </c>
      <c r="AO193" s="1188"/>
      <c r="AP193" s="1188"/>
      <c r="AQ193" s="1240"/>
      <c r="AR193" s="1188"/>
      <c r="AS193" s="1260"/>
      <c r="AT193" s="1260"/>
      <c r="AU193" s="1188">
        <f t="shared" ref="AU193:AU204" si="71">I193</f>
        <v>954</v>
      </c>
      <c r="AV193" s="1250">
        <f t="shared" ref="AV193:AV209" si="72">I193*0.06</f>
        <v>57.24</v>
      </c>
      <c r="AW193" s="1250"/>
      <c r="AX193" s="1188"/>
      <c r="AY193" s="1188"/>
      <c r="AZ193" s="1188"/>
      <c r="BA193" s="1188"/>
      <c r="BB193" s="1188"/>
      <c r="BC193" s="1188"/>
      <c r="BD193" s="1188"/>
      <c r="BE193" s="1188"/>
      <c r="BF193" s="1188"/>
      <c r="BG193" s="1188"/>
      <c r="BH193" s="1188"/>
      <c r="BI193" s="1188"/>
      <c r="BJ193" s="1188"/>
      <c r="BK193" s="1188"/>
      <c r="BL193" s="1188"/>
      <c r="BM193" s="1188"/>
      <c r="BN193" s="1188"/>
      <c r="BO193" s="1240"/>
      <c r="BP193" s="1240"/>
      <c r="BQ193" s="1188"/>
      <c r="BR193" s="1236"/>
      <c r="BS193" s="1188"/>
      <c r="BT193" s="1188">
        <f t="shared" ref="BT193:BT204" si="73">I193/6</f>
        <v>159</v>
      </c>
      <c r="BU193" s="1188"/>
      <c r="BV193" s="1240"/>
      <c r="BW193" s="1188"/>
      <c r="BX193" s="1188"/>
      <c r="BY193" s="1188"/>
      <c r="BZ193" s="1188"/>
      <c r="CA193" s="1188"/>
      <c r="CB193" s="1188"/>
      <c r="CC193" s="1188"/>
      <c r="CD193" s="1188">
        <f t="shared" si="65"/>
        <v>0</v>
      </c>
      <c r="CE193" s="1188">
        <f t="shared" si="66"/>
        <v>0</v>
      </c>
      <c r="CF193" s="1188">
        <f t="shared" si="67"/>
        <v>0</v>
      </c>
      <c r="CG193" s="1188">
        <f t="shared" si="68"/>
        <v>0</v>
      </c>
      <c r="CH193" s="1236"/>
      <c r="CI193" s="1236"/>
      <c r="CJ193" s="1236"/>
      <c r="CK193" s="1188"/>
      <c r="CL193" s="1188"/>
    </row>
    <row r="194" s="1168" customFormat="1" customHeight="1" spans="1:90">
      <c r="A194" s="1245">
        <v>46080</v>
      </c>
      <c r="B194" s="1247" t="s">
        <v>467</v>
      </c>
      <c r="C194" s="1234" t="s">
        <v>115</v>
      </c>
      <c r="D194" s="1188">
        <v>4500194421</v>
      </c>
      <c r="E194" s="1234">
        <v>3118912</v>
      </c>
      <c r="F194" s="1188" t="s">
        <v>956</v>
      </c>
      <c r="G194" s="1253" t="s">
        <v>248</v>
      </c>
      <c r="H194" s="1234" t="s">
        <v>249</v>
      </c>
      <c r="I194" s="1254">
        <v>960</v>
      </c>
      <c r="J194" s="1234">
        <v>0</v>
      </c>
      <c r="K194" s="1234">
        <v>6</v>
      </c>
      <c r="L194" s="1246">
        <f t="shared" si="60"/>
        <v>160</v>
      </c>
      <c r="M194" s="1255">
        <v>46181</v>
      </c>
      <c r="N194" s="1255">
        <v>46177</v>
      </c>
      <c r="O194" s="1255"/>
      <c r="P194" s="1233" t="s">
        <v>954</v>
      </c>
      <c r="Q194" s="1286" t="s">
        <v>106</v>
      </c>
      <c r="R194" s="1234"/>
      <c r="S194" s="1234"/>
      <c r="T194" s="1233">
        <v>960</v>
      </c>
      <c r="U194" s="1233">
        <f t="shared" si="49"/>
        <v>0</v>
      </c>
      <c r="V194" s="1234"/>
      <c r="W194" s="1256">
        <v>46105</v>
      </c>
      <c r="X194" s="1257" t="s">
        <v>95</v>
      </c>
      <c r="Y194" s="1257" t="s">
        <v>95</v>
      </c>
      <c r="Z194" s="1247"/>
      <c r="AA194" s="1247"/>
      <c r="AB194" s="1247"/>
      <c r="AC194" s="1247" t="s">
        <v>472</v>
      </c>
      <c r="AD194" s="1255" t="s">
        <v>473</v>
      </c>
      <c r="AE194" s="1188">
        <v>1.248</v>
      </c>
      <c r="AF194" s="1248">
        <f t="shared" si="64"/>
        <v>1198.08</v>
      </c>
      <c r="AG194" s="1249" t="s">
        <v>474</v>
      </c>
      <c r="AH194" s="1234" t="s">
        <v>248</v>
      </c>
      <c r="AI194" s="1234" t="s">
        <v>112</v>
      </c>
      <c r="AJ194" s="1234" t="s">
        <v>113</v>
      </c>
      <c r="AK194" s="1188">
        <f t="shared" si="69"/>
        <v>960</v>
      </c>
      <c r="AL194" s="1188"/>
      <c r="AM194" s="1188"/>
      <c r="AN194" s="1188">
        <f t="shared" si="70"/>
        <v>960</v>
      </c>
      <c r="AO194" s="1188"/>
      <c r="AP194" s="1188"/>
      <c r="AQ194" s="1240"/>
      <c r="AR194" s="1188"/>
      <c r="AS194" s="1236"/>
      <c r="AT194" s="1236"/>
      <c r="AU194" s="1188">
        <f t="shared" si="71"/>
        <v>960</v>
      </c>
      <c r="AV194" s="1250">
        <f t="shared" si="72"/>
        <v>57.6</v>
      </c>
      <c r="AW194" s="1250"/>
      <c r="AX194" s="1188"/>
      <c r="AY194" s="1188"/>
      <c r="AZ194" s="1188"/>
      <c r="BA194" s="1188"/>
      <c r="BB194" s="1188"/>
      <c r="BC194" s="1188"/>
      <c r="BD194" s="1188"/>
      <c r="BE194" s="1188"/>
      <c r="BF194" s="1188"/>
      <c r="BG194" s="1188"/>
      <c r="BH194" s="1188"/>
      <c r="BI194" s="1188"/>
      <c r="BJ194" s="1188"/>
      <c r="BK194" s="1188"/>
      <c r="BL194" s="1188"/>
      <c r="BM194" s="1188"/>
      <c r="BN194" s="1188"/>
      <c r="BO194" s="1240"/>
      <c r="BP194" s="1240"/>
      <c r="BQ194" s="1188"/>
      <c r="BR194" s="1236"/>
      <c r="BS194" s="1188"/>
      <c r="BT194" s="1188">
        <f t="shared" si="73"/>
        <v>160</v>
      </c>
      <c r="BU194" s="1188"/>
      <c r="BV194" s="1240"/>
      <c r="BW194" s="1188"/>
      <c r="BX194" s="1188"/>
      <c r="BY194" s="1188"/>
      <c r="BZ194" s="1188"/>
      <c r="CA194" s="1188"/>
      <c r="CB194" s="1188"/>
      <c r="CC194" s="1188"/>
      <c r="CD194" s="1188">
        <f t="shared" si="65"/>
        <v>0</v>
      </c>
      <c r="CE194" s="1188">
        <f t="shared" si="66"/>
        <v>0</v>
      </c>
      <c r="CF194" s="1188">
        <f t="shared" si="67"/>
        <v>0</v>
      </c>
      <c r="CG194" s="1188">
        <f t="shared" si="68"/>
        <v>0</v>
      </c>
      <c r="CH194" s="1236"/>
      <c r="CI194" s="1236"/>
      <c r="CJ194" s="1236"/>
      <c r="CK194" s="1188"/>
      <c r="CL194" s="1188"/>
    </row>
    <row r="195" s="1168" customFormat="1" ht="31" customHeight="1" spans="1:90">
      <c r="A195" s="1245">
        <v>46080</v>
      </c>
      <c r="B195" s="1247" t="s">
        <v>467</v>
      </c>
      <c r="C195" s="1234" t="s">
        <v>115</v>
      </c>
      <c r="D195" s="1188">
        <v>4500194421</v>
      </c>
      <c r="E195" s="1234">
        <v>2814991</v>
      </c>
      <c r="F195" s="1188" t="s">
        <v>957</v>
      </c>
      <c r="G195" s="1253" t="s">
        <v>248</v>
      </c>
      <c r="H195" s="1234" t="s">
        <v>249</v>
      </c>
      <c r="I195" s="1254">
        <v>3168</v>
      </c>
      <c r="J195" s="1234">
        <v>0</v>
      </c>
      <c r="K195" s="1234">
        <v>6</v>
      </c>
      <c r="L195" s="1246">
        <f t="shared" si="60"/>
        <v>528</v>
      </c>
      <c r="M195" s="1255">
        <v>46181</v>
      </c>
      <c r="N195" s="1255">
        <v>46177</v>
      </c>
      <c r="O195" s="1255"/>
      <c r="P195" s="1233" t="s">
        <v>954</v>
      </c>
      <c r="Q195" s="1286" t="s">
        <v>106</v>
      </c>
      <c r="R195" s="1234"/>
      <c r="S195" s="1234"/>
      <c r="T195" s="1233">
        <v>3168</v>
      </c>
      <c r="U195" s="1233">
        <f t="shared" si="49"/>
        <v>0</v>
      </c>
      <c r="V195" s="1234"/>
      <c r="W195" s="1256">
        <v>46105</v>
      </c>
      <c r="X195" s="1257" t="s">
        <v>95</v>
      </c>
      <c r="Y195" s="1257" t="s">
        <v>95</v>
      </c>
      <c r="Z195" s="1247"/>
      <c r="AA195" s="1247"/>
      <c r="AB195" s="1247"/>
      <c r="AC195" s="1247" t="s">
        <v>472</v>
      </c>
      <c r="AD195" s="1255" t="s">
        <v>473</v>
      </c>
      <c r="AE195" s="1188">
        <v>1.248</v>
      </c>
      <c r="AF195" s="1248">
        <f t="shared" si="64"/>
        <v>3953.664</v>
      </c>
      <c r="AG195" s="1249" t="s">
        <v>474</v>
      </c>
      <c r="AH195" s="1234" t="s">
        <v>248</v>
      </c>
      <c r="AI195" s="1234" t="s">
        <v>112</v>
      </c>
      <c r="AJ195" s="1234" t="s">
        <v>113</v>
      </c>
      <c r="AK195" s="1188">
        <f t="shared" si="69"/>
        <v>3168</v>
      </c>
      <c r="AL195" s="1188"/>
      <c r="AM195" s="1188"/>
      <c r="AN195" s="1188">
        <f t="shared" si="70"/>
        <v>3168</v>
      </c>
      <c r="AO195" s="1188"/>
      <c r="AP195" s="1188"/>
      <c r="AQ195" s="1240"/>
      <c r="AR195" s="1188"/>
      <c r="AS195" s="1236"/>
      <c r="AT195" s="1236"/>
      <c r="AU195" s="1188">
        <f t="shared" si="71"/>
        <v>3168</v>
      </c>
      <c r="AV195" s="1250">
        <f t="shared" si="72"/>
        <v>190.08</v>
      </c>
      <c r="AW195" s="1250"/>
      <c r="AX195" s="1188"/>
      <c r="AY195" s="1188"/>
      <c r="AZ195" s="1188"/>
      <c r="BA195" s="1188"/>
      <c r="BB195" s="1188"/>
      <c r="BC195" s="1188"/>
      <c r="BD195" s="1188"/>
      <c r="BE195" s="1188"/>
      <c r="BF195" s="1188"/>
      <c r="BG195" s="1188"/>
      <c r="BH195" s="1188"/>
      <c r="BI195" s="1188"/>
      <c r="BJ195" s="1188"/>
      <c r="BK195" s="1188"/>
      <c r="BL195" s="1188"/>
      <c r="BM195" s="1188"/>
      <c r="BN195" s="1188"/>
      <c r="BO195" s="1240"/>
      <c r="BP195" s="1240"/>
      <c r="BQ195" s="1188"/>
      <c r="BR195" s="1236"/>
      <c r="BS195" s="1236"/>
      <c r="BT195" s="1188">
        <f t="shared" si="73"/>
        <v>528</v>
      </c>
      <c r="BU195" s="1188"/>
      <c r="BV195" s="1240"/>
      <c r="BW195" s="1188"/>
      <c r="BX195" s="1188"/>
      <c r="BY195" s="1188"/>
      <c r="BZ195" s="1188"/>
      <c r="CA195" s="1188"/>
      <c r="CB195" s="1188"/>
      <c r="CC195" s="1188"/>
      <c r="CD195" s="1188">
        <f t="shared" si="65"/>
        <v>0</v>
      </c>
      <c r="CE195" s="1188">
        <f t="shared" si="66"/>
        <v>0</v>
      </c>
      <c r="CF195" s="1188">
        <f t="shared" si="67"/>
        <v>0</v>
      </c>
      <c r="CG195" s="1188">
        <f t="shared" si="68"/>
        <v>0</v>
      </c>
      <c r="CH195" s="1236"/>
      <c r="CI195" s="1236"/>
      <c r="CJ195" s="1236"/>
      <c r="CK195" s="1188"/>
      <c r="CL195" s="1188"/>
    </row>
    <row r="196" s="1168" customFormat="1" customHeight="1" spans="1:90">
      <c r="A196" s="1245">
        <v>46080</v>
      </c>
      <c r="B196" s="1247" t="s">
        <v>467</v>
      </c>
      <c r="C196" s="1234" t="s">
        <v>115</v>
      </c>
      <c r="D196" s="1188">
        <v>4500194421</v>
      </c>
      <c r="E196" s="1234">
        <v>1204936</v>
      </c>
      <c r="F196" s="1188" t="s">
        <v>958</v>
      </c>
      <c r="G196" s="1253" t="s">
        <v>248</v>
      </c>
      <c r="H196" s="1234" t="s">
        <v>249</v>
      </c>
      <c r="I196" s="1254">
        <v>3348</v>
      </c>
      <c r="J196" s="1234">
        <v>0</v>
      </c>
      <c r="K196" s="1234">
        <v>6</v>
      </c>
      <c r="L196" s="1246">
        <f t="shared" si="60"/>
        <v>558</v>
      </c>
      <c r="M196" s="1255">
        <v>46181</v>
      </c>
      <c r="N196" s="1255">
        <v>46177</v>
      </c>
      <c r="O196" s="1255"/>
      <c r="P196" s="1233" t="s">
        <v>954</v>
      </c>
      <c r="Q196" s="1286" t="s">
        <v>106</v>
      </c>
      <c r="R196" s="1234"/>
      <c r="S196" s="1234"/>
      <c r="T196" s="1233">
        <v>3348</v>
      </c>
      <c r="U196" s="1233">
        <f t="shared" si="49"/>
        <v>0</v>
      </c>
      <c r="V196" s="1234"/>
      <c r="W196" s="1238">
        <v>46105</v>
      </c>
      <c r="X196" s="1227" t="s">
        <v>95</v>
      </c>
      <c r="Y196" s="1227" t="s">
        <v>95</v>
      </c>
      <c r="Z196" s="1247"/>
      <c r="AA196" s="1247"/>
      <c r="AB196" s="1247"/>
      <c r="AC196" s="1247" t="s">
        <v>472</v>
      </c>
      <c r="AD196" s="1255" t="s">
        <v>473</v>
      </c>
      <c r="AE196" s="1188">
        <v>1.248</v>
      </c>
      <c r="AF196" s="1248">
        <f t="shared" si="64"/>
        <v>4178.304</v>
      </c>
      <c r="AG196" s="1249" t="s">
        <v>474</v>
      </c>
      <c r="AH196" s="1234" t="s">
        <v>248</v>
      </c>
      <c r="AI196" s="1234" t="s">
        <v>112</v>
      </c>
      <c r="AJ196" s="1234" t="s">
        <v>113</v>
      </c>
      <c r="AK196" s="1188">
        <f t="shared" si="69"/>
        <v>3348</v>
      </c>
      <c r="AL196" s="1188"/>
      <c r="AM196" s="1188"/>
      <c r="AN196" s="1188">
        <f t="shared" si="70"/>
        <v>3348</v>
      </c>
      <c r="AO196" s="1188"/>
      <c r="AP196" s="1188"/>
      <c r="AQ196" s="1240"/>
      <c r="AR196" s="1188"/>
      <c r="AS196" s="1236"/>
      <c r="AT196" s="1236"/>
      <c r="AU196" s="1188">
        <f t="shared" si="71"/>
        <v>3348</v>
      </c>
      <c r="AV196" s="1250">
        <f t="shared" si="72"/>
        <v>200.88</v>
      </c>
      <c r="AW196" s="1250"/>
      <c r="AX196" s="1188"/>
      <c r="AY196" s="1188"/>
      <c r="AZ196" s="1188"/>
      <c r="BA196" s="1188"/>
      <c r="BB196" s="1188"/>
      <c r="BC196" s="1188"/>
      <c r="BD196" s="1188"/>
      <c r="BE196" s="1188"/>
      <c r="BF196" s="1188"/>
      <c r="BG196" s="1188"/>
      <c r="BH196" s="1188"/>
      <c r="BI196" s="1188"/>
      <c r="BJ196" s="1188"/>
      <c r="BK196" s="1188"/>
      <c r="BL196" s="1188"/>
      <c r="BM196" s="1188"/>
      <c r="BN196" s="1188"/>
      <c r="BO196" s="1240"/>
      <c r="BP196" s="1240"/>
      <c r="BQ196" s="1188"/>
      <c r="BR196" s="1236"/>
      <c r="BS196" s="1236"/>
      <c r="BT196" s="1188">
        <f t="shared" si="73"/>
        <v>558</v>
      </c>
      <c r="BU196" s="1188"/>
      <c r="BV196" s="1240"/>
      <c r="BW196" s="1188"/>
      <c r="BX196" s="1188"/>
      <c r="BY196" s="1188"/>
      <c r="BZ196" s="1188"/>
      <c r="CA196" s="1188"/>
      <c r="CB196" s="1188"/>
      <c r="CC196" s="1188"/>
      <c r="CD196" s="1188">
        <f t="shared" si="65"/>
        <v>0</v>
      </c>
      <c r="CE196" s="1188">
        <f t="shared" si="66"/>
        <v>0</v>
      </c>
      <c r="CF196" s="1188">
        <f t="shared" si="67"/>
        <v>0</v>
      </c>
      <c r="CG196" s="1188">
        <f t="shared" si="68"/>
        <v>0</v>
      </c>
      <c r="CH196" s="1236"/>
      <c r="CI196" s="1236"/>
      <c r="CJ196" s="1236"/>
      <c r="CK196" s="1188"/>
      <c r="CL196" s="1188"/>
    </row>
    <row r="197" s="1168" customFormat="1" customHeight="1" spans="1:90">
      <c r="A197" s="1245">
        <v>46080</v>
      </c>
      <c r="B197" s="1247" t="s">
        <v>467</v>
      </c>
      <c r="C197" s="1234" t="s">
        <v>115</v>
      </c>
      <c r="D197" s="1188">
        <v>4500194421</v>
      </c>
      <c r="E197" s="1234">
        <v>5452983</v>
      </c>
      <c r="F197" s="1188" t="s">
        <v>959</v>
      </c>
      <c r="G197" s="1253" t="s">
        <v>248</v>
      </c>
      <c r="H197" s="1234" t="s">
        <v>249</v>
      </c>
      <c r="I197" s="1254">
        <v>786</v>
      </c>
      <c r="J197" s="1234">
        <v>0</v>
      </c>
      <c r="K197" s="1234">
        <v>6</v>
      </c>
      <c r="L197" s="1246">
        <f t="shared" si="60"/>
        <v>131</v>
      </c>
      <c r="M197" s="1255">
        <v>46181</v>
      </c>
      <c r="N197" s="1255">
        <v>46177</v>
      </c>
      <c r="O197" s="1255"/>
      <c r="P197" s="1233" t="s">
        <v>954</v>
      </c>
      <c r="Q197" s="1286" t="s">
        <v>106</v>
      </c>
      <c r="R197" s="1234"/>
      <c r="S197" s="1234"/>
      <c r="T197" s="1233">
        <v>786</v>
      </c>
      <c r="U197" s="1233">
        <f t="shared" si="49"/>
        <v>0</v>
      </c>
      <c r="V197" s="1234"/>
      <c r="W197" s="1238">
        <v>46105</v>
      </c>
      <c r="X197" s="1227" t="s">
        <v>95</v>
      </c>
      <c r="Y197" s="1227" t="s">
        <v>95</v>
      </c>
      <c r="Z197" s="1247"/>
      <c r="AA197" s="1247"/>
      <c r="AB197" s="1247"/>
      <c r="AC197" s="1247" t="s">
        <v>472</v>
      </c>
      <c r="AD197" s="1255" t="s">
        <v>473</v>
      </c>
      <c r="AE197" s="1188">
        <v>1.248</v>
      </c>
      <c r="AF197" s="1248">
        <f t="shared" si="64"/>
        <v>980.928</v>
      </c>
      <c r="AG197" s="1249" t="s">
        <v>955</v>
      </c>
      <c r="AH197" s="1234" t="s">
        <v>248</v>
      </c>
      <c r="AI197" s="1234" t="s">
        <v>112</v>
      </c>
      <c r="AJ197" s="1234" t="s">
        <v>113</v>
      </c>
      <c r="AK197" s="1188">
        <f t="shared" si="69"/>
        <v>786</v>
      </c>
      <c r="AL197" s="1188"/>
      <c r="AM197" s="1188"/>
      <c r="AN197" s="1188">
        <f t="shared" si="70"/>
        <v>786</v>
      </c>
      <c r="AO197" s="1188"/>
      <c r="AP197" s="1188"/>
      <c r="AQ197" s="1240"/>
      <c r="AR197" s="1188"/>
      <c r="AS197" s="1236"/>
      <c r="AT197" s="1236"/>
      <c r="AU197" s="1188">
        <f t="shared" si="71"/>
        <v>786</v>
      </c>
      <c r="AV197" s="1250">
        <f t="shared" si="72"/>
        <v>47.16</v>
      </c>
      <c r="AW197" s="1250"/>
      <c r="AX197" s="1188"/>
      <c r="AY197" s="1188"/>
      <c r="AZ197" s="1188"/>
      <c r="BA197" s="1188"/>
      <c r="BB197" s="1188"/>
      <c r="BC197" s="1188"/>
      <c r="BD197" s="1188"/>
      <c r="BE197" s="1188"/>
      <c r="BF197" s="1188"/>
      <c r="BG197" s="1188"/>
      <c r="BH197" s="1188"/>
      <c r="BI197" s="1188"/>
      <c r="BJ197" s="1188"/>
      <c r="BK197" s="1188"/>
      <c r="BL197" s="1188"/>
      <c r="BM197" s="1188"/>
      <c r="BN197" s="1188"/>
      <c r="BO197" s="1240"/>
      <c r="BP197" s="1240"/>
      <c r="BQ197" s="1188"/>
      <c r="BR197" s="1236"/>
      <c r="BS197" s="1236"/>
      <c r="BT197" s="1188">
        <f t="shared" si="73"/>
        <v>131</v>
      </c>
      <c r="BU197" s="1188"/>
      <c r="BV197" s="1240"/>
      <c r="BW197" s="1188"/>
      <c r="BX197" s="1188"/>
      <c r="BY197" s="1188"/>
      <c r="BZ197" s="1188"/>
      <c r="CA197" s="1188"/>
      <c r="CB197" s="1188"/>
      <c r="CC197" s="1188"/>
      <c r="CD197" s="1188">
        <f t="shared" si="65"/>
        <v>0</v>
      </c>
      <c r="CE197" s="1188">
        <f t="shared" si="66"/>
        <v>0</v>
      </c>
      <c r="CF197" s="1188">
        <f t="shared" si="67"/>
        <v>0</v>
      </c>
      <c r="CG197" s="1188">
        <f t="shared" si="68"/>
        <v>0</v>
      </c>
      <c r="CH197" s="1236"/>
      <c r="CI197" s="1236"/>
      <c r="CJ197" s="1236"/>
      <c r="CK197" s="1188"/>
      <c r="CL197" s="1188"/>
    </row>
    <row r="198" s="1168" customFormat="1" customHeight="1" spans="1:90">
      <c r="A198" s="1245">
        <v>46080</v>
      </c>
      <c r="B198" s="1247" t="s">
        <v>467</v>
      </c>
      <c r="C198" s="1234" t="s">
        <v>115</v>
      </c>
      <c r="D198" s="1188">
        <v>4500194421</v>
      </c>
      <c r="E198" s="1234">
        <v>572666</v>
      </c>
      <c r="F198" s="1188" t="s">
        <v>960</v>
      </c>
      <c r="G198" s="1253" t="s">
        <v>248</v>
      </c>
      <c r="H198" s="1234" t="s">
        <v>249</v>
      </c>
      <c r="I198" s="1254">
        <v>426</v>
      </c>
      <c r="J198" s="1234">
        <v>0</v>
      </c>
      <c r="K198" s="1234">
        <v>6</v>
      </c>
      <c r="L198" s="1246">
        <f t="shared" si="60"/>
        <v>71</v>
      </c>
      <c r="M198" s="1255">
        <v>46181</v>
      </c>
      <c r="N198" s="1255">
        <v>46177</v>
      </c>
      <c r="O198" s="1255"/>
      <c r="P198" s="1233" t="s">
        <v>954</v>
      </c>
      <c r="Q198" s="1286" t="s">
        <v>106</v>
      </c>
      <c r="R198" s="1234"/>
      <c r="S198" s="1234"/>
      <c r="T198" s="1233">
        <v>426</v>
      </c>
      <c r="U198" s="1233">
        <f t="shared" si="49"/>
        <v>0</v>
      </c>
      <c r="V198" s="1234"/>
      <c r="W198" s="1238">
        <v>46105</v>
      </c>
      <c r="X198" s="1227" t="s">
        <v>95</v>
      </c>
      <c r="Y198" s="1227" t="s">
        <v>95</v>
      </c>
      <c r="Z198" s="1247"/>
      <c r="AA198" s="1247"/>
      <c r="AB198" s="1247"/>
      <c r="AC198" s="1247" t="s">
        <v>472</v>
      </c>
      <c r="AD198" s="1255" t="s">
        <v>473</v>
      </c>
      <c r="AE198" s="1188">
        <v>1.248</v>
      </c>
      <c r="AF198" s="1248">
        <f t="shared" si="64"/>
        <v>531.648</v>
      </c>
      <c r="AG198" s="1249" t="s">
        <v>955</v>
      </c>
      <c r="AH198" s="1234" t="s">
        <v>248</v>
      </c>
      <c r="AI198" s="1234" t="s">
        <v>112</v>
      </c>
      <c r="AJ198" s="1234" t="s">
        <v>113</v>
      </c>
      <c r="AK198" s="1188">
        <f t="shared" si="69"/>
        <v>426</v>
      </c>
      <c r="AL198" s="1188"/>
      <c r="AM198" s="1188"/>
      <c r="AN198" s="1188">
        <f t="shared" si="70"/>
        <v>426</v>
      </c>
      <c r="AO198" s="1188"/>
      <c r="AP198" s="1188"/>
      <c r="AQ198" s="1240"/>
      <c r="AR198" s="1188"/>
      <c r="AS198" s="1236"/>
      <c r="AT198" s="1236"/>
      <c r="AU198" s="1188">
        <f t="shared" si="71"/>
        <v>426</v>
      </c>
      <c r="AV198" s="1250">
        <f t="shared" si="72"/>
        <v>25.56</v>
      </c>
      <c r="AW198" s="1250"/>
      <c r="AX198" s="1188"/>
      <c r="AY198" s="1188"/>
      <c r="AZ198" s="1188"/>
      <c r="BA198" s="1188"/>
      <c r="BB198" s="1188"/>
      <c r="BC198" s="1188"/>
      <c r="BD198" s="1188"/>
      <c r="BE198" s="1188"/>
      <c r="BF198" s="1188"/>
      <c r="BG198" s="1188"/>
      <c r="BH198" s="1188"/>
      <c r="BI198" s="1188"/>
      <c r="BJ198" s="1188"/>
      <c r="BK198" s="1188"/>
      <c r="BL198" s="1188"/>
      <c r="BM198" s="1188"/>
      <c r="BN198" s="1188"/>
      <c r="BO198" s="1240"/>
      <c r="BP198" s="1240"/>
      <c r="BQ198" s="1188"/>
      <c r="BR198" s="1236"/>
      <c r="BS198" s="1236"/>
      <c r="BT198" s="1188">
        <f t="shared" si="73"/>
        <v>71</v>
      </c>
      <c r="BU198" s="1188"/>
      <c r="BV198" s="1240"/>
      <c r="BW198" s="1188"/>
      <c r="BX198" s="1188"/>
      <c r="BY198" s="1188"/>
      <c r="BZ198" s="1188"/>
      <c r="CA198" s="1188"/>
      <c r="CB198" s="1188"/>
      <c r="CC198" s="1188"/>
      <c r="CD198" s="1188">
        <f t="shared" si="65"/>
        <v>0</v>
      </c>
      <c r="CE198" s="1188">
        <f t="shared" si="66"/>
        <v>0</v>
      </c>
      <c r="CF198" s="1188">
        <f t="shared" si="67"/>
        <v>0</v>
      </c>
      <c r="CG198" s="1188">
        <f t="shared" si="68"/>
        <v>0</v>
      </c>
      <c r="CH198" s="1236"/>
      <c r="CI198" s="1236"/>
      <c r="CJ198" s="1236"/>
      <c r="CK198" s="1188"/>
      <c r="CL198" s="1188"/>
    </row>
    <row r="199" s="1168" customFormat="1" customHeight="1" spans="1:90">
      <c r="A199" s="1245">
        <v>46080</v>
      </c>
      <c r="B199" s="1247" t="s">
        <v>467</v>
      </c>
      <c r="C199" s="1234" t="s">
        <v>115</v>
      </c>
      <c r="D199" s="1188">
        <v>4500194421</v>
      </c>
      <c r="E199" s="1234">
        <v>8567405</v>
      </c>
      <c r="F199" s="1188" t="s">
        <v>961</v>
      </c>
      <c r="G199" s="1253" t="s">
        <v>248</v>
      </c>
      <c r="H199" s="1234" t="s">
        <v>249</v>
      </c>
      <c r="I199" s="1254">
        <v>1032</v>
      </c>
      <c r="J199" s="1234">
        <v>0</v>
      </c>
      <c r="K199" s="1234">
        <v>6</v>
      </c>
      <c r="L199" s="1246">
        <f t="shared" si="60"/>
        <v>172</v>
      </c>
      <c r="M199" s="1255">
        <v>46181</v>
      </c>
      <c r="N199" s="1255">
        <v>46177</v>
      </c>
      <c r="O199" s="1255"/>
      <c r="P199" s="1233" t="s">
        <v>954</v>
      </c>
      <c r="Q199" s="1286" t="s">
        <v>106</v>
      </c>
      <c r="R199" s="1234"/>
      <c r="S199" s="1234"/>
      <c r="T199" s="1233">
        <v>1032</v>
      </c>
      <c r="U199" s="1233">
        <f t="shared" si="49"/>
        <v>0</v>
      </c>
      <c r="V199" s="1234"/>
      <c r="W199" s="1238">
        <v>46105</v>
      </c>
      <c r="X199" s="1227" t="s">
        <v>95</v>
      </c>
      <c r="Y199" s="1227" t="s">
        <v>95</v>
      </c>
      <c r="Z199" s="1247"/>
      <c r="AA199" s="1247"/>
      <c r="AB199" s="1247"/>
      <c r="AC199" s="1247" t="s">
        <v>472</v>
      </c>
      <c r="AD199" s="1255" t="s">
        <v>473</v>
      </c>
      <c r="AE199" s="1188">
        <v>1.248</v>
      </c>
      <c r="AF199" s="1248">
        <f t="shared" si="64"/>
        <v>1287.936</v>
      </c>
      <c r="AG199" s="1249" t="s">
        <v>955</v>
      </c>
      <c r="AH199" s="1234" t="s">
        <v>248</v>
      </c>
      <c r="AI199" s="1234" t="s">
        <v>112</v>
      </c>
      <c r="AJ199" s="1234" t="s">
        <v>113</v>
      </c>
      <c r="AK199" s="1188">
        <f t="shared" si="69"/>
        <v>1032</v>
      </c>
      <c r="AL199" s="1188"/>
      <c r="AM199" s="1188"/>
      <c r="AN199" s="1188">
        <f t="shared" si="70"/>
        <v>1032</v>
      </c>
      <c r="AO199" s="1188"/>
      <c r="AP199" s="1188"/>
      <c r="AQ199" s="1240"/>
      <c r="AR199" s="1188"/>
      <c r="AS199" s="1236"/>
      <c r="AT199" s="1236"/>
      <c r="AU199" s="1188">
        <f t="shared" si="71"/>
        <v>1032</v>
      </c>
      <c r="AV199" s="1250">
        <f t="shared" si="72"/>
        <v>61.92</v>
      </c>
      <c r="AW199" s="1250"/>
      <c r="AX199" s="1188"/>
      <c r="AY199" s="1188"/>
      <c r="AZ199" s="1188"/>
      <c r="BA199" s="1188"/>
      <c r="BB199" s="1188"/>
      <c r="BC199" s="1188"/>
      <c r="BD199" s="1188"/>
      <c r="BE199" s="1188"/>
      <c r="BF199" s="1188"/>
      <c r="BG199" s="1188"/>
      <c r="BH199" s="1188"/>
      <c r="BI199" s="1188"/>
      <c r="BJ199" s="1188"/>
      <c r="BK199" s="1188"/>
      <c r="BL199" s="1188"/>
      <c r="BM199" s="1188"/>
      <c r="BN199" s="1188"/>
      <c r="BO199" s="1240"/>
      <c r="BP199" s="1240"/>
      <c r="BQ199" s="1188"/>
      <c r="BR199" s="1236"/>
      <c r="BS199" s="1236"/>
      <c r="BT199" s="1188">
        <f t="shared" si="73"/>
        <v>172</v>
      </c>
      <c r="BU199" s="1188"/>
      <c r="BV199" s="1240"/>
      <c r="BW199" s="1188"/>
      <c r="BX199" s="1188"/>
      <c r="BY199" s="1188"/>
      <c r="BZ199" s="1188"/>
      <c r="CA199" s="1188"/>
      <c r="CB199" s="1188"/>
      <c r="CC199" s="1188"/>
      <c r="CD199" s="1188">
        <f t="shared" si="65"/>
        <v>0</v>
      </c>
      <c r="CE199" s="1188">
        <f t="shared" si="66"/>
        <v>0</v>
      </c>
      <c r="CF199" s="1188">
        <f t="shared" si="67"/>
        <v>0</v>
      </c>
      <c r="CG199" s="1188">
        <f t="shared" si="68"/>
        <v>0</v>
      </c>
      <c r="CH199" s="1236"/>
      <c r="CI199" s="1236"/>
      <c r="CJ199" s="1236"/>
      <c r="CK199" s="1188"/>
      <c r="CL199" s="1188"/>
    </row>
    <row r="200" s="1168" customFormat="1" customHeight="1" spans="1:90">
      <c r="A200" s="1245">
        <v>46080</v>
      </c>
      <c r="B200" s="1247" t="s">
        <v>467</v>
      </c>
      <c r="C200" s="1234" t="s">
        <v>115</v>
      </c>
      <c r="D200" s="1188">
        <v>4500194421</v>
      </c>
      <c r="E200" s="1234">
        <v>9637199</v>
      </c>
      <c r="F200" s="1234">
        <v>9637199</v>
      </c>
      <c r="G200" s="1253" t="s">
        <v>248</v>
      </c>
      <c r="H200" s="1234" t="s">
        <v>249</v>
      </c>
      <c r="I200" s="1254">
        <v>1026</v>
      </c>
      <c r="J200" s="1234">
        <v>0</v>
      </c>
      <c r="K200" s="1234">
        <v>6</v>
      </c>
      <c r="L200" s="1246">
        <f t="shared" si="60"/>
        <v>171</v>
      </c>
      <c r="M200" s="1255">
        <v>46181</v>
      </c>
      <c r="N200" s="1255">
        <v>46177</v>
      </c>
      <c r="O200" s="1255"/>
      <c r="P200" s="1233" t="s">
        <v>954</v>
      </c>
      <c r="Q200" s="1286" t="s">
        <v>106</v>
      </c>
      <c r="R200" s="1234"/>
      <c r="S200" s="1234"/>
      <c r="T200" s="1233">
        <v>1026</v>
      </c>
      <c r="U200" s="1233">
        <f t="shared" si="49"/>
        <v>0</v>
      </c>
      <c r="V200" s="1234"/>
      <c r="W200" s="1256">
        <v>46105</v>
      </c>
      <c r="X200" s="1257" t="s">
        <v>95</v>
      </c>
      <c r="Y200" s="1257" t="s">
        <v>95</v>
      </c>
      <c r="Z200" s="1247"/>
      <c r="AA200" s="1247"/>
      <c r="AB200" s="1247"/>
      <c r="AC200" s="1247" t="s">
        <v>472</v>
      </c>
      <c r="AD200" s="1255" t="s">
        <v>473</v>
      </c>
      <c r="AE200" s="1188">
        <v>1.248</v>
      </c>
      <c r="AF200" s="1248">
        <f t="shared" si="64"/>
        <v>1280.448</v>
      </c>
      <c r="AG200" s="1249" t="s">
        <v>955</v>
      </c>
      <c r="AH200" s="1234" t="s">
        <v>248</v>
      </c>
      <c r="AI200" s="1234" t="s">
        <v>112</v>
      </c>
      <c r="AJ200" s="1234" t="s">
        <v>113</v>
      </c>
      <c r="AK200" s="1188">
        <f t="shared" si="69"/>
        <v>1026</v>
      </c>
      <c r="AL200" s="1188"/>
      <c r="AM200" s="1188"/>
      <c r="AN200" s="1188">
        <f t="shared" si="70"/>
        <v>1026</v>
      </c>
      <c r="AO200" s="1188"/>
      <c r="AP200" s="1188"/>
      <c r="AQ200" s="1240"/>
      <c r="AR200" s="1188"/>
      <c r="AS200" s="1236"/>
      <c r="AT200" s="1236"/>
      <c r="AU200" s="1188">
        <f t="shared" si="71"/>
        <v>1026</v>
      </c>
      <c r="AV200" s="1250">
        <f t="shared" si="72"/>
        <v>61.56</v>
      </c>
      <c r="AW200" s="1250"/>
      <c r="AX200" s="1188"/>
      <c r="AY200" s="1188"/>
      <c r="AZ200" s="1188"/>
      <c r="BA200" s="1188"/>
      <c r="BB200" s="1188"/>
      <c r="BC200" s="1188"/>
      <c r="BD200" s="1188"/>
      <c r="BE200" s="1188"/>
      <c r="BF200" s="1188"/>
      <c r="BG200" s="1188"/>
      <c r="BH200" s="1188"/>
      <c r="BI200" s="1188"/>
      <c r="BJ200" s="1188"/>
      <c r="BK200" s="1188"/>
      <c r="BL200" s="1188"/>
      <c r="BM200" s="1188"/>
      <c r="BN200" s="1188"/>
      <c r="BO200" s="1240"/>
      <c r="BP200" s="1240"/>
      <c r="BQ200" s="1188"/>
      <c r="BR200" s="1236"/>
      <c r="BS200" s="1188"/>
      <c r="BT200" s="1188">
        <f t="shared" si="73"/>
        <v>171</v>
      </c>
      <c r="BU200" s="1188"/>
      <c r="BV200" s="1240"/>
      <c r="BW200" s="1188"/>
      <c r="BX200" s="1188"/>
      <c r="BY200" s="1188"/>
      <c r="BZ200" s="1188"/>
      <c r="CA200" s="1188"/>
      <c r="CB200" s="1188"/>
      <c r="CC200" s="1188"/>
      <c r="CD200" s="1188">
        <f t="shared" si="65"/>
        <v>0</v>
      </c>
      <c r="CE200" s="1188">
        <f t="shared" si="66"/>
        <v>0</v>
      </c>
      <c r="CF200" s="1188">
        <f t="shared" si="67"/>
        <v>0</v>
      </c>
      <c r="CG200" s="1188">
        <f t="shared" si="68"/>
        <v>0</v>
      </c>
      <c r="CH200" s="1236"/>
      <c r="CI200" s="1236"/>
      <c r="CJ200" s="1236"/>
      <c r="CK200" s="1188"/>
      <c r="CL200" s="1188"/>
    </row>
    <row r="201" s="1168" customFormat="1" customHeight="1" spans="1:90">
      <c r="A201" s="1245">
        <v>46080</v>
      </c>
      <c r="B201" s="1247" t="s">
        <v>467</v>
      </c>
      <c r="C201" s="1234" t="s">
        <v>115</v>
      </c>
      <c r="D201" s="1188">
        <v>4500194421</v>
      </c>
      <c r="E201" s="1234">
        <v>352466</v>
      </c>
      <c r="F201" s="1188" t="s">
        <v>962</v>
      </c>
      <c r="G201" s="1253" t="s">
        <v>248</v>
      </c>
      <c r="H201" s="1234" t="s">
        <v>249</v>
      </c>
      <c r="I201" s="1254">
        <v>1770</v>
      </c>
      <c r="J201" s="1234">
        <v>0</v>
      </c>
      <c r="K201" s="1234">
        <v>6</v>
      </c>
      <c r="L201" s="1246">
        <f t="shared" si="60"/>
        <v>295</v>
      </c>
      <c r="M201" s="1255">
        <v>46181</v>
      </c>
      <c r="N201" s="1255">
        <v>46177</v>
      </c>
      <c r="O201" s="1255"/>
      <c r="P201" s="1233" t="s">
        <v>954</v>
      </c>
      <c r="Q201" s="1286" t="s">
        <v>106</v>
      </c>
      <c r="R201" s="1234"/>
      <c r="S201" s="1234"/>
      <c r="T201" s="1233">
        <v>1770</v>
      </c>
      <c r="U201" s="1233">
        <f t="shared" si="49"/>
        <v>0</v>
      </c>
      <c r="V201" s="1234"/>
      <c r="W201" s="1238">
        <v>46105</v>
      </c>
      <c r="X201" s="1227" t="s">
        <v>95</v>
      </c>
      <c r="Y201" s="1227" t="s">
        <v>95</v>
      </c>
      <c r="Z201" s="1247"/>
      <c r="AA201" s="1247"/>
      <c r="AB201" s="1247"/>
      <c r="AC201" s="1247" t="s">
        <v>472</v>
      </c>
      <c r="AD201" s="1255" t="s">
        <v>473</v>
      </c>
      <c r="AE201" s="1188">
        <v>1.248</v>
      </c>
      <c r="AF201" s="1248">
        <f t="shared" si="64"/>
        <v>2208.96</v>
      </c>
      <c r="AG201" s="1249" t="s">
        <v>474</v>
      </c>
      <c r="AH201" s="1234" t="s">
        <v>248</v>
      </c>
      <c r="AI201" s="1234" t="s">
        <v>112</v>
      </c>
      <c r="AJ201" s="1234" t="s">
        <v>113</v>
      </c>
      <c r="AK201" s="1188">
        <f t="shared" si="69"/>
        <v>1770</v>
      </c>
      <c r="AL201" s="1188"/>
      <c r="AM201" s="1188"/>
      <c r="AN201" s="1188">
        <f t="shared" si="70"/>
        <v>1770</v>
      </c>
      <c r="AO201" s="1188"/>
      <c r="AP201" s="1188"/>
      <c r="AQ201" s="1240"/>
      <c r="AR201" s="1188"/>
      <c r="AS201" s="1236"/>
      <c r="AT201" s="1236"/>
      <c r="AU201" s="1188">
        <f t="shared" si="71"/>
        <v>1770</v>
      </c>
      <c r="AV201" s="1250">
        <f t="shared" si="72"/>
        <v>106.2</v>
      </c>
      <c r="AW201" s="1250"/>
      <c r="AX201" s="1188"/>
      <c r="AY201" s="1188"/>
      <c r="AZ201" s="1188"/>
      <c r="BA201" s="1188"/>
      <c r="BB201" s="1188"/>
      <c r="BC201" s="1188"/>
      <c r="BD201" s="1188"/>
      <c r="BE201" s="1188"/>
      <c r="BF201" s="1188"/>
      <c r="BG201" s="1188"/>
      <c r="BH201" s="1188"/>
      <c r="BI201" s="1188"/>
      <c r="BJ201" s="1188"/>
      <c r="BK201" s="1188"/>
      <c r="BL201" s="1188"/>
      <c r="BM201" s="1188"/>
      <c r="BN201" s="1188"/>
      <c r="BO201" s="1240"/>
      <c r="BP201" s="1240"/>
      <c r="BQ201" s="1188"/>
      <c r="BR201" s="1236"/>
      <c r="BS201" s="1236"/>
      <c r="BT201" s="1188">
        <f t="shared" si="73"/>
        <v>295</v>
      </c>
      <c r="BU201" s="1188"/>
      <c r="BV201" s="1240"/>
      <c r="BW201" s="1188"/>
      <c r="BX201" s="1188"/>
      <c r="BY201" s="1188"/>
      <c r="BZ201" s="1188"/>
      <c r="CA201" s="1188"/>
      <c r="CB201" s="1188"/>
      <c r="CC201" s="1188"/>
      <c r="CD201" s="1188">
        <f t="shared" si="65"/>
        <v>0</v>
      </c>
      <c r="CE201" s="1188">
        <f t="shared" si="66"/>
        <v>0</v>
      </c>
      <c r="CF201" s="1188">
        <f t="shared" si="67"/>
        <v>0</v>
      </c>
      <c r="CG201" s="1188">
        <f t="shared" si="68"/>
        <v>0</v>
      </c>
      <c r="CH201" s="1236"/>
      <c r="CI201" s="1236"/>
      <c r="CJ201" s="1236"/>
      <c r="CK201" s="1188"/>
      <c r="CL201" s="1188"/>
    </row>
    <row r="202" s="1168" customFormat="1" customHeight="1" spans="1:90">
      <c r="A202" s="1245">
        <v>46080</v>
      </c>
      <c r="B202" s="1247" t="s">
        <v>467</v>
      </c>
      <c r="C202" s="1234" t="s">
        <v>115</v>
      </c>
      <c r="D202" s="1188">
        <v>4500194421</v>
      </c>
      <c r="E202" s="1234">
        <v>9172066</v>
      </c>
      <c r="F202" s="1188" t="s">
        <v>963</v>
      </c>
      <c r="G202" s="1253" t="s">
        <v>248</v>
      </c>
      <c r="H202" s="1234" t="s">
        <v>249</v>
      </c>
      <c r="I202" s="1254">
        <v>954</v>
      </c>
      <c r="J202" s="1234">
        <v>0</v>
      </c>
      <c r="K202" s="1234">
        <v>6</v>
      </c>
      <c r="L202" s="1246">
        <f t="shared" si="60"/>
        <v>159</v>
      </c>
      <c r="M202" s="1255">
        <v>46181</v>
      </c>
      <c r="N202" s="1255">
        <v>46177</v>
      </c>
      <c r="O202" s="1255"/>
      <c r="P202" s="1233" t="s">
        <v>954</v>
      </c>
      <c r="Q202" s="1286" t="s">
        <v>106</v>
      </c>
      <c r="R202" s="1234"/>
      <c r="S202" s="1234"/>
      <c r="T202" s="1233">
        <v>954</v>
      </c>
      <c r="U202" s="1233">
        <f t="shared" si="49"/>
        <v>0</v>
      </c>
      <c r="V202" s="1234"/>
      <c r="W202" s="1256">
        <v>46105</v>
      </c>
      <c r="X202" s="1257" t="s">
        <v>95</v>
      </c>
      <c r="Y202" s="1257" t="s">
        <v>95</v>
      </c>
      <c r="Z202" s="1247"/>
      <c r="AA202" s="1247"/>
      <c r="AB202" s="1247"/>
      <c r="AC202" s="1247" t="s">
        <v>472</v>
      </c>
      <c r="AD202" s="1255" t="s">
        <v>473</v>
      </c>
      <c r="AE202" s="1188">
        <v>1.248</v>
      </c>
      <c r="AF202" s="1248">
        <f t="shared" si="64"/>
        <v>1190.592</v>
      </c>
      <c r="AG202" s="1249" t="s">
        <v>955</v>
      </c>
      <c r="AH202" s="1234" t="s">
        <v>248</v>
      </c>
      <c r="AI202" s="1234" t="s">
        <v>112</v>
      </c>
      <c r="AJ202" s="1234" t="s">
        <v>113</v>
      </c>
      <c r="AK202" s="1188">
        <f t="shared" si="69"/>
        <v>954</v>
      </c>
      <c r="AL202" s="1188"/>
      <c r="AM202" s="1188"/>
      <c r="AN202" s="1188">
        <f t="shared" si="70"/>
        <v>954</v>
      </c>
      <c r="AO202" s="1188"/>
      <c r="AP202" s="1188"/>
      <c r="AQ202" s="1240"/>
      <c r="AR202" s="1188"/>
      <c r="AS202" s="1236"/>
      <c r="AT202" s="1236"/>
      <c r="AU202" s="1188">
        <f t="shared" si="71"/>
        <v>954</v>
      </c>
      <c r="AV202" s="1250">
        <f t="shared" si="72"/>
        <v>57.24</v>
      </c>
      <c r="AW202" s="1250"/>
      <c r="AX202" s="1188"/>
      <c r="AY202" s="1188"/>
      <c r="AZ202" s="1188"/>
      <c r="BA202" s="1188"/>
      <c r="BB202" s="1188"/>
      <c r="BC202" s="1188"/>
      <c r="BD202" s="1188"/>
      <c r="BE202" s="1188"/>
      <c r="BF202" s="1188"/>
      <c r="BG202" s="1188"/>
      <c r="BH202" s="1188"/>
      <c r="BI202" s="1188"/>
      <c r="BJ202" s="1188"/>
      <c r="BK202" s="1188"/>
      <c r="BL202" s="1188"/>
      <c r="BM202" s="1188"/>
      <c r="BN202" s="1188"/>
      <c r="BO202" s="1240"/>
      <c r="BP202" s="1240"/>
      <c r="BQ202" s="1188"/>
      <c r="BR202" s="1236"/>
      <c r="BS202" s="1188"/>
      <c r="BT202" s="1188">
        <f t="shared" si="73"/>
        <v>159</v>
      </c>
      <c r="BU202" s="1188"/>
      <c r="BV202" s="1240"/>
      <c r="BW202" s="1188"/>
      <c r="BX202" s="1188"/>
      <c r="BY202" s="1188"/>
      <c r="BZ202" s="1188"/>
      <c r="CA202" s="1188"/>
      <c r="CB202" s="1188"/>
      <c r="CC202" s="1188"/>
      <c r="CD202" s="1188">
        <f t="shared" si="65"/>
        <v>0</v>
      </c>
      <c r="CE202" s="1188">
        <f t="shared" si="66"/>
        <v>0</v>
      </c>
      <c r="CF202" s="1188">
        <f t="shared" si="67"/>
        <v>0</v>
      </c>
      <c r="CG202" s="1188">
        <f t="shared" si="68"/>
        <v>0</v>
      </c>
      <c r="CH202" s="1236"/>
      <c r="CI202" s="1236"/>
      <c r="CJ202" s="1236"/>
      <c r="CK202" s="1188"/>
      <c r="CL202" s="1188"/>
    </row>
    <row r="203" s="1168" customFormat="1" ht="31" customHeight="1" spans="1:90">
      <c r="A203" s="1245">
        <v>46080</v>
      </c>
      <c r="B203" s="1247" t="s">
        <v>467</v>
      </c>
      <c r="C203" s="1234" t="s">
        <v>115</v>
      </c>
      <c r="D203" s="1188">
        <v>4500194421</v>
      </c>
      <c r="E203" s="1234">
        <v>4771321</v>
      </c>
      <c r="F203" s="1188" t="s">
        <v>964</v>
      </c>
      <c r="G203" s="1253" t="s">
        <v>248</v>
      </c>
      <c r="H203" s="1234" t="s">
        <v>249</v>
      </c>
      <c r="I203" s="1254">
        <v>1236</v>
      </c>
      <c r="J203" s="1234">
        <v>0</v>
      </c>
      <c r="K203" s="1234">
        <v>6</v>
      </c>
      <c r="L203" s="1246">
        <f t="shared" si="60"/>
        <v>206</v>
      </c>
      <c r="M203" s="1255">
        <v>46181</v>
      </c>
      <c r="N203" s="1255">
        <v>46177</v>
      </c>
      <c r="O203" s="1255"/>
      <c r="P203" s="1233" t="s">
        <v>954</v>
      </c>
      <c r="Q203" s="1286" t="s">
        <v>106</v>
      </c>
      <c r="R203" s="1234"/>
      <c r="S203" s="1234"/>
      <c r="T203" s="1233">
        <v>1236</v>
      </c>
      <c r="U203" s="1233">
        <f t="shared" si="49"/>
        <v>0</v>
      </c>
      <c r="V203" s="1234"/>
      <c r="W203" s="1238">
        <v>46105</v>
      </c>
      <c r="X203" s="1227" t="s">
        <v>95</v>
      </c>
      <c r="Y203" s="1227" t="s">
        <v>95</v>
      </c>
      <c r="Z203" s="1247"/>
      <c r="AA203" s="1247"/>
      <c r="AB203" s="1247"/>
      <c r="AC203" s="1247" t="s">
        <v>472</v>
      </c>
      <c r="AD203" s="1255" t="s">
        <v>473</v>
      </c>
      <c r="AE203" s="1188">
        <v>1.248</v>
      </c>
      <c r="AF203" s="1248">
        <f t="shared" si="64"/>
        <v>1542.528</v>
      </c>
      <c r="AG203" s="1249" t="s">
        <v>955</v>
      </c>
      <c r="AH203" s="1234" t="s">
        <v>248</v>
      </c>
      <c r="AI203" s="1234" t="s">
        <v>112</v>
      </c>
      <c r="AJ203" s="1234" t="s">
        <v>113</v>
      </c>
      <c r="AK203" s="1188">
        <f t="shared" si="69"/>
        <v>1236</v>
      </c>
      <c r="AL203" s="1188"/>
      <c r="AM203" s="1188"/>
      <c r="AN203" s="1188">
        <f t="shared" si="70"/>
        <v>1236</v>
      </c>
      <c r="AO203" s="1188"/>
      <c r="AP203" s="1188"/>
      <c r="AQ203" s="1240"/>
      <c r="AR203" s="1188"/>
      <c r="AS203" s="1236"/>
      <c r="AT203" s="1236"/>
      <c r="AU203" s="1188">
        <f t="shared" si="71"/>
        <v>1236</v>
      </c>
      <c r="AV203" s="1250">
        <f t="shared" si="72"/>
        <v>74.16</v>
      </c>
      <c r="AW203" s="1250"/>
      <c r="AX203" s="1188"/>
      <c r="AY203" s="1188"/>
      <c r="AZ203" s="1188"/>
      <c r="BA203" s="1188"/>
      <c r="BB203" s="1188"/>
      <c r="BC203" s="1188"/>
      <c r="BD203" s="1188"/>
      <c r="BE203" s="1188"/>
      <c r="BF203" s="1188"/>
      <c r="BG203" s="1188"/>
      <c r="BH203" s="1188"/>
      <c r="BI203" s="1188"/>
      <c r="BJ203" s="1188"/>
      <c r="BK203" s="1188"/>
      <c r="BL203" s="1188"/>
      <c r="BM203" s="1188"/>
      <c r="BN203" s="1188"/>
      <c r="BO203" s="1240"/>
      <c r="BP203" s="1240"/>
      <c r="BQ203" s="1188"/>
      <c r="BR203" s="1236"/>
      <c r="BS203" s="1236"/>
      <c r="BT203" s="1188">
        <f t="shared" si="73"/>
        <v>206</v>
      </c>
      <c r="BU203" s="1188"/>
      <c r="BV203" s="1240"/>
      <c r="BW203" s="1188"/>
      <c r="BX203" s="1188"/>
      <c r="BY203" s="1188"/>
      <c r="BZ203" s="1188"/>
      <c r="CA203" s="1188"/>
      <c r="CB203" s="1188"/>
      <c r="CC203" s="1188"/>
      <c r="CD203" s="1188">
        <f t="shared" si="65"/>
        <v>0</v>
      </c>
      <c r="CE203" s="1188">
        <f t="shared" si="66"/>
        <v>0</v>
      </c>
      <c r="CF203" s="1188">
        <f t="shared" si="67"/>
        <v>0</v>
      </c>
      <c r="CG203" s="1188">
        <f t="shared" si="68"/>
        <v>0</v>
      </c>
      <c r="CH203" s="1236"/>
      <c r="CI203" s="1236"/>
      <c r="CJ203" s="1236"/>
      <c r="CK203" s="1188"/>
      <c r="CL203" s="1188"/>
    </row>
    <row r="204" s="1168" customFormat="1" ht="31" customHeight="1" spans="1:90">
      <c r="A204" s="1245">
        <v>46080</v>
      </c>
      <c r="B204" s="1247" t="s">
        <v>467</v>
      </c>
      <c r="C204" s="1234" t="s">
        <v>115</v>
      </c>
      <c r="D204" s="1188">
        <v>4500194421</v>
      </c>
      <c r="E204" s="1234">
        <v>6614553</v>
      </c>
      <c r="F204" s="1188" t="s">
        <v>965</v>
      </c>
      <c r="G204" s="1253" t="s">
        <v>248</v>
      </c>
      <c r="H204" s="1234" t="s">
        <v>249</v>
      </c>
      <c r="I204" s="1254">
        <v>732</v>
      </c>
      <c r="J204" s="1234">
        <v>0</v>
      </c>
      <c r="K204" s="1234">
        <v>6</v>
      </c>
      <c r="L204" s="1246">
        <f t="shared" si="60"/>
        <v>122</v>
      </c>
      <c r="M204" s="1255">
        <v>46181</v>
      </c>
      <c r="N204" s="1255">
        <v>46177</v>
      </c>
      <c r="O204" s="1255"/>
      <c r="P204" s="1233" t="s">
        <v>954</v>
      </c>
      <c r="Q204" s="1286" t="s">
        <v>106</v>
      </c>
      <c r="R204" s="1234"/>
      <c r="S204" s="1234"/>
      <c r="T204" s="1233">
        <v>732</v>
      </c>
      <c r="U204" s="1233">
        <f t="shared" si="49"/>
        <v>0</v>
      </c>
      <c r="V204" s="1234"/>
      <c r="W204" s="1256">
        <v>46105</v>
      </c>
      <c r="X204" s="1257" t="s">
        <v>95</v>
      </c>
      <c r="Y204" s="1257" t="s">
        <v>95</v>
      </c>
      <c r="Z204" s="1247"/>
      <c r="AA204" s="1247"/>
      <c r="AB204" s="1247"/>
      <c r="AC204" s="1247" t="s">
        <v>472</v>
      </c>
      <c r="AD204" s="1255" t="s">
        <v>473</v>
      </c>
      <c r="AE204" s="1188">
        <v>1.248</v>
      </c>
      <c r="AF204" s="1248">
        <f t="shared" si="64"/>
        <v>913.536</v>
      </c>
      <c r="AG204" s="1249" t="s">
        <v>955</v>
      </c>
      <c r="AH204" s="1234" t="s">
        <v>248</v>
      </c>
      <c r="AI204" s="1234" t="s">
        <v>112</v>
      </c>
      <c r="AJ204" s="1234" t="s">
        <v>113</v>
      </c>
      <c r="AK204" s="1188">
        <f t="shared" si="69"/>
        <v>732</v>
      </c>
      <c r="AL204" s="1188"/>
      <c r="AM204" s="1188"/>
      <c r="AN204" s="1188">
        <f t="shared" si="70"/>
        <v>732</v>
      </c>
      <c r="AO204" s="1188"/>
      <c r="AP204" s="1188"/>
      <c r="AQ204" s="1240"/>
      <c r="AR204" s="1188"/>
      <c r="AS204" s="1236"/>
      <c r="AT204" s="1236"/>
      <c r="AU204" s="1188">
        <f t="shared" si="71"/>
        <v>732</v>
      </c>
      <c r="AV204" s="1250">
        <f t="shared" si="72"/>
        <v>43.92</v>
      </c>
      <c r="AW204" s="1250"/>
      <c r="AX204" s="1188"/>
      <c r="AY204" s="1188"/>
      <c r="AZ204" s="1188"/>
      <c r="BA204" s="1188"/>
      <c r="BB204" s="1188"/>
      <c r="BC204" s="1188"/>
      <c r="BD204" s="1188"/>
      <c r="BE204" s="1188"/>
      <c r="BF204" s="1188"/>
      <c r="BG204" s="1188"/>
      <c r="BH204" s="1188"/>
      <c r="BI204" s="1188"/>
      <c r="BJ204" s="1188"/>
      <c r="BK204" s="1188"/>
      <c r="BL204" s="1188"/>
      <c r="BM204" s="1188"/>
      <c r="BN204" s="1188"/>
      <c r="BO204" s="1240"/>
      <c r="BP204" s="1240"/>
      <c r="BQ204" s="1188"/>
      <c r="BR204" s="1236"/>
      <c r="BS204" s="1188"/>
      <c r="BT204" s="1188">
        <f t="shared" si="73"/>
        <v>122</v>
      </c>
      <c r="BU204" s="1188"/>
      <c r="BV204" s="1240"/>
      <c r="BW204" s="1188"/>
      <c r="BX204" s="1188"/>
      <c r="BY204" s="1188"/>
      <c r="BZ204" s="1188"/>
      <c r="CA204" s="1188"/>
      <c r="CB204" s="1188"/>
      <c r="CC204" s="1188"/>
      <c r="CD204" s="1188">
        <f t="shared" si="65"/>
        <v>0</v>
      </c>
      <c r="CE204" s="1188">
        <f t="shared" si="66"/>
        <v>0</v>
      </c>
      <c r="CF204" s="1188">
        <f t="shared" si="67"/>
        <v>0</v>
      </c>
      <c r="CG204" s="1188">
        <f t="shared" si="68"/>
        <v>0</v>
      </c>
      <c r="CH204" s="1236"/>
      <c r="CI204" s="1236"/>
      <c r="CJ204" s="1236"/>
      <c r="CK204" s="1188"/>
      <c r="CL204" s="1188"/>
    </row>
    <row r="205" s="1168" customFormat="1" ht="31" customHeight="1" spans="1:90">
      <c r="A205" s="1245">
        <v>46122</v>
      </c>
      <c r="B205" s="1247" t="s">
        <v>966</v>
      </c>
      <c r="C205" s="1234" t="s">
        <v>148</v>
      </c>
      <c r="D205" s="1188">
        <v>4500201090</v>
      </c>
      <c r="E205" s="1233">
        <v>4400555640</v>
      </c>
      <c r="F205" s="1188" t="s">
        <v>967</v>
      </c>
      <c r="G205" s="1253" t="s">
        <v>137</v>
      </c>
      <c r="H205" s="1234" t="s">
        <v>138</v>
      </c>
      <c r="I205" s="1254">
        <v>2800</v>
      </c>
      <c r="J205" s="1234">
        <v>0</v>
      </c>
      <c r="K205" s="1234">
        <v>25</v>
      </c>
      <c r="L205" s="1246">
        <f t="shared" si="60"/>
        <v>112</v>
      </c>
      <c r="M205" s="1255">
        <v>46181</v>
      </c>
      <c r="N205" s="1255">
        <v>46177</v>
      </c>
      <c r="O205" s="1255"/>
      <c r="P205" s="1233"/>
      <c r="Q205" s="1286" t="s">
        <v>106</v>
      </c>
      <c r="R205" s="1234"/>
      <c r="S205" s="1234"/>
      <c r="T205" s="1233">
        <f>2700+100</f>
        <v>2800</v>
      </c>
      <c r="U205" s="1233">
        <f t="shared" si="49"/>
        <v>0</v>
      </c>
      <c r="V205" s="1234"/>
      <c r="W205" s="1256">
        <v>46141</v>
      </c>
      <c r="X205" s="1257" t="s">
        <v>95</v>
      </c>
      <c r="Y205" s="1257" t="s">
        <v>95</v>
      </c>
      <c r="Z205" s="1188" t="s">
        <v>140</v>
      </c>
      <c r="AA205" s="1188"/>
      <c r="AB205" s="1247"/>
      <c r="AC205" s="1247" t="s">
        <v>968</v>
      </c>
      <c r="AD205" s="1255" t="s">
        <v>969</v>
      </c>
      <c r="AE205" s="1188">
        <v>1.0803</v>
      </c>
      <c r="AF205" s="1248">
        <f t="shared" si="64"/>
        <v>3024.84</v>
      </c>
      <c r="AG205" s="1258"/>
      <c r="AH205" s="1234" t="s">
        <v>137</v>
      </c>
      <c r="AI205" s="1234" t="s">
        <v>112</v>
      </c>
      <c r="AJ205" s="1234" t="s">
        <v>113</v>
      </c>
      <c r="AK205" s="1188">
        <f t="shared" si="69"/>
        <v>2800</v>
      </c>
      <c r="AL205" s="1188"/>
      <c r="AM205" s="1188"/>
      <c r="AN205" s="1188"/>
      <c r="AO205" s="1188"/>
      <c r="AP205" s="1188"/>
      <c r="AQ205" s="1240"/>
      <c r="AR205" s="1188"/>
      <c r="AS205" s="1284"/>
      <c r="AT205" s="1284"/>
      <c r="AU205" s="1188"/>
      <c r="AV205" s="1250">
        <f t="shared" si="72"/>
        <v>168</v>
      </c>
      <c r="AW205" s="1250">
        <f>I205</f>
        <v>2800</v>
      </c>
      <c r="AX205" s="1188"/>
      <c r="AY205" s="1188"/>
      <c r="AZ205" s="1188"/>
      <c r="BA205" s="1188"/>
      <c r="BB205" s="1188"/>
      <c r="BC205" s="1188"/>
      <c r="BD205" s="1188"/>
      <c r="BE205" s="1188"/>
      <c r="BF205" s="1188"/>
      <c r="BG205" s="1188">
        <f>I205</f>
        <v>2800</v>
      </c>
      <c r="BH205" s="1188"/>
      <c r="BI205" s="1188"/>
      <c r="BJ205" s="1188"/>
      <c r="BK205" s="1188"/>
      <c r="BL205" s="1188"/>
      <c r="BM205" s="1188"/>
      <c r="BN205" s="1188"/>
      <c r="BO205" s="1235">
        <f>I205/25</f>
        <v>112</v>
      </c>
      <c r="BP205" s="1240"/>
      <c r="BQ205" s="1188"/>
      <c r="BR205" s="1236"/>
      <c r="BS205" s="1188"/>
      <c r="BT205" s="1188"/>
      <c r="BU205" s="1188"/>
      <c r="BV205" s="1240"/>
      <c r="BW205" s="1188"/>
      <c r="BX205" s="1188"/>
      <c r="BY205" s="1188"/>
      <c r="BZ205" s="1188"/>
      <c r="CA205" s="1188"/>
      <c r="CB205" s="1188"/>
      <c r="CC205" s="1188"/>
      <c r="CD205" s="1188">
        <f t="shared" si="65"/>
        <v>112</v>
      </c>
      <c r="CE205" s="1188">
        <f t="shared" si="66"/>
        <v>0</v>
      </c>
      <c r="CF205" s="1188">
        <f t="shared" si="67"/>
        <v>0</v>
      </c>
      <c r="CG205" s="1188">
        <f t="shared" si="68"/>
        <v>0</v>
      </c>
      <c r="CH205" s="1236"/>
      <c r="CI205" s="1236"/>
      <c r="CJ205" s="1236"/>
      <c r="CK205" s="1188"/>
      <c r="CL205" s="1188"/>
    </row>
    <row r="206" s="1168" customFormat="1" customHeight="1" spans="1:90">
      <c r="A206" s="1245">
        <v>46080</v>
      </c>
      <c r="B206" s="1247" t="s">
        <v>467</v>
      </c>
      <c r="C206" s="1234" t="s">
        <v>115</v>
      </c>
      <c r="D206" s="1188">
        <v>4500194421</v>
      </c>
      <c r="E206" s="1234">
        <v>1547300</v>
      </c>
      <c r="F206" s="1188" t="s">
        <v>970</v>
      </c>
      <c r="G206" s="1253" t="s">
        <v>248</v>
      </c>
      <c r="H206" s="1234" t="s">
        <v>249</v>
      </c>
      <c r="I206" s="1254">
        <v>822</v>
      </c>
      <c r="J206" s="1234">
        <v>0</v>
      </c>
      <c r="K206" s="1234">
        <v>6</v>
      </c>
      <c r="L206" s="1246">
        <f t="shared" si="60"/>
        <v>137</v>
      </c>
      <c r="M206" s="1255">
        <v>46181</v>
      </c>
      <c r="N206" s="1255">
        <v>46177</v>
      </c>
      <c r="O206" s="1255"/>
      <c r="P206" s="1233" t="s">
        <v>954</v>
      </c>
      <c r="Q206" s="1286" t="s">
        <v>106</v>
      </c>
      <c r="R206" s="1234"/>
      <c r="S206" s="1234"/>
      <c r="T206" s="1233">
        <v>822</v>
      </c>
      <c r="U206" s="1233">
        <f t="shared" si="49"/>
        <v>0</v>
      </c>
      <c r="V206" s="1234"/>
      <c r="W206" s="1256">
        <v>46105</v>
      </c>
      <c r="X206" s="1257" t="s">
        <v>95</v>
      </c>
      <c r="Y206" s="1257" t="s">
        <v>95</v>
      </c>
      <c r="Z206" s="1247"/>
      <c r="AA206" s="1247"/>
      <c r="AB206" s="1247"/>
      <c r="AC206" s="1247" t="s">
        <v>472</v>
      </c>
      <c r="AD206" s="1255" t="s">
        <v>473</v>
      </c>
      <c r="AE206" s="1188">
        <v>1.248</v>
      </c>
      <c r="AF206" s="1248">
        <f t="shared" si="64"/>
        <v>1025.856</v>
      </c>
      <c r="AG206" s="1249" t="s">
        <v>955</v>
      </c>
      <c r="AH206" s="1234" t="s">
        <v>248</v>
      </c>
      <c r="AI206" s="1234" t="s">
        <v>112</v>
      </c>
      <c r="AJ206" s="1234" t="s">
        <v>113</v>
      </c>
      <c r="AK206" s="1188">
        <f t="shared" si="69"/>
        <v>822</v>
      </c>
      <c r="AL206" s="1188"/>
      <c r="AM206" s="1188"/>
      <c r="AN206" s="1188">
        <f>I206</f>
        <v>822</v>
      </c>
      <c r="AO206" s="1188"/>
      <c r="AP206" s="1188"/>
      <c r="AQ206" s="1240"/>
      <c r="AR206" s="1188"/>
      <c r="AS206" s="1236"/>
      <c r="AT206" s="1236"/>
      <c r="AU206" s="1188">
        <f>I206</f>
        <v>822</v>
      </c>
      <c r="AV206" s="1250">
        <f t="shared" si="72"/>
        <v>49.32</v>
      </c>
      <c r="AW206" s="1250"/>
      <c r="AX206" s="1188"/>
      <c r="AY206" s="1188"/>
      <c r="AZ206" s="1188"/>
      <c r="BA206" s="1188"/>
      <c r="BB206" s="1188"/>
      <c r="BC206" s="1188"/>
      <c r="BD206" s="1188"/>
      <c r="BE206" s="1188"/>
      <c r="BF206" s="1188"/>
      <c r="BG206" s="1188"/>
      <c r="BH206" s="1188"/>
      <c r="BI206" s="1188"/>
      <c r="BJ206" s="1188"/>
      <c r="BK206" s="1188"/>
      <c r="BL206" s="1188"/>
      <c r="BM206" s="1188"/>
      <c r="BN206" s="1188"/>
      <c r="BO206" s="1240"/>
      <c r="BP206" s="1240"/>
      <c r="BQ206" s="1188"/>
      <c r="BR206" s="1236"/>
      <c r="BS206" s="1188"/>
      <c r="BT206" s="1188">
        <f>I206/6</f>
        <v>137</v>
      </c>
      <c r="BU206" s="1188"/>
      <c r="BV206" s="1240"/>
      <c r="BW206" s="1188"/>
      <c r="BX206" s="1188"/>
      <c r="BY206" s="1188"/>
      <c r="BZ206" s="1188"/>
      <c r="CA206" s="1188"/>
      <c r="CB206" s="1188"/>
      <c r="CC206" s="1188"/>
      <c r="CD206" s="1188">
        <f t="shared" si="65"/>
        <v>0</v>
      </c>
      <c r="CE206" s="1188">
        <f t="shared" si="66"/>
        <v>0</v>
      </c>
      <c r="CF206" s="1188">
        <f t="shared" si="67"/>
        <v>0</v>
      </c>
      <c r="CG206" s="1188">
        <f t="shared" si="68"/>
        <v>0</v>
      </c>
      <c r="CH206" s="1236"/>
      <c r="CI206" s="1236"/>
      <c r="CJ206" s="1236"/>
      <c r="CK206" s="1188"/>
      <c r="CL206" s="1188"/>
    </row>
    <row r="207" s="1168" customFormat="1" customHeight="1" spans="1:90">
      <c r="A207" s="1245">
        <v>46171</v>
      </c>
      <c r="B207" s="1220" t="s">
        <v>971</v>
      </c>
      <c r="C207" s="1221" t="s">
        <v>164</v>
      </c>
      <c r="D207" s="1303">
        <v>4500209826</v>
      </c>
      <c r="E207" s="1221">
        <v>4400579150</v>
      </c>
      <c r="F207" s="1222" t="s">
        <v>972</v>
      </c>
      <c r="G207" s="1223" t="s">
        <v>270</v>
      </c>
      <c r="H207" s="1221" t="s">
        <v>104</v>
      </c>
      <c r="I207" s="1252">
        <v>5000</v>
      </c>
      <c r="J207" s="1234">
        <v>0</v>
      </c>
      <c r="K207" s="1234">
        <v>25</v>
      </c>
      <c r="L207" s="1246">
        <f t="shared" si="60"/>
        <v>200</v>
      </c>
      <c r="M207" s="1225">
        <v>46181</v>
      </c>
      <c r="N207" s="1225">
        <v>46177</v>
      </c>
      <c r="O207" s="1225"/>
      <c r="P207" s="1233" t="s">
        <v>973</v>
      </c>
      <c r="Q207" s="1286" t="s">
        <v>106</v>
      </c>
      <c r="R207" s="1234"/>
      <c r="S207" s="1234"/>
      <c r="T207" s="1233">
        <v>5000</v>
      </c>
      <c r="U207" s="1233">
        <f t="shared" si="49"/>
        <v>0</v>
      </c>
      <c r="V207" s="1234"/>
      <c r="W207" s="1238" t="s">
        <v>974</v>
      </c>
      <c r="X207" s="1227" t="s">
        <v>95</v>
      </c>
      <c r="Y207" s="1227" t="s">
        <v>95</v>
      </c>
      <c r="Z207" s="1188" t="s">
        <v>140</v>
      </c>
      <c r="AA207" s="1188"/>
      <c r="AB207" s="1247"/>
      <c r="AC207" s="1220" t="s">
        <v>975</v>
      </c>
      <c r="AD207" s="1225" t="s">
        <v>976</v>
      </c>
      <c r="AE207" s="1188">
        <v>1.1413</v>
      </c>
      <c r="AF207" s="1248">
        <f t="shared" si="64"/>
        <v>5706.5</v>
      </c>
      <c r="AG207" s="1258"/>
      <c r="AH207" s="1234" t="s">
        <v>137</v>
      </c>
      <c r="AI207" s="1234" t="s">
        <v>112</v>
      </c>
      <c r="AJ207" s="1234" t="s">
        <v>113</v>
      </c>
      <c r="AK207" s="1188">
        <f t="shared" si="69"/>
        <v>5000</v>
      </c>
      <c r="AL207" s="1188"/>
      <c r="AM207" s="1188"/>
      <c r="AN207" s="1188"/>
      <c r="AO207" s="1188"/>
      <c r="AP207" s="1188"/>
      <c r="AQ207" s="1240"/>
      <c r="AR207" s="1188"/>
      <c r="AS207" s="1284"/>
      <c r="AT207" s="1284"/>
      <c r="AU207" s="1188"/>
      <c r="AV207" s="1250">
        <f t="shared" si="72"/>
        <v>300</v>
      </c>
      <c r="AW207" s="1250"/>
      <c r="AX207" s="1188"/>
      <c r="AY207" s="1188"/>
      <c r="AZ207" s="1188"/>
      <c r="BA207" s="1188"/>
      <c r="BB207" s="1188"/>
      <c r="BC207" s="1188"/>
      <c r="BD207" s="1188"/>
      <c r="BE207" s="1188"/>
      <c r="BF207" s="1188"/>
      <c r="BG207" s="1188">
        <f>I207</f>
        <v>5000</v>
      </c>
      <c r="BH207" s="1188">
        <f>I207</f>
        <v>5000</v>
      </c>
      <c r="BI207" s="1188"/>
      <c r="BJ207" s="1188"/>
      <c r="BK207" s="1188"/>
      <c r="BL207" s="1188"/>
      <c r="BM207" s="1188"/>
      <c r="BN207" s="1188"/>
      <c r="BO207" s="1235">
        <f>I207/25</f>
        <v>200</v>
      </c>
      <c r="BP207" s="1240"/>
      <c r="BQ207" s="1188"/>
      <c r="BR207" s="1236"/>
      <c r="BS207" s="1236"/>
      <c r="BT207" s="1188"/>
      <c r="BU207" s="1188"/>
      <c r="BV207" s="1240"/>
      <c r="BW207" s="1188"/>
      <c r="BX207" s="1188"/>
      <c r="BY207" s="1188"/>
      <c r="BZ207" s="1188"/>
      <c r="CA207" s="1188"/>
      <c r="CB207" s="1188"/>
      <c r="CC207" s="1188"/>
      <c r="CD207" s="1188">
        <f t="shared" si="65"/>
        <v>200</v>
      </c>
      <c r="CE207" s="1188">
        <f t="shared" si="66"/>
        <v>0</v>
      </c>
      <c r="CF207" s="1188">
        <f t="shared" si="67"/>
        <v>0</v>
      </c>
      <c r="CG207" s="1188">
        <f t="shared" si="68"/>
        <v>0</v>
      </c>
      <c r="CH207" s="1236"/>
      <c r="CI207" s="1236"/>
      <c r="CJ207" s="1236"/>
      <c r="CK207" s="1188"/>
      <c r="CL207" s="1188"/>
    </row>
    <row r="208" s="1168" customFormat="1" customHeight="1" spans="1:90">
      <c r="A208" s="1245">
        <v>46171</v>
      </c>
      <c r="B208" s="1247" t="s">
        <v>971</v>
      </c>
      <c r="C208" s="1234" t="s">
        <v>164</v>
      </c>
      <c r="D208" s="1268">
        <v>4500209829</v>
      </c>
      <c r="E208" s="1233">
        <v>4400574701</v>
      </c>
      <c r="F208" s="1188" t="s">
        <v>977</v>
      </c>
      <c r="G208" s="1253" t="s">
        <v>270</v>
      </c>
      <c r="H208" s="1234" t="s">
        <v>104</v>
      </c>
      <c r="I208" s="1254">
        <v>3000</v>
      </c>
      <c r="J208" s="1234">
        <v>0</v>
      </c>
      <c r="K208" s="1234">
        <v>25</v>
      </c>
      <c r="L208" s="1246">
        <f t="shared" si="60"/>
        <v>120</v>
      </c>
      <c r="M208" s="1255">
        <v>46181</v>
      </c>
      <c r="N208" s="1255">
        <v>46177</v>
      </c>
      <c r="O208" s="1255"/>
      <c r="P208" s="1233" t="s">
        <v>978</v>
      </c>
      <c r="Q208" s="1286" t="s">
        <v>106</v>
      </c>
      <c r="R208" s="1234" t="s">
        <v>979</v>
      </c>
      <c r="S208" s="1234"/>
      <c r="T208" s="1233">
        <v>3000</v>
      </c>
      <c r="U208" s="1233">
        <f t="shared" si="49"/>
        <v>0</v>
      </c>
      <c r="V208" s="1234"/>
      <c r="W208" s="1256" t="s">
        <v>974</v>
      </c>
      <c r="X208" s="1257" t="s">
        <v>95</v>
      </c>
      <c r="Y208" s="1257" t="s">
        <v>95</v>
      </c>
      <c r="Z208" s="1188" t="s">
        <v>140</v>
      </c>
      <c r="AA208" s="1188"/>
      <c r="AB208" s="1247"/>
      <c r="AC208" s="1247" t="s">
        <v>980</v>
      </c>
      <c r="AD208" s="1255" t="s">
        <v>976</v>
      </c>
      <c r="AE208" s="1188">
        <v>1.1467</v>
      </c>
      <c r="AF208" s="1248">
        <f t="shared" si="64"/>
        <v>3440.1</v>
      </c>
      <c r="AG208" s="1258"/>
      <c r="AH208" s="1234" t="s">
        <v>137</v>
      </c>
      <c r="AI208" s="1234" t="s">
        <v>112</v>
      </c>
      <c r="AJ208" s="1234" t="s">
        <v>113</v>
      </c>
      <c r="AK208" s="1188">
        <f t="shared" si="69"/>
        <v>3000</v>
      </c>
      <c r="AL208" s="1188"/>
      <c r="AM208" s="1188"/>
      <c r="AN208" s="1188"/>
      <c r="AO208" s="1188"/>
      <c r="AP208" s="1188"/>
      <c r="AQ208" s="1240"/>
      <c r="AR208" s="1188"/>
      <c r="AS208" s="1236"/>
      <c r="AT208" s="1236"/>
      <c r="AU208" s="1188"/>
      <c r="AV208" s="1250">
        <f t="shared" si="72"/>
        <v>180</v>
      </c>
      <c r="AW208" s="1250"/>
      <c r="AX208" s="1188"/>
      <c r="AY208" s="1188"/>
      <c r="AZ208" s="1188"/>
      <c r="BA208" s="1188"/>
      <c r="BB208" s="1188"/>
      <c r="BC208" s="1188"/>
      <c r="BD208" s="1188"/>
      <c r="BE208" s="1188"/>
      <c r="BF208" s="1188"/>
      <c r="BG208" s="1188">
        <f>I208</f>
        <v>3000</v>
      </c>
      <c r="BH208" s="1188">
        <f>I208</f>
        <v>3000</v>
      </c>
      <c r="BI208" s="1188"/>
      <c r="BJ208" s="1188"/>
      <c r="BK208" s="1188"/>
      <c r="BL208" s="1188"/>
      <c r="BM208" s="1188"/>
      <c r="BN208" s="1188"/>
      <c r="BO208" s="1235">
        <f>I208/25</f>
        <v>120</v>
      </c>
      <c r="BP208" s="1240"/>
      <c r="BQ208" s="1188"/>
      <c r="BR208" s="1236"/>
      <c r="BS208" s="1188"/>
      <c r="BT208" s="1188"/>
      <c r="BU208" s="1188"/>
      <c r="BV208" s="1240"/>
      <c r="BW208" s="1188"/>
      <c r="BX208" s="1188"/>
      <c r="BY208" s="1188"/>
      <c r="BZ208" s="1188"/>
      <c r="CA208" s="1188"/>
      <c r="CB208" s="1188"/>
      <c r="CC208" s="1188"/>
      <c r="CD208" s="1188">
        <f t="shared" si="65"/>
        <v>120</v>
      </c>
      <c r="CE208" s="1188">
        <f t="shared" si="66"/>
        <v>0</v>
      </c>
      <c r="CF208" s="1188">
        <f t="shared" si="67"/>
        <v>0</v>
      </c>
      <c r="CG208" s="1188">
        <f t="shared" si="68"/>
        <v>0</v>
      </c>
      <c r="CH208" s="1236"/>
      <c r="CI208" s="1236"/>
      <c r="CJ208" s="1236"/>
      <c r="CK208" s="1188"/>
      <c r="CL208" s="1188"/>
    </row>
    <row r="209" s="1168" customFormat="1" customHeight="1" spans="1:111">
      <c r="A209" s="1245">
        <v>46122</v>
      </c>
      <c r="B209" s="1247" t="s">
        <v>966</v>
      </c>
      <c r="C209" s="1234" t="s">
        <v>148</v>
      </c>
      <c r="D209" s="1188">
        <v>4500201090</v>
      </c>
      <c r="E209" s="1233">
        <v>4400555641</v>
      </c>
      <c r="F209" s="1188" t="s">
        <v>981</v>
      </c>
      <c r="G209" s="1253" t="s">
        <v>137</v>
      </c>
      <c r="H209" s="1234" t="s">
        <v>138</v>
      </c>
      <c r="I209" s="1254">
        <v>1200</v>
      </c>
      <c r="J209" s="1234">
        <v>0</v>
      </c>
      <c r="K209" s="1234">
        <v>25</v>
      </c>
      <c r="L209" s="1246">
        <f t="shared" si="60"/>
        <v>48</v>
      </c>
      <c r="M209" s="1255">
        <v>46181</v>
      </c>
      <c r="N209" s="1255">
        <v>46177</v>
      </c>
      <c r="O209" s="1255"/>
      <c r="P209" s="1233"/>
      <c r="Q209" s="1286" t="s">
        <v>106</v>
      </c>
      <c r="R209" s="1234"/>
      <c r="S209" s="1234" t="s">
        <v>736</v>
      </c>
      <c r="T209" s="1233">
        <v>1200</v>
      </c>
      <c r="U209" s="1233">
        <f t="shared" si="49"/>
        <v>0</v>
      </c>
      <c r="V209" s="1234"/>
      <c r="W209" s="1256">
        <v>46141</v>
      </c>
      <c r="X209" s="1257" t="s">
        <v>95</v>
      </c>
      <c r="Y209" s="1257" t="s">
        <v>95</v>
      </c>
      <c r="Z209" s="1188" t="s">
        <v>140</v>
      </c>
      <c r="AA209" s="1188"/>
      <c r="AB209" s="1247"/>
      <c r="AC209" s="1247" t="s">
        <v>968</v>
      </c>
      <c r="AD209" s="1255" t="s">
        <v>969</v>
      </c>
      <c r="AE209" s="1188">
        <v>1.0803</v>
      </c>
      <c r="AF209" s="1248">
        <f t="shared" si="64"/>
        <v>1296.36</v>
      </c>
      <c r="AG209" s="1258"/>
      <c r="AH209" s="1234" t="s">
        <v>137</v>
      </c>
      <c r="AI209" s="1234" t="s">
        <v>112</v>
      </c>
      <c r="AJ209" s="1234" t="s">
        <v>113</v>
      </c>
      <c r="AK209" s="1188">
        <f t="shared" si="69"/>
        <v>1200</v>
      </c>
      <c r="AL209" s="1188"/>
      <c r="AM209" s="1188"/>
      <c r="AN209" s="1188"/>
      <c r="AO209" s="1188"/>
      <c r="AP209" s="1188"/>
      <c r="AQ209" s="1240"/>
      <c r="AR209" s="1188"/>
      <c r="AS209" s="1236"/>
      <c r="AT209" s="1236"/>
      <c r="AU209" s="1188"/>
      <c r="AV209" s="1250">
        <f t="shared" si="72"/>
        <v>72</v>
      </c>
      <c r="AW209" s="1250">
        <f>I209</f>
        <v>1200</v>
      </c>
      <c r="AX209" s="1188"/>
      <c r="AY209" s="1188"/>
      <c r="AZ209" s="1188"/>
      <c r="BA209" s="1188"/>
      <c r="BB209" s="1188"/>
      <c r="BC209" s="1188"/>
      <c r="BD209" s="1188"/>
      <c r="BE209" s="1188"/>
      <c r="BF209" s="1188"/>
      <c r="BG209" s="1188">
        <f>I209</f>
        <v>1200</v>
      </c>
      <c r="BH209" s="1188"/>
      <c r="BI209" s="1188"/>
      <c r="BJ209" s="1188"/>
      <c r="BK209" s="1188"/>
      <c r="BL209" s="1188"/>
      <c r="BM209" s="1188"/>
      <c r="BN209" s="1188"/>
      <c r="BO209" s="1240">
        <f>I209/25</f>
        <v>48</v>
      </c>
      <c r="BP209" s="1240"/>
      <c r="BQ209" s="1188"/>
      <c r="BR209" s="1236"/>
      <c r="BS209" s="1188"/>
      <c r="BT209" s="1188"/>
      <c r="BU209" s="1188"/>
      <c r="BV209" s="1240"/>
      <c r="BW209" s="1188"/>
      <c r="BX209" s="1188"/>
      <c r="BY209" s="1188"/>
      <c r="BZ209" s="1188"/>
      <c r="CA209" s="1188"/>
      <c r="CB209" s="1188"/>
      <c r="CC209" s="1188"/>
      <c r="CD209" s="1188">
        <f t="shared" si="65"/>
        <v>48</v>
      </c>
      <c r="CE209" s="1188">
        <f t="shared" si="66"/>
        <v>0</v>
      </c>
      <c r="CF209" s="1188">
        <f t="shared" si="67"/>
        <v>0</v>
      </c>
      <c r="CG209" s="1188">
        <f t="shared" si="68"/>
        <v>0</v>
      </c>
      <c r="CH209" s="1236"/>
      <c r="CI209" s="1236"/>
      <c r="CJ209" s="1236"/>
      <c r="CK209" s="1188"/>
      <c r="CL209" s="1188"/>
    </row>
    <row r="210" s="1168" customFormat="1" customHeight="1" spans="1:111">
      <c r="A210" s="1245">
        <v>46099</v>
      </c>
      <c r="B210" s="1247" t="s">
        <v>723</v>
      </c>
      <c r="C210" s="1234" t="s">
        <v>135</v>
      </c>
      <c r="D210" s="1188">
        <v>4500197500</v>
      </c>
      <c r="E210" s="1234" t="s">
        <v>982</v>
      </c>
      <c r="F210" s="1188" t="s">
        <v>983</v>
      </c>
      <c r="G210" s="1253" t="s">
        <v>726</v>
      </c>
      <c r="H210" s="1234" t="s">
        <v>483</v>
      </c>
      <c r="I210" s="1254">
        <v>4320</v>
      </c>
      <c r="J210" s="1234">
        <v>0</v>
      </c>
      <c r="K210" s="1234">
        <v>120</v>
      </c>
      <c r="L210" s="1246">
        <f t="shared" si="60"/>
        <v>36</v>
      </c>
      <c r="M210" s="1255">
        <v>46181</v>
      </c>
      <c r="N210" s="1255">
        <v>46177</v>
      </c>
      <c r="O210" s="1255"/>
      <c r="P210" s="1233"/>
      <c r="Q210" s="1304" t="s">
        <v>106</v>
      </c>
      <c r="R210" s="1234" t="s">
        <v>485</v>
      </c>
      <c r="S210" s="1234" t="s">
        <v>736</v>
      </c>
      <c r="T210" s="1233">
        <v>4320</v>
      </c>
      <c r="U210" s="1233">
        <f t="shared" si="49"/>
        <v>0</v>
      </c>
      <c r="V210" s="1234"/>
      <c r="W210" s="1256" t="s">
        <v>984</v>
      </c>
      <c r="X210" s="1257" t="s">
        <v>107</v>
      </c>
      <c r="Y210" s="1257" t="s">
        <v>95</v>
      </c>
      <c r="Z210" s="1247" t="s">
        <v>140</v>
      </c>
      <c r="AA210" s="1247"/>
      <c r="AB210" s="1247"/>
      <c r="AC210" s="1247" t="s">
        <v>985</v>
      </c>
      <c r="AD210" s="1255" t="s">
        <v>730</v>
      </c>
      <c r="AE210" s="1267">
        <v>1118</v>
      </c>
      <c r="AF210" s="1248">
        <f>L210*AE210</f>
        <v>40248</v>
      </c>
      <c r="AG210" s="1258"/>
      <c r="AH210" s="1234" t="s">
        <v>731</v>
      </c>
      <c r="AI210" s="1234" t="s">
        <v>112</v>
      </c>
      <c r="AJ210" s="1234" t="s">
        <v>113</v>
      </c>
      <c r="AK210" s="1188"/>
      <c r="AL210" s="1188">
        <f>I210*3</f>
        <v>12960</v>
      </c>
      <c r="AM210" s="1188"/>
      <c r="AN210" s="1188"/>
      <c r="AO210" s="1188"/>
      <c r="AP210" s="1188"/>
      <c r="AQ210" s="1240"/>
      <c r="AR210" s="1188"/>
      <c r="AS210" s="1236"/>
      <c r="AT210" s="1236"/>
      <c r="AU210" s="1188"/>
      <c r="AV210" s="1250">
        <f>I210*0.06*2</f>
        <v>518.4</v>
      </c>
      <c r="AW210" s="1250"/>
      <c r="AX210" s="1188"/>
      <c r="AY210" s="1188"/>
      <c r="AZ210" s="1188"/>
      <c r="BA210" s="1188"/>
      <c r="BB210" s="1188">
        <f>I210*3</f>
        <v>12960</v>
      </c>
      <c r="BC210" s="1188">
        <f>I210*3</f>
        <v>12960</v>
      </c>
      <c r="BD210" s="1188">
        <f>I210*3</f>
        <v>12960</v>
      </c>
      <c r="BE210" s="1188">
        <f>I210</f>
        <v>4320</v>
      </c>
      <c r="BF210" s="1188">
        <f>I210/6</f>
        <v>720</v>
      </c>
      <c r="BG210" s="1188"/>
      <c r="BH210" s="1188"/>
      <c r="BI210" s="1188"/>
      <c r="BJ210" s="1188"/>
      <c r="BK210" s="1188"/>
      <c r="BL210" s="1188"/>
      <c r="BM210" s="1188"/>
      <c r="BN210" s="1188"/>
      <c r="BO210" s="1240"/>
      <c r="BP210" s="1240"/>
      <c r="BQ210" s="1188"/>
      <c r="BR210" s="1236"/>
      <c r="BS210" s="1188"/>
      <c r="BT210" s="1188"/>
      <c r="BU210" s="1188"/>
      <c r="BV210" s="1240"/>
      <c r="BW210" s="1188"/>
      <c r="BX210" s="1188"/>
      <c r="BY210" s="1188"/>
      <c r="BZ210" s="1188"/>
      <c r="CA210" s="1188"/>
      <c r="CB210" s="1188"/>
      <c r="CC210" s="1188"/>
      <c r="CD210" s="1188">
        <f t="shared" si="65"/>
        <v>0</v>
      </c>
      <c r="CE210" s="1188">
        <f t="shared" si="66"/>
        <v>0</v>
      </c>
      <c r="CF210" s="1188">
        <f t="shared" si="67"/>
        <v>0</v>
      </c>
      <c r="CG210" s="1188">
        <f t="shared" si="68"/>
        <v>0</v>
      </c>
      <c r="CH210" s="1236"/>
      <c r="CI210" s="1236"/>
      <c r="CJ210" s="1236"/>
      <c r="CK210" s="1188"/>
      <c r="CL210" s="1188"/>
    </row>
    <row r="211" s="1168" customFormat="1" customHeight="1" spans="1:111">
      <c r="A211" s="1289">
        <v>46121</v>
      </c>
      <c r="B211" s="543" t="s">
        <v>163</v>
      </c>
      <c r="C211" s="504" t="s">
        <v>164</v>
      </c>
      <c r="D211" s="1305">
        <v>4500200925</v>
      </c>
      <c r="E211" s="506">
        <v>4400555639</v>
      </c>
      <c r="F211" s="502" t="s">
        <v>986</v>
      </c>
      <c r="G211" s="505" t="s">
        <v>270</v>
      </c>
      <c r="H211" s="498" t="s">
        <v>104</v>
      </c>
      <c r="I211" s="1290">
        <v>8000</v>
      </c>
      <c r="J211" s="504">
        <v>0</v>
      </c>
      <c r="K211" s="504">
        <v>25</v>
      </c>
      <c r="L211" s="1291">
        <f t="shared" si="60"/>
        <v>320</v>
      </c>
      <c r="M211" s="501">
        <v>46181</v>
      </c>
      <c r="N211" s="501">
        <v>46177</v>
      </c>
      <c r="O211" s="501"/>
      <c r="P211" s="506"/>
      <c r="Q211" s="1306" t="s">
        <v>979</v>
      </c>
      <c r="R211" s="504"/>
      <c r="S211" s="504"/>
      <c r="T211" s="506">
        <v>8000</v>
      </c>
      <c r="U211" s="500">
        <f t="shared" si="49"/>
        <v>0</v>
      </c>
      <c r="V211" s="504"/>
      <c r="W211" s="1307" t="s">
        <v>987</v>
      </c>
      <c r="X211" s="1308" t="s">
        <v>95</v>
      </c>
      <c r="Y211" s="1308" t="s">
        <v>95</v>
      </c>
      <c r="Z211" s="502" t="s">
        <v>140</v>
      </c>
      <c r="AA211" s="502"/>
      <c r="AB211" s="543"/>
      <c r="AC211" s="543" t="s">
        <v>988</v>
      </c>
      <c r="AD211" s="501" t="s">
        <v>142</v>
      </c>
      <c r="AE211" s="502">
        <v>1.007</v>
      </c>
      <c r="AF211" s="503">
        <f>I211*AE211</f>
        <v>8056</v>
      </c>
      <c r="AG211" s="1295"/>
      <c r="AH211" s="504" t="s">
        <v>137</v>
      </c>
      <c r="AI211" s="504" t="s">
        <v>112</v>
      </c>
      <c r="AJ211" s="498" t="s">
        <v>113</v>
      </c>
      <c r="AK211" s="496">
        <f>I211</f>
        <v>8000</v>
      </c>
      <c r="AL211" s="502"/>
      <c r="AM211" s="502"/>
      <c r="AN211" s="502"/>
      <c r="AO211" s="502"/>
      <c r="AP211" s="502"/>
      <c r="AQ211" s="1296"/>
      <c r="AR211" s="438"/>
      <c r="AS211" s="1297"/>
      <c r="AT211" s="1297"/>
      <c r="AU211" s="502"/>
      <c r="AV211" s="1298">
        <f>I211*0.06</f>
        <v>480</v>
      </c>
      <c r="AW211" s="1298"/>
      <c r="AX211" s="502"/>
      <c r="AY211" s="502"/>
      <c r="AZ211" s="502"/>
      <c r="BA211" s="502"/>
      <c r="BB211" s="502"/>
      <c r="BC211" s="502"/>
      <c r="BD211" s="502"/>
      <c r="BE211" s="502"/>
      <c r="BF211" s="502"/>
      <c r="BG211" s="1218">
        <f>I211</f>
        <v>8000</v>
      </c>
      <c r="BH211" s="496">
        <f>I211</f>
        <v>8000</v>
      </c>
      <c r="BI211" s="502"/>
      <c r="BJ211" s="502"/>
      <c r="BK211" s="502"/>
      <c r="BL211" s="502"/>
      <c r="BM211" s="502"/>
      <c r="BN211" s="502"/>
      <c r="BO211" s="1296">
        <f>I211/25</f>
        <v>320</v>
      </c>
      <c r="BP211" s="1296"/>
      <c r="BQ211" s="1218"/>
      <c r="BR211" s="1297"/>
      <c r="BS211" s="502"/>
      <c r="BT211" s="502"/>
      <c r="BU211" s="502"/>
      <c r="BV211" s="1296"/>
      <c r="BW211" s="1218"/>
      <c r="BX211" s="1218"/>
      <c r="BY211" s="1218"/>
      <c r="BZ211" s="1218"/>
      <c r="CA211" s="1218"/>
      <c r="CB211" s="1218"/>
      <c r="CC211" s="1218"/>
      <c r="CD211" s="1218">
        <f t="shared" si="65"/>
        <v>320</v>
      </c>
      <c r="CE211" s="1218">
        <f t="shared" si="66"/>
        <v>0</v>
      </c>
      <c r="CF211" s="502">
        <f t="shared" si="67"/>
        <v>0</v>
      </c>
      <c r="CG211" s="1218">
        <f t="shared" si="68"/>
        <v>0</v>
      </c>
      <c r="CH211" s="1299"/>
      <c r="CI211" s="1299"/>
      <c r="CJ211" s="1297"/>
      <c r="CK211" s="502"/>
      <c r="CL211" s="502"/>
      <c r="CM211" s="293"/>
      <c r="CN211" s="293"/>
      <c r="CO211" s="293"/>
      <c r="CP211" s="293"/>
      <c r="CQ211" s="293"/>
      <c r="CR211" s="293"/>
      <c r="CS211" s="293"/>
      <c r="CT211" s="293"/>
      <c r="CU211" s="293"/>
      <c r="CV211" s="293"/>
      <c r="CW211" s="293"/>
      <c r="CX211" s="293"/>
      <c r="CY211" s="293"/>
      <c r="CZ211" s="293"/>
      <c r="DA211" s="293"/>
      <c r="DB211" s="293"/>
      <c r="DC211" s="293"/>
      <c r="DD211" s="293"/>
      <c r="DE211" s="293"/>
      <c r="DF211" s="293"/>
      <c r="DG211" s="293"/>
    </row>
    <row r="212" s="1168" customFormat="1" customHeight="1" spans="1:111">
      <c r="A212" s="1245">
        <v>46105</v>
      </c>
      <c r="B212" s="1247" t="s">
        <v>989</v>
      </c>
      <c r="C212" s="1234" t="s">
        <v>115</v>
      </c>
      <c r="D212" s="1188">
        <v>4500198397</v>
      </c>
      <c r="E212" s="1234" t="s">
        <v>990</v>
      </c>
      <c r="F212" s="1188" t="s">
        <v>991</v>
      </c>
      <c r="G212" s="1253" t="s">
        <v>188</v>
      </c>
      <c r="H212" s="1234" t="s">
        <v>138</v>
      </c>
      <c r="I212" s="1254">
        <v>700</v>
      </c>
      <c r="J212" s="1234">
        <v>0</v>
      </c>
      <c r="K212" s="1234">
        <v>50</v>
      </c>
      <c r="L212" s="1246">
        <f t="shared" si="60"/>
        <v>14</v>
      </c>
      <c r="M212" s="1255">
        <v>46181</v>
      </c>
      <c r="N212" s="1255">
        <v>46214</v>
      </c>
      <c r="O212" s="1255"/>
      <c r="P212" s="1233"/>
      <c r="Q212" s="1286" t="s">
        <v>106</v>
      </c>
      <c r="R212" s="1234"/>
      <c r="S212" s="1234" t="s">
        <v>943</v>
      </c>
      <c r="T212" s="1233">
        <v>700</v>
      </c>
      <c r="U212" s="1233">
        <f t="shared" si="49"/>
        <v>0</v>
      </c>
      <c r="V212" s="1234"/>
      <c r="W212" s="1256">
        <v>46150</v>
      </c>
      <c r="X212" s="1257" t="s">
        <v>95</v>
      </c>
      <c r="Y212" s="1257" t="s">
        <v>95</v>
      </c>
      <c r="Z212" s="1247"/>
      <c r="AA212" s="1247"/>
      <c r="AB212" s="1247"/>
      <c r="AC212" s="1247" t="s">
        <v>992</v>
      </c>
      <c r="AD212" s="1248" t="s">
        <v>178</v>
      </c>
      <c r="AE212" s="1247">
        <v>0.6042</v>
      </c>
      <c r="AF212" s="1248">
        <f>AE212*I212</f>
        <v>422.94</v>
      </c>
      <c r="AG212" s="1258"/>
      <c r="AH212" s="1234" t="s">
        <v>188</v>
      </c>
      <c r="AI212" s="1234" t="s">
        <v>112</v>
      </c>
      <c r="AJ212" s="1234" t="s">
        <v>769</v>
      </c>
      <c r="AK212" s="1188">
        <f>I212</f>
        <v>700</v>
      </c>
      <c r="AL212" s="1188"/>
      <c r="AM212" s="1188"/>
      <c r="AN212" s="1188">
        <f>I212</f>
        <v>700</v>
      </c>
      <c r="AO212" s="1188"/>
      <c r="AP212" s="1188"/>
      <c r="AQ212" s="1240"/>
      <c r="AR212" s="1188"/>
      <c r="AS212" s="1236"/>
      <c r="AT212" s="1236"/>
      <c r="AU212" s="1188">
        <f>I212</f>
        <v>700</v>
      </c>
      <c r="AV212" s="1250">
        <f>I212*0.06</f>
        <v>42</v>
      </c>
      <c r="AW212" s="1250"/>
      <c r="AX212" s="1188"/>
      <c r="AY212" s="1188"/>
      <c r="AZ212" s="1188"/>
      <c r="BA212" s="1188"/>
      <c r="BB212" s="1188"/>
      <c r="BC212" s="1188"/>
      <c r="BD212" s="1188"/>
      <c r="BE212" s="1188"/>
      <c r="BF212" s="1188"/>
      <c r="BG212" s="1188"/>
      <c r="BH212" s="1188"/>
      <c r="BI212" s="1188"/>
      <c r="BJ212" s="1188"/>
      <c r="BK212" s="1188"/>
      <c r="BL212" s="1188"/>
      <c r="BM212" s="1188"/>
      <c r="BN212" s="1188">
        <f>I212/25</f>
        <v>28</v>
      </c>
      <c r="BO212" s="1240"/>
      <c r="BP212" s="1240"/>
      <c r="BQ212" s="1188"/>
      <c r="BR212" s="1236"/>
      <c r="BS212" s="1188"/>
      <c r="BT212" s="1188"/>
      <c r="BU212" s="1188"/>
      <c r="BV212" s="1240"/>
      <c r="BW212" s="1188"/>
      <c r="BX212" s="1188"/>
      <c r="BY212" s="1188"/>
      <c r="BZ212" s="1188"/>
      <c r="CA212" s="1188"/>
      <c r="CB212" s="1188"/>
      <c r="CC212" s="1188"/>
      <c r="CD212" s="1188">
        <f t="shared" si="65"/>
        <v>28</v>
      </c>
      <c r="CE212" s="1188">
        <f t="shared" si="66"/>
        <v>0</v>
      </c>
      <c r="CF212" s="1188">
        <f t="shared" si="67"/>
        <v>0</v>
      </c>
      <c r="CG212" s="1188">
        <f t="shared" si="68"/>
        <v>0</v>
      </c>
      <c r="CH212" s="1236"/>
      <c r="CI212" s="1236"/>
      <c r="CJ212" s="1236"/>
      <c r="CK212" s="1188"/>
      <c r="CL212" s="1188"/>
    </row>
    <row r="213" s="1168" customFormat="1" customHeight="1" spans="1:111">
      <c r="A213" s="1245">
        <v>46129</v>
      </c>
      <c r="B213" s="1247" t="s">
        <v>989</v>
      </c>
      <c r="C213" s="1234" t="s">
        <v>115</v>
      </c>
      <c r="D213" s="1268">
        <v>4500202661</v>
      </c>
      <c r="E213" s="1234" t="s">
        <v>993</v>
      </c>
      <c r="F213" s="1188" t="s">
        <v>994</v>
      </c>
      <c r="G213" s="1253" t="s">
        <v>188</v>
      </c>
      <c r="H213" s="1234" t="s">
        <v>138</v>
      </c>
      <c r="I213" s="1254">
        <v>50</v>
      </c>
      <c r="J213" s="1234">
        <v>0</v>
      </c>
      <c r="K213" s="1234">
        <v>50</v>
      </c>
      <c r="L213" s="1246">
        <f t="shared" si="60"/>
        <v>1</v>
      </c>
      <c r="M213" s="1255">
        <v>46181</v>
      </c>
      <c r="N213" s="1255">
        <v>46214</v>
      </c>
      <c r="O213" s="1255"/>
      <c r="P213" s="1233"/>
      <c r="Q213" s="1286" t="s">
        <v>106</v>
      </c>
      <c r="R213" s="1234"/>
      <c r="S213" s="1234" t="s">
        <v>943</v>
      </c>
      <c r="T213" s="1233">
        <v>50</v>
      </c>
      <c r="U213" s="1233">
        <f t="shared" si="49"/>
        <v>0</v>
      </c>
      <c r="V213" s="1234"/>
      <c r="W213" s="1256">
        <v>46151</v>
      </c>
      <c r="X213" s="1257" t="s">
        <v>95</v>
      </c>
      <c r="Y213" s="1257" t="s">
        <v>95</v>
      </c>
      <c r="Z213" s="1247"/>
      <c r="AA213" s="1247"/>
      <c r="AB213" s="1247"/>
      <c r="AC213" s="1247" t="s">
        <v>995</v>
      </c>
      <c r="AD213" s="1248" t="s">
        <v>178</v>
      </c>
      <c r="AE213" s="1247">
        <v>0.6566</v>
      </c>
      <c r="AF213" s="1248">
        <f>AE213*I213</f>
        <v>32.83</v>
      </c>
      <c r="AG213" s="1249" t="s">
        <v>996</v>
      </c>
      <c r="AH213" s="1234" t="s">
        <v>188</v>
      </c>
      <c r="AI213" s="1234" t="s">
        <v>112</v>
      </c>
      <c r="AJ213" s="1234" t="s">
        <v>769</v>
      </c>
      <c r="AK213" s="1188">
        <f>I213</f>
        <v>50</v>
      </c>
      <c r="AL213" s="1188"/>
      <c r="AM213" s="1188"/>
      <c r="AN213" s="1188">
        <f>I213</f>
        <v>50</v>
      </c>
      <c r="AO213" s="1188"/>
      <c r="AP213" s="1188"/>
      <c r="AQ213" s="1240"/>
      <c r="AR213" s="1188"/>
      <c r="AS213" s="1236"/>
      <c r="AT213" s="1236"/>
      <c r="AU213" s="1188">
        <f>I213</f>
        <v>50</v>
      </c>
      <c r="AV213" s="1250">
        <f>I213*0.06*2</f>
        <v>6</v>
      </c>
      <c r="AW213" s="1250"/>
      <c r="AX213" s="1188"/>
      <c r="AY213" s="1188"/>
      <c r="AZ213" s="1188"/>
      <c r="BA213" s="1188"/>
      <c r="BB213" s="1188"/>
      <c r="BC213" s="1188"/>
      <c r="BD213" s="1188"/>
      <c r="BE213" s="1188"/>
      <c r="BF213" s="1188"/>
      <c r="BG213" s="1188"/>
      <c r="BH213" s="1188"/>
      <c r="BI213" s="1188"/>
      <c r="BJ213" s="1188"/>
      <c r="BK213" s="1188"/>
      <c r="BL213" s="1188"/>
      <c r="BM213" s="1188"/>
      <c r="BN213" s="1188"/>
      <c r="BO213" s="1240"/>
      <c r="BP213" s="1240"/>
      <c r="BQ213" s="1188"/>
      <c r="BR213" s="1236"/>
      <c r="BS213" s="1188"/>
      <c r="BT213" s="1188"/>
      <c r="BU213" s="1188"/>
      <c r="BV213" s="1240"/>
      <c r="BW213" s="1188"/>
      <c r="BX213" s="1188"/>
      <c r="BY213" s="1188"/>
      <c r="BZ213" s="1188"/>
      <c r="CA213" s="1188"/>
      <c r="CB213" s="1188"/>
      <c r="CC213" s="1188"/>
      <c r="CD213" s="1188">
        <f t="shared" si="65"/>
        <v>0</v>
      </c>
      <c r="CE213" s="1188">
        <f t="shared" si="66"/>
        <v>0</v>
      </c>
      <c r="CF213" s="1188">
        <f t="shared" si="67"/>
        <v>0</v>
      </c>
      <c r="CG213" s="1188">
        <f t="shared" si="68"/>
        <v>0</v>
      </c>
      <c r="CH213" s="1236"/>
      <c r="CI213" s="1236"/>
      <c r="CJ213" s="1236"/>
      <c r="CK213" s="1188"/>
      <c r="CL213" s="1188"/>
    </row>
    <row r="214" s="1168" customFormat="1" customHeight="1" spans="1:111">
      <c r="A214" s="1245">
        <v>46129</v>
      </c>
      <c r="B214" s="1247" t="s">
        <v>989</v>
      </c>
      <c r="C214" s="1234" t="s">
        <v>115</v>
      </c>
      <c r="D214" s="1268">
        <v>4500202682</v>
      </c>
      <c r="E214" s="1234" t="s">
        <v>997</v>
      </c>
      <c r="F214" s="1188" t="s">
        <v>998</v>
      </c>
      <c r="G214" s="1253" t="s">
        <v>188</v>
      </c>
      <c r="H214" s="1234" t="s">
        <v>138</v>
      </c>
      <c r="I214" s="1254">
        <v>2700</v>
      </c>
      <c r="J214" s="1234">
        <v>0</v>
      </c>
      <c r="K214" s="1234">
        <v>50</v>
      </c>
      <c r="L214" s="1246">
        <f t="shared" si="60"/>
        <v>54</v>
      </c>
      <c r="M214" s="1255">
        <v>46181</v>
      </c>
      <c r="N214" s="1255">
        <v>46214</v>
      </c>
      <c r="O214" s="1255"/>
      <c r="P214" s="1233"/>
      <c r="Q214" s="1286" t="s">
        <v>106</v>
      </c>
      <c r="R214" s="1234"/>
      <c r="S214" s="1234" t="s">
        <v>718</v>
      </c>
      <c r="T214" s="1233">
        <v>2700</v>
      </c>
      <c r="U214" s="1233">
        <f t="shared" si="49"/>
        <v>0</v>
      </c>
      <c r="V214" s="1234"/>
      <c r="W214" s="1256">
        <v>46151</v>
      </c>
      <c r="X214" s="1257" t="s">
        <v>95</v>
      </c>
      <c r="Y214" s="1257" t="s">
        <v>95</v>
      </c>
      <c r="Z214" s="1247"/>
      <c r="AA214" s="1247"/>
      <c r="AB214" s="1247"/>
      <c r="AC214" s="1247" t="s">
        <v>995</v>
      </c>
      <c r="AD214" s="1248" t="s">
        <v>178</v>
      </c>
      <c r="AE214" s="1247">
        <v>0.6534</v>
      </c>
      <c r="AF214" s="1248">
        <f>AE214*I214</f>
        <v>1764.18</v>
      </c>
      <c r="AG214" s="1249" t="s">
        <v>999</v>
      </c>
      <c r="AH214" s="1234" t="s">
        <v>188</v>
      </c>
      <c r="AI214" s="1234" t="s">
        <v>112</v>
      </c>
      <c r="AJ214" s="1234" t="s">
        <v>769</v>
      </c>
      <c r="AK214" s="1188">
        <f>I214</f>
        <v>2700</v>
      </c>
      <c r="AL214" s="1188"/>
      <c r="AM214" s="1188"/>
      <c r="AN214" s="1188">
        <f>I214</f>
        <v>2700</v>
      </c>
      <c r="AO214" s="1188"/>
      <c r="AP214" s="1188"/>
      <c r="AQ214" s="1240"/>
      <c r="AR214" s="1188"/>
      <c r="AS214" s="1236"/>
      <c r="AT214" s="1236"/>
      <c r="AU214" s="1188">
        <f>I214</f>
        <v>2700</v>
      </c>
      <c r="AV214" s="1250">
        <f>I214*0.06*2</f>
        <v>324</v>
      </c>
      <c r="AW214" s="1250"/>
      <c r="AX214" s="1188"/>
      <c r="AY214" s="1188"/>
      <c r="AZ214" s="1188"/>
      <c r="BA214" s="1188"/>
      <c r="BB214" s="1188"/>
      <c r="BC214" s="1188"/>
      <c r="BD214" s="1188"/>
      <c r="BE214" s="1188"/>
      <c r="BF214" s="1188"/>
      <c r="BG214" s="1188"/>
      <c r="BH214" s="1188"/>
      <c r="BI214" s="1188"/>
      <c r="BJ214" s="1188"/>
      <c r="BK214" s="1188"/>
      <c r="BL214" s="1188"/>
      <c r="BM214" s="1188"/>
      <c r="BN214" s="1188"/>
      <c r="BO214" s="1240"/>
      <c r="BP214" s="1240"/>
      <c r="BQ214" s="1188"/>
      <c r="BR214" s="1236"/>
      <c r="BS214" s="1188"/>
      <c r="BT214" s="1188"/>
      <c r="BU214" s="1188"/>
      <c r="BV214" s="1240"/>
      <c r="BW214" s="1188"/>
      <c r="BX214" s="1188"/>
      <c r="BY214" s="1188"/>
      <c r="BZ214" s="1188"/>
      <c r="CA214" s="1188"/>
      <c r="CB214" s="1188"/>
      <c r="CC214" s="1188"/>
      <c r="CD214" s="1188">
        <f t="shared" si="65"/>
        <v>0</v>
      </c>
      <c r="CE214" s="1188">
        <f t="shared" si="66"/>
        <v>0</v>
      </c>
      <c r="CF214" s="1188">
        <f t="shared" si="67"/>
        <v>0</v>
      </c>
      <c r="CG214" s="1188">
        <f t="shared" si="68"/>
        <v>0</v>
      </c>
      <c r="CH214" s="1236"/>
      <c r="CI214" s="1236"/>
      <c r="CJ214" s="1236"/>
      <c r="CK214" s="1188"/>
      <c r="CL214" s="1188"/>
    </row>
    <row r="215" s="1168" customFormat="1" customHeight="1" spans="1:111">
      <c r="A215" s="1245">
        <v>46127</v>
      </c>
      <c r="B215" s="1247" t="s">
        <v>855</v>
      </c>
      <c r="C215" s="1234" t="s">
        <v>856</v>
      </c>
      <c r="D215" s="1188">
        <v>4500202163</v>
      </c>
      <c r="E215" s="1234" t="s">
        <v>857</v>
      </c>
      <c r="F215" s="1188" t="s">
        <v>1000</v>
      </c>
      <c r="G215" s="1253" t="s">
        <v>803</v>
      </c>
      <c r="H215" s="1234" t="s">
        <v>804</v>
      </c>
      <c r="I215" s="1254">
        <v>2004</v>
      </c>
      <c r="J215" s="1234">
        <v>0</v>
      </c>
      <c r="K215" s="1234">
        <v>6</v>
      </c>
      <c r="L215" s="1246">
        <f t="shared" si="60"/>
        <v>334</v>
      </c>
      <c r="M215" s="1255">
        <v>46181</v>
      </c>
      <c r="N215" s="1255">
        <v>46214</v>
      </c>
      <c r="O215" s="1255"/>
      <c r="P215" s="1233"/>
      <c r="Q215" s="1286" t="s">
        <v>106</v>
      </c>
      <c r="R215" s="1234"/>
      <c r="S215" s="1234"/>
      <c r="T215" s="1233">
        <v>2004</v>
      </c>
      <c r="U215" s="1233">
        <f t="shared" si="49"/>
        <v>0</v>
      </c>
      <c r="V215" s="1234" t="s">
        <v>120</v>
      </c>
      <c r="W215" s="1256">
        <v>46135</v>
      </c>
      <c r="X215" s="1257" t="s">
        <v>95</v>
      </c>
      <c r="Y215" s="1257" t="s">
        <v>1001</v>
      </c>
      <c r="Z215" s="1247"/>
      <c r="AA215" s="1247"/>
      <c r="AB215" s="1247"/>
      <c r="AC215" s="1247" t="s">
        <v>861</v>
      </c>
      <c r="AD215" s="1248" t="s">
        <v>862</v>
      </c>
      <c r="AE215" s="1247">
        <v>8.15</v>
      </c>
      <c r="AF215" s="1248">
        <f>I215*AE215</f>
        <v>16332.6</v>
      </c>
      <c r="AG215" s="1258"/>
      <c r="AH215" s="1234" t="s">
        <v>806</v>
      </c>
      <c r="AI215" s="1234" t="s">
        <v>112</v>
      </c>
      <c r="AJ215" s="1234" t="s">
        <v>769</v>
      </c>
      <c r="AK215" s="1188">
        <f>I215*2</f>
        <v>4008</v>
      </c>
      <c r="AL215" s="1188"/>
      <c r="AM215" s="1188"/>
      <c r="AN215" s="1188">
        <f>I215*2</f>
        <v>4008</v>
      </c>
      <c r="AO215" s="1188"/>
      <c r="AP215" s="1188"/>
      <c r="AQ215" s="1240"/>
      <c r="AR215" s="1188"/>
      <c r="AS215" s="1236"/>
      <c r="AT215" s="1236"/>
      <c r="AU215" s="1188">
        <f>I215*2</f>
        <v>4008</v>
      </c>
      <c r="AV215" s="1250">
        <f>I215*0.06*2</f>
        <v>240.48</v>
      </c>
      <c r="AW215" s="1250"/>
      <c r="AX215" s="1188"/>
      <c r="AY215" s="1188"/>
      <c r="AZ215" s="1188"/>
      <c r="BA215" s="1188"/>
      <c r="BB215" s="1188"/>
      <c r="BC215" s="1188"/>
      <c r="BD215" s="1188"/>
      <c r="BE215" s="1188"/>
      <c r="BF215" s="1188"/>
      <c r="BG215" s="1188"/>
      <c r="BH215" s="1188"/>
      <c r="BI215" s="1188"/>
      <c r="BJ215" s="1188"/>
      <c r="BK215" s="1188"/>
      <c r="BL215" s="1188"/>
      <c r="BM215" s="1188"/>
      <c r="BN215" s="1188"/>
      <c r="BO215" s="1240"/>
      <c r="BP215" s="1240"/>
      <c r="BQ215" s="1188"/>
      <c r="BR215" s="1236"/>
      <c r="BS215" s="1188"/>
      <c r="BT215" s="1188"/>
      <c r="BU215" s="1188"/>
      <c r="BV215" s="1240"/>
      <c r="BW215" s="1188"/>
      <c r="BX215" s="1188"/>
      <c r="BY215" s="1188"/>
      <c r="BZ215" s="1188"/>
      <c r="CA215" s="1188"/>
      <c r="CB215" s="1188"/>
      <c r="CC215" s="1188"/>
      <c r="CD215" s="1188">
        <f t="shared" si="65"/>
        <v>0</v>
      </c>
      <c r="CE215" s="1188">
        <f t="shared" si="66"/>
        <v>0</v>
      </c>
      <c r="CF215" s="1188">
        <f t="shared" si="67"/>
        <v>0</v>
      </c>
      <c r="CG215" s="1188">
        <f t="shared" si="68"/>
        <v>0</v>
      </c>
      <c r="CH215" s="1236"/>
      <c r="CI215" s="1236"/>
      <c r="CJ215" s="1236"/>
      <c r="CK215" s="1188"/>
      <c r="CL215" s="1188"/>
    </row>
    <row r="216" s="1168" customFormat="1" customHeight="1" spans="1:111">
      <c r="A216" s="1245">
        <v>46135</v>
      </c>
      <c r="B216" s="1247" t="s">
        <v>890</v>
      </c>
      <c r="C216" s="1234" t="s">
        <v>891</v>
      </c>
      <c r="D216" s="1268">
        <v>4500203556</v>
      </c>
      <c r="E216" s="1233">
        <v>5200009753</v>
      </c>
      <c r="F216" s="1188" t="s">
        <v>1002</v>
      </c>
      <c r="G216" s="1253" t="s">
        <v>193</v>
      </c>
      <c r="H216" s="1234" t="s">
        <v>194</v>
      </c>
      <c r="I216" s="1254">
        <v>3536</v>
      </c>
      <c r="J216" s="1234">
        <v>0</v>
      </c>
      <c r="K216" s="1234">
        <v>13</v>
      </c>
      <c r="L216" s="1246">
        <f t="shared" si="60"/>
        <v>272</v>
      </c>
      <c r="M216" s="1255">
        <v>46182</v>
      </c>
      <c r="N216" s="1255">
        <v>46178</v>
      </c>
      <c r="O216" s="1255"/>
      <c r="P216" s="1233"/>
      <c r="Q216" s="1286" t="s">
        <v>106</v>
      </c>
      <c r="R216" s="1234"/>
      <c r="S216" s="1234"/>
      <c r="T216" s="1233">
        <v>3536</v>
      </c>
      <c r="U216" s="1233">
        <f t="shared" ref="U216:U279" si="74">T216-I216</f>
        <v>0</v>
      </c>
      <c r="V216" s="1234"/>
      <c r="W216" s="1256">
        <v>46154</v>
      </c>
      <c r="X216" s="1257" t="s">
        <v>95</v>
      </c>
      <c r="Y216" s="1257" t="s">
        <v>1003</v>
      </c>
      <c r="Z216" s="1247"/>
      <c r="AA216" s="1247"/>
      <c r="AB216" s="1247"/>
      <c r="AC216" s="1247" t="s">
        <v>1004</v>
      </c>
      <c r="AD216" s="1255" t="s">
        <v>895</v>
      </c>
      <c r="AE216" s="1188">
        <v>1.2</v>
      </c>
      <c r="AF216" s="1248">
        <f>I216*AE216</f>
        <v>4243.2</v>
      </c>
      <c r="AG216" s="1258"/>
      <c r="AH216" s="1234" t="s">
        <v>199</v>
      </c>
      <c r="AI216" s="1234" t="s">
        <v>112</v>
      </c>
      <c r="AJ216" s="1234" t="s">
        <v>113</v>
      </c>
      <c r="AK216" s="1188">
        <f>I216</f>
        <v>3536</v>
      </c>
      <c r="AL216" s="1188"/>
      <c r="AM216" s="1188"/>
      <c r="AN216" s="1188"/>
      <c r="AO216" s="1188"/>
      <c r="AP216" s="1188">
        <f>I216</f>
        <v>3536</v>
      </c>
      <c r="AQ216" s="1240"/>
      <c r="AR216" s="1188"/>
      <c r="AS216" s="1236"/>
      <c r="AT216" s="1236"/>
      <c r="AU216" s="1188">
        <f>I216</f>
        <v>3536</v>
      </c>
      <c r="AV216" s="1250">
        <f>I216*0.06*2</f>
        <v>424.32</v>
      </c>
      <c r="AW216" s="1250"/>
      <c r="AX216" s="1188"/>
      <c r="AY216" s="1188"/>
      <c r="AZ216" s="1188"/>
      <c r="BA216" s="1188"/>
      <c r="BB216" s="1188"/>
      <c r="BC216" s="1188"/>
      <c r="BD216" s="1188"/>
      <c r="BE216" s="1188"/>
      <c r="BF216" s="1188"/>
      <c r="BG216" s="1188"/>
      <c r="BH216" s="1188"/>
      <c r="BI216" s="1188"/>
      <c r="BJ216" s="1188"/>
      <c r="BK216" s="1188"/>
      <c r="BL216" s="1188"/>
      <c r="BM216" s="1188"/>
      <c r="BN216" s="1188"/>
      <c r="BO216" s="1240"/>
      <c r="BP216" s="1240"/>
      <c r="BQ216" s="1188"/>
      <c r="BR216" s="1236"/>
      <c r="BS216" s="1188"/>
      <c r="BT216" s="1188"/>
      <c r="BU216" s="1188"/>
      <c r="BV216" s="1240"/>
      <c r="BW216" s="1188"/>
      <c r="BX216" s="1188"/>
      <c r="BY216" s="1188"/>
      <c r="BZ216" s="1188"/>
      <c r="CA216" s="1188"/>
      <c r="CB216" s="1188"/>
      <c r="CC216" s="1188"/>
      <c r="CD216" s="1188">
        <f t="shared" si="65"/>
        <v>0</v>
      </c>
      <c r="CE216" s="1188">
        <f t="shared" si="66"/>
        <v>0</v>
      </c>
      <c r="CF216" s="1188">
        <f t="shared" si="67"/>
        <v>0</v>
      </c>
      <c r="CG216" s="1188">
        <f t="shared" si="68"/>
        <v>0</v>
      </c>
      <c r="CH216" s="1236"/>
      <c r="CI216" s="1236"/>
      <c r="CJ216" s="1236"/>
      <c r="CK216" s="1188"/>
      <c r="CL216" s="1188"/>
    </row>
    <row r="217" s="1168" customFormat="1" customHeight="1" spans="1:111">
      <c r="A217" s="1309">
        <v>46177</v>
      </c>
      <c r="B217" s="544"/>
      <c r="C217" s="488" t="s">
        <v>597</v>
      </c>
      <c r="D217" s="327" t="s">
        <v>1005</v>
      </c>
      <c r="E217" s="488"/>
      <c r="F217" s="327" t="s">
        <v>1006</v>
      </c>
      <c r="G217" s="1310" t="s">
        <v>91</v>
      </c>
      <c r="H217" s="1311" t="s">
        <v>1007</v>
      </c>
      <c r="I217" s="1311">
        <v>30</v>
      </c>
      <c r="J217" s="504">
        <v>0</v>
      </c>
      <c r="K217" s="504">
        <v>24</v>
      </c>
      <c r="L217" s="1291">
        <f t="shared" si="60"/>
        <v>1.25</v>
      </c>
      <c r="M217" s="1312">
        <v>46182</v>
      </c>
      <c r="N217" s="1312">
        <v>46178</v>
      </c>
      <c r="O217" s="1312"/>
      <c r="P217" s="1313"/>
      <c r="Q217" s="1314"/>
      <c r="R217" s="488"/>
      <c r="S217" s="488"/>
      <c r="T217" s="1313"/>
      <c r="U217" s="500">
        <f t="shared" si="74"/>
        <v>-30</v>
      </c>
      <c r="V217" s="488"/>
      <c r="W217" s="1293" t="s">
        <v>94</v>
      </c>
      <c r="X217" s="1294" t="s">
        <v>95</v>
      </c>
      <c r="Y217" s="1294" t="s">
        <v>95</v>
      </c>
      <c r="Z217" s="544"/>
      <c r="AA217" s="544"/>
      <c r="AB217" s="544"/>
      <c r="AC217" s="544" t="s">
        <v>1008</v>
      </c>
      <c r="AD217" s="1312"/>
      <c r="AE217" s="327"/>
      <c r="AF217" s="1315"/>
      <c r="AG217" s="1295"/>
      <c r="AH217" s="1234" t="s">
        <v>99</v>
      </c>
      <c r="AI217" s="1234" t="s">
        <v>99</v>
      </c>
      <c r="AJ217" s="488"/>
      <c r="AK217" s="496">
        <f>I217</f>
        <v>30</v>
      </c>
      <c r="AL217" s="327"/>
      <c r="AM217" s="327"/>
      <c r="AN217" s="327"/>
      <c r="AO217" s="327"/>
      <c r="AP217" s="327"/>
      <c r="AQ217" s="1316"/>
      <c r="AR217" s="327"/>
      <c r="AS217" s="1317"/>
      <c r="AT217" s="1317"/>
      <c r="AU217" s="327"/>
      <c r="AV217" s="1298"/>
      <c r="AW217" s="1318"/>
      <c r="AX217" s="327"/>
      <c r="AY217" s="327"/>
      <c r="AZ217" s="327"/>
      <c r="BA217" s="327"/>
      <c r="BB217" s="327"/>
      <c r="BC217" s="327"/>
      <c r="BD217" s="327"/>
      <c r="BE217" s="327"/>
      <c r="BF217" s="327"/>
      <c r="BG217" s="327"/>
      <c r="BH217" s="327"/>
      <c r="BI217" s="327"/>
      <c r="BJ217" s="327"/>
      <c r="BK217" s="327"/>
      <c r="BL217" s="327"/>
      <c r="BM217" s="327"/>
      <c r="BN217" s="327"/>
      <c r="BO217" s="1316"/>
      <c r="BP217" s="1316"/>
      <c r="BQ217" s="327"/>
      <c r="BR217" s="1317"/>
      <c r="BS217" s="327"/>
      <c r="BT217" s="327"/>
      <c r="BU217" s="327"/>
      <c r="BV217" s="1316"/>
      <c r="BW217" s="327"/>
      <c r="BX217" s="327"/>
      <c r="BY217" s="327"/>
      <c r="BZ217" s="327"/>
      <c r="CA217" s="327"/>
      <c r="CB217" s="327"/>
      <c r="CC217" s="327"/>
      <c r="CD217" s="1218">
        <f t="shared" si="65"/>
        <v>0</v>
      </c>
      <c r="CE217" s="1218">
        <f t="shared" si="66"/>
        <v>0</v>
      </c>
      <c r="CF217" s="502">
        <f t="shared" si="67"/>
        <v>0</v>
      </c>
      <c r="CG217" s="1218">
        <f t="shared" si="68"/>
        <v>0</v>
      </c>
      <c r="CH217" s="1299"/>
      <c r="CI217" s="1299"/>
      <c r="CJ217" s="1317"/>
      <c r="CK217" s="327"/>
      <c r="CL217" s="327"/>
      <c r="CM217" s="1180"/>
      <c r="CN217" s="293"/>
      <c r="CO217" s="293"/>
      <c r="CP217" s="293"/>
      <c r="CQ217" s="293"/>
      <c r="CR217" s="293"/>
      <c r="CS217" s="293"/>
      <c r="CT217" s="293"/>
      <c r="CU217" s="293"/>
      <c r="CV217" s="293"/>
      <c r="CW217" s="293"/>
      <c r="CX217" s="293"/>
      <c r="CY217" s="293"/>
      <c r="CZ217" s="293"/>
      <c r="DA217" s="293"/>
      <c r="DB217" s="293"/>
      <c r="DC217" s="293"/>
      <c r="DD217" s="293"/>
      <c r="DE217" s="293"/>
      <c r="DF217" s="293"/>
      <c r="DG217" s="293"/>
    </row>
    <row r="218" s="1168" customFormat="1" customHeight="1" spans="1:111">
      <c r="A218" s="1245">
        <v>46122</v>
      </c>
      <c r="B218" s="1247" t="s">
        <v>935</v>
      </c>
      <c r="C218" s="1234" t="s">
        <v>115</v>
      </c>
      <c r="D218" s="1268">
        <v>4500201184</v>
      </c>
      <c r="E218" s="1233">
        <v>2620512306</v>
      </c>
      <c r="F218" s="1188" t="s">
        <v>1009</v>
      </c>
      <c r="G218" s="1253" t="s">
        <v>482</v>
      </c>
      <c r="H218" s="1234" t="s">
        <v>483</v>
      </c>
      <c r="I218" s="1254">
        <v>4320</v>
      </c>
      <c r="J218" s="1234">
        <v>0</v>
      </c>
      <c r="K218" s="1234">
        <v>120</v>
      </c>
      <c r="L218" s="1246">
        <f t="shared" si="60"/>
        <v>36</v>
      </c>
      <c r="M218" s="1255">
        <v>46182</v>
      </c>
      <c r="N218" s="1255">
        <v>46206</v>
      </c>
      <c r="O218" s="1255"/>
      <c r="P218" s="1233"/>
      <c r="Q218" s="1286" t="s">
        <v>106</v>
      </c>
      <c r="R218" s="1234" t="s">
        <v>848</v>
      </c>
      <c r="S218" s="1234" t="s">
        <v>718</v>
      </c>
      <c r="T218" s="1233">
        <v>4320</v>
      </c>
      <c r="U218" s="1233">
        <f t="shared" si="74"/>
        <v>0</v>
      </c>
      <c r="V218" s="1234"/>
      <c r="W218" s="1256">
        <v>46155</v>
      </c>
      <c r="X218" s="1257" t="s">
        <v>107</v>
      </c>
      <c r="Y218" s="1257" t="s">
        <v>95</v>
      </c>
      <c r="Z218" s="1247"/>
      <c r="AA218" s="1247"/>
      <c r="AB218" s="1247"/>
      <c r="AC218" s="1247" t="s">
        <v>937</v>
      </c>
      <c r="AD218" s="1248" t="s">
        <v>488</v>
      </c>
      <c r="AE218" s="1247">
        <v>642</v>
      </c>
      <c r="AF218" s="1248">
        <f>L218*AE218</f>
        <v>23112</v>
      </c>
      <c r="AG218" s="1249" t="s">
        <v>1010</v>
      </c>
      <c r="AH218" s="1234" t="s">
        <v>490</v>
      </c>
      <c r="AI218" s="1234" t="s">
        <v>112</v>
      </c>
      <c r="AJ218" s="1234" t="s">
        <v>113</v>
      </c>
      <c r="AK218" s="1188"/>
      <c r="AL218" s="1188">
        <f>I218*3</f>
        <v>12960</v>
      </c>
      <c r="AM218" s="1188"/>
      <c r="AN218" s="1188"/>
      <c r="AO218" s="1188"/>
      <c r="AP218" s="1188"/>
      <c r="AQ218" s="1240"/>
      <c r="AR218" s="1188"/>
      <c r="AS218" s="1236"/>
      <c r="AT218" s="1236"/>
      <c r="AU218" s="1188"/>
      <c r="AV218" s="1250">
        <f>I218*0.06*2</f>
        <v>518.4</v>
      </c>
      <c r="AW218" s="1250"/>
      <c r="AX218" s="1188"/>
      <c r="AY218" s="1188"/>
      <c r="AZ218" s="1188"/>
      <c r="BA218" s="1188"/>
      <c r="BB218" s="1188">
        <f>I218*3</f>
        <v>12960</v>
      </c>
      <c r="BC218" s="1188">
        <f>I218*3</f>
        <v>12960</v>
      </c>
      <c r="BD218" s="1188">
        <f>I218*3</f>
        <v>12960</v>
      </c>
      <c r="BE218" s="1188">
        <f>I218</f>
        <v>4320</v>
      </c>
      <c r="BF218" s="1188">
        <f>I218/6</f>
        <v>720</v>
      </c>
      <c r="BG218" s="1188"/>
      <c r="BH218" s="1188"/>
      <c r="BI218" s="1188"/>
      <c r="BJ218" s="1188"/>
      <c r="BK218" s="1188"/>
      <c r="BL218" s="1188"/>
      <c r="BM218" s="1188"/>
      <c r="BN218" s="1188"/>
      <c r="BO218" s="1240"/>
      <c r="BP218" s="1240"/>
      <c r="BQ218" s="1188"/>
      <c r="BR218" s="1236"/>
      <c r="BS218" s="1188"/>
      <c r="BT218" s="1188"/>
      <c r="BU218" s="1188"/>
      <c r="BV218" s="1240"/>
      <c r="BW218" s="1188"/>
      <c r="BX218" s="1188"/>
      <c r="BY218" s="1188"/>
      <c r="BZ218" s="1188"/>
      <c r="CA218" s="1188"/>
      <c r="CB218" s="1188"/>
      <c r="CC218" s="1188"/>
      <c r="CD218" s="1188">
        <f t="shared" si="65"/>
        <v>0</v>
      </c>
      <c r="CE218" s="1188">
        <f t="shared" si="66"/>
        <v>0</v>
      </c>
      <c r="CF218" s="1188">
        <f t="shared" si="67"/>
        <v>0</v>
      </c>
      <c r="CG218" s="1188">
        <f t="shared" si="68"/>
        <v>0</v>
      </c>
      <c r="CH218" s="1236"/>
      <c r="CI218" s="1236"/>
      <c r="CJ218" s="1236"/>
      <c r="CK218" s="1188"/>
      <c r="CL218" s="1188"/>
    </row>
    <row r="219" s="1168" customFormat="1" customHeight="1" spans="1:111">
      <c r="A219" s="1245">
        <v>46122</v>
      </c>
      <c r="B219" s="1247" t="s">
        <v>935</v>
      </c>
      <c r="C219" s="1234" t="s">
        <v>115</v>
      </c>
      <c r="D219" s="1268">
        <v>4500201185</v>
      </c>
      <c r="E219" s="1233">
        <v>2620512307</v>
      </c>
      <c r="F219" s="1188" t="s">
        <v>1011</v>
      </c>
      <c r="G219" s="1253" t="s">
        <v>482</v>
      </c>
      <c r="H219" s="1234" t="s">
        <v>483</v>
      </c>
      <c r="I219" s="1254">
        <v>4320</v>
      </c>
      <c r="J219" s="1234">
        <v>0</v>
      </c>
      <c r="K219" s="1234">
        <v>120</v>
      </c>
      <c r="L219" s="1246">
        <f t="shared" si="60"/>
        <v>36</v>
      </c>
      <c r="M219" s="1255">
        <v>46182</v>
      </c>
      <c r="N219" s="1255">
        <v>46206</v>
      </c>
      <c r="O219" s="1255"/>
      <c r="P219" s="1233"/>
      <c r="Q219" s="1286" t="s">
        <v>106</v>
      </c>
      <c r="R219" s="1234" t="s">
        <v>1012</v>
      </c>
      <c r="S219" s="1234" t="s">
        <v>718</v>
      </c>
      <c r="T219" s="1233">
        <v>4320</v>
      </c>
      <c r="U219" s="1233">
        <f t="shared" si="74"/>
        <v>0</v>
      </c>
      <c r="V219" s="1234"/>
      <c r="W219" s="1256">
        <v>46155</v>
      </c>
      <c r="X219" s="1257" t="s">
        <v>107</v>
      </c>
      <c r="Y219" s="1257" t="s">
        <v>95</v>
      </c>
      <c r="Z219" s="1247"/>
      <c r="AA219" s="1247"/>
      <c r="AB219" s="1247"/>
      <c r="AC219" s="1247" t="s">
        <v>937</v>
      </c>
      <c r="AD219" s="1248" t="s">
        <v>488</v>
      </c>
      <c r="AE219" s="1247">
        <v>642</v>
      </c>
      <c r="AF219" s="1248">
        <f>L219*AE219</f>
        <v>23112</v>
      </c>
      <c r="AG219" s="1249" t="s">
        <v>1013</v>
      </c>
      <c r="AH219" s="1234" t="s">
        <v>490</v>
      </c>
      <c r="AI219" s="1234" t="s">
        <v>112</v>
      </c>
      <c r="AJ219" s="1234" t="s">
        <v>113</v>
      </c>
      <c r="AK219" s="1188"/>
      <c r="AL219" s="1188">
        <f>I219*3</f>
        <v>12960</v>
      </c>
      <c r="AM219" s="1188"/>
      <c r="AN219" s="1188"/>
      <c r="AO219" s="1188"/>
      <c r="AP219" s="1188"/>
      <c r="AQ219" s="1240"/>
      <c r="AR219" s="1188"/>
      <c r="AS219" s="1236"/>
      <c r="AT219" s="1236"/>
      <c r="AU219" s="1188"/>
      <c r="AV219" s="1250">
        <f>I219*0.06*2</f>
        <v>518.4</v>
      </c>
      <c r="AW219" s="1250"/>
      <c r="AX219" s="1188"/>
      <c r="AY219" s="1188"/>
      <c r="AZ219" s="1188"/>
      <c r="BA219" s="1188"/>
      <c r="BB219" s="1188">
        <f>I219*3</f>
        <v>12960</v>
      </c>
      <c r="BC219" s="1188">
        <f>I219*3</f>
        <v>12960</v>
      </c>
      <c r="BD219" s="1188">
        <f>I219*3</f>
        <v>12960</v>
      </c>
      <c r="BE219" s="1188">
        <f>I219</f>
        <v>4320</v>
      </c>
      <c r="BF219" s="1188">
        <f>I219/6</f>
        <v>720</v>
      </c>
      <c r="BG219" s="1188"/>
      <c r="BH219" s="1188"/>
      <c r="BI219" s="1188"/>
      <c r="BJ219" s="1188"/>
      <c r="BK219" s="1188"/>
      <c r="BL219" s="1188"/>
      <c r="BM219" s="1188"/>
      <c r="BN219" s="1188"/>
      <c r="BO219" s="1240"/>
      <c r="BP219" s="1240"/>
      <c r="BQ219" s="1188"/>
      <c r="BR219" s="1236"/>
      <c r="BS219" s="1188"/>
      <c r="BT219" s="1188"/>
      <c r="BU219" s="1188"/>
      <c r="BV219" s="1240"/>
      <c r="BW219" s="1188"/>
      <c r="BX219" s="1188"/>
      <c r="BY219" s="1188"/>
      <c r="BZ219" s="1188"/>
      <c r="CA219" s="1188"/>
      <c r="CB219" s="1188"/>
      <c r="CC219" s="1188"/>
      <c r="CD219" s="1188">
        <f t="shared" si="65"/>
        <v>0</v>
      </c>
      <c r="CE219" s="1188">
        <f t="shared" si="66"/>
        <v>0</v>
      </c>
      <c r="CF219" s="1188">
        <f t="shared" si="67"/>
        <v>0</v>
      </c>
      <c r="CG219" s="1188">
        <f t="shared" si="68"/>
        <v>0</v>
      </c>
      <c r="CH219" s="1236"/>
      <c r="CI219" s="1236"/>
      <c r="CJ219" s="1236"/>
      <c r="CK219" s="1188"/>
      <c r="CL219" s="1188"/>
    </row>
    <row r="220" s="1168" customFormat="1" customHeight="1" spans="1:111">
      <c r="A220" s="1245">
        <v>46129</v>
      </c>
      <c r="B220" s="1247" t="s">
        <v>346</v>
      </c>
      <c r="C220" s="1234" t="s">
        <v>115</v>
      </c>
      <c r="D220" s="1268">
        <v>4500202751</v>
      </c>
      <c r="E220" s="1890" t="s">
        <v>1014</v>
      </c>
      <c r="F220" s="1188" t="s">
        <v>1015</v>
      </c>
      <c r="G220" s="1253" t="s">
        <v>1016</v>
      </c>
      <c r="H220" s="1234" t="s">
        <v>350</v>
      </c>
      <c r="I220" s="1254">
        <v>10560</v>
      </c>
      <c r="J220" s="1234">
        <v>0</v>
      </c>
      <c r="K220" s="1234">
        <v>960</v>
      </c>
      <c r="L220" s="1246">
        <f t="shared" si="60"/>
        <v>11</v>
      </c>
      <c r="M220" s="1255">
        <v>46182</v>
      </c>
      <c r="N220" s="1255">
        <v>46212</v>
      </c>
      <c r="O220" s="1255"/>
      <c r="P220" s="1233"/>
      <c r="Q220" s="1286" t="s">
        <v>106</v>
      </c>
      <c r="R220" s="1234" t="s">
        <v>1017</v>
      </c>
      <c r="S220" s="1234" t="s">
        <v>943</v>
      </c>
      <c r="T220" s="1233">
        <v>10560</v>
      </c>
      <c r="U220" s="1233">
        <f t="shared" si="74"/>
        <v>0</v>
      </c>
      <c r="V220" s="1234" t="s">
        <v>120</v>
      </c>
      <c r="W220" s="1256" t="s">
        <v>459</v>
      </c>
      <c r="X220" s="1257" t="s">
        <v>95</v>
      </c>
      <c r="Y220" s="1257" t="s">
        <v>1018</v>
      </c>
      <c r="Z220" s="1247"/>
      <c r="AA220" s="1247"/>
      <c r="AB220" s="1247"/>
      <c r="AC220" s="1247" t="s">
        <v>1019</v>
      </c>
      <c r="AD220" s="1248" t="s">
        <v>354</v>
      </c>
      <c r="AE220" s="1247">
        <v>637.5982</v>
      </c>
      <c r="AF220" s="1248">
        <f>AE220*L220</f>
        <v>7013.5802</v>
      </c>
      <c r="AG220" s="1249" t="s">
        <v>1020</v>
      </c>
      <c r="AH220" s="1234" t="s">
        <v>356</v>
      </c>
      <c r="AI220" s="1234" t="s">
        <v>112</v>
      </c>
      <c r="AJ220" s="1234" t="s">
        <v>113</v>
      </c>
      <c r="AK220" s="1188">
        <f t="shared" ref="AK220:AK228" si="75">I220</f>
        <v>10560</v>
      </c>
      <c r="AL220" s="1188"/>
      <c r="AM220" s="1188"/>
      <c r="AN220" s="1188">
        <f>I220</f>
        <v>10560</v>
      </c>
      <c r="AO220" s="1188"/>
      <c r="AP220" s="1188"/>
      <c r="AQ220" s="1240"/>
      <c r="AR220" s="1188"/>
      <c r="AS220" s="1236"/>
      <c r="AT220" s="1236"/>
      <c r="AU220" s="1188">
        <f t="shared" ref="AU220:AU228" si="76">I220</f>
        <v>10560</v>
      </c>
      <c r="AV220" s="1250">
        <f>I220*0.06*2</f>
        <v>1267.2</v>
      </c>
      <c r="AW220" s="1250"/>
      <c r="AX220" s="1188"/>
      <c r="AY220" s="1188"/>
      <c r="AZ220" s="1188"/>
      <c r="BA220" s="1188"/>
      <c r="BB220" s="1188"/>
      <c r="BC220" s="1188"/>
      <c r="BD220" s="1188"/>
      <c r="BE220" s="1188"/>
      <c r="BF220" s="1188"/>
      <c r="BG220" s="1188"/>
      <c r="BH220" s="1188"/>
      <c r="BI220" s="1188"/>
      <c r="BJ220" s="1188"/>
      <c r="BK220" s="1188"/>
      <c r="BL220" s="1188"/>
      <c r="BM220" s="1188"/>
      <c r="BN220" s="1188"/>
      <c r="BO220" s="1240"/>
      <c r="BP220" s="1240"/>
      <c r="BQ220" s="1188"/>
      <c r="BR220" s="1236">
        <f>I220/16</f>
        <v>660</v>
      </c>
      <c r="BS220" s="1188"/>
      <c r="BT220" s="1188"/>
      <c r="BU220" s="1188"/>
      <c r="BV220" s="1240"/>
      <c r="BW220" s="1188"/>
      <c r="BX220" s="1188"/>
      <c r="BY220" s="1188"/>
      <c r="BZ220" s="1188"/>
      <c r="CA220" s="1188"/>
      <c r="CB220" s="1188"/>
      <c r="CC220" s="1188"/>
      <c r="CD220" s="1188">
        <f t="shared" si="65"/>
        <v>660</v>
      </c>
      <c r="CE220" s="1188">
        <f t="shared" si="66"/>
        <v>0</v>
      </c>
      <c r="CF220" s="1188">
        <f t="shared" si="67"/>
        <v>0</v>
      </c>
      <c r="CG220" s="1188">
        <f t="shared" si="68"/>
        <v>0</v>
      </c>
      <c r="CH220" s="1236"/>
      <c r="CI220" s="1236"/>
      <c r="CJ220" s="1236"/>
      <c r="CK220" s="1188"/>
      <c r="CL220" s="1188"/>
    </row>
    <row r="221" s="1168" customFormat="1" customHeight="1" spans="1:111">
      <c r="A221" s="1245">
        <v>46115</v>
      </c>
      <c r="B221" s="1247" t="s">
        <v>1021</v>
      </c>
      <c r="C221" s="1234" t="s">
        <v>1022</v>
      </c>
      <c r="D221" s="1268">
        <v>4500199984</v>
      </c>
      <c r="E221" s="1234" t="s">
        <v>628</v>
      </c>
      <c r="F221" s="1188" t="s">
        <v>1023</v>
      </c>
      <c r="G221" s="1253" t="s">
        <v>174</v>
      </c>
      <c r="H221" s="1234" t="s">
        <v>175</v>
      </c>
      <c r="I221" s="1254">
        <v>1248</v>
      </c>
      <c r="J221" s="1234">
        <v>0</v>
      </c>
      <c r="K221" s="1234">
        <v>52</v>
      </c>
      <c r="L221" s="1246">
        <f t="shared" si="60"/>
        <v>24</v>
      </c>
      <c r="M221" s="1255">
        <v>46183</v>
      </c>
      <c r="N221" s="1255">
        <v>46179</v>
      </c>
      <c r="O221" s="1255"/>
      <c r="P221" s="1233"/>
      <c r="Q221" s="1304" t="s">
        <v>106</v>
      </c>
      <c r="R221" s="1234"/>
      <c r="S221" s="1234" t="s">
        <v>736</v>
      </c>
      <c r="T221" s="1233">
        <v>1248</v>
      </c>
      <c r="U221" s="1233">
        <f t="shared" si="74"/>
        <v>0</v>
      </c>
      <c r="V221" s="1234" t="s">
        <v>120</v>
      </c>
      <c r="W221" s="1256" t="s">
        <v>1024</v>
      </c>
      <c r="X221" s="1257" t="s">
        <v>95</v>
      </c>
      <c r="Y221" s="1257" t="s">
        <v>1025</v>
      </c>
      <c r="Z221" s="1247"/>
      <c r="AA221" s="1247"/>
      <c r="AB221" s="1247"/>
      <c r="AC221" s="1257" t="s">
        <v>1026</v>
      </c>
      <c r="AD221" s="1255" t="s">
        <v>295</v>
      </c>
      <c r="AE221" s="1267">
        <v>1.033</v>
      </c>
      <c r="AF221" s="1248">
        <f>AE221*I221</f>
        <v>1289.184</v>
      </c>
      <c r="AG221" s="1258"/>
      <c r="AH221" s="1234" t="s">
        <v>1027</v>
      </c>
      <c r="AI221" s="1234" t="s">
        <v>112</v>
      </c>
      <c r="AJ221" s="1234" t="s">
        <v>113</v>
      </c>
      <c r="AK221" s="1188">
        <f t="shared" si="75"/>
        <v>1248</v>
      </c>
      <c r="AL221" s="1188"/>
      <c r="AM221" s="1188"/>
      <c r="AN221" s="1188"/>
      <c r="AO221" s="1188"/>
      <c r="AP221" s="1188">
        <f>I170</f>
        <v>15522</v>
      </c>
      <c r="AQ221" s="1240"/>
      <c r="AR221" s="1188"/>
      <c r="AS221" s="1236"/>
      <c r="AT221" s="1236"/>
      <c r="AU221" s="1188">
        <f t="shared" si="76"/>
        <v>1248</v>
      </c>
      <c r="AV221" s="1250">
        <f t="shared" ref="AV221:AV228" si="77">I221*0.06</f>
        <v>74.88</v>
      </c>
      <c r="AW221" s="1250"/>
      <c r="AX221" s="1188"/>
      <c r="AY221" s="1188"/>
      <c r="AZ221" s="1188"/>
      <c r="BA221" s="1188"/>
      <c r="BB221" s="1188"/>
      <c r="BC221" s="1188"/>
      <c r="BD221" s="1188"/>
      <c r="BE221" s="1188"/>
      <c r="BF221" s="1188"/>
      <c r="BG221" s="1188"/>
      <c r="BH221" s="1188"/>
      <c r="BI221" s="1188"/>
      <c r="BJ221" s="1188"/>
      <c r="BK221" s="1188"/>
      <c r="BL221" s="1188">
        <f>I221/13</f>
        <v>96</v>
      </c>
      <c r="BM221" s="1188"/>
      <c r="BN221" s="1188"/>
      <c r="BO221" s="1240"/>
      <c r="BP221" s="1240"/>
      <c r="BQ221" s="1188"/>
      <c r="BR221" s="1236"/>
      <c r="BS221" s="1188"/>
      <c r="BT221" s="1188"/>
      <c r="BU221" s="1188"/>
      <c r="BV221" s="1240"/>
      <c r="BW221" s="1188"/>
      <c r="BX221" s="1188"/>
      <c r="BY221" s="1188"/>
      <c r="BZ221" s="1188"/>
      <c r="CA221" s="1188"/>
      <c r="CB221" s="1188"/>
      <c r="CC221" s="1188"/>
      <c r="CD221" s="1188">
        <f t="shared" si="65"/>
        <v>0</v>
      </c>
      <c r="CE221" s="1188">
        <f t="shared" si="66"/>
        <v>0</v>
      </c>
      <c r="CF221" s="1188">
        <f t="shared" si="67"/>
        <v>0</v>
      </c>
      <c r="CG221" s="1188">
        <f t="shared" si="68"/>
        <v>0</v>
      </c>
      <c r="CH221" s="1236"/>
      <c r="CI221" s="1236"/>
      <c r="CJ221" s="1236"/>
      <c r="CK221" s="1188"/>
      <c r="CL221" s="1188"/>
    </row>
    <row r="222" s="1168" customFormat="1" customHeight="1" spans="1:111">
      <c r="A222" s="1245">
        <v>46126</v>
      </c>
      <c r="B222" s="1247" t="s">
        <v>1028</v>
      </c>
      <c r="C222" s="1234" t="s">
        <v>115</v>
      </c>
      <c r="D222" s="1188">
        <v>4500201308</v>
      </c>
      <c r="E222" s="1234" t="s">
        <v>1029</v>
      </c>
      <c r="F222" s="1188" t="s">
        <v>1030</v>
      </c>
      <c r="G222" s="1253" t="s">
        <v>289</v>
      </c>
      <c r="H222" s="1234" t="s">
        <v>194</v>
      </c>
      <c r="I222" s="1254">
        <v>312</v>
      </c>
      <c r="J222" s="1234">
        <v>0</v>
      </c>
      <c r="K222" s="1234">
        <v>13</v>
      </c>
      <c r="L222" s="1246">
        <f t="shared" si="60"/>
        <v>24</v>
      </c>
      <c r="M222" s="1255">
        <v>46183</v>
      </c>
      <c r="N222" s="1255">
        <v>46208</v>
      </c>
      <c r="O222" s="1255"/>
      <c r="P222" s="1233"/>
      <c r="Q222" s="1286" t="s">
        <v>106</v>
      </c>
      <c r="R222" s="1234"/>
      <c r="S222" s="1234" t="s">
        <v>718</v>
      </c>
      <c r="T222" s="1233">
        <v>312</v>
      </c>
      <c r="U222" s="1233">
        <f t="shared" si="74"/>
        <v>0</v>
      </c>
      <c r="V222" s="1234"/>
      <c r="W222" s="1256">
        <v>46126</v>
      </c>
      <c r="X222" s="1257" t="s">
        <v>95</v>
      </c>
      <c r="Y222" s="1257" t="s">
        <v>95</v>
      </c>
      <c r="Z222" s="1247"/>
      <c r="AA222" s="1247"/>
      <c r="AB222" s="1247"/>
      <c r="AC222" s="1247" t="s">
        <v>1031</v>
      </c>
      <c r="AD222" s="1248" t="s">
        <v>1032</v>
      </c>
      <c r="AE222" s="1247">
        <v>0.6321</v>
      </c>
      <c r="AF222" s="1248">
        <f t="shared" ref="AF222:AF230" si="78">I222*AE222</f>
        <v>197.2152</v>
      </c>
      <c r="AG222" s="1249" t="s">
        <v>1033</v>
      </c>
      <c r="AH222" s="1234" t="s">
        <v>289</v>
      </c>
      <c r="AI222" s="1234" t="s">
        <v>112</v>
      </c>
      <c r="AJ222" s="1234" t="s">
        <v>113</v>
      </c>
      <c r="AK222" s="1188">
        <f t="shared" si="75"/>
        <v>312</v>
      </c>
      <c r="AL222" s="1188"/>
      <c r="AM222" s="1188"/>
      <c r="AN222" s="1188">
        <f>I222</f>
        <v>312</v>
      </c>
      <c r="AO222" s="1188"/>
      <c r="AP222" s="1188"/>
      <c r="AQ222" s="1240"/>
      <c r="AR222" s="1188"/>
      <c r="AS222" s="1236"/>
      <c r="AT222" s="1236"/>
      <c r="AU222" s="1188">
        <f t="shared" si="76"/>
        <v>312</v>
      </c>
      <c r="AV222" s="1250">
        <f t="shared" si="77"/>
        <v>18.72</v>
      </c>
      <c r="AW222" s="1250"/>
      <c r="AX222" s="1188"/>
      <c r="AY222" s="1188"/>
      <c r="AZ222" s="1188"/>
      <c r="BA222" s="1188"/>
      <c r="BB222" s="1188"/>
      <c r="BC222" s="1188"/>
      <c r="BD222" s="1188"/>
      <c r="BE222" s="1188"/>
      <c r="BF222" s="1188"/>
      <c r="BG222" s="1188"/>
      <c r="BH222" s="1188"/>
      <c r="BI222" s="1188"/>
      <c r="BJ222" s="1188"/>
      <c r="BK222" s="1188">
        <f>I222/13</f>
        <v>24</v>
      </c>
      <c r="BL222" s="1188"/>
      <c r="BM222" s="1188"/>
      <c r="BN222" s="1188"/>
      <c r="BO222" s="1240"/>
      <c r="BP222" s="1240"/>
      <c r="BQ222" s="1188"/>
      <c r="BR222" s="1236"/>
      <c r="BS222" s="1188"/>
      <c r="BT222" s="1188"/>
      <c r="BU222" s="1188"/>
      <c r="BV222" s="1240"/>
      <c r="BW222" s="1188"/>
      <c r="BX222" s="1188"/>
      <c r="BY222" s="1188"/>
      <c r="BZ222" s="1188"/>
      <c r="CA222" s="1188"/>
      <c r="CB222" s="1188"/>
      <c r="CC222" s="1188"/>
      <c r="CD222" s="1188">
        <f t="shared" si="65"/>
        <v>0</v>
      </c>
      <c r="CE222" s="1188">
        <f t="shared" si="66"/>
        <v>0</v>
      </c>
      <c r="CF222" s="1188">
        <f t="shared" si="67"/>
        <v>0</v>
      </c>
      <c r="CG222" s="1188">
        <f t="shared" si="68"/>
        <v>0</v>
      </c>
      <c r="CH222" s="1236"/>
      <c r="CI222" s="1236"/>
      <c r="CJ222" s="1236"/>
      <c r="CK222" s="1188"/>
      <c r="CL222" s="1188"/>
    </row>
    <row r="223" s="1168" customFormat="1" customHeight="1" spans="1:111">
      <c r="A223" s="1245">
        <v>46126</v>
      </c>
      <c r="B223" s="1247" t="s">
        <v>1028</v>
      </c>
      <c r="C223" s="1234" t="s">
        <v>115</v>
      </c>
      <c r="D223" s="1188">
        <v>4500201308</v>
      </c>
      <c r="E223" s="1234" t="s">
        <v>1034</v>
      </c>
      <c r="F223" s="1188" t="s">
        <v>1035</v>
      </c>
      <c r="G223" s="1253" t="s">
        <v>289</v>
      </c>
      <c r="H223" s="1234" t="s">
        <v>194</v>
      </c>
      <c r="I223" s="1254">
        <v>195</v>
      </c>
      <c r="J223" s="1234">
        <v>0</v>
      </c>
      <c r="K223" s="1234">
        <v>13</v>
      </c>
      <c r="L223" s="1246">
        <f t="shared" si="60"/>
        <v>15</v>
      </c>
      <c r="M223" s="1255">
        <v>46183</v>
      </c>
      <c r="N223" s="1255">
        <v>46208</v>
      </c>
      <c r="O223" s="1255"/>
      <c r="P223" s="1233"/>
      <c r="Q223" s="1286" t="s">
        <v>106</v>
      </c>
      <c r="R223" s="1234"/>
      <c r="S223" s="1234" t="s">
        <v>718</v>
      </c>
      <c r="T223" s="1233">
        <v>195</v>
      </c>
      <c r="U223" s="1233">
        <f t="shared" si="74"/>
        <v>0</v>
      </c>
      <c r="V223" s="1234"/>
      <c r="W223" s="1256">
        <v>46126</v>
      </c>
      <c r="X223" s="1257" t="s">
        <v>95</v>
      </c>
      <c r="Y223" s="1257" t="s">
        <v>95</v>
      </c>
      <c r="Z223" s="1247"/>
      <c r="AA223" s="1247"/>
      <c r="AB223" s="1247"/>
      <c r="AC223" s="1247" t="s">
        <v>1031</v>
      </c>
      <c r="AD223" s="1248" t="s">
        <v>1032</v>
      </c>
      <c r="AE223" s="1247">
        <v>0.6541</v>
      </c>
      <c r="AF223" s="1248">
        <f t="shared" si="78"/>
        <v>127.5495</v>
      </c>
      <c r="AG223" s="1249" t="s">
        <v>1033</v>
      </c>
      <c r="AH223" s="1234" t="s">
        <v>289</v>
      </c>
      <c r="AI223" s="1234" t="s">
        <v>112</v>
      </c>
      <c r="AJ223" s="1234" t="s">
        <v>113</v>
      </c>
      <c r="AK223" s="1188">
        <f t="shared" si="75"/>
        <v>195</v>
      </c>
      <c r="AL223" s="1188"/>
      <c r="AM223" s="1188"/>
      <c r="AN223" s="1188">
        <f>I223</f>
        <v>195</v>
      </c>
      <c r="AO223" s="1188"/>
      <c r="AP223" s="1188"/>
      <c r="AQ223" s="1240"/>
      <c r="AR223" s="1188"/>
      <c r="AS223" s="1236"/>
      <c r="AT223" s="1236"/>
      <c r="AU223" s="1188">
        <f t="shared" si="76"/>
        <v>195</v>
      </c>
      <c r="AV223" s="1250">
        <f t="shared" si="77"/>
        <v>11.7</v>
      </c>
      <c r="AW223" s="1250"/>
      <c r="AX223" s="1188"/>
      <c r="AY223" s="1188"/>
      <c r="AZ223" s="1188"/>
      <c r="BA223" s="1188"/>
      <c r="BB223" s="1188"/>
      <c r="BC223" s="1188"/>
      <c r="BD223" s="1188"/>
      <c r="BE223" s="1188"/>
      <c r="BF223" s="1188"/>
      <c r="BG223" s="1188"/>
      <c r="BH223" s="1188"/>
      <c r="BI223" s="1188"/>
      <c r="BJ223" s="1188"/>
      <c r="BK223" s="1188">
        <f>I223/13</f>
        <v>15</v>
      </c>
      <c r="BL223" s="1188"/>
      <c r="BM223" s="1188"/>
      <c r="BN223" s="1188"/>
      <c r="BO223" s="1240"/>
      <c r="BP223" s="1240"/>
      <c r="BQ223" s="1188"/>
      <c r="BR223" s="1236"/>
      <c r="BS223" s="1188"/>
      <c r="BT223" s="1188"/>
      <c r="BU223" s="1188"/>
      <c r="BV223" s="1240"/>
      <c r="BW223" s="1188"/>
      <c r="BX223" s="1188"/>
      <c r="BY223" s="1188"/>
      <c r="BZ223" s="1188"/>
      <c r="CA223" s="1188"/>
      <c r="CB223" s="1188"/>
      <c r="CC223" s="1188"/>
      <c r="CD223" s="1188">
        <f t="shared" si="65"/>
        <v>0</v>
      </c>
      <c r="CE223" s="1188">
        <f t="shared" si="66"/>
        <v>0</v>
      </c>
      <c r="CF223" s="1188">
        <f t="shared" si="67"/>
        <v>0</v>
      </c>
      <c r="CG223" s="1188">
        <f t="shared" si="68"/>
        <v>0</v>
      </c>
      <c r="CH223" s="1236"/>
      <c r="CI223" s="1236"/>
      <c r="CJ223" s="1236"/>
      <c r="CK223" s="1188"/>
      <c r="CL223" s="1188"/>
    </row>
    <row r="224" s="1168" customFormat="1" customHeight="1" spans="1:111">
      <c r="A224" s="1245">
        <v>46126</v>
      </c>
      <c r="B224" s="1247" t="s">
        <v>1028</v>
      </c>
      <c r="C224" s="1234" t="s">
        <v>115</v>
      </c>
      <c r="D224" s="1188">
        <v>4500201308</v>
      </c>
      <c r="E224" s="1234">
        <v>1827286</v>
      </c>
      <c r="F224" s="1188" t="s">
        <v>1036</v>
      </c>
      <c r="G224" s="1253" t="s">
        <v>289</v>
      </c>
      <c r="H224" s="1234" t="s">
        <v>194</v>
      </c>
      <c r="I224" s="1254">
        <v>312</v>
      </c>
      <c r="J224" s="1234">
        <v>0</v>
      </c>
      <c r="K224" s="1234">
        <v>13</v>
      </c>
      <c r="L224" s="1246">
        <f t="shared" si="60"/>
        <v>24</v>
      </c>
      <c r="M224" s="1255">
        <v>46183</v>
      </c>
      <c r="N224" s="1255">
        <v>46208</v>
      </c>
      <c r="O224" s="1255"/>
      <c r="P224" s="1233"/>
      <c r="Q224" s="1286" t="s">
        <v>106</v>
      </c>
      <c r="R224" s="1234"/>
      <c r="S224" s="1234" t="s">
        <v>718</v>
      </c>
      <c r="T224" s="1233">
        <v>312</v>
      </c>
      <c r="U224" s="1233">
        <f t="shared" si="74"/>
        <v>0</v>
      </c>
      <c r="V224" s="1234"/>
      <c r="W224" s="1256">
        <v>46126</v>
      </c>
      <c r="X224" s="1257" t="s">
        <v>95</v>
      </c>
      <c r="Y224" s="1257" t="s">
        <v>95</v>
      </c>
      <c r="Z224" s="1247"/>
      <c r="AA224" s="1247"/>
      <c r="AB224" s="1247"/>
      <c r="AC224" s="1247" t="s">
        <v>1031</v>
      </c>
      <c r="AD224" s="1248" t="s">
        <v>1032</v>
      </c>
      <c r="AE224" s="1247">
        <v>0.6541</v>
      </c>
      <c r="AF224" s="1248">
        <f t="shared" si="78"/>
        <v>204.0792</v>
      </c>
      <c r="AG224" s="1249" t="s">
        <v>1033</v>
      </c>
      <c r="AH224" s="1234" t="s">
        <v>289</v>
      </c>
      <c r="AI224" s="1234" t="s">
        <v>112</v>
      </c>
      <c r="AJ224" s="1234" t="s">
        <v>113</v>
      </c>
      <c r="AK224" s="1188">
        <f t="shared" si="75"/>
        <v>312</v>
      </c>
      <c r="AL224" s="1188"/>
      <c r="AM224" s="1188"/>
      <c r="AN224" s="1188">
        <f>I224</f>
        <v>312</v>
      </c>
      <c r="AO224" s="1188"/>
      <c r="AP224" s="1188"/>
      <c r="AQ224" s="1240"/>
      <c r="AR224" s="1188"/>
      <c r="AS224" s="1236"/>
      <c r="AT224" s="1236"/>
      <c r="AU224" s="1188">
        <f t="shared" si="76"/>
        <v>312</v>
      </c>
      <c r="AV224" s="1250">
        <f t="shared" si="77"/>
        <v>18.72</v>
      </c>
      <c r="AW224" s="1250"/>
      <c r="AX224" s="1188"/>
      <c r="AY224" s="1188"/>
      <c r="AZ224" s="1188"/>
      <c r="BA224" s="1188"/>
      <c r="BB224" s="1188"/>
      <c r="BC224" s="1188"/>
      <c r="BD224" s="1188"/>
      <c r="BE224" s="1188"/>
      <c r="BF224" s="1188"/>
      <c r="BG224" s="1188"/>
      <c r="BH224" s="1188"/>
      <c r="BI224" s="1188"/>
      <c r="BJ224" s="1188"/>
      <c r="BK224" s="1188">
        <f>I224/13</f>
        <v>24</v>
      </c>
      <c r="BL224" s="1188"/>
      <c r="BM224" s="1188"/>
      <c r="BN224" s="1188"/>
      <c r="BO224" s="1240"/>
      <c r="BP224" s="1240"/>
      <c r="BQ224" s="1188"/>
      <c r="BR224" s="1236"/>
      <c r="BS224" s="1188"/>
      <c r="BT224" s="1188"/>
      <c r="BU224" s="1188"/>
      <c r="BV224" s="1240"/>
      <c r="BW224" s="1188"/>
      <c r="BX224" s="1188"/>
      <c r="BY224" s="1188"/>
      <c r="BZ224" s="1188"/>
      <c r="CA224" s="1188"/>
      <c r="CB224" s="1188"/>
      <c r="CC224" s="1188"/>
      <c r="CD224" s="1188">
        <f t="shared" si="65"/>
        <v>0</v>
      </c>
      <c r="CE224" s="1188">
        <f t="shared" si="66"/>
        <v>0</v>
      </c>
      <c r="CF224" s="1188">
        <f t="shared" si="67"/>
        <v>0</v>
      </c>
      <c r="CG224" s="1188">
        <f t="shared" si="68"/>
        <v>0</v>
      </c>
      <c r="CH224" s="1236"/>
      <c r="CI224" s="1236"/>
      <c r="CJ224" s="1236"/>
      <c r="CK224" s="1188"/>
      <c r="CL224" s="1188"/>
    </row>
    <row r="225" s="1168" customFormat="1" customHeight="1" spans="1:90">
      <c r="A225" s="1245">
        <v>46126</v>
      </c>
      <c r="B225" s="1247" t="s">
        <v>1028</v>
      </c>
      <c r="C225" s="1234" t="s">
        <v>115</v>
      </c>
      <c r="D225" s="1188">
        <v>4500201308</v>
      </c>
      <c r="E225" s="1234" t="s">
        <v>1037</v>
      </c>
      <c r="F225" s="1188" t="s">
        <v>1038</v>
      </c>
      <c r="G225" s="1253" t="s">
        <v>289</v>
      </c>
      <c r="H225" s="1234" t="s">
        <v>194</v>
      </c>
      <c r="I225" s="1254">
        <v>377</v>
      </c>
      <c r="J225" s="1234">
        <v>0</v>
      </c>
      <c r="K225" s="1234">
        <v>13</v>
      </c>
      <c r="L225" s="1246">
        <f t="shared" si="60"/>
        <v>29</v>
      </c>
      <c r="M225" s="1255">
        <v>46183</v>
      </c>
      <c r="N225" s="1255">
        <v>46208</v>
      </c>
      <c r="O225" s="1255"/>
      <c r="P225" s="1233"/>
      <c r="Q225" s="1286" t="s">
        <v>106</v>
      </c>
      <c r="R225" s="1234"/>
      <c r="S225" s="1234" t="s">
        <v>718</v>
      </c>
      <c r="T225" s="1233">
        <v>377</v>
      </c>
      <c r="U225" s="1233">
        <f t="shared" si="74"/>
        <v>0</v>
      </c>
      <c r="V225" s="1234"/>
      <c r="W225" s="1256">
        <v>46126</v>
      </c>
      <c r="X225" s="1257" t="s">
        <v>95</v>
      </c>
      <c r="Y225" s="1257" t="s">
        <v>95</v>
      </c>
      <c r="Z225" s="1247"/>
      <c r="AA225" s="1247"/>
      <c r="AB225" s="1247"/>
      <c r="AC225" s="1247" t="s">
        <v>1031</v>
      </c>
      <c r="AD225" s="1248" t="s">
        <v>1032</v>
      </c>
      <c r="AE225" s="1247">
        <v>0.6321</v>
      </c>
      <c r="AF225" s="1248">
        <f t="shared" si="78"/>
        <v>238.3017</v>
      </c>
      <c r="AG225" s="1249" t="s">
        <v>1033</v>
      </c>
      <c r="AH225" s="1234" t="s">
        <v>289</v>
      </c>
      <c r="AI225" s="1234" t="s">
        <v>112</v>
      </c>
      <c r="AJ225" s="1234" t="s">
        <v>113</v>
      </c>
      <c r="AK225" s="1188">
        <f t="shared" si="75"/>
        <v>377</v>
      </c>
      <c r="AL225" s="1188"/>
      <c r="AM225" s="1188"/>
      <c r="AN225" s="1188">
        <f>I225</f>
        <v>377</v>
      </c>
      <c r="AO225" s="1188"/>
      <c r="AP225" s="1188"/>
      <c r="AQ225" s="1240"/>
      <c r="AR225" s="1188"/>
      <c r="AS225" s="1236"/>
      <c r="AT225" s="1236"/>
      <c r="AU225" s="1188">
        <f t="shared" si="76"/>
        <v>377</v>
      </c>
      <c r="AV225" s="1250">
        <f t="shared" si="77"/>
        <v>22.62</v>
      </c>
      <c r="AW225" s="1250"/>
      <c r="AX225" s="1188"/>
      <c r="AY225" s="1188"/>
      <c r="AZ225" s="1188"/>
      <c r="BA225" s="1188"/>
      <c r="BB225" s="1188"/>
      <c r="BC225" s="1188"/>
      <c r="BD225" s="1188"/>
      <c r="BE225" s="1188"/>
      <c r="BF225" s="1188"/>
      <c r="BG225" s="1188"/>
      <c r="BH225" s="1188"/>
      <c r="BI225" s="1188"/>
      <c r="BJ225" s="1188"/>
      <c r="BK225" s="1188">
        <f>I225/13</f>
        <v>29</v>
      </c>
      <c r="BL225" s="1188"/>
      <c r="BM225" s="1188"/>
      <c r="BN225" s="1188"/>
      <c r="BO225" s="1240"/>
      <c r="BP225" s="1240"/>
      <c r="BQ225" s="1188"/>
      <c r="BR225" s="1236"/>
      <c r="BS225" s="1188"/>
      <c r="BT225" s="1188"/>
      <c r="BU225" s="1188"/>
      <c r="BV225" s="1240"/>
      <c r="BW225" s="1188"/>
      <c r="BX225" s="1188"/>
      <c r="BY225" s="1188"/>
      <c r="BZ225" s="1188"/>
      <c r="CA225" s="1188"/>
      <c r="CB225" s="1188"/>
      <c r="CC225" s="1188"/>
      <c r="CD225" s="1188">
        <f t="shared" si="65"/>
        <v>0</v>
      </c>
      <c r="CE225" s="1188">
        <f t="shared" si="66"/>
        <v>0</v>
      </c>
      <c r="CF225" s="1188">
        <f t="shared" si="67"/>
        <v>0</v>
      </c>
      <c r="CG225" s="1188">
        <f t="shared" si="68"/>
        <v>0</v>
      </c>
      <c r="CH225" s="1236"/>
      <c r="CI225" s="1236"/>
      <c r="CJ225" s="1236"/>
      <c r="CK225" s="1188"/>
      <c r="CL225" s="1188"/>
    </row>
    <row r="226" s="1168" customFormat="1" customHeight="1" spans="1:90">
      <c r="A226" s="1245">
        <v>46115</v>
      </c>
      <c r="B226" s="1247" t="s">
        <v>1039</v>
      </c>
      <c r="C226" s="1234" t="s">
        <v>201</v>
      </c>
      <c r="D226" s="1268">
        <v>4500200234</v>
      </c>
      <c r="E226" s="1233">
        <v>1701006</v>
      </c>
      <c r="F226" s="1188" t="s">
        <v>1040</v>
      </c>
      <c r="G226" s="1253" t="s">
        <v>146</v>
      </c>
      <c r="H226" s="1234" t="s">
        <v>104</v>
      </c>
      <c r="I226" s="1254">
        <v>8300</v>
      </c>
      <c r="J226" s="1234">
        <v>0</v>
      </c>
      <c r="K226" s="1234">
        <v>25</v>
      </c>
      <c r="L226" s="1246">
        <f t="shared" si="60"/>
        <v>332</v>
      </c>
      <c r="M226" s="1255">
        <v>46184</v>
      </c>
      <c r="N226" s="1255">
        <v>46181</v>
      </c>
      <c r="O226" s="1255"/>
      <c r="P226" s="1233"/>
      <c r="Q226" s="1304" t="s">
        <v>106</v>
      </c>
      <c r="R226" s="1234"/>
      <c r="S226" s="1234" t="s">
        <v>736</v>
      </c>
      <c r="T226" s="1233">
        <v>8300</v>
      </c>
      <c r="U226" s="1233">
        <f t="shared" si="74"/>
        <v>0</v>
      </c>
      <c r="V226" s="1234"/>
      <c r="W226" s="1256">
        <v>46152</v>
      </c>
      <c r="X226" s="1257" t="s">
        <v>95</v>
      </c>
      <c r="Y226" s="1257" t="s">
        <v>1041</v>
      </c>
      <c r="Z226" s="1247"/>
      <c r="AA226" s="1247"/>
      <c r="AB226" s="1247"/>
      <c r="AC226" s="1247" t="s">
        <v>1042</v>
      </c>
      <c r="AD226" s="1255" t="s">
        <v>204</v>
      </c>
      <c r="AE226" s="1188">
        <v>1.27</v>
      </c>
      <c r="AF226" s="1248">
        <f t="shared" si="78"/>
        <v>10541</v>
      </c>
      <c r="AG226" s="1258"/>
      <c r="AH226" s="1234" t="s">
        <v>111</v>
      </c>
      <c r="AI226" s="1234" t="s">
        <v>112</v>
      </c>
      <c r="AJ226" s="1234" t="s">
        <v>113</v>
      </c>
      <c r="AK226" s="1188">
        <f t="shared" si="75"/>
        <v>8300</v>
      </c>
      <c r="AL226" s="1188"/>
      <c r="AM226" s="1188"/>
      <c r="AN226" s="1188"/>
      <c r="AO226" s="1188"/>
      <c r="AP226" s="1188">
        <f>I226</f>
        <v>8300</v>
      </c>
      <c r="AQ226" s="1240"/>
      <c r="AR226" s="1188"/>
      <c r="AS226" s="1236"/>
      <c r="AT226" s="1236"/>
      <c r="AU226" s="1188">
        <f t="shared" si="76"/>
        <v>8300</v>
      </c>
      <c r="AV226" s="1250">
        <f t="shared" si="77"/>
        <v>498</v>
      </c>
      <c r="AW226" s="1250"/>
      <c r="AX226" s="1188"/>
      <c r="AY226" s="1188"/>
      <c r="AZ226" s="1188"/>
      <c r="BA226" s="1188"/>
      <c r="BB226" s="1188"/>
      <c r="BC226" s="1188"/>
      <c r="BD226" s="1188"/>
      <c r="BE226" s="1188"/>
      <c r="BF226" s="1188"/>
      <c r="BG226" s="1188"/>
      <c r="BH226" s="1188"/>
      <c r="BI226" s="1188"/>
      <c r="BJ226" s="1188"/>
      <c r="BK226" s="1188"/>
      <c r="BL226" s="1188"/>
      <c r="BM226" s="1188"/>
      <c r="BN226" s="1188"/>
      <c r="BO226" s="1240">
        <f>I226/25</f>
        <v>332</v>
      </c>
      <c r="BP226" s="1240"/>
      <c r="BQ226" s="1188"/>
      <c r="BR226" s="1236"/>
      <c r="BS226" s="1188"/>
      <c r="BT226" s="1188"/>
      <c r="BU226" s="1188"/>
      <c r="BV226" s="1240"/>
      <c r="BW226" s="1188"/>
      <c r="BX226" s="1188"/>
      <c r="BY226" s="1188"/>
      <c r="BZ226" s="1188"/>
      <c r="CA226" s="1188"/>
      <c r="CB226" s="1188"/>
      <c r="CC226" s="1188"/>
      <c r="CD226" s="1188">
        <f t="shared" si="65"/>
        <v>332</v>
      </c>
      <c r="CE226" s="1188">
        <f t="shared" si="66"/>
        <v>0</v>
      </c>
      <c r="CF226" s="1188">
        <f t="shared" si="67"/>
        <v>0</v>
      </c>
      <c r="CG226" s="1188">
        <f t="shared" si="68"/>
        <v>0</v>
      </c>
      <c r="CH226" s="1236"/>
      <c r="CI226" s="1236"/>
      <c r="CJ226" s="1236"/>
      <c r="CK226" s="1188"/>
      <c r="CL226" s="1188"/>
    </row>
    <row r="227" s="1168" customFormat="1" customHeight="1" spans="1:90">
      <c r="A227" s="1245">
        <v>46115</v>
      </c>
      <c r="B227" s="1247" t="s">
        <v>1039</v>
      </c>
      <c r="C227" s="1234" t="s">
        <v>201</v>
      </c>
      <c r="D227" s="1268">
        <v>4500200234</v>
      </c>
      <c r="E227" s="1233">
        <v>1703760</v>
      </c>
      <c r="F227" s="1188" t="s">
        <v>1043</v>
      </c>
      <c r="G227" s="1253" t="s">
        <v>146</v>
      </c>
      <c r="H227" s="1234" t="s">
        <v>104</v>
      </c>
      <c r="I227" s="1254">
        <v>6700</v>
      </c>
      <c r="J227" s="1234">
        <v>0</v>
      </c>
      <c r="K227" s="1234">
        <v>25</v>
      </c>
      <c r="L227" s="1246">
        <f t="shared" si="60"/>
        <v>268</v>
      </c>
      <c r="M227" s="1255">
        <v>46184</v>
      </c>
      <c r="N227" s="1255">
        <v>46181</v>
      </c>
      <c r="O227" s="1255"/>
      <c r="P227" s="1233"/>
      <c r="Q227" s="1304" t="s">
        <v>106</v>
      </c>
      <c r="R227" s="1234"/>
      <c r="S227" s="1234" t="s">
        <v>736</v>
      </c>
      <c r="T227" s="1233">
        <f>6675+25</f>
        <v>6700</v>
      </c>
      <c r="U227" s="1233">
        <f t="shared" si="74"/>
        <v>0</v>
      </c>
      <c r="V227" s="1234"/>
      <c r="W227" s="1256">
        <v>46152</v>
      </c>
      <c r="X227" s="1257" t="s">
        <v>95</v>
      </c>
      <c r="Y227" s="1257" t="s">
        <v>1041</v>
      </c>
      <c r="Z227" s="1247"/>
      <c r="AA227" s="1247"/>
      <c r="AB227" s="1247"/>
      <c r="AC227" s="1247" t="s">
        <v>1042</v>
      </c>
      <c r="AD227" s="1255" t="s">
        <v>204</v>
      </c>
      <c r="AE227" s="1188">
        <v>1.27</v>
      </c>
      <c r="AF227" s="1248">
        <f t="shared" si="78"/>
        <v>8509</v>
      </c>
      <c r="AG227" s="1258"/>
      <c r="AH227" s="1234" t="s">
        <v>111</v>
      </c>
      <c r="AI227" s="1234" t="s">
        <v>112</v>
      </c>
      <c r="AJ227" s="1234" t="s">
        <v>113</v>
      </c>
      <c r="AK227" s="1188">
        <f t="shared" si="75"/>
        <v>6700</v>
      </c>
      <c r="AL227" s="1188"/>
      <c r="AM227" s="1188"/>
      <c r="AN227" s="1188"/>
      <c r="AO227" s="1188"/>
      <c r="AP227" s="1188">
        <f>I227</f>
        <v>6700</v>
      </c>
      <c r="AQ227" s="1240"/>
      <c r="AR227" s="1188"/>
      <c r="AS227" s="1236"/>
      <c r="AT227" s="1236"/>
      <c r="AU227" s="1188">
        <f t="shared" si="76"/>
        <v>6700</v>
      </c>
      <c r="AV227" s="1250">
        <f t="shared" si="77"/>
        <v>402</v>
      </c>
      <c r="AW227" s="1250"/>
      <c r="AX227" s="1188"/>
      <c r="AY227" s="1188"/>
      <c r="AZ227" s="1188"/>
      <c r="BA227" s="1188"/>
      <c r="BB227" s="1188"/>
      <c r="BC227" s="1188"/>
      <c r="BD227" s="1188"/>
      <c r="BE227" s="1188"/>
      <c r="BF227" s="1188"/>
      <c r="BG227" s="1188"/>
      <c r="BH227" s="1188"/>
      <c r="BI227" s="1188"/>
      <c r="BJ227" s="1188"/>
      <c r="BK227" s="1188"/>
      <c r="BL227" s="1188"/>
      <c r="BM227" s="1188"/>
      <c r="BN227" s="1188"/>
      <c r="BO227" s="1240">
        <f>I227/25</f>
        <v>268</v>
      </c>
      <c r="BP227" s="1240"/>
      <c r="BQ227" s="1188"/>
      <c r="BR227" s="1236"/>
      <c r="BS227" s="1188"/>
      <c r="BT227" s="1188"/>
      <c r="BU227" s="1188"/>
      <c r="BV227" s="1240"/>
      <c r="BW227" s="1188"/>
      <c r="BX227" s="1188"/>
      <c r="BY227" s="1188"/>
      <c r="BZ227" s="1188"/>
      <c r="CA227" s="1188"/>
      <c r="CB227" s="1188"/>
      <c r="CC227" s="1188"/>
      <c r="CD227" s="1188">
        <f t="shared" si="65"/>
        <v>268</v>
      </c>
      <c r="CE227" s="1188">
        <f t="shared" si="66"/>
        <v>0</v>
      </c>
      <c r="CF227" s="1188">
        <f t="shared" si="67"/>
        <v>0</v>
      </c>
      <c r="CG227" s="1188">
        <f t="shared" si="68"/>
        <v>0</v>
      </c>
      <c r="CH227" s="1236"/>
      <c r="CI227" s="1236"/>
      <c r="CJ227" s="1236"/>
      <c r="CK227" s="1188"/>
      <c r="CL227" s="1188"/>
    </row>
    <row r="228" s="1168" customFormat="1" customHeight="1" spans="1:90">
      <c r="A228" s="1245">
        <v>46115</v>
      </c>
      <c r="B228" s="1247" t="s">
        <v>1039</v>
      </c>
      <c r="C228" s="1234" t="s">
        <v>201</v>
      </c>
      <c r="D228" s="1268">
        <v>4500200234</v>
      </c>
      <c r="E228" s="1233">
        <v>1714853</v>
      </c>
      <c r="F228" s="1188" t="s">
        <v>1044</v>
      </c>
      <c r="G228" s="1253" t="s">
        <v>146</v>
      </c>
      <c r="H228" s="1234" t="s">
        <v>104</v>
      </c>
      <c r="I228" s="1254">
        <v>5000</v>
      </c>
      <c r="J228" s="1234">
        <v>0</v>
      </c>
      <c r="K228" s="1234">
        <v>25</v>
      </c>
      <c r="L228" s="1246">
        <f t="shared" si="60"/>
        <v>200</v>
      </c>
      <c r="M228" s="1255">
        <v>46184</v>
      </c>
      <c r="N228" s="1255">
        <v>46181</v>
      </c>
      <c r="O228" s="1255"/>
      <c r="P228" s="1233"/>
      <c r="Q228" s="1304" t="s">
        <v>106</v>
      </c>
      <c r="R228" s="1234"/>
      <c r="S228" s="1234" t="s">
        <v>736</v>
      </c>
      <c r="T228" s="1233">
        <v>5000</v>
      </c>
      <c r="U228" s="1233">
        <f t="shared" si="74"/>
        <v>0</v>
      </c>
      <c r="V228" s="1234"/>
      <c r="W228" s="1256">
        <v>46152</v>
      </c>
      <c r="X228" s="1257" t="s">
        <v>95</v>
      </c>
      <c r="Y228" s="1257" t="s">
        <v>1041</v>
      </c>
      <c r="Z228" s="1247"/>
      <c r="AA228" s="1247"/>
      <c r="AB228" s="1247"/>
      <c r="AC228" s="1247" t="s">
        <v>1042</v>
      </c>
      <c r="AD228" s="1255" t="s">
        <v>204</v>
      </c>
      <c r="AE228" s="1188">
        <v>1.27</v>
      </c>
      <c r="AF228" s="1248">
        <f t="shared" si="78"/>
        <v>6350</v>
      </c>
      <c r="AG228" s="1258"/>
      <c r="AH228" s="1234" t="s">
        <v>111</v>
      </c>
      <c r="AI228" s="1234" t="s">
        <v>112</v>
      </c>
      <c r="AJ228" s="1234" t="s">
        <v>113</v>
      </c>
      <c r="AK228" s="1188">
        <f t="shared" si="75"/>
        <v>5000</v>
      </c>
      <c r="AL228" s="1188"/>
      <c r="AM228" s="1188"/>
      <c r="AN228" s="1188"/>
      <c r="AO228" s="1188"/>
      <c r="AP228" s="1188">
        <f>I228</f>
        <v>5000</v>
      </c>
      <c r="AQ228" s="1240"/>
      <c r="AR228" s="1188"/>
      <c r="AS228" s="1236"/>
      <c r="AT228" s="1236"/>
      <c r="AU228" s="1188">
        <f t="shared" si="76"/>
        <v>5000</v>
      </c>
      <c r="AV228" s="1250">
        <f t="shared" si="77"/>
        <v>300</v>
      </c>
      <c r="AW228" s="1250"/>
      <c r="AX228" s="1188"/>
      <c r="AY228" s="1188"/>
      <c r="AZ228" s="1188"/>
      <c r="BA228" s="1188"/>
      <c r="BB228" s="1188"/>
      <c r="BC228" s="1188"/>
      <c r="BD228" s="1188"/>
      <c r="BE228" s="1188"/>
      <c r="BF228" s="1188"/>
      <c r="BG228" s="1188"/>
      <c r="BH228" s="1188"/>
      <c r="BI228" s="1188"/>
      <c r="BJ228" s="1188"/>
      <c r="BK228" s="1188"/>
      <c r="BL228" s="1188"/>
      <c r="BM228" s="1188"/>
      <c r="BN228" s="1188"/>
      <c r="BO228" s="1240">
        <f>I228/25</f>
        <v>200</v>
      </c>
      <c r="BP228" s="1240"/>
      <c r="BQ228" s="1188"/>
      <c r="BR228" s="1236"/>
      <c r="BS228" s="1188"/>
      <c r="BT228" s="1188"/>
      <c r="BU228" s="1188"/>
      <c r="BV228" s="1240"/>
      <c r="BW228" s="1188"/>
      <c r="BX228" s="1188"/>
      <c r="BY228" s="1188"/>
      <c r="BZ228" s="1188"/>
      <c r="CA228" s="1188"/>
      <c r="CB228" s="1188"/>
      <c r="CC228" s="1188"/>
      <c r="CD228" s="1188">
        <f t="shared" si="65"/>
        <v>200</v>
      </c>
      <c r="CE228" s="1188">
        <f t="shared" si="66"/>
        <v>0</v>
      </c>
      <c r="CF228" s="1188">
        <f t="shared" si="67"/>
        <v>0</v>
      </c>
      <c r="CG228" s="1188">
        <f t="shared" si="68"/>
        <v>0</v>
      </c>
      <c r="CH228" s="1236"/>
      <c r="CI228" s="1236"/>
      <c r="CJ228" s="1236"/>
      <c r="CK228" s="1188"/>
      <c r="CL228" s="1188"/>
    </row>
    <row r="229" s="1168" customFormat="1" customHeight="1" spans="1:90">
      <c r="A229" s="1245">
        <v>46140</v>
      </c>
      <c r="B229" s="1247" t="s">
        <v>386</v>
      </c>
      <c r="C229" s="1234" t="s">
        <v>115</v>
      </c>
      <c r="D229" s="1268">
        <v>4500204412</v>
      </c>
      <c r="E229" s="1234" t="s">
        <v>1045</v>
      </c>
      <c r="F229" s="1188" t="s">
        <v>1046</v>
      </c>
      <c r="G229" s="1253" t="s">
        <v>389</v>
      </c>
      <c r="H229" s="1234" t="s">
        <v>390</v>
      </c>
      <c r="I229" s="1254">
        <v>5316</v>
      </c>
      <c r="J229" s="1234">
        <v>0</v>
      </c>
      <c r="K229" s="1234">
        <v>12</v>
      </c>
      <c r="L229" s="1246">
        <f t="shared" si="60"/>
        <v>443</v>
      </c>
      <c r="M229" s="1255">
        <v>46184</v>
      </c>
      <c r="N229" s="1255">
        <v>46181</v>
      </c>
      <c r="O229" s="1255"/>
      <c r="P229" s="1233"/>
      <c r="Q229" s="1304" t="s">
        <v>106</v>
      </c>
      <c r="R229" s="1234"/>
      <c r="S229" s="1234"/>
      <c r="T229" s="1233">
        <v>5316</v>
      </c>
      <c r="U229" s="1233">
        <f t="shared" si="74"/>
        <v>0</v>
      </c>
      <c r="V229" s="1234"/>
      <c r="W229" s="1256">
        <v>46140</v>
      </c>
      <c r="X229" s="1257" t="s">
        <v>107</v>
      </c>
      <c r="Y229" s="1257" t="s">
        <v>1047</v>
      </c>
      <c r="Z229" s="1247"/>
      <c r="AA229" s="1247"/>
      <c r="AB229" s="1247"/>
      <c r="AC229" s="1247" t="s">
        <v>1048</v>
      </c>
      <c r="AD229" s="1255" t="s">
        <v>393</v>
      </c>
      <c r="AE229" s="1188">
        <v>1.374</v>
      </c>
      <c r="AF229" s="1248">
        <f t="shared" si="78"/>
        <v>7304.184</v>
      </c>
      <c r="AG229" s="1249" t="s">
        <v>1049</v>
      </c>
      <c r="AH229" s="1253" t="s">
        <v>389</v>
      </c>
      <c r="AI229" s="1234" t="s">
        <v>112</v>
      </c>
      <c r="AJ229" s="1234" t="s">
        <v>113</v>
      </c>
      <c r="AK229" s="1188">
        <f>I229*2</f>
        <v>10632</v>
      </c>
      <c r="AL229" s="1188"/>
      <c r="AM229" s="1188"/>
      <c r="AN229" s="1188"/>
      <c r="AO229" s="1188"/>
      <c r="AP229" s="1188"/>
      <c r="AQ229" s="1240">
        <f>I229*2</f>
        <v>10632</v>
      </c>
      <c r="AR229" s="1188"/>
      <c r="AS229" s="1236"/>
      <c r="AT229" s="1236"/>
      <c r="AU229" s="1188">
        <f>I229*2</f>
        <v>10632</v>
      </c>
      <c r="AV229" s="1250">
        <f>I229*0.06*2</f>
        <v>637.92</v>
      </c>
      <c r="AW229" s="1250"/>
      <c r="AX229" s="1188"/>
      <c r="AY229" s="1188"/>
      <c r="AZ229" s="1188"/>
      <c r="BA229" s="1188"/>
      <c r="BB229" s="1188"/>
      <c r="BC229" s="1188"/>
      <c r="BD229" s="1188"/>
      <c r="BE229" s="1188"/>
      <c r="BF229" s="1188"/>
      <c r="BG229" s="1188"/>
      <c r="BH229" s="1188"/>
      <c r="BI229" s="1188"/>
      <c r="BJ229" s="1188"/>
      <c r="BK229" s="1188"/>
      <c r="BL229" s="1188"/>
      <c r="BM229" s="1188"/>
      <c r="BN229" s="1188"/>
      <c r="BO229" s="1240"/>
      <c r="BP229" s="1240"/>
      <c r="BQ229" s="1188"/>
      <c r="BR229" s="1236"/>
      <c r="BS229" s="1188"/>
      <c r="BT229" s="1188"/>
      <c r="BU229" s="1188"/>
      <c r="BV229" s="1240"/>
      <c r="BW229" s="1188"/>
      <c r="BX229" s="1188"/>
      <c r="BY229" s="1188"/>
      <c r="BZ229" s="1188"/>
      <c r="CA229" s="1188"/>
      <c r="CB229" s="1188"/>
      <c r="CC229" s="1188"/>
      <c r="CD229" s="1188">
        <f t="shared" si="65"/>
        <v>0</v>
      </c>
      <c r="CE229" s="1188">
        <f t="shared" si="66"/>
        <v>0</v>
      </c>
      <c r="CF229" s="1188">
        <f t="shared" si="67"/>
        <v>0</v>
      </c>
      <c r="CG229" s="1188">
        <f t="shared" si="68"/>
        <v>0</v>
      </c>
      <c r="CH229" s="1236"/>
      <c r="CI229" s="1236"/>
      <c r="CJ229" s="1236">
        <f>I229</f>
        <v>5316</v>
      </c>
      <c r="CK229" s="1188">
        <f>I229</f>
        <v>5316</v>
      </c>
      <c r="CL229" s="1188">
        <f>I229</f>
        <v>5316</v>
      </c>
    </row>
    <row r="230" s="1168" customFormat="1" customHeight="1" spans="1:90">
      <c r="A230" s="1245">
        <v>46140</v>
      </c>
      <c r="B230" s="1247" t="s">
        <v>386</v>
      </c>
      <c r="C230" s="1234" t="s">
        <v>115</v>
      </c>
      <c r="D230" s="1268">
        <v>4500204412</v>
      </c>
      <c r="E230" s="1234" t="s">
        <v>1050</v>
      </c>
      <c r="F230" s="1188" t="s">
        <v>1051</v>
      </c>
      <c r="G230" s="1253" t="s">
        <v>389</v>
      </c>
      <c r="H230" s="1234" t="s">
        <v>390</v>
      </c>
      <c r="I230" s="1254">
        <v>24</v>
      </c>
      <c r="J230" s="1234">
        <v>0</v>
      </c>
      <c r="K230" s="1234">
        <v>12</v>
      </c>
      <c r="L230" s="1246">
        <f t="shared" si="60"/>
        <v>2</v>
      </c>
      <c r="M230" s="1255">
        <v>46184</v>
      </c>
      <c r="N230" s="1255">
        <v>46181</v>
      </c>
      <c r="O230" s="1255"/>
      <c r="P230" s="1233"/>
      <c r="Q230" s="1304" t="s">
        <v>106</v>
      </c>
      <c r="R230" s="1234"/>
      <c r="S230" s="1234"/>
      <c r="T230" s="1233">
        <v>24</v>
      </c>
      <c r="U230" s="1233">
        <f t="shared" si="74"/>
        <v>0</v>
      </c>
      <c r="V230" s="1234"/>
      <c r="W230" s="1256">
        <v>46140</v>
      </c>
      <c r="X230" s="1257" t="s">
        <v>107</v>
      </c>
      <c r="Y230" s="1257" t="s">
        <v>1047</v>
      </c>
      <c r="Z230" s="1247"/>
      <c r="AA230" s="1247"/>
      <c r="AB230" s="1247"/>
      <c r="AC230" s="1247" t="s">
        <v>1052</v>
      </c>
      <c r="AD230" s="1255" t="s">
        <v>393</v>
      </c>
      <c r="AE230" s="1188">
        <v>1.3742</v>
      </c>
      <c r="AF230" s="1248">
        <f t="shared" si="78"/>
        <v>32.9808</v>
      </c>
      <c r="AG230" s="1249" t="s">
        <v>1049</v>
      </c>
      <c r="AH230" s="1253" t="s">
        <v>389</v>
      </c>
      <c r="AI230" s="1234" t="s">
        <v>112</v>
      </c>
      <c r="AJ230" s="1234" t="s">
        <v>113</v>
      </c>
      <c r="AK230" s="1188">
        <f>I230*2</f>
        <v>48</v>
      </c>
      <c r="AL230" s="1188"/>
      <c r="AM230" s="1188"/>
      <c r="AN230" s="1188"/>
      <c r="AO230" s="1188"/>
      <c r="AP230" s="1188"/>
      <c r="AQ230" s="1240">
        <f>I230*2</f>
        <v>48</v>
      </c>
      <c r="AR230" s="1188"/>
      <c r="AS230" s="1236"/>
      <c r="AT230" s="1236"/>
      <c r="AU230" s="1188">
        <f>I230*2</f>
        <v>48</v>
      </c>
      <c r="AV230" s="1250">
        <f>I230*0.06*2</f>
        <v>2.88</v>
      </c>
      <c r="AW230" s="1250"/>
      <c r="AX230" s="1188"/>
      <c r="AY230" s="1188"/>
      <c r="AZ230" s="1188"/>
      <c r="BA230" s="1188"/>
      <c r="BB230" s="1188"/>
      <c r="BC230" s="1188"/>
      <c r="BD230" s="1188"/>
      <c r="BE230" s="1188"/>
      <c r="BF230" s="1188"/>
      <c r="BG230" s="1188"/>
      <c r="BH230" s="1188"/>
      <c r="BI230" s="1188"/>
      <c r="BJ230" s="1188"/>
      <c r="BK230" s="1188"/>
      <c r="BL230" s="1188"/>
      <c r="BM230" s="1188"/>
      <c r="BN230" s="1188"/>
      <c r="BO230" s="1240"/>
      <c r="BP230" s="1240"/>
      <c r="BQ230" s="1188"/>
      <c r="BR230" s="1236"/>
      <c r="BS230" s="1188"/>
      <c r="BT230" s="1188"/>
      <c r="BU230" s="1188"/>
      <c r="BV230" s="1240"/>
      <c r="BW230" s="1188"/>
      <c r="BX230" s="1188"/>
      <c r="BY230" s="1188"/>
      <c r="BZ230" s="1188"/>
      <c r="CA230" s="1188"/>
      <c r="CB230" s="1188"/>
      <c r="CC230" s="1188"/>
      <c r="CD230" s="1188">
        <f t="shared" si="65"/>
        <v>0</v>
      </c>
      <c r="CE230" s="1188">
        <f t="shared" si="66"/>
        <v>0</v>
      </c>
      <c r="CF230" s="1188">
        <f t="shared" si="67"/>
        <v>0</v>
      </c>
      <c r="CG230" s="1188">
        <f t="shared" si="68"/>
        <v>0</v>
      </c>
      <c r="CH230" s="1236"/>
      <c r="CI230" s="1236"/>
      <c r="CJ230" s="1236">
        <f>I230</f>
        <v>24</v>
      </c>
      <c r="CK230" s="1188">
        <f>I230</f>
        <v>24</v>
      </c>
      <c r="CL230" s="1188">
        <f>I230</f>
        <v>24</v>
      </c>
    </row>
    <row r="231" s="1168" customFormat="1" customHeight="1" spans="1:90">
      <c r="A231" s="1245">
        <v>46100</v>
      </c>
      <c r="B231" s="1247" t="s">
        <v>1053</v>
      </c>
      <c r="C231" s="1234" t="s">
        <v>1054</v>
      </c>
      <c r="D231" s="1188">
        <v>4500197643</v>
      </c>
      <c r="E231" s="1234" t="s">
        <v>1055</v>
      </c>
      <c r="F231" s="1188" t="s">
        <v>1056</v>
      </c>
      <c r="G231" s="1253" t="s">
        <v>188</v>
      </c>
      <c r="H231" s="1234" t="s">
        <v>138</v>
      </c>
      <c r="I231" s="1254">
        <v>6000</v>
      </c>
      <c r="J231" s="1234">
        <v>0</v>
      </c>
      <c r="K231" s="1234">
        <v>50</v>
      </c>
      <c r="L231" s="1246">
        <f t="shared" si="60"/>
        <v>120</v>
      </c>
      <c r="M231" s="1255">
        <v>46184</v>
      </c>
      <c r="N231" s="1255">
        <v>46214</v>
      </c>
      <c r="O231" s="1255"/>
      <c r="P231" s="1233"/>
      <c r="Q231" s="1286" t="s">
        <v>106</v>
      </c>
      <c r="R231" s="1234"/>
      <c r="S231" s="1234" t="s">
        <v>943</v>
      </c>
      <c r="T231" s="1233">
        <v>6000</v>
      </c>
      <c r="U231" s="1233">
        <f t="shared" si="74"/>
        <v>0</v>
      </c>
      <c r="V231" s="1234"/>
      <c r="W231" s="1256">
        <v>46100</v>
      </c>
      <c r="X231" s="1257" t="s">
        <v>95</v>
      </c>
      <c r="Y231" s="1257" t="s">
        <v>1057</v>
      </c>
      <c r="Z231" s="1247"/>
      <c r="AA231" s="1247"/>
      <c r="AB231" s="1247"/>
      <c r="AC231" s="1247" t="s">
        <v>1058</v>
      </c>
      <c r="AD231" s="1248" t="s">
        <v>1059</v>
      </c>
      <c r="AE231" s="1247">
        <v>1.124</v>
      </c>
      <c r="AF231" s="1248">
        <f>AE231*I231</f>
        <v>6744</v>
      </c>
      <c r="AG231" s="1258"/>
      <c r="AH231" s="1234" t="s">
        <v>188</v>
      </c>
      <c r="AI231" s="1234" t="s">
        <v>112</v>
      </c>
      <c r="AJ231" s="1234" t="s">
        <v>769</v>
      </c>
      <c r="AK231" s="1188">
        <f>I231</f>
        <v>6000</v>
      </c>
      <c r="AL231" s="1188"/>
      <c r="AM231" s="1188"/>
      <c r="AN231" s="1188">
        <f>I231</f>
        <v>6000</v>
      </c>
      <c r="AO231" s="1188"/>
      <c r="AP231" s="1188"/>
      <c r="AQ231" s="1240"/>
      <c r="AR231" s="1188"/>
      <c r="AS231" s="1236"/>
      <c r="AT231" s="1236"/>
      <c r="AU231" s="1188">
        <f>I231</f>
        <v>6000</v>
      </c>
      <c r="AV231" s="1250">
        <f>I231*0.06</f>
        <v>360</v>
      </c>
      <c r="AW231" s="1250"/>
      <c r="AX231" s="1188"/>
      <c r="AY231" s="1188"/>
      <c r="AZ231" s="1188"/>
      <c r="BA231" s="1188"/>
      <c r="BB231" s="1188"/>
      <c r="BC231" s="1188"/>
      <c r="BD231" s="1188"/>
      <c r="BE231" s="1188"/>
      <c r="BF231" s="1188"/>
      <c r="BG231" s="1188"/>
      <c r="BH231" s="1188"/>
      <c r="BI231" s="1188"/>
      <c r="BJ231" s="1188"/>
      <c r="BK231" s="1188"/>
      <c r="BL231" s="1188"/>
      <c r="BM231" s="1188"/>
      <c r="BN231" s="1188">
        <f>I231/25</f>
        <v>240</v>
      </c>
      <c r="BO231" s="1240"/>
      <c r="BP231" s="1240"/>
      <c r="BQ231" s="1188"/>
      <c r="BR231" s="1236"/>
      <c r="BS231" s="1188"/>
      <c r="BT231" s="1188"/>
      <c r="BU231" s="1188"/>
      <c r="BV231" s="1240"/>
      <c r="BW231" s="1188"/>
      <c r="BX231" s="1188"/>
      <c r="BY231" s="1188"/>
      <c r="BZ231" s="1188"/>
      <c r="CA231" s="1188"/>
      <c r="CB231" s="1188"/>
      <c r="CC231" s="1188"/>
      <c r="CD231" s="1188">
        <f t="shared" si="65"/>
        <v>240</v>
      </c>
      <c r="CE231" s="1188">
        <f t="shared" si="66"/>
        <v>0</v>
      </c>
      <c r="CF231" s="1188">
        <f t="shared" si="67"/>
        <v>0</v>
      </c>
      <c r="CG231" s="1188">
        <f t="shared" si="68"/>
        <v>0</v>
      </c>
      <c r="CH231" s="1236"/>
      <c r="CI231" s="1236"/>
      <c r="CJ231" s="1236"/>
      <c r="CK231" s="1188"/>
      <c r="CL231" s="1188"/>
    </row>
    <row r="232" s="1168" customFormat="1" customHeight="1" spans="1:90">
      <c r="A232" s="1245">
        <v>46122</v>
      </c>
      <c r="B232" s="1247" t="s">
        <v>1060</v>
      </c>
      <c r="C232" s="1234" t="s">
        <v>148</v>
      </c>
      <c r="D232" s="1188">
        <v>4500201003</v>
      </c>
      <c r="E232" s="1233">
        <v>2000009879</v>
      </c>
      <c r="F232" s="1188" t="s">
        <v>1061</v>
      </c>
      <c r="G232" s="1319" t="s">
        <v>803</v>
      </c>
      <c r="H232" s="1234" t="s">
        <v>804</v>
      </c>
      <c r="I232" s="1254">
        <v>3792</v>
      </c>
      <c r="J232" s="1234">
        <v>0</v>
      </c>
      <c r="K232" s="1234">
        <v>6</v>
      </c>
      <c r="L232" s="1246">
        <f t="shared" si="60"/>
        <v>632</v>
      </c>
      <c r="M232" s="1255">
        <v>46184</v>
      </c>
      <c r="N232" s="1320">
        <v>46214</v>
      </c>
      <c r="O232" s="1320" t="s">
        <v>1062</v>
      </c>
      <c r="P232" s="1233"/>
      <c r="Q232" s="1304" t="s">
        <v>106</v>
      </c>
      <c r="R232" s="1234" t="s">
        <v>1063</v>
      </c>
      <c r="S232" s="1234"/>
      <c r="T232" s="1233">
        <f>672+3114+6</f>
        <v>3792</v>
      </c>
      <c r="U232" s="1233">
        <f t="shared" si="74"/>
        <v>0</v>
      </c>
      <c r="V232" s="1233"/>
      <c r="W232" s="1256">
        <v>46149</v>
      </c>
      <c r="X232" s="1257" t="s">
        <v>95</v>
      </c>
      <c r="Y232" s="1257" t="s">
        <v>1064</v>
      </c>
      <c r="Z232" s="1247" t="s">
        <v>1065</v>
      </c>
      <c r="AA232" s="1247"/>
      <c r="AB232" s="1247"/>
      <c r="AC232" s="1247" t="s">
        <v>1066</v>
      </c>
      <c r="AD232" s="1255" t="s">
        <v>1067</v>
      </c>
      <c r="AE232" s="1188">
        <v>8.15</v>
      </c>
      <c r="AF232" s="1248">
        <f>I232*AE232</f>
        <v>30904.8</v>
      </c>
      <c r="AG232" s="1258"/>
      <c r="AH232" s="1234" t="s">
        <v>952</v>
      </c>
      <c r="AI232" s="1234" t="s">
        <v>112</v>
      </c>
      <c r="AJ232" s="1234" t="s">
        <v>113</v>
      </c>
      <c r="AK232" s="1188">
        <f>I232*2</f>
        <v>7584</v>
      </c>
      <c r="AL232" s="1188"/>
      <c r="AM232" s="1188"/>
      <c r="AN232" s="1188"/>
      <c r="AO232" s="1188"/>
      <c r="AP232" s="1188">
        <f>I232*2</f>
        <v>7584</v>
      </c>
      <c r="AQ232" s="1240"/>
      <c r="AR232" s="1188"/>
      <c r="AS232" s="1236"/>
      <c r="AT232" s="1236"/>
      <c r="AU232" s="1188">
        <f>I232*2</f>
        <v>7584</v>
      </c>
      <c r="AV232" s="1250">
        <f>I232*0.06*2</f>
        <v>455.04</v>
      </c>
      <c r="AW232" s="1250"/>
      <c r="AX232" s="1188"/>
      <c r="AY232" s="1188"/>
      <c r="AZ232" s="1188"/>
      <c r="BA232" s="1188"/>
      <c r="BB232" s="1188"/>
      <c r="BC232" s="1188"/>
      <c r="BD232" s="1188"/>
      <c r="BE232" s="1188"/>
      <c r="BF232" s="1188"/>
      <c r="BG232" s="1188"/>
      <c r="BH232" s="1188"/>
      <c r="BI232" s="1188"/>
      <c r="BJ232" s="1188"/>
      <c r="BK232" s="1188"/>
      <c r="BL232" s="1188"/>
      <c r="BM232" s="1188"/>
      <c r="BN232" s="1188"/>
      <c r="BO232" s="1240"/>
      <c r="BP232" s="1240"/>
      <c r="BQ232" s="1188"/>
      <c r="BR232" s="1236"/>
      <c r="BS232" s="1188"/>
      <c r="BT232" s="1188"/>
      <c r="BU232" s="1188"/>
      <c r="BV232" s="1240"/>
      <c r="BW232" s="1188"/>
      <c r="BX232" s="1188"/>
      <c r="BY232" s="1188"/>
      <c r="BZ232" s="1188"/>
      <c r="CA232" s="1188"/>
      <c r="CB232" s="1188"/>
      <c r="CC232" s="1188"/>
      <c r="CD232" s="1188">
        <f t="shared" si="65"/>
        <v>0</v>
      </c>
      <c r="CE232" s="1188">
        <f t="shared" si="66"/>
        <v>0</v>
      </c>
      <c r="CF232" s="1188">
        <f t="shared" si="67"/>
        <v>0</v>
      </c>
      <c r="CG232" s="1188">
        <f t="shared" si="68"/>
        <v>0</v>
      </c>
      <c r="CH232" s="1236"/>
      <c r="CI232" s="1236"/>
      <c r="CJ232" s="1236"/>
      <c r="CK232" s="1188"/>
      <c r="CL232" s="1188"/>
    </row>
    <row r="233" s="1168" customFormat="1" customHeight="1" spans="1:90">
      <c r="A233" s="1245">
        <v>46122</v>
      </c>
      <c r="B233" s="1247" t="s">
        <v>935</v>
      </c>
      <c r="C233" s="1234" t="s">
        <v>115</v>
      </c>
      <c r="D233" s="1268">
        <v>4500201188</v>
      </c>
      <c r="E233" s="1233">
        <v>1750512407</v>
      </c>
      <c r="F233" s="1188" t="s">
        <v>1068</v>
      </c>
      <c r="G233" s="1253" t="s">
        <v>482</v>
      </c>
      <c r="H233" s="1234" t="s">
        <v>483</v>
      </c>
      <c r="I233" s="1254">
        <v>4320</v>
      </c>
      <c r="J233" s="1234">
        <v>0</v>
      </c>
      <c r="K233" s="1234">
        <v>120</v>
      </c>
      <c r="L233" s="1246">
        <f t="shared" ref="L233:L263" si="79">I233/K233</f>
        <v>36</v>
      </c>
      <c r="M233" s="1255">
        <v>46185</v>
      </c>
      <c r="N233" s="1255">
        <v>46206</v>
      </c>
      <c r="O233" s="1255"/>
      <c r="P233" s="1233"/>
      <c r="Q233" s="1286" t="s">
        <v>106</v>
      </c>
      <c r="R233" s="1234" t="s">
        <v>1012</v>
      </c>
      <c r="S233" s="1234" t="s">
        <v>718</v>
      </c>
      <c r="T233" s="1233">
        <v>4320</v>
      </c>
      <c r="U233" s="1233">
        <f t="shared" si="74"/>
        <v>0</v>
      </c>
      <c r="V233" s="1234"/>
      <c r="W233" s="1256">
        <v>46155</v>
      </c>
      <c r="X233" s="1257" t="s">
        <v>107</v>
      </c>
      <c r="Y233" s="1257" t="s">
        <v>95</v>
      </c>
      <c r="Z233" s="1247"/>
      <c r="AA233" s="1247"/>
      <c r="AB233" s="1247"/>
      <c r="AC233" s="1247" t="s">
        <v>937</v>
      </c>
      <c r="AD233" s="1248" t="s">
        <v>488</v>
      </c>
      <c r="AE233" s="1247">
        <v>642</v>
      </c>
      <c r="AF233" s="1248">
        <f>L233*AE233</f>
        <v>23112</v>
      </c>
      <c r="AG233" s="1249" t="s">
        <v>1069</v>
      </c>
      <c r="AH233" s="1234" t="s">
        <v>490</v>
      </c>
      <c r="AI233" s="1234" t="s">
        <v>112</v>
      </c>
      <c r="AJ233" s="1234" t="s">
        <v>113</v>
      </c>
      <c r="AK233" s="1188"/>
      <c r="AL233" s="1188">
        <f>I233*3</f>
        <v>12960</v>
      </c>
      <c r="AM233" s="1188"/>
      <c r="AN233" s="1188"/>
      <c r="AO233" s="1188"/>
      <c r="AP233" s="1188"/>
      <c r="AQ233" s="1240"/>
      <c r="AR233" s="1188"/>
      <c r="AS233" s="1236"/>
      <c r="AT233" s="1236"/>
      <c r="AU233" s="1188"/>
      <c r="AV233" s="1250">
        <f>I233*0.06*2</f>
        <v>518.4</v>
      </c>
      <c r="AW233" s="1250"/>
      <c r="AX233" s="1188"/>
      <c r="AY233" s="1188"/>
      <c r="AZ233" s="1188"/>
      <c r="BA233" s="1188"/>
      <c r="BB233" s="1188">
        <f>I233*3</f>
        <v>12960</v>
      </c>
      <c r="BC233" s="1188">
        <f>I233*3</f>
        <v>12960</v>
      </c>
      <c r="BD233" s="1188">
        <f>I233*3</f>
        <v>12960</v>
      </c>
      <c r="BE233" s="1188">
        <f>I233</f>
        <v>4320</v>
      </c>
      <c r="BF233" s="1188">
        <f>I233/6</f>
        <v>720</v>
      </c>
      <c r="BG233" s="1188"/>
      <c r="BH233" s="1188"/>
      <c r="BI233" s="1188"/>
      <c r="BJ233" s="1188"/>
      <c r="BK233" s="1188"/>
      <c r="BL233" s="1188"/>
      <c r="BM233" s="1188"/>
      <c r="BN233" s="1188"/>
      <c r="BO233" s="1240"/>
      <c r="BP233" s="1240"/>
      <c r="BQ233" s="1188"/>
      <c r="BR233" s="1236"/>
      <c r="BS233" s="1188"/>
      <c r="BT233" s="1188"/>
      <c r="BU233" s="1188"/>
      <c r="BV233" s="1240"/>
      <c r="BW233" s="1188"/>
      <c r="BX233" s="1188"/>
      <c r="BY233" s="1188"/>
      <c r="BZ233" s="1188"/>
      <c r="CA233" s="1188"/>
      <c r="CB233" s="1188"/>
      <c r="CC233" s="1188"/>
      <c r="CD233" s="1188">
        <f t="shared" si="65"/>
        <v>0</v>
      </c>
      <c r="CE233" s="1188">
        <f t="shared" si="66"/>
        <v>0</v>
      </c>
      <c r="CF233" s="1188">
        <f t="shared" si="67"/>
        <v>0</v>
      </c>
      <c r="CG233" s="1188">
        <f t="shared" si="68"/>
        <v>0</v>
      </c>
      <c r="CH233" s="1236"/>
      <c r="CI233" s="1236"/>
      <c r="CJ233" s="1236"/>
      <c r="CK233" s="1188"/>
      <c r="CL233" s="1188"/>
    </row>
    <row r="234" s="1168" customFormat="1" customHeight="1" spans="1:90">
      <c r="A234" s="1245">
        <v>46122</v>
      </c>
      <c r="B234" s="1247" t="s">
        <v>935</v>
      </c>
      <c r="C234" s="1234" t="s">
        <v>115</v>
      </c>
      <c r="D234" s="1268">
        <v>4500201195</v>
      </c>
      <c r="E234" s="1233">
        <v>1750512408</v>
      </c>
      <c r="F234" s="1188" t="s">
        <v>1070</v>
      </c>
      <c r="G234" s="1253" t="s">
        <v>482</v>
      </c>
      <c r="H234" s="1234" t="s">
        <v>483</v>
      </c>
      <c r="I234" s="1254">
        <v>4320</v>
      </c>
      <c r="J234" s="1234">
        <v>0</v>
      </c>
      <c r="K234" s="1234">
        <v>120</v>
      </c>
      <c r="L234" s="1246">
        <f t="shared" si="79"/>
        <v>36</v>
      </c>
      <c r="M234" s="1255">
        <v>46185</v>
      </c>
      <c r="N234" s="1255">
        <v>46206</v>
      </c>
      <c r="O234" s="1255"/>
      <c r="P234" s="1233"/>
      <c r="Q234" s="1286" t="s">
        <v>106</v>
      </c>
      <c r="R234" s="1234" t="s">
        <v>1012</v>
      </c>
      <c r="S234" s="1234" t="s">
        <v>718</v>
      </c>
      <c r="T234" s="1233">
        <v>4320</v>
      </c>
      <c r="U234" s="1233">
        <f t="shared" si="74"/>
        <v>0</v>
      </c>
      <c r="V234" s="1234"/>
      <c r="W234" s="1256">
        <v>46155</v>
      </c>
      <c r="X234" s="1257" t="s">
        <v>107</v>
      </c>
      <c r="Y234" s="1257" t="s">
        <v>95</v>
      </c>
      <c r="Z234" s="1247"/>
      <c r="AA234" s="1247"/>
      <c r="AB234" s="1247"/>
      <c r="AC234" s="1247" t="s">
        <v>937</v>
      </c>
      <c r="AD234" s="1248" t="s">
        <v>488</v>
      </c>
      <c r="AE234" s="1247">
        <v>642</v>
      </c>
      <c r="AF234" s="1248">
        <f>L234*AE234</f>
        <v>23112</v>
      </c>
      <c r="AG234" s="1249" t="s">
        <v>1071</v>
      </c>
      <c r="AH234" s="1234" t="s">
        <v>490</v>
      </c>
      <c r="AI234" s="1234" t="s">
        <v>112</v>
      </c>
      <c r="AJ234" s="1234" t="s">
        <v>113</v>
      </c>
      <c r="AK234" s="1188"/>
      <c r="AL234" s="1188">
        <f>I234*3</f>
        <v>12960</v>
      </c>
      <c r="AM234" s="1188"/>
      <c r="AN234" s="1188"/>
      <c r="AO234" s="1188"/>
      <c r="AP234" s="1188"/>
      <c r="AQ234" s="1240"/>
      <c r="AR234" s="1188"/>
      <c r="AS234" s="1236"/>
      <c r="AT234" s="1236"/>
      <c r="AU234" s="1188"/>
      <c r="AV234" s="1250">
        <f>I234*0.06*2</f>
        <v>518.4</v>
      </c>
      <c r="AW234" s="1250"/>
      <c r="AX234" s="1188"/>
      <c r="AY234" s="1188"/>
      <c r="AZ234" s="1188"/>
      <c r="BA234" s="1188"/>
      <c r="BB234" s="1188">
        <f>I234*3</f>
        <v>12960</v>
      </c>
      <c r="BC234" s="1188">
        <f>I234*3</f>
        <v>12960</v>
      </c>
      <c r="BD234" s="1188">
        <f>I234*3</f>
        <v>12960</v>
      </c>
      <c r="BE234" s="1188">
        <f>I234</f>
        <v>4320</v>
      </c>
      <c r="BF234" s="1188">
        <f>I234/6</f>
        <v>720</v>
      </c>
      <c r="BG234" s="1188"/>
      <c r="BH234" s="1188"/>
      <c r="BI234" s="1188"/>
      <c r="BJ234" s="1188"/>
      <c r="BK234" s="1188"/>
      <c r="BL234" s="1188"/>
      <c r="BM234" s="1188"/>
      <c r="BN234" s="1188"/>
      <c r="BO234" s="1240"/>
      <c r="BP234" s="1240"/>
      <c r="BQ234" s="1188"/>
      <c r="BR234" s="1236"/>
      <c r="BS234" s="1188"/>
      <c r="BT234" s="1188"/>
      <c r="BU234" s="1188"/>
      <c r="BV234" s="1240"/>
      <c r="BW234" s="1188"/>
      <c r="BX234" s="1188"/>
      <c r="BY234" s="1188"/>
      <c r="BZ234" s="1188"/>
      <c r="CA234" s="1188"/>
      <c r="CB234" s="1188"/>
      <c r="CC234" s="1188"/>
      <c r="CD234" s="1188">
        <f t="shared" si="65"/>
        <v>0</v>
      </c>
      <c r="CE234" s="1188">
        <f t="shared" si="66"/>
        <v>0</v>
      </c>
      <c r="CF234" s="1188">
        <f t="shared" si="67"/>
        <v>0</v>
      </c>
      <c r="CG234" s="1188">
        <f t="shared" si="68"/>
        <v>0</v>
      </c>
      <c r="CH234" s="1236"/>
      <c r="CI234" s="1236"/>
      <c r="CJ234" s="1236"/>
      <c r="CK234" s="1188"/>
      <c r="CL234" s="1188"/>
    </row>
    <row r="235" s="1168" customFormat="1" customHeight="1" spans="1:90">
      <c r="A235" s="1245">
        <v>46122</v>
      </c>
      <c r="B235" s="1247" t="s">
        <v>935</v>
      </c>
      <c r="C235" s="1234" t="s">
        <v>115</v>
      </c>
      <c r="D235" s="1268">
        <v>4500201197</v>
      </c>
      <c r="E235" s="1233">
        <v>10520512302</v>
      </c>
      <c r="F235" s="1188" t="s">
        <v>1072</v>
      </c>
      <c r="G235" s="1253" t="s">
        <v>482</v>
      </c>
      <c r="H235" s="1234" t="s">
        <v>483</v>
      </c>
      <c r="I235" s="1254">
        <v>4320</v>
      </c>
      <c r="J235" s="1234">
        <v>0</v>
      </c>
      <c r="K235" s="1234">
        <v>120</v>
      </c>
      <c r="L235" s="1246">
        <f t="shared" si="79"/>
        <v>36</v>
      </c>
      <c r="M235" s="1255">
        <v>46185</v>
      </c>
      <c r="N235" s="1255">
        <v>46206</v>
      </c>
      <c r="O235" s="1255"/>
      <c r="P235" s="1233"/>
      <c r="Q235" s="1286" t="s">
        <v>106</v>
      </c>
      <c r="R235" s="1234" t="s">
        <v>848</v>
      </c>
      <c r="S235" s="1234" t="s">
        <v>718</v>
      </c>
      <c r="T235" s="1233">
        <v>4320</v>
      </c>
      <c r="U235" s="1233">
        <f t="shared" si="74"/>
        <v>0</v>
      </c>
      <c r="V235" s="1234"/>
      <c r="W235" s="1256">
        <v>46155</v>
      </c>
      <c r="X235" s="1257" t="s">
        <v>107</v>
      </c>
      <c r="Y235" s="1257" t="s">
        <v>95</v>
      </c>
      <c r="Z235" s="1247"/>
      <c r="AA235" s="1247"/>
      <c r="AB235" s="1247"/>
      <c r="AC235" s="1247" t="s">
        <v>937</v>
      </c>
      <c r="AD235" s="1248" t="s">
        <v>488</v>
      </c>
      <c r="AE235" s="1247">
        <v>642</v>
      </c>
      <c r="AF235" s="1248">
        <f>L235*AE235</f>
        <v>23112</v>
      </c>
      <c r="AG235" s="1249" t="s">
        <v>1073</v>
      </c>
      <c r="AH235" s="1234" t="s">
        <v>490</v>
      </c>
      <c r="AI235" s="1234" t="s">
        <v>112</v>
      </c>
      <c r="AJ235" s="1234" t="s">
        <v>113</v>
      </c>
      <c r="AK235" s="1188"/>
      <c r="AL235" s="1188">
        <f>I235*3</f>
        <v>12960</v>
      </c>
      <c r="AM235" s="1188"/>
      <c r="AN235" s="1188"/>
      <c r="AO235" s="1188"/>
      <c r="AP235" s="1188"/>
      <c r="AQ235" s="1240"/>
      <c r="AR235" s="1188"/>
      <c r="AS235" s="1236"/>
      <c r="AT235" s="1236"/>
      <c r="AU235" s="1188"/>
      <c r="AV235" s="1250">
        <f>I235*0.06*2</f>
        <v>518.4</v>
      </c>
      <c r="AW235" s="1250"/>
      <c r="AX235" s="1188"/>
      <c r="AY235" s="1188"/>
      <c r="AZ235" s="1188"/>
      <c r="BA235" s="1188"/>
      <c r="BB235" s="1188">
        <f>I235*3</f>
        <v>12960</v>
      </c>
      <c r="BC235" s="1188">
        <f>I235*3</f>
        <v>12960</v>
      </c>
      <c r="BD235" s="1188">
        <f>I235*3</f>
        <v>12960</v>
      </c>
      <c r="BE235" s="1188">
        <f>I235</f>
        <v>4320</v>
      </c>
      <c r="BF235" s="1188">
        <f>I235/6</f>
        <v>720</v>
      </c>
      <c r="BG235" s="1188"/>
      <c r="BH235" s="1188"/>
      <c r="BI235" s="1188"/>
      <c r="BJ235" s="1188"/>
      <c r="BK235" s="1188"/>
      <c r="BL235" s="1188"/>
      <c r="BM235" s="1188"/>
      <c r="BN235" s="1188"/>
      <c r="BO235" s="1240"/>
      <c r="BP235" s="1240"/>
      <c r="BQ235" s="1188"/>
      <c r="BR235" s="1236"/>
      <c r="BS235" s="1188"/>
      <c r="BT235" s="1188"/>
      <c r="BU235" s="1188"/>
      <c r="BV235" s="1240"/>
      <c r="BW235" s="1188"/>
      <c r="BX235" s="1188"/>
      <c r="BY235" s="1188"/>
      <c r="BZ235" s="1188"/>
      <c r="CA235" s="1188"/>
      <c r="CB235" s="1188"/>
      <c r="CC235" s="1188"/>
      <c r="CD235" s="1188">
        <f t="shared" si="65"/>
        <v>0</v>
      </c>
      <c r="CE235" s="1188">
        <f t="shared" si="66"/>
        <v>0</v>
      </c>
      <c r="CF235" s="1188">
        <f t="shared" si="67"/>
        <v>0</v>
      </c>
      <c r="CG235" s="1188">
        <f t="shared" si="68"/>
        <v>0</v>
      </c>
      <c r="CH235" s="1236"/>
      <c r="CI235" s="1236"/>
      <c r="CJ235" s="1236"/>
      <c r="CK235" s="1188"/>
      <c r="CL235" s="1188"/>
    </row>
    <row r="236" s="1168" customFormat="1" customHeight="1" spans="1:90">
      <c r="A236" s="1245">
        <v>46107</v>
      </c>
      <c r="B236" s="1247" t="s">
        <v>845</v>
      </c>
      <c r="C236" s="1234" t="s">
        <v>291</v>
      </c>
      <c r="D236" s="1188">
        <v>4500198840</v>
      </c>
      <c r="E236" s="1234">
        <v>7950324036</v>
      </c>
      <c r="F236" s="1188" t="s">
        <v>1074</v>
      </c>
      <c r="G236" s="1253" t="s">
        <v>482</v>
      </c>
      <c r="H236" s="1234" t="s">
        <v>483</v>
      </c>
      <c r="I236" s="1254">
        <v>4320</v>
      </c>
      <c r="J236" s="1234">
        <v>0</v>
      </c>
      <c r="K236" s="1234">
        <v>120</v>
      </c>
      <c r="L236" s="1246">
        <f t="shared" si="79"/>
        <v>36</v>
      </c>
      <c r="M236" s="1255">
        <v>46185</v>
      </c>
      <c r="N236" s="1255">
        <v>46211</v>
      </c>
      <c r="O236" s="1255" t="s">
        <v>736</v>
      </c>
      <c r="P236" s="1233"/>
      <c r="Q236" s="1286" t="s">
        <v>106</v>
      </c>
      <c r="R236" s="1234" t="s">
        <v>1075</v>
      </c>
      <c r="S236" s="1234" t="s">
        <v>718</v>
      </c>
      <c r="T236" s="1233">
        <v>4320</v>
      </c>
      <c r="U236" s="1233">
        <f t="shared" si="74"/>
        <v>0</v>
      </c>
      <c r="V236" s="1234"/>
      <c r="W236" s="1256">
        <v>46134</v>
      </c>
      <c r="X236" s="1257" t="s">
        <v>107</v>
      </c>
      <c r="Y236" s="1257" t="s">
        <v>849</v>
      </c>
      <c r="Z236" s="1247"/>
      <c r="AA236" s="1247"/>
      <c r="AB236" s="1247"/>
      <c r="AC236" s="1247" t="s">
        <v>1076</v>
      </c>
      <c r="AD236" s="1248" t="s">
        <v>295</v>
      </c>
      <c r="AE236" s="1247">
        <v>1070</v>
      </c>
      <c r="AF236" s="1248">
        <f>L236*AE236</f>
        <v>38520</v>
      </c>
      <c r="AG236" s="1258"/>
      <c r="AH236" s="1234" t="s">
        <v>490</v>
      </c>
      <c r="AI236" s="1234" t="s">
        <v>112</v>
      </c>
      <c r="AJ236" s="1234" t="s">
        <v>113</v>
      </c>
      <c r="AK236" s="1188"/>
      <c r="AL236" s="1188">
        <f>I236*3</f>
        <v>12960</v>
      </c>
      <c r="AM236" s="1188"/>
      <c r="AN236" s="1188"/>
      <c r="AO236" s="1188"/>
      <c r="AP236" s="1188"/>
      <c r="AQ236" s="1240"/>
      <c r="AR236" s="1188"/>
      <c r="AS236" s="1236"/>
      <c r="AT236" s="1236"/>
      <c r="AU236" s="1188"/>
      <c r="AV236" s="1250">
        <f>I236*0.06*2</f>
        <v>518.4</v>
      </c>
      <c r="AW236" s="1250"/>
      <c r="AX236" s="1188"/>
      <c r="AY236" s="1188"/>
      <c r="AZ236" s="1188"/>
      <c r="BA236" s="1188"/>
      <c r="BB236" s="1188">
        <f>I236*3</f>
        <v>12960</v>
      </c>
      <c r="BC236" s="1188">
        <f>I236*3</f>
        <v>12960</v>
      </c>
      <c r="BD236" s="1188">
        <f>I236*3</f>
        <v>12960</v>
      </c>
      <c r="BE236" s="1188">
        <f>I236</f>
        <v>4320</v>
      </c>
      <c r="BF236" s="1188">
        <f>I236/6</f>
        <v>720</v>
      </c>
      <c r="BG236" s="1188"/>
      <c r="BH236" s="1188"/>
      <c r="BI236" s="1188"/>
      <c r="BJ236" s="1188"/>
      <c r="BK236" s="1188"/>
      <c r="BL236" s="1188"/>
      <c r="BM236" s="1188"/>
      <c r="BN236" s="1188"/>
      <c r="BO236" s="1240"/>
      <c r="BP236" s="1240"/>
      <c r="BQ236" s="1188"/>
      <c r="BR236" s="1236"/>
      <c r="BS236" s="1188"/>
      <c r="BT236" s="1188"/>
      <c r="BU236" s="1188"/>
      <c r="BV236" s="1240"/>
      <c r="BW236" s="1188"/>
      <c r="BX236" s="1188"/>
      <c r="BY236" s="1188"/>
      <c r="BZ236" s="1188"/>
      <c r="CA236" s="1188"/>
      <c r="CB236" s="1188"/>
      <c r="CC236" s="1188"/>
      <c r="CD236" s="1188">
        <f t="shared" si="65"/>
        <v>0</v>
      </c>
      <c r="CE236" s="1188">
        <f t="shared" si="66"/>
        <v>0</v>
      </c>
      <c r="CF236" s="1188">
        <f t="shared" si="67"/>
        <v>0</v>
      </c>
      <c r="CG236" s="1188">
        <f t="shared" si="68"/>
        <v>0</v>
      </c>
      <c r="CH236" s="1236"/>
      <c r="CI236" s="1236"/>
      <c r="CJ236" s="1236"/>
      <c r="CK236" s="1188"/>
      <c r="CL236" s="1188"/>
    </row>
    <row r="237" s="1168" customFormat="1" customHeight="1" spans="1:90">
      <c r="A237" s="1245">
        <v>46114</v>
      </c>
      <c r="B237" s="1247" t="s">
        <v>1077</v>
      </c>
      <c r="C237" s="1234" t="s">
        <v>115</v>
      </c>
      <c r="D237" s="1268">
        <v>4500199572</v>
      </c>
      <c r="E237" s="1233">
        <v>4891254</v>
      </c>
      <c r="F237" s="1188" t="s">
        <v>1078</v>
      </c>
      <c r="G237" s="1253" t="s">
        <v>289</v>
      </c>
      <c r="H237" s="1234" t="s">
        <v>194</v>
      </c>
      <c r="I237" s="1254">
        <v>3068</v>
      </c>
      <c r="J237" s="1234">
        <v>0</v>
      </c>
      <c r="K237" s="1234">
        <v>13</v>
      </c>
      <c r="L237" s="1246">
        <f t="shared" si="79"/>
        <v>236</v>
      </c>
      <c r="M237" s="1255">
        <v>46185</v>
      </c>
      <c r="N237" s="1255">
        <v>46214</v>
      </c>
      <c r="O237" s="1255"/>
      <c r="P237" s="1233"/>
      <c r="Q237" s="1286" t="s">
        <v>106</v>
      </c>
      <c r="R237" s="1234"/>
      <c r="S237" s="1234" t="s">
        <v>943</v>
      </c>
      <c r="T237" s="1233">
        <v>3068</v>
      </c>
      <c r="U237" s="1233">
        <f t="shared" si="74"/>
        <v>0</v>
      </c>
      <c r="V237" s="1234"/>
      <c r="W237" s="1256">
        <v>46139</v>
      </c>
      <c r="X237" s="1257" t="s">
        <v>95</v>
      </c>
      <c r="Y237" s="1257" t="s">
        <v>95</v>
      </c>
      <c r="Z237" s="1247"/>
      <c r="AA237" s="1247"/>
      <c r="AB237" s="1247"/>
      <c r="AC237" s="1247" t="s">
        <v>1079</v>
      </c>
      <c r="AD237" s="1248" t="s">
        <v>421</v>
      </c>
      <c r="AE237" s="1247">
        <v>0.72</v>
      </c>
      <c r="AF237" s="1248">
        <f>I237*AE237</f>
        <v>2208.96</v>
      </c>
      <c r="AG237" s="1249" t="s">
        <v>1080</v>
      </c>
      <c r="AH237" s="1234" t="s">
        <v>289</v>
      </c>
      <c r="AI237" s="1234" t="s">
        <v>112</v>
      </c>
      <c r="AJ237" s="1234" t="s">
        <v>769</v>
      </c>
      <c r="AK237" s="1188">
        <f t="shared" ref="AK237:AK245" si="80">I237</f>
        <v>3068</v>
      </c>
      <c r="AL237" s="1188"/>
      <c r="AM237" s="1188"/>
      <c r="AN237" s="1188">
        <f>I237</f>
        <v>3068</v>
      </c>
      <c r="AO237" s="1188"/>
      <c r="AP237" s="1188"/>
      <c r="AQ237" s="1240"/>
      <c r="AR237" s="1188"/>
      <c r="AS237" s="1236"/>
      <c r="AT237" s="1236"/>
      <c r="AU237" s="1188">
        <f>I237</f>
        <v>3068</v>
      </c>
      <c r="AV237" s="1250">
        <f>I237*0.06</f>
        <v>184.08</v>
      </c>
      <c r="AW237" s="1250"/>
      <c r="AX237" s="1188"/>
      <c r="AY237" s="1188"/>
      <c r="AZ237" s="1188"/>
      <c r="BA237" s="1188"/>
      <c r="BB237" s="1188"/>
      <c r="BC237" s="1188"/>
      <c r="BD237" s="1188"/>
      <c r="BE237" s="1188"/>
      <c r="BF237" s="1188"/>
      <c r="BG237" s="1188"/>
      <c r="BH237" s="1188"/>
      <c r="BI237" s="1188"/>
      <c r="BJ237" s="1188"/>
      <c r="BK237" s="1188">
        <f>I237/13</f>
        <v>236</v>
      </c>
      <c r="BL237" s="1188"/>
      <c r="BM237" s="1188"/>
      <c r="BN237" s="1188"/>
      <c r="BO237" s="1240"/>
      <c r="BP237" s="1240"/>
      <c r="BQ237" s="1188"/>
      <c r="BR237" s="1236"/>
      <c r="BS237" s="1188"/>
      <c r="BT237" s="1188"/>
      <c r="BU237" s="1188"/>
      <c r="BV237" s="1240"/>
      <c r="BW237" s="1188"/>
      <c r="BX237" s="1188"/>
      <c r="BY237" s="1188"/>
      <c r="BZ237" s="1188"/>
      <c r="CA237" s="1188"/>
      <c r="CB237" s="1188"/>
      <c r="CC237" s="1188"/>
      <c r="CD237" s="1188">
        <f t="shared" si="65"/>
        <v>0</v>
      </c>
      <c r="CE237" s="1188">
        <f t="shared" si="66"/>
        <v>0</v>
      </c>
      <c r="CF237" s="1188">
        <f t="shared" si="67"/>
        <v>0</v>
      </c>
      <c r="CG237" s="1188">
        <f t="shared" si="68"/>
        <v>0</v>
      </c>
      <c r="CH237" s="1236"/>
      <c r="CI237" s="1236"/>
      <c r="CJ237" s="1236"/>
      <c r="CK237" s="1188"/>
      <c r="CL237" s="1188"/>
    </row>
    <row r="238" s="1168" customFormat="1" customHeight="1" spans="1:90">
      <c r="A238" s="1245">
        <v>46168</v>
      </c>
      <c r="B238" s="1247"/>
      <c r="C238" s="1234" t="s">
        <v>597</v>
      </c>
      <c r="D238" s="1188" t="s">
        <v>1081</v>
      </c>
      <c r="E238" s="1234"/>
      <c r="F238" s="1188" t="s">
        <v>1082</v>
      </c>
      <c r="G238" s="1253" t="s">
        <v>91</v>
      </c>
      <c r="H238" s="1234" t="s">
        <v>93</v>
      </c>
      <c r="I238" s="1254">
        <v>80</v>
      </c>
      <c r="J238" s="1234">
        <v>0</v>
      </c>
      <c r="K238" s="1234">
        <v>24</v>
      </c>
      <c r="L238" s="1246">
        <f t="shared" si="79"/>
        <v>3.33333333333333</v>
      </c>
      <c r="M238" s="1255">
        <v>46187</v>
      </c>
      <c r="N238" s="1255">
        <v>46183</v>
      </c>
      <c r="O238" s="1255"/>
      <c r="P238" s="1233"/>
      <c r="Q238" s="1304"/>
      <c r="R238" s="1234"/>
      <c r="S238" s="1234"/>
      <c r="T238" s="1233"/>
      <c r="U238" s="1233">
        <f t="shared" si="74"/>
        <v>-80</v>
      </c>
      <c r="V238" s="1234"/>
      <c r="W238" s="1256" t="s">
        <v>94</v>
      </c>
      <c r="X238" s="1257" t="s">
        <v>95</v>
      </c>
      <c r="Y238" s="1257" t="s">
        <v>95</v>
      </c>
      <c r="Z238" s="1247"/>
      <c r="AA238" s="1247"/>
      <c r="AB238" s="1247"/>
      <c r="AC238" s="1247" t="s">
        <v>1083</v>
      </c>
      <c r="AD238" s="1255"/>
      <c r="AE238" s="1188"/>
      <c r="AF238" s="1248"/>
      <c r="AG238" s="1258"/>
      <c r="AH238" s="1253" t="s">
        <v>99</v>
      </c>
      <c r="AI238" s="1234" t="s">
        <v>99</v>
      </c>
      <c r="AJ238" s="1234"/>
      <c r="AK238" s="1188">
        <f t="shared" si="80"/>
        <v>80</v>
      </c>
      <c r="AL238" s="1188"/>
      <c r="AM238" s="1188"/>
      <c r="AN238" s="1188"/>
      <c r="AO238" s="1188"/>
      <c r="AP238" s="1188"/>
      <c r="AQ238" s="1240"/>
      <c r="AR238" s="1188"/>
      <c r="AS238" s="1236"/>
      <c r="AT238" s="1236"/>
      <c r="AU238" s="1188"/>
      <c r="AV238" s="1250">
        <f>I238*0.06*2</f>
        <v>9.6</v>
      </c>
      <c r="AW238" s="1250"/>
      <c r="AX238" s="1188"/>
      <c r="AY238" s="1188"/>
      <c r="AZ238" s="1188"/>
      <c r="BA238" s="1188"/>
      <c r="BB238" s="1188"/>
      <c r="BC238" s="1188"/>
      <c r="BD238" s="1188"/>
      <c r="BE238" s="1188"/>
      <c r="BF238" s="1188"/>
      <c r="BG238" s="1188"/>
      <c r="BH238" s="1188"/>
      <c r="BI238" s="1188"/>
      <c r="BJ238" s="1188"/>
      <c r="BK238" s="1188"/>
      <c r="BL238" s="1188"/>
      <c r="BM238" s="1188"/>
      <c r="BN238" s="1188"/>
      <c r="BO238" s="1240"/>
      <c r="BP238" s="1240"/>
      <c r="BQ238" s="1188"/>
      <c r="BR238" s="1236"/>
      <c r="BS238" s="1188"/>
      <c r="BT238" s="1188"/>
      <c r="BU238" s="1188"/>
      <c r="BV238" s="1240"/>
      <c r="BW238" s="1188"/>
      <c r="BX238" s="1188"/>
      <c r="BY238" s="1188"/>
      <c r="BZ238" s="1188"/>
      <c r="CA238" s="1188"/>
      <c r="CB238" s="1188"/>
      <c r="CC238" s="1188"/>
      <c r="CD238" s="1188">
        <f t="shared" si="65"/>
        <v>0</v>
      </c>
      <c r="CE238" s="1188">
        <f t="shared" si="66"/>
        <v>0</v>
      </c>
      <c r="CF238" s="1188">
        <f t="shared" si="67"/>
        <v>0</v>
      </c>
      <c r="CG238" s="1188">
        <f t="shared" si="68"/>
        <v>0</v>
      </c>
      <c r="CH238" s="1236"/>
      <c r="CI238" s="1236"/>
      <c r="CJ238" s="1236"/>
      <c r="CK238" s="1188"/>
      <c r="CL238" s="1188"/>
    </row>
    <row r="239" s="1168" customFormat="1" customHeight="1" spans="1:90">
      <c r="A239" s="1245">
        <v>46104</v>
      </c>
      <c r="B239" s="1247" t="s">
        <v>525</v>
      </c>
      <c r="C239" s="1234" t="s">
        <v>508</v>
      </c>
      <c r="D239" s="1188">
        <v>4500198150</v>
      </c>
      <c r="E239" s="1234">
        <v>21605184</v>
      </c>
      <c r="F239" s="1188" t="s">
        <v>1084</v>
      </c>
      <c r="G239" s="1253" t="s">
        <v>685</v>
      </c>
      <c r="H239" s="1234" t="s">
        <v>194</v>
      </c>
      <c r="I239" s="1254">
        <v>6097</v>
      </c>
      <c r="J239" s="1234">
        <v>0</v>
      </c>
      <c r="K239" s="1234">
        <v>13</v>
      </c>
      <c r="L239" s="1246">
        <f t="shared" si="79"/>
        <v>469</v>
      </c>
      <c r="M239" s="1255">
        <v>46188</v>
      </c>
      <c r="N239" s="1255">
        <v>46184</v>
      </c>
      <c r="O239" s="1255"/>
      <c r="P239" s="1233"/>
      <c r="Q239" s="1304" t="s">
        <v>106</v>
      </c>
      <c r="R239" s="1234"/>
      <c r="S239" s="1234"/>
      <c r="T239" s="1233">
        <v>6097</v>
      </c>
      <c r="U239" s="1233">
        <f t="shared" si="74"/>
        <v>0</v>
      </c>
      <c r="V239" s="1234" t="s">
        <v>120</v>
      </c>
      <c r="W239" s="1256">
        <v>46151</v>
      </c>
      <c r="X239" s="1257" t="s">
        <v>107</v>
      </c>
      <c r="Y239" s="1257" t="s">
        <v>1085</v>
      </c>
      <c r="Z239" s="1247" t="s">
        <v>360</v>
      </c>
      <c r="AA239" s="1247"/>
      <c r="AB239" s="1247"/>
      <c r="AC239" s="1247" t="s">
        <v>1086</v>
      </c>
      <c r="AD239" s="1255" t="s">
        <v>362</v>
      </c>
      <c r="AE239" s="1188">
        <v>1.2</v>
      </c>
      <c r="AF239" s="1248">
        <f>I239*AE239</f>
        <v>7316.4</v>
      </c>
      <c r="AG239" s="1258"/>
      <c r="AH239" s="1253" t="s">
        <v>289</v>
      </c>
      <c r="AI239" s="1234" t="s">
        <v>112</v>
      </c>
      <c r="AJ239" s="1234" t="s">
        <v>113</v>
      </c>
      <c r="AK239" s="1188">
        <f t="shared" si="80"/>
        <v>6097</v>
      </c>
      <c r="AL239" s="1188"/>
      <c r="AM239" s="1188"/>
      <c r="AN239" s="1188">
        <f>I239</f>
        <v>6097</v>
      </c>
      <c r="AO239" s="1188"/>
      <c r="AP239" s="1188"/>
      <c r="AQ239" s="1240"/>
      <c r="AR239" s="1188"/>
      <c r="AS239" s="1236"/>
      <c r="AT239" s="1236"/>
      <c r="AU239" s="1188"/>
      <c r="AV239" s="1250">
        <f t="shared" ref="AV239:AV245" si="81">I239*0.06</f>
        <v>365.82</v>
      </c>
      <c r="AW239" s="1250"/>
      <c r="AX239" s="1188">
        <f>I239</f>
        <v>6097</v>
      </c>
      <c r="AY239" s="1188"/>
      <c r="AZ239" s="1188"/>
      <c r="BA239" s="1188"/>
      <c r="BB239" s="1188"/>
      <c r="BC239" s="1188"/>
      <c r="BD239" s="1188"/>
      <c r="BE239" s="1188"/>
      <c r="BF239" s="1188"/>
      <c r="BG239" s="1188"/>
      <c r="BH239" s="1188"/>
      <c r="BI239" s="1188"/>
      <c r="BJ239" s="1188"/>
      <c r="BK239" s="1188"/>
      <c r="BL239" s="1188"/>
      <c r="BM239" s="1188"/>
      <c r="BN239" s="1188"/>
      <c r="BO239" s="1240"/>
      <c r="BP239" s="1240">
        <f>I239/13</f>
        <v>469</v>
      </c>
      <c r="BQ239" s="1188"/>
      <c r="BR239" s="1236"/>
      <c r="BS239" s="1188"/>
      <c r="BT239" s="1188"/>
      <c r="BU239" s="1188"/>
      <c r="BV239" s="1240"/>
      <c r="BW239" s="1188"/>
      <c r="BX239" s="1188"/>
      <c r="BY239" s="1188"/>
      <c r="BZ239" s="1188"/>
      <c r="CA239" s="1188"/>
      <c r="CB239" s="1188"/>
      <c r="CC239" s="1188"/>
      <c r="CD239" s="1188">
        <f t="shared" si="65"/>
        <v>0</v>
      </c>
      <c r="CE239" s="1188">
        <f t="shared" si="66"/>
        <v>0</v>
      </c>
      <c r="CF239" s="1188">
        <f t="shared" si="67"/>
        <v>0</v>
      </c>
      <c r="CG239" s="1188">
        <f t="shared" si="68"/>
        <v>0</v>
      </c>
      <c r="CH239" s="1236"/>
      <c r="CI239" s="1236"/>
      <c r="CJ239" s="1236"/>
      <c r="CK239" s="1188"/>
      <c r="CL239" s="1188"/>
    </row>
    <row r="240" s="1168" customFormat="1" customHeight="1" spans="1:90">
      <c r="A240" s="1245">
        <v>46104</v>
      </c>
      <c r="B240" s="1247" t="s">
        <v>521</v>
      </c>
      <c r="C240" s="1234" t="s">
        <v>101</v>
      </c>
      <c r="D240" s="1188">
        <v>4500198152</v>
      </c>
      <c r="E240" s="1234">
        <v>21605191</v>
      </c>
      <c r="F240" s="1188" t="s">
        <v>1087</v>
      </c>
      <c r="G240" s="1253" t="s">
        <v>685</v>
      </c>
      <c r="H240" s="1234" t="s">
        <v>194</v>
      </c>
      <c r="I240" s="1254">
        <v>403</v>
      </c>
      <c r="J240" s="1234">
        <v>0</v>
      </c>
      <c r="K240" s="1234">
        <v>13</v>
      </c>
      <c r="L240" s="1246">
        <f t="shared" si="79"/>
        <v>31</v>
      </c>
      <c r="M240" s="1255">
        <v>46188</v>
      </c>
      <c r="N240" s="1255">
        <v>46184</v>
      </c>
      <c r="O240" s="1255"/>
      <c r="P240" s="1233"/>
      <c r="Q240" s="1304" t="s">
        <v>106</v>
      </c>
      <c r="R240" s="1234"/>
      <c r="S240" s="1234"/>
      <c r="T240" s="1233">
        <v>403</v>
      </c>
      <c r="U240" s="1233">
        <f t="shared" si="74"/>
        <v>0</v>
      </c>
      <c r="V240" s="1234" t="s">
        <v>120</v>
      </c>
      <c r="W240" s="1256">
        <v>46151</v>
      </c>
      <c r="X240" s="1257" t="s">
        <v>107</v>
      </c>
      <c r="Y240" s="1257" t="s">
        <v>1085</v>
      </c>
      <c r="Z240" s="1247" t="s">
        <v>360</v>
      </c>
      <c r="AA240" s="1247"/>
      <c r="AB240" s="1247"/>
      <c r="AC240" s="1247" t="s">
        <v>1088</v>
      </c>
      <c r="AD240" s="1255" t="s">
        <v>362</v>
      </c>
      <c r="AE240" s="1188">
        <v>1.2</v>
      </c>
      <c r="AF240" s="1248">
        <f>I240*AE240</f>
        <v>483.6</v>
      </c>
      <c r="AG240" s="1258"/>
      <c r="AH240" s="1253" t="s">
        <v>289</v>
      </c>
      <c r="AI240" s="1234" t="s">
        <v>112</v>
      </c>
      <c r="AJ240" s="1234" t="s">
        <v>113</v>
      </c>
      <c r="AK240" s="1188">
        <f t="shared" si="80"/>
        <v>403</v>
      </c>
      <c r="AL240" s="1188"/>
      <c r="AM240" s="1188"/>
      <c r="AN240" s="1188">
        <f>I240</f>
        <v>403</v>
      </c>
      <c r="AO240" s="1188"/>
      <c r="AP240" s="1188"/>
      <c r="AQ240" s="1240"/>
      <c r="AR240" s="1188"/>
      <c r="AS240" s="1236"/>
      <c r="AT240" s="1236"/>
      <c r="AU240" s="1188"/>
      <c r="AV240" s="1250">
        <f t="shared" si="81"/>
        <v>24.18</v>
      </c>
      <c r="AW240" s="1250"/>
      <c r="AX240" s="1188">
        <f>I240</f>
        <v>403</v>
      </c>
      <c r="AY240" s="1188"/>
      <c r="AZ240" s="1188"/>
      <c r="BA240" s="1188"/>
      <c r="BB240" s="1188"/>
      <c r="BC240" s="1188"/>
      <c r="BD240" s="1188"/>
      <c r="BE240" s="1188"/>
      <c r="BF240" s="1188"/>
      <c r="BG240" s="1188"/>
      <c r="BH240" s="1188"/>
      <c r="BI240" s="1188"/>
      <c r="BJ240" s="1188"/>
      <c r="BK240" s="1188"/>
      <c r="BL240" s="1188"/>
      <c r="BM240" s="1188"/>
      <c r="BN240" s="1188"/>
      <c r="BO240" s="1240"/>
      <c r="BP240" s="1240">
        <f>I240/13</f>
        <v>31</v>
      </c>
      <c r="BQ240" s="1188"/>
      <c r="BR240" s="1236"/>
      <c r="BS240" s="1188"/>
      <c r="BT240" s="1188"/>
      <c r="BU240" s="1188"/>
      <c r="BV240" s="1240"/>
      <c r="BW240" s="1188"/>
      <c r="BX240" s="1188"/>
      <c r="BY240" s="1188"/>
      <c r="BZ240" s="1188"/>
      <c r="CA240" s="1188"/>
      <c r="CB240" s="1188"/>
      <c r="CC240" s="1188"/>
      <c r="CD240" s="1188">
        <f t="shared" si="65"/>
        <v>0</v>
      </c>
      <c r="CE240" s="1188">
        <f t="shared" si="66"/>
        <v>0</v>
      </c>
      <c r="CF240" s="1188">
        <f t="shared" si="67"/>
        <v>0</v>
      </c>
      <c r="CG240" s="1188">
        <f t="shared" si="68"/>
        <v>0</v>
      </c>
      <c r="CH240" s="1236"/>
      <c r="CI240" s="1236"/>
      <c r="CJ240" s="1236"/>
      <c r="CK240" s="1188"/>
      <c r="CL240" s="1188"/>
    </row>
    <row r="241" s="1168" customFormat="1" customHeight="1" spans="1:111">
      <c r="A241" s="1245">
        <v>46125</v>
      </c>
      <c r="B241" s="1247" t="s">
        <v>427</v>
      </c>
      <c r="C241" s="1234" t="s">
        <v>115</v>
      </c>
      <c r="D241" s="1188">
        <v>4500201600</v>
      </c>
      <c r="E241" s="1234">
        <v>5168</v>
      </c>
      <c r="F241" s="1188" t="s">
        <v>1089</v>
      </c>
      <c r="G241" s="1253" t="s">
        <v>174</v>
      </c>
      <c r="H241" s="1234" t="s">
        <v>175</v>
      </c>
      <c r="I241" s="1254">
        <v>2600</v>
      </c>
      <c r="J241" s="1234">
        <v>0</v>
      </c>
      <c r="K241" s="1234">
        <v>52</v>
      </c>
      <c r="L241" s="1246">
        <f t="shared" si="79"/>
        <v>50</v>
      </c>
      <c r="M241" s="1255">
        <v>46188</v>
      </c>
      <c r="N241" s="1255">
        <v>46214</v>
      </c>
      <c r="O241" s="1255"/>
      <c r="P241" s="1233"/>
      <c r="Q241" s="1286" t="s">
        <v>106</v>
      </c>
      <c r="R241" s="1234" t="s">
        <v>1090</v>
      </c>
      <c r="S241" s="1234" t="s">
        <v>943</v>
      </c>
      <c r="T241" s="1233">
        <v>2600</v>
      </c>
      <c r="U241" s="1233">
        <f t="shared" si="74"/>
        <v>0</v>
      </c>
      <c r="V241" s="1234"/>
      <c r="W241" s="1256">
        <v>46150</v>
      </c>
      <c r="X241" s="1257" t="s">
        <v>95</v>
      </c>
      <c r="Y241" s="1257" t="s">
        <v>95</v>
      </c>
      <c r="Z241" s="1247"/>
      <c r="AA241" s="1247"/>
      <c r="AB241" s="1247"/>
      <c r="AC241" s="1247" t="s">
        <v>1091</v>
      </c>
      <c r="AD241" s="1248" t="s">
        <v>430</v>
      </c>
      <c r="AE241" s="1247">
        <v>0.6307</v>
      </c>
      <c r="AF241" s="1248">
        <f>I241*AE241</f>
        <v>1639.82</v>
      </c>
      <c r="AG241" s="1249" t="s">
        <v>1092</v>
      </c>
      <c r="AH241" s="1234" t="s">
        <v>174</v>
      </c>
      <c r="AI241" s="1234" t="s">
        <v>112</v>
      </c>
      <c r="AJ241" s="1234" t="s">
        <v>769</v>
      </c>
      <c r="AK241" s="1188">
        <f t="shared" si="80"/>
        <v>2600</v>
      </c>
      <c r="AL241" s="1188"/>
      <c r="AM241" s="1188"/>
      <c r="AN241" s="1188">
        <f>I241</f>
        <v>2600</v>
      </c>
      <c r="AO241" s="1188"/>
      <c r="AP241" s="1188"/>
      <c r="AQ241" s="1240"/>
      <c r="AR241" s="1188"/>
      <c r="AS241" s="1236"/>
      <c r="AT241" s="1236"/>
      <c r="AU241" s="1188">
        <f>I241</f>
        <v>2600</v>
      </c>
      <c r="AV241" s="1250">
        <f t="shared" si="81"/>
        <v>156</v>
      </c>
      <c r="AW241" s="1250"/>
      <c r="AX241" s="1188"/>
      <c r="AY241" s="1188"/>
      <c r="AZ241" s="1188"/>
      <c r="BA241" s="1188"/>
      <c r="BB241" s="1188"/>
      <c r="BC241" s="1188"/>
      <c r="BD241" s="1188"/>
      <c r="BE241" s="1188"/>
      <c r="BF241" s="1188"/>
      <c r="BG241" s="1188"/>
      <c r="BH241" s="1188"/>
      <c r="BI241" s="1188"/>
      <c r="BJ241" s="1188"/>
      <c r="BK241" s="1188">
        <f>I241/13</f>
        <v>200</v>
      </c>
      <c r="BL241" s="1188"/>
      <c r="BM241" s="1188"/>
      <c r="BN241" s="1188"/>
      <c r="BO241" s="1240"/>
      <c r="BP241" s="1240"/>
      <c r="BQ241" s="1188"/>
      <c r="BR241" s="1236"/>
      <c r="BS241" s="1188"/>
      <c r="BT241" s="1188"/>
      <c r="BU241" s="1188"/>
      <c r="BV241" s="1240"/>
      <c r="BW241" s="1188"/>
      <c r="BX241" s="1188"/>
      <c r="BY241" s="1188"/>
      <c r="BZ241" s="1188"/>
      <c r="CA241" s="1188"/>
      <c r="CB241" s="1188"/>
      <c r="CC241" s="1188"/>
      <c r="CD241" s="1188">
        <f t="shared" si="65"/>
        <v>0</v>
      </c>
      <c r="CE241" s="1188">
        <f t="shared" si="66"/>
        <v>0</v>
      </c>
      <c r="CF241" s="1188">
        <f t="shared" si="67"/>
        <v>0</v>
      </c>
      <c r="CG241" s="1188">
        <f t="shared" si="68"/>
        <v>0</v>
      </c>
      <c r="CH241" s="1236"/>
      <c r="CI241" s="1236"/>
      <c r="CJ241" s="1236"/>
      <c r="CK241" s="1188"/>
      <c r="CL241" s="1188"/>
    </row>
    <row r="242" s="1168" customFormat="1" customHeight="1" spans="1:111">
      <c r="A242" s="1245">
        <v>46125</v>
      </c>
      <c r="B242" s="1247" t="s">
        <v>1093</v>
      </c>
      <c r="C242" s="1234" t="s">
        <v>1094</v>
      </c>
      <c r="D242" s="1188">
        <v>4500201657</v>
      </c>
      <c r="E242" s="1234" t="s">
        <v>1095</v>
      </c>
      <c r="F242" s="1188" t="s">
        <v>1096</v>
      </c>
      <c r="G242" s="1253" t="s">
        <v>174</v>
      </c>
      <c r="H242" s="1234" t="s">
        <v>175</v>
      </c>
      <c r="I242" s="1254">
        <v>20020</v>
      </c>
      <c r="J242" s="1234">
        <v>0</v>
      </c>
      <c r="K242" s="1234">
        <v>52</v>
      </c>
      <c r="L242" s="1246">
        <f t="shared" si="79"/>
        <v>385</v>
      </c>
      <c r="M242" s="1255">
        <v>46188</v>
      </c>
      <c r="N242" s="1255">
        <v>46214</v>
      </c>
      <c r="O242" s="1255" t="s">
        <v>736</v>
      </c>
      <c r="P242" s="1233"/>
      <c r="Q242" s="1286" t="s">
        <v>106</v>
      </c>
      <c r="R242" s="1234"/>
      <c r="S242" s="1234" t="s">
        <v>718</v>
      </c>
      <c r="T242" s="1233">
        <v>20020</v>
      </c>
      <c r="U242" s="1233">
        <f t="shared" si="74"/>
        <v>0</v>
      </c>
      <c r="V242" s="1234"/>
      <c r="W242" s="1256">
        <v>46151</v>
      </c>
      <c r="X242" s="1257" t="s">
        <v>95</v>
      </c>
      <c r="Y242" s="1257" t="s">
        <v>1097</v>
      </c>
      <c r="Z242" s="1247"/>
      <c r="AA242" s="1247"/>
      <c r="AB242" s="1247"/>
      <c r="AC242" s="1247" t="s">
        <v>1098</v>
      </c>
      <c r="AD242" s="1248" t="s">
        <v>659</v>
      </c>
      <c r="AE242" s="1247">
        <v>1.0089</v>
      </c>
      <c r="AF242" s="1248">
        <f>I242*AE242</f>
        <v>20198.178</v>
      </c>
      <c r="AG242" s="1258"/>
      <c r="AH242" s="1234" t="s">
        <v>174</v>
      </c>
      <c r="AI242" s="1234" t="s">
        <v>112</v>
      </c>
      <c r="AJ242" s="1234" t="s">
        <v>113</v>
      </c>
      <c r="AK242" s="1188">
        <f t="shared" si="80"/>
        <v>20020</v>
      </c>
      <c r="AL242" s="1188"/>
      <c r="AM242" s="1188"/>
      <c r="AN242" s="1188">
        <f>I242</f>
        <v>20020</v>
      </c>
      <c r="AO242" s="1188"/>
      <c r="AP242" s="1188"/>
      <c r="AQ242" s="1240"/>
      <c r="AR242" s="1188"/>
      <c r="AS242" s="1236"/>
      <c r="AT242" s="1236"/>
      <c r="AU242" s="1188">
        <f>I242</f>
        <v>20020</v>
      </c>
      <c r="AV242" s="1250">
        <f t="shared" si="81"/>
        <v>1201.2</v>
      </c>
      <c r="AW242" s="1250"/>
      <c r="AX242" s="1188"/>
      <c r="AY242" s="1188"/>
      <c r="AZ242" s="1188"/>
      <c r="BA242" s="1188"/>
      <c r="BB242" s="1188"/>
      <c r="BC242" s="1188"/>
      <c r="BD242" s="1188"/>
      <c r="BE242" s="1188"/>
      <c r="BF242" s="1188"/>
      <c r="BG242" s="1188"/>
      <c r="BH242" s="1188"/>
      <c r="BI242" s="1188"/>
      <c r="BJ242" s="1188"/>
      <c r="BK242" s="1188">
        <f>I242/13</f>
        <v>1540</v>
      </c>
      <c r="BL242" s="1188"/>
      <c r="BM242" s="1188"/>
      <c r="BN242" s="1188"/>
      <c r="BO242" s="1240"/>
      <c r="BP242" s="1240"/>
      <c r="BQ242" s="1188"/>
      <c r="BR242" s="1236"/>
      <c r="BS242" s="1188"/>
      <c r="BT242" s="1188"/>
      <c r="BU242" s="1188"/>
      <c r="BV242" s="1240"/>
      <c r="BW242" s="1188"/>
      <c r="BX242" s="1188"/>
      <c r="BY242" s="1188"/>
      <c r="BZ242" s="1188"/>
      <c r="CA242" s="1188"/>
      <c r="CB242" s="1188"/>
      <c r="CC242" s="1188"/>
      <c r="CD242" s="1188">
        <f t="shared" si="65"/>
        <v>0</v>
      </c>
      <c r="CE242" s="1188">
        <f t="shared" si="66"/>
        <v>0</v>
      </c>
      <c r="CF242" s="1188">
        <f t="shared" si="67"/>
        <v>0</v>
      </c>
      <c r="CG242" s="1188">
        <f t="shared" si="68"/>
        <v>0</v>
      </c>
      <c r="CH242" s="1236"/>
      <c r="CI242" s="1236"/>
      <c r="CJ242" s="1236"/>
      <c r="CK242" s="1188"/>
      <c r="CL242" s="1188"/>
    </row>
    <row r="243" s="1168" customFormat="1" customHeight="1" spans="1:111">
      <c r="A243" s="1245">
        <v>46120</v>
      </c>
      <c r="B243" s="1247" t="s">
        <v>223</v>
      </c>
      <c r="C243" s="1234" t="s">
        <v>319</v>
      </c>
      <c r="D243" s="1268">
        <v>4500200747</v>
      </c>
      <c r="E243" s="1234" t="s">
        <v>1099</v>
      </c>
      <c r="F243" s="1188" t="s">
        <v>1100</v>
      </c>
      <c r="G243" s="1253" t="s">
        <v>174</v>
      </c>
      <c r="H243" s="1234" t="s">
        <v>175</v>
      </c>
      <c r="I243" s="1254">
        <v>780</v>
      </c>
      <c r="J243" s="1234">
        <v>0</v>
      </c>
      <c r="K243" s="1234">
        <v>52</v>
      </c>
      <c r="L243" s="1246">
        <f t="shared" si="79"/>
        <v>15</v>
      </c>
      <c r="M243" s="1255">
        <v>46188</v>
      </c>
      <c r="N243" s="1255">
        <v>46214</v>
      </c>
      <c r="O243" s="1255" t="s">
        <v>736</v>
      </c>
      <c r="P243" s="1233"/>
      <c r="Q243" s="1286" t="s">
        <v>106</v>
      </c>
      <c r="R243" s="1234"/>
      <c r="S243" s="1234" t="s">
        <v>1101</v>
      </c>
      <c r="T243" s="1233">
        <v>780</v>
      </c>
      <c r="U243" s="1233">
        <f t="shared" si="74"/>
        <v>0</v>
      </c>
      <c r="V243" s="1234"/>
      <c r="W243" s="1256">
        <v>46120</v>
      </c>
      <c r="X243" s="1257" t="s">
        <v>95</v>
      </c>
      <c r="Y243" s="1257" t="s">
        <v>1102</v>
      </c>
      <c r="Z243" s="1247"/>
      <c r="AA243" s="1247"/>
      <c r="AB243" s="1247"/>
      <c r="AC243" s="1247" t="s">
        <v>1103</v>
      </c>
      <c r="AD243" s="1248" t="s">
        <v>222</v>
      </c>
      <c r="AE243" s="1247">
        <v>1.0382</v>
      </c>
      <c r="AF243" s="1248">
        <f>AE243*I243</f>
        <v>809.796</v>
      </c>
      <c r="AG243" s="1258"/>
      <c r="AH243" s="1234" t="s">
        <v>174</v>
      </c>
      <c r="AI243" s="1234" t="s">
        <v>112</v>
      </c>
      <c r="AJ243" s="1234" t="s">
        <v>113</v>
      </c>
      <c r="AK243" s="1188">
        <f t="shared" si="80"/>
        <v>780</v>
      </c>
      <c r="AL243" s="1188"/>
      <c r="AM243" s="1188"/>
      <c r="AN243" s="1188">
        <f>I243</f>
        <v>780</v>
      </c>
      <c r="AO243" s="1188"/>
      <c r="AP243" s="1188"/>
      <c r="AQ243" s="1240"/>
      <c r="AR243" s="1188"/>
      <c r="AS243" s="1236"/>
      <c r="AT243" s="1236"/>
      <c r="AU243" s="1188">
        <f>I243</f>
        <v>780</v>
      </c>
      <c r="AV243" s="1250">
        <f t="shared" si="81"/>
        <v>46.8</v>
      </c>
      <c r="AW243" s="1250"/>
      <c r="AX243" s="1188"/>
      <c r="AY243" s="1188"/>
      <c r="AZ243" s="1188"/>
      <c r="BA243" s="1188"/>
      <c r="BB243" s="1188"/>
      <c r="BC243" s="1188"/>
      <c r="BD243" s="1188"/>
      <c r="BE243" s="1188"/>
      <c r="BF243" s="1188"/>
      <c r="BG243" s="1188"/>
      <c r="BH243" s="1188"/>
      <c r="BI243" s="1188"/>
      <c r="BJ243" s="1188"/>
      <c r="BK243" s="1188">
        <f>I243/13</f>
        <v>60</v>
      </c>
      <c r="BL243" s="1188"/>
      <c r="BM243" s="1188"/>
      <c r="BN243" s="1188"/>
      <c r="BO243" s="1240"/>
      <c r="BP243" s="1240"/>
      <c r="BQ243" s="1188"/>
      <c r="BR243" s="1236"/>
      <c r="BS243" s="1188"/>
      <c r="BT243" s="1188"/>
      <c r="BU243" s="1188"/>
      <c r="BV243" s="1240"/>
      <c r="BW243" s="1188"/>
      <c r="BX243" s="1188"/>
      <c r="BY243" s="1188"/>
      <c r="BZ243" s="1188"/>
      <c r="CA243" s="1188"/>
      <c r="CB243" s="1188"/>
      <c r="CC243" s="1188"/>
      <c r="CD243" s="1188">
        <f t="shared" si="65"/>
        <v>0</v>
      </c>
      <c r="CE243" s="1188">
        <f t="shared" si="66"/>
        <v>0</v>
      </c>
      <c r="CF243" s="1188">
        <f t="shared" si="67"/>
        <v>0</v>
      </c>
      <c r="CG243" s="1188">
        <f t="shared" si="68"/>
        <v>0</v>
      </c>
      <c r="CH243" s="1236"/>
      <c r="CI243" s="1236"/>
      <c r="CJ243" s="1236"/>
      <c r="CK243" s="1188"/>
      <c r="CL243" s="1188"/>
    </row>
    <row r="244" s="1168" customFormat="1" customHeight="1" spans="1:111">
      <c r="A244" s="1245">
        <v>46121</v>
      </c>
      <c r="B244" s="1247" t="s">
        <v>1104</v>
      </c>
      <c r="C244" s="1234" t="s">
        <v>891</v>
      </c>
      <c r="D244" s="1188">
        <v>4500198446</v>
      </c>
      <c r="E244" s="1234" t="s">
        <v>1105</v>
      </c>
      <c r="F244" s="1188" t="s">
        <v>1106</v>
      </c>
      <c r="G244" s="1253" t="s">
        <v>799</v>
      </c>
      <c r="H244" s="1234" t="s">
        <v>800</v>
      </c>
      <c r="I244" s="1254">
        <v>2310</v>
      </c>
      <c r="J244" s="1234">
        <v>0</v>
      </c>
      <c r="K244" s="1234">
        <v>30</v>
      </c>
      <c r="L244" s="1246">
        <f t="shared" si="79"/>
        <v>77</v>
      </c>
      <c r="M244" s="1255">
        <v>46188</v>
      </c>
      <c r="N244" s="1255">
        <v>46214</v>
      </c>
      <c r="O244" s="1255" t="s">
        <v>736</v>
      </c>
      <c r="P244" s="1233"/>
      <c r="Q244" s="1286" t="s">
        <v>106</v>
      </c>
      <c r="R244" s="1234"/>
      <c r="S244" s="1234"/>
      <c r="T244" s="1233">
        <v>2310</v>
      </c>
      <c r="U244" s="1233">
        <f t="shared" si="74"/>
        <v>0</v>
      </c>
      <c r="V244" s="1234"/>
      <c r="W244" s="1256">
        <v>46156</v>
      </c>
      <c r="X244" s="1257" t="s">
        <v>95</v>
      </c>
      <c r="Y244" s="1257" t="s">
        <v>1107</v>
      </c>
      <c r="Z244" s="1247"/>
      <c r="AA244" s="1247"/>
      <c r="AB244" s="1247"/>
      <c r="AC244" s="1247" t="s">
        <v>1108</v>
      </c>
      <c r="AD244" s="1248" t="s">
        <v>1109</v>
      </c>
      <c r="AE244" s="1247">
        <v>41.34</v>
      </c>
      <c r="AF244" s="1248">
        <f>AE244*L244</f>
        <v>3183.18</v>
      </c>
      <c r="AG244" s="1258"/>
      <c r="AH244" s="1234" t="s">
        <v>799</v>
      </c>
      <c r="AI244" s="1234" t="s">
        <v>112</v>
      </c>
      <c r="AJ244" s="1234" t="s">
        <v>113</v>
      </c>
      <c r="AK244" s="1188">
        <f t="shared" si="80"/>
        <v>2310</v>
      </c>
      <c r="AL244" s="1188"/>
      <c r="AM244" s="1188"/>
      <c r="AN244" s="1188"/>
      <c r="AO244" s="1188"/>
      <c r="AP244" s="1188">
        <f>I343</f>
        <v>4320</v>
      </c>
      <c r="AQ244" s="1240"/>
      <c r="AR244" s="1188"/>
      <c r="AS244" s="1236"/>
      <c r="AT244" s="1236"/>
      <c r="AU244" s="1188">
        <f>I244</f>
        <v>2310</v>
      </c>
      <c r="AV244" s="1250">
        <f t="shared" si="81"/>
        <v>138.6</v>
      </c>
      <c r="AW244" s="1250"/>
      <c r="AX244" s="1188"/>
      <c r="AY244" s="1188"/>
      <c r="AZ244" s="1188"/>
      <c r="BA244" s="1188"/>
      <c r="BB244" s="1188"/>
      <c r="BC244" s="1188"/>
      <c r="BD244" s="1188"/>
      <c r="BE244" s="1188"/>
      <c r="BF244" s="1188"/>
      <c r="BG244" s="1188"/>
      <c r="BH244" s="1188"/>
      <c r="BI244" s="1188"/>
      <c r="BJ244" s="1188"/>
      <c r="BK244" s="1188"/>
      <c r="BL244" s="1188"/>
      <c r="BM244" s="1188"/>
      <c r="BN244" s="1188"/>
      <c r="BO244" s="1240"/>
      <c r="BP244" s="1240"/>
      <c r="BQ244" s="1188"/>
      <c r="BR244" s="1236"/>
      <c r="BS244" s="1188"/>
      <c r="BT244" s="1188"/>
      <c r="BU244" s="1188"/>
      <c r="BV244" s="1240"/>
      <c r="BW244" s="1188"/>
      <c r="BX244" s="1188"/>
      <c r="BY244" s="1188"/>
      <c r="BZ244" s="1188"/>
      <c r="CA244" s="1188"/>
      <c r="CB244" s="1188"/>
      <c r="CC244" s="1188">
        <f>L244</f>
        <v>77</v>
      </c>
      <c r="CD244" s="1188">
        <f t="shared" si="65"/>
        <v>0</v>
      </c>
      <c r="CE244" s="1188">
        <f t="shared" si="66"/>
        <v>0</v>
      </c>
      <c r="CF244" s="1188">
        <f t="shared" si="67"/>
        <v>77</v>
      </c>
      <c r="CG244" s="1188">
        <f t="shared" si="68"/>
        <v>0</v>
      </c>
      <c r="CH244" s="1236"/>
      <c r="CI244" s="1236"/>
      <c r="CJ244" s="1236"/>
      <c r="CK244" s="1188"/>
      <c r="CL244" s="1188"/>
    </row>
    <row r="245" s="1168" customFormat="1" customHeight="1" spans="1:111">
      <c r="A245" s="1245">
        <v>46108</v>
      </c>
      <c r="B245" s="1247" t="s">
        <v>1110</v>
      </c>
      <c r="C245" s="1234" t="s">
        <v>1111</v>
      </c>
      <c r="D245" s="1188">
        <v>4500199112</v>
      </c>
      <c r="E245" s="1234"/>
      <c r="F245" s="1188" t="s">
        <v>1112</v>
      </c>
      <c r="G245" s="1253" t="s">
        <v>174</v>
      </c>
      <c r="H245" s="1234" t="s">
        <v>175</v>
      </c>
      <c r="I245" s="1254">
        <v>520</v>
      </c>
      <c r="J245" s="1234">
        <v>0</v>
      </c>
      <c r="K245" s="1234">
        <v>52</v>
      </c>
      <c r="L245" s="1246">
        <f t="shared" si="79"/>
        <v>10</v>
      </c>
      <c r="M245" s="1255">
        <v>46188</v>
      </c>
      <c r="N245" s="1255">
        <v>46214</v>
      </c>
      <c r="O245" s="1255" t="s">
        <v>736</v>
      </c>
      <c r="P245" s="1233"/>
      <c r="Q245" s="1286" t="s">
        <v>106</v>
      </c>
      <c r="R245" s="1234"/>
      <c r="S245" s="1234" t="s">
        <v>1113</v>
      </c>
      <c r="T245" s="1233">
        <v>520</v>
      </c>
      <c r="U245" s="1233">
        <f t="shared" si="74"/>
        <v>0</v>
      </c>
      <c r="V245" s="1234" t="s">
        <v>95</v>
      </c>
      <c r="W245" s="1256">
        <v>46149</v>
      </c>
      <c r="X245" s="1257" t="s">
        <v>95</v>
      </c>
      <c r="Y245" s="1257" t="s">
        <v>95</v>
      </c>
      <c r="Z245" s="1247" t="s">
        <v>1114</v>
      </c>
      <c r="AA245" s="1247"/>
      <c r="AB245" s="1247"/>
      <c r="AC245" s="1247" t="s">
        <v>1115</v>
      </c>
      <c r="AD245" s="1248" t="s">
        <v>222</v>
      </c>
      <c r="AE245" s="1247">
        <v>1.033</v>
      </c>
      <c r="AF245" s="1248">
        <f>I245*AE245</f>
        <v>537.16</v>
      </c>
      <c r="AG245" s="1258"/>
      <c r="AH245" s="1234" t="s">
        <v>174</v>
      </c>
      <c r="AI245" s="1234" t="s">
        <v>112</v>
      </c>
      <c r="AJ245" s="1234" t="s">
        <v>113</v>
      </c>
      <c r="AK245" s="1188">
        <f t="shared" si="80"/>
        <v>520</v>
      </c>
      <c r="AL245" s="1188"/>
      <c r="AM245" s="1188"/>
      <c r="AN245" s="1188">
        <f>I245</f>
        <v>520</v>
      </c>
      <c r="AO245" s="1188"/>
      <c r="AP245" s="1188"/>
      <c r="AQ245" s="1240"/>
      <c r="AR245" s="1188"/>
      <c r="AS245" s="1236"/>
      <c r="AT245" s="1236"/>
      <c r="AU245" s="1188">
        <f>I245</f>
        <v>520</v>
      </c>
      <c r="AV245" s="1250">
        <f t="shared" si="81"/>
        <v>31.2</v>
      </c>
      <c r="AW245" s="1250"/>
      <c r="AX245" s="1188"/>
      <c r="AY245" s="1188"/>
      <c r="AZ245" s="1188"/>
      <c r="BA245" s="1188"/>
      <c r="BB245" s="1188"/>
      <c r="BC245" s="1188"/>
      <c r="BD245" s="1188"/>
      <c r="BE245" s="1188"/>
      <c r="BF245" s="1188"/>
      <c r="BG245" s="1188"/>
      <c r="BH245" s="1188"/>
      <c r="BI245" s="1188"/>
      <c r="BJ245" s="1188"/>
      <c r="BK245" s="1188">
        <f>I245/13</f>
        <v>40</v>
      </c>
      <c r="BL245" s="1188"/>
      <c r="BM245" s="1188"/>
      <c r="BN245" s="1188"/>
      <c r="BO245" s="1240"/>
      <c r="BP245" s="1240"/>
      <c r="BQ245" s="1188"/>
      <c r="BR245" s="1236"/>
      <c r="BS245" s="1188"/>
      <c r="BT245" s="1188"/>
      <c r="BU245" s="1188"/>
      <c r="BV245" s="1240"/>
      <c r="BW245" s="1188"/>
      <c r="BX245" s="1188"/>
      <c r="BY245" s="1188"/>
      <c r="BZ245" s="1188"/>
      <c r="CA245" s="1188"/>
      <c r="CB245" s="1188"/>
      <c r="CC245" s="1188"/>
      <c r="CD245" s="1188">
        <f t="shared" si="65"/>
        <v>0</v>
      </c>
      <c r="CE245" s="1188">
        <f t="shared" si="66"/>
        <v>0</v>
      </c>
      <c r="CF245" s="1188">
        <f t="shared" si="67"/>
        <v>0</v>
      </c>
      <c r="CG245" s="1188">
        <f t="shared" si="68"/>
        <v>0</v>
      </c>
      <c r="CH245" s="1236"/>
      <c r="CI245" s="1236"/>
      <c r="CJ245" s="1236"/>
      <c r="CK245" s="1188"/>
      <c r="CL245" s="1188"/>
    </row>
    <row r="246" s="1168" customFormat="1" customHeight="1" spans="1:111">
      <c r="A246" s="1245">
        <v>46108</v>
      </c>
      <c r="B246" s="1247" t="s">
        <v>1104</v>
      </c>
      <c r="C246" s="1234" t="s">
        <v>891</v>
      </c>
      <c r="D246" s="1188">
        <v>4500198446</v>
      </c>
      <c r="E246" s="1234" t="s">
        <v>1105</v>
      </c>
      <c r="F246" s="1188" t="s">
        <v>1116</v>
      </c>
      <c r="G246" s="1253" t="s">
        <v>803</v>
      </c>
      <c r="H246" s="1234" t="s">
        <v>804</v>
      </c>
      <c r="I246" s="1254">
        <v>660</v>
      </c>
      <c r="J246" s="1234">
        <v>0</v>
      </c>
      <c r="K246" s="1234">
        <v>6</v>
      </c>
      <c r="L246" s="1246">
        <f t="shared" si="79"/>
        <v>110</v>
      </c>
      <c r="M246" s="1255">
        <v>46188</v>
      </c>
      <c r="N246" s="1255">
        <v>46214</v>
      </c>
      <c r="O246" s="1255" t="s">
        <v>736</v>
      </c>
      <c r="P246" s="1233"/>
      <c r="Q246" s="1286" t="s">
        <v>106</v>
      </c>
      <c r="R246" s="1234"/>
      <c r="S246" s="1234"/>
      <c r="T246" s="1233">
        <v>660</v>
      </c>
      <c r="U246" s="1233">
        <f t="shared" si="74"/>
        <v>0</v>
      </c>
      <c r="V246" s="1234"/>
      <c r="W246" s="1256">
        <v>46156</v>
      </c>
      <c r="X246" s="1257" t="s">
        <v>95</v>
      </c>
      <c r="Y246" s="1257" t="s">
        <v>1107</v>
      </c>
      <c r="Z246" s="1247"/>
      <c r="AA246" s="1247"/>
      <c r="AB246" s="1247"/>
      <c r="AC246" s="1247" t="s">
        <v>1108</v>
      </c>
      <c r="AD246" s="1248" t="s">
        <v>1109</v>
      </c>
      <c r="AE246" s="1247">
        <v>8.15</v>
      </c>
      <c r="AF246" s="1248">
        <f>AE246*I246</f>
        <v>5379</v>
      </c>
      <c r="AG246" s="1258"/>
      <c r="AH246" s="1234" t="s">
        <v>952</v>
      </c>
      <c r="AI246" s="1234" t="s">
        <v>112</v>
      </c>
      <c r="AJ246" s="1234" t="s">
        <v>113</v>
      </c>
      <c r="AK246" s="1188">
        <f>I246*2</f>
        <v>1320</v>
      </c>
      <c r="AL246" s="1188"/>
      <c r="AM246" s="1188"/>
      <c r="AN246" s="1188"/>
      <c r="AO246" s="1188"/>
      <c r="AP246" s="1188">
        <f>I246*2</f>
        <v>1320</v>
      </c>
      <c r="AQ246" s="1240"/>
      <c r="AR246" s="1188"/>
      <c r="AS246" s="1236"/>
      <c r="AT246" s="1236"/>
      <c r="AU246" s="1188">
        <f>I246*2</f>
        <v>1320</v>
      </c>
      <c r="AV246" s="1250">
        <f>I246*0.06*2</f>
        <v>79.2</v>
      </c>
      <c r="AW246" s="1250"/>
      <c r="AX246" s="1188"/>
      <c r="AY246" s="1188"/>
      <c r="AZ246" s="1188"/>
      <c r="BA246" s="1188"/>
      <c r="BB246" s="1188"/>
      <c r="BC246" s="1188"/>
      <c r="BD246" s="1188"/>
      <c r="BE246" s="1188"/>
      <c r="BF246" s="1188"/>
      <c r="BG246" s="1188"/>
      <c r="BH246" s="1188"/>
      <c r="BI246" s="1188"/>
      <c r="BJ246" s="1188"/>
      <c r="BK246" s="1188"/>
      <c r="BL246" s="1188"/>
      <c r="BM246" s="1188"/>
      <c r="BN246" s="1188"/>
      <c r="BO246" s="1240"/>
      <c r="BP246" s="1240"/>
      <c r="BQ246" s="1188"/>
      <c r="BR246" s="1236"/>
      <c r="BS246" s="1188"/>
      <c r="BT246" s="1188"/>
      <c r="BU246" s="1188"/>
      <c r="BV246" s="1240"/>
      <c r="BW246" s="1188"/>
      <c r="BX246" s="1188"/>
      <c r="BY246" s="1188"/>
      <c r="BZ246" s="1188"/>
      <c r="CA246" s="1188"/>
      <c r="CB246" s="1188"/>
      <c r="CC246" s="1188"/>
      <c r="CD246" s="1188">
        <f t="shared" si="65"/>
        <v>0</v>
      </c>
      <c r="CE246" s="1188">
        <f t="shared" si="66"/>
        <v>0</v>
      </c>
      <c r="CF246" s="1188">
        <f t="shared" si="67"/>
        <v>0</v>
      </c>
      <c r="CG246" s="1188">
        <f t="shared" si="68"/>
        <v>0</v>
      </c>
      <c r="CH246" s="1236"/>
      <c r="CI246" s="1236"/>
      <c r="CJ246" s="1236"/>
      <c r="CK246" s="1188"/>
      <c r="CL246" s="1188"/>
    </row>
    <row r="247" s="1168" customFormat="1" customHeight="1" spans="1:111">
      <c r="A247" s="1245">
        <v>46122</v>
      </c>
      <c r="B247" s="1247" t="s">
        <v>935</v>
      </c>
      <c r="C247" s="1234" t="s">
        <v>115</v>
      </c>
      <c r="D247" s="1268">
        <v>4500201200</v>
      </c>
      <c r="E247" s="1233">
        <v>1740512236</v>
      </c>
      <c r="F247" s="1188" t="s">
        <v>1117</v>
      </c>
      <c r="G247" s="1253" t="s">
        <v>482</v>
      </c>
      <c r="H247" s="1234" t="s">
        <v>483</v>
      </c>
      <c r="I247" s="1254">
        <v>4320</v>
      </c>
      <c r="J247" s="1234">
        <v>0</v>
      </c>
      <c r="K247" s="1234">
        <v>120</v>
      </c>
      <c r="L247" s="1246">
        <f t="shared" si="79"/>
        <v>36</v>
      </c>
      <c r="M247" s="1255">
        <v>46189</v>
      </c>
      <c r="N247" s="1255">
        <v>46204</v>
      </c>
      <c r="O247" s="1255"/>
      <c r="P247" s="1233"/>
      <c r="Q247" s="1286"/>
      <c r="R247" s="1234" t="s">
        <v>848</v>
      </c>
      <c r="S247" s="1234" t="s">
        <v>718</v>
      </c>
      <c r="T247" s="1233">
        <v>4320</v>
      </c>
      <c r="U247" s="1233">
        <f t="shared" si="74"/>
        <v>0</v>
      </c>
      <c r="V247" s="1234"/>
      <c r="W247" s="1256">
        <v>46155</v>
      </c>
      <c r="X247" s="1257" t="s">
        <v>107</v>
      </c>
      <c r="Y247" s="1257" t="s">
        <v>95</v>
      </c>
      <c r="Z247" s="1247"/>
      <c r="AA247" s="1247"/>
      <c r="AB247" s="1247"/>
      <c r="AC247" s="1247" t="s">
        <v>937</v>
      </c>
      <c r="AD247" s="1248" t="s">
        <v>488</v>
      </c>
      <c r="AE247" s="1247">
        <v>642</v>
      </c>
      <c r="AF247" s="1248">
        <f>L247*AE247</f>
        <v>23112</v>
      </c>
      <c r="AG247" s="1249" t="s">
        <v>1118</v>
      </c>
      <c r="AH247" s="1234" t="s">
        <v>490</v>
      </c>
      <c r="AI247" s="1234" t="s">
        <v>112</v>
      </c>
      <c r="AJ247" s="1234" t="s">
        <v>113</v>
      </c>
      <c r="AK247" s="1188"/>
      <c r="AL247" s="1188">
        <f>I247*3</f>
        <v>12960</v>
      </c>
      <c r="AM247" s="1188"/>
      <c r="AN247" s="1188"/>
      <c r="AO247" s="1188"/>
      <c r="AP247" s="1188"/>
      <c r="AQ247" s="1240"/>
      <c r="AR247" s="1188"/>
      <c r="AS247" s="1236"/>
      <c r="AT247" s="1236"/>
      <c r="AU247" s="1188"/>
      <c r="AV247" s="1250">
        <f>I247*0.06*2</f>
        <v>518.4</v>
      </c>
      <c r="AW247" s="1250"/>
      <c r="AX247" s="1188"/>
      <c r="AY247" s="1188"/>
      <c r="AZ247" s="1188"/>
      <c r="BA247" s="1188"/>
      <c r="BB247" s="1188">
        <f>I247*3</f>
        <v>12960</v>
      </c>
      <c r="BC247" s="1188">
        <f>I247*3</f>
        <v>12960</v>
      </c>
      <c r="BD247" s="1188">
        <f>I247*3</f>
        <v>12960</v>
      </c>
      <c r="BE247" s="1188">
        <f>I247</f>
        <v>4320</v>
      </c>
      <c r="BF247" s="1188">
        <f>I247/6</f>
        <v>720</v>
      </c>
      <c r="BG247" s="1188"/>
      <c r="BH247" s="1188"/>
      <c r="BI247" s="1188"/>
      <c r="BJ247" s="1188"/>
      <c r="BK247" s="1188"/>
      <c r="BL247" s="1188"/>
      <c r="BM247" s="1188"/>
      <c r="BN247" s="1188"/>
      <c r="BO247" s="1240"/>
      <c r="BP247" s="1240"/>
      <c r="BQ247" s="1188"/>
      <c r="BR247" s="1236"/>
      <c r="BS247" s="1188"/>
      <c r="BT247" s="1188"/>
      <c r="BU247" s="1188"/>
      <c r="BV247" s="1240"/>
      <c r="BW247" s="1188"/>
      <c r="BX247" s="1188"/>
      <c r="BY247" s="1188"/>
      <c r="BZ247" s="1188"/>
      <c r="CA247" s="1188"/>
      <c r="CB247" s="1188"/>
      <c r="CC247" s="1188"/>
      <c r="CD247" s="1188">
        <f t="shared" si="65"/>
        <v>0</v>
      </c>
      <c r="CE247" s="1188">
        <f t="shared" si="66"/>
        <v>0</v>
      </c>
      <c r="CF247" s="1188">
        <f t="shared" si="67"/>
        <v>0</v>
      </c>
      <c r="CG247" s="1188">
        <f t="shared" si="68"/>
        <v>0</v>
      </c>
      <c r="CH247" s="1236"/>
      <c r="CI247" s="1236"/>
      <c r="CJ247" s="1236"/>
      <c r="CK247" s="1188"/>
      <c r="CL247" s="1188"/>
    </row>
    <row r="248" s="1168" customFormat="1" customHeight="1" spans="1:111">
      <c r="A248" s="1245">
        <v>46122</v>
      </c>
      <c r="B248" s="1247" t="s">
        <v>935</v>
      </c>
      <c r="C248" s="1234" t="s">
        <v>115</v>
      </c>
      <c r="D248" s="1268">
        <v>4500201201</v>
      </c>
      <c r="E248" s="1233">
        <v>9360512243</v>
      </c>
      <c r="F248" s="1188" t="s">
        <v>1119</v>
      </c>
      <c r="G248" s="1253" t="s">
        <v>482</v>
      </c>
      <c r="H248" s="1234" t="s">
        <v>483</v>
      </c>
      <c r="I248" s="1254">
        <v>4320</v>
      </c>
      <c r="J248" s="1234">
        <v>0</v>
      </c>
      <c r="K248" s="1234">
        <v>120</v>
      </c>
      <c r="L248" s="1246">
        <f t="shared" si="79"/>
        <v>36</v>
      </c>
      <c r="M248" s="1255">
        <v>46189</v>
      </c>
      <c r="N248" s="1255">
        <v>46204</v>
      </c>
      <c r="O248" s="1255"/>
      <c r="P248" s="1233"/>
      <c r="Q248" s="1286" t="s">
        <v>106</v>
      </c>
      <c r="R248" s="1234" t="s">
        <v>840</v>
      </c>
      <c r="S248" s="1234" t="s">
        <v>718</v>
      </c>
      <c r="T248" s="1233">
        <v>4320</v>
      </c>
      <c r="U248" s="1233">
        <f t="shared" si="74"/>
        <v>0</v>
      </c>
      <c r="V248" s="1234"/>
      <c r="W248" s="1256">
        <v>46155</v>
      </c>
      <c r="X248" s="1257" t="s">
        <v>107</v>
      </c>
      <c r="Y248" s="1257" t="s">
        <v>95</v>
      </c>
      <c r="Z248" s="1247"/>
      <c r="AA248" s="1247"/>
      <c r="AB248" s="1247"/>
      <c r="AC248" s="1247" t="s">
        <v>937</v>
      </c>
      <c r="AD248" s="1248" t="s">
        <v>488</v>
      </c>
      <c r="AE248" s="1247">
        <v>642</v>
      </c>
      <c r="AF248" s="1248">
        <f>L248*AE248</f>
        <v>23112</v>
      </c>
      <c r="AG248" s="1249" t="s">
        <v>1120</v>
      </c>
      <c r="AH248" s="1234" t="s">
        <v>490</v>
      </c>
      <c r="AI248" s="1234" t="s">
        <v>112</v>
      </c>
      <c r="AJ248" s="1234" t="s">
        <v>113</v>
      </c>
      <c r="AK248" s="1188"/>
      <c r="AL248" s="1188">
        <f>I248*3</f>
        <v>12960</v>
      </c>
      <c r="AM248" s="1188"/>
      <c r="AN248" s="1188"/>
      <c r="AO248" s="1188"/>
      <c r="AP248" s="1188"/>
      <c r="AQ248" s="1240"/>
      <c r="AR248" s="1188"/>
      <c r="AS248" s="1236"/>
      <c r="AT248" s="1236"/>
      <c r="AU248" s="1188"/>
      <c r="AV248" s="1250">
        <f>I248*0.06*2</f>
        <v>518.4</v>
      </c>
      <c r="AW248" s="1250"/>
      <c r="AX248" s="1188"/>
      <c r="AY248" s="1188"/>
      <c r="AZ248" s="1188"/>
      <c r="BA248" s="1188"/>
      <c r="BB248" s="1188">
        <f>I248*3</f>
        <v>12960</v>
      </c>
      <c r="BC248" s="1188">
        <f>I248*3</f>
        <v>12960</v>
      </c>
      <c r="BD248" s="1188">
        <f>I248*3</f>
        <v>12960</v>
      </c>
      <c r="BE248" s="1188">
        <f>I248</f>
        <v>4320</v>
      </c>
      <c r="BF248" s="1188">
        <f>I248/6</f>
        <v>720</v>
      </c>
      <c r="BG248" s="1188"/>
      <c r="BH248" s="1188"/>
      <c r="BI248" s="1188"/>
      <c r="BJ248" s="1188"/>
      <c r="BK248" s="1188"/>
      <c r="BL248" s="1188"/>
      <c r="BM248" s="1188"/>
      <c r="BN248" s="1188"/>
      <c r="BO248" s="1240"/>
      <c r="BP248" s="1240"/>
      <c r="BQ248" s="1188"/>
      <c r="BR248" s="1236"/>
      <c r="BS248" s="1188"/>
      <c r="BT248" s="1188"/>
      <c r="BU248" s="1188"/>
      <c r="BV248" s="1240"/>
      <c r="BW248" s="1188"/>
      <c r="BX248" s="1188"/>
      <c r="BY248" s="1188"/>
      <c r="BZ248" s="1188"/>
      <c r="CA248" s="1188"/>
      <c r="CB248" s="1188"/>
      <c r="CC248" s="1188"/>
      <c r="CD248" s="1188">
        <f t="shared" si="65"/>
        <v>0</v>
      </c>
      <c r="CE248" s="1188">
        <f t="shared" si="66"/>
        <v>0</v>
      </c>
      <c r="CF248" s="1188">
        <f t="shared" si="67"/>
        <v>0</v>
      </c>
      <c r="CG248" s="1188">
        <f t="shared" si="68"/>
        <v>0</v>
      </c>
      <c r="CH248" s="1236"/>
      <c r="CI248" s="1236"/>
      <c r="CJ248" s="1236"/>
      <c r="CK248" s="1188"/>
      <c r="CL248" s="1188"/>
    </row>
    <row r="249" s="1168" customFormat="1" customHeight="1" spans="1:111">
      <c r="A249" s="1245">
        <v>46122</v>
      </c>
      <c r="B249" s="1247" t="s">
        <v>935</v>
      </c>
      <c r="C249" s="1234" t="s">
        <v>115</v>
      </c>
      <c r="D249" s="1268">
        <v>4500201198</v>
      </c>
      <c r="E249" s="1233">
        <v>10520512303</v>
      </c>
      <c r="F249" s="1188" t="s">
        <v>1121</v>
      </c>
      <c r="G249" s="1253" t="s">
        <v>482</v>
      </c>
      <c r="H249" s="1234" t="s">
        <v>483</v>
      </c>
      <c r="I249" s="1254">
        <v>4320</v>
      </c>
      <c r="J249" s="1234">
        <v>0</v>
      </c>
      <c r="K249" s="1234">
        <v>120</v>
      </c>
      <c r="L249" s="1246">
        <f t="shared" si="79"/>
        <v>36</v>
      </c>
      <c r="M249" s="1255">
        <v>46189</v>
      </c>
      <c r="N249" s="1255">
        <v>46213</v>
      </c>
      <c r="O249" s="1255" t="s">
        <v>736</v>
      </c>
      <c r="P249" s="1233"/>
      <c r="Q249" s="1286" t="s">
        <v>106</v>
      </c>
      <c r="R249" s="1234" t="s">
        <v>1122</v>
      </c>
      <c r="S249" s="1234" t="s">
        <v>943</v>
      </c>
      <c r="T249" s="1233">
        <v>4320</v>
      </c>
      <c r="U249" s="1233">
        <f t="shared" si="74"/>
        <v>0</v>
      </c>
      <c r="V249" s="1234"/>
      <c r="W249" s="1256">
        <v>46155</v>
      </c>
      <c r="X249" s="1257" t="s">
        <v>107</v>
      </c>
      <c r="Y249" s="1257" t="s">
        <v>95</v>
      </c>
      <c r="Z249" s="1247"/>
      <c r="AA249" s="1247"/>
      <c r="AB249" s="1247"/>
      <c r="AC249" s="1247" t="s">
        <v>937</v>
      </c>
      <c r="AD249" s="1248" t="s">
        <v>488</v>
      </c>
      <c r="AE249" s="1247">
        <v>642</v>
      </c>
      <c r="AF249" s="1248">
        <f>L249*AE249</f>
        <v>23112</v>
      </c>
      <c r="AG249" s="1249" t="s">
        <v>1123</v>
      </c>
      <c r="AH249" s="1234" t="s">
        <v>490</v>
      </c>
      <c r="AI249" s="1234" t="s">
        <v>112</v>
      </c>
      <c r="AJ249" s="1234" t="s">
        <v>113</v>
      </c>
      <c r="AK249" s="1188"/>
      <c r="AL249" s="1188">
        <f>I249*3</f>
        <v>12960</v>
      </c>
      <c r="AM249" s="1188"/>
      <c r="AN249" s="1188"/>
      <c r="AO249" s="1188"/>
      <c r="AP249" s="1188"/>
      <c r="AQ249" s="1240"/>
      <c r="AR249" s="1188"/>
      <c r="AS249" s="1236"/>
      <c r="AT249" s="1236"/>
      <c r="AU249" s="1188"/>
      <c r="AV249" s="1250">
        <f>I249*0.06*2</f>
        <v>518.4</v>
      </c>
      <c r="AW249" s="1250"/>
      <c r="AX249" s="1188"/>
      <c r="AY249" s="1188"/>
      <c r="AZ249" s="1188"/>
      <c r="BA249" s="1188"/>
      <c r="BB249" s="1188">
        <f>I249*3</f>
        <v>12960</v>
      </c>
      <c r="BC249" s="1188">
        <f>I249*3</f>
        <v>12960</v>
      </c>
      <c r="BD249" s="1188">
        <f>I249*3</f>
        <v>12960</v>
      </c>
      <c r="BE249" s="1188">
        <f>I249</f>
        <v>4320</v>
      </c>
      <c r="BF249" s="1188">
        <f>I249/6</f>
        <v>720</v>
      </c>
      <c r="BG249" s="1188"/>
      <c r="BH249" s="1188"/>
      <c r="BI249" s="1188"/>
      <c r="BJ249" s="1188"/>
      <c r="BK249" s="1188"/>
      <c r="BL249" s="1188"/>
      <c r="BM249" s="1188"/>
      <c r="BN249" s="1188"/>
      <c r="BO249" s="1240"/>
      <c r="BP249" s="1240"/>
      <c r="BQ249" s="1188"/>
      <c r="BR249" s="1236"/>
      <c r="BS249" s="1188"/>
      <c r="BT249" s="1188"/>
      <c r="BU249" s="1188"/>
      <c r="BV249" s="1240"/>
      <c r="BW249" s="1188"/>
      <c r="BX249" s="1188"/>
      <c r="BY249" s="1188"/>
      <c r="BZ249" s="1188"/>
      <c r="CA249" s="1188"/>
      <c r="CB249" s="1188"/>
      <c r="CC249" s="1188"/>
      <c r="CD249" s="1188">
        <f t="shared" si="65"/>
        <v>0</v>
      </c>
      <c r="CE249" s="1188">
        <f t="shared" si="66"/>
        <v>0</v>
      </c>
      <c r="CF249" s="1188">
        <f t="shared" si="67"/>
        <v>0</v>
      </c>
      <c r="CG249" s="1188">
        <f t="shared" si="68"/>
        <v>0</v>
      </c>
      <c r="CH249" s="1236"/>
      <c r="CI249" s="1236"/>
      <c r="CJ249" s="1236"/>
      <c r="CK249" s="1188"/>
      <c r="CL249" s="1188"/>
    </row>
    <row r="250" s="1168" customFormat="1" customHeight="1" spans="1:111">
      <c r="A250" s="1245">
        <v>46122</v>
      </c>
      <c r="B250" s="1247" t="s">
        <v>935</v>
      </c>
      <c r="C250" s="1234" t="s">
        <v>115</v>
      </c>
      <c r="D250" s="1268">
        <v>4500201202</v>
      </c>
      <c r="E250" s="1233">
        <v>2670512370</v>
      </c>
      <c r="F250" s="1188" t="s">
        <v>1124</v>
      </c>
      <c r="G250" s="1253" t="s">
        <v>482</v>
      </c>
      <c r="H250" s="1234" t="s">
        <v>483</v>
      </c>
      <c r="I250" s="1254">
        <v>4320</v>
      </c>
      <c r="J250" s="1234">
        <v>0</v>
      </c>
      <c r="K250" s="1234">
        <v>120</v>
      </c>
      <c r="L250" s="1246">
        <f t="shared" si="79"/>
        <v>36</v>
      </c>
      <c r="M250" s="1255">
        <v>46189</v>
      </c>
      <c r="N250" s="1255">
        <v>46214</v>
      </c>
      <c r="O250" s="1255" t="s">
        <v>736</v>
      </c>
      <c r="P250" s="1233"/>
      <c r="Q250" s="1286" t="s">
        <v>106</v>
      </c>
      <c r="R250" s="1234" t="s">
        <v>1122</v>
      </c>
      <c r="S250" s="1234" t="s">
        <v>943</v>
      </c>
      <c r="T250" s="1233">
        <v>4320</v>
      </c>
      <c r="U250" s="1233">
        <f t="shared" si="74"/>
        <v>0</v>
      </c>
      <c r="V250" s="1234"/>
      <c r="W250" s="1256">
        <v>46155</v>
      </c>
      <c r="X250" s="1257" t="s">
        <v>107</v>
      </c>
      <c r="Y250" s="1257" t="s">
        <v>95</v>
      </c>
      <c r="Z250" s="1247"/>
      <c r="AA250" s="1247"/>
      <c r="AB250" s="1247"/>
      <c r="AC250" s="1247" t="s">
        <v>937</v>
      </c>
      <c r="AD250" s="1248" t="s">
        <v>488</v>
      </c>
      <c r="AE250" s="1247">
        <v>642</v>
      </c>
      <c r="AF250" s="1248">
        <f>L250*AE250</f>
        <v>23112</v>
      </c>
      <c r="AG250" s="1249" t="s">
        <v>1125</v>
      </c>
      <c r="AH250" s="1234" t="s">
        <v>490</v>
      </c>
      <c r="AI250" s="1234" t="s">
        <v>112</v>
      </c>
      <c r="AJ250" s="1234" t="s">
        <v>113</v>
      </c>
      <c r="AK250" s="1188"/>
      <c r="AL250" s="1188">
        <f>I250*3</f>
        <v>12960</v>
      </c>
      <c r="AM250" s="1188"/>
      <c r="AN250" s="1188"/>
      <c r="AO250" s="1188"/>
      <c r="AP250" s="1188"/>
      <c r="AQ250" s="1240"/>
      <c r="AR250" s="1188"/>
      <c r="AS250" s="1236"/>
      <c r="AT250" s="1236"/>
      <c r="AU250" s="1188"/>
      <c r="AV250" s="1250">
        <f>I250*0.06*2</f>
        <v>518.4</v>
      </c>
      <c r="AW250" s="1250"/>
      <c r="AX250" s="1188"/>
      <c r="AY250" s="1188"/>
      <c r="AZ250" s="1188"/>
      <c r="BA250" s="1188"/>
      <c r="BB250" s="1188">
        <f>I250*3</f>
        <v>12960</v>
      </c>
      <c r="BC250" s="1188">
        <f>I250*3</f>
        <v>12960</v>
      </c>
      <c r="BD250" s="1188">
        <f>I250*3</f>
        <v>12960</v>
      </c>
      <c r="BE250" s="1188">
        <f>I250</f>
        <v>4320</v>
      </c>
      <c r="BF250" s="1188">
        <f>I250/6</f>
        <v>720</v>
      </c>
      <c r="BG250" s="1188"/>
      <c r="BH250" s="1188"/>
      <c r="BI250" s="1188"/>
      <c r="BJ250" s="1188"/>
      <c r="BK250" s="1188"/>
      <c r="BL250" s="1188"/>
      <c r="BM250" s="1188"/>
      <c r="BN250" s="1188"/>
      <c r="BO250" s="1240"/>
      <c r="BP250" s="1240"/>
      <c r="BQ250" s="1188"/>
      <c r="BR250" s="1236"/>
      <c r="BS250" s="1188"/>
      <c r="BT250" s="1188"/>
      <c r="BU250" s="1188"/>
      <c r="BV250" s="1240"/>
      <c r="BW250" s="1188"/>
      <c r="BX250" s="1188"/>
      <c r="BY250" s="1188"/>
      <c r="BZ250" s="1188"/>
      <c r="CA250" s="1188"/>
      <c r="CB250" s="1188"/>
      <c r="CC250" s="1188"/>
      <c r="CD250" s="1188">
        <f t="shared" si="65"/>
        <v>0</v>
      </c>
      <c r="CE250" s="1188">
        <f t="shared" si="66"/>
        <v>0</v>
      </c>
      <c r="CF250" s="1188">
        <f t="shared" si="67"/>
        <v>0</v>
      </c>
      <c r="CG250" s="1188">
        <f t="shared" si="68"/>
        <v>0</v>
      </c>
      <c r="CH250" s="1236"/>
      <c r="CI250" s="1236"/>
      <c r="CJ250" s="1236"/>
      <c r="CK250" s="1188"/>
      <c r="CL250" s="1188"/>
    </row>
    <row r="251" s="1168" customFormat="1" customHeight="1" spans="1:111">
      <c r="A251" s="1245">
        <v>46121</v>
      </c>
      <c r="B251" s="1247" t="s">
        <v>338</v>
      </c>
      <c r="C251" s="1234" t="s">
        <v>135</v>
      </c>
      <c r="D251" s="1268">
        <v>4500200759</v>
      </c>
      <c r="E251" s="1234" t="s">
        <v>1126</v>
      </c>
      <c r="F251" s="1188" t="s">
        <v>1127</v>
      </c>
      <c r="G251" s="1253" t="s">
        <v>270</v>
      </c>
      <c r="H251" s="1234" t="s">
        <v>104</v>
      </c>
      <c r="I251" s="1254">
        <v>9000</v>
      </c>
      <c r="J251" s="1234">
        <v>0</v>
      </c>
      <c r="K251" s="1234">
        <v>25</v>
      </c>
      <c r="L251" s="1246">
        <f t="shared" si="79"/>
        <v>360</v>
      </c>
      <c r="M251" s="1255">
        <v>46190</v>
      </c>
      <c r="N251" s="1255">
        <v>46202</v>
      </c>
      <c r="O251" s="1255"/>
      <c r="P251" s="1233"/>
      <c r="Q251" s="1286" t="s">
        <v>106</v>
      </c>
      <c r="R251" s="1234"/>
      <c r="S251" s="1234" t="s">
        <v>1128</v>
      </c>
      <c r="T251" s="1233">
        <v>9000</v>
      </c>
      <c r="U251" s="1233">
        <f t="shared" si="74"/>
        <v>0</v>
      </c>
      <c r="V251" s="1234"/>
      <c r="W251" s="1256">
        <v>46122</v>
      </c>
      <c r="X251" s="1257" t="s">
        <v>95</v>
      </c>
      <c r="Y251" s="1257" t="s">
        <v>95</v>
      </c>
      <c r="Z251" s="1247" t="s">
        <v>140</v>
      </c>
      <c r="AA251" s="1247"/>
      <c r="AB251" s="1247"/>
      <c r="AC251" s="1247" t="s">
        <v>1129</v>
      </c>
      <c r="AD251" s="1248" t="s">
        <v>1130</v>
      </c>
      <c r="AE251" s="1247">
        <v>1.27</v>
      </c>
      <c r="AF251" s="1248">
        <f>I251*AE251</f>
        <v>11430</v>
      </c>
      <c r="AG251" s="1258"/>
      <c r="AH251" s="1234" t="s">
        <v>270</v>
      </c>
      <c r="AI251" s="1234" t="s">
        <v>112</v>
      </c>
      <c r="AJ251" s="1234" t="s">
        <v>113</v>
      </c>
      <c r="AK251" s="1188">
        <f t="shared" ref="AK251:AK258" si="82">I251</f>
        <v>9000</v>
      </c>
      <c r="AL251" s="1188"/>
      <c r="AM251" s="1188"/>
      <c r="AN251" s="1188">
        <f>I251</f>
        <v>9000</v>
      </c>
      <c r="AO251" s="1188"/>
      <c r="AP251" s="1188"/>
      <c r="AQ251" s="1240"/>
      <c r="AR251" s="1188"/>
      <c r="AS251" s="1236"/>
      <c r="AT251" s="1236"/>
      <c r="AU251" s="1188"/>
      <c r="AV251" s="1250">
        <f>I251*0.06</f>
        <v>540</v>
      </c>
      <c r="AW251" s="1250">
        <f>I251</f>
        <v>9000</v>
      </c>
      <c r="AX251" s="1188"/>
      <c r="AY251" s="1188"/>
      <c r="AZ251" s="1188"/>
      <c r="BA251" s="1188"/>
      <c r="BB251" s="1188"/>
      <c r="BC251" s="1188"/>
      <c r="BD251" s="1188"/>
      <c r="BE251" s="1188"/>
      <c r="BF251" s="1188"/>
      <c r="BG251" s="1188"/>
      <c r="BH251" s="1188"/>
      <c r="BI251" s="1188"/>
      <c r="BJ251" s="1188"/>
      <c r="BK251" s="1188"/>
      <c r="BL251" s="1188"/>
      <c r="BM251" s="1188"/>
      <c r="BN251" s="1188">
        <f>I251/25</f>
        <v>360</v>
      </c>
      <c r="BO251" s="1240"/>
      <c r="BP251" s="1240"/>
      <c r="BQ251" s="1188"/>
      <c r="BR251" s="1236"/>
      <c r="BS251" s="1188"/>
      <c r="BT251" s="1188"/>
      <c r="BU251" s="1188"/>
      <c r="BV251" s="1240"/>
      <c r="BW251" s="1188"/>
      <c r="BX251" s="1188"/>
      <c r="BY251" s="1188"/>
      <c r="BZ251" s="1188"/>
      <c r="CA251" s="1188"/>
      <c r="CB251" s="1188"/>
      <c r="CC251" s="1188"/>
      <c r="CD251" s="1188">
        <f t="shared" si="65"/>
        <v>360</v>
      </c>
      <c r="CE251" s="1188">
        <f t="shared" si="66"/>
        <v>0</v>
      </c>
      <c r="CF251" s="1188">
        <f t="shared" si="67"/>
        <v>0</v>
      </c>
      <c r="CG251" s="1188">
        <f t="shared" si="68"/>
        <v>0</v>
      </c>
      <c r="CH251" s="1236"/>
      <c r="CI251" s="1236"/>
      <c r="CJ251" s="1236"/>
      <c r="CK251" s="1188"/>
      <c r="CL251" s="1188"/>
    </row>
    <row r="252" s="1168" customFormat="1" customHeight="1" spans="1:111">
      <c r="A252" s="1245">
        <v>46121</v>
      </c>
      <c r="B252" s="1247" t="s">
        <v>338</v>
      </c>
      <c r="C252" s="1234" t="s">
        <v>135</v>
      </c>
      <c r="D252" s="1268">
        <v>4500200759</v>
      </c>
      <c r="E252" s="1234" t="s">
        <v>1131</v>
      </c>
      <c r="F252" s="1188" t="s">
        <v>1132</v>
      </c>
      <c r="G252" s="1253" t="s">
        <v>270</v>
      </c>
      <c r="H252" s="1234" t="s">
        <v>104</v>
      </c>
      <c r="I252" s="1254">
        <v>9000</v>
      </c>
      <c r="J252" s="1234">
        <v>0</v>
      </c>
      <c r="K252" s="1234">
        <v>25</v>
      </c>
      <c r="L252" s="1246">
        <f t="shared" si="79"/>
        <v>360</v>
      </c>
      <c r="M252" s="1255">
        <v>46190</v>
      </c>
      <c r="N252" s="1255">
        <v>46202</v>
      </c>
      <c r="O252" s="1255"/>
      <c r="P252" s="1233"/>
      <c r="Q252" s="1286" t="s">
        <v>106</v>
      </c>
      <c r="R252" s="1234"/>
      <c r="S252" s="1234" t="s">
        <v>1128</v>
      </c>
      <c r="T252" s="1233">
        <v>9000</v>
      </c>
      <c r="U252" s="1233">
        <f t="shared" si="74"/>
        <v>0</v>
      </c>
      <c r="V252" s="1234"/>
      <c r="W252" s="1256">
        <v>46122</v>
      </c>
      <c r="X252" s="1257" t="s">
        <v>95</v>
      </c>
      <c r="Y252" s="1257" t="s">
        <v>95</v>
      </c>
      <c r="Z252" s="1247" t="s">
        <v>140</v>
      </c>
      <c r="AA252" s="1247"/>
      <c r="AB252" s="1247"/>
      <c r="AC252" s="1247" t="s">
        <v>1129</v>
      </c>
      <c r="AD252" s="1248" t="s">
        <v>1130</v>
      </c>
      <c r="AE252" s="1247">
        <v>1.27</v>
      </c>
      <c r="AF252" s="1248">
        <f>I252*AE252</f>
        <v>11430</v>
      </c>
      <c r="AG252" s="1258"/>
      <c r="AH252" s="1234" t="s">
        <v>270</v>
      </c>
      <c r="AI252" s="1234" t="s">
        <v>112</v>
      </c>
      <c r="AJ252" s="1234" t="s">
        <v>113</v>
      </c>
      <c r="AK252" s="1188">
        <f t="shared" si="82"/>
        <v>9000</v>
      </c>
      <c r="AL252" s="1188"/>
      <c r="AM252" s="1188"/>
      <c r="AN252" s="1188">
        <f>I252</f>
        <v>9000</v>
      </c>
      <c r="AO252" s="1188"/>
      <c r="AP252" s="1188"/>
      <c r="AQ252" s="1240"/>
      <c r="AR252" s="1188"/>
      <c r="AS252" s="1236"/>
      <c r="AT252" s="1236"/>
      <c r="AU252" s="1188"/>
      <c r="AV252" s="1250">
        <f>I252*0.06</f>
        <v>540</v>
      </c>
      <c r="AW252" s="1250">
        <f>I252</f>
        <v>9000</v>
      </c>
      <c r="AX252" s="1188"/>
      <c r="AY252" s="1188"/>
      <c r="AZ252" s="1188"/>
      <c r="BA252" s="1188"/>
      <c r="BB252" s="1188"/>
      <c r="BC252" s="1188"/>
      <c r="BD252" s="1188"/>
      <c r="BE252" s="1188"/>
      <c r="BF252" s="1188"/>
      <c r="BG252" s="1188"/>
      <c r="BH252" s="1188"/>
      <c r="BI252" s="1188"/>
      <c r="BJ252" s="1188"/>
      <c r="BK252" s="1188"/>
      <c r="BL252" s="1188"/>
      <c r="BM252" s="1188"/>
      <c r="BN252" s="1188">
        <f>I252/25</f>
        <v>360</v>
      </c>
      <c r="BO252" s="1240"/>
      <c r="BP252" s="1240"/>
      <c r="BQ252" s="1188"/>
      <c r="BR252" s="1236"/>
      <c r="BS252" s="1188"/>
      <c r="BT252" s="1188"/>
      <c r="BU252" s="1188"/>
      <c r="BV252" s="1240"/>
      <c r="BW252" s="1188"/>
      <c r="BX252" s="1188"/>
      <c r="BY252" s="1188"/>
      <c r="BZ252" s="1188"/>
      <c r="CA252" s="1188"/>
      <c r="CB252" s="1188"/>
      <c r="CC252" s="1188"/>
      <c r="CD252" s="1188">
        <f t="shared" si="65"/>
        <v>360</v>
      </c>
      <c r="CE252" s="1188">
        <f t="shared" si="66"/>
        <v>0</v>
      </c>
      <c r="CF252" s="1188">
        <f t="shared" si="67"/>
        <v>0</v>
      </c>
      <c r="CG252" s="1188">
        <f t="shared" si="68"/>
        <v>0</v>
      </c>
      <c r="CH252" s="1236"/>
      <c r="CI252" s="1236"/>
      <c r="CJ252" s="1236"/>
      <c r="CK252" s="1188"/>
      <c r="CL252" s="1188"/>
    </row>
    <row r="253" s="1168" customFormat="1" customHeight="1" spans="1:111">
      <c r="A253" s="1245">
        <v>46093</v>
      </c>
      <c r="B253" s="1247" t="s">
        <v>1133</v>
      </c>
      <c r="C253" s="1234" t="s">
        <v>115</v>
      </c>
      <c r="D253" s="1188">
        <v>4500196353</v>
      </c>
      <c r="E253" s="1234">
        <v>52424</v>
      </c>
      <c r="F253" s="1188" t="s">
        <v>1134</v>
      </c>
      <c r="G253" s="1253" t="s">
        <v>174</v>
      </c>
      <c r="H253" s="1234" t="s">
        <v>175</v>
      </c>
      <c r="I253" s="1254">
        <v>1196</v>
      </c>
      <c r="J253" s="1234">
        <v>0</v>
      </c>
      <c r="K253" s="1234">
        <v>52</v>
      </c>
      <c r="L253" s="1246">
        <f t="shared" si="79"/>
        <v>23</v>
      </c>
      <c r="M253" s="1255">
        <v>46190</v>
      </c>
      <c r="N253" s="1255">
        <v>46216</v>
      </c>
      <c r="O253" s="1255" t="s">
        <v>736</v>
      </c>
      <c r="P253" s="1233"/>
      <c r="Q253" s="1255" t="s">
        <v>106</v>
      </c>
      <c r="R253" s="1234"/>
      <c r="S253" s="1234" t="s">
        <v>943</v>
      </c>
      <c r="T253" s="1233">
        <v>1196</v>
      </c>
      <c r="U253" s="1233">
        <f t="shared" si="74"/>
        <v>0</v>
      </c>
      <c r="V253" s="1234"/>
      <c r="W253" s="1238">
        <v>46153</v>
      </c>
      <c r="X253" s="1227" t="s">
        <v>95</v>
      </c>
      <c r="Y253" s="1227" t="s">
        <v>95</v>
      </c>
      <c r="Z253" s="1247"/>
      <c r="AA253" s="1247"/>
      <c r="AB253" s="1247"/>
      <c r="AC253" s="1247" t="s">
        <v>1135</v>
      </c>
      <c r="AD253" s="1248" t="s">
        <v>1136</v>
      </c>
      <c r="AE253" s="1247">
        <v>0.6198</v>
      </c>
      <c r="AF253" s="1248">
        <f>I253*AE253</f>
        <v>741.2808</v>
      </c>
      <c r="AG253" s="1249" t="s">
        <v>1137</v>
      </c>
      <c r="AH253" s="1234" t="s">
        <v>174</v>
      </c>
      <c r="AI253" s="1234" t="s">
        <v>112</v>
      </c>
      <c r="AJ253" s="1234" t="s">
        <v>113</v>
      </c>
      <c r="AK253" s="1188">
        <f t="shared" si="82"/>
        <v>1196</v>
      </c>
      <c r="AL253" s="1188"/>
      <c r="AM253" s="1188"/>
      <c r="AN253" s="1188">
        <f>I253</f>
        <v>1196</v>
      </c>
      <c r="AO253" s="1188"/>
      <c r="AP253" s="1188"/>
      <c r="AQ253" s="1240"/>
      <c r="AR253" s="1188"/>
      <c r="AS253" s="1236"/>
      <c r="AT253" s="1236"/>
      <c r="AU253" s="1188">
        <f>I253</f>
        <v>1196</v>
      </c>
      <c r="AV253" s="1250">
        <f>I253*0.06</f>
        <v>71.76</v>
      </c>
      <c r="AW253" s="1250"/>
      <c r="AX253" s="1188"/>
      <c r="AY253" s="1188"/>
      <c r="AZ253" s="1188"/>
      <c r="BA253" s="1188"/>
      <c r="BB253" s="1188"/>
      <c r="BC253" s="1188"/>
      <c r="BD253" s="1188"/>
      <c r="BE253" s="1188"/>
      <c r="BF253" s="1188"/>
      <c r="BG253" s="1188"/>
      <c r="BH253" s="1188"/>
      <c r="BI253" s="1188"/>
      <c r="BJ253" s="1188"/>
      <c r="BK253" s="1188">
        <f>I253/13</f>
        <v>92</v>
      </c>
      <c r="BL253" s="1188"/>
      <c r="BM253" s="1188"/>
      <c r="BN253" s="1188"/>
      <c r="BO253" s="1240"/>
      <c r="BP253" s="1240"/>
      <c r="BQ253" s="1188"/>
      <c r="BR253" s="1236"/>
      <c r="BS253" s="1236"/>
      <c r="BT253" s="1188"/>
      <c r="BU253" s="1188"/>
      <c r="BV253" s="1240"/>
      <c r="BW253" s="1188"/>
      <c r="BX253" s="1188"/>
      <c r="BY253" s="1188"/>
      <c r="BZ253" s="1188"/>
      <c r="CA253" s="1188"/>
      <c r="CB253" s="1188"/>
      <c r="CC253" s="1188"/>
      <c r="CD253" s="1188">
        <f t="shared" si="65"/>
        <v>0</v>
      </c>
      <c r="CE253" s="1188">
        <f t="shared" si="66"/>
        <v>0</v>
      </c>
      <c r="CF253" s="1188">
        <f t="shared" si="67"/>
        <v>0</v>
      </c>
      <c r="CG253" s="1188">
        <f t="shared" si="68"/>
        <v>0</v>
      </c>
      <c r="CH253" s="1236"/>
      <c r="CI253" s="1236"/>
      <c r="CJ253" s="1236"/>
      <c r="CK253" s="1188"/>
      <c r="CL253" s="1188"/>
    </row>
    <row r="254" s="1168" customFormat="1" customHeight="1" spans="1:111">
      <c r="A254" s="1245">
        <v>46190</v>
      </c>
      <c r="B254" s="1247" t="s">
        <v>264</v>
      </c>
      <c r="C254" s="1234" t="s">
        <v>265</v>
      </c>
      <c r="D254" s="1268">
        <v>4500212732</v>
      </c>
      <c r="E254" s="1233">
        <v>4400579134</v>
      </c>
      <c r="F254" s="1188" t="s">
        <v>1138</v>
      </c>
      <c r="G254" s="1253" t="s">
        <v>270</v>
      </c>
      <c r="H254" s="1234" t="s">
        <v>104</v>
      </c>
      <c r="I254" s="1254">
        <v>3000</v>
      </c>
      <c r="J254" s="1234">
        <v>0</v>
      </c>
      <c r="K254" s="1234">
        <v>25</v>
      </c>
      <c r="L254" s="1246">
        <f t="shared" si="79"/>
        <v>120</v>
      </c>
      <c r="M254" s="1255">
        <v>46191</v>
      </c>
      <c r="N254" s="1255">
        <v>46188</v>
      </c>
      <c r="O254" s="1255"/>
      <c r="P254" s="1233" t="s">
        <v>1139</v>
      </c>
      <c r="Q254" s="1255" t="s">
        <v>106</v>
      </c>
      <c r="R254" s="1234"/>
      <c r="S254" s="1234"/>
      <c r="T254" s="1233">
        <v>3000</v>
      </c>
      <c r="U254" s="1233">
        <f t="shared" si="74"/>
        <v>0</v>
      </c>
      <c r="V254" s="1234"/>
      <c r="W254" s="1238" t="s">
        <v>1140</v>
      </c>
      <c r="X254" s="1227" t="s">
        <v>95</v>
      </c>
      <c r="Y254" s="1227" t="s">
        <v>95</v>
      </c>
      <c r="Z254" s="1247" t="s">
        <v>140</v>
      </c>
      <c r="AA254" s="1247"/>
      <c r="AB254" s="1247"/>
      <c r="AC254" s="1247" t="s">
        <v>1141</v>
      </c>
      <c r="AD254" s="1248" t="s">
        <v>1142</v>
      </c>
      <c r="AE254" s="1247">
        <v>1.1467</v>
      </c>
      <c r="AF254" s="1248">
        <f>I254*AE254</f>
        <v>3440.1</v>
      </c>
      <c r="AG254" s="1258"/>
      <c r="AH254" s="1234" t="s">
        <v>137</v>
      </c>
      <c r="AI254" s="1234" t="s">
        <v>112</v>
      </c>
      <c r="AJ254" s="1234" t="s">
        <v>113</v>
      </c>
      <c r="AK254" s="1188">
        <f t="shared" si="82"/>
        <v>3000</v>
      </c>
      <c r="AL254" s="1188"/>
      <c r="AM254" s="1188"/>
      <c r="AN254" s="1188"/>
      <c r="AO254" s="1188"/>
      <c r="AP254" s="1188"/>
      <c r="AQ254" s="1240"/>
      <c r="AR254" s="1188"/>
      <c r="AS254" s="1236"/>
      <c r="AT254" s="1236"/>
      <c r="AU254" s="1188"/>
      <c r="AV254" s="1250">
        <f>I254*0.06</f>
        <v>180</v>
      </c>
      <c r="AW254" s="1250"/>
      <c r="AX254" s="1188"/>
      <c r="AY254" s="1188"/>
      <c r="AZ254" s="1188"/>
      <c r="BA254" s="1188"/>
      <c r="BB254" s="1188"/>
      <c r="BC254" s="1188"/>
      <c r="BD254" s="1188"/>
      <c r="BE254" s="1188"/>
      <c r="BF254" s="1188"/>
      <c r="BG254" s="1188">
        <f>I254</f>
        <v>3000</v>
      </c>
      <c r="BH254" s="1188">
        <f>I254</f>
        <v>3000</v>
      </c>
      <c r="BI254" s="1188"/>
      <c r="BJ254" s="1188"/>
      <c r="BK254" s="1188"/>
      <c r="BL254" s="1188"/>
      <c r="BM254" s="1188"/>
      <c r="BN254" s="1188"/>
      <c r="BO254" s="1240">
        <f>I254/25</f>
        <v>120</v>
      </c>
      <c r="BP254" s="1240"/>
      <c r="BQ254" s="1188"/>
      <c r="BR254" s="1236"/>
      <c r="BS254" s="1236"/>
      <c r="BT254" s="1188"/>
      <c r="BU254" s="1188"/>
      <c r="BV254" s="1240"/>
      <c r="BW254" s="1188"/>
      <c r="BX254" s="1188"/>
      <c r="BY254" s="1188"/>
      <c r="BZ254" s="1188"/>
      <c r="CA254" s="1188"/>
      <c r="CB254" s="1188"/>
      <c r="CC254" s="1188"/>
      <c r="CD254" s="1188">
        <f t="shared" si="65"/>
        <v>120</v>
      </c>
      <c r="CE254" s="1188">
        <f t="shared" si="66"/>
        <v>0</v>
      </c>
      <c r="CF254" s="1188">
        <f t="shared" si="67"/>
        <v>0</v>
      </c>
      <c r="CG254" s="1188">
        <f t="shared" si="68"/>
        <v>0</v>
      </c>
      <c r="CH254" s="1236"/>
      <c r="CI254" s="1236"/>
      <c r="CJ254" s="1236"/>
      <c r="CK254" s="1188"/>
      <c r="CL254" s="1188"/>
    </row>
    <row r="255" s="1168" customFormat="1" customHeight="1" spans="1:111">
      <c r="A255" s="1245">
        <v>46148</v>
      </c>
      <c r="B255" s="1247" t="s">
        <v>1143</v>
      </c>
      <c r="C255" s="1234" t="s">
        <v>1144</v>
      </c>
      <c r="D255" s="1268">
        <v>4500205337</v>
      </c>
      <c r="E255" s="1234" t="s">
        <v>628</v>
      </c>
      <c r="F255" s="1188" t="s">
        <v>1145</v>
      </c>
      <c r="G255" s="1253" t="s">
        <v>174</v>
      </c>
      <c r="H255" s="1234" t="s">
        <v>175</v>
      </c>
      <c r="I255" s="1254">
        <v>1560</v>
      </c>
      <c r="J255" s="1234">
        <v>0</v>
      </c>
      <c r="K255" s="1234">
        <v>52</v>
      </c>
      <c r="L255" s="1246">
        <f t="shared" si="79"/>
        <v>30</v>
      </c>
      <c r="M255" s="1255">
        <v>46191</v>
      </c>
      <c r="N255" s="1255">
        <v>46216</v>
      </c>
      <c r="O255" s="1255" t="s">
        <v>736</v>
      </c>
      <c r="P255" s="1233"/>
      <c r="Q255" s="1255" t="s">
        <v>106</v>
      </c>
      <c r="R255" s="1234"/>
      <c r="S255" s="1234"/>
      <c r="T255" s="1233">
        <v>1560</v>
      </c>
      <c r="U255" s="1233">
        <f t="shared" si="74"/>
        <v>0</v>
      </c>
      <c r="V255" s="1234"/>
      <c r="W255" s="1238">
        <v>46150</v>
      </c>
      <c r="X255" s="1227" t="s">
        <v>95</v>
      </c>
      <c r="Y255" s="1227" t="s">
        <v>1146</v>
      </c>
      <c r="Z255" s="1247"/>
      <c r="AA255" s="1247"/>
      <c r="AB255" s="1247"/>
      <c r="AC255" s="1247" t="s">
        <v>1147</v>
      </c>
      <c r="AD255" s="1248" t="s">
        <v>1148</v>
      </c>
      <c r="AE255" s="1247">
        <v>1.0655</v>
      </c>
      <c r="AF255" s="1248">
        <f>I255*AE255</f>
        <v>1662.18</v>
      </c>
      <c r="AG255" s="1258"/>
      <c r="AH255" s="1234" t="s">
        <v>174</v>
      </c>
      <c r="AI255" s="1234" t="s">
        <v>112</v>
      </c>
      <c r="AJ255" s="1234" t="s">
        <v>113</v>
      </c>
      <c r="AK255" s="1188">
        <f t="shared" si="82"/>
        <v>1560</v>
      </c>
      <c r="AL255" s="1188"/>
      <c r="AM255" s="1188"/>
      <c r="AN255" s="1188">
        <f>I255</f>
        <v>1560</v>
      </c>
      <c r="AO255" s="1188"/>
      <c r="AP255" s="1188"/>
      <c r="AQ255" s="1240"/>
      <c r="AR255" s="1188"/>
      <c r="AS255" s="1236"/>
      <c r="AT255" s="1236"/>
      <c r="AU255" s="1188">
        <f>I255</f>
        <v>1560</v>
      </c>
      <c r="AV255" s="1250">
        <f>I255*0.06*2</f>
        <v>187.2</v>
      </c>
      <c r="AW255" s="1250"/>
      <c r="AX255" s="1188"/>
      <c r="AY255" s="1188"/>
      <c r="AZ255" s="1188"/>
      <c r="BA255" s="1188"/>
      <c r="BB255" s="1188"/>
      <c r="BC255" s="1188"/>
      <c r="BD255" s="1188"/>
      <c r="BE255" s="1188"/>
      <c r="BF255" s="1188"/>
      <c r="BG255" s="1188"/>
      <c r="BH255" s="1188"/>
      <c r="BI255" s="1188"/>
      <c r="BJ255" s="1188"/>
      <c r="BK255" s="1188">
        <f>I255/13</f>
        <v>120</v>
      </c>
      <c r="BL255" s="1188"/>
      <c r="BM255" s="1188"/>
      <c r="BN255" s="1188"/>
      <c r="BO255" s="1240"/>
      <c r="BP255" s="1240"/>
      <c r="BQ255" s="1188"/>
      <c r="BR255" s="1236"/>
      <c r="BS255" s="1236"/>
      <c r="BT255" s="1188"/>
      <c r="BU255" s="1188"/>
      <c r="BV255" s="1240"/>
      <c r="BW255" s="1188"/>
      <c r="BX255" s="1188"/>
      <c r="BY255" s="1188"/>
      <c r="BZ255" s="1188"/>
      <c r="CA255" s="1188"/>
      <c r="CB255" s="1188"/>
      <c r="CC255" s="1188"/>
      <c r="CD255" s="1188">
        <f t="shared" si="65"/>
        <v>0</v>
      </c>
      <c r="CE255" s="1188">
        <f t="shared" si="66"/>
        <v>0</v>
      </c>
      <c r="CF255" s="1188">
        <f t="shared" si="67"/>
        <v>0</v>
      </c>
      <c r="CG255" s="1188">
        <f t="shared" si="68"/>
        <v>0</v>
      </c>
      <c r="CH255" s="1236"/>
      <c r="CI255" s="1236"/>
      <c r="CJ255" s="1236"/>
      <c r="CK255" s="1188"/>
      <c r="CL255" s="1188"/>
    </row>
    <row r="256" s="1168" customFormat="1" customHeight="1" spans="1:111">
      <c r="A256" s="1245">
        <v>46132</v>
      </c>
      <c r="B256" s="1247" t="s">
        <v>1149</v>
      </c>
      <c r="C256" s="1234" t="s">
        <v>291</v>
      </c>
      <c r="D256" s="1268">
        <v>4500202901</v>
      </c>
      <c r="E256" s="1234" t="s">
        <v>628</v>
      </c>
      <c r="F256" s="1188" t="s">
        <v>1150</v>
      </c>
      <c r="G256" s="1253" t="s">
        <v>188</v>
      </c>
      <c r="H256" s="1234" t="s">
        <v>138</v>
      </c>
      <c r="I256" s="1254">
        <v>8000</v>
      </c>
      <c r="J256" s="1234">
        <v>0</v>
      </c>
      <c r="K256" s="1234">
        <v>50</v>
      </c>
      <c r="L256" s="1246">
        <f t="shared" si="79"/>
        <v>160</v>
      </c>
      <c r="M256" s="1255">
        <v>46191</v>
      </c>
      <c r="N256" s="1320">
        <v>46216</v>
      </c>
      <c r="O256" s="1320" t="s">
        <v>1151</v>
      </c>
      <c r="P256" s="1233"/>
      <c r="Q256" s="1233" t="s">
        <v>106</v>
      </c>
      <c r="R256" s="1234" t="s">
        <v>1152</v>
      </c>
      <c r="S256" s="1234" t="s">
        <v>447</v>
      </c>
      <c r="T256" s="1188">
        <v>8000</v>
      </c>
      <c r="U256" s="1233">
        <f t="shared" si="74"/>
        <v>0</v>
      </c>
      <c r="V256" s="1234"/>
      <c r="W256" s="1238" t="s">
        <v>1153</v>
      </c>
      <c r="X256" s="1227" t="s">
        <v>95</v>
      </c>
      <c r="Y256" s="1227" t="s">
        <v>1154</v>
      </c>
      <c r="Z256" s="1188"/>
      <c r="AA256" s="1188"/>
      <c r="AB256" s="1247"/>
      <c r="AC256" s="1321" t="s">
        <v>1155</v>
      </c>
      <c r="AD256" s="1255" t="s">
        <v>295</v>
      </c>
      <c r="AE256" s="1267">
        <v>1.0837</v>
      </c>
      <c r="AF256" s="1248">
        <f>AE256*I256</f>
        <v>8669.6</v>
      </c>
      <c r="AG256" s="1258"/>
      <c r="AH256" s="1234" t="s">
        <v>314</v>
      </c>
      <c r="AI256" s="1234" t="s">
        <v>112</v>
      </c>
      <c r="AJ256" s="1233" t="s">
        <v>1156</v>
      </c>
      <c r="AK256" s="1188">
        <f t="shared" si="82"/>
        <v>8000</v>
      </c>
      <c r="AL256" s="1188"/>
      <c r="AM256" s="1188"/>
      <c r="AN256" s="1188"/>
      <c r="AO256" s="1188"/>
      <c r="AP256" s="1188">
        <f>I256</f>
        <v>8000</v>
      </c>
      <c r="AQ256" s="1240"/>
      <c r="AR256" s="1188"/>
      <c r="AS256" s="1236"/>
      <c r="AT256" s="1236"/>
      <c r="AU256" s="1188">
        <f>I256</f>
        <v>8000</v>
      </c>
      <c r="AV256" s="1250">
        <f>I256*0.06*2</f>
        <v>960</v>
      </c>
      <c r="AW256" s="1250"/>
      <c r="AX256" s="1188"/>
      <c r="AY256" s="1188"/>
      <c r="AZ256" s="1188"/>
      <c r="BA256" s="1188"/>
      <c r="BB256" s="1188"/>
      <c r="BC256" s="1188"/>
      <c r="BD256" s="1188"/>
      <c r="BE256" s="1188"/>
      <c r="BF256" s="1188"/>
      <c r="BG256" s="1188"/>
      <c r="BH256" s="1188"/>
      <c r="BI256" s="1188"/>
      <c r="BJ256" s="1188"/>
      <c r="BK256" s="1188"/>
      <c r="BL256" s="1188"/>
      <c r="BM256" s="1188"/>
      <c r="BN256" s="1188"/>
      <c r="BO256" s="1240">
        <f>I256/25</f>
        <v>320</v>
      </c>
      <c r="BP256" s="1240"/>
      <c r="BQ256" s="1188"/>
      <c r="BR256" s="1236"/>
      <c r="BS256" s="1236"/>
      <c r="BT256" s="1188"/>
      <c r="BU256" s="1188"/>
      <c r="BV256" s="1240"/>
      <c r="BW256" s="1188"/>
      <c r="BX256" s="1188"/>
      <c r="BY256" s="1188"/>
      <c r="BZ256" s="1188"/>
      <c r="CA256" s="1188"/>
      <c r="CB256" s="1188"/>
      <c r="CC256" s="1188"/>
      <c r="CD256" s="1188">
        <f t="shared" ref="CD256:CD319" si="83">BN256+BO256+BQ256+BS256+BR256</f>
        <v>320</v>
      </c>
      <c r="CE256" s="1188">
        <f t="shared" ref="CE256:CE274" si="84">BU256</f>
        <v>0</v>
      </c>
      <c r="CF256" s="1188">
        <f t="shared" ref="CF256:CF319" si="85">CC256</f>
        <v>0</v>
      </c>
      <c r="CG256" s="1188">
        <f t="shared" ref="CG256:CG319" si="86">BV256+BW256+BX256</f>
        <v>0</v>
      </c>
      <c r="CH256" s="1236"/>
      <c r="CI256" s="1236"/>
      <c r="CJ256" s="1236"/>
      <c r="CK256" s="1188"/>
      <c r="CL256" s="1188"/>
      <c r="CM256" s="1260"/>
      <c r="CN256" s="1260"/>
      <c r="CO256" s="1260"/>
      <c r="CP256" s="1260"/>
      <c r="CQ256" s="1260"/>
      <c r="CR256" s="1260"/>
      <c r="CS256" s="1260"/>
      <c r="CT256" s="1260"/>
      <c r="CU256" s="1260"/>
      <c r="CV256" s="1260"/>
      <c r="CW256" s="1260"/>
      <c r="CX256" s="1260"/>
      <c r="CY256" s="1260"/>
      <c r="CZ256" s="1260"/>
      <c r="DA256" s="1260"/>
      <c r="DB256" s="1260"/>
      <c r="DC256" s="1260"/>
      <c r="DD256" s="1260"/>
      <c r="DE256" s="1260"/>
      <c r="DF256" s="1260"/>
      <c r="DG256" s="1260"/>
    </row>
    <row r="257" s="1168" customFormat="1" customHeight="1" spans="1:111">
      <c r="A257" s="1245">
        <v>46141</v>
      </c>
      <c r="B257" s="1247" t="s">
        <v>1157</v>
      </c>
      <c r="C257" s="1234" t="s">
        <v>1158</v>
      </c>
      <c r="D257" s="1268">
        <v>4500204707</v>
      </c>
      <c r="E257" s="1234"/>
      <c r="F257" s="1188" t="s">
        <v>1159</v>
      </c>
      <c r="G257" s="1253" t="s">
        <v>188</v>
      </c>
      <c r="H257" s="1234" t="s">
        <v>893</v>
      </c>
      <c r="I257" s="1254">
        <v>600</v>
      </c>
      <c r="J257" s="1234">
        <v>0</v>
      </c>
      <c r="K257" s="1234">
        <v>50</v>
      </c>
      <c r="L257" s="1246">
        <f t="shared" si="79"/>
        <v>12</v>
      </c>
      <c r="M257" s="1255">
        <v>46191</v>
      </c>
      <c r="N257" s="1320">
        <v>46216</v>
      </c>
      <c r="O257" s="1322" t="s">
        <v>736</v>
      </c>
      <c r="P257" s="1233"/>
      <c r="Q257" s="1233" t="s">
        <v>106</v>
      </c>
      <c r="R257" s="1234"/>
      <c r="S257" s="1234"/>
      <c r="T257" s="1188">
        <v>600</v>
      </c>
      <c r="U257" s="1233">
        <f t="shared" si="74"/>
        <v>0</v>
      </c>
      <c r="V257" s="1234"/>
      <c r="W257" s="1238">
        <v>46141</v>
      </c>
      <c r="X257" s="1227" t="s">
        <v>95</v>
      </c>
      <c r="Y257" s="1227" t="s">
        <v>1160</v>
      </c>
      <c r="Z257" s="1247"/>
      <c r="AA257" s="1247"/>
      <c r="AB257" s="1247"/>
      <c r="AC257" s="1247" t="s">
        <v>1161</v>
      </c>
      <c r="AD257" s="1255" t="s">
        <v>1148</v>
      </c>
      <c r="AE257" s="1188">
        <v>1.0942</v>
      </c>
      <c r="AF257" s="1248">
        <f>AE257*I257</f>
        <v>656.52</v>
      </c>
      <c r="AG257" s="1258"/>
      <c r="AH257" s="1234" t="s">
        <v>188</v>
      </c>
      <c r="AI257" s="1234" t="s">
        <v>112</v>
      </c>
      <c r="AJ257" s="1233" t="s">
        <v>1156</v>
      </c>
      <c r="AK257" s="1188">
        <f t="shared" si="82"/>
        <v>600</v>
      </c>
      <c r="AL257" s="1188"/>
      <c r="AM257" s="1188"/>
      <c r="AN257" s="1188">
        <f>I257</f>
        <v>600</v>
      </c>
      <c r="AO257" s="1188"/>
      <c r="AP257" s="1188"/>
      <c r="AQ257" s="1240"/>
      <c r="AR257" s="1188"/>
      <c r="AS257" s="1236"/>
      <c r="AT257" s="1236"/>
      <c r="AU257" s="1188">
        <f>I257</f>
        <v>600</v>
      </c>
      <c r="AV257" s="1250">
        <f>I257*0.06*2</f>
        <v>72</v>
      </c>
      <c r="AW257" s="1250"/>
      <c r="AX257" s="1188"/>
      <c r="AY257" s="1188"/>
      <c r="AZ257" s="1188"/>
      <c r="BA257" s="1188"/>
      <c r="BB257" s="1188"/>
      <c r="BC257" s="1188"/>
      <c r="BD257" s="1188"/>
      <c r="BE257" s="1188"/>
      <c r="BF257" s="1188"/>
      <c r="BG257" s="1188"/>
      <c r="BH257" s="1188"/>
      <c r="BI257" s="1188"/>
      <c r="BJ257" s="1188"/>
      <c r="BK257" s="1188"/>
      <c r="BL257" s="1188"/>
      <c r="BM257" s="1188"/>
      <c r="BN257" s="1188">
        <f>I257/25</f>
        <v>24</v>
      </c>
      <c r="BO257" s="1240"/>
      <c r="BP257" s="1240"/>
      <c r="BQ257" s="1188"/>
      <c r="BR257" s="1236"/>
      <c r="BS257" s="1236"/>
      <c r="BT257" s="1188"/>
      <c r="BU257" s="1188"/>
      <c r="BV257" s="1240"/>
      <c r="BW257" s="1188"/>
      <c r="BX257" s="1188"/>
      <c r="BY257" s="1188"/>
      <c r="BZ257" s="1188"/>
      <c r="CA257" s="1188"/>
      <c r="CB257" s="1188"/>
      <c r="CC257" s="1188"/>
      <c r="CD257" s="1188">
        <f t="shared" si="83"/>
        <v>24</v>
      </c>
      <c r="CE257" s="1188">
        <f t="shared" si="84"/>
        <v>0</v>
      </c>
      <c r="CF257" s="1188">
        <f t="shared" si="85"/>
        <v>0</v>
      </c>
      <c r="CG257" s="1188">
        <f t="shared" si="86"/>
        <v>0</v>
      </c>
      <c r="CH257" s="1236"/>
      <c r="CI257" s="1236"/>
      <c r="CJ257" s="1236"/>
      <c r="CK257" s="1188"/>
      <c r="CL257" s="1188"/>
    </row>
    <row r="258" s="293" customFormat="1" customHeight="1" spans="1:111">
      <c r="A258" s="1289">
        <v>46127</v>
      </c>
      <c r="B258" s="543" t="s">
        <v>1162</v>
      </c>
      <c r="C258" s="504" t="s">
        <v>291</v>
      </c>
      <c r="D258" s="502">
        <v>4500201970</v>
      </c>
      <c r="E258" s="504" t="s">
        <v>1163</v>
      </c>
      <c r="F258" s="502" t="s">
        <v>1164</v>
      </c>
      <c r="G258" s="505" t="s">
        <v>188</v>
      </c>
      <c r="H258" s="504" t="s">
        <v>893</v>
      </c>
      <c r="I258" s="1290">
        <v>2900</v>
      </c>
      <c r="J258" s="504">
        <v>0</v>
      </c>
      <c r="K258" s="504">
        <v>50</v>
      </c>
      <c r="L258" s="1291">
        <f t="shared" si="79"/>
        <v>58</v>
      </c>
      <c r="M258" s="501">
        <v>46191</v>
      </c>
      <c r="N258" s="1323" t="s">
        <v>1165</v>
      </c>
      <c r="O258" s="1323"/>
      <c r="P258" s="506" t="s">
        <v>1166</v>
      </c>
      <c r="Q258" s="506"/>
      <c r="R258" s="504"/>
      <c r="S258" s="504" t="s">
        <v>447</v>
      </c>
      <c r="T258" s="506"/>
      <c r="U258" s="500">
        <f t="shared" si="74"/>
        <v>-2900</v>
      </c>
      <c r="V258" s="504"/>
      <c r="W258" s="1324">
        <v>46164</v>
      </c>
      <c r="X258" s="1325" t="s">
        <v>95</v>
      </c>
      <c r="Y258" s="1301" t="s">
        <v>1167</v>
      </c>
      <c r="Z258" s="543"/>
      <c r="AA258" s="543"/>
      <c r="AB258" s="543"/>
      <c r="AC258" s="543" t="s">
        <v>1168</v>
      </c>
      <c r="AD258" s="501" t="s">
        <v>1169</v>
      </c>
      <c r="AE258" s="502">
        <v>1.089</v>
      </c>
      <c r="AF258" s="503">
        <f>AE258*I258</f>
        <v>3158.1</v>
      </c>
      <c r="AG258" s="1295"/>
      <c r="AH258" s="504" t="s">
        <v>314</v>
      </c>
      <c r="AI258" s="504" t="s">
        <v>112</v>
      </c>
      <c r="AJ258" s="498" t="s">
        <v>113</v>
      </c>
      <c r="AK258" s="502">
        <f t="shared" si="82"/>
        <v>2900</v>
      </c>
      <c r="AL258" s="502"/>
      <c r="AM258" s="1218"/>
      <c r="AN258" s="502"/>
      <c r="AO258" s="502"/>
      <c r="AP258" s="502">
        <f>I258</f>
        <v>2900</v>
      </c>
      <c r="AQ258" s="1296"/>
      <c r="AR258" s="438"/>
      <c r="AS258" s="1297"/>
      <c r="AT258" s="1297"/>
      <c r="AU258" s="502">
        <f>I258</f>
        <v>2900</v>
      </c>
      <c r="AV258" s="1298">
        <f>I258*0.06</f>
        <v>174</v>
      </c>
      <c r="AW258" s="1298"/>
      <c r="AX258" s="502"/>
      <c r="AY258" s="502"/>
      <c r="AZ258" s="502"/>
      <c r="BA258" s="502"/>
      <c r="BB258" s="502"/>
      <c r="BC258" s="502"/>
      <c r="BD258" s="502"/>
      <c r="BE258" s="502"/>
      <c r="BF258" s="502"/>
      <c r="BG258" s="502"/>
      <c r="BH258" s="502"/>
      <c r="BI258" s="502"/>
      <c r="BJ258" s="502"/>
      <c r="BK258" s="502"/>
      <c r="BL258" s="502"/>
      <c r="BM258" s="502"/>
      <c r="BN258" s="502"/>
      <c r="BO258" s="1296">
        <f>I258/25</f>
        <v>116</v>
      </c>
      <c r="BP258" s="1296"/>
      <c r="BQ258" s="1218"/>
      <c r="BR258" s="1297"/>
      <c r="BS258" s="1297"/>
      <c r="BT258" s="502"/>
      <c r="BU258" s="502"/>
      <c r="BV258" s="1296"/>
      <c r="BW258" s="1218"/>
      <c r="BX258" s="1218"/>
      <c r="BY258" s="1218"/>
      <c r="BZ258" s="1218"/>
      <c r="CA258" s="1218"/>
      <c r="CB258" s="1218"/>
      <c r="CC258" s="1218"/>
      <c r="CD258" s="1218">
        <f t="shared" si="83"/>
        <v>116</v>
      </c>
      <c r="CE258" s="1218">
        <f t="shared" si="84"/>
        <v>0</v>
      </c>
      <c r="CF258" s="502">
        <f t="shared" si="85"/>
        <v>0</v>
      </c>
      <c r="CG258" s="1218">
        <f t="shared" si="86"/>
        <v>0</v>
      </c>
      <c r="CH258" s="1299"/>
      <c r="CI258" s="1299"/>
      <c r="CJ258" s="1297"/>
      <c r="CK258" s="502"/>
      <c r="CL258" s="502"/>
    </row>
    <row r="259" s="1168" customFormat="1" customHeight="1" spans="1:111">
      <c r="A259" s="1245">
        <v>46122</v>
      </c>
      <c r="B259" s="1247" t="s">
        <v>935</v>
      </c>
      <c r="C259" s="1234" t="s">
        <v>115</v>
      </c>
      <c r="D259" s="1268">
        <v>4500201203</v>
      </c>
      <c r="E259" s="1233">
        <v>1740512237</v>
      </c>
      <c r="F259" s="1188" t="s">
        <v>1170</v>
      </c>
      <c r="G259" s="1253" t="s">
        <v>482</v>
      </c>
      <c r="H259" s="1234" t="s">
        <v>483</v>
      </c>
      <c r="I259" s="1254">
        <v>4320</v>
      </c>
      <c r="J259" s="1234">
        <v>0</v>
      </c>
      <c r="K259" s="1234">
        <v>120</v>
      </c>
      <c r="L259" s="1246">
        <f t="shared" si="79"/>
        <v>36</v>
      </c>
      <c r="M259" s="1255">
        <v>46192</v>
      </c>
      <c r="N259" s="1255">
        <v>46206</v>
      </c>
      <c r="O259" s="1255"/>
      <c r="P259" s="1233"/>
      <c r="Q259" s="1255" t="s">
        <v>106</v>
      </c>
      <c r="R259" s="1234"/>
      <c r="S259" s="1234" t="s">
        <v>718</v>
      </c>
      <c r="T259" s="1233">
        <v>4320</v>
      </c>
      <c r="U259" s="1233">
        <f t="shared" si="74"/>
        <v>0</v>
      </c>
      <c r="V259" s="1234"/>
      <c r="W259" s="1238">
        <v>46155</v>
      </c>
      <c r="X259" s="1227" t="s">
        <v>107</v>
      </c>
      <c r="Y259" s="1227" t="s">
        <v>95</v>
      </c>
      <c r="Z259" s="1247"/>
      <c r="AA259" s="1247"/>
      <c r="AB259" s="1247"/>
      <c r="AC259" s="1247" t="s">
        <v>937</v>
      </c>
      <c r="AD259" s="1248" t="s">
        <v>488</v>
      </c>
      <c r="AE259" s="1247">
        <v>642</v>
      </c>
      <c r="AF259" s="1248">
        <f>L259*AE259</f>
        <v>23112</v>
      </c>
      <c r="AG259" s="1249" t="s">
        <v>1171</v>
      </c>
      <c r="AH259" s="1234" t="s">
        <v>490</v>
      </c>
      <c r="AI259" s="1234" t="s">
        <v>112</v>
      </c>
      <c r="AJ259" s="1234" t="s">
        <v>113</v>
      </c>
      <c r="AK259" s="1188"/>
      <c r="AL259" s="1188">
        <f>I259*3</f>
        <v>12960</v>
      </c>
      <c r="AM259" s="1188"/>
      <c r="AN259" s="1188"/>
      <c r="AO259" s="1188"/>
      <c r="AP259" s="1188"/>
      <c r="AQ259" s="1240"/>
      <c r="AR259" s="1188"/>
      <c r="AS259" s="1236"/>
      <c r="AT259" s="1236"/>
      <c r="AU259" s="1188"/>
      <c r="AV259" s="1250">
        <f>I259*0.06*2</f>
        <v>518.4</v>
      </c>
      <c r="AW259" s="1250"/>
      <c r="AX259" s="1188"/>
      <c r="AY259" s="1188"/>
      <c r="AZ259" s="1188"/>
      <c r="BA259" s="1188"/>
      <c r="BB259" s="1188">
        <f>I259*3</f>
        <v>12960</v>
      </c>
      <c r="BC259" s="1188">
        <f>I259*3</f>
        <v>12960</v>
      </c>
      <c r="BD259" s="1188">
        <f>I259*3</f>
        <v>12960</v>
      </c>
      <c r="BE259" s="1188">
        <f>I259</f>
        <v>4320</v>
      </c>
      <c r="BF259" s="1188">
        <f>I259/6</f>
        <v>720</v>
      </c>
      <c r="BG259" s="1188"/>
      <c r="BH259" s="1188"/>
      <c r="BI259" s="1188"/>
      <c r="BJ259" s="1188"/>
      <c r="BK259" s="1188"/>
      <c r="BL259" s="1188"/>
      <c r="BM259" s="1188"/>
      <c r="BN259" s="1188"/>
      <c r="BO259" s="1240"/>
      <c r="BP259" s="1240"/>
      <c r="BQ259" s="1188"/>
      <c r="BR259" s="1236"/>
      <c r="BS259" s="1236"/>
      <c r="BT259" s="1188"/>
      <c r="BU259" s="1188"/>
      <c r="BV259" s="1240"/>
      <c r="BW259" s="1188"/>
      <c r="BX259" s="1188"/>
      <c r="BY259" s="1188"/>
      <c r="BZ259" s="1188"/>
      <c r="CA259" s="1188"/>
      <c r="CB259" s="1188"/>
      <c r="CC259" s="1188"/>
      <c r="CD259" s="1188">
        <f t="shared" si="83"/>
        <v>0</v>
      </c>
      <c r="CE259" s="1188">
        <f t="shared" si="84"/>
        <v>0</v>
      </c>
      <c r="CF259" s="1188">
        <f t="shared" si="85"/>
        <v>0</v>
      </c>
      <c r="CG259" s="1188">
        <f t="shared" si="86"/>
        <v>0</v>
      </c>
      <c r="CH259" s="1236"/>
      <c r="CI259" s="1236"/>
      <c r="CJ259" s="1236"/>
      <c r="CK259" s="1188"/>
      <c r="CL259" s="1188"/>
    </row>
    <row r="260" s="1168" customFormat="1" customHeight="1" spans="1:111">
      <c r="A260" s="1245">
        <v>46122</v>
      </c>
      <c r="B260" s="1247" t="s">
        <v>935</v>
      </c>
      <c r="C260" s="1234" t="s">
        <v>115</v>
      </c>
      <c r="D260" s="1268">
        <v>4500201206</v>
      </c>
      <c r="E260" s="1233">
        <v>1750512409</v>
      </c>
      <c r="F260" s="1188" t="s">
        <v>1172</v>
      </c>
      <c r="G260" s="1253" t="s">
        <v>482</v>
      </c>
      <c r="H260" s="1234" t="s">
        <v>483</v>
      </c>
      <c r="I260" s="1254">
        <v>4320</v>
      </c>
      <c r="J260" s="1234">
        <v>0</v>
      </c>
      <c r="K260" s="1234">
        <v>120</v>
      </c>
      <c r="L260" s="1246">
        <f t="shared" si="79"/>
        <v>36</v>
      </c>
      <c r="M260" s="1255">
        <v>46192</v>
      </c>
      <c r="N260" s="1255">
        <v>46207</v>
      </c>
      <c r="O260" s="1255"/>
      <c r="P260" s="1233"/>
      <c r="Q260" s="1255" t="s">
        <v>106</v>
      </c>
      <c r="R260" s="1234" t="s">
        <v>1012</v>
      </c>
      <c r="S260" s="1234" t="s">
        <v>718</v>
      </c>
      <c r="T260" s="1233">
        <v>4320</v>
      </c>
      <c r="U260" s="1233">
        <f t="shared" si="74"/>
        <v>0</v>
      </c>
      <c r="V260" s="1234"/>
      <c r="W260" s="1238">
        <v>46155</v>
      </c>
      <c r="X260" s="1227" t="s">
        <v>107</v>
      </c>
      <c r="Y260" s="1227" t="s">
        <v>95</v>
      </c>
      <c r="Z260" s="1247"/>
      <c r="AA260" s="1247"/>
      <c r="AB260" s="1247"/>
      <c r="AC260" s="1247" t="s">
        <v>937</v>
      </c>
      <c r="AD260" s="1248" t="s">
        <v>488</v>
      </c>
      <c r="AE260" s="1247">
        <v>642</v>
      </c>
      <c r="AF260" s="1248">
        <f>L260*AE260</f>
        <v>23112</v>
      </c>
      <c r="AG260" s="1249" t="s">
        <v>1173</v>
      </c>
      <c r="AH260" s="1234" t="s">
        <v>490</v>
      </c>
      <c r="AI260" s="1234" t="s">
        <v>112</v>
      </c>
      <c r="AJ260" s="1234" t="s">
        <v>113</v>
      </c>
      <c r="AK260" s="1188"/>
      <c r="AL260" s="1188">
        <f>I260*3</f>
        <v>12960</v>
      </c>
      <c r="AM260" s="1188"/>
      <c r="AN260" s="1188"/>
      <c r="AO260" s="1188"/>
      <c r="AP260" s="1188"/>
      <c r="AQ260" s="1240"/>
      <c r="AR260" s="1188"/>
      <c r="AS260" s="1236"/>
      <c r="AT260" s="1236"/>
      <c r="AU260" s="1188"/>
      <c r="AV260" s="1250">
        <f>I260*0.06*2</f>
        <v>518.4</v>
      </c>
      <c r="AW260" s="1250"/>
      <c r="AX260" s="1188"/>
      <c r="AY260" s="1188"/>
      <c r="AZ260" s="1188"/>
      <c r="BA260" s="1188"/>
      <c r="BB260" s="1188">
        <f>I260*3</f>
        <v>12960</v>
      </c>
      <c r="BC260" s="1188">
        <f>I260*3</f>
        <v>12960</v>
      </c>
      <c r="BD260" s="1188">
        <f>I260*3</f>
        <v>12960</v>
      </c>
      <c r="BE260" s="1188">
        <f>I260</f>
        <v>4320</v>
      </c>
      <c r="BF260" s="1188">
        <f>I260/6</f>
        <v>720</v>
      </c>
      <c r="BG260" s="1188"/>
      <c r="BH260" s="1188"/>
      <c r="BI260" s="1188"/>
      <c r="BJ260" s="1188"/>
      <c r="BK260" s="1188"/>
      <c r="BL260" s="1188"/>
      <c r="BM260" s="1188"/>
      <c r="BN260" s="1188"/>
      <c r="BO260" s="1240"/>
      <c r="BP260" s="1240"/>
      <c r="BQ260" s="1188"/>
      <c r="BR260" s="1236"/>
      <c r="BS260" s="1236"/>
      <c r="BT260" s="1188"/>
      <c r="BU260" s="1188"/>
      <c r="BV260" s="1240"/>
      <c r="BW260" s="1188"/>
      <c r="BX260" s="1188"/>
      <c r="BY260" s="1188"/>
      <c r="BZ260" s="1188"/>
      <c r="CA260" s="1188"/>
      <c r="CB260" s="1188"/>
      <c r="CC260" s="1188"/>
      <c r="CD260" s="1188">
        <f t="shared" si="83"/>
        <v>0</v>
      </c>
      <c r="CE260" s="1188">
        <f t="shared" si="84"/>
        <v>0</v>
      </c>
      <c r="CF260" s="1188">
        <f t="shared" si="85"/>
        <v>0</v>
      </c>
      <c r="CG260" s="1188">
        <f t="shared" si="86"/>
        <v>0</v>
      </c>
      <c r="CH260" s="1236"/>
      <c r="CI260" s="1236"/>
      <c r="CJ260" s="1236"/>
      <c r="CK260" s="1188"/>
      <c r="CL260" s="1188"/>
    </row>
    <row r="261" s="1168" customFormat="1" customHeight="1" spans="1:111">
      <c r="A261" s="1245">
        <v>46122</v>
      </c>
      <c r="B261" s="1247" t="s">
        <v>935</v>
      </c>
      <c r="C261" s="1234" t="s">
        <v>115</v>
      </c>
      <c r="D261" s="1268">
        <v>4500201205</v>
      </c>
      <c r="E261" s="1233">
        <v>10520512304</v>
      </c>
      <c r="F261" s="1188" t="s">
        <v>1174</v>
      </c>
      <c r="G261" s="1253" t="s">
        <v>482</v>
      </c>
      <c r="H261" s="1234" t="s">
        <v>483</v>
      </c>
      <c r="I261" s="1254">
        <v>4320</v>
      </c>
      <c r="J261" s="1234">
        <v>0</v>
      </c>
      <c r="K261" s="1234">
        <v>120</v>
      </c>
      <c r="L261" s="1246">
        <f t="shared" si="79"/>
        <v>36</v>
      </c>
      <c r="M261" s="1255">
        <v>46192</v>
      </c>
      <c r="N261" s="1255">
        <v>46214</v>
      </c>
      <c r="O261" s="1255" t="s">
        <v>736</v>
      </c>
      <c r="P261" s="1233"/>
      <c r="Q261" s="1255" t="s">
        <v>106</v>
      </c>
      <c r="R261" s="1234" t="s">
        <v>1122</v>
      </c>
      <c r="S261" s="1234" t="s">
        <v>943</v>
      </c>
      <c r="T261" s="1233">
        <v>4320</v>
      </c>
      <c r="U261" s="1233">
        <f t="shared" si="74"/>
        <v>0</v>
      </c>
      <c r="V261" s="1234"/>
      <c r="W261" s="1238">
        <v>46155</v>
      </c>
      <c r="X261" s="1227" t="s">
        <v>107</v>
      </c>
      <c r="Y261" s="1227" t="s">
        <v>95</v>
      </c>
      <c r="Z261" s="1247"/>
      <c r="AA261" s="1247"/>
      <c r="AB261" s="1247"/>
      <c r="AC261" s="1247" t="s">
        <v>937</v>
      </c>
      <c r="AD261" s="1248" t="s">
        <v>488</v>
      </c>
      <c r="AE261" s="1247">
        <v>642</v>
      </c>
      <c r="AF261" s="1248">
        <f>L261*AE261</f>
        <v>23112</v>
      </c>
      <c r="AG261" s="1249" t="s">
        <v>1175</v>
      </c>
      <c r="AH261" s="1234" t="s">
        <v>490</v>
      </c>
      <c r="AI261" s="1234" t="s">
        <v>112</v>
      </c>
      <c r="AJ261" s="1234" t="s">
        <v>113</v>
      </c>
      <c r="AK261" s="1188"/>
      <c r="AL261" s="1188">
        <f>I261*3</f>
        <v>12960</v>
      </c>
      <c r="AM261" s="1188"/>
      <c r="AN261" s="1188"/>
      <c r="AO261" s="1188"/>
      <c r="AP261" s="1188"/>
      <c r="AQ261" s="1240"/>
      <c r="AR261" s="1188"/>
      <c r="AS261" s="1236"/>
      <c r="AT261" s="1236"/>
      <c r="AU261" s="1188"/>
      <c r="AV261" s="1250">
        <f>I261*0.06*2</f>
        <v>518.4</v>
      </c>
      <c r="AW261" s="1250"/>
      <c r="AX261" s="1188"/>
      <c r="AY261" s="1188"/>
      <c r="AZ261" s="1188"/>
      <c r="BA261" s="1188"/>
      <c r="BB261" s="1188">
        <f>I261*3</f>
        <v>12960</v>
      </c>
      <c r="BC261" s="1188">
        <f>I261*3</f>
        <v>12960</v>
      </c>
      <c r="BD261" s="1188">
        <f>I261*3</f>
        <v>12960</v>
      </c>
      <c r="BE261" s="1188">
        <f>I261</f>
        <v>4320</v>
      </c>
      <c r="BF261" s="1188">
        <f>I261/6</f>
        <v>720</v>
      </c>
      <c r="BG261" s="1188"/>
      <c r="BH261" s="1188"/>
      <c r="BI261" s="1188"/>
      <c r="BJ261" s="1188"/>
      <c r="BK261" s="1188"/>
      <c r="BL261" s="1188"/>
      <c r="BM261" s="1188"/>
      <c r="BN261" s="1188"/>
      <c r="BO261" s="1240"/>
      <c r="BP261" s="1240"/>
      <c r="BQ261" s="1188"/>
      <c r="BR261" s="1236"/>
      <c r="BS261" s="1236"/>
      <c r="BT261" s="1188"/>
      <c r="BU261" s="1188"/>
      <c r="BV261" s="1240"/>
      <c r="BW261" s="1188"/>
      <c r="BX261" s="1188"/>
      <c r="BY261" s="1188"/>
      <c r="BZ261" s="1188"/>
      <c r="CA261" s="1188"/>
      <c r="CB261" s="1188"/>
      <c r="CC261" s="1188"/>
      <c r="CD261" s="1188">
        <f t="shared" si="83"/>
        <v>0</v>
      </c>
      <c r="CE261" s="1188">
        <f t="shared" si="84"/>
        <v>0</v>
      </c>
      <c r="CF261" s="1188">
        <f t="shared" si="85"/>
        <v>0</v>
      </c>
      <c r="CG261" s="1188">
        <f t="shared" si="86"/>
        <v>0</v>
      </c>
      <c r="CH261" s="1236"/>
      <c r="CI261" s="1236"/>
      <c r="CJ261" s="1236"/>
      <c r="CK261" s="1188"/>
      <c r="CL261" s="1188"/>
    </row>
    <row r="262" s="1168" customFormat="1" customHeight="1" spans="1:111">
      <c r="A262" s="1245">
        <v>46120</v>
      </c>
      <c r="B262" s="1247" t="s">
        <v>1176</v>
      </c>
      <c r="C262" s="1234" t="s">
        <v>115</v>
      </c>
      <c r="D262" s="1188">
        <v>4500200550</v>
      </c>
      <c r="E262" s="1234" t="s">
        <v>1177</v>
      </c>
      <c r="F262" s="1188" t="s">
        <v>1178</v>
      </c>
      <c r="G262" s="1253" t="s">
        <v>174</v>
      </c>
      <c r="H262" s="1234" t="s">
        <v>175</v>
      </c>
      <c r="I262" s="1254">
        <v>38012</v>
      </c>
      <c r="J262" s="1234">
        <v>0</v>
      </c>
      <c r="K262" s="1234">
        <v>52</v>
      </c>
      <c r="L262" s="1246">
        <f t="shared" si="79"/>
        <v>731</v>
      </c>
      <c r="M262" s="1255">
        <v>46192</v>
      </c>
      <c r="N262" s="1255">
        <v>46216</v>
      </c>
      <c r="O262" s="1255" t="s">
        <v>736</v>
      </c>
      <c r="P262" s="1233"/>
      <c r="Q262" s="1255" t="s">
        <v>106</v>
      </c>
      <c r="R262" s="1234"/>
      <c r="S262" s="1234"/>
      <c r="T262" s="1233">
        <f>22568+15288+156</f>
        <v>38012</v>
      </c>
      <c r="U262" s="1233">
        <f t="shared" si="74"/>
        <v>0</v>
      </c>
      <c r="V262" s="1234"/>
      <c r="W262" s="1238" t="s">
        <v>1179</v>
      </c>
      <c r="X262" s="1227" t="s">
        <v>107</v>
      </c>
      <c r="Y262" s="1227" t="s">
        <v>1180</v>
      </c>
      <c r="Z262" s="1247"/>
      <c r="AA262" s="1247"/>
      <c r="AB262" s="1247"/>
      <c r="AC262" s="1247" t="s">
        <v>1181</v>
      </c>
      <c r="AD262" s="1248" t="s">
        <v>473</v>
      </c>
      <c r="AE262" s="1247">
        <v>0.6163</v>
      </c>
      <c r="AF262" s="1248">
        <f>AE262*I262</f>
        <v>23426.7956</v>
      </c>
      <c r="AG262" s="1249" t="s">
        <v>1182</v>
      </c>
      <c r="AH262" s="1234" t="s">
        <v>174</v>
      </c>
      <c r="AI262" s="1234" t="s">
        <v>112</v>
      </c>
      <c r="AJ262" s="1234" t="s">
        <v>113</v>
      </c>
      <c r="AK262" s="1188">
        <f>I262</f>
        <v>38012</v>
      </c>
      <c r="AL262" s="1188"/>
      <c r="AM262" s="1188"/>
      <c r="AN262" s="1188">
        <f>I262</f>
        <v>38012</v>
      </c>
      <c r="AO262" s="1188"/>
      <c r="AP262" s="1188"/>
      <c r="AQ262" s="1240"/>
      <c r="AR262" s="1188"/>
      <c r="AS262" s="1236"/>
      <c r="AT262" s="1236"/>
      <c r="AU262" s="1188">
        <f>I262</f>
        <v>38012</v>
      </c>
      <c r="AV262" s="1250">
        <f>I262*0.06</f>
        <v>2280.72</v>
      </c>
      <c r="AW262" s="1250"/>
      <c r="AX262" s="1188"/>
      <c r="AY262" s="1188"/>
      <c r="AZ262" s="1188"/>
      <c r="BA262" s="1188"/>
      <c r="BB262" s="1188"/>
      <c r="BC262" s="1188"/>
      <c r="BD262" s="1188"/>
      <c r="BE262" s="1188"/>
      <c r="BF262" s="1188"/>
      <c r="BG262" s="1188"/>
      <c r="BH262" s="1188"/>
      <c r="BI262" s="1188"/>
      <c r="BJ262" s="1188"/>
      <c r="BK262" s="1188">
        <f>I262/13</f>
        <v>2924</v>
      </c>
      <c r="BL262" s="1188"/>
      <c r="BM262" s="1188"/>
      <c r="BN262" s="1188"/>
      <c r="BO262" s="1240"/>
      <c r="BP262" s="1240"/>
      <c r="BQ262" s="1188"/>
      <c r="BR262" s="1236"/>
      <c r="BS262" s="1236"/>
      <c r="BT262" s="1188"/>
      <c r="BU262" s="1188"/>
      <c r="BV262" s="1240"/>
      <c r="BW262" s="1188"/>
      <c r="BX262" s="1188"/>
      <c r="BY262" s="1188"/>
      <c r="BZ262" s="1188"/>
      <c r="CA262" s="1188"/>
      <c r="CB262" s="1188"/>
      <c r="CC262" s="1188"/>
      <c r="CD262" s="1188">
        <f t="shared" si="83"/>
        <v>0</v>
      </c>
      <c r="CE262" s="1188">
        <f t="shared" si="84"/>
        <v>0</v>
      </c>
      <c r="CF262" s="1188">
        <f t="shared" si="85"/>
        <v>0</v>
      </c>
      <c r="CG262" s="1188">
        <f t="shared" si="86"/>
        <v>0</v>
      </c>
      <c r="CH262" s="1236"/>
      <c r="CI262" s="1236"/>
      <c r="CJ262" s="1236"/>
      <c r="CK262" s="1188"/>
      <c r="CL262" s="1188"/>
    </row>
    <row r="263" s="1168" customFormat="1" customHeight="1" spans="1:111">
      <c r="A263" s="1245">
        <v>46190</v>
      </c>
      <c r="B263" s="1247" t="s">
        <v>147</v>
      </c>
      <c r="C263" s="1234" t="s">
        <v>148</v>
      </c>
      <c r="D263" s="1268">
        <v>4500212715</v>
      </c>
      <c r="E263" s="1233">
        <v>4400579143</v>
      </c>
      <c r="F263" s="1188" t="s">
        <v>1183</v>
      </c>
      <c r="G263" s="1253" t="s">
        <v>270</v>
      </c>
      <c r="H263" s="1234" t="s">
        <v>104</v>
      </c>
      <c r="I263" s="1254">
        <v>6000</v>
      </c>
      <c r="J263" s="1234">
        <v>0</v>
      </c>
      <c r="K263" s="1234">
        <v>25</v>
      </c>
      <c r="L263" s="1246">
        <f t="shared" si="79"/>
        <v>240</v>
      </c>
      <c r="M263" s="1255">
        <v>46195</v>
      </c>
      <c r="N263" s="1255">
        <v>46191</v>
      </c>
      <c r="O263" s="1255"/>
      <c r="P263" s="1233" t="s">
        <v>1184</v>
      </c>
      <c r="Q263" s="1326" t="s">
        <v>106</v>
      </c>
      <c r="R263" s="1234"/>
      <c r="S263" s="1234" t="s">
        <v>1128</v>
      </c>
      <c r="T263" s="1233">
        <v>6000</v>
      </c>
      <c r="U263" s="1233">
        <f t="shared" si="74"/>
        <v>0</v>
      </c>
      <c r="V263" s="1234"/>
      <c r="W263" s="1238" t="s">
        <v>1185</v>
      </c>
      <c r="X263" s="1227" t="s">
        <v>95</v>
      </c>
      <c r="Y263" s="1227" t="s">
        <v>95</v>
      </c>
      <c r="Z263" s="1247" t="s">
        <v>140</v>
      </c>
      <c r="AA263" s="1247"/>
      <c r="AB263" s="1247"/>
      <c r="AC263" s="1247" t="s">
        <v>1186</v>
      </c>
      <c r="AD263" s="1255" t="s">
        <v>1142</v>
      </c>
      <c r="AE263" s="1188">
        <v>1.1413</v>
      </c>
      <c r="AF263" s="1248">
        <f>I263*AE263</f>
        <v>6847.8</v>
      </c>
      <c r="AG263" s="1258"/>
      <c r="AH263" s="1253" t="s">
        <v>137</v>
      </c>
      <c r="AI263" s="1234" t="s">
        <v>112</v>
      </c>
      <c r="AJ263" s="1234" t="s">
        <v>113</v>
      </c>
      <c r="AK263" s="1188">
        <f>I263</f>
        <v>6000</v>
      </c>
      <c r="AL263" s="1188"/>
      <c r="AM263" s="1188"/>
      <c r="AN263" s="1188"/>
      <c r="AO263" s="1188"/>
      <c r="AP263" s="1188"/>
      <c r="AQ263" s="1240"/>
      <c r="AR263" s="1188"/>
      <c r="AS263" s="1236"/>
      <c r="AT263" s="1236"/>
      <c r="AU263" s="1188"/>
      <c r="AV263" s="1250"/>
      <c r="AW263" s="1250"/>
      <c r="AX263" s="1188"/>
      <c r="AY263" s="1188"/>
      <c r="AZ263" s="1188"/>
      <c r="BA263" s="1188"/>
      <c r="BB263" s="1188"/>
      <c r="BC263" s="1188"/>
      <c r="BD263" s="1188"/>
      <c r="BE263" s="1188"/>
      <c r="BF263" s="1188"/>
      <c r="BG263" s="1188">
        <f>I263</f>
        <v>6000</v>
      </c>
      <c r="BH263" s="1188">
        <f>I263</f>
        <v>6000</v>
      </c>
      <c r="BI263" s="1188"/>
      <c r="BJ263" s="1188"/>
      <c r="BK263" s="1188"/>
      <c r="BL263" s="1188"/>
      <c r="BM263" s="1188"/>
      <c r="BN263" s="1188"/>
      <c r="BO263" s="1240">
        <f>I263/3</f>
        <v>2000</v>
      </c>
      <c r="BP263" s="1240"/>
      <c r="BQ263" s="1188"/>
      <c r="BR263" s="1236"/>
      <c r="BS263" s="1236"/>
      <c r="BT263" s="1188"/>
      <c r="BU263" s="1188"/>
      <c r="BV263" s="1240"/>
      <c r="BW263" s="1188"/>
      <c r="BX263" s="1188"/>
      <c r="BY263" s="1188"/>
      <c r="BZ263" s="1188"/>
      <c r="CA263" s="1188"/>
      <c r="CB263" s="1188"/>
      <c r="CC263" s="1188"/>
      <c r="CD263" s="1188">
        <f t="shared" si="83"/>
        <v>2000</v>
      </c>
      <c r="CE263" s="1188">
        <f t="shared" si="84"/>
        <v>0</v>
      </c>
      <c r="CF263" s="1188">
        <f t="shared" si="85"/>
        <v>0</v>
      </c>
      <c r="CG263" s="1188">
        <f t="shared" si="86"/>
        <v>0</v>
      </c>
      <c r="CH263" s="1236"/>
      <c r="CI263" s="1236"/>
      <c r="CJ263" s="1236"/>
      <c r="CK263" s="1188"/>
      <c r="CL263" s="1188"/>
    </row>
    <row r="264" s="1168" customFormat="1" customHeight="1" spans="1:111">
      <c r="A264" s="1245">
        <v>46185</v>
      </c>
      <c r="B264" s="1247"/>
      <c r="C264" s="1234" t="s">
        <v>597</v>
      </c>
      <c r="D264" s="1188" t="s">
        <v>1187</v>
      </c>
      <c r="E264" s="1234"/>
      <c r="F264" s="1188" t="s">
        <v>1188</v>
      </c>
      <c r="G264" s="1253" t="s">
        <v>91</v>
      </c>
      <c r="H264" s="1272" t="s">
        <v>1189</v>
      </c>
      <c r="I264" s="1254"/>
      <c r="J264" s="1234">
        <v>0</v>
      </c>
      <c r="K264" s="1234"/>
      <c r="L264" s="1246"/>
      <c r="M264" s="1255">
        <v>46195</v>
      </c>
      <c r="N264" s="1255">
        <v>46191</v>
      </c>
      <c r="O264" s="1255"/>
      <c r="P264" s="1233"/>
      <c r="Q264" s="1326"/>
      <c r="R264" s="1234"/>
      <c r="S264" s="1234"/>
      <c r="T264" s="1233"/>
      <c r="U264" s="1233">
        <f t="shared" si="74"/>
        <v>0</v>
      </c>
      <c r="V264" s="1234"/>
      <c r="W264" s="1238" t="s">
        <v>94</v>
      </c>
      <c r="X264" s="1227" t="s">
        <v>95</v>
      </c>
      <c r="Y264" s="1227" t="s">
        <v>95</v>
      </c>
      <c r="Z264" s="1247"/>
      <c r="AA264" s="1247"/>
      <c r="AB264" s="1247"/>
      <c r="AC264" s="1247" t="s">
        <v>1190</v>
      </c>
      <c r="AD264" s="1255" t="s">
        <v>1191</v>
      </c>
      <c r="AE264" s="1188"/>
      <c r="AF264" s="1248"/>
      <c r="AG264" s="1258"/>
      <c r="AH264" s="1253" t="s">
        <v>99</v>
      </c>
      <c r="AI264" s="1234" t="s">
        <v>99</v>
      </c>
      <c r="AJ264" s="1234"/>
      <c r="AK264" s="1188"/>
      <c r="AL264" s="1188"/>
      <c r="AM264" s="1188"/>
      <c r="AN264" s="1188"/>
      <c r="AO264" s="1188"/>
      <c r="AP264" s="1188"/>
      <c r="AQ264" s="1240"/>
      <c r="AR264" s="1188"/>
      <c r="AS264" s="1236"/>
      <c r="AT264" s="1236"/>
      <c r="AU264" s="1188"/>
      <c r="AV264" s="1250"/>
      <c r="AW264" s="1250"/>
      <c r="AX264" s="1188"/>
      <c r="AY264" s="1188"/>
      <c r="AZ264" s="1188"/>
      <c r="BA264" s="1188"/>
      <c r="BB264" s="1188"/>
      <c r="BC264" s="1188"/>
      <c r="BD264" s="1188"/>
      <c r="BE264" s="1188"/>
      <c r="BF264" s="1188"/>
      <c r="BG264" s="1188"/>
      <c r="BH264" s="1188"/>
      <c r="BI264" s="1188"/>
      <c r="BJ264" s="1188"/>
      <c r="BK264" s="1188"/>
      <c r="BL264" s="1188"/>
      <c r="BM264" s="1188"/>
      <c r="BN264" s="1188"/>
      <c r="BO264" s="1240"/>
      <c r="BP264" s="1240"/>
      <c r="BQ264" s="1188"/>
      <c r="BR264" s="1236"/>
      <c r="BS264" s="1236"/>
      <c r="BT264" s="1188"/>
      <c r="BU264" s="1188"/>
      <c r="BV264" s="1240"/>
      <c r="BW264" s="1188"/>
      <c r="BX264" s="1188"/>
      <c r="BY264" s="1188"/>
      <c r="BZ264" s="1188"/>
      <c r="CA264" s="1188"/>
      <c r="CB264" s="1188"/>
      <c r="CC264" s="1188"/>
      <c r="CD264" s="1188">
        <f t="shared" si="83"/>
        <v>0</v>
      </c>
      <c r="CE264" s="1188">
        <f t="shared" si="84"/>
        <v>0</v>
      </c>
      <c r="CF264" s="1188">
        <f t="shared" si="85"/>
        <v>0</v>
      </c>
      <c r="CG264" s="1188">
        <f t="shared" si="86"/>
        <v>0</v>
      </c>
      <c r="CH264" s="1236"/>
      <c r="CI264" s="1236"/>
      <c r="CJ264" s="1236"/>
      <c r="CK264" s="1188"/>
      <c r="CL264" s="1188"/>
    </row>
    <row r="265" s="1168" customFormat="1" customHeight="1" spans="1:111">
      <c r="A265" s="1245">
        <v>46134</v>
      </c>
      <c r="B265" s="1247" t="s">
        <v>1192</v>
      </c>
      <c r="C265" s="1234" t="s">
        <v>148</v>
      </c>
      <c r="D265" s="1268">
        <v>4500201727</v>
      </c>
      <c r="E265" s="1233">
        <v>1346748</v>
      </c>
      <c r="F265" s="1188" t="s">
        <v>1193</v>
      </c>
      <c r="G265" s="1253" t="s">
        <v>188</v>
      </c>
      <c r="H265" s="1234" t="s">
        <v>138</v>
      </c>
      <c r="I265" s="1254">
        <v>500</v>
      </c>
      <c r="J265" s="1234">
        <v>0</v>
      </c>
      <c r="K265" s="1234">
        <v>50</v>
      </c>
      <c r="L265" s="1246">
        <f t="shared" ref="L265:L323" si="87">I265/K265</f>
        <v>10</v>
      </c>
      <c r="M265" s="1255">
        <v>46195</v>
      </c>
      <c r="N265" s="1255">
        <v>46213</v>
      </c>
      <c r="O265" s="1255" t="s">
        <v>736</v>
      </c>
      <c r="P265" s="1233" t="s">
        <v>1194</v>
      </c>
      <c r="Q265" s="1255" t="s">
        <v>106</v>
      </c>
      <c r="R265" s="1234" t="s">
        <v>1195</v>
      </c>
      <c r="S265" s="1234"/>
      <c r="T265" s="1233">
        <v>500</v>
      </c>
      <c r="U265" s="1233">
        <f t="shared" si="74"/>
        <v>0</v>
      </c>
      <c r="V265" s="1234" t="s">
        <v>120</v>
      </c>
      <c r="W265" s="1238">
        <v>46153</v>
      </c>
      <c r="X265" s="1227" t="s">
        <v>95</v>
      </c>
      <c r="Y265" s="1227" t="s">
        <v>1196</v>
      </c>
      <c r="Z265" s="1247" t="s">
        <v>1197</v>
      </c>
      <c r="AA265" s="1247"/>
      <c r="AB265" s="1247"/>
      <c r="AC265" s="1247" t="s">
        <v>1198</v>
      </c>
      <c r="AD265" s="1248" t="s">
        <v>263</v>
      </c>
      <c r="AE265" s="1247">
        <v>1.0753</v>
      </c>
      <c r="AF265" s="1248">
        <f>AE265*I265</f>
        <v>537.65</v>
      </c>
      <c r="AG265" s="1258"/>
      <c r="AH265" s="1234" t="s">
        <v>314</v>
      </c>
      <c r="AI265" s="1234" t="s">
        <v>112</v>
      </c>
      <c r="AJ265" s="1234" t="s">
        <v>113</v>
      </c>
      <c r="AK265" s="1188">
        <f t="shared" ref="AK265:AK272" si="88">I265</f>
        <v>500</v>
      </c>
      <c r="AL265" s="1188"/>
      <c r="AM265" s="1188"/>
      <c r="AN265" s="1188"/>
      <c r="AO265" s="1188"/>
      <c r="AP265" s="1188">
        <f>I265</f>
        <v>500</v>
      </c>
      <c r="AQ265" s="1240"/>
      <c r="AR265" s="1188"/>
      <c r="AS265" s="1236"/>
      <c r="AT265" s="1236"/>
      <c r="AU265" s="1188">
        <f t="shared" ref="AU265:AU272" si="89">I265</f>
        <v>500</v>
      </c>
      <c r="AV265" s="1250">
        <f>I265*0.06*2</f>
        <v>60</v>
      </c>
      <c r="AW265" s="1250"/>
      <c r="AX265" s="1188"/>
      <c r="AY265" s="1188"/>
      <c r="AZ265" s="1188"/>
      <c r="BA265" s="1188"/>
      <c r="BB265" s="1188"/>
      <c r="BC265" s="1188"/>
      <c r="BD265" s="1188"/>
      <c r="BE265" s="1188"/>
      <c r="BF265" s="1188"/>
      <c r="BG265" s="1188"/>
      <c r="BH265" s="1188"/>
      <c r="BI265" s="1188"/>
      <c r="BJ265" s="1188"/>
      <c r="BK265" s="1188"/>
      <c r="BL265" s="1188"/>
      <c r="BM265" s="1188"/>
      <c r="BN265" s="1188"/>
      <c r="BO265" s="1240">
        <f>I265/25</f>
        <v>20</v>
      </c>
      <c r="BP265" s="1240"/>
      <c r="BQ265" s="1188"/>
      <c r="BR265" s="1236"/>
      <c r="BS265" s="1236"/>
      <c r="BT265" s="1188"/>
      <c r="BU265" s="1188"/>
      <c r="BV265" s="1240"/>
      <c r="BW265" s="1188"/>
      <c r="BX265" s="1188"/>
      <c r="BY265" s="1188"/>
      <c r="BZ265" s="1188"/>
      <c r="CA265" s="1188"/>
      <c r="CB265" s="1188"/>
      <c r="CC265" s="1188"/>
      <c r="CD265" s="1188">
        <f t="shared" si="83"/>
        <v>20</v>
      </c>
      <c r="CE265" s="1188">
        <f t="shared" si="84"/>
        <v>0</v>
      </c>
      <c r="CF265" s="1188">
        <f t="shared" si="85"/>
        <v>0</v>
      </c>
      <c r="CG265" s="1188">
        <f t="shared" si="86"/>
        <v>0</v>
      </c>
      <c r="CH265" s="1236"/>
      <c r="CI265" s="1236"/>
      <c r="CJ265" s="1236"/>
      <c r="CK265" s="1188"/>
      <c r="CL265" s="1188"/>
    </row>
    <row r="266" s="1168" customFormat="1" customHeight="1" spans="1:111">
      <c r="A266" s="1245">
        <v>46094</v>
      </c>
      <c r="B266" s="1247" t="s">
        <v>583</v>
      </c>
      <c r="C266" s="1234" t="s">
        <v>135</v>
      </c>
      <c r="D266" s="1188">
        <v>4500196675</v>
      </c>
      <c r="E266" s="1234" t="s">
        <v>1199</v>
      </c>
      <c r="F266" s="1188" t="s">
        <v>1200</v>
      </c>
      <c r="G266" s="1253" t="s">
        <v>1201</v>
      </c>
      <c r="H266" s="1234" t="s">
        <v>586</v>
      </c>
      <c r="I266" s="1254">
        <v>3120</v>
      </c>
      <c r="J266" s="1234">
        <v>0</v>
      </c>
      <c r="K266" s="1234">
        <v>1040</v>
      </c>
      <c r="L266" s="1246">
        <f t="shared" si="87"/>
        <v>3</v>
      </c>
      <c r="M266" s="1255">
        <v>46195</v>
      </c>
      <c r="N266" s="1255">
        <v>46216</v>
      </c>
      <c r="O266" s="1255" t="s">
        <v>736</v>
      </c>
      <c r="P266" s="1233"/>
      <c r="Q266" s="1255" t="s">
        <v>1202</v>
      </c>
      <c r="R266" s="1234" t="s">
        <v>1203</v>
      </c>
      <c r="S266" s="1234" t="s">
        <v>1204</v>
      </c>
      <c r="T266" s="1233">
        <v>3120</v>
      </c>
      <c r="U266" s="1233">
        <f t="shared" si="74"/>
        <v>0</v>
      </c>
      <c r="V266" s="1234"/>
      <c r="W266" s="1238" t="s">
        <v>1205</v>
      </c>
      <c r="X266" s="1227" t="s">
        <v>95</v>
      </c>
      <c r="Y266" s="1227" t="s">
        <v>587</v>
      </c>
      <c r="Z266" s="1247" t="s">
        <v>140</v>
      </c>
      <c r="AA266" s="1247"/>
      <c r="AB266" s="1247"/>
      <c r="AC266" s="1247" t="s">
        <v>1206</v>
      </c>
      <c r="AD266" s="1248" t="s">
        <v>1207</v>
      </c>
      <c r="AE266" s="1247">
        <v>90.4614</v>
      </c>
      <c r="AF266" s="1248">
        <f>L266*AE266</f>
        <v>271.3842</v>
      </c>
      <c r="AG266" s="1258"/>
      <c r="AH266" s="1234" t="s">
        <v>585</v>
      </c>
      <c r="AI266" s="1234" t="s">
        <v>112</v>
      </c>
      <c r="AJ266" s="1234" t="s">
        <v>113</v>
      </c>
      <c r="AK266" s="1188">
        <f t="shared" si="88"/>
        <v>3120</v>
      </c>
      <c r="AL266" s="1188"/>
      <c r="AM266" s="1188"/>
      <c r="AN266" s="1188">
        <f>I266</f>
        <v>3120</v>
      </c>
      <c r="AO266" s="1188"/>
      <c r="AP266" s="1188"/>
      <c r="AQ266" s="1240"/>
      <c r="AR266" s="1188"/>
      <c r="AS266" s="1236"/>
      <c r="AT266" s="1236"/>
      <c r="AU266" s="1188">
        <f t="shared" si="89"/>
        <v>3120</v>
      </c>
      <c r="AV266" s="1250">
        <f>I266*0.06</f>
        <v>187.2</v>
      </c>
      <c r="AW266" s="1250"/>
      <c r="AX266" s="1188"/>
      <c r="AY266" s="1188"/>
      <c r="AZ266" s="1188"/>
      <c r="BA266" s="1188"/>
      <c r="BB266" s="1188"/>
      <c r="BC266" s="1188"/>
      <c r="BD266" s="1188"/>
      <c r="BE266" s="1188"/>
      <c r="BF266" s="1188"/>
      <c r="BG266" s="1188"/>
      <c r="BH266" s="1188"/>
      <c r="BI266" s="1188"/>
      <c r="BJ266" s="1188"/>
      <c r="BK266" s="1188">
        <f>I266/13</f>
        <v>240</v>
      </c>
      <c r="BL266" s="1188"/>
      <c r="BM266" s="1188"/>
      <c r="BN266" s="1188"/>
      <c r="BO266" s="1240"/>
      <c r="BP266" s="1240"/>
      <c r="BQ266" s="1188"/>
      <c r="BR266" s="1236"/>
      <c r="BS266" s="1236"/>
      <c r="BT266" s="1188"/>
      <c r="BU266" s="1188"/>
      <c r="BV266" s="1240"/>
      <c r="BW266" s="1188"/>
      <c r="BX266" s="1188"/>
      <c r="BY266" s="1188"/>
      <c r="BZ266" s="1188"/>
      <c r="CA266" s="1188"/>
      <c r="CB266" s="1188"/>
      <c r="CC266" s="1188"/>
      <c r="CD266" s="1188">
        <f t="shared" si="83"/>
        <v>0</v>
      </c>
      <c r="CE266" s="1188">
        <f t="shared" si="84"/>
        <v>0</v>
      </c>
      <c r="CF266" s="1188">
        <f t="shared" si="85"/>
        <v>0</v>
      </c>
      <c r="CG266" s="1188">
        <f t="shared" si="86"/>
        <v>0</v>
      </c>
      <c r="CH266" s="1236"/>
      <c r="CI266" s="1236"/>
      <c r="CJ266" s="1236"/>
      <c r="CK266" s="1188"/>
      <c r="CL266" s="1188"/>
    </row>
    <row r="267" s="1168" customFormat="1" customHeight="1" spans="1:111">
      <c r="A267" s="1245">
        <v>46106</v>
      </c>
      <c r="B267" s="1247" t="s">
        <v>1208</v>
      </c>
      <c r="C267" s="1234" t="s">
        <v>810</v>
      </c>
      <c r="D267" s="1188">
        <v>4500196923</v>
      </c>
      <c r="E267" s="1234"/>
      <c r="F267" s="1188" t="s">
        <v>1209</v>
      </c>
      <c r="G267" s="1253" t="s">
        <v>174</v>
      </c>
      <c r="H267" s="1234" t="s">
        <v>175</v>
      </c>
      <c r="I267" s="1254">
        <v>520</v>
      </c>
      <c r="J267" s="1234">
        <v>0</v>
      </c>
      <c r="K267" s="1234">
        <v>52</v>
      </c>
      <c r="L267" s="1246">
        <f t="shared" si="87"/>
        <v>10</v>
      </c>
      <c r="M267" s="1255">
        <v>46195</v>
      </c>
      <c r="N267" s="1255">
        <v>46216</v>
      </c>
      <c r="O267" s="1255" t="s">
        <v>736</v>
      </c>
      <c r="P267" s="1233"/>
      <c r="Q267" s="1255" t="s">
        <v>106</v>
      </c>
      <c r="R267" s="1234"/>
      <c r="S267" s="1234"/>
      <c r="T267" s="1233">
        <v>520</v>
      </c>
      <c r="U267" s="1233">
        <f t="shared" si="74"/>
        <v>0</v>
      </c>
      <c r="V267" s="1234"/>
      <c r="W267" s="1238">
        <v>46156</v>
      </c>
      <c r="X267" s="1227" t="s">
        <v>95</v>
      </c>
      <c r="Y267" s="1227" t="s">
        <v>1210</v>
      </c>
      <c r="Z267" s="1247"/>
      <c r="AA267" s="1247"/>
      <c r="AB267" s="1247"/>
      <c r="AC267" s="1247" t="s">
        <v>1211</v>
      </c>
      <c r="AD267" s="1248" t="s">
        <v>722</v>
      </c>
      <c r="AE267" s="1247">
        <v>1.033</v>
      </c>
      <c r="AF267" s="1248">
        <f>AE267*I267</f>
        <v>537.16</v>
      </c>
      <c r="AG267" s="1258"/>
      <c r="AH267" s="1234" t="s">
        <v>1027</v>
      </c>
      <c r="AI267" s="1234" t="s">
        <v>112</v>
      </c>
      <c r="AJ267" s="1234" t="s">
        <v>113</v>
      </c>
      <c r="AK267" s="1188">
        <f t="shared" si="88"/>
        <v>520</v>
      </c>
      <c r="AL267" s="1188"/>
      <c r="AM267" s="1188"/>
      <c r="AN267" s="1188"/>
      <c r="AO267" s="1188"/>
      <c r="AP267" s="1188">
        <f>I267</f>
        <v>520</v>
      </c>
      <c r="AQ267" s="1240"/>
      <c r="AR267" s="1188"/>
      <c r="AS267" s="1236"/>
      <c r="AT267" s="1236"/>
      <c r="AU267" s="1188">
        <f t="shared" si="89"/>
        <v>520</v>
      </c>
      <c r="AV267" s="1250">
        <f>I267*0.06</f>
        <v>31.2</v>
      </c>
      <c r="AW267" s="1250"/>
      <c r="AX267" s="1188"/>
      <c r="AY267" s="1188"/>
      <c r="AZ267" s="1188"/>
      <c r="BA267" s="1188"/>
      <c r="BB267" s="1188"/>
      <c r="BC267" s="1188"/>
      <c r="BD267" s="1188"/>
      <c r="BE267" s="1188"/>
      <c r="BF267" s="1188"/>
      <c r="BG267" s="1188"/>
      <c r="BH267" s="1188"/>
      <c r="BI267" s="1188"/>
      <c r="BJ267" s="1188"/>
      <c r="BK267" s="1188"/>
      <c r="BL267" s="1188">
        <f>I267/13</f>
        <v>40</v>
      </c>
      <c r="BM267" s="1188"/>
      <c r="BN267" s="1188"/>
      <c r="BO267" s="1240"/>
      <c r="BP267" s="1240"/>
      <c r="BQ267" s="1188"/>
      <c r="BR267" s="1236"/>
      <c r="BS267" s="1236"/>
      <c r="BT267" s="1188"/>
      <c r="BU267" s="1188"/>
      <c r="BV267" s="1240"/>
      <c r="BW267" s="1188"/>
      <c r="BX267" s="1188"/>
      <c r="BY267" s="1188"/>
      <c r="BZ267" s="1188"/>
      <c r="CA267" s="1188"/>
      <c r="CB267" s="1188"/>
      <c r="CC267" s="1188"/>
      <c r="CD267" s="1188">
        <f t="shared" si="83"/>
        <v>0</v>
      </c>
      <c r="CE267" s="1188">
        <f t="shared" si="84"/>
        <v>0</v>
      </c>
      <c r="CF267" s="1188">
        <f t="shared" si="85"/>
        <v>0</v>
      </c>
      <c r="CG267" s="1188">
        <f t="shared" si="86"/>
        <v>0</v>
      </c>
      <c r="CH267" s="1236"/>
      <c r="CI267" s="1236"/>
      <c r="CJ267" s="1236"/>
      <c r="CK267" s="1188"/>
      <c r="CL267" s="1188"/>
    </row>
    <row r="268" s="1168" customFormat="1" customHeight="1" spans="1:111">
      <c r="A268" s="1245">
        <v>46154</v>
      </c>
      <c r="B268" s="1247" t="s">
        <v>1212</v>
      </c>
      <c r="C268" s="1234" t="s">
        <v>1213</v>
      </c>
      <c r="D268" s="1268">
        <v>4500206011</v>
      </c>
      <c r="E268" s="1234" t="s">
        <v>628</v>
      </c>
      <c r="F268" s="1188" t="s">
        <v>1214</v>
      </c>
      <c r="G268" s="1253" t="s">
        <v>188</v>
      </c>
      <c r="H268" s="1234" t="s">
        <v>138</v>
      </c>
      <c r="I268" s="1254">
        <v>3000</v>
      </c>
      <c r="J268" s="1234">
        <v>0</v>
      </c>
      <c r="K268" s="1234">
        <v>50</v>
      </c>
      <c r="L268" s="1246">
        <f t="shared" si="87"/>
        <v>60</v>
      </c>
      <c r="M268" s="1255">
        <v>46195</v>
      </c>
      <c r="N268" s="1255">
        <v>46217</v>
      </c>
      <c r="O268" s="1255" t="s">
        <v>736</v>
      </c>
      <c r="P268" s="1233"/>
      <c r="Q268" s="1255" t="s">
        <v>106</v>
      </c>
      <c r="R268" s="1234"/>
      <c r="S268" s="1234"/>
      <c r="T268" s="1233">
        <v>3000</v>
      </c>
      <c r="U268" s="1233">
        <f t="shared" si="74"/>
        <v>0</v>
      </c>
      <c r="V268" s="1234"/>
      <c r="W268" s="1238">
        <v>46163</v>
      </c>
      <c r="X268" s="1227" t="s">
        <v>95</v>
      </c>
      <c r="Y268" s="1227" t="s">
        <v>1215</v>
      </c>
      <c r="Z268" s="1247"/>
      <c r="AA268" s="1247"/>
      <c r="AB268" s="1247"/>
      <c r="AC268" s="1247" t="s">
        <v>1216</v>
      </c>
      <c r="AD268" s="1248" t="s">
        <v>295</v>
      </c>
      <c r="AE268" s="1247">
        <v>1.089</v>
      </c>
      <c r="AF268" s="1248">
        <f>AE268*I268</f>
        <v>3267</v>
      </c>
      <c r="AG268" s="1258"/>
      <c r="AH268" s="1234" t="s">
        <v>188</v>
      </c>
      <c r="AI268" s="1234" t="s">
        <v>112</v>
      </c>
      <c r="AJ268" s="1234" t="s">
        <v>113</v>
      </c>
      <c r="AK268" s="1188">
        <f t="shared" si="88"/>
        <v>3000</v>
      </c>
      <c r="AL268" s="1188"/>
      <c r="AM268" s="1188"/>
      <c r="AN268" s="1188">
        <f>I268</f>
        <v>3000</v>
      </c>
      <c r="AO268" s="1188"/>
      <c r="AP268" s="1188"/>
      <c r="AQ268" s="1240"/>
      <c r="AR268" s="1188"/>
      <c r="AS268" s="1236"/>
      <c r="AT268" s="1236"/>
      <c r="AU268" s="1188">
        <f t="shared" si="89"/>
        <v>3000</v>
      </c>
      <c r="AV268" s="1250">
        <f>I268*0.06*2</f>
        <v>360</v>
      </c>
      <c r="AW268" s="1250"/>
      <c r="AX268" s="1188"/>
      <c r="AY268" s="1188"/>
      <c r="AZ268" s="1188"/>
      <c r="BA268" s="1188"/>
      <c r="BB268" s="1188"/>
      <c r="BC268" s="1188"/>
      <c r="BD268" s="1188"/>
      <c r="BE268" s="1188"/>
      <c r="BF268" s="1188"/>
      <c r="BG268" s="1188"/>
      <c r="BH268" s="1188"/>
      <c r="BI268" s="1188"/>
      <c r="BJ268" s="1188"/>
      <c r="BK268" s="1188"/>
      <c r="BL268" s="1188"/>
      <c r="BM268" s="1188"/>
      <c r="BN268" s="1188"/>
      <c r="BO268" s="1240"/>
      <c r="BP268" s="1240"/>
      <c r="BQ268" s="1188"/>
      <c r="BR268" s="1236"/>
      <c r="BS268" s="1236"/>
      <c r="BT268" s="1188"/>
      <c r="BU268" s="1188"/>
      <c r="BV268" s="1240"/>
      <c r="BW268" s="1188"/>
      <c r="BX268" s="1188"/>
      <c r="BY268" s="1188"/>
      <c r="BZ268" s="1188"/>
      <c r="CA268" s="1188"/>
      <c r="CB268" s="1188"/>
      <c r="CC268" s="1188"/>
      <c r="CD268" s="1188">
        <f t="shared" si="83"/>
        <v>0</v>
      </c>
      <c r="CE268" s="1188">
        <f t="shared" si="84"/>
        <v>0</v>
      </c>
      <c r="CF268" s="1188">
        <f t="shared" si="85"/>
        <v>0</v>
      </c>
      <c r="CG268" s="1188">
        <f t="shared" si="86"/>
        <v>0</v>
      </c>
      <c r="CH268" s="1236"/>
      <c r="CI268" s="1236"/>
      <c r="CJ268" s="1236"/>
      <c r="CK268" s="1188"/>
      <c r="CL268" s="1188"/>
    </row>
    <row r="269" s="1168" customFormat="1" customHeight="1" spans="1:111">
      <c r="A269" s="1245">
        <v>46134</v>
      </c>
      <c r="B269" s="1247" t="s">
        <v>1192</v>
      </c>
      <c r="C269" s="1234" t="s">
        <v>148</v>
      </c>
      <c r="D269" s="1268">
        <v>4500201727</v>
      </c>
      <c r="E269" s="1233">
        <v>1346748</v>
      </c>
      <c r="F269" s="1188" t="s">
        <v>1217</v>
      </c>
      <c r="G269" s="1253" t="s">
        <v>799</v>
      </c>
      <c r="H269" s="1234" t="s">
        <v>800</v>
      </c>
      <c r="I269" s="1254">
        <v>210</v>
      </c>
      <c r="J269" s="1234">
        <v>0</v>
      </c>
      <c r="K269" s="1234">
        <v>30</v>
      </c>
      <c r="L269" s="1246">
        <f t="shared" si="87"/>
        <v>7</v>
      </c>
      <c r="M269" s="1255">
        <v>46195</v>
      </c>
      <c r="N269" s="1255">
        <v>46213</v>
      </c>
      <c r="O269" s="1255" t="s">
        <v>736</v>
      </c>
      <c r="P269" s="1233" t="s">
        <v>1194</v>
      </c>
      <c r="Q269" s="1255" t="s">
        <v>267</v>
      </c>
      <c r="R269" s="1234" t="s">
        <v>1195</v>
      </c>
      <c r="S269" s="1234"/>
      <c r="T269" s="1233">
        <v>210</v>
      </c>
      <c r="U269" s="1233">
        <f t="shared" si="74"/>
        <v>0</v>
      </c>
      <c r="V269" s="1234" t="s">
        <v>120</v>
      </c>
      <c r="W269" s="1238">
        <v>46153</v>
      </c>
      <c r="X269" s="1227" t="s">
        <v>95</v>
      </c>
      <c r="Y269" s="1227" t="s">
        <v>1196</v>
      </c>
      <c r="Z269" s="1247" t="s">
        <v>1197</v>
      </c>
      <c r="AA269" s="1247"/>
      <c r="AB269" s="1247"/>
      <c r="AC269" s="1247" t="s">
        <v>1218</v>
      </c>
      <c r="AD269" s="1248" t="s">
        <v>263</v>
      </c>
      <c r="AE269" s="1247">
        <v>41.424</v>
      </c>
      <c r="AF269" s="1248">
        <f>AE269*L269</f>
        <v>289.968</v>
      </c>
      <c r="AG269" s="1258"/>
      <c r="AH269" s="1234" t="s">
        <v>799</v>
      </c>
      <c r="AI269" s="1234" t="s">
        <v>112</v>
      </c>
      <c r="AJ269" s="1234" t="s">
        <v>113</v>
      </c>
      <c r="AK269" s="1188">
        <f t="shared" si="88"/>
        <v>210</v>
      </c>
      <c r="AL269" s="1188"/>
      <c r="AM269" s="1188"/>
      <c r="AN269" s="1188"/>
      <c r="AO269" s="1188"/>
      <c r="AP269" s="1188">
        <f>I269</f>
        <v>210</v>
      </c>
      <c r="AQ269" s="1240"/>
      <c r="AR269" s="1188"/>
      <c r="AS269" s="1236"/>
      <c r="AT269" s="1236"/>
      <c r="AU269" s="1188">
        <f t="shared" si="89"/>
        <v>210</v>
      </c>
      <c r="AV269" s="1250">
        <f>I269*0.06*2</f>
        <v>25.2</v>
      </c>
      <c r="AW269" s="1250"/>
      <c r="AX269" s="1188"/>
      <c r="AY269" s="1188"/>
      <c r="AZ269" s="1188"/>
      <c r="BA269" s="1188"/>
      <c r="BB269" s="1188"/>
      <c r="BC269" s="1188"/>
      <c r="BD269" s="1188"/>
      <c r="BE269" s="1188"/>
      <c r="BF269" s="1188"/>
      <c r="BG269" s="1188"/>
      <c r="BH269" s="1188"/>
      <c r="BI269" s="1188"/>
      <c r="BJ269" s="1188"/>
      <c r="BK269" s="1188"/>
      <c r="BL269" s="1188"/>
      <c r="BM269" s="1188"/>
      <c r="BN269" s="1188"/>
      <c r="BO269" s="1240"/>
      <c r="BP269" s="1240"/>
      <c r="BQ269" s="1188"/>
      <c r="BR269" s="1236"/>
      <c r="BS269" s="1236"/>
      <c r="BT269" s="1188"/>
      <c r="BU269" s="1188"/>
      <c r="BV269" s="1240"/>
      <c r="BW269" s="1188"/>
      <c r="BX269" s="1188"/>
      <c r="BY269" s="1188"/>
      <c r="BZ269" s="1188"/>
      <c r="CA269" s="1188"/>
      <c r="CB269" s="1188"/>
      <c r="CC269" s="1188">
        <f>L269</f>
        <v>7</v>
      </c>
      <c r="CD269" s="1188">
        <f t="shared" si="83"/>
        <v>0</v>
      </c>
      <c r="CE269" s="1188">
        <f t="shared" si="84"/>
        <v>0</v>
      </c>
      <c r="CF269" s="1188">
        <f t="shared" si="85"/>
        <v>7</v>
      </c>
      <c r="CG269" s="1188">
        <f t="shared" si="86"/>
        <v>0</v>
      </c>
      <c r="CH269" s="1236"/>
      <c r="CI269" s="1236"/>
      <c r="CJ269" s="1236"/>
      <c r="CK269" s="1188"/>
      <c r="CL269" s="1188"/>
    </row>
    <row r="270" s="1168" customFormat="1" customHeight="1" spans="1:111">
      <c r="A270" s="1245">
        <v>46121</v>
      </c>
      <c r="B270" s="1247" t="s">
        <v>1219</v>
      </c>
      <c r="C270" s="1234" t="s">
        <v>627</v>
      </c>
      <c r="D270" s="1188">
        <v>4500200614</v>
      </c>
      <c r="E270" s="1234" t="s">
        <v>628</v>
      </c>
      <c r="F270" s="1188" t="s">
        <v>1220</v>
      </c>
      <c r="G270" s="1253" t="s">
        <v>188</v>
      </c>
      <c r="H270" s="1234" t="s">
        <v>138</v>
      </c>
      <c r="I270" s="1254">
        <v>2000</v>
      </c>
      <c r="J270" s="1234">
        <v>0</v>
      </c>
      <c r="K270" s="1234">
        <v>50</v>
      </c>
      <c r="L270" s="1246">
        <f t="shared" si="87"/>
        <v>40</v>
      </c>
      <c r="M270" s="1255">
        <v>46195</v>
      </c>
      <c r="N270" s="1255">
        <v>46214</v>
      </c>
      <c r="O270" s="1255" t="s">
        <v>736</v>
      </c>
      <c r="P270" s="1233"/>
      <c r="Q270" s="1255" t="s">
        <v>106</v>
      </c>
      <c r="R270" s="1234" t="s">
        <v>1221</v>
      </c>
      <c r="S270" s="1234" t="s">
        <v>943</v>
      </c>
      <c r="T270" s="1233">
        <v>2000</v>
      </c>
      <c r="U270" s="1233">
        <f t="shared" si="74"/>
        <v>0</v>
      </c>
      <c r="V270" s="1234" t="s">
        <v>1222</v>
      </c>
      <c r="W270" s="1238">
        <v>46154</v>
      </c>
      <c r="X270" s="1227" t="s">
        <v>95</v>
      </c>
      <c r="Y270" s="1227" t="s">
        <v>1223</v>
      </c>
      <c r="Z270" s="1247"/>
      <c r="AA270" s="1247"/>
      <c r="AB270" s="1247"/>
      <c r="AC270" s="1247" t="s">
        <v>1224</v>
      </c>
      <c r="AD270" s="1248" t="s">
        <v>1225</v>
      </c>
      <c r="AE270" s="1247">
        <v>1.089</v>
      </c>
      <c r="AF270" s="1248">
        <f>AE270*I270</f>
        <v>2178</v>
      </c>
      <c r="AG270" s="1258"/>
      <c r="AH270" s="1234" t="s">
        <v>314</v>
      </c>
      <c r="AI270" s="1234" t="s">
        <v>112</v>
      </c>
      <c r="AJ270" s="1234" t="s">
        <v>113</v>
      </c>
      <c r="AK270" s="1188">
        <f t="shared" si="88"/>
        <v>2000</v>
      </c>
      <c r="AL270" s="1188"/>
      <c r="AM270" s="1188"/>
      <c r="AN270" s="1188"/>
      <c r="AO270" s="1188"/>
      <c r="AP270" s="1188">
        <f>I270</f>
        <v>2000</v>
      </c>
      <c r="AQ270" s="1240"/>
      <c r="AR270" s="1188"/>
      <c r="AS270" s="1236"/>
      <c r="AT270" s="1236"/>
      <c r="AU270" s="1188">
        <f t="shared" si="89"/>
        <v>2000</v>
      </c>
      <c r="AV270" s="1250">
        <f>I270*0.06</f>
        <v>120</v>
      </c>
      <c r="AW270" s="1250"/>
      <c r="AX270" s="1188"/>
      <c r="AY270" s="1188"/>
      <c r="AZ270" s="1188"/>
      <c r="BA270" s="1188"/>
      <c r="BB270" s="1188"/>
      <c r="BC270" s="1188"/>
      <c r="BD270" s="1188"/>
      <c r="BE270" s="1188"/>
      <c r="BF270" s="1188"/>
      <c r="BG270" s="1188"/>
      <c r="BH270" s="1188"/>
      <c r="BI270" s="1188"/>
      <c r="BJ270" s="1188"/>
      <c r="BK270" s="1188"/>
      <c r="BL270" s="1188"/>
      <c r="BM270" s="1188"/>
      <c r="BN270" s="1188"/>
      <c r="BO270" s="1240">
        <f>I270/25</f>
        <v>80</v>
      </c>
      <c r="BP270" s="1240"/>
      <c r="BQ270" s="1188"/>
      <c r="BR270" s="1236"/>
      <c r="BS270" s="1236"/>
      <c r="BT270" s="1188"/>
      <c r="BU270" s="1188"/>
      <c r="BV270" s="1240"/>
      <c r="BW270" s="1188"/>
      <c r="BX270" s="1188"/>
      <c r="BY270" s="1188"/>
      <c r="BZ270" s="1188"/>
      <c r="CA270" s="1188"/>
      <c r="CB270" s="1188"/>
      <c r="CC270" s="1188"/>
      <c r="CD270" s="1188">
        <f t="shared" si="83"/>
        <v>80</v>
      </c>
      <c r="CE270" s="1188">
        <f t="shared" si="84"/>
        <v>0</v>
      </c>
      <c r="CF270" s="1188">
        <f t="shared" si="85"/>
        <v>0</v>
      </c>
      <c r="CG270" s="1188">
        <f t="shared" si="86"/>
        <v>0</v>
      </c>
      <c r="CH270" s="1236"/>
      <c r="CI270" s="1236"/>
      <c r="CJ270" s="1236"/>
      <c r="CK270" s="1188"/>
      <c r="CL270" s="1188"/>
    </row>
    <row r="271" s="1168" customFormat="1" customHeight="1" spans="1:111">
      <c r="A271" s="1245">
        <v>46142</v>
      </c>
      <c r="B271" s="1247" t="s">
        <v>1226</v>
      </c>
      <c r="C271" s="1234" t="s">
        <v>291</v>
      </c>
      <c r="D271" s="1268">
        <v>4500204956</v>
      </c>
      <c r="E271" s="1233">
        <v>6000072151</v>
      </c>
      <c r="F271" s="1188" t="s">
        <v>1227</v>
      </c>
      <c r="G271" s="1253" t="s">
        <v>188</v>
      </c>
      <c r="H271" s="1234" t="s">
        <v>138</v>
      </c>
      <c r="I271" s="1254">
        <v>2000</v>
      </c>
      <c r="J271" s="1234">
        <v>0</v>
      </c>
      <c r="K271" s="1234">
        <v>50</v>
      </c>
      <c r="L271" s="1246">
        <f t="shared" si="87"/>
        <v>40</v>
      </c>
      <c r="M271" s="1255">
        <v>46195</v>
      </c>
      <c r="N271" s="1320">
        <v>46216</v>
      </c>
      <c r="O271" s="1320" t="s">
        <v>1151</v>
      </c>
      <c r="P271" s="1233" t="s">
        <v>1228</v>
      </c>
      <c r="Q271" s="1233" t="s">
        <v>106</v>
      </c>
      <c r="R271" s="1234" t="s">
        <v>1229</v>
      </c>
      <c r="S271" s="1234"/>
      <c r="T271" s="1233">
        <v>2000</v>
      </c>
      <c r="U271" s="1233">
        <f t="shared" si="74"/>
        <v>0</v>
      </c>
      <c r="V271" s="1234" t="s">
        <v>120</v>
      </c>
      <c r="W271" s="1238" t="s">
        <v>1230</v>
      </c>
      <c r="X271" s="1227" t="s">
        <v>107</v>
      </c>
      <c r="Y271" s="1227" t="s">
        <v>1231</v>
      </c>
      <c r="Z271" s="1247"/>
      <c r="AA271" s="1247"/>
      <c r="AB271" s="1247"/>
      <c r="AC271" s="1247" t="s">
        <v>1232</v>
      </c>
      <c r="AD271" s="1255" t="s">
        <v>1169</v>
      </c>
      <c r="AE271" s="1188">
        <v>1.07</v>
      </c>
      <c r="AF271" s="1248">
        <f>AE271*I271</f>
        <v>2140</v>
      </c>
      <c r="AG271" s="1258"/>
      <c r="AH271" s="1234" t="s">
        <v>314</v>
      </c>
      <c r="AI271" s="1234" t="s">
        <v>112</v>
      </c>
      <c r="AJ271" s="1234" t="s">
        <v>113</v>
      </c>
      <c r="AK271" s="1188">
        <f t="shared" si="88"/>
        <v>2000</v>
      </c>
      <c r="AL271" s="1188"/>
      <c r="AM271" s="1188"/>
      <c r="AN271" s="1188"/>
      <c r="AO271" s="1188"/>
      <c r="AP271" s="1188">
        <f>I271</f>
        <v>2000</v>
      </c>
      <c r="AQ271" s="1240"/>
      <c r="AR271" s="1188"/>
      <c r="AS271" s="1236"/>
      <c r="AT271" s="1236"/>
      <c r="AU271" s="1188">
        <f t="shared" si="89"/>
        <v>2000</v>
      </c>
      <c r="AV271" s="1250">
        <f>I271*0.06</f>
        <v>120</v>
      </c>
      <c r="AW271" s="1250"/>
      <c r="AX271" s="1188"/>
      <c r="AY271" s="1188"/>
      <c r="AZ271" s="1188"/>
      <c r="BA271" s="1188"/>
      <c r="BB271" s="1188"/>
      <c r="BC271" s="1188"/>
      <c r="BD271" s="1188"/>
      <c r="BE271" s="1188"/>
      <c r="BF271" s="1188"/>
      <c r="BG271" s="1188"/>
      <c r="BH271" s="1188"/>
      <c r="BI271" s="1188"/>
      <c r="BJ271" s="1188"/>
      <c r="BK271" s="1188"/>
      <c r="BL271" s="1188"/>
      <c r="BM271" s="1188"/>
      <c r="BN271" s="1188"/>
      <c r="BO271" s="1240">
        <f>I271/25</f>
        <v>80</v>
      </c>
      <c r="BP271" s="1240"/>
      <c r="BQ271" s="1188"/>
      <c r="BR271" s="1236"/>
      <c r="BS271" s="1236"/>
      <c r="BT271" s="1188"/>
      <c r="BU271" s="1188"/>
      <c r="BV271" s="1240"/>
      <c r="BW271" s="1188"/>
      <c r="BX271" s="1188"/>
      <c r="BY271" s="1188"/>
      <c r="BZ271" s="1188"/>
      <c r="CA271" s="1188"/>
      <c r="CB271" s="1188"/>
      <c r="CC271" s="1188"/>
      <c r="CD271" s="1188">
        <f t="shared" si="83"/>
        <v>80</v>
      </c>
      <c r="CE271" s="1188">
        <f t="shared" si="84"/>
        <v>0</v>
      </c>
      <c r="CF271" s="1188">
        <f t="shared" si="85"/>
        <v>0</v>
      </c>
      <c r="CG271" s="1188">
        <f t="shared" si="86"/>
        <v>0</v>
      </c>
      <c r="CH271" s="1236"/>
      <c r="CI271" s="1236"/>
      <c r="CJ271" s="1236"/>
      <c r="CK271" s="1188"/>
      <c r="CL271" s="1188"/>
    </row>
    <row r="272" s="1168" customFormat="1" customHeight="1" spans="1:111">
      <c r="A272" s="1245">
        <v>46115</v>
      </c>
      <c r="B272" s="1247" t="s">
        <v>1233</v>
      </c>
      <c r="C272" s="1234" t="s">
        <v>1234</v>
      </c>
      <c r="D272" s="1268">
        <v>4500199743</v>
      </c>
      <c r="E272" s="1234" t="s">
        <v>628</v>
      </c>
      <c r="F272" s="1188" t="s">
        <v>1235</v>
      </c>
      <c r="G272" s="1253" t="s">
        <v>188</v>
      </c>
      <c r="H272" s="1234" t="s">
        <v>138</v>
      </c>
      <c r="I272" s="1254">
        <v>1000</v>
      </c>
      <c r="J272" s="1234">
        <v>0</v>
      </c>
      <c r="K272" s="1234">
        <v>50</v>
      </c>
      <c r="L272" s="1246">
        <f t="shared" si="87"/>
        <v>20</v>
      </c>
      <c r="M272" s="1255">
        <v>46195</v>
      </c>
      <c r="N272" s="1320">
        <v>46216</v>
      </c>
      <c r="O272" s="1322" t="s">
        <v>736</v>
      </c>
      <c r="P272" s="1233"/>
      <c r="Q272" s="1233"/>
      <c r="R272" s="1234"/>
      <c r="S272" s="1234" t="s">
        <v>943</v>
      </c>
      <c r="T272" s="1233">
        <v>1000</v>
      </c>
      <c r="U272" s="1233">
        <f t="shared" si="74"/>
        <v>0</v>
      </c>
      <c r="V272" s="1234"/>
      <c r="W272" s="1238" t="s">
        <v>1236</v>
      </c>
      <c r="X272" s="1227" t="s">
        <v>95</v>
      </c>
      <c r="Y272" s="1227" t="s">
        <v>1237</v>
      </c>
      <c r="Z272" s="1247"/>
      <c r="AA272" s="1247"/>
      <c r="AB272" s="1247"/>
      <c r="AC272" s="1257" t="s">
        <v>1238</v>
      </c>
      <c r="AD272" s="1255" t="s">
        <v>295</v>
      </c>
      <c r="AE272" s="1267">
        <v>1.007</v>
      </c>
      <c r="AF272" s="1248">
        <f>AE272*I272</f>
        <v>1007</v>
      </c>
      <c r="AG272" s="1258"/>
      <c r="AH272" s="1234" t="s">
        <v>314</v>
      </c>
      <c r="AI272" s="1234" t="s">
        <v>112</v>
      </c>
      <c r="AJ272" s="1234" t="s">
        <v>113</v>
      </c>
      <c r="AK272" s="1188">
        <f t="shared" si="88"/>
        <v>1000</v>
      </c>
      <c r="AL272" s="1188"/>
      <c r="AM272" s="1188"/>
      <c r="AN272" s="1188"/>
      <c r="AO272" s="1188"/>
      <c r="AP272" s="1188">
        <f>I30</f>
        <v>7275</v>
      </c>
      <c r="AQ272" s="1240"/>
      <c r="AR272" s="1188"/>
      <c r="AS272" s="1236"/>
      <c r="AT272" s="1236"/>
      <c r="AU272" s="1188">
        <f t="shared" si="89"/>
        <v>1000</v>
      </c>
      <c r="AV272" s="1250">
        <f>I272*0.06</f>
        <v>60</v>
      </c>
      <c r="AW272" s="1250"/>
      <c r="AX272" s="1188"/>
      <c r="AY272" s="1188"/>
      <c r="AZ272" s="1188"/>
      <c r="BA272" s="1188"/>
      <c r="BB272" s="1188"/>
      <c r="BC272" s="1188"/>
      <c r="BD272" s="1188"/>
      <c r="BE272" s="1188"/>
      <c r="BF272" s="1188"/>
      <c r="BG272" s="1188"/>
      <c r="BH272" s="1188"/>
      <c r="BI272" s="1188"/>
      <c r="BJ272" s="1188"/>
      <c r="BK272" s="1188"/>
      <c r="BL272" s="1188"/>
      <c r="BM272" s="1188"/>
      <c r="BN272" s="1188"/>
      <c r="BO272" s="1240">
        <f>I272/25</f>
        <v>40</v>
      </c>
      <c r="BP272" s="1240"/>
      <c r="BQ272" s="1188"/>
      <c r="BR272" s="1236"/>
      <c r="BS272" s="1236"/>
      <c r="BT272" s="1188"/>
      <c r="BU272" s="1188"/>
      <c r="BV272" s="1240"/>
      <c r="BW272" s="1188"/>
      <c r="BX272" s="1188"/>
      <c r="BY272" s="1188"/>
      <c r="BZ272" s="1188"/>
      <c r="CA272" s="1188"/>
      <c r="CB272" s="1188"/>
      <c r="CC272" s="1188"/>
      <c r="CD272" s="1188">
        <f t="shared" si="83"/>
        <v>40</v>
      </c>
      <c r="CE272" s="1188">
        <f t="shared" si="84"/>
        <v>0</v>
      </c>
      <c r="CF272" s="1188">
        <f t="shared" si="85"/>
        <v>0</v>
      </c>
      <c r="CG272" s="1188">
        <f t="shared" si="86"/>
        <v>0</v>
      </c>
      <c r="CH272" s="1236"/>
      <c r="CI272" s="1236"/>
      <c r="CJ272" s="1236"/>
      <c r="CK272" s="1188"/>
      <c r="CL272" s="1188"/>
      <c r="CM272" s="1260"/>
      <c r="CN272" s="1260"/>
      <c r="CO272" s="1260"/>
      <c r="CP272" s="1260"/>
      <c r="CQ272" s="1260"/>
      <c r="CR272" s="1260"/>
      <c r="CS272" s="1260"/>
      <c r="CT272" s="1260"/>
      <c r="CU272" s="1260"/>
      <c r="CV272" s="1260"/>
      <c r="CW272" s="1260"/>
      <c r="CX272" s="1260"/>
      <c r="CY272" s="1260"/>
      <c r="CZ272" s="1260"/>
      <c r="DA272" s="1260"/>
      <c r="DB272" s="1260"/>
      <c r="DC272" s="1260"/>
      <c r="DD272" s="1260"/>
      <c r="DE272" s="1260"/>
      <c r="DF272" s="1260"/>
      <c r="DG272" s="1260"/>
    </row>
    <row r="273" s="1168" customFormat="1" customHeight="1" spans="1:90">
      <c r="A273" s="1245">
        <v>46099</v>
      </c>
      <c r="B273" s="1247" t="s">
        <v>723</v>
      </c>
      <c r="C273" s="1234" t="s">
        <v>135</v>
      </c>
      <c r="D273" s="1188">
        <v>4500197501</v>
      </c>
      <c r="E273" s="1234" t="s">
        <v>1239</v>
      </c>
      <c r="F273" s="1188" t="s">
        <v>1240</v>
      </c>
      <c r="G273" s="1253" t="s">
        <v>726</v>
      </c>
      <c r="H273" s="1234" t="s">
        <v>483</v>
      </c>
      <c r="I273" s="1254">
        <v>4320</v>
      </c>
      <c r="J273" s="1234">
        <v>0</v>
      </c>
      <c r="K273" s="1234">
        <v>120</v>
      </c>
      <c r="L273" s="1246">
        <f t="shared" si="87"/>
        <v>36</v>
      </c>
      <c r="M273" s="1255">
        <v>46195</v>
      </c>
      <c r="N273" s="1320">
        <v>46217</v>
      </c>
      <c r="O273" s="1322" t="s">
        <v>736</v>
      </c>
      <c r="P273" s="1233"/>
      <c r="Q273" s="1233"/>
      <c r="R273" s="1234" t="s">
        <v>1241</v>
      </c>
      <c r="S273" s="1234"/>
      <c r="T273" s="1233">
        <v>4320</v>
      </c>
      <c r="U273" s="1233">
        <f t="shared" si="74"/>
        <v>0</v>
      </c>
      <c r="V273" s="1234"/>
      <c r="W273" s="1238">
        <v>46133</v>
      </c>
      <c r="X273" s="1227" t="s">
        <v>95</v>
      </c>
      <c r="Y273" s="1227" t="s">
        <v>95</v>
      </c>
      <c r="Z273" s="1247" t="s">
        <v>140</v>
      </c>
      <c r="AA273" s="1247"/>
      <c r="AB273" s="1247"/>
      <c r="AC273" s="1247" t="s">
        <v>1242</v>
      </c>
      <c r="AD273" s="1255" t="s">
        <v>730</v>
      </c>
      <c r="AE273" s="1267">
        <v>1118</v>
      </c>
      <c r="AF273" s="1248">
        <f>L273*AE273</f>
        <v>40248</v>
      </c>
      <c r="AG273" s="1258"/>
      <c r="AH273" s="1234" t="s">
        <v>731</v>
      </c>
      <c r="AI273" s="1234" t="s">
        <v>112</v>
      </c>
      <c r="AJ273" s="1234" t="s">
        <v>113</v>
      </c>
      <c r="AK273" s="1188"/>
      <c r="AL273" s="1188">
        <f>I273*3</f>
        <v>12960</v>
      </c>
      <c r="AM273" s="1188"/>
      <c r="AN273" s="1188"/>
      <c r="AO273" s="1188"/>
      <c r="AP273" s="1188"/>
      <c r="AQ273" s="1240"/>
      <c r="AR273" s="1188"/>
      <c r="AS273" s="1236"/>
      <c r="AT273" s="1236"/>
      <c r="AU273" s="1188"/>
      <c r="AV273" s="1250">
        <f t="shared" ref="AV273:AV279" si="90">I273*0.06*2</f>
        <v>518.4</v>
      </c>
      <c r="AW273" s="1250"/>
      <c r="AX273" s="1188"/>
      <c r="AY273" s="1188"/>
      <c r="AZ273" s="1188"/>
      <c r="BA273" s="1188"/>
      <c r="BB273" s="1188">
        <f>I273*3</f>
        <v>12960</v>
      </c>
      <c r="BC273" s="1188">
        <f>I273*3</f>
        <v>12960</v>
      </c>
      <c r="BD273" s="1188">
        <f>I273*3</f>
        <v>12960</v>
      </c>
      <c r="BE273" s="1188">
        <f>I273</f>
        <v>4320</v>
      </c>
      <c r="BF273" s="1188">
        <f>I273/6</f>
        <v>720</v>
      </c>
      <c r="BG273" s="1188"/>
      <c r="BH273" s="1188"/>
      <c r="BI273" s="1188"/>
      <c r="BJ273" s="1188"/>
      <c r="BK273" s="1188"/>
      <c r="BL273" s="1188"/>
      <c r="BM273" s="1188"/>
      <c r="BN273" s="1188"/>
      <c r="BO273" s="1240"/>
      <c r="BP273" s="1240"/>
      <c r="BQ273" s="1188"/>
      <c r="BR273" s="1236"/>
      <c r="BS273" s="1236"/>
      <c r="BT273" s="1188"/>
      <c r="BU273" s="1188"/>
      <c r="BV273" s="1240"/>
      <c r="BW273" s="1188"/>
      <c r="BX273" s="1188"/>
      <c r="BY273" s="1188"/>
      <c r="BZ273" s="1188"/>
      <c r="CA273" s="1188"/>
      <c r="CB273" s="1188"/>
      <c r="CC273" s="1188"/>
      <c r="CD273" s="1188">
        <f t="shared" si="83"/>
        <v>0</v>
      </c>
      <c r="CE273" s="1188">
        <f t="shared" si="84"/>
        <v>0</v>
      </c>
      <c r="CF273" s="1188">
        <f t="shared" si="85"/>
        <v>0</v>
      </c>
      <c r="CG273" s="1188">
        <f t="shared" si="86"/>
        <v>0</v>
      </c>
      <c r="CH273" s="1236"/>
      <c r="CI273" s="1236"/>
      <c r="CJ273" s="1236"/>
      <c r="CK273" s="1188"/>
      <c r="CL273" s="1188"/>
    </row>
    <row r="274" s="1168" customFormat="1" customHeight="1" spans="1:90">
      <c r="A274" s="1245">
        <v>46153</v>
      </c>
      <c r="B274" s="1247" t="s">
        <v>1243</v>
      </c>
      <c r="C274" s="1234" t="s">
        <v>291</v>
      </c>
      <c r="D274" s="1268">
        <v>4500205972</v>
      </c>
      <c r="E274" s="1233">
        <v>3301470658</v>
      </c>
      <c r="F274" s="1188" t="s">
        <v>1244</v>
      </c>
      <c r="G274" s="1253" t="s">
        <v>146</v>
      </c>
      <c r="H274" s="1234" t="s">
        <v>104</v>
      </c>
      <c r="I274" s="1254">
        <v>25000</v>
      </c>
      <c r="J274" s="1234">
        <v>0</v>
      </c>
      <c r="K274" s="1234">
        <v>25</v>
      </c>
      <c r="L274" s="1246">
        <f t="shared" si="87"/>
        <v>1000</v>
      </c>
      <c r="M274" s="1255">
        <v>46196</v>
      </c>
      <c r="N274" s="1320">
        <v>46217</v>
      </c>
      <c r="O274" s="1322" t="s">
        <v>736</v>
      </c>
      <c r="P274" s="1233"/>
      <c r="Q274" s="1233" t="s">
        <v>106</v>
      </c>
      <c r="R274" s="1234"/>
      <c r="S274" s="1234" t="s">
        <v>943</v>
      </c>
      <c r="T274" s="1233">
        <v>25000</v>
      </c>
      <c r="U274" s="1233">
        <f t="shared" si="74"/>
        <v>0</v>
      </c>
      <c r="V274" s="1234"/>
      <c r="W274" s="1238">
        <v>46170</v>
      </c>
      <c r="X274" s="1227" t="s">
        <v>95</v>
      </c>
      <c r="Y274" s="1227" t="s">
        <v>1245</v>
      </c>
      <c r="Z274" s="1247" t="s">
        <v>1246</v>
      </c>
      <c r="AA274" s="1247"/>
      <c r="AB274" s="1327" t="s">
        <v>1247</v>
      </c>
      <c r="AC274" s="1321" t="s">
        <v>1248</v>
      </c>
      <c r="AD274" s="1255" t="s">
        <v>450</v>
      </c>
      <c r="AE274" s="1188">
        <v>1.058</v>
      </c>
      <c r="AF274" s="1248">
        <f t="shared" ref="AF274:AF281" si="91">I274*AE274</f>
        <v>26450</v>
      </c>
      <c r="AG274" s="1258"/>
      <c r="AH274" s="1234" t="s">
        <v>111</v>
      </c>
      <c r="AI274" s="1234" t="s">
        <v>112</v>
      </c>
      <c r="AJ274" s="1234" t="s">
        <v>113</v>
      </c>
      <c r="AK274" s="1188">
        <f t="shared" ref="AK274:AK282" si="92">I274</f>
        <v>25000</v>
      </c>
      <c r="AL274" s="1188"/>
      <c r="AM274" s="1188"/>
      <c r="AN274" s="1188"/>
      <c r="AO274" s="1188"/>
      <c r="AP274" s="1188">
        <f>I274</f>
        <v>25000</v>
      </c>
      <c r="AQ274" s="1240"/>
      <c r="AR274" s="1188"/>
      <c r="AS274" s="1236"/>
      <c r="AT274" s="1236"/>
      <c r="AU274" s="1188">
        <f>I274</f>
        <v>25000</v>
      </c>
      <c r="AV274" s="1250">
        <f t="shared" si="90"/>
        <v>3000</v>
      </c>
      <c r="AW274" s="1250"/>
      <c r="AX274" s="1188"/>
      <c r="AY274" s="1188"/>
      <c r="AZ274" s="1188"/>
      <c r="BA274" s="1188"/>
      <c r="BB274" s="1188"/>
      <c r="BC274" s="1188"/>
      <c r="BD274" s="1188"/>
      <c r="BE274" s="1188"/>
      <c r="BF274" s="1188"/>
      <c r="BG274" s="1188"/>
      <c r="BH274" s="1188"/>
      <c r="BI274" s="1188"/>
      <c r="BJ274" s="1188"/>
      <c r="BK274" s="1188"/>
      <c r="BL274" s="1188"/>
      <c r="BM274" s="1188"/>
      <c r="BN274" s="1188"/>
      <c r="BO274" s="1240">
        <f>I274/25</f>
        <v>1000</v>
      </c>
      <c r="BP274" s="1240"/>
      <c r="BQ274" s="1188"/>
      <c r="BR274" s="1236"/>
      <c r="BS274" s="1236"/>
      <c r="BT274" s="1188"/>
      <c r="BU274" s="1188"/>
      <c r="BV274" s="1240"/>
      <c r="BW274" s="1188"/>
      <c r="BX274" s="1188"/>
      <c r="BY274" s="1188"/>
      <c r="BZ274" s="1188"/>
      <c r="CA274" s="1188"/>
      <c r="CB274" s="1188"/>
      <c r="CC274" s="1188"/>
      <c r="CD274" s="1188">
        <f t="shared" si="83"/>
        <v>1000</v>
      </c>
      <c r="CE274" s="1188">
        <f t="shared" si="84"/>
        <v>0</v>
      </c>
      <c r="CF274" s="1188">
        <f t="shared" si="85"/>
        <v>0</v>
      </c>
      <c r="CG274" s="1188">
        <f t="shared" si="86"/>
        <v>0</v>
      </c>
      <c r="CH274" s="1236"/>
      <c r="CI274" s="1236"/>
      <c r="CJ274" s="1236"/>
      <c r="CK274" s="1188"/>
      <c r="CL274" s="1188"/>
    </row>
    <row r="275" s="1168" customFormat="1" customHeight="1" spans="1:90">
      <c r="A275" s="1245">
        <v>46157</v>
      </c>
      <c r="B275" s="1247" t="s">
        <v>1249</v>
      </c>
      <c r="C275" s="1234" t="s">
        <v>291</v>
      </c>
      <c r="D275" s="1268">
        <v>4500205025</v>
      </c>
      <c r="E275" s="1233">
        <v>50212601221</v>
      </c>
      <c r="F275" s="1188" t="s">
        <v>1250</v>
      </c>
      <c r="G275" s="1253" t="s">
        <v>702</v>
      </c>
      <c r="H275" s="1234" t="s">
        <v>151</v>
      </c>
      <c r="I275" s="1254">
        <v>30</v>
      </c>
      <c r="J275" s="1234">
        <v>0</v>
      </c>
      <c r="K275" s="1234">
        <v>1</v>
      </c>
      <c r="L275" s="1246">
        <f t="shared" si="87"/>
        <v>30</v>
      </c>
      <c r="M275" s="1255">
        <v>46197</v>
      </c>
      <c r="N275" s="1255">
        <v>46193</v>
      </c>
      <c r="O275" s="1255"/>
      <c r="P275" s="1233"/>
      <c r="Q275" s="1255" t="s">
        <v>106</v>
      </c>
      <c r="R275" s="1234"/>
      <c r="S275" s="1234"/>
      <c r="T275" s="1233">
        <v>30</v>
      </c>
      <c r="U275" s="1233">
        <f t="shared" si="74"/>
        <v>0</v>
      </c>
      <c r="V275" s="1234"/>
      <c r="W275" s="1238">
        <v>46160</v>
      </c>
      <c r="X275" s="1227" t="s">
        <v>95</v>
      </c>
      <c r="Y275" s="1227" t="s">
        <v>95</v>
      </c>
      <c r="Z275" s="1247"/>
      <c r="AA275" s="1247"/>
      <c r="AB275" s="1247"/>
      <c r="AC275" s="1247" t="s">
        <v>1251</v>
      </c>
      <c r="AD275" s="1248" t="s">
        <v>1252</v>
      </c>
      <c r="AE275" s="1247">
        <v>20</v>
      </c>
      <c r="AF275" s="1248">
        <f t="shared" si="91"/>
        <v>600</v>
      </c>
      <c r="AG275" s="1258"/>
      <c r="AH275" s="1234" t="s">
        <v>702</v>
      </c>
      <c r="AI275" s="1234" t="s">
        <v>112</v>
      </c>
      <c r="AJ275" s="1234" t="s">
        <v>113</v>
      </c>
      <c r="AK275" s="1188">
        <f t="shared" si="92"/>
        <v>30</v>
      </c>
      <c r="AL275" s="1188"/>
      <c r="AM275" s="1188"/>
      <c r="AN275" s="1188"/>
      <c r="AO275" s="1188"/>
      <c r="AP275" s="1188"/>
      <c r="AQ275" s="1240"/>
      <c r="AR275" s="1188"/>
      <c r="AS275" s="1236"/>
      <c r="AT275" s="1236"/>
      <c r="AU275" s="1188"/>
      <c r="AV275" s="1250">
        <f t="shared" si="90"/>
        <v>3.6</v>
      </c>
      <c r="AW275" s="1250"/>
      <c r="AX275" s="1188"/>
      <c r="AY275" s="1188"/>
      <c r="AZ275" s="1188"/>
      <c r="BA275" s="1188"/>
      <c r="BB275" s="1188"/>
      <c r="BC275" s="1188"/>
      <c r="BD275" s="1188"/>
      <c r="BE275" s="1188"/>
      <c r="BF275" s="1188"/>
      <c r="BG275" s="1188"/>
      <c r="BH275" s="1188"/>
      <c r="BI275" s="1188"/>
      <c r="BJ275" s="1188"/>
      <c r="BK275" s="1188"/>
      <c r="BL275" s="1188"/>
      <c r="BM275" s="1188"/>
      <c r="BN275" s="1188"/>
      <c r="BO275" s="1240"/>
      <c r="BP275" s="1240"/>
      <c r="BQ275" s="1188"/>
      <c r="BR275" s="1236"/>
      <c r="BS275" s="1236"/>
      <c r="BT275" s="1188"/>
      <c r="BU275" s="1188"/>
      <c r="BV275" s="1240"/>
      <c r="BW275" s="1188"/>
      <c r="BX275" s="1188">
        <f>I275</f>
        <v>30</v>
      </c>
      <c r="BY275" s="1188"/>
      <c r="BZ275" s="1188"/>
      <c r="CA275" s="1188"/>
      <c r="CB275" s="1188"/>
      <c r="CC275" s="1188"/>
      <c r="CD275" s="1188">
        <f t="shared" si="83"/>
        <v>0</v>
      </c>
      <c r="CE275" s="1188"/>
      <c r="CF275" s="1188">
        <f t="shared" si="85"/>
        <v>0</v>
      </c>
      <c r="CG275" s="1188">
        <f t="shared" si="86"/>
        <v>30</v>
      </c>
      <c r="CH275" s="1236"/>
      <c r="CI275" s="1236"/>
      <c r="CJ275" s="1236"/>
      <c r="CK275" s="1188"/>
      <c r="CL275" s="1188"/>
    </row>
    <row r="276" s="1168" customFormat="1" customHeight="1" spans="1:90">
      <c r="A276" s="1245">
        <v>46155</v>
      </c>
      <c r="B276" s="1247" t="s">
        <v>1253</v>
      </c>
      <c r="C276" s="1234" t="s">
        <v>115</v>
      </c>
      <c r="D276" s="1188" t="s">
        <v>1254</v>
      </c>
      <c r="E276" s="1234" t="s">
        <v>1255</v>
      </c>
      <c r="F276" s="1188" t="s">
        <v>1256</v>
      </c>
      <c r="G276" s="1253" t="s">
        <v>91</v>
      </c>
      <c r="H276" s="1234" t="s">
        <v>92</v>
      </c>
      <c r="I276" s="1254">
        <v>5648</v>
      </c>
      <c r="J276" s="1234">
        <v>0</v>
      </c>
      <c r="K276" s="1234">
        <v>24</v>
      </c>
      <c r="L276" s="1246">
        <f t="shared" si="87"/>
        <v>235.333333333333</v>
      </c>
      <c r="M276" s="1255">
        <v>46197</v>
      </c>
      <c r="N276" s="1255">
        <v>46204</v>
      </c>
      <c r="O276" s="1255"/>
      <c r="P276" s="1233"/>
      <c r="Q276" s="1255" t="s">
        <v>106</v>
      </c>
      <c r="R276" s="1234" t="s">
        <v>1257</v>
      </c>
      <c r="S276" s="1234"/>
      <c r="T276" s="1233">
        <v>5648</v>
      </c>
      <c r="U276" s="1233">
        <f t="shared" si="74"/>
        <v>0</v>
      </c>
      <c r="V276" s="1234"/>
      <c r="W276" s="1238" t="s">
        <v>94</v>
      </c>
      <c r="X276" s="1227" t="s">
        <v>95</v>
      </c>
      <c r="Y276" s="1227" t="s">
        <v>1258</v>
      </c>
      <c r="Z276" s="1247"/>
      <c r="AA276" s="1247"/>
      <c r="AB276" s="1247" t="s">
        <v>1259</v>
      </c>
      <c r="AC276" s="1247" t="s">
        <v>1260</v>
      </c>
      <c r="AD276" s="1248" t="s">
        <v>1032</v>
      </c>
      <c r="AE276" s="1247">
        <v>0.969</v>
      </c>
      <c r="AF276" s="1248">
        <f t="shared" si="91"/>
        <v>5472.912</v>
      </c>
      <c r="AG276" s="1249" t="s">
        <v>1261</v>
      </c>
      <c r="AH276" s="1234" t="s">
        <v>91</v>
      </c>
      <c r="AI276" s="1234" t="s">
        <v>112</v>
      </c>
      <c r="AJ276" s="1234"/>
      <c r="AK276" s="1188">
        <f t="shared" si="92"/>
        <v>5648</v>
      </c>
      <c r="AL276" s="1188"/>
      <c r="AM276" s="1188"/>
      <c r="AN276" s="1188">
        <f t="shared" ref="AN276:AN283" si="93">I276</f>
        <v>5648</v>
      </c>
      <c r="AO276" s="1188"/>
      <c r="AP276" s="1188"/>
      <c r="AQ276" s="1240"/>
      <c r="AR276" s="1188"/>
      <c r="AS276" s="1236"/>
      <c r="AT276" s="1236"/>
      <c r="AU276" s="1188">
        <f>I276</f>
        <v>5648</v>
      </c>
      <c r="AV276" s="1250">
        <f t="shared" si="90"/>
        <v>677.76</v>
      </c>
      <c r="AW276" s="1250"/>
      <c r="AX276" s="1188"/>
      <c r="AY276" s="1188"/>
      <c r="AZ276" s="1188"/>
      <c r="BA276" s="1188"/>
      <c r="BB276" s="1188"/>
      <c r="BC276" s="1188"/>
      <c r="BD276" s="1188"/>
      <c r="BE276" s="1188"/>
      <c r="BF276" s="1188"/>
      <c r="BG276" s="1188"/>
      <c r="BH276" s="1188"/>
      <c r="BI276" s="1188"/>
      <c r="BJ276" s="1188"/>
      <c r="BK276" s="1188"/>
      <c r="BL276" s="1188"/>
      <c r="BM276" s="1188"/>
      <c r="BN276" s="1188"/>
      <c r="BO276" s="1240"/>
      <c r="BP276" s="1240"/>
      <c r="BQ276" s="1188"/>
      <c r="BR276" s="1236"/>
      <c r="BS276" s="1236"/>
      <c r="BT276" s="1188"/>
      <c r="BU276" s="1188"/>
      <c r="BV276" s="1240"/>
      <c r="BW276" s="1188"/>
      <c r="BX276" s="1188"/>
      <c r="BY276" s="1188"/>
      <c r="BZ276" s="1188"/>
      <c r="CA276" s="1188"/>
      <c r="CB276" s="1188"/>
      <c r="CC276" s="1188"/>
      <c r="CD276" s="1188">
        <f t="shared" si="83"/>
        <v>0</v>
      </c>
      <c r="CE276" s="1188">
        <f t="shared" ref="CE276:CE339" si="94">BU276</f>
        <v>0</v>
      </c>
      <c r="CF276" s="1188">
        <f t="shared" si="85"/>
        <v>0</v>
      </c>
      <c r="CG276" s="1188">
        <f t="shared" si="86"/>
        <v>0</v>
      </c>
      <c r="CH276" s="1236"/>
      <c r="CI276" s="1236"/>
      <c r="CJ276" s="1236"/>
      <c r="CK276" s="1188"/>
      <c r="CL276" s="1188"/>
    </row>
    <row r="277" s="1168" customFormat="1" customHeight="1" spans="1:90">
      <c r="A277" s="1245">
        <v>46155</v>
      </c>
      <c r="B277" s="1247" t="s">
        <v>1253</v>
      </c>
      <c r="C277" s="1234" t="s">
        <v>115</v>
      </c>
      <c r="D277" s="1188" t="s">
        <v>1254</v>
      </c>
      <c r="E277" s="1234" t="s">
        <v>1262</v>
      </c>
      <c r="F277" s="1188" t="s">
        <v>1263</v>
      </c>
      <c r="G277" s="1253" t="s">
        <v>91</v>
      </c>
      <c r="H277" s="1234" t="s">
        <v>92</v>
      </c>
      <c r="I277" s="1254">
        <v>6352</v>
      </c>
      <c r="J277" s="1234">
        <v>0</v>
      </c>
      <c r="K277" s="1234">
        <v>24</v>
      </c>
      <c r="L277" s="1246">
        <f t="shared" si="87"/>
        <v>264.666666666667</v>
      </c>
      <c r="M277" s="1255">
        <v>46197</v>
      </c>
      <c r="N277" s="1255">
        <v>46212</v>
      </c>
      <c r="O277" s="1255"/>
      <c r="P277" s="1233"/>
      <c r="Q277" s="1255" t="s">
        <v>106</v>
      </c>
      <c r="R277" s="1234" t="s">
        <v>1264</v>
      </c>
      <c r="S277" s="1234"/>
      <c r="T277" s="1233">
        <v>6352</v>
      </c>
      <c r="U277" s="1233">
        <f t="shared" si="74"/>
        <v>0</v>
      </c>
      <c r="V277" s="1234"/>
      <c r="W277" s="1238" t="s">
        <v>94</v>
      </c>
      <c r="X277" s="1227" t="s">
        <v>95</v>
      </c>
      <c r="Y277" s="1227" t="s">
        <v>1258</v>
      </c>
      <c r="Z277" s="1247"/>
      <c r="AA277" s="1247"/>
      <c r="AB277" s="1247" t="s">
        <v>1259</v>
      </c>
      <c r="AC277" s="1247" t="s">
        <v>1260</v>
      </c>
      <c r="AD277" s="1248" t="s">
        <v>1032</v>
      </c>
      <c r="AE277" s="1247">
        <v>0.969</v>
      </c>
      <c r="AF277" s="1248">
        <f t="shared" si="91"/>
        <v>6155.088</v>
      </c>
      <c r="AG277" s="1249" t="s">
        <v>1261</v>
      </c>
      <c r="AH277" s="1234" t="s">
        <v>91</v>
      </c>
      <c r="AI277" s="1234" t="s">
        <v>112</v>
      </c>
      <c r="AJ277" s="1234"/>
      <c r="AK277" s="1188">
        <f t="shared" si="92"/>
        <v>6352</v>
      </c>
      <c r="AL277" s="1188"/>
      <c r="AM277" s="1188"/>
      <c r="AN277" s="1188">
        <f t="shared" si="93"/>
        <v>6352</v>
      </c>
      <c r="AO277" s="1188"/>
      <c r="AP277" s="1188"/>
      <c r="AQ277" s="1240"/>
      <c r="AR277" s="1188"/>
      <c r="AS277" s="1236"/>
      <c r="AT277" s="1236"/>
      <c r="AU277" s="1188">
        <f>I277</f>
        <v>6352</v>
      </c>
      <c r="AV277" s="1250">
        <f t="shared" si="90"/>
        <v>762.24</v>
      </c>
      <c r="AW277" s="1250"/>
      <c r="AX277" s="1188"/>
      <c r="AY277" s="1188"/>
      <c r="AZ277" s="1188"/>
      <c r="BA277" s="1188"/>
      <c r="BB277" s="1188"/>
      <c r="BC277" s="1188"/>
      <c r="BD277" s="1188"/>
      <c r="BE277" s="1188"/>
      <c r="BF277" s="1188"/>
      <c r="BG277" s="1188"/>
      <c r="BH277" s="1188"/>
      <c r="BI277" s="1188"/>
      <c r="BJ277" s="1188"/>
      <c r="BK277" s="1188"/>
      <c r="BL277" s="1188"/>
      <c r="BM277" s="1188"/>
      <c r="BN277" s="1188"/>
      <c r="BO277" s="1240"/>
      <c r="BP277" s="1240"/>
      <c r="BQ277" s="1188"/>
      <c r="BR277" s="1236"/>
      <c r="BS277" s="1236"/>
      <c r="BT277" s="1188"/>
      <c r="BU277" s="1188"/>
      <c r="BV277" s="1240"/>
      <c r="BW277" s="1188"/>
      <c r="BX277" s="1188"/>
      <c r="BY277" s="1188"/>
      <c r="BZ277" s="1188"/>
      <c r="CA277" s="1188"/>
      <c r="CB277" s="1188"/>
      <c r="CC277" s="1188"/>
      <c r="CD277" s="1188">
        <f t="shared" si="83"/>
        <v>0</v>
      </c>
      <c r="CE277" s="1188">
        <f t="shared" si="94"/>
        <v>0</v>
      </c>
      <c r="CF277" s="1188">
        <f t="shared" si="85"/>
        <v>0</v>
      </c>
      <c r="CG277" s="1188">
        <f t="shared" si="86"/>
        <v>0</v>
      </c>
      <c r="CH277" s="1236"/>
      <c r="CI277" s="1236"/>
      <c r="CJ277" s="1236"/>
      <c r="CK277" s="1188"/>
      <c r="CL277" s="1188"/>
    </row>
    <row r="278" s="1168" customFormat="1" customHeight="1" spans="1:90">
      <c r="A278" s="1245">
        <v>46135</v>
      </c>
      <c r="B278" s="1247" t="s">
        <v>874</v>
      </c>
      <c r="C278" s="1234" t="s">
        <v>135</v>
      </c>
      <c r="D278" s="1268">
        <v>4500203396</v>
      </c>
      <c r="E278" s="1233">
        <v>2809368</v>
      </c>
      <c r="F278" s="1188" t="s">
        <v>1265</v>
      </c>
      <c r="G278" s="1253" t="s">
        <v>283</v>
      </c>
      <c r="H278" s="1234" t="s">
        <v>194</v>
      </c>
      <c r="I278" s="1254">
        <v>17212</v>
      </c>
      <c r="J278" s="1234">
        <v>0</v>
      </c>
      <c r="K278" s="1234">
        <v>13</v>
      </c>
      <c r="L278" s="1246">
        <f t="shared" si="87"/>
        <v>1324</v>
      </c>
      <c r="M278" s="1255">
        <v>46197</v>
      </c>
      <c r="N278" s="1255">
        <v>46217</v>
      </c>
      <c r="O278" s="1255" t="s">
        <v>736</v>
      </c>
      <c r="P278" s="1233"/>
      <c r="Q278" s="1255" t="s">
        <v>106</v>
      </c>
      <c r="R278" s="1234"/>
      <c r="S278" s="1234"/>
      <c r="T278" s="1233">
        <v>17212</v>
      </c>
      <c r="U278" s="1233">
        <f t="shared" si="74"/>
        <v>0</v>
      </c>
      <c r="V278" s="1234"/>
      <c r="W278" s="1238">
        <v>46135</v>
      </c>
      <c r="X278" s="1227" t="s">
        <v>95</v>
      </c>
      <c r="Y278" s="1227" t="s">
        <v>1266</v>
      </c>
      <c r="Z278" s="1247" t="s">
        <v>1267</v>
      </c>
      <c r="AA278" s="1247"/>
      <c r="AB278" s="1247"/>
      <c r="AC278" s="1247" t="s">
        <v>1268</v>
      </c>
      <c r="AD278" s="1248" t="s">
        <v>236</v>
      </c>
      <c r="AE278" s="1247">
        <v>1.0391</v>
      </c>
      <c r="AF278" s="1248">
        <f t="shared" si="91"/>
        <v>17884.9892</v>
      </c>
      <c r="AG278" s="1258"/>
      <c r="AH278" s="1234" t="s">
        <v>510</v>
      </c>
      <c r="AI278" s="1234" t="s">
        <v>112</v>
      </c>
      <c r="AJ278" s="1234" t="s">
        <v>113</v>
      </c>
      <c r="AK278" s="1188">
        <f t="shared" si="92"/>
        <v>17212</v>
      </c>
      <c r="AL278" s="1188"/>
      <c r="AM278" s="1188"/>
      <c r="AN278" s="1188">
        <f t="shared" si="93"/>
        <v>17212</v>
      </c>
      <c r="AO278" s="1188"/>
      <c r="AP278" s="1188"/>
      <c r="AQ278" s="1240"/>
      <c r="AR278" s="1188"/>
      <c r="AS278" s="1236"/>
      <c r="AT278" s="1236"/>
      <c r="AU278" s="1188"/>
      <c r="AV278" s="1250">
        <f t="shared" si="90"/>
        <v>2065.44</v>
      </c>
      <c r="AW278" s="1250">
        <f>I278</f>
        <v>17212</v>
      </c>
      <c r="AX278" s="1188"/>
      <c r="AY278" s="1188"/>
      <c r="AZ278" s="1188"/>
      <c r="BA278" s="1188"/>
      <c r="BB278" s="1188"/>
      <c r="BC278" s="1188"/>
      <c r="BD278" s="1188"/>
      <c r="BE278" s="1188"/>
      <c r="BF278" s="1188"/>
      <c r="BG278" s="1188"/>
      <c r="BH278" s="1188"/>
      <c r="BI278" s="1188"/>
      <c r="BJ278" s="1188"/>
      <c r="BK278" s="1188">
        <f>I278/13</f>
        <v>1324</v>
      </c>
      <c r="BL278" s="1188"/>
      <c r="BM278" s="1188"/>
      <c r="BN278" s="1188"/>
      <c r="BO278" s="1240"/>
      <c r="BP278" s="1240"/>
      <c r="BQ278" s="1188"/>
      <c r="BR278" s="1236"/>
      <c r="BS278" s="1236"/>
      <c r="BT278" s="1188"/>
      <c r="BU278" s="1188"/>
      <c r="BV278" s="1240"/>
      <c r="BW278" s="1188"/>
      <c r="BX278" s="1188"/>
      <c r="BY278" s="1188"/>
      <c r="BZ278" s="1188"/>
      <c r="CA278" s="1188"/>
      <c r="CB278" s="1188"/>
      <c r="CC278" s="1188"/>
      <c r="CD278" s="1188">
        <f t="shared" si="83"/>
        <v>0</v>
      </c>
      <c r="CE278" s="1188">
        <f t="shared" si="94"/>
        <v>0</v>
      </c>
      <c r="CF278" s="1188">
        <f t="shared" si="85"/>
        <v>0</v>
      </c>
      <c r="CG278" s="1188">
        <f t="shared" si="86"/>
        <v>0</v>
      </c>
      <c r="CH278" s="1236"/>
      <c r="CI278" s="1236"/>
      <c r="CJ278" s="1236"/>
      <c r="CK278" s="1188"/>
      <c r="CL278" s="1188"/>
    </row>
    <row r="279" s="1168" customFormat="1" customHeight="1" spans="1:90">
      <c r="A279" s="1245">
        <v>46139</v>
      </c>
      <c r="B279" s="1247" t="s">
        <v>223</v>
      </c>
      <c r="C279" s="1234" t="s">
        <v>319</v>
      </c>
      <c r="D279" s="1268">
        <v>4500204354</v>
      </c>
      <c r="E279" s="1234" t="s">
        <v>1269</v>
      </c>
      <c r="F279" s="1188" t="s">
        <v>1270</v>
      </c>
      <c r="G279" s="1253" t="s">
        <v>174</v>
      </c>
      <c r="H279" s="1234" t="s">
        <v>175</v>
      </c>
      <c r="I279" s="1254">
        <v>2080</v>
      </c>
      <c r="J279" s="1234">
        <v>0</v>
      </c>
      <c r="K279" s="1234">
        <v>52</v>
      </c>
      <c r="L279" s="1246">
        <f t="shared" si="87"/>
        <v>40</v>
      </c>
      <c r="M279" s="1255">
        <v>46197</v>
      </c>
      <c r="N279" s="1255">
        <v>46217</v>
      </c>
      <c r="O279" s="1255" t="s">
        <v>736</v>
      </c>
      <c r="P279" s="1233"/>
      <c r="Q279" s="1255" t="s">
        <v>106</v>
      </c>
      <c r="R279" s="1234"/>
      <c r="S279" s="1234"/>
      <c r="T279" s="1233">
        <v>2080</v>
      </c>
      <c r="U279" s="1233">
        <f t="shared" si="74"/>
        <v>0</v>
      </c>
      <c r="V279" s="1234"/>
      <c r="W279" s="1238">
        <v>46139</v>
      </c>
      <c r="X279" s="1227" t="s">
        <v>95</v>
      </c>
      <c r="Y279" s="1227" t="s">
        <v>1271</v>
      </c>
      <c r="Z279" s="1247"/>
      <c r="AA279" s="1247"/>
      <c r="AB279" s="1247"/>
      <c r="AC279" s="1247" t="s">
        <v>1272</v>
      </c>
      <c r="AD279" s="1248" t="s">
        <v>222</v>
      </c>
      <c r="AE279" s="1247">
        <v>1.0329</v>
      </c>
      <c r="AF279" s="1248">
        <f t="shared" si="91"/>
        <v>2148.432</v>
      </c>
      <c r="AG279" s="1258"/>
      <c r="AH279" s="1234" t="s">
        <v>174</v>
      </c>
      <c r="AI279" s="1234" t="s">
        <v>112</v>
      </c>
      <c r="AJ279" s="1234" t="s">
        <v>113</v>
      </c>
      <c r="AK279" s="1188">
        <f t="shared" si="92"/>
        <v>2080</v>
      </c>
      <c r="AL279" s="1188"/>
      <c r="AM279" s="1188"/>
      <c r="AN279" s="1188">
        <f t="shared" si="93"/>
        <v>2080</v>
      </c>
      <c r="AO279" s="1188"/>
      <c r="AP279" s="1188"/>
      <c r="AQ279" s="1240"/>
      <c r="AR279" s="1188"/>
      <c r="AS279" s="1236"/>
      <c r="AT279" s="1236"/>
      <c r="AU279" s="1188">
        <f>I279</f>
        <v>2080</v>
      </c>
      <c r="AV279" s="1250">
        <f t="shared" si="90"/>
        <v>249.6</v>
      </c>
      <c r="AW279" s="1250"/>
      <c r="AX279" s="1188"/>
      <c r="AY279" s="1188"/>
      <c r="AZ279" s="1188"/>
      <c r="BA279" s="1188"/>
      <c r="BB279" s="1188"/>
      <c r="BC279" s="1188"/>
      <c r="BD279" s="1188"/>
      <c r="BE279" s="1188"/>
      <c r="BF279" s="1188"/>
      <c r="BG279" s="1188"/>
      <c r="BH279" s="1188"/>
      <c r="BI279" s="1188"/>
      <c r="BJ279" s="1188"/>
      <c r="BK279" s="1188">
        <f>I279/13</f>
        <v>160</v>
      </c>
      <c r="BL279" s="1188"/>
      <c r="BM279" s="1188"/>
      <c r="BN279" s="1188"/>
      <c r="BO279" s="1240"/>
      <c r="BP279" s="1240"/>
      <c r="BQ279" s="1188"/>
      <c r="BR279" s="1236"/>
      <c r="BS279" s="1236"/>
      <c r="BT279" s="1188"/>
      <c r="BU279" s="1188"/>
      <c r="BV279" s="1240"/>
      <c r="BW279" s="1188"/>
      <c r="BX279" s="1188"/>
      <c r="BY279" s="1188"/>
      <c r="BZ279" s="1188"/>
      <c r="CA279" s="1188"/>
      <c r="CB279" s="1188"/>
      <c r="CC279" s="1188"/>
      <c r="CD279" s="1188">
        <f t="shared" si="83"/>
        <v>0</v>
      </c>
      <c r="CE279" s="1188">
        <f t="shared" si="94"/>
        <v>0</v>
      </c>
      <c r="CF279" s="1188">
        <f t="shared" si="85"/>
        <v>0</v>
      </c>
      <c r="CG279" s="1188">
        <f t="shared" si="86"/>
        <v>0</v>
      </c>
      <c r="CH279" s="1236"/>
      <c r="CI279" s="1236"/>
      <c r="CJ279" s="1236"/>
      <c r="CK279" s="1188"/>
      <c r="CL279" s="1188"/>
    </row>
    <row r="280" s="1168" customFormat="1" customHeight="1" spans="1:90">
      <c r="A280" s="1245">
        <v>46080</v>
      </c>
      <c r="B280" s="1247" t="s">
        <v>467</v>
      </c>
      <c r="C280" s="1234" t="s">
        <v>115</v>
      </c>
      <c r="D280" s="1188">
        <v>4500194426</v>
      </c>
      <c r="E280" s="1234">
        <v>8216882</v>
      </c>
      <c r="F280" s="1188" t="s">
        <v>1273</v>
      </c>
      <c r="G280" s="1253" t="s">
        <v>248</v>
      </c>
      <c r="H280" s="1234" t="s">
        <v>249</v>
      </c>
      <c r="I280" s="1254">
        <v>3036</v>
      </c>
      <c r="J280" s="1234">
        <v>0</v>
      </c>
      <c r="K280" s="1234">
        <v>6</v>
      </c>
      <c r="L280" s="1246">
        <f t="shared" si="87"/>
        <v>506</v>
      </c>
      <c r="M280" s="1255">
        <v>46197</v>
      </c>
      <c r="N280" s="1255">
        <v>46217</v>
      </c>
      <c r="O280" s="1255" t="s">
        <v>736</v>
      </c>
      <c r="P280" s="1233"/>
      <c r="Q280" s="1255" t="s">
        <v>106</v>
      </c>
      <c r="R280" s="1234"/>
      <c r="S280" s="1234" t="s">
        <v>718</v>
      </c>
      <c r="T280" s="1233">
        <v>3036</v>
      </c>
      <c r="U280" s="1233">
        <f t="shared" ref="U280:U343" si="95">T280-I280</f>
        <v>0</v>
      </c>
      <c r="V280" s="1234"/>
      <c r="W280" s="1238" t="s">
        <v>470</v>
      </c>
      <c r="X280" s="1227" t="s">
        <v>95</v>
      </c>
      <c r="Y280" s="1227" t="s">
        <v>95</v>
      </c>
      <c r="Z280" s="1247"/>
      <c r="AA280" s="1247"/>
      <c r="AB280" s="1247"/>
      <c r="AC280" s="1247" t="s">
        <v>1274</v>
      </c>
      <c r="AD280" s="1248" t="s">
        <v>473</v>
      </c>
      <c r="AE280" s="1247">
        <v>1.248</v>
      </c>
      <c r="AF280" s="1248">
        <f t="shared" si="91"/>
        <v>3788.928</v>
      </c>
      <c r="AG280" s="1249" t="s">
        <v>1275</v>
      </c>
      <c r="AH280" s="1234" t="s">
        <v>248</v>
      </c>
      <c r="AI280" s="1234" t="s">
        <v>112</v>
      </c>
      <c r="AJ280" s="1234" t="s">
        <v>113</v>
      </c>
      <c r="AK280" s="1188">
        <f t="shared" si="92"/>
        <v>3036</v>
      </c>
      <c r="AL280" s="1188"/>
      <c r="AM280" s="1188"/>
      <c r="AN280" s="1188">
        <f t="shared" si="93"/>
        <v>3036</v>
      </c>
      <c r="AO280" s="1188"/>
      <c r="AP280" s="1188"/>
      <c r="AQ280" s="1240"/>
      <c r="AR280" s="1188"/>
      <c r="AS280" s="1236"/>
      <c r="AT280" s="1236"/>
      <c r="AU280" s="1188">
        <f>I280</f>
        <v>3036</v>
      </c>
      <c r="AV280" s="1250">
        <f>I280*0.06</f>
        <v>182.16</v>
      </c>
      <c r="AW280" s="1250"/>
      <c r="AX280" s="1188"/>
      <c r="AY280" s="1188"/>
      <c r="AZ280" s="1188"/>
      <c r="BA280" s="1188"/>
      <c r="BB280" s="1188"/>
      <c r="BC280" s="1188"/>
      <c r="BD280" s="1188"/>
      <c r="BE280" s="1188"/>
      <c r="BF280" s="1188"/>
      <c r="BG280" s="1188"/>
      <c r="BH280" s="1188"/>
      <c r="BI280" s="1188"/>
      <c r="BJ280" s="1188"/>
      <c r="BK280" s="1188"/>
      <c r="BL280" s="1188"/>
      <c r="BM280" s="1188"/>
      <c r="BN280" s="1188"/>
      <c r="BO280" s="1240"/>
      <c r="BP280" s="1240"/>
      <c r="BQ280" s="1188"/>
      <c r="BR280" s="1236"/>
      <c r="BS280" s="1236"/>
      <c r="BT280" s="1188">
        <f>I280/6</f>
        <v>506</v>
      </c>
      <c r="BU280" s="1188"/>
      <c r="BV280" s="1240"/>
      <c r="BW280" s="1188"/>
      <c r="BX280" s="1188"/>
      <c r="BY280" s="1188"/>
      <c r="BZ280" s="1188"/>
      <c r="CA280" s="1188"/>
      <c r="CB280" s="1188"/>
      <c r="CC280" s="1188"/>
      <c r="CD280" s="1188">
        <f t="shared" si="83"/>
        <v>0</v>
      </c>
      <c r="CE280" s="1188">
        <f t="shared" si="94"/>
        <v>0</v>
      </c>
      <c r="CF280" s="1188">
        <f t="shared" si="85"/>
        <v>0</v>
      </c>
      <c r="CG280" s="1188">
        <f t="shared" si="86"/>
        <v>0</v>
      </c>
      <c r="CH280" s="1236"/>
      <c r="CI280" s="1236"/>
      <c r="CJ280" s="1236"/>
      <c r="CK280" s="1188"/>
      <c r="CL280" s="1188"/>
    </row>
    <row r="281" s="1168" customFormat="1" customHeight="1" spans="1:90">
      <c r="A281" s="1245">
        <v>46080</v>
      </c>
      <c r="B281" s="1247" t="s">
        <v>467</v>
      </c>
      <c r="C281" s="1234" t="s">
        <v>115</v>
      </c>
      <c r="D281" s="1188">
        <v>4500194426</v>
      </c>
      <c r="E281" s="1234">
        <v>3725902</v>
      </c>
      <c r="F281" s="1188" t="s">
        <v>1276</v>
      </c>
      <c r="G281" s="1253" t="s">
        <v>248</v>
      </c>
      <c r="H281" s="1234" t="s">
        <v>859</v>
      </c>
      <c r="I281" s="1254">
        <v>3270</v>
      </c>
      <c r="J281" s="1234">
        <v>0</v>
      </c>
      <c r="K281" s="1234">
        <v>6</v>
      </c>
      <c r="L281" s="1246">
        <f t="shared" si="87"/>
        <v>545</v>
      </c>
      <c r="M281" s="1255">
        <v>46197</v>
      </c>
      <c r="N281" s="1255">
        <v>46217</v>
      </c>
      <c r="O281" s="1255" t="s">
        <v>736</v>
      </c>
      <c r="P281" s="1233"/>
      <c r="Q281" s="1255" t="s">
        <v>106</v>
      </c>
      <c r="R281" s="1234"/>
      <c r="S281" s="1234" t="s">
        <v>718</v>
      </c>
      <c r="T281" s="1233">
        <f>3108+162</f>
        <v>3270</v>
      </c>
      <c r="U281" s="1233">
        <f t="shared" si="95"/>
        <v>0</v>
      </c>
      <c r="V281" s="1234"/>
      <c r="W281" s="1238" t="s">
        <v>470</v>
      </c>
      <c r="X281" s="1227" t="s">
        <v>95</v>
      </c>
      <c r="Y281" s="1227" t="s">
        <v>95</v>
      </c>
      <c r="Z281" s="1247"/>
      <c r="AA281" s="1247"/>
      <c r="AB281" s="1247"/>
      <c r="AC281" s="1247" t="s">
        <v>1274</v>
      </c>
      <c r="AD281" s="1248" t="s">
        <v>473</v>
      </c>
      <c r="AE281" s="1247">
        <v>1.248</v>
      </c>
      <c r="AF281" s="1248">
        <f t="shared" si="91"/>
        <v>4080.96</v>
      </c>
      <c r="AG281" s="1249" t="s">
        <v>1275</v>
      </c>
      <c r="AH281" s="1234" t="s">
        <v>248</v>
      </c>
      <c r="AI281" s="1234" t="s">
        <v>112</v>
      </c>
      <c r="AJ281" s="1234" t="s">
        <v>113</v>
      </c>
      <c r="AK281" s="1188">
        <f t="shared" si="92"/>
        <v>3270</v>
      </c>
      <c r="AL281" s="1188"/>
      <c r="AM281" s="1188"/>
      <c r="AN281" s="1188">
        <f t="shared" si="93"/>
        <v>3270</v>
      </c>
      <c r="AO281" s="1188"/>
      <c r="AP281" s="1188"/>
      <c r="AQ281" s="1240"/>
      <c r="AR281" s="1188"/>
      <c r="AS281" s="1236"/>
      <c r="AT281" s="1236"/>
      <c r="AU281" s="1188">
        <f>I281</f>
        <v>3270</v>
      </c>
      <c r="AV281" s="1250">
        <f>I281*0.06</f>
        <v>196.2</v>
      </c>
      <c r="AW281" s="1250"/>
      <c r="AX281" s="1188"/>
      <c r="AY281" s="1188"/>
      <c r="AZ281" s="1188"/>
      <c r="BA281" s="1188"/>
      <c r="BB281" s="1188"/>
      <c r="BC281" s="1188"/>
      <c r="BD281" s="1188"/>
      <c r="BE281" s="1188"/>
      <c r="BF281" s="1188"/>
      <c r="BG281" s="1188"/>
      <c r="BH281" s="1188"/>
      <c r="BI281" s="1188"/>
      <c r="BJ281" s="1188"/>
      <c r="BK281" s="1188"/>
      <c r="BL281" s="1188"/>
      <c r="BM281" s="1188"/>
      <c r="BN281" s="1188"/>
      <c r="BO281" s="1240"/>
      <c r="BP281" s="1240"/>
      <c r="BQ281" s="1188"/>
      <c r="BR281" s="1236"/>
      <c r="BS281" s="1236"/>
      <c r="BT281" s="1188">
        <f>I281/6</f>
        <v>545</v>
      </c>
      <c r="BU281" s="1188"/>
      <c r="BV281" s="1240"/>
      <c r="BW281" s="1188"/>
      <c r="BX281" s="1188"/>
      <c r="BY281" s="1188"/>
      <c r="BZ281" s="1188"/>
      <c r="CA281" s="1188"/>
      <c r="CB281" s="1188"/>
      <c r="CC281" s="1188"/>
      <c r="CD281" s="1188">
        <f t="shared" si="83"/>
        <v>0</v>
      </c>
      <c r="CE281" s="1188">
        <f t="shared" si="94"/>
        <v>0</v>
      </c>
      <c r="CF281" s="1188">
        <f t="shared" si="85"/>
        <v>0</v>
      </c>
      <c r="CG281" s="1188">
        <f t="shared" si="86"/>
        <v>0</v>
      </c>
      <c r="CH281" s="1236"/>
      <c r="CI281" s="1236"/>
      <c r="CJ281" s="1236"/>
      <c r="CK281" s="1188"/>
      <c r="CL281" s="1188"/>
    </row>
    <row r="282" s="1168" customFormat="1" customHeight="1" spans="1:90">
      <c r="A282" s="1245">
        <v>46185</v>
      </c>
      <c r="B282" s="1247"/>
      <c r="C282" s="1234" t="s">
        <v>597</v>
      </c>
      <c r="D282" s="1188" t="s">
        <v>1277</v>
      </c>
      <c r="E282" s="1234"/>
      <c r="F282" s="1188" t="s">
        <v>1278</v>
      </c>
      <c r="G282" s="1253" t="s">
        <v>380</v>
      </c>
      <c r="H282" s="1234" t="s">
        <v>1279</v>
      </c>
      <c r="I282" s="1254">
        <v>80</v>
      </c>
      <c r="J282" s="1234">
        <v>0</v>
      </c>
      <c r="K282" s="1234">
        <v>16</v>
      </c>
      <c r="L282" s="1246">
        <f t="shared" si="87"/>
        <v>5</v>
      </c>
      <c r="M282" s="1255">
        <v>46198</v>
      </c>
      <c r="N282" s="1255">
        <v>46193</v>
      </c>
      <c r="O282" s="1255"/>
      <c r="P282" s="1233"/>
      <c r="Q282" s="1326"/>
      <c r="R282" s="1234"/>
      <c r="S282" s="1234" t="s">
        <v>1280</v>
      </c>
      <c r="T282" s="1233">
        <v>80</v>
      </c>
      <c r="U282" s="1233">
        <f t="shared" si="95"/>
        <v>0</v>
      </c>
      <c r="V282" s="1234"/>
      <c r="W282" s="1238" t="s">
        <v>94</v>
      </c>
      <c r="X282" s="1227" t="s">
        <v>95</v>
      </c>
      <c r="Y282" s="1227" t="s">
        <v>95</v>
      </c>
      <c r="Z282" s="1247"/>
      <c r="AA282" s="1247"/>
      <c r="AB282" s="1247"/>
      <c r="AC282" s="1247" t="s">
        <v>1281</v>
      </c>
      <c r="AD282" s="1255" t="s">
        <v>1191</v>
      </c>
      <c r="AE282" s="1188"/>
      <c r="AF282" s="1248"/>
      <c r="AG282" s="1258"/>
      <c r="AH282" s="1253" t="s">
        <v>380</v>
      </c>
      <c r="AI282" s="1234" t="s">
        <v>112</v>
      </c>
      <c r="AJ282" s="1234" t="s">
        <v>113</v>
      </c>
      <c r="AK282" s="1188">
        <f t="shared" si="92"/>
        <v>80</v>
      </c>
      <c r="AL282" s="1188"/>
      <c r="AM282" s="1188"/>
      <c r="AN282" s="1188">
        <f t="shared" si="93"/>
        <v>80</v>
      </c>
      <c r="AO282" s="1188"/>
      <c r="AP282" s="1188"/>
      <c r="AQ282" s="1240"/>
      <c r="AR282" s="1188"/>
      <c r="AS282" s="1236"/>
      <c r="AT282" s="1236"/>
      <c r="AU282" s="1188">
        <f>I282</f>
        <v>80</v>
      </c>
      <c r="AV282" s="1250"/>
      <c r="AW282" s="1250"/>
      <c r="AX282" s="1188"/>
      <c r="AY282" s="1188"/>
      <c r="AZ282" s="1188"/>
      <c r="BA282" s="1188"/>
      <c r="BB282" s="1188"/>
      <c r="BC282" s="1188"/>
      <c r="BD282" s="1188"/>
      <c r="BE282" s="1188"/>
      <c r="BF282" s="1188"/>
      <c r="BG282" s="1188"/>
      <c r="BH282" s="1188"/>
      <c r="BI282" s="1188"/>
      <c r="BJ282" s="1188"/>
      <c r="BK282" s="1188"/>
      <c r="BL282" s="1188"/>
      <c r="BM282" s="1188"/>
      <c r="BN282" s="1188"/>
      <c r="BO282" s="1240"/>
      <c r="BP282" s="1240"/>
      <c r="BQ282" s="1188"/>
      <c r="BR282" s="1236"/>
      <c r="BS282" s="1236"/>
      <c r="BT282" s="1188"/>
      <c r="BU282" s="1188"/>
      <c r="BV282" s="1240"/>
      <c r="BW282" s="1188"/>
      <c r="BX282" s="1188"/>
      <c r="BY282" s="1188"/>
      <c r="BZ282" s="1188"/>
      <c r="CA282" s="1188"/>
      <c r="CB282" s="1188"/>
      <c r="CC282" s="1188"/>
      <c r="CD282" s="1188">
        <f t="shared" si="83"/>
        <v>0</v>
      </c>
      <c r="CE282" s="1188">
        <f t="shared" si="94"/>
        <v>0</v>
      </c>
      <c r="CF282" s="1188">
        <f t="shared" si="85"/>
        <v>0</v>
      </c>
      <c r="CG282" s="1188">
        <f t="shared" si="86"/>
        <v>0</v>
      </c>
      <c r="CH282" s="1236"/>
      <c r="CI282" s="1236"/>
      <c r="CJ282" s="1236"/>
      <c r="CK282" s="1188"/>
      <c r="CL282" s="1188"/>
    </row>
    <row r="283" s="1168" customFormat="1" customHeight="1" spans="1:90">
      <c r="A283" s="1245">
        <v>46195</v>
      </c>
      <c r="B283" s="1247" t="s">
        <v>114</v>
      </c>
      <c r="C283" s="1234" t="s">
        <v>115</v>
      </c>
      <c r="D283" s="1188">
        <v>4500213227</v>
      </c>
      <c r="E283" s="1234" t="s">
        <v>1282</v>
      </c>
      <c r="F283" s="1188" t="s">
        <v>1283</v>
      </c>
      <c r="G283" s="1253" t="s">
        <v>118</v>
      </c>
      <c r="H283" s="1234" t="s">
        <v>104</v>
      </c>
      <c r="I283" s="1254">
        <v>100000</v>
      </c>
      <c r="J283" s="1234">
        <v>0</v>
      </c>
      <c r="K283" s="1234">
        <v>25</v>
      </c>
      <c r="L283" s="1246">
        <f t="shared" si="87"/>
        <v>4000</v>
      </c>
      <c r="M283" s="1255">
        <v>46198</v>
      </c>
      <c r="N283" s="1255">
        <v>46195</v>
      </c>
      <c r="O283" s="1255"/>
      <c r="P283" s="1233" t="s">
        <v>1284</v>
      </c>
      <c r="Q283" s="1255" t="s">
        <v>106</v>
      </c>
      <c r="R283" s="1234"/>
      <c r="S283" s="1234"/>
      <c r="T283" s="1233">
        <v>100000</v>
      </c>
      <c r="U283" s="1233">
        <f t="shared" si="95"/>
        <v>0</v>
      </c>
      <c r="V283" s="1234"/>
      <c r="W283" s="1238">
        <v>46197</v>
      </c>
      <c r="X283" s="1227" t="s">
        <v>107</v>
      </c>
      <c r="Y283" s="1227" t="s">
        <v>1285</v>
      </c>
      <c r="Z283" s="1247"/>
      <c r="AA283" s="1247"/>
      <c r="AB283" s="1247"/>
      <c r="AC283" s="1247" t="s">
        <v>1286</v>
      </c>
      <c r="AD283" s="1248" t="s">
        <v>123</v>
      </c>
      <c r="AE283" s="1247">
        <v>0.6291</v>
      </c>
      <c r="AF283" s="1248">
        <f>I283*AE283</f>
        <v>62910</v>
      </c>
      <c r="AG283" s="1266" t="s">
        <v>1287</v>
      </c>
      <c r="AH283" s="1234" t="s">
        <v>118</v>
      </c>
      <c r="AI283" s="1234" t="s">
        <v>112</v>
      </c>
      <c r="AJ283" s="1234" t="s">
        <v>113</v>
      </c>
      <c r="AK283" s="1188"/>
      <c r="AL283" s="1188"/>
      <c r="AM283" s="1188">
        <f>I283</f>
        <v>100000</v>
      </c>
      <c r="AN283" s="1188">
        <f t="shared" si="93"/>
        <v>100000</v>
      </c>
      <c r="AO283" s="1188"/>
      <c r="AP283" s="1188"/>
      <c r="AQ283" s="1240"/>
      <c r="AR283" s="1188"/>
      <c r="AS283" s="1236"/>
      <c r="AT283" s="1236"/>
      <c r="AU283" s="1188">
        <f>I283</f>
        <v>100000</v>
      </c>
      <c r="AV283" s="1250">
        <f>I283*0.06</f>
        <v>6000</v>
      </c>
      <c r="AW283" s="1250"/>
      <c r="AX283" s="1188"/>
      <c r="AY283" s="1188"/>
      <c r="AZ283" s="1188"/>
      <c r="BA283" s="1188"/>
      <c r="BB283" s="1188"/>
      <c r="BC283" s="1188"/>
      <c r="BD283" s="1188"/>
      <c r="BE283" s="1188"/>
      <c r="BF283" s="1188"/>
      <c r="BG283" s="1188"/>
      <c r="BH283" s="1188"/>
      <c r="BI283" s="1188"/>
      <c r="BJ283" s="1188"/>
      <c r="BK283" s="1188"/>
      <c r="BL283" s="1188"/>
      <c r="BM283" s="1188"/>
      <c r="BN283" s="1188"/>
      <c r="BO283" s="1240"/>
      <c r="BP283" s="1240"/>
      <c r="BQ283" s="1188"/>
      <c r="BR283" s="1236"/>
      <c r="BS283" s="1236"/>
      <c r="BT283" s="1188"/>
      <c r="BU283" s="1188">
        <f>I283/25</f>
        <v>4000</v>
      </c>
      <c r="BV283" s="1240"/>
      <c r="BW283" s="1188"/>
      <c r="BX283" s="1188"/>
      <c r="BY283" s="1188"/>
      <c r="BZ283" s="1188"/>
      <c r="CA283" s="1188"/>
      <c r="CB283" s="1188"/>
      <c r="CC283" s="1188"/>
      <c r="CD283" s="1188">
        <f t="shared" si="83"/>
        <v>0</v>
      </c>
      <c r="CE283" s="1188">
        <f t="shared" si="94"/>
        <v>4000</v>
      </c>
      <c r="CF283" s="1188">
        <f t="shared" si="85"/>
        <v>0</v>
      </c>
      <c r="CG283" s="1188">
        <f t="shared" si="86"/>
        <v>0</v>
      </c>
      <c r="CH283" s="1236"/>
      <c r="CI283" s="1236"/>
      <c r="CJ283" s="1236"/>
      <c r="CK283" s="1188"/>
      <c r="CL283" s="1188"/>
    </row>
    <row r="284" s="1168" customFormat="1" customHeight="1" spans="1:90">
      <c r="A284" s="1245">
        <v>46136</v>
      </c>
      <c r="B284" s="1247" t="s">
        <v>935</v>
      </c>
      <c r="C284" s="1234" t="s">
        <v>115</v>
      </c>
      <c r="D284" s="1268">
        <v>4500203849</v>
      </c>
      <c r="E284" s="1233">
        <v>9600512463</v>
      </c>
      <c r="F284" s="1188" t="s">
        <v>1288</v>
      </c>
      <c r="G284" s="1253" t="s">
        <v>482</v>
      </c>
      <c r="H284" s="1234" t="s">
        <v>483</v>
      </c>
      <c r="I284" s="1254">
        <v>4320</v>
      </c>
      <c r="J284" s="1234">
        <v>0</v>
      </c>
      <c r="K284" s="1234">
        <v>120</v>
      </c>
      <c r="L284" s="1246">
        <f t="shared" si="87"/>
        <v>36</v>
      </c>
      <c r="M284" s="1255">
        <v>46198</v>
      </c>
      <c r="N284" s="1255">
        <v>46207</v>
      </c>
      <c r="O284" s="1255" t="s">
        <v>736</v>
      </c>
      <c r="P284" s="1233"/>
      <c r="Q284" s="1255" t="s">
        <v>106</v>
      </c>
      <c r="R284" s="1234" t="s">
        <v>1289</v>
      </c>
      <c r="S284" s="1234"/>
      <c r="T284" s="1233">
        <v>4320</v>
      </c>
      <c r="U284" s="1233">
        <f t="shared" si="95"/>
        <v>0</v>
      </c>
      <c r="V284" s="1234"/>
      <c r="W284" s="1238">
        <v>46155</v>
      </c>
      <c r="X284" s="1227" t="s">
        <v>107</v>
      </c>
      <c r="Y284" s="1227" t="s">
        <v>95</v>
      </c>
      <c r="Z284" s="1247"/>
      <c r="AA284" s="1247"/>
      <c r="AB284" s="1247"/>
      <c r="AC284" s="1247" t="s">
        <v>937</v>
      </c>
      <c r="AD284" s="1248" t="s">
        <v>488</v>
      </c>
      <c r="AE284" s="1247">
        <v>642</v>
      </c>
      <c r="AF284" s="1248">
        <f>I284*AE284</f>
        <v>2773440</v>
      </c>
      <c r="AG284" s="1249" t="s">
        <v>1290</v>
      </c>
      <c r="AH284" s="1234" t="s">
        <v>490</v>
      </c>
      <c r="AI284" s="1234" t="s">
        <v>112</v>
      </c>
      <c r="AJ284" s="1234" t="s">
        <v>113</v>
      </c>
      <c r="AK284" s="1188"/>
      <c r="AL284" s="1188">
        <f>I284*3</f>
        <v>12960</v>
      </c>
      <c r="AM284" s="1188"/>
      <c r="AN284" s="1188"/>
      <c r="AO284" s="1188"/>
      <c r="AP284" s="1188"/>
      <c r="AQ284" s="1240"/>
      <c r="AR284" s="1188"/>
      <c r="AS284" s="1236"/>
      <c r="AT284" s="1236"/>
      <c r="AU284" s="1188"/>
      <c r="AV284" s="1250">
        <f>I284*0.06*2</f>
        <v>518.4</v>
      </c>
      <c r="AW284" s="1250"/>
      <c r="AX284" s="1188"/>
      <c r="AY284" s="1188"/>
      <c r="AZ284" s="1188"/>
      <c r="BA284" s="1188"/>
      <c r="BB284" s="1188">
        <f>I284*3</f>
        <v>12960</v>
      </c>
      <c r="BC284" s="1188">
        <f>I284*3</f>
        <v>12960</v>
      </c>
      <c r="BD284" s="1188">
        <f>I284*3</f>
        <v>12960</v>
      </c>
      <c r="BE284" s="1188">
        <f>I284</f>
        <v>4320</v>
      </c>
      <c r="BF284" s="1188">
        <f>I284/6</f>
        <v>720</v>
      </c>
      <c r="BG284" s="1188"/>
      <c r="BH284" s="1188"/>
      <c r="BI284" s="1188"/>
      <c r="BJ284" s="1188"/>
      <c r="BK284" s="1188"/>
      <c r="BL284" s="1188"/>
      <c r="BM284" s="1188"/>
      <c r="BN284" s="1188"/>
      <c r="BO284" s="1240"/>
      <c r="BP284" s="1240"/>
      <c r="BQ284" s="1188"/>
      <c r="BR284" s="1236"/>
      <c r="BS284" s="1236"/>
      <c r="BT284" s="1188"/>
      <c r="BU284" s="1188"/>
      <c r="BV284" s="1240"/>
      <c r="BW284" s="1188"/>
      <c r="BX284" s="1188"/>
      <c r="BY284" s="1188"/>
      <c r="BZ284" s="1188"/>
      <c r="CA284" s="1188"/>
      <c r="CB284" s="1188"/>
      <c r="CC284" s="1188"/>
      <c r="CD284" s="1188">
        <f t="shared" si="83"/>
        <v>0</v>
      </c>
      <c r="CE284" s="1188">
        <f t="shared" si="94"/>
        <v>0</v>
      </c>
      <c r="CF284" s="1188">
        <f t="shared" si="85"/>
        <v>0</v>
      </c>
      <c r="CG284" s="1188">
        <f t="shared" si="86"/>
        <v>0</v>
      </c>
      <c r="CH284" s="1236"/>
      <c r="CI284" s="1236"/>
      <c r="CJ284" s="1236"/>
      <c r="CK284" s="1188"/>
      <c r="CL284" s="1188"/>
    </row>
    <row r="285" s="1168" customFormat="1" customHeight="1" spans="1:90">
      <c r="A285" s="1245">
        <v>46136</v>
      </c>
      <c r="B285" s="1247" t="s">
        <v>935</v>
      </c>
      <c r="C285" s="1234" t="s">
        <v>115</v>
      </c>
      <c r="D285" s="1268">
        <v>4500203869</v>
      </c>
      <c r="E285" s="1233">
        <v>1710512327</v>
      </c>
      <c r="F285" s="1188" t="s">
        <v>1291</v>
      </c>
      <c r="G285" s="1253" t="s">
        <v>482</v>
      </c>
      <c r="H285" s="1234" t="s">
        <v>483</v>
      </c>
      <c r="I285" s="1254">
        <v>4320</v>
      </c>
      <c r="J285" s="1234">
        <v>0</v>
      </c>
      <c r="K285" s="1234">
        <v>120</v>
      </c>
      <c r="L285" s="1246">
        <f t="shared" si="87"/>
        <v>36</v>
      </c>
      <c r="M285" s="1255">
        <v>46198</v>
      </c>
      <c r="N285" s="1255">
        <v>46207</v>
      </c>
      <c r="O285" s="1255" t="s">
        <v>736</v>
      </c>
      <c r="P285" s="1233"/>
      <c r="Q285" s="1255" t="s">
        <v>106</v>
      </c>
      <c r="R285" s="1234" t="s">
        <v>1122</v>
      </c>
      <c r="S285" s="1234"/>
      <c r="T285" s="1233">
        <v>4320</v>
      </c>
      <c r="U285" s="1233">
        <f t="shared" si="95"/>
        <v>0</v>
      </c>
      <c r="V285" s="1234"/>
      <c r="W285" s="1238">
        <v>46155</v>
      </c>
      <c r="X285" s="1227" t="s">
        <v>107</v>
      </c>
      <c r="Y285" s="1227" t="s">
        <v>95</v>
      </c>
      <c r="Z285" s="1247"/>
      <c r="AA285" s="1247"/>
      <c r="AB285" s="1247"/>
      <c r="AC285" s="1247" t="s">
        <v>937</v>
      </c>
      <c r="AD285" s="1248" t="s">
        <v>488</v>
      </c>
      <c r="AE285" s="1247">
        <v>642</v>
      </c>
      <c r="AF285" s="1248">
        <f>I285*AE285</f>
        <v>2773440</v>
      </c>
      <c r="AG285" s="1249" t="s">
        <v>1292</v>
      </c>
      <c r="AH285" s="1234" t="s">
        <v>490</v>
      </c>
      <c r="AI285" s="1234" t="s">
        <v>112</v>
      </c>
      <c r="AJ285" s="1234" t="s">
        <v>113</v>
      </c>
      <c r="AK285" s="1188"/>
      <c r="AL285" s="1188">
        <f>I285*3</f>
        <v>12960</v>
      </c>
      <c r="AM285" s="1188"/>
      <c r="AN285" s="1188"/>
      <c r="AO285" s="1188"/>
      <c r="AP285" s="1188"/>
      <c r="AQ285" s="1240"/>
      <c r="AR285" s="1188"/>
      <c r="AS285" s="1236"/>
      <c r="AT285" s="1236"/>
      <c r="AU285" s="1188"/>
      <c r="AV285" s="1250">
        <f>I285*0.06*2</f>
        <v>518.4</v>
      </c>
      <c r="AW285" s="1250"/>
      <c r="AX285" s="1188"/>
      <c r="AY285" s="1188"/>
      <c r="AZ285" s="1188"/>
      <c r="BA285" s="1188"/>
      <c r="BB285" s="1188">
        <f>I285*3</f>
        <v>12960</v>
      </c>
      <c r="BC285" s="1188">
        <f>I285*3</f>
        <v>12960</v>
      </c>
      <c r="BD285" s="1188">
        <f>I285*3</f>
        <v>12960</v>
      </c>
      <c r="BE285" s="1188">
        <f>I285</f>
        <v>4320</v>
      </c>
      <c r="BF285" s="1188">
        <f>I285/6</f>
        <v>720</v>
      </c>
      <c r="BG285" s="1188"/>
      <c r="BH285" s="1188"/>
      <c r="BI285" s="1188"/>
      <c r="BJ285" s="1188"/>
      <c r="BK285" s="1188"/>
      <c r="BL285" s="1188"/>
      <c r="BM285" s="1188"/>
      <c r="BN285" s="1188"/>
      <c r="BO285" s="1240"/>
      <c r="BP285" s="1240"/>
      <c r="BQ285" s="1188"/>
      <c r="BR285" s="1236"/>
      <c r="BS285" s="1236"/>
      <c r="BT285" s="1188"/>
      <c r="BU285" s="1188"/>
      <c r="BV285" s="1240"/>
      <c r="BW285" s="1188"/>
      <c r="BX285" s="1188"/>
      <c r="BY285" s="1188"/>
      <c r="BZ285" s="1188"/>
      <c r="CA285" s="1188"/>
      <c r="CB285" s="1188"/>
      <c r="CC285" s="1188"/>
      <c r="CD285" s="1188">
        <f t="shared" si="83"/>
        <v>0</v>
      </c>
      <c r="CE285" s="1188">
        <f t="shared" si="94"/>
        <v>0</v>
      </c>
      <c r="CF285" s="1188">
        <f t="shared" si="85"/>
        <v>0</v>
      </c>
      <c r="CG285" s="1188">
        <f t="shared" si="86"/>
        <v>0</v>
      </c>
      <c r="CH285" s="1236"/>
      <c r="CI285" s="1236"/>
      <c r="CJ285" s="1236"/>
      <c r="CK285" s="1188"/>
      <c r="CL285" s="1188"/>
    </row>
    <row r="286" s="1168" customFormat="1" customHeight="1" spans="1:90">
      <c r="A286" s="1245">
        <v>46136</v>
      </c>
      <c r="B286" s="1247" t="s">
        <v>935</v>
      </c>
      <c r="C286" s="1234" t="s">
        <v>115</v>
      </c>
      <c r="D286" s="1268">
        <v>4500203871</v>
      </c>
      <c r="E286" s="1233">
        <v>1790512269</v>
      </c>
      <c r="F286" s="1188" t="s">
        <v>1293</v>
      </c>
      <c r="G286" s="1253" t="s">
        <v>482</v>
      </c>
      <c r="H286" s="1234" t="s">
        <v>483</v>
      </c>
      <c r="I286" s="1254">
        <v>4320</v>
      </c>
      <c r="J286" s="1234">
        <v>0</v>
      </c>
      <c r="K286" s="1234">
        <v>120</v>
      </c>
      <c r="L286" s="1246">
        <f t="shared" si="87"/>
        <v>36</v>
      </c>
      <c r="M286" s="1255">
        <v>46198</v>
      </c>
      <c r="N286" s="1255">
        <v>46207</v>
      </c>
      <c r="O286" s="1255" t="s">
        <v>736</v>
      </c>
      <c r="P286" s="1233"/>
      <c r="Q286" s="1255" t="s">
        <v>106</v>
      </c>
      <c r="R286" s="1234" t="s">
        <v>1289</v>
      </c>
      <c r="S286" s="1234"/>
      <c r="T286" s="1233">
        <v>4320</v>
      </c>
      <c r="U286" s="1233">
        <f t="shared" si="95"/>
        <v>0</v>
      </c>
      <c r="V286" s="1234"/>
      <c r="W286" s="1238">
        <v>46155</v>
      </c>
      <c r="X286" s="1227" t="s">
        <v>107</v>
      </c>
      <c r="Y286" s="1227" t="s">
        <v>95</v>
      </c>
      <c r="Z286" s="1247"/>
      <c r="AA286" s="1247"/>
      <c r="AB286" s="1247"/>
      <c r="AC286" s="1247" t="s">
        <v>937</v>
      </c>
      <c r="AD286" s="1248" t="s">
        <v>488</v>
      </c>
      <c r="AE286" s="1247">
        <v>642</v>
      </c>
      <c r="AF286" s="1248">
        <f>I286*AE286</f>
        <v>2773440</v>
      </c>
      <c r="AG286" s="1249" t="s">
        <v>1294</v>
      </c>
      <c r="AH286" s="1234" t="s">
        <v>490</v>
      </c>
      <c r="AI286" s="1234" t="s">
        <v>112</v>
      </c>
      <c r="AJ286" s="1234" t="s">
        <v>113</v>
      </c>
      <c r="AK286" s="1188"/>
      <c r="AL286" s="1188">
        <f>I286*3</f>
        <v>12960</v>
      </c>
      <c r="AM286" s="1188"/>
      <c r="AN286" s="1188"/>
      <c r="AO286" s="1188"/>
      <c r="AP286" s="1188"/>
      <c r="AQ286" s="1240"/>
      <c r="AR286" s="1188"/>
      <c r="AS286" s="1236"/>
      <c r="AT286" s="1236"/>
      <c r="AU286" s="1188"/>
      <c r="AV286" s="1250">
        <f>I286*0.06*2</f>
        <v>518.4</v>
      </c>
      <c r="AW286" s="1250"/>
      <c r="AX286" s="1188"/>
      <c r="AY286" s="1188"/>
      <c r="AZ286" s="1188"/>
      <c r="BA286" s="1188"/>
      <c r="BB286" s="1188">
        <f>I286*3</f>
        <v>12960</v>
      </c>
      <c r="BC286" s="1188">
        <f>I286*3</f>
        <v>12960</v>
      </c>
      <c r="BD286" s="1188">
        <f>I286*3</f>
        <v>12960</v>
      </c>
      <c r="BE286" s="1188">
        <f>I286</f>
        <v>4320</v>
      </c>
      <c r="BF286" s="1188">
        <f>I286/6</f>
        <v>720</v>
      </c>
      <c r="BG286" s="1188"/>
      <c r="BH286" s="1188"/>
      <c r="BI286" s="1188"/>
      <c r="BJ286" s="1188"/>
      <c r="BK286" s="1188"/>
      <c r="BL286" s="1188"/>
      <c r="BM286" s="1188"/>
      <c r="BN286" s="1188"/>
      <c r="BO286" s="1240"/>
      <c r="BP286" s="1240"/>
      <c r="BQ286" s="1188"/>
      <c r="BR286" s="1236"/>
      <c r="BS286" s="1236"/>
      <c r="BT286" s="1188"/>
      <c r="BU286" s="1188"/>
      <c r="BV286" s="1240"/>
      <c r="BW286" s="1188"/>
      <c r="BX286" s="1188"/>
      <c r="BY286" s="1188"/>
      <c r="BZ286" s="1188"/>
      <c r="CA286" s="1188"/>
      <c r="CB286" s="1188"/>
      <c r="CC286" s="1188"/>
      <c r="CD286" s="1188">
        <f t="shared" si="83"/>
        <v>0</v>
      </c>
      <c r="CE286" s="1188">
        <f t="shared" si="94"/>
        <v>0</v>
      </c>
      <c r="CF286" s="1188">
        <f t="shared" si="85"/>
        <v>0</v>
      </c>
      <c r="CG286" s="1188">
        <f t="shared" si="86"/>
        <v>0</v>
      </c>
      <c r="CH286" s="1236"/>
      <c r="CI286" s="1236"/>
      <c r="CJ286" s="1236"/>
      <c r="CK286" s="1188"/>
      <c r="CL286" s="1188"/>
    </row>
    <row r="287" s="1168" customFormat="1" customHeight="1" spans="1:90">
      <c r="A287" s="1245">
        <v>46119</v>
      </c>
      <c r="B287" s="1247" t="s">
        <v>1295</v>
      </c>
      <c r="C287" s="1234" t="s">
        <v>201</v>
      </c>
      <c r="D287" s="1188">
        <v>4500200392</v>
      </c>
      <c r="E287" s="1234" t="s">
        <v>1296</v>
      </c>
      <c r="F287" s="1188" t="s">
        <v>1297</v>
      </c>
      <c r="G287" s="1253" t="s">
        <v>740</v>
      </c>
      <c r="H287" s="1234" t="s">
        <v>151</v>
      </c>
      <c r="I287" s="1254">
        <v>10764</v>
      </c>
      <c r="J287" s="1234">
        <v>0</v>
      </c>
      <c r="K287" s="1234">
        <v>36</v>
      </c>
      <c r="L287" s="1246">
        <f t="shared" si="87"/>
        <v>299</v>
      </c>
      <c r="M287" s="1255">
        <v>46199</v>
      </c>
      <c r="N287" s="1255">
        <v>46195</v>
      </c>
      <c r="O287" s="1255"/>
      <c r="P287" s="1233"/>
      <c r="Q287" s="1255" t="s">
        <v>106</v>
      </c>
      <c r="R287" s="1234"/>
      <c r="S287" s="1234"/>
      <c r="T287" s="1233">
        <f>6187+4575</f>
        <v>10762</v>
      </c>
      <c r="U287" s="1233">
        <f t="shared" si="95"/>
        <v>-2</v>
      </c>
      <c r="V287" s="1234"/>
      <c r="W287" s="1238">
        <v>46167</v>
      </c>
      <c r="X287" s="1227" t="s">
        <v>95</v>
      </c>
      <c r="Y287" s="1227" t="s">
        <v>1298</v>
      </c>
      <c r="Z287" s="1247"/>
      <c r="AA287" s="1247"/>
      <c r="AB287" s="1247"/>
      <c r="AC287" s="1247" t="s">
        <v>1299</v>
      </c>
      <c r="AD287" s="1248" t="s">
        <v>204</v>
      </c>
      <c r="AE287" s="1247">
        <v>102.204</v>
      </c>
      <c r="AF287" s="1248">
        <f>AE287*L287</f>
        <v>30558.996</v>
      </c>
      <c r="AG287" s="1258"/>
      <c r="AH287" s="1234" t="s">
        <v>873</v>
      </c>
      <c r="AI287" s="1234" t="s">
        <v>112</v>
      </c>
      <c r="AJ287" s="1234" t="s">
        <v>113</v>
      </c>
      <c r="AK287" s="1188">
        <f>I287</f>
        <v>10764</v>
      </c>
      <c r="AL287" s="1188"/>
      <c r="AM287" s="1188"/>
      <c r="AN287" s="1188"/>
      <c r="AO287" s="1188"/>
      <c r="AP287" s="1188">
        <f>I227</f>
        <v>6700</v>
      </c>
      <c r="AQ287" s="1240"/>
      <c r="AR287" s="1188"/>
      <c r="AS287" s="1236"/>
      <c r="AT287" s="1236"/>
      <c r="AU287" s="1188">
        <f>I287</f>
        <v>10764</v>
      </c>
      <c r="AV287" s="1250">
        <f>I287*0.06</f>
        <v>645.84</v>
      </c>
      <c r="AW287" s="1250"/>
      <c r="AX287" s="1188"/>
      <c r="AY287" s="1188"/>
      <c r="AZ287" s="1188"/>
      <c r="BA287" s="1188"/>
      <c r="BB287" s="1188"/>
      <c r="BC287" s="1188"/>
      <c r="BD287" s="1188"/>
      <c r="BE287" s="1188"/>
      <c r="BF287" s="1188"/>
      <c r="BG287" s="1188"/>
      <c r="BH287" s="1188"/>
      <c r="BI287" s="1188"/>
      <c r="BJ287" s="1188"/>
      <c r="BK287" s="1188"/>
      <c r="BL287" s="1188"/>
      <c r="BM287" s="1188"/>
      <c r="BN287" s="1188"/>
      <c r="BO287" s="1240"/>
      <c r="BP287" s="1240"/>
      <c r="BQ287" s="1188"/>
      <c r="BR287" s="1236"/>
      <c r="BS287" s="1236"/>
      <c r="BT287" s="1188"/>
      <c r="BU287" s="1188"/>
      <c r="BV287" s="1240"/>
      <c r="BW287" s="1188">
        <f>I287/36</f>
        <v>299</v>
      </c>
      <c r="BX287" s="1188"/>
      <c r="BY287" s="1188"/>
      <c r="BZ287" s="1188"/>
      <c r="CA287" s="1188"/>
      <c r="CB287" s="1188"/>
      <c r="CC287" s="1188"/>
      <c r="CD287" s="1188">
        <f t="shared" si="83"/>
        <v>0</v>
      </c>
      <c r="CE287" s="1188">
        <f t="shared" si="94"/>
        <v>0</v>
      </c>
      <c r="CF287" s="1188">
        <f t="shared" si="85"/>
        <v>0</v>
      </c>
      <c r="CG287" s="1188">
        <f t="shared" si="86"/>
        <v>299</v>
      </c>
      <c r="CH287" s="1236"/>
      <c r="CI287" s="1236"/>
      <c r="CJ287" s="1236"/>
      <c r="CK287" s="1188"/>
      <c r="CL287" s="1188"/>
    </row>
    <row r="288" s="1168" customFormat="1" customHeight="1" spans="1:90">
      <c r="A288" s="1245">
        <v>46136</v>
      </c>
      <c r="B288" s="1247" t="s">
        <v>602</v>
      </c>
      <c r="C288" s="1234" t="s">
        <v>508</v>
      </c>
      <c r="D288" s="1268">
        <v>4500204112</v>
      </c>
      <c r="E288" s="1233">
        <v>86479</v>
      </c>
      <c r="F288" s="1188" t="s">
        <v>1300</v>
      </c>
      <c r="G288" s="1253" t="s">
        <v>604</v>
      </c>
      <c r="H288" s="1234" t="s">
        <v>893</v>
      </c>
      <c r="I288" s="1254">
        <v>7500</v>
      </c>
      <c r="J288" s="1234">
        <v>0</v>
      </c>
      <c r="K288" s="1234">
        <v>25</v>
      </c>
      <c r="L288" s="1246">
        <f t="shared" si="87"/>
        <v>300</v>
      </c>
      <c r="M288" s="1255">
        <v>46199</v>
      </c>
      <c r="N288" s="1255">
        <v>46218</v>
      </c>
      <c r="O288" s="1255" t="s">
        <v>736</v>
      </c>
      <c r="P288" s="1233"/>
      <c r="Q288" s="1255" t="s">
        <v>106</v>
      </c>
      <c r="R288" s="1234" t="s">
        <v>1301</v>
      </c>
      <c r="S288" s="1234"/>
      <c r="T288" s="1233">
        <v>7500</v>
      </c>
      <c r="U288" s="1233">
        <f t="shared" si="95"/>
        <v>0</v>
      </c>
      <c r="V288" s="1234"/>
      <c r="W288" s="1238" t="s">
        <v>1302</v>
      </c>
      <c r="X288" s="1227"/>
      <c r="Y288" s="1227"/>
      <c r="Z288" s="1247" t="s">
        <v>360</v>
      </c>
      <c r="AA288" s="1247"/>
      <c r="AB288" s="1247"/>
      <c r="AC288" s="1247" t="s">
        <v>1303</v>
      </c>
      <c r="AD288" s="1248" t="s">
        <v>362</v>
      </c>
      <c r="AE288" s="1247">
        <v>1.27</v>
      </c>
      <c r="AF288" s="1248">
        <f t="shared" ref="AF288:AF294" si="96">I288*AE288</f>
        <v>9525</v>
      </c>
      <c r="AG288" s="1258"/>
      <c r="AH288" s="1234" t="s">
        <v>1304</v>
      </c>
      <c r="AI288" s="1234" t="s">
        <v>112</v>
      </c>
      <c r="AJ288" s="1234" t="s">
        <v>113</v>
      </c>
      <c r="AK288" s="1188">
        <f>I288</f>
        <v>7500</v>
      </c>
      <c r="AL288" s="1188"/>
      <c r="AM288" s="1188"/>
      <c r="AN288" s="1188">
        <f>I288</f>
        <v>7500</v>
      </c>
      <c r="AO288" s="1188"/>
      <c r="AP288" s="1188"/>
      <c r="AQ288" s="1240"/>
      <c r="AR288" s="1188"/>
      <c r="AS288" s="1236"/>
      <c r="AT288" s="1236"/>
      <c r="AU288" s="1188"/>
      <c r="AV288" s="1250">
        <f>I288*0.06</f>
        <v>450</v>
      </c>
      <c r="AW288" s="1250"/>
      <c r="AX288" s="1188">
        <f>I288</f>
        <v>7500</v>
      </c>
      <c r="AY288" s="1188"/>
      <c r="AZ288" s="1188"/>
      <c r="BA288" s="1188"/>
      <c r="BB288" s="1188"/>
      <c r="BC288" s="1188"/>
      <c r="BD288" s="1188"/>
      <c r="BE288" s="1188"/>
      <c r="BF288" s="1188"/>
      <c r="BG288" s="1188"/>
      <c r="BH288" s="1188"/>
      <c r="BI288" s="1188"/>
      <c r="BJ288" s="1188"/>
      <c r="BK288" s="1188"/>
      <c r="BL288" s="1188"/>
      <c r="BM288" s="1188"/>
      <c r="BN288" s="1188"/>
      <c r="BO288" s="1240"/>
      <c r="BP288" s="1240"/>
      <c r="BQ288" s="1188">
        <f>I288/25</f>
        <v>300</v>
      </c>
      <c r="BR288" s="1236"/>
      <c r="BS288" s="1236"/>
      <c r="BT288" s="1188"/>
      <c r="BU288" s="1188"/>
      <c r="BV288" s="1240"/>
      <c r="BW288" s="1188"/>
      <c r="BX288" s="1188"/>
      <c r="BY288" s="1188"/>
      <c r="BZ288" s="1188"/>
      <c r="CA288" s="1188"/>
      <c r="CB288" s="1188"/>
      <c r="CC288" s="1188"/>
      <c r="CD288" s="1188">
        <f t="shared" si="83"/>
        <v>300</v>
      </c>
      <c r="CE288" s="1188">
        <f t="shared" si="94"/>
        <v>0</v>
      </c>
      <c r="CF288" s="1188">
        <f t="shared" si="85"/>
        <v>0</v>
      </c>
      <c r="CG288" s="1188">
        <f t="shared" si="86"/>
        <v>0</v>
      </c>
      <c r="CH288" s="1236"/>
      <c r="CI288" s="1236"/>
      <c r="CJ288" s="1236"/>
      <c r="CK288" s="1188"/>
      <c r="CL288" s="1188"/>
    </row>
    <row r="289" s="1168" customFormat="1" customHeight="1" spans="1:90">
      <c r="A289" s="1245">
        <v>46136</v>
      </c>
      <c r="B289" s="1247" t="s">
        <v>935</v>
      </c>
      <c r="C289" s="1234" t="s">
        <v>115</v>
      </c>
      <c r="D289" s="1268">
        <v>4500203872</v>
      </c>
      <c r="E289" s="1233">
        <v>12030512317</v>
      </c>
      <c r="F289" s="1188" t="s">
        <v>1305</v>
      </c>
      <c r="G289" s="1253" t="s">
        <v>482</v>
      </c>
      <c r="H289" s="1234" t="s">
        <v>483</v>
      </c>
      <c r="I289" s="1254">
        <v>4320</v>
      </c>
      <c r="J289" s="1234">
        <v>0</v>
      </c>
      <c r="K289" s="1234">
        <v>120</v>
      </c>
      <c r="L289" s="1246">
        <f t="shared" si="87"/>
        <v>36</v>
      </c>
      <c r="M289" s="1255">
        <v>46199</v>
      </c>
      <c r="N289" s="1255">
        <v>46219</v>
      </c>
      <c r="O289" s="1255" t="s">
        <v>736</v>
      </c>
      <c r="P289" s="1233"/>
      <c r="Q289" s="1255" t="s">
        <v>106</v>
      </c>
      <c r="R289" s="1234"/>
      <c r="S289" s="1234"/>
      <c r="T289" s="1233">
        <v>4320</v>
      </c>
      <c r="U289" s="1233">
        <f t="shared" si="95"/>
        <v>0</v>
      </c>
      <c r="V289" s="1234"/>
      <c r="W289" s="1238">
        <v>46155</v>
      </c>
      <c r="X289" s="1227" t="s">
        <v>107</v>
      </c>
      <c r="Y289" s="1227" t="s">
        <v>95</v>
      </c>
      <c r="Z289" s="1247"/>
      <c r="AA289" s="1247"/>
      <c r="AB289" s="1247"/>
      <c r="AC289" s="1247" t="s">
        <v>937</v>
      </c>
      <c r="AD289" s="1248" t="s">
        <v>488</v>
      </c>
      <c r="AE289" s="1247">
        <v>642</v>
      </c>
      <c r="AF289" s="1248">
        <f t="shared" si="96"/>
        <v>2773440</v>
      </c>
      <c r="AG289" s="1249" t="s">
        <v>1306</v>
      </c>
      <c r="AH289" s="1234" t="s">
        <v>490</v>
      </c>
      <c r="AI289" s="1234" t="s">
        <v>112</v>
      </c>
      <c r="AJ289" s="1234" t="s">
        <v>113</v>
      </c>
      <c r="AK289" s="1188"/>
      <c r="AL289" s="1188">
        <f t="shared" ref="AL289:AL294" si="97">I289*3</f>
        <v>12960</v>
      </c>
      <c r="AM289" s="1188"/>
      <c r="AN289" s="1188"/>
      <c r="AO289" s="1188"/>
      <c r="AP289" s="1188"/>
      <c r="AQ289" s="1240"/>
      <c r="AR289" s="1188"/>
      <c r="AS289" s="1236"/>
      <c r="AT289" s="1236"/>
      <c r="AU289" s="1188"/>
      <c r="AV289" s="1250">
        <f t="shared" ref="AV289:AV298" si="98">I289*0.06*2</f>
        <v>518.4</v>
      </c>
      <c r="AW289" s="1250"/>
      <c r="AX289" s="1188"/>
      <c r="AY289" s="1188"/>
      <c r="AZ289" s="1188"/>
      <c r="BA289" s="1188"/>
      <c r="BB289" s="1188">
        <f t="shared" ref="BB289:BB294" si="99">I289*3</f>
        <v>12960</v>
      </c>
      <c r="BC289" s="1188">
        <f t="shared" ref="BC289:BC294" si="100">I289*3</f>
        <v>12960</v>
      </c>
      <c r="BD289" s="1188">
        <f t="shared" ref="BD289:BD294" si="101">I289*3</f>
        <v>12960</v>
      </c>
      <c r="BE289" s="1188">
        <f t="shared" ref="BE289:BE294" si="102">I289</f>
        <v>4320</v>
      </c>
      <c r="BF289" s="1188">
        <f t="shared" ref="BF289:BF294" si="103">I289/6</f>
        <v>720</v>
      </c>
      <c r="BG289" s="1188"/>
      <c r="BH289" s="1188"/>
      <c r="BI289" s="1188"/>
      <c r="BJ289" s="1188"/>
      <c r="BK289" s="1188"/>
      <c r="BL289" s="1188"/>
      <c r="BM289" s="1188"/>
      <c r="BN289" s="1188"/>
      <c r="BO289" s="1240"/>
      <c r="BP289" s="1240"/>
      <c r="BQ289" s="1188"/>
      <c r="BR289" s="1236"/>
      <c r="BS289" s="1236"/>
      <c r="BT289" s="1188"/>
      <c r="BU289" s="1188"/>
      <c r="BV289" s="1240"/>
      <c r="BW289" s="1188"/>
      <c r="BX289" s="1188"/>
      <c r="BY289" s="1188"/>
      <c r="BZ289" s="1188"/>
      <c r="CA289" s="1188"/>
      <c r="CB289" s="1188"/>
      <c r="CC289" s="1188"/>
      <c r="CD289" s="1188">
        <f t="shared" si="83"/>
        <v>0</v>
      </c>
      <c r="CE289" s="1188">
        <f t="shared" si="94"/>
        <v>0</v>
      </c>
      <c r="CF289" s="1188">
        <f t="shared" si="85"/>
        <v>0</v>
      </c>
      <c r="CG289" s="1188">
        <f t="shared" si="86"/>
        <v>0</v>
      </c>
      <c r="CH289" s="1236"/>
      <c r="CI289" s="1236"/>
      <c r="CJ289" s="1236"/>
      <c r="CK289" s="1188"/>
      <c r="CL289" s="1188"/>
    </row>
    <row r="290" s="1168" customFormat="1" customHeight="1" spans="1:90">
      <c r="A290" s="1245">
        <v>46136</v>
      </c>
      <c r="B290" s="1247" t="s">
        <v>935</v>
      </c>
      <c r="C290" s="1234" t="s">
        <v>115</v>
      </c>
      <c r="D290" s="1268">
        <v>4500203878</v>
      </c>
      <c r="E290" s="1233">
        <v>2620512309</v>
      </c>
      <c r="F290" s="1188" t="s">
        <v>1307</v>
      </c>
      <c r="G290" s="1253" t="s">
        <v>482</v>
      </c>
      <c r="H290" s="1234" t="s">
        <v>483</v>
      </c>
      <c r="I290" s="1254">
        <v>4320</v>
      </c>
      <c r="J290" s="1234">
        <v>0</v>
      </c>
      <c r="K290" s="1234">
        <v>120</v>
      </c>
      <c r="L290" s="1246">
        <f t="shared" si="87"/>
        <v>36</v>
      </c>
      <c r="M290" s="1255">
        <v>46199</v>
      </c>
      <c r="N290" s="1255">
        <v>46219</v>
      </c>
      <c r="O290" s="1255" t="s">
        <v>736</v>
      </c>
      <c r="P290" s="1233"/>
      <c r="Q290" s="1255" t="s">
        <v>106</v>
      </c>
      <c r="R290" s="1234" t="s">
        <v>1308</v>
      </c>
      <c r="S290" s="1234" t="s">
        <v>1309</v>
      </c>
      <c r="T290" s="1233">
        <v>4320</v>
      </c>
      <c r="U290" s="1233">
        <f t="shared" si="95"/>
        <v>0</v>
      </c>
      <c r="V290" s="1234"/>
      <c r="W290" s="1238">
        <v>46155</v>
      </c>
      <c r="X290" s="1227" t="s">
        <v>107</v>
      </c>
      <c r="Y290" s="1227" t="s">
        <v>95</v>
      </c>
      <c r="Z290" s="1247"/>
      <c r="AA290" s="1247"/>
      <c r="AB290" s="1247"/>
      <c r="AC290" s="1247" t="s">
        <v>937</v>
      </c>
      <c r="AD290" s="1248" t="s">
        <v>488</v>
      </c>
      <c r="AE290" s="1247">
        <v>642</v>
      </c>
      <c r="AF290" s="1248">
        <f t="shared" si="96"/>
        <v>2773440</v>
      </c>
      <c r="AG290" s="1249" t="s">
        <v>1310</v>
      </c>
      <c r="AH290" s="1234" t="s">
        <v>490</v>
      </c>
      <c r="AI290" s="1234" t="s">
        <v>112</v>
      </c>
      <c r="AJ290" s="1234" t="s">
        <v>113</v>
      </c>
      <c r="AK290" s="1188"/>
      <c r="AL290" s="1188">
        <f t="shared" si="97"/>
        <v>12960</v>
      </c>
      <c r="AM290" s="1188"/>
      <c r="AN290" s="1188"/>
      <c r="AO290" s="1188"/>
      <c r="AP290" s="1188"/>
      <c r="AQ290" s="1240"/>
      <c r="AR290" s="1188"/>
      <c r="AS290" s="1236"/>
      <c r="AT290" s="1236"/>
      <c r="AU290" s="1188"/>
      <c r="AV290" s="1250">
        <f t="shared" si="98"/>
        <v>518.4</v>
      </c>
      <c r="AW290" s="1250"/>
      <c r="AX290" s="1188"/>
      <c r="AY290" s="1188"/>
      <c r="AZ290" s="1188"/>
      <c r="BA290" s="1188"/>
      <c r="BB290" s="1188">
        <f t="shared" si="99"/>
        <v>12960</v>
      </c>
      <c r="BC290" s="1188">
        <f t="shared" si="100"/>
        <v>12960</v>
      </c>
      <c r="BD290" s="1188">
        <f t="shared" si="101"/>
        <v>12960</v>
      </c>
      <c r="BE290" s="1188">
        <f t="shared" si="102"/>
        <v>4320</v>
      </c>
      <c r="BF290" s="1188">
        <f t="shared" si="103"/>
        <v>720</v>
      </c>
      <c r="BG290" s="1188"/>
      <c r="BH290" s="1188"/>
      <c r="BI290" s="1188"/>
      <c r="BJ290" s="1188"/>
      <c r="BK290" s="1188"/>
      <c r="BL290" s="1188"/>
      <c r="BM290" s="1188"/>
      <c r="BN290" s="1188"/>
      <c r="BO290" s="1240"/>
      <c r="BP290" s="1240"/>
      <c r="BQ290" s="1188"/>
      <c r="BR290" s="1236"/>
      <c r="BS290" s="1236"/>
      <c r="BT290" s="1188"/>
      <c r="BU290" s="1188"/>
      <c r="BV290" s="1240"/>
      <c r="BW290" s="1188"/>
      <c r="BX290" s="1188"/>
      <c r="BY290" s="1188"/>
      <c r="BZ290" s="1188"/>
      <c r="CA290" s="1188"/>
      <c r="CB290" s="1188"/>
      <c r="CC290" s="1188"/>
      <c r="CD290" s="1188">
        <f t="shared" si="83"/>
        <v>0</v>
      </c>
      <c r="CE290" s="1188">
        <f t="shared" si="94"/>
        <v>0</v>
      </c>
      <c r="CF290" s="1188">
        <f t="shared" si="85"/>
        <v>0</v>
      </c>
      <c r="CG290" s="1188">
        <f t="shared" si="86"/>
        <v>0</v>
      </c>
      <c r="CH290" s="1236"/>
      <c r="CI290" s="1236"/>
      <c r="CJ290" s="1236"/>
      <c r="CK290" s="1188"/>
      <c r="CL290" s="1188"/>
    </row>
    <row r="291" s="1168" customFormat="1" customHeight="1" spans="1:90">
      <c r="A291" s="1245">
        <v>46136</v>
      </c>
      <c r="B291" s="1247" t="s">
        <v>935</v>
      </c>
      <c r="C291" s="1234" t="s">
        <v>115</v>
      </c>
      <c r="D291" s="1268">
        <v>4500203893</v>
      </c>
      <c r="E291" s="1233">
        <v>2880512234</v>
      </c>
      <c r="F291" s="1188" t="s">
        <v>1311</v>
      </c>
      <c r="G291" s="1253" t="s">
        <v>482</v>
      </c>
      <c r="H291" s="1234" t="s">
        <v>483</v>
      </c>
      <c r="I291" s="1254">
        <v>4320</v>
      </c>
      <c r="J291" s="1234">
        <v>0</v>
      </c>
      <c r="K291" s="1234">
        <v>120</v>
      </c>
      <c r="L291" s="1246">
        <f t="shared" si="87"/>
        <v>36</v>
      </c>
      <c r="M291" s="1255">
        <v>46199</v>
      </c>
      <c r="N291" s="1255">
        <v>46219</v>
      </c>
      <c r="O291" s="1255" t="s">
        <v>736</v>
      </c>
      <c r="P291" s="1233"/>
      <c r="Q291" s="1255" t="s">
        <v>106</v>
      </c>
      <c r="R291" s="1234" t="s">
        <v>1312</v>
      </c>
      <c r="S291" s="1234"/>
      <c r="T291" s="1233">
        <v>4320</v>
      </c>
      <c r="U291" s="1233">
        <f t="shared" si="95"/>
        <v>0</v>
      </c>
      <c r="V291" s="1234"/>
      <c r="W291" s="1238">
        <v>46155</v>
      </c>
      <c r="X291" s="1227" t="s">
        <v>107</v>
      </c>
      <c r="Y291" s="1227" t="s">
        <v>95</v>
      </c>
      <c r="Z291" s="1247"/>
      <c r="AA291" s="1247"/>
      <c r="AB291" s="1247"/>
      <c r="AC291" s="1247" t="s">
        <v>937</v>
      </c>
      <c r="AD291" s="1248" t="s">
        <v>488</v>
      </c>
      <c r="AE291" s="1247">
        <v>642</v>
      </c>
      <c r="AF291" s="1248">
        <f t="shared" si="96"/>
        <v>2773440</v>
      </c>
      <c r="AG291" s="1249" t="s">
        <v>1313</v>
      </c>
      <c r="AH291" s="1234" t="s">
        <v>490</v>
      </c>
      <c r="AI291" s="1234" t="s">
        <v>112</v>
      </c>
      <c r="AJ291" s="1234" t="s">
        <v>113</v>
      </c>
      <c r="AK291" s="1188"/>
      <c r="AL291" s="1188">
        <f t="shared" si="97"/>
        <v>12960</v>
      </c>
      <c r="AM291" s="1188"/>
      <c r="AN291" s="1188"/>
      <c r="AO291" s="1188"/>
      <c r="AP291" s="1188"/>
      <c r="AQ291" s="1240"/>
      <c r="AR291" s="1188"/>
      <c r="AS291" s="1236"/>
      <c r="AT291" s="1236"/>
      <c r="AU291" s="1188"/>
      <c r="AV291" s="1250">
        <f t="shared" si="98"/>
        <v>518.4</v>
      </c>
      <c r="AW291" s="1250"/>
      <c r="AX291" s="1188"/>
      <c r="AY291" s="1188"/>
      <c r="AZ291" s="1188"/>
      <c r="BA291" s="1188"/>
      <c r="BB291" s="1188">
        <f t="shared" si="99"/>
        <v>12960</v>
      </c>
      <c r="BC291" s="1188">
        <f t="shared" si="100"/>
        <v>12960</v>
      </c>
      <c r="BD291" s="1188">
        <f t="shared" si="101"/>
        <v>12960</v>
      </c>
      <c r="BE291" s="1188">
        <f t="shared" si="102"/>
        <v>4320</v>
      </c>
      <c r="BF291" s="1188">
        <f t="shared" si="103"/>
        <v>720</v>
      </c>
      <c r="BG291" s="1188"/>
      <c r="BH291" s="1188"/>
      <c r="BI291" s="1188"/>
      <c r="BJ291" s="1188"/>
      <c r="BK291" s="1188"/>
      <c r="BL291" s="1188"/>
      <c r="BM291" s="1188"/>
      <c r="BN291" s="1188"/>
      <c r="BO291" s="1240"/>
      <c r="BP291" s="1240"/>
      <c r="BQ291" s="1188"/>
      <c r="BR291" s="1236"/>
      <c r="BS291" s="1236"/>
      <c r="BT291" s="1188"/>
      <c r="BU291" s="1188"/>
      <c r="BV291" s="1240"/>
      <c r="BW291" s="1188"/>
      <c r="BX291" s="1188"/>
      <c r="BY291" s="1188"/>
      <c r="BZ291" s="1188"/>
      <c r="CA291" s="1188"/>
      <c r="CB291" s="1188"/>
      <c r="CC291" s="1188"/>
      <c r="CD291" s="1188">
        <f t="shared" si="83"/>
        <v>0</v>
      </c>
      <c r="CE291" s="1188">
        <f t="shared" si="94"/>
        <v>0</v>
      </c>
      <c r="CF291" s="1188">
        <f t="shared" si="85"/>
        <v>0</v>
      </c>
      <c r="CG291" s="1188">
        <f t="shared" si="86"/>
        <v>0</v>
      </c>
      <c r="CH291" s="1236"/>
      <c r="CI291" s="1236"/>
      <c r="CJ291" s="1236"/>
      <c r="CK291" s="1188"/>
      <c r="CL291" s="1188"/>
    </row>
    <row r="292" s="1168" customFormat="1" customHeight="1" spans="1:90">
      <c r="A292" s="1245">
        <v>46136</v>
      </c>
      <c r="B292" s="1247" t="s">
        <v>935</v>
      </c>
      <c r="C292" s="1234" t="s">
        <v>115</v>
      </c>
      <c r="D292" s="1268">
        <v>4500203895</v>
      </c>
      <c r="E292" s="1233">
        <v>13540512236</v>
      </c>
      <c r="F292" s="1188" t="s">
        <v>1314</v>
      </c>
      <c r="G292" s="1253" t="s">
        <v>482</v>
      </c>
      <c r="H292" s="1234" t="s">
        <v>483</v>
      </c>
      <c r="I292" s="1254">
        <v>4320</v>
      </c>
      <c r="J292" s="1234">
        <v>0</v>
      </c>
      <c r="K292" s="1234">
        <v>120</v>
      </c>
      <c r="L292" s="1246">
        <f t="shared" si="87"/>
        <v>36</v>
      </c>
      <c r="M292" s="1255">
        <v>46199</v>
      </c>
      <c r="N292" s="1255">
        <v>46219</v>
      </c>
      <c r="O292" s="1255" t="s">
        <v>736</v>
      </c>
      <c r="P292" s="1233"/>
      <c r="Q292" s="1255" t="s">
        <v>106</v>
      </c>
      <c r="R292" s="1234" t="s">
        <v>1315</v>
      </c>
      <c r="S292" s="1234"/>
      <c r="T292" s="1233">
        <v>4320</v>
      </c>
      <c r="U292" s="1233">
        <f t="shared" si="95"/>
        <v>0</v>
      </c>
      <c r="V292" s="1234"/>
      <c r="W292" s="1238">
        <v>46155</v>
      </c>
      <c r="X292" s="1227" t="s">
        <v>107</v>
      </c>
      <c r="Y292" s="1227" t="s">
        <v>95</v>
      </c>
      <c r="Z292" s="1247"/>
      <c r="AA292" s="1247"/>
      <c r="AB292" s="1247"/>
      <c r="AC292" s="1247" t="s">
        <v>937</v>
      </c>
      <c r="AD292" s="1248" t="s">
        <v>488</v>
      </c>
      <c r="AE292" s="1247">
        <v>642</v>
      </c>
      <c r="AF292" s="1248">
        <f t="shared" si="96"/>
        <v>2773440</v>
      </c>
      <c r="AG292" s="1249" t="s">
        <v>1316</v>
      </c>
      <c r="AH292" s="1234" t="s">
        <v>490</v>
      </c>
      <c r="AI292" s="1234" t="s">
        <v>112</v>
      </c>
      <c r="AJ292" s="1234" t="s">
        <v>113</v>
      </c>
      <c r="AK292" s="1188"/>
      <c r="AL292" s="1188">
        <f t="shared" si="97"/>
        <v>12960</v>
      </c>
      <c r="AM292" s="1188"/>
      <c r="AN292" s="1188"/>
      <c r="AO292" s="1188"/>
      <c r="AP292" s="1188"/>
      <c r="AQ292" s="1240"/>
      <c r="AR292" s="1188"/>
      <c r="AS292" s="1236"/>
      <c r="AT292" s="1236"/>
      <c r="AU292" s="1188"/>
      <c r="AV292" s="1250">
        <f t="shared" si="98"/>
        <v>518.4</v>
      </c>
      <c r="AW292" s="1250"/>
      <c r="AX292" s="1188"/>
      <c r="AY292" s="1188"/>
      <c r="AZ292" s="1188"/>
      <c r="BA292" s="1188"/>
      <c r="BB292" s="1188">
        <f t="shared" si="99"/>
        <v>12960</v>
      </c>
      <c r="BC292" s="1188">
        <f t="shared" si="100"/>
        <v>12960</v>
      </c>
      <c r="BD292" s="1188">
        <f t="shared" si="101"/>
        <v>12960</v>
      </c>
      <c r="BE292" s="1188">
        <f t="shared" si="102"/>
        <v>4320</v>
      </c>
      <c r="BF292" s="1188">
        <f t="shared" si="103"/>
        <v>720</v>
      </c>
      <c r="BG292" s="1188"/>
      <c r="BH292" s="1188"/>
      <c r="BI292" s="1188"/>
      <c r="BJ292" s="1188"/>
      <c r="BK292" s="1188"/>
      <c r="BL292" s="1188"/>
      <c r="BM292" s="1188"/>
      <c r="BN292" s="1188"/>
      <c r="BO292" s="1240"/>
      <c r="BP292" s="1240"/>
      <c r="BQ292" s="1188"/>
      <c r="BR292" s="1236"/>
      <c r="BS292" s="1236"/>
      <c r="BT292" s="1188"/>
      <c r="BU292" s="1188"/>
      <c r="BV292" s="1240"/>
      <c r="BW292" s="1188"/>
      <c r="BX292" s="1188"/>
      <c r="BY292" s="1188"/>
      <c r="BZ292" s="1188"/>
      <c r="CA292" s="1188"/>
      <c r="CB292" s="1188"/>
      <c r="CC292" s="1188"/>
      <c r="CD292" s="1188">
        <f t="shared" si="83"/>
        <v>0</v>
      </c>
      <c r="CE292" s="1188">
        <f t="shared" si="94"/>
        <v>0</v>
      </c>
      <c r="CF292" s="1188">
        <f t="shared" si="85"/>
        <v>0</v>
      </c>
      <c r="CG292" s="1188">
        <f t="shared" si="86"/>
        <v>0</v>
      </c>
      <c r="CH292" s="1236"/>
      <c r="CI292" s="1236"/>
      <c r="CJ292" s="1236"/>
      <c r="CK292" s="1188"/>
      <c r="CL292" s="1188"/>
    </row>
    <row r="293" s="1168" customFormat="1" customHeight="1" spans="1:90">
      <c r="A293" s="1245">
        <v>46136</v>
      </c>
      <c r="B293" s="1247" t="s">
        <v>935</v>
      </c>
      <c r="C293" s="1234" t="s">
        <v>115</v>
      </c>
      <c r="D293" s="1268">
        <v>4500203900</v>
      </c>
      <c r="E293" s="1233">
        <v>13760512286</v>
      </c>
      <c r="F293" s="1188" t="s">
        <v>1317</v>
      </c>
      <c r="G293" s="1253" t="s">
        <v>482</v>
      </c>
      <c r="H293" s="1234" t="s">
        <v>483</v>
      </c>
      <c r="I293" s="1254">
        <v>4320</v>
      </c>
      <c r="J293" s="1234">
        <v>0</v>
      </c>
      <c r="K293" s="1234">
        <v>120</v>
      </c>
      <c r="L293" s="1246">
        <f t="shared" si="87"/>
        <v>36</v>
      </c>
      <c r="M293" s="1255">
        <v>46199</v>
      </c>
      <c r="N293" s="1255">
        <v>46219</v>
      </c>
      <c r="O293" s="1255" t="s">
        <v>736</v>
      </c>
      <c r="P293" s="1233"/>
      <c r="Q293" s="1255" t="s">
        <v>106</v>
      </c>
      <c r="R293" s="1234" t="s">
        <v>1308</v>
      </c>
      <c r="S293" s="1234"/>
      <c r="T293" s="1233">
        <v>4320</v>
      </c>
      <c r="U293" s="1233">
        <f t="shared" si="95"/>
        <v>0</v>
      </c>
      <c r="V293" s="1234"/>
      <c r="W293" s="1238">
        <v>46155</v>
      </c>
      <c r="X293" s="1227" t="s">
        <v>107</v>
      </c>
      <c r="Y293" s="1227" t="s">
        <v>95</v>
      </c>
      <c r="Z293" s="1247"/>
      <c r="AA293" s="1247"/>
      <c r="AB293" s="1247"/>
      <c r="AC293" s="1247" t="s">
        <v>937</v>
      </c>
      <c r="AD293" s="1248" t="s">
        <v>488</v>
      </c>
      <c r="AE293" s="1247">
        <v>642</v>
      </c>
      <c r="AF293" s="1248">
        <f t="shared" si="96"/>
        <v>2773440</v>
      </c>
      <c r="AG293" s="1249" t="s">
        <v>1318</v>
      </c>
      <c r="AH293" s="1234" t="s">
        <v>490</v>
      </c>
      <c r="AI293" s="1234" t="s">
        <v>112</v>
      </c>
      <c r="AJ293" s="1234" t="s">
        <v>113</v>
      </c>
      <c r="AK293" s="1188"/>
      <c r="AL293" s="1188">
        <f t="shared" si="97"/>
        <v>12960</v>
      </c>
      <c r="AM293" s="1188"/>
      <c r="AN293" s="1188"/>
      <c r="AO293" s="1188"/>
      <c r="AP293" s="1188"/>
      <c r="AQ293" s="1240"/>
      <c r="AR293" s="1188"/>
      <c r="AS293" s="1236"/>
      <c r="AT293" s="1236"/>
      <c r="AU293" s="1188"/>
      <c r="AV293" s="1250">
        <f t="shared" si="98"/>
        <v>518.4</v>
      </c>
      <c r="AW293" s="1250"/>
      <c r="AX293" s="1188"/>
      <c r="AY293" s="1188"/>
      <c r="AZ293" s="1188"/>
      <c r="BA293" s="1188"/>
      <c r="BB293" s="1188">
        <f t="shared" si="99"/>
        <v>12960</v>
      </c>
      <c r="BC293" s="1188">
        <f t="shared" si="100"/>
        <v>12960</v>
      </c>
      <c r="BD293" s="1188">
        <f t="shared" si="101"/>
        <v>12960</v>
      </c>
      <c r="BE293" s="1188">
        <f t="shared" si="102"/>
        <v>4320</v>
      </c>
      <c r="BF293" s="1188">
        <f t="shared" si="103"/>
        <v>720</v>
      </c>
      <c r="BG293" s="1188"/>
      <c r="BH293" s="1188"/>
      <c r="BI293" s="1188"/>
      <c r="BJ293" s="1188"/>
      <c r="BK293" s="1188"/>
      <c r="BL293" s="1188"/>
      <c r="BM293" s="1188"/>
      <c r="BN293" s="1188"/>
      <c r="BO293" s="1240"/>
      <c r="BP293" s="1240"/>
      <c r="BQ293" s="1188"/>
      <c r="BR293" s="1236"/>
      <c r="BS293" s="1236"/>
      <c r="BT293" s="1188"/>
      <c r="BU293" s="1188"/>
      <c r="BV293" s="1240"/>
      <c r="BW293" s="1188"/>
      <c r="BX293" s="1188"/>
      <c r="BY293" s="1188"/>
      <c r="BZ293" s="1188"/>
      <c r="CA293" s="1188"/>
      <c r="CB293" s="1188"/>
      <c r="CC293" s="1188"/>
      <c r="CD293" s="1188">
        <f t="shared" si="83"/>
        <v>0</v>
      </c>
      <c r="CE293" s="1188">
        <f t="shared" si="94"/>
        <v>0</v>
      </c>
      <c r="CF293" s="1188">
        <f t="shared" si="85"/>
        <v>0</v>
      </c>
      <c r="CG293" s="1188">
        <f t="shared" si="86"/>
        <v>0</v>
      </c>
      <c r="CH293" s="1236"/>
      <c r="CI293" s="1236"/>
      <c r="CJ293" s="1236"/>
      <c r="CK293" s="1188"/>
      <c r="CL293" s="1188"/>
    </row>
    <row r="294" s="1168" customFormat="1" customHeight="1" spans="1:90">
      <c r="A294" s="1245">
        <v>46136</v>
      </c>
      <c r="B294" s="1247" t="s">
        <v>935</v>
      </c>
      <c r="C294" s="1234" t="s">
        <v>115</v>
      </c>
      <c r="D294" s="1268">
        <v>4500203935</v>
      </c>
      <c r="E294" s="1233">
        <v>1750512410</v>
      </c>
      <c r="F294" s="1188" t="s">
        <v>1319</v>
      </c>
      <c r="G294" s="1253" t="s">
        <v>482</v>
      </c>
      <c r="H294" s="1234" t="s">
        <v>483</v>
      </c>
      <c r="I294" s="1254">
        <v>4320</v>
      </c>
      <c r="J294" s="1234">
        <v>0</v>
      </c>
      <c r="K294" s="1234">
        <v>120</v>
      </c>
      <c r="L294" s="1246">
        <f t="shared" si="87"/>
        <v>36</v>
      </c>
      <c r="M294" s="1255">
        <v>46199</v>
      </c>
      <c r="N294" s="1255">
        <v>46219</v>
      </c>
      <c r="O294" s="1255" t="s">
        <v>736</v>
      </c>
      <c r="P294" s="1233"/>
      <c r="Q294" s="1255" t="s">
        <v>106</v>
      </c>
      <c r="R294" s="1234" t="s">
        <v>1308</v>
      </c>
      <c r="S294" s="1234"/>
      <c r="T294" s="1233">
        <v>4320</v>
      </c>
      <c r="U294" s="1233">
        <f t="shared" si="95"/>
        <v>0</v>
      </c>
      <c r="V294" s="1234"/>
      <c r="W294" s="1238">
        <v>46155</v>
      </c>
      <c r="X294" s="1227" t="s">
        <v>107</v>
      </c>
      <c r="Y294" s="1227" t="s">
        <v>95</v>
      </c>
      <c r="Z294" s="1247"/>
      <c r="AA294" s="1247"/>
      <c r="AB294" s="1247"/>
      <c r="AC294" s="1247" t="s">
        <v>937</v>
      </c>
      <c r="AD294" s="1248" t="s">
        <v>488</v>
      </c>
      <c r="AE294" s="1247">
        <v>642</v>
      </c>
      <c r="AF294" s="1248">
        <f t="shared" si="96"/>
        <v>2773440</v>
      </c>
      <c r="AG294" s="1249" t="s">
        <v>1320</v>
      </c>
      <c r="AH294" s="1234" t="s">
        <v>490</v>
      </c>
      <c r="AI294" s="1234" t="s">
        <v>112</v>
      </c>
      <c r="AJ294" s="1234" t="s">
        <v>113</v>
      </c>
      <c r="AK294" s="1188"/>
      <c r="AL294" s="1188">
        <f t="shared" si="97"/>
        <v>12960</v>
      </c>
      <c r="AM294" s="1188"/>
      <c r="AN294" s="1188"/>
      <c r="AO294" s="1188"/>
      <c r="AP294" s="1188"/>
      <c r="AQ294" s="1240"/>
      <c r="AR294" s="1188"/>
      <c r="AS294" s="1236"/>
      <c r="AT294" s="1236"/>
      <c r="AU294" s="1188"/>
      <c r="AV294" s="1250">
        <f t="shared" si="98"/>
        <v>518.4</v>
      </c>
      <c r="AW294" s="1250"/>
      <c r="AX294" s="1188"/>
      <c r="AY294" s="1188"/>
      <c r="AZ294" s="1188"/>
      <c r="BA294" s="1188"/>
      <c r="BB294" s="1188">
        <f t="shared" si="99"/>
        <v>12960</v>
      </c>
      <c r="BC294" s="1188">
        <f t="shared" si="100"/>
        <v>12960</v>
      </c>
      <c r="BD294" s="1188">
        <f t="shared" si="101"/>
        <v>12960</v>
      </c>
      <c r="BE294" s="1188">
        <f t="shared" si="102"/>
        <v>4320</v>
      </c>
      <c r="BF294" s="1188">
        <f t="shared" si="103"/>
        <v>720</v>
      </c>
      <c r="BG294" s="1188"/>
      <c r="BH294" s="1188"/>
      <c r="BI294" s="1188"/>
      <c r="BJ294" s="1188"/>
      <c r="BK294" s="1188"/>
      <c r="BL294" s="1188"/>
      <c r="BM294" s="1188"/>
      <c r="BN294" s="1188"/>
      <c r="BO294" s="1240"/>
      <c r="BP294" s="1240"/>
      <c r="BQ294" s="1188"/>
      <c r="BR294" s="1236"/>
      <c r="BS294" s="1236"/>
      <c r="BT294" s="1188"/>
      <c r="BU294" s="1188"/>
      <c r="BV294" s="1240"/>
      <c r="BW294" s="1188"/>
      <c r="BX294" s="1188"/>
      <c r="BY294" s="1188"/>
      <c r="BZ294" s="1188"/>
      <c r="CA294" s="1188"/>
      <c r="CB294" s="1188"/>
      <c r="CC294" s="1188"/>
      <c r="CD294" s="1188">
        <f t="shared" si="83"/>
        <v>0</v>
      </c>
      <c r="CE294" s="1188">
        <f t="shared" si="94"/>
        <v>0</v>
      </c>
      <c r="CF294" s="1188">
        <f t="shared" si="85"/>
        <v>0</v>
      </c>
      <c r="CG294" s="1188">
        <f t="shared" si="86"/>
        <v>0</v>
      </c>
      <c r="CH294" s="1236"/>
      <c r="CI294" s="1236"/>
      <c r="CJ294" s="1236"/>
      <c r="CK294" s="1188"/>
      <c r="CL294" s="1188"/>
    </row>
    <row r="295" s="1168" customFormat="1" customHeight="1" spans="1:90">
      <c r="A295" s="1245">
        <v>46134</v>
      </c>
      <c r="B295" s="1247" t="s">
        <v>1192</v>
      </c>
      <c r="C295" s="1234" t="s">
        <v>148</v>
      </c>
      <c r="D295" s="1268">
        <v>4500201776</v>
      </c>
      <c r="E295" s="1233">
        <v>1346737</v>
      </c>
      <c r="F295" s="1188" t="s">
        <v>1321</v>
      </c>
      <c r="G295" s="1253" t="s">
        <v>188</v>
      </c>
      <c r="H295" s="1234" t="s">
        <v>138</v>
      </c>
      <c r="I295" s="1254">
        <v>4100</v>
      </c>
      <c r="J295" s="1234">
        <v>0</v>
      </c>
      <c r="K295" s="1234">
        <v>50</v>
      </c>
      <c r="L295" s="1246">
        <f t="shared" si="87"/>
        <v>82</v>
      </c>
      <c r="M295" s="1255">
        <v>46199</v>
      </c>
      <c r="N295" s="1320">
        <v>46218</v>
      </c>
      <c r="O295" s="1322" t="s">
        <v>736</v>
      </c>
      <c r="P295" s="1302" t="s">
        <v>1194</v>
      </c>
      <c r="Q295" s="1233" t="s">
        <v>106</v>
      </c>
      <c r="R295" s="1234" t="s">
        <v>1322</v>
      </c>
      <c r="S295" s="1234"/>
      <c r="T295" s="1233">
        <v>4100</v>
      </c>
      <c r="U295" s="1233">
        <f t="shared" si="95"/>
        <v>0</v>
      </c>
      <c r="V295" s="1234" t="s">
        <v>120</v>
      </c>
      <c r="W295" s="1238">
        <v>46153</v>
      </c>
      <c r="X295" s="1227" t="s">
        <v>107</v>
      </c>
      <c r="Y295" s="1227" t="s">
        <v>1323</v>
      </c>
      <c r="Z295" s="1247" t="s">
        <v>1324</v>
      </c>
      <c r="AA295" s="1247"/>
      <c r="AB295" s="1247"/>
      <c r="AC295" s="1321" t="s">
        <v>1325</v>
      </c>
      <c r="AD295" s="1255" t="s">
        <v>263</v>
      </c>
      <c r="AE295" s="1267">
        <v>1.0647</v>
      </c>
      <c r="AF295" s="1248">
        <f>AE295*I295</f>
        <v>4365.27</v>
      </c>
      <c r="AG295" s="1258"/>
      <c r="AH295" s="1234" t="s">
        <v>314</v>
      </c>
      <c r="AI295" s="1234" t="s">
        <v>112</v>
      </c>
      <c r="AJ295" s="1234" t="s">
        <v>113</v>
      </c>
      <c r="AK295" s="1188">
        <f>I295</f>
        <v>4100</v>
      </c>
      <c r="AL295" s="1188"/>
      <c r="AM295" s="1188"/>
      <c r="AN295" s="1188"/>
      <c r="AO295" s="1188"/>
      <c r="AP295" s="1188">
        <f>I295</f>
        <v>4100</v>
      </c>
      <c r="AQ295" s="1240"/>
      <c r="AR295" s="1188"/>
      <c r="AS295" s="1236"/>
      <c r="AT295" s="1236"/>
      <c r="AU295" s="1188">
        <f>I295</f>
        <v>4100</v>
      </c>
      <c r="AV295" s="1250">
        <f t="shared" si="98"/>
        <v>492</v>
      </c>
      <c r="AW295" s="1250"/>
      <c r="AX295" s="1188"/>
      <c r="AY295" s="1188"/>
      <c r="AZ295" s="1188"/>
      <c r="BA295" s="1188"/>
      <c r="BB295" s="1188"/>
      <c r="BC295" s="1188"/>
      <c r="BD295" s="1188"/>
      <c r="BE295" s="1188"/>
      <c r="BF295" s="1188"/>
      <c r="BG295" s="1188"/>
      <c r="BH295" s="1188"/>
      <c r="BI295" s="1188"/>
      <c r="BJ295" s="1188"/>
      <c r="BK295" s="1188"/>
      <c r="BL295" s="1188"/>
      <c r="BM295" s="1188"/>
      <c r="BN295" s="1188"/>
      <c r="BO295" s="1240">
        <f>I295/25</f>
        <v>164</v>
      </c>
      <c r="BP295" s="1240"/>
      <c r="BQ295" s="1188"/>
      <c r="BR295" s="1236"/>
      <c r="BS295" s="1236"/>
      <c r="BT295" s="1188"/>
      <c r="BU295" s="1188"/>
      <c r="BV295" s="1240"/>
      <c r="BW295" s="1188"/>
      <c r="BX295" s="1188"/>
      <c r="BY295" s="1188"/>
      <c r="BZ295" s="1188"/>
      <c r="CA295" s="1188"/>
      <c r="CB295" s="1188"/>
      <c r="CC295" s="1188"/>
      <c r="CD295" s="1188">
        <f t="shared" si="83"/>
        <v>164</v>
      </c>
      <c r="CE295" s="1188">
        <f t="shared" si="94"/>
        <v>0</v>
      </c>
      <c r="CF295" s="1188">
        <f t="shared" si="85"/>
        <v>0</v>
      </c>
      <c r="CG295" s="1188">
        <f t="shared" si="86"/>
        <v>0</v>
      </c>
      <c r="CH295" s="1236"/>
      <c r="CI295" s="1236"/>
      <c r="CJ295" s="1236"/>
      <c r="CK295" s="1188"/>
      <c r="CL295" s="1188"/>
    </row>
    <row r="296" s="1168" customFormat="1" customHeight="1" spans="1:90">
      <c r="A296" s="1245">
        <v>46134</v>
      </c>
      <c r="B296" s="1247" t="s">
        <v>1192</v>
      </c>
      <c r="C296" s="1234" t="s">
        <v>148</v>
      </c>
      <c r="D296" s="1268">
        <v>4500201776</v>
      </c>
      <c r="E296" s="1233">
        <v>1346737</v>
      </c>
      <c r="F296" s="1188" t="s">
        <v>1326</v>
      </c>
      <c r="G296" s="1253" t="s">
        <v>188</v>
      </c>
      <c r="H296" s="1234" t="s">
        <v>138</v>
      </c>
      <c r="I296" s="1254">
        <v>5700</v>
      </c>
      <c r="J296" s="1234">
        <v>0</v>
      </c>
      <c r="K296" s="1234">
        <v>50</v>
      </c>
      <c r="L296" s="1246">
        <f t="shared" si="87"/>
        <v>114</v>
      </c>
      <c r="M296" s="1255">
        <v>46199</v>
      </c>
      <c r="N296" s="1320">
        <v>46218</v>
      </c>
      <c r="O296" s="1322" t="s">
        <v>736</v>
      </c>
      <c r="P296" s="1302" t="s">
        <v>1194</v>
      </c>
      <c r="Q296" s="1233" t="s">
        <v>106</v>
      </c>
      <c r="R296" s="1234" t="s">
        <v>1322</v>
      </c>
      <c r="S296" s="1234"/>
      <c r="T296" s="1233">
        <v>5700</v>
      </c>
      <c r="U296" s="1233">
        <f t="shared" si="95"/>
        <v>0</v>
      </c>
      <c r="V296" s="1234" t="s">
        <v>120</v>
      </c>
      <c r="W296" s="1238">
        <v>46153</v>
      </c>
      <c r="X296" s="1227" t="s">
        <v>107</v>
      </c>
      <c r="Y296" s="1227" t="s">
        <v>1323</v>
      </c>
      <c r="Z296" s="1247" t="s">
        <v>1324</v>
      </c>
      <c r="AA296" s="1247"/>
      <c r="AB296" s="1247"/>
      <c r="AC296" s="1321" t="s">
        <v>1325</v>
      </c>
      <c r="AD296" s="1255" t="s">
        <v>263</v>
      </c>
      <c r="AE296" s="1267">
        <v>1.0837</v>
      </c>
      <c r="AF296" s="1248">
        <f>AE296*I296</f>
        <v>6177.09</v>
      </c>
      <c r="AG296" s="1258"/>
      <c r="AH296" s="1234" t="s">
        <v>314</v>
      </c>
      <c r="AI296" s="1234" t="s">
        <v>112</v>
      </c>
      <c r="AJ296" s="1234" t="s">
        <v>113</v>
      </c>
      <c r="AK296" s="1188">
        <f>I296</f>
        <v>5700</v>
      </c>
      <c r="AL296" s="1188"/>
      <c r="AM296" s="1188"/>
      <c r="AN296" s="1188"/>
      <c r="AO296" s="1188"/>
      <c r="AP296" s="1188">
        <f>I296</f>
        <v>5700</v>
      </c>
      <c r="AQ296" s="1240"/>
      <c r="AR296" s="1188"/>
      <c r="AS296" s="1236"/>
      <c r="AT296" s="1236"/>
      <c r="AU296" s="1188">
        <f>I296</f>
        <v>5700</v>
      </c>
      <c r="AV296" s="1250">
        <f t="shared" si="98"/>
        <v>684</v>
      </c>
      <c r="AW296" s="1250"/>
      <c r="AX296" s="1188"/>
      <c r="AY296" s="1188"/>
      <c r="AZ296" s="1188"/>
      <c r="BA296" s="1188"/>
      <c r="BB296" s="1188"/>
      <c r="BC296" s="1188"/>
      <c r="BD296" s="1188"/>
      <c r="BE296" s="1188"/>
      <c r="BF296" s="1188"/>
      <c r="BG296" s="1188"/>
      <c r="BH296" s="1188"/>
      <c r="BI296" s="1188"/>
      <c r="BJ296" s="1188"/>
      <c r="BK296" s="1188"/>
      <c r="BL296" s="1188"/>
      <c r="BM296" s="1188"/>
      <c r="BN296" s="1188"/>
      <c r="BO296" s="1240">
        <f>I296/25</f>
        <v>228</v>
      </c>
      <c r="BP296" s="1240"/>
      <c r="BQ296" s="1188"/>
      <c r="BR296" s="1236"/>
      <c r="BS296" s="1236"/>
      <c r="BT296" s="1188"/>
      <c r="BU296" s="1188"/>
      <c r="BV296" s="1240"/>
      <c r="BW296" s="1188"/>
      <c r="BX296" s="1188"/>
      <c r="BY296" s="1188"/>
      <c r="BZ296" s="1188"/>
      <c r="CA296" s="1188"/>
      <c r="CB296" s="1188"/>
      <c r="CC296" s="1188"/>
      <c r="CD296" s="1188">
        <f t="shared" si="83"/>
        <v>228</v>
      </c>
      <c r="CE296" s="1188">
        <f t="shared" si="94"/>
        <v>0</v>
      </c>
      <c r="CF296" s="1188">
        <f t="shared" si="85"/>
        <v>0</v>
      </c>
      <c r="CG296" s="1188">
        <f t="shared" si="86"/>
        <v>0</v>
      </c>
      <c r="CH296" s="1236"/>
      <c r="CI296" s="1236"/>
      <c r="CJ296" s="1236"/>
      <c r="CK296" s="1188"/>
      <c r="CL296" s="1188"/>
    </row>
    <row r="297" s="1168" customFormat="1" customHeight="1" spans="1:90">
      <c r="A297" s="1245">
        <v>46134</v>
      </c>
      <c r="B297" s="1247" t="s">
        <v>1192</v>
      </c>
      <c r="C297" s="1234" t="s">
        <v>148</v>
      </c>
      <c r="D297" s="1268">
        <v>4500201776</v>
      </c>
      <c r="E297" s="1233">
        <v>1346737</v>
      </c>
      <c r="F297" s="1188" t="s">
        <v>1327</v>
      </c>
      <c r="G297" s="1253" t="s">
        <v>799</v>
      </c>
      <c r="H297" s="1234" t="s">
        <v>800</v>
      </c>
      <c r="I297" s="1254">
        <v>1560</v>
      </c>
      <c r="J297" s="1234">
        <v>0</v>
      </c>
      <c r="K297" s="1234">
        <v>30</v>
      </c>
      <c r="L297" s="1246">
        <f t="shared" si="87"/>
        <v>52</v>
      </c>
      <c r="M297" s="1255">
        <v>46199</v>
      </c>
      <c r="N297" s="1320">
        <v>46218</v>
      </c>
      <c r="O297" s="1322" t="s">
        <v>736</v>
      </c>
      <c r="P297" s="1302" t="s">
        <v>1194</v>
      </c>
      <c r="Q297" s="1328" t="s">
        <v>267</v>
      </c>
      <c r="R297" s="1234" t="s">
        <v>1322</v>
      </c>
      <c r="S297" s="1234"/>
      <c r="T297" s="1233">
        <v>1560</v>
      </c>
      <c r="U297" s="1233">
        <f t="shared" si="95"/>
        <v>0</v>
      </c>
      <c r="V297" s="1234" t="s">
        <v>120</v>
      </c>
      <c r="W297" s="1238">
        <v>46153</v>
      </c>
      <c r="X297" s="1227" t="s">
        <v>107</v>
      </c>
      <c r="Y297" s="1227" t="s">
        <v>1323</v>
      </c>
      <c r="Z297" s="1247" t="s">
        <v>1324</v>
      </c>
      <c r="AA297" s="1247"/>
      <c r="AB297" s="1247"/>
      <c r="AC297" s="1321" t="s">
        <v>1328</v>
      </c>
      <c r="AD297" s="1255" t="s">
        <v>263</v>
      </c>
      <c r="AE297" s="1188">
        <v>41.265</v>
      </c>
      <c r="AF297" s="1248">
        <f>AE297*L297</f>
        <v>2145.78</v>
      </c>
      <c r="AG297" s="1258"/>
      <c r="AH297" s="1253" t="s">
        <v>799</v>
      </c>
      <c r="AI297" s="1234" t="s">
        <v>112</v>
      </c>
      <c r="AJ297" s="1234" t="s">
        <v>113</v>
      </c>
      <c r="AK297" s="1188">
        <f>I297</f>
        <v>1560</v>
      </c>
      <c r="AL297" s="1188"/>
      <c r="AM297" s="1188"/>
      <c r="AN297" s="1188"/>
      <c r="AO297" s="1188"/>
      <c r="AP297" s="1188">
        <f>I297</f>
        <v>1560</v>
      </c>
      <c r="AQ297" s="1240"/>
      <c r="AR297" s="1188"/>
      <c r="AS297" s="1236"/>
      <c r="AT297" s="1236"/>
      <c r="AU297" s="1188">
        <f>I297</f>
        <v>1560</v>
      </c>
      <c r="AV297" s="1250">
        <f t="shared" si="98"/>
        <v>187.2</v>
      </c>
      <c r="AW297" s="1250"/>
      <c r="AX297" s="1188"/>
      <c r="AY297" s="1188"/>
      <c r="AZ297" s="1188"/>
      <c r="BA297" s="1188"/>
      <c r="BB297" s="1188"/>
      <c r="BC297" s="1188"/>
      <c r="BD297" s="1188"/>
      <c r="BE297" s="1188"/>
      <c r="BF297" s="1188"/>
      <c r="BG297" s="1188"/>
      <c r="BH297" s="1188"/>
      <c r="BI297" s="1188"/>
      <c r="BJ297" s="1188"/>
      <c r="BK297" s="1188"/>
      <c r="BL297" s="1188"/>
      <c r="BM297" s="1188"/>
      <c r="BN297" s="1188"/>
      <c r="BO297" s="1240"/>
      <c r="BP297" s="1240"/>
      <c r="BQ297" s="1188"/>
      <c r="BR297" s="1236"/>
      <c r="BS297" s="1236"/>
      <c r="BT297" s="1188"/>
      <c r="BU297" s="1188"/>
      <c r="BV297" s="1240"/>
      <c r="BW297" s="1188"/>
      <c r="BX297" s="1188"/>
      <c r="BY297" s="1188"/>
      <c r="BZ297" s="1188"/>
      <c r="CA297" s="1188"/>
      <c r="CB297" s="1188"/>
      <c r="CC297" s="1188">
        <f>L297</f>
        <v>52</v>
      </c>
      <c r="CD297" s="1188">
        <f t="shared" si="83"/>
        <v>0</v>
      </c>
      <c r="CE297" s="1188">
        <f t="shared" si="94"/>
        <v>0</v>
      </c>
      <c r="CF297" s="1188">
        <f t="shared" si="85"/>
        <v>52</v>
      </c>
      <c r="CG297" s="1188">
        <f t="shared" si="86"/>
        <v>0</v>
      </c>
      <c r="CH297" s="1236"/>
      <c r="CI297" s="1236"/>
      <c r="CJ297" s="1236"/>
      <c r="CK297" s="1188"/>
      <c r="CL297" s="1188"/>
    </row>
    <row r="298" s="1168" customFormat="1" customHeight="1" spans="1:90">
      <c r="A298" s="1245">
        <v>46107</v>
      </c>
      <c r="B298" s="1247" t="s">
        <v>845</v>
      </c>
      <c r="C298" s="1234" t="s">
        <v>291</v>
      </c>
      <c r="D298" s="1188">
        <v>4500198842</v>
      </c>
      <c r="E298" s="1234">
        <v>7950324037</v>
      </c>
      <c r="F298" s="1188" t="s">
        <v>1329</v>
      </c>
      <c r="G298" s="1253" t="s">
        <v>482</v>
      </c>
      <c r="H298" s="1234" t="s">
        <v>483</v>
      </c>
      <c r="I298" s="1254">
        <v>4320</v>
      </c>
      <c r="J298" s="1234">
        <v>0</v>
      </c>
      <c r="K298" s="1234">
        <v>120</v>
      </c>
      <c r="L298" s="1246">
        <f t="shared" si="87"/>
        <v>36</v>
      </c>
      <c r="M298" s="1255">
        <v>46199</v>
      </c>
      <c r="N298" s="1320">
        <v>46218</v>
      </c>
      <c r="O298" s="1322" t="s">
        <v>736</v>
      </c>
      <c r="P298" s="1233"/>
      <c r="Q298" s="1233" t="s">
        <v>106</v>
      </c>
      <c r="R298" s="1234"/>
      <c r="S298" s="1234" t="s">
        <v>447</v>
      </c>
      <c r="T298" s="1233">
        <v>4320</v>
      </c>
      <c r="U298" s="1233">
        <f t="shared" si="95"/>
        <v>0</v>
      </c>
      <c r="V298" s="1234"/>
      <c r="W298" s="1238" t="s">
        <v>1330</v>
      </c>
      <c r="X298" s="1227" t="s">
        <v>107</v>
      </c>
      <c r="Y298" s="1227" t="s">
        <v>849</v>
      </c>
      <c r="Z298" s="1247"/>
      <c r="AA298" s="1247"/>
      <c r="AB298" s="1247"/>
      <c r="AC298" s="1247" t="s">
        <v>1331</v>
      </c>
      <c r="AD298" s="1255" t="s">
        <v>295</v>
      </c>
      <c r="AE298" s="1267">
        <v>1070</v>
      </c>
      <c r="AF298" s="1248">
        <f>L298*AE298</f>
        <v>38520</v>
      </c>
      <c r="AG298" s="1258"/>
      <c r="AH298" s="1234" t="s">
        <v>490</v>
      </c>
      <c r="AI298" s="1234" t="s">
        <v>112</v>
      </c>
      <c r="AJ298" s="1234" t="s">
        <v>113</v>
      </c>
      <c r="AK298" s="1188"/>
      <c r="AL298" s="1188">
        <f>I298*3</f>
        <v>12960</v>
      </c>
      <c r="AM298" s="1188"/>
      <c r="AN298" s="1188"/>
      <c r="AO298" s="1188"/>
      <c r="AP298" s="1188"/>
      <c r="AQ298" s="1240"/>
      <c r="AR298" s="1188"/>
      <c r="AS298" s="1236"/>
      <c r="AT298" s="1236"/>
      <c r="AU298" s="1188"/>
      <c r="AV298" s="1250">
        <f t="shared" si="98"/>
        <v>518.4</v>
      </c>
      <c r="AW298" s="1250"/>
      <c r="AX298" s="1188"/>
      <c r="AY298" s="1188"/>
      <c r="AZ298" s="1188"/>
      <c r="BA298" s="1188"/>
      <c r="BB298" s="1188">
        <f>I298*3</f>
        <v>12960</v>
      </c>
      <c r="BC298" s="1188">
        <f>I298*3</f>
        <v>12960</v>
      </c>
      <c r="BD298" s="1188">
        <f>I298*3</f>
        <v>12960</v>
      </c>
      <c r="BE298" s="1188">
        <f>I298</f>
        <v>4320</v>
      </c>
      <c r="BF298" s="1188">
        <f>I298/6</f>
        <v>720</v>
      </c>
      <c r="BG298" s="1188"/>
      <c r="BH298" s="1188"/>
      <c r="BI298" s="1188"/>
      <c r="BJ298" s="1188"/>
      <c r="BK298" s="1188"/>
      <c r="BL298" s="1188"/>
      <c r="BM298" s="1188"/>
      <c r="BN298" s="1188"/>
      <c r="BO298" s="1240"/>
      <c r="BP298" s="1240"/>
      <c r="BQ298" s="1188"/>
      <c r="BR298" s="1236"/>
      <c r="BS298" s="1236"/>
      <c r="BT298" s="1188"/>
      <c r="BU298" s="1188"/>
      <c r="BV298" s="1240"/>
      <c r="BW298" s="1188"/>
      <c r="BX298" s="1188"/>
      <c r="BY298" s="1188"/>
      <c r="BZ298" s="1188"/>
      <c r="CA298" s="1188"/>
      <c r="CB298" s="1188"/>
      <c r="CC298" s="1188"/>
      <c r="CD298" s="1188">
        <f t="shared" si="83"/>
        <v>0</v>
      </c>
      <c r="CE298" s="1188">
        <f t="shared" si="94"/>
        <v>0</v>
      </c>
      <c r="CF298" s="1188">
        <f t="shared" si="85"/>
        <v>0</v>
      </c>
      <c r="CG298" s="1188">
        <f t="shared" si="86"/>
        <v>0</v>
      </c>
      <c r="CH298" s="1236"/>
      <c r="CI298" s="1236"/>
      <c r="CJ298" s="1236"/>
      <c r="CK298" s="1188"/>
      <c r="CL298" s="1188"/>
    </row>
    <row r="299" s="1168" customFormat="1" customHeight="1" spans="1:90">
      <c r="A299" s="1245">
        <v>46114</v>
      </c>
      <c r="B299" s="1247" t="s">
        <v>1332</v>
      </c>
      <c r="C299" s="1234" t="s">
        <v>1333</v>
      </c>
      <c r="D299" s="1268">
        <v>4500199849</v>
      </c>
      <c r="E299" s="1233">
        <v>4504719306</v>
      </c>
      <c r="F299" s="1188" t="s">
        <v>1334</v>
      </c>
      <c r="G299" s="1253" t="s">
        <v>188</v>
      </c>
      <c r="H299" s="1234" t="s">
        <v>138</v>
      </c>
      <c r="I299" s="1254">
        <v>5600</v>
      </c>
      <c r="J299" s="1234">
        <v>0</v>
      </c>
      <c r="K299" s="1234">
        <v>50</v>
      </c>
      <c r="L299" s="1246">
        <f t="shared" si="87"/>
        <v>112</v>
      </c>
      <c r="M299" s="1255">
        <v>46199</v>
      </c>
      <c r="N299" s="1320">
        <v>46218</v>
      </c>
      <c r="O299" s="1322" t="s">
        <v>736</v>
      </c>
      <c r="P299" s="1233"/>
      <c r="Q299" s="1233" t="s">
        <v>106</v>
      </c>
      <c r="R299" s="1234"/>
      <c r="S299" s="1234"/>
      <c r="T299" s="1233">
        <v>5600</v>
      </c>
      <c r="U299" s="1233">
        <f t="shared" si="95"/>
        <v>0</v>
      </c>
      <c r="V299" s="1234"/>
      <c r="W299" s="1238" t="s">
        <v>1335</v>
      </c>
      <c r="X299" s="1227" t="s">
        <v>95</v>
      </c>
      <c r="Y299" s="1227" t="s">
        <v>1336</v>
      </c>
      <c r="Z299" s="1247" t="s">
        <v>1337</v>
      </c>
      <c r="AA299" s="1247"/>
      <c r="AB299" s="1247"/>
      <c r="AC299" s="1247" t="s">
        <v>1338</v>
      </c>
      <c r="AD299" s="1255" t="s">
        <v>295</v>
      </c>
      <c r="AE299" s="1188">
        <v>1.007</v>
      </c>
      <c r="AF299" s="1248">
        <f>AE299*I299</f>
        <v>5639.2</v>
      </c>
      <c r="AG299" s="1258"/>
      <c r="AH299" s="1234" t="s">
        <v>314</v>
      </c>
      <c r="AI299" s="1234" t="s">
        <v>112</v>
      </c>
      <c r="AJ299" s="1234" t="s">
        <v>113</v>
      </c>
      <c r="AK299" s="1188">
        <f>I299</f>
        <v>5600</v>
      </c>
      <c r="AL299" s="1188"/>
      <c r="AM299" s="1188"/>
      <c r="AN299" s="1188"/>
      <c r="AO299" s="1188"/>
      <c r="AP299" s="1188">
        <f>I299</f>
        <v>5600</v>
      </c>
      <c r="AQ299" s="1240"/>
      <c r="AR299" s="1188"/>
      <c r="AS299" s="1236"/>
      <c r="AT299" s="1236"/>
      <c r="AU299" s="1188">
        <f>I299</f>
        <v>5600</v>
      </c>
      <c r="AV299" s="1250">
        <f>I299*0.06</f>
        <v>336</v>
      </c>
      <c r="AW299" s="1250"/>
      <c r="AX299" s="1188"/>
      <c r="AY299" s="1188"/>
      <c r="AZ299" s="1188"/>
      <c r="BA299" s="1188"/>
      <c r="BB299" s="1188"/>
      <c r="BC299" s="1188"/>
      <c r="BD299" s="1188"/>
      <c r="BE299" s="1188"/>
      <c r="BF299" s="1188"/>
      <c r="BG299" s="1188"/>
      <c r="BH299" s="1188"/>
      <c r="BI299" s="1188"/>
      <c r="BJ299" s="1188"/>
      <c r="BK299" s="1188"/>
      <c r="BL299" s="1188"/>
      <c r="BM299" s="1188"/>
      <c r="BN299" s="1188"/>
      <c r="BO299" s="1240">
        <f>I299/25</f>
        <v>224</v>
      </c>
      <c r="BP299" s="1240"/>
      <c r="BQ299" s="1188"/>
      <c r="BR299" s="1236"/>
      <c r="BS299" s="1236"/>
      <c r="BT299" s="1188"/>
      <c r="BU299" s="1188"/>
      <c r="BV299" s="1240"/>
      <c r="BW299" s="1188"/>
      <c r="BX299" s="1188"/>
      <c r="BY299" s="1188"/>
      <c r="BZ299" s="1188"/>
      <c r="CA299" s="1188"/>
      <c r="CB299" s="1188"/>
      <c r="CC299" s="1188"/>
      <c r="CD299" s="1188">
        <f t="shared" si="83"/>
        <v>224</v>
      </c>
      <c r="CE299" s="1188">
        <f t="shared" si="94"/>
        <v>0</v>
      </c>
      <c r="CF299" s="1188">
        <f t="shared" si="85"/>
        <v>0</v>
      </c>
      <c r="CG299" s="1188">
        <f t="shared" si="86"/>
        <v>0</v>
      </c>
      <c r="CH299" s="1236"/>
      <c r="CI299" s="1236"/>
      <c r="CJ299" s="1236"/>
      <c r="CK299" s="1188"/>
      <c r="CL299" s="1188"/>
    </row>
    <row r="300" s="1168" customFormat="1" customHeight="1" spans="1:90">
      <c r="A300" s="1245">
        <v>46136</v>
      </c>
      <c r="B300" s="1247" t="s">
        <v>935</v>
      </c>
      <c r="C300" s="1234" t="s">
        <v>115</v>
      </c>
      <c r="D300" s="1268">
        <v>4500203906</v>
      </c>
      <c r="E300" s="1302">
        <v>5840512190</v>
      </c>
      <c r="F300" s="1188" t="s">
        <v>1339</v>
      </c>
      <c r="G300" s="1253" t="s">
        <v>482</v>
      </c>
      <c r="H300" s="1234" t="s">
        <v>483</v>
      </c>
      <c r="I300" s="1254">
        <v>4320</v>
      </c>
      <c r="J300" s="1234">
        <v>0</v>
      </c>
      <c r="K300" s="1234">
        <v>120</v>
      </c>
      <c r="L300" s="1246">
        <f t="shared" si="87"/>
        <v>36</v>
      </c>
      <c r="M300" s="1255">
        <v>46199</v>
      </c>
      <c r="N300" s="1320">
        <v>46219</v>
      </c>
      <c r="O300" s="1322" t="s">
        <v>736</v>
      </c>
      <c r="P300" s="1233"/>
      <c r="Q300" s="1233" t="s">
        <v>106</v>
      </c>
      <c r="R300" s="1234"/>
      <c r="S300" s="1234"/>
      <c r="T300" s="1233">
        <v>4320</v>
      </c>
      <c r="U300" s="1233">
        <f t="shared" si="95"/>
        <v>0</v>
      </c>
      <c r="V300" s="1234"/>
      <c r="W300" s="1238">
        <v>46155</v>
      </c>
      <c r="X300" s="1227" t="s">
        <v>107</v>
      </c>
      <c r="Y300" s="1227" t="s">
        <v>95</v>
      </c>
      <c r="Z300" s="1247"/>
      <c r="AA300" s="1247"/>
      <c r="AB300" s="1247"/>
      <c r="AC300" s="1247" t="s">
        <v>1340</v>
      </c>
      <c r="AD300" s="1255" t="s">
        <v>488</v>
      </c>
      <c r="AE300" s="1188">
        <v>642</v>
      </c>
      <c r="AF300" s="1248">
        <f t="shared" ref="AF300:AF310" si="104">I300*AE300</f>
        <v>2773440</v>
      </c>
      <c r="AG300" s="1258"/>
      <c r="AH300" s="1234" t="s">
        <v>490</v>
      </c>
      <c r="AI300" s="1234" t="s">
        <v>112</v>
      </c>
      <c r="AJ300" s="1234" t="s">
        <v>113</v>
      </c>
      <c r="AK300" s="1188"/>
      <c r="AL300" s="1188">
        <f>I300*3</f>
        <v>12960</v>
      </c>
      <c r="AM300" s="1188"/>
      <c r="AN300" s="1188"/>
      <c r="AO300" s="1188"/>
      <c r="AP300" s="1188"/>
      <c r="AQ300" s="1240"/>
      <c r="AR300" s="1188"/>
      <c r="AS300" s="1236"/>
      <c r="AT300" s="1236"/>
      <c r="AU300" s="1188"/>
      <c r="AV300" s="1250">
        <f>I300*0.06*2</f>
        <v>518.4</v>
      </c>
      <c r="AW300" s="1250"/>
      <c r="AX300" s="1188"/>
      <c r="AY300" s="1188"/>
      <c r="AZ300" s="1188"/>
      <c r="BA300" s="1188"/>
      <c r="BB300" s="1188">
        <f>I300*3</f>
        <v>12960</v>
      </c>
      <c r="BC300" s="1188">
        <f>I300*3</f>
        <v>12960</v>
      </c>
      <c r="BD300" s="1188">
        <f>I300*3</f>
        <v>12960</v>
      </c>
      <c r="BE300" s="1188">
        <f>I300</f>
        <v>4320</v>
      </c>
      <c r="BF300" s="1188">
        <f>I300/6</f>
        <v>720</v>
      </c>
      <c r="BG300" s="1188"/>
      <c r="BH300" s="1188"/>
      <c r="BI300" s="1188"/>
      <c r="BJ300" s="1188"/>
      <c r="BK300" s="1188"/>
      <c r="BL300" s="1188"/>
      <c r="BM300" s="1188"/>
      <c r="BN300" s="1188"/>
      <c r="BO300" s="1240"/>
      <c r="BP300" s="1240"/>
      <c r="BQ300" s="1188"/>
      <c r="BR300" s="1236"/>
      <c r="BS300" s="1236"/>
      <c r="BT300" s="1188"/>
      <c r="BU300" s="1188"/>
      <c r="BV300" s="1240"/>
      <c r="BW300" s="1188"/>
      <c r="BX300" s="1188"/>
      <c r="BY300" s="1188"/>
      <c r="BZ300" s="1188"/>
      <c r="CA300" s="1188"/>
      <c r="CB300" s="1188"/>
      <c r="CC300" s="1188"/>
      <c r="CD300" s="1188">
        <f t="shared" si="83"/>
        <v>0</v>
      </c>
      <c r="CE300" s="1188">
        <f t="shared" si="94"/>
        <v>0</v>
      </c>
      <c r="CF300" s="1188">
        <f t="shared" si="85"/>
        <v>0</v>
      </c>
      <c r="CG300" s="1188">
        <f t="shared" si="86"/>
        <v>0</v>
      </c>
      <c r="CH300" s="1236"/>
      <c r="CI300" s="1236"/>
      <c r="CJ300" s="1236"/>
      <c r="CK300" s="1188"/>
      <c r="CL300" s="1188"/>
    </row>
    <row r="301" s="1168" customFormat="1" customHeight="1" spans="1:90">
      <c r="A301" s="1245">
        <v>46136</v>
      </c>
      <c r="B301" s="1247" t="s">
        <v>935</v>
      </c>
      <c r="C301" s="1234" t="s">
        <v>115</v>
      </c>
      <c r="D301" s="1268">
        <v>4500203940</v>
      </c>
      <c r="E301" s="1302">
        <v>9600512464</v>
      </c>
      <c r="F301" s="1188" t="s">
        <v>1341</v>
      </c>
      <c r="G301" s="1253" t="s">
        <v>482</v>
      </c>
      <c r="H301" s="1234" t="s">
        <v>483</v>
      </c>
      <c r="I301" s="1254">
        <v>4320</v>
      </c>
      <c r="J301" s="1234">
        <v>0</v>
      </c>
      <c r="K301" s="1234">
        <v>120</v>
      </c>
      <c r="L301" s="1246">
        <f t="shared" si="87"/>
        <v>36</v>
      </c>
      <c r="M301" s="1255">
        <v>46199</v>
      </c>
      <c r="N301" s="1320">
        <v>46220</v>
      </c>
      <c r="O301" s="1322" t="s">
        <v>736</v>
      </c>
      <c r="P301" s="1233"/>
      <c r="Q301" s="1233" t="s">
        <v>106</v>
      </c>
      <c r="R301" s="1234"/>
      <c r="S301" s="1234"/>
      <c r="T301" s="1233">
        <v>4320</v>
      </c>
      <c r="U301" s="1233">
        <f t="shared" si="95"/>
        <v>0</v>
      </c>
      <c r="V301" s="1234"/>
      <c r="W301" s="1238">
        <v>46155</v>
      </c>
      <c r="X301" s="1227" t="s">
        <v>107</v>
      </c>
      <c r="Y301" s="1227" t="s">
        <v>95</v>
      </c>
      <c r="Z301" s="1247"/>
      <c r="AA301" s="1247"/>
      <c r="AB301" s="1247"/>
      <c r="AC301" s="1247" t="s">
        <v>937</v>
      </c>
      <c r="AD301" s="1255" t="s">
        <v>488</v>
      </c>
      <c r="AE301" s="1188">
        <v>642</v>
      </c>
      <c r="AF301" s="1248">
        <f t="shared" si="104"/>
        <v>2773440</v>
      </c>
      <c r="AG301" s="1249" t="s">
        <v>1342</v>
      </c>
      <c r="AH301" s="1234" t="s">
        <v>490</v>
      </c>
      <c r="AI301" s="1234" t="s">
        <v>112</v>
      </c>
      <c r="AJ301" s="1234" t="s">
        <v>113</v>
      </c>
      <c r="AK301" s="1188"/>
      <c r="AL301" s="1188">
        <f>I301*3</f>
        <v>12960</v>
      </c>
      <c r="AM301" s="1188"/>
      <c r="AN301" s="1188"/>
      <c r="AO301" s="1188"/>
      <c r="AP301" s="1188"/>
      <c r="AQ301" s="1240"/>
      <c r="AR301" s="1188"/>
      <c r="AS301" s="1236"/>
      <c r="AT301" s="1236"/>
      <c r="AU301" s="1188"/>
      <c r="AV301" s="1250">
        <f>I301*0.06*2</f>
        <v>518.4</v>
      </c>
      <c r="AW301" s="1250"/>
      <c r="AX301" s="1188"/>
      <c r="AY301" s="1188"/>
      <c r="AZ301" s="1188"/>
      <c r="BA301" s="1188"/>
      <c r="BB301" s="1188">
        <f>I301*3</f>
        <v>12960</v>
      </c>
      <c r="BC301" s="1188">
        <f>I301*3</f>
        <v>12960</v>
      </c>
      <c r="BD301" s="1188">
        <f>I301*3</f>
        <v>12960</v>
      </c>
      <c r="BE301" s="1188">
        <f>I301</f>
        <v>4320</v>
      </c>
      <c r="BF301" s="1188">
        <f>I301/6</f>
        <v>720</v>
      </c>
      <c r="BG301" s="1188"/>
      <c r="BH301" s="1188"/>
      <c r="BI301" s="1188"/>
      <c r="BJ301" s="1188"/>
      <c r="BK301" s="1188"/>
      <c r="BL301" s="1188"/>
      <c r="BM301" s="1188"/>
      <c r="BN301" s="1188"/>
      <c r="BO301" s="1240"/>
      <c r="BP301" s="1240"/>
      <c r="BQ301" s="1188"/>
      <c r="BR301" s="1236"/>
      <c r="BS301" s="1236"/>
      <c r="BT301" s="1188"/>
      <c r="BU301" s="1188"/>
      <c r="BV301" s="1240"/>
      <c r="BW301" s="1188"/>
      <c r="BX301" s="1188"/>
      <c r="BY301" s="1188"/>
      <c r="BZ301" s="1188"/>
      <c r="CA301" s="1188"/>
      <c r="CB301" s="1188"/>
      <c r="CC301" s="1188"/>
      <c r="CD301" s="1188">
        <f t="shared" si="83"/>
        <v>0</v>
      </c>
      <c r="CE301" s="1188">
        <f t="shared" si="94"/>
        <v>0</v>
      </c>
      <c r="CF301" s="1188">
        <f t="shared" si="85"/>
        <v>0</v>
      </c>
      <c r="CG301" s="1188">
        <f t="shared" si="86"/>
        <v>0</v>
      </c>
      <c r="CH301" s="1236"/>
      <c r="CI301" s="1236"/>
      <c r="CJ301" s="1236"/>
      <c r="CK301" s="1188"/>
      <c r="CL301" s="1188"/>
    </row>
    <row r="302" s="1168" customFormat="1" customHeight="1" spans="1:90">
      <c r="A302" s="1245">
        <v>46136</v>
      </c>
      <c r="B302" s="1247" t="s">
        <v>935</v>
      </c>
      <c r="C302" s="1234" t="s">
        <v>115</v>
      </c>
      <c r="D302" s="1268">
        <v>4500203944</v>
      </c>
      <c r="E302" s="1302">
        <v>1710512328</v>
      </c>
      <c r="F302" s="1188" t="s">
        <v>1343</v>
      </c>
      <c r="G302" s="1253" t="s">
        <v>482</v>
      </c>
      <c r="H302" s="1234" t="s">
        <v>483</v>
      </c>
      <c r="I302" s="1254">
        <v>4320</v>
      </c>
      <c r="J302" s="1234">
        <v>0</v>
      </c>
      <c r="K302" s="1234">
        <v>120</v>
      </c>
      <c r="L302" s="1246">
        <f t="shared" si="87"/>
        <v>36</v>
      </c>
      <c r="M302" s="1255">
        <v>46199</v>
      </c>
      <c r="N302" s="1320">
        <v>46220</v>
      </c>
      <c r="O302" s="1322" t="s">
        <v>736</v>
      </c>
      <c r="P302" s="1233"/>
      <c r="Q302" s="1233" t="s">
        <v>106</v>
      </c>
      <c r="R302" s="1234"/>
      <c r="S302" s="1234"/>
      <c r="T302" s="929">
        <v>4320</v>
      </c>
      <c r="U302" s="1233">
        <f t="shared" si="95"/>
        <v>0</v>
      </c>
      <c r="V302" s="1234"/>
      <c r="W302" s="1238">
        <v>46155</v>
      </c>
      <c r="X302" s="1227" t="s">
        <v>107</v>
      </c>
      <c r="Y302" s="1227" t="s">
        <v>95</v>
      </c>
      <c r="Z302" s="1247"/>
      <c r="AA302" s="1247"/>
      <c r="AB302" s="1247"/>
      <c r="AC302" s="1247" t="s">
        <v>937</v>
      </c>
      <c r="AD302" s="1255" t="s">
        <v>488</v>
      </c>
      <c r="AE302" s="1188">
        <v>642</v>
      </c>
      <c r="AF302" s="1248">
        <f t="shared" si="104"/>
        <v>2773440</v>
      </c>
      <c r="AG302" s="1249" t="s">
        <v>1344</v>
      </c>
      <c r="AH302" s="1234" t="s">
        <v>490</v>
      </c>
      <c r="AI302" s="1234" t="s">
        <v>112</v>
      </c>
      <c r="AJ302" s="1234" t="s">
        <v>113</v>
      </c>
      <c r="AK302" s="1188"/>
      <c r="AL302" s="1188">
        <f>I302*3</f>
        <v>12960</v>
      </c>
      <c r="AM302" s="1188"/>
      <c r="AN302" s="1188"/>
      <c r="AO302" s="1188"/>
      <c r="AP302" s="1188"/>
      <c r="AQ302" s="1240"/>
      <c r="AR302" s="1188"/>
      <c r="AS302" s="1236"/>
      <c r="AT302" s="1236"/>
      <c r="AU302" s="1188"/>
      <c r="AV302" s="1250">
        <f>I302*0.06*2</f>
        <v>518.4</v>
      </c>
      <c r="AW302" s="1250"/>
      <c r="AX302" s="1188"/>
      <c r="AY302" s="1188"/>
      <c r="AZ302" s="1188"/>
      <c r="BA302" s="1188"/>
      <c r="BB302" s="1188">
        <f>I302*3</f>
        <v>12960</v>
      </c>
      <c r="BC302" s="1188">
        <f>I302*3</f>
        <v>12960</v>
      </c>
      <c r="BD302" s="1188">
        <f>I302*3</f>
        <v>12960</v>
      </c>
      <c r="BE302" s="1188">
        <f>I302</f>
        <v>4320</v>
      </c>
      <c r="BF302" s="1188">
        <f>I302/6</f>
        <v>720</v>
      </c>
      <c r="BG302" s="1188"/>
      <c r="BH302" s="1188"/>
      <c r="BI302" s="1188"/>
      <c r="BJ302" s="1188"/>
      <c r="BK302" s="1188"/>
      <c r="BL302" s="1188"/>
      <c r="BM302" s="1188"/>
      <c r="BN302" s="1188"/>
      <c r="BO302" s="1240"/>
      <c r="BP302" s="1240"/>
      <c r="BQ302" s="1188"/>
      <c r="BR302" s="1236"/>
      <c r="BS302" s="1236"/>
      <c r="BT302" s="1188"/>
      <c r="BU302" s="1188"/>
      <c r="BV302" s="1240"/>
      <c r="BW302" s="1188"/>
      <c r="BX302" s="1188"/>
      <c r="BY302" s="1188"/>
      <c r="BZ302" s="1188"/>
      <c r="CA302" s="1188"/>
      <c r="CB302" s="1188"/>
      <c r="CC302" s="1188"/>
      <c r="CD302" s="1188">
        <f t="shared" si="83"/>
        <v>0</v>
      </c>
      <c r="CE302" s="1188">
        <f t="shared" si="94"/>
        <v>0</v>
      </c>
      <c r="CF302" s="1188">
        <f t="shared" si="85"/>
        <v>0</v>
      </c>
      <c r="CG302" s="1188">
        <f t="shared" si="86"/>
        <v>0</v>
      </c>
      <c r="CH302" s="1236"/>
      <c r="CI302" s="1236"/>
      <c r="CJ302" s="1236"/>
      <c r="CK302" s="1188"/>
      <c r="CL302" s="1188"/>
    </row>
    <row r="303" s="1168" customFormat="1" customHeight="1" spans="1:90">
      <c r="A303" s="1245">
        <v>46136</v>
      </c>
      <c r="B303" s="1247" t="s">
        <v>935</v>
      </c>
      <c r="C303" s="1234" t="s">
        <v>115</v>
      </c>
      <c r="D303" s="1268">
        <v>4500203948</v>
      </c>
      <c r="E303" s="1302">
        <v>1790512270</v>
      </c>
      <c r="F303" s="1188" t="s">
        <v>1345</v>
      </c>
      <c r="G303" s="1253" t="s">
        <v>482</v>
      </c>
      <c r="H303" s="1234" t="s">
        <v>483</v>
      </c>
      <c r="I303" s="1254">
        <v>4320</v>
      </c>
      <c r="J303" s="1234">
        <v>0</v>
      </c>
      <c r="K303" s="1234">
        <v>120</v>
      </c>
      <c r="L303" s="1246">
        <f t="shared" si="87"/>
        <v>36</v>
      </c>
      <c r="M303" s="1255">
        <v>46199</v>
      </c>
      <c r="N303" s="1320">
        <v>46220</v>
      </c>
      <c r="O303" s="1322" t="s">
        <v>736</v>
      </c>
      <c r="P303" s="1233"/>
      <c r="Q303" s="1233" t="s">
        <v>106</v>
      </c>
      <c r="R303" s="1234"/>
      <c r="S303" s="1234"/>
      <c r="T303" s="1233">
        <v>4320</v>
      </c>
      <c r="U303" s="1233">
        <f t="shared" si="95"/>
        <v>0</v>
      </c>
      <c r="V303" s="1234"/>
      <c r="W303" s="1238">
        <v>46155</v>
      </c>
      <c r="X303" s="1227" t="s">
        <v>107</v>
      </c>
      <c r="Y303" s="1227" t="s">
        <v>95</v>
      </c>
      <c r="Z303" s="1247"/>
      <c r="AA303" s="1247"/>
      <c r="AB303" s="1247"/>
      <c r="AC303" s="1247" t="s">
        <v>937</v>
      </c>
      <c r="AD303" s="1255" t="s">
        <v>488</v>
      </c>
      <c r="AE303" s="1188">
        <v>642</v>
      </c>
      <c r="AF303" s="1248">
        <f t="shared" si="104"/>
        <v>2773440</v>
      </c>
      <c r="AG303" s="1258"/>
      <c r="AH303" s="1234" t="s">
        <v>490</v>
      </c>
      <c r="AI303" s="1234" t="s">
        <v>112</v>
      </c>
      <c r="AJ303" s="1234" t="s">
        <v>113</v>
      </c>
      <c r="AK303" s="1188"/>
      <c r="AL303" s="1188">
        <f>I303*3</f>
        <v>12960</v>
      </c>
      <c r="AM303" s="1188"/>
      <c r="AN303" s="1188"/>
      <c r="AO303" s="1188"/>
      <c r="AP303" s="1188"/>
      <c r="AQ303" s="1240"/>
      <c r="AR303" s="1188"/>
      <c r="AS303" s="1236"/>
      <c r="AT303" s="1236"/>
      <c r="AU303" s="1188"/>
      <c r="AV303" s="1250">
        <f>I303*0.06*2</f>
        <v>518.4</v>
      </c>
      <c r="AW303" s="1250"/>
      <c r="AX303" s="1188"/>
      <c r="AY303" s="1188"/>
      <c r="AZ303" s="1188"/>
      <c r="BA303" s="1188"/>
      <c r="BB303" s="1188">
        <f>I303*3</f>
        <v>12960</v>
      </c>
      <c r="BC303" s="1188">
        <f>I303*3</f>
        <v>12960</v>
      </c>
      <c r="BD303" s="1188">
        <f>I303*3</f>
        <v>12960</v>
      </c>
      <c r="BE303" s="1188">
        <f>I303</f>
        <v>4320</v>
      </c>
      <c r="BF303" s="1188">
        <f>I303/6</f>
        <v>720</v>
      </c>
      <c r="BG303" s="1188"/>
      <c r="BH303" s="1188"/>
      <c r="BI303" s="1188"/>
      <c r="BJ303" s="1188"/>
      <c r="BK303" s="1188"/>
      <c r="BL303" s="1188"/>
      <c r="BM303" s="1188"/>
      <c r="BN303" s="1188"/>
      <c r="BO303" s="1240"/>
      <c r="BP303" s="1240"/>
      <c r="BQ303" s="1188"/>
      <c r="BR303" s="1236"/>
      <c r="BS303" s="1236"/>
      <c r="BT303" s="1188"/>
      <c r="BU303" s="1188"/>
      <c r="BV303" s="1240"/>
      <c r="BW303" s="1188"/>
      <c r="BX303" s="1188"/>
      <c r="BY303" s="1188"/>
      <c r="BZ303" s="1188"/>
      <c r="CA303" s="1188"/>
      <c r="CB303" s="1188"/>
      <c r="CC303" s="1188"/>
      <c r="CD303" s="1188">
        <f t="shared" si="83"/>
        <v>0</v>
      </c>
      <c r="CE303" s="1188">
        <f t="shared" si="94"/>
        <v>0</v>
      </c>
      <c r="CF303" s="1188">
        <f t="shared" si="85"/>
        <v>0</v>
      </c>
      <c r="CG303" s="1188">
        <f t="shared" si="86"/>
        <v>0</v>
      </c>
      <c r="CH303" s="1236"/>
      <c r="CI303" s="1236"/>
      <c r="CJ303" s="1236"/>
      <c r="CK303" s="1188"/>
      <c r="CL303" s="1188"/>
    </row>
    <row r="304" s="1168" customFormat="1" customHeight="1" spans="1:90">
      <c r="A304" s="1245">
        <v>46195</v>
      </c>
      <c r="B304" s="1247" t="s">
        <v>114</v>
      </c>
      <c r="C304" s="1234" t="s">
        <v>115</v>
      </c>
      <c r="D304" s="1188">
        <v>4500213237</v>
      </c>
      <c r="E304" s="1234" t="s">
        <v>1346</v>
      </c>
      <c r="F304" s="1188" t="s">
        <v>1347</v>
      </c>
      <c r="G304" s="1253" t="s">
        <v>118</v>
      </c>
      <c r="H304" s="1234" t="s">
        <v>104</v>
      </c>
      <c r="I304" s="1254">
        <v>100000</v>
      </c>
      <c r="J304" s="1234">
        <v>0</v>
      </c>
      <c r="K304" s="1234">
        <v>25</v>
      </c>
      <c r="L304" s="1246">
        <f t="shared" si="87"/>
        <v>4000</v>
      </c>
      <c r="M304" s="1255">
        <v>46202</v>
      </c>
      <c r="N304" s="1255">
        <v>46198</v>
      </c>
      <c r="O304" s="1255"/>
      <c r="P304" s="1233"/>
      <c r="Q304" s="1255" t="s">
        <v>106</v>
      </c>
      <c r="R304" s="1234"/>
      <c r="S304" s="1234"/>
      <c r="T304" s="1233">
        <v>100000</v>
      </c>
      <c r="U304" s="1233">
        <f t="shared" si="95"/>
        <v>0</v>
      </c>
      <c r="V304" s="1234"/>
      <c r="W304" s="1238">
        <v>46197</v>
      </c>
      <c r="X304" s="1227" t="s">
        <v>107</v>
      </c>
      <c r="Y304" s="1227" t="s">
        <v>1285</v>
      </c>
      <c r="Z304" s="1247"/>
      <c r="AA304" s="1247"/>
      <c r="AB304" s="1247"/>
      <c r="AC304" s="1247" t="s">
        <v>1348</v>
      </c>
      <c r="AD304" s="1248" t="s">
        <v>123</v>
      </c>
      <c r="AE304" s="1247">
        <v>0.6291</v>
      </c>
      <c r="AF304" s="1248">
        <f t="shared" si="104"/>
        <v>62910</v>
      </c>
      <c r="AG304" s="1249" t="s">
        <v>1349</v>
      </c>
      <c r="AH304" s="1234" t="s">
        <v>118</v>
      </c>
      <c r="AI304" s="1234" t="s">
        <v>112</v>
      </c>
      <c r="AJ304" s="1234" t="s">
        <v>113</v>
      </c>
      <c r="AK304" s="1188"/>
      <c r="AL304" s="1188"/>
      <c r="AM304" s="1188">
        <f>I304</f>
        <v>100000</v>
      </c>
      <c r="AN304" s="1188">
        <f>I304</f>
        <v>100000</v>
      </c>
      <c r="AO304" s="1188"/>
      <c r="AP304" s="1188"/>
      <c r="AQ304" s="1240"/>
      <c r="AR304" s="1188"/>
      <c r="AS304" s="1236"/>
      <c r="AT304" s="1236"/>
      <c r="AU304" s="1188">
        <f>I304</f>
        <v>100000</v>
      </c>
      <c r="AV304" s="1250">
        <f>I304*0.06</f>
        <v>6000</v>
      </c>
      <c r="AW304" s="1250"/>
      <c r="AX304" s="1188"/>
      <c r="AY304" s="1188"/>
      <c r="AZ304" s="1188"/>
      <c r="BA304" s="1188"/>
      <c r="BB304" s="1188"/>
      <c r="BC304" s="1188"/>
      <c r="BD304" s="1188"/>
      <c r="BE304" s="1188"/>
      <c r="BF304" s="1188"/>
      <c r="BG304" s="1188"/>
      <c r="BH304" s="1188"/>
      <c r="BI304" s="1188"/>
      <c r="BJ304" s="1188"/>
      <c r="BK304" s="1188"/>
      <c r="BL304" s="1188"/>
      <c r="BM304" s="1188"/>
      <c r="BN304" s="1188"/>
      <c r="BO304" s="1240"/>
      <c r="BP304" s="1240"/>
      <c r="BQ304" s="1188"/>
      <c r="BR304" s="1236"/>
      <c r="BS304" s="1236"/>
      <c r="BT304" s="1188"/>
      <c r="BU304" s="1188">
        <f>I304/25</f>
        <v>4000</v>
      </c>
      <c r="BV304" s="1240"/>
      <c r="BW304" s="1188"/>
      <c r="BX304" s="1188"/>
      <c r="BY304" s="1188"/>
      <c r="BZ304" s="1188"/>
      <c r="CA304" s="1188"/>
      <c r="CB304" s="1188"/>
      <c r="CC304" s="1188"/>
      <c r="CD304" s="1188">
        <f t="shared" si="83"/>
        <v>0</v>
      </c>
      <c r="CE304" s="1188">
        <f t="shared" si="94"/>
        <v>4000</v>
      </c>
      <c r="CF304" s="1188">
        <f t="shared" si="85"/>
        <v>0</v>
      </c>
      <c r="CG304" s="1188">
        <f t="shared" si="86"/>
        <v>0</v>
      </c>
      <c r="CH304" s="1236"/>
      <c r="CI304" s="1236"/>
      <c r="CJ304" s="1236"/>
      <c r="CK304" s="1188"/>
      <c r="CL304" s="1188"/>
    </row>
    <row r="305" s="1168" customFormat="1" customHeight="1" spans="1:90">
      <c r="A305" s="1245">
        <v>46203</v>
      </c>
      <c r="B305" s="1247" t="s">
        <v>386</v>
      </c>
      <c r="C305" s="1234" t="s">
        <v>115</v>
      </c>
      <c r="D305" s="1268">
        <v>4500214290</v>
      </c>
      <c r="E305" s="1234" t="s">
        <v>1350</v>
      </c>
      <c r="F305" s="1188" t="s">
        <v>1351</v>
      </c>
      <c r="G305" s="1253" t="s">
        <v>389</v>
      </c>
      <c r="H305" s="1234" t="s">
        <v>390</v>
      </c>
      <c r="I305" s="1254">
        <v>22008</v>
      </c>
      <c r="J305" s="1234">
        <v>0</v>
      </c>
      <c r="K305" s="1234">
        <v>12</v>
      </c>
      <c r="L305" s="1246">
        <f t="shared" si="87"/>
        <v>1834</v>
      </c>
      <c r="M305" s="1255">
        <v>46202</v>
      </c>
      <c r="N305" s="1255">
        <v>46198</v>
      </c>
      <c r="O305" s="1255"/>
      <c r="P305" s="1233" t="s">
        <v>1352</v>
      </c>
      <c r="Q305" s="1255" t="s">
        <v>106</v>
      </c>
      <c r="R305" s="1234"/>
      <c r="S305" s="1234"/>
      <c r="T305" s="1233">
        <v>22008</v>
      </c>
      <c r="U305" s="1233">
        <f t="shared" si="95"/>
        <v>0</v>
      </c>
      <c r="V305" s="1234"/>
      <c r="W305" s="1238">
        <v>46203</v>
      </c>
      <c r="X305" s="1227" t="s">
        <v>107</v>
      </c>
      <c r="Y305" s="1227" t="s">
        <v>1353</v>
      </c>
      <c r="Z305" s="1247"/>
      <c r="AA305" s="1247"/>
      <c r="AB305" s="1247"/>
      <c r="AC305" s="1247" t="s">
        <v>1354</v>
      </c>
      <c r="AD305" s="1248" t="s">
        <v>557</v>
      </c>
      <c r="AE305" s="1247">
        <v>1.5398</v>
      </c>
      <c r="AF305" s="1248">
        <f t="shared" si="104"/>
        <v>33887.9184</v>
      </c>
      <c r="AG305" s="1249" t="s">
        <v>1355</v>
      </c>
      <c r="AH305" s="1234" t="s">
        <v>389</v>
      </c>
      <c r="AI305" s="1234" t="s">
        <v>112</v>
      </c>
      <c r="AJ305" s="1234" t="s">
        <v>113</v>
      </c>
      <c r="AK305" s="1188">
        <f>I305*2</f>
        <v>44016</v>
      </c>
      <c r="AL305" s="1188"/>
      <c r="AM305" s="1188"/>
      <c r="AN305" s="1188"/>
      <c r="AO305" s="1188"/>
      <c r="AP305" s="1188"/>
      <c r="AQ305" s="1240">
        <f>I305*2</f>
        <v>44016</v>
      </c>
      <c r="AR305" s="1188"/>
      <c r="AS305" s="1236"/>
      <c r="AT305" s="1236"/>
      <c r="AU305" s="1188">
        <f>I305*2</f>
        <v>44016</v>
      </c>
      <c r="AV305" s="1250">
        <f>I305*0.06*2</f>
        <v>2640.96</v>
      </c>
      <c r="AW305" s="1250"/>
      <c r="AX305" s="1188"/>
      <c r="AY305" s="1188"/>
      <c r="AZ305" s="1188"/>
      <c r="BA305" s="1188"/>
      <c r="BB305" s="1188"/>
      <c r="BC305" s="1188"/>
      <c r="BD305" s="1188"/>
      <c r="BE305" s="1188"/>
      <c r="BF305" s="1188"/>
      <c r="BG305" s="1188"/>
      <c r="BH305" s="1188"/>
      <c r="BI305" s="1188"/>
      <c r="BJ305" s="1188"/>
      <c r="BK305" s="1188"/>
      <c r="BL305" s="1188"/>
      <c r="BM305" s="1188"/>
      <c r="BN305" s="1188"/>
      <c r="BO305" s="1240"/>
      <c r="BP305" s="1240"/>
      <c r="BQ305" s="1188"/>
      <c r="BR305" s="1236"/>
      <c r="BS305" s="1236"/>
      <c r="BT305" s="1188"/>
      <c r="BU305" s="1188"/>
      <c r="BV305" s="1240"/>
      <c r="BW305" s="1188"/>
      <c r="BX305" s="1188"/>
      <c r="BY305" s="1188"/>
      <c r="BZ305" s="1188"/>
      <c r="CA305" s="1188"/>
      <c r="CB305" s="1188"/>
      <c r="CC305" s="1188"/>
      <c r="CD305" s="1188">
        <f t="shared" si="83"/>
        <v>0</v>
      </c>
      <c r="CE305" s="1188">
        <f t="shared" si="94"/>
        <v>0</v>
      </c>
      <c r="CF305" s="1188">
        <f t="shared" si="85"/>
        <v>0</v>
      </c>
      <c r="CG305" s="1188">
        <f t="shared" si="86"/>
        <v>0</v>
      </c>
      <c r="CH305" s="1236"/>
      <c r="CI305" s="1236"/>
      <c r="CJ305" s="1236">
        <f>I305</f>
        <v>22008</v>
      </c>
      <c r="CK305" s="1188">
        <f>I305</f>
        <v>22008</v>
      </c>
      <c r="CL305" s="1188">
        <f>I305</f>
        <v>22008</v>
      </c>
    </row>
    <row r="306" s="1168" customFormat="1" customHeight="1" spans="1:90">
      <c r="A306" s="1245">
        <v>46104</v>
      </c>
      <c r="B306" s="1247" t="s">
        <v>521</v>
      </c>
      <c r="C306" s="1234" t="s">
        <v>101</v>
      </c>
      <c r="D306" s="1188">
        <v>4500198161</v>
      </c>
      <c r="E306" s="1234">
        <v>21605192</v>
      </c>
      <c r="F306" s="1188" t="s">
        <v>1356</v>
      </c>
      <c r="G306" s="1253" t="s">
        <v>510</v>
      </c>
      <c r="H306" s="1234" t="s">
        <v>194</v>
      </c>
      <c r="I306" s="1254">
        <v>403</v>
      </c>
      <c r="J306" s="1234">
        <v>0</v>
      </c>
      <c r="K306" s="1234">
        <v>13</v>
      </c>
      <c r="L306" s="1246">
        <f t="shared" si="87"/>
        <v>31</v>
      </c>
      <c r="M306" s="1255">
        <v>46202</v>
      </c>
      <c r="N306" s="1255">
        <v>46217</v>
      </c>
      <c r="O306" s="1255" t="s">
        <v>736</v>
      </c>
      <c r="P306" s="1233"/>
      <c r="Q306" s="1255" t="s">
        <v>106</v>
      </c>
      <c r="R306" s="1234"/>
      <c r="S306" s="1234"/>
      <c r="T306" s="1233">
        <v>403</v>
      </c>
      <c r="U306" s="1233">
        <f t="shared" si="95"/>
        <v>0</v>
      </c>
      <c r="V306" s="1234"/>
      <c r="W306" s="1238">
        <v>46169</v>
      </c>
      <c r="X306" s="1227" t="s">
        <v>107</v>
      </c>
      <c r="Y306" s="1227" t="s">
        <v>1357</v>
      </c>
      <c r="Z306" s="1247" t="s">
        <v>360</v>
      </c>
      <c r="AA306" s="1247"/>
      <c r="AB306" s="1247" t="s">
        <v>1358</v>
      </c>
      <c r="AC306" s="1247" t="s">
        <v>1359</v>
      </c>
      <c r="AD306" s="1248" t="s">
        <v>362</v>
      </c>
      <c r="AE306" s="1247">
        <v>1.2</v>
      </c>
      <c r="AF306" s="1248">
        <f t="shared" si="104"/>
        <v>483.6</v>
      </c>
      <c r="AG306" s="1258"/>
      <c r="AH306" s="1234" t="s">
        <v>510</v>
      </c>
      <c r="AI306" s="1234" t="s">
        <v>112</v>
      </c>
      <c r="AJ306" s="1234" t="s">
        <v>113</v>
      </c>
      <c r="AK306" s="1188">
        <f>I306</f>
        <v>403</v>
      </c>
      <c r="AL306" s="1188"/>
      <c r="AM306" s="1188"/>
      <c r="AN306" s="1188">
        <f>I306</f>
        <v>403</v>
      </c>
      <c r="AO306" s="1188"/>
      <c r="AP306" s="1188"/>
      <c r="AQ306" s="1240"/>
      <c r="AR306" s="1188"/>
      <c r="AS306" s="1236"/>
      <c r="AT306" s="1236"/>
      <c r="AU306" s="1188"/>
      <c r="AV306" s="1250">
        <f>I306*0.06</f>
        <v>24.18</v>
      </c>
      <c r="AW306" s="1250"/>
      <c r="AX306" s="1188">
        <f>I306</f>
        <v>403</v>
      </c>
      <c r="AY306" s="1188"/>
      <c r="AZ306" s="1188"/>
      <c r="BA306" s="1188"/>
      <c r="BB306" s="1188"/>
      <c r="BC306" s="1188"/>
      <c r="BD306" s="1188"/>
      <c r="BE306" s="1188"/>
      <c r="BF306" s="1188"/>
      <c r="BG306" s="1188"/>
      <c r="BH306" s="1188"/>
      <c r="BI306" s="1188"/>
      <c r="BJ306" s="1188"/>
      <c r="BK306" s="1188"/>
      <c r="BL306" s="1188"/>
      <c r="BM306" s="1188"/>
      <c r="BN306" s="1188"/>
      <c r="BO306" s="1240"/>
      <c r="BP306" s="1240">
        <f>I306/13</f>
        <v>31</v>
      </c>
      <c r="BQ306" s="1188"/>
      <c r="BR306" s="1236"/>
      <c r="BS306" s="1236"/>
      <c r="BT306" s="1188"/>
      <c r="BU306" s="1188"/>
      <c r="BV306" s="1240"/>
      <c r="BW306" s="1188"/>
      <c r="BX306" s="1188"/>
      <c r="BY306" s="1188"/>
      <c r="BZ306" s="1188"/>
      <c r="CA306" s="1188"/>
      <c r="CB306" s="1188"/>
      <c r="CC306" s="1188"/>
      <c r="CD306" s="1188">
        <f t="shared" si="83"/>
        <v>0</v>
      </c>
      <c r="CE306" s="1188">
        <f t="shared" si="94"/>
        <v>0</v>
      </c>
      <c r="CF306" s="1188">
        <f t="shared" si="85"/>
        <v>0</v>
      </c>
      <c r="CG306" s="1188">
        <f t="shared" si="86"/>
        <v>0</v>
      </c>
      <c r="CH306" s="1236"/>
      <c r="CI306" s="1236"/>
      <c r="CJ306" s="1236"/>
      <c r="CK306" s="1188"/>
      <c r="CL306" s="1188"/>
    </row>
    <row r="307" s="1168" customFormat="1" customHeight="1" spans="1:90">
      <c r="A307" s="1245">
        <v>46104</v>
      </c>
      <c r="B307" s="1247" t="s">
        <v>525</v>
      </c>
      <c r="C307" s="1234" t="s">
        <v>508</v>
      </c>
      <c r="D307" s="1188">
        <v>4500198158</v>
      </c>
      <c r="E307" s="1234">
        <v>21605185</v>
      </c>
      <c r="F307" s="1188" t="s">
        <v>1360</v>
      </c>
      <c r="G307" s="1253" t="s">
        <v>510</v>
      </c>
      <c r="H307" s="1234" t="s">
        <v>194</v>
      </c>
      <c r="I307" s="1254">
        <v>6097</v>
      </c>
      <c r="J307" s="1234">
        <v>0</v>
      </c>
      <c r="K307" s="1234">
        <v>13</v>
      </c>
      <c r="L307" s="1246">
        <f t="shared" si="87"/>
        <v>469</v>
      </c>
      <c r="M307" s="1255">
        <v>46202</v>
      </c>
      <c r="N307" s="1255">
        <v>46217</v>
      </c>
      <c r="O307" s="1255" t="s">
        <v>736</v>
      </c>
      <c r="P307" s="1233"/>
      <c r="Q307" s="1255" t="s">
        <v>106</v>
      </c>
      <c r="R307" s="1234"/>
      <c r="S307" s="1234"/>
      <c r="T307" s="1233">
        <v>6097</v>
      </c>
      <c r="U307" s="1233">
        <f t="shared" si="95"/>
        <v>0</v>
      </c>
      <c r="V307" s="1234"/>
      <c r="W307" s="1238">
        <v>46169</v>
      </c>
      <c r="X307" s="1227" t="s">
        <v>107</v>
      </c>
      <c r="Y307" s="1227" t="s">
        <v>1357</v>
      </c>
      <c r="Z307" s="1247" t="s">
        <v>360</v>
      </c>
      <c r="AA307" s="1247"/>
      <c r="AB307" s="1247" t="s">
        <v>1358</v>
      </c>
      <c r="AC307" s="1247" t="s">
        <v>1361</v>
      </c>
      <c r="AD307" s="1248" t="s">
        <v>362</v>
      </c>
      <c r="AE307" s="1247">
        <v>1.2</v>
      </c>
      <c r="AF307" s="1248">
        <f t="shared" si="104"/>
        <v>7316.4</v>
      </c>
      <c r="AG307" s="1258"/>
      <c r="AH307" s="1234" t="s">
        <v>510</v>
      </c>
      <c r="AI307" s="1234" t="s">
        <v>112</v>
      </c>
      <c r="AJ307" s="1234" t="s">
        <v>113</v>
      </c>
      <c r="AK307" s="1188">
        <f>I307</f>
        <v>6097</v>
      </c>
      <c r="AL307" s="1188"/>
      <c r="AM307" s="1188"/>
      <c r="AN307" s="1188">
        <f>I307</f>
        <v>6097</v>
      </c>
      <c r="AO307" s="1188"/>
      <c r="AP307" s="1188"/>
      <c r="AQ307" s="1240"/>
      <c r="AR307" s="1188"/>
      <c r="AS307" s="1236"/>
      <c r="AT307" s="1236"/>
      <c r="AU307" s="1188"/>
      <c r="AV307" s="1250">
        <f>I307*0.06</f>
        <v>365.82</v>
      </c>
      <c r="AW307" s="1250"/>
      <c r="AX307" s="1188">
        <f>I307</f>
        <v>6097</v>
      </c>
      <c r="AY307" s="1188"/>
      <c r="AZ307" s="1188"/>
      <c r="BA307" s="1188"/>
      <c r="BB307" s="1188"/>
      <c r="BC307" s="1188"/>
      <c r="BD307" s="1188"/>
      <c r="BE307" s="1188"/>
      <c r="BF307" s="1188"/>
      <c r="BG307" s="1188"/>
      <c r="BH307" s="1188"/>
      <c r="BI307" s="1188"/>
      <c r="BJ307" s="1188"/>
      <c r="BK307" s="1188"/>
      <c r="BL307" s="1188"/>
      <c r="BM307" s="1188"/>
      <c r="BN307" s="1188"/>
      <c r="BO307" s="1240"/>
      <c r="BP307" s="1240">
        <f>I307/13</f>
        <v>469</v>
      </c>
      <c r="BQ307" s="1188"/>
      <c r="BR307" s="1236"/>
      <c r="BS307" s="1236"/>
      <c r="BT307" s="1188"/>
      <c r="BU307" s="1188"/>
      <c r="BV307" s="1240"/>
      <c r="BW307" s="1188"/>
      <c r="BX307" s="1188"/>
      <c r="BY307" s="1188"/>
      <c r="BZ307" s="1188"/>
      <c r="CA307" s="1188"/>
      <c r="CB307" s="1188"/>
      <c r="CC307" s="1188"/>
      <c r="CD307" s="1188">
        <f t="shared" si="83"/>
        <v>0</v>
      </c>
      <c r="CE307" s="1188">
        <f t="shared" si="94"/>
        <v>0</v>
      </c>
      <c r="CF307" s="1188">
        <f t="shared" si="85"/>
        <v>0</v>
      </c>
      <c r="CG307" s="1188">
        <f t="shared" si="86"/>
        <v>0</v>
      </c>
      <c r="CH307" s="1236"/>
      <c r="CI307" s="1236"/>
      <c r="CJ307" s="1236"/>
      <c r="CK307" s="1188"/>
      <c r="CL307" s="1188"/>
    </row>
    <row r="308" s="1168" customFormat="1" customHeight="1" spans="1:90">
      <c r="A308" s="1245">
        <v>46140</v>
      </c>
      <c r="B308" s="1247" t="s">
        <v>751</v>
      </c>
      <c r="C308" s="1234" t="s">
        <v>135</v>
      </c>
      <c r="D308" s="1268">
        <v>4500202772</v>
      </c>
      <c r="E308" s="1233">
        <v>406227</v>
      </c>
      <c r="F308" s="1188" t="s">
        <v>1362</v>
      </c>
      <c r="G308" s="1253" t="s">
        <v>753</v>
      </c>
      <c r="H308" s="1234" t="s">
        <v>390</v>
      </c>
      <c r="I308" s="1254">
        <v>540</v>
      </c>
      <c r="J308" s="1234">
        <v>0</v>
      </c>
      <c r="K308" s="1234">
        <v>12</v>
      </c>
      <c r="L308" s="1246">
        <f t="shared" si="87"/>
        <v>45</v>
      </c>
      <c r="M308" s="1255">
        <v>46202</v>
      </c>
      <c r="N308" s="1255">
        <v>46220</v>
      </c>
      <c r="O308" s="1255" t="s">
        <v>736</v>
      </c>
      <c r="P308" s="1233"/>
      <c r="Q308" s="1255" t="s">
        <v>106</v>
      </c>
      <c r="R308" s="1234"/>
      <c r="S308" s="1234"/>
      <c r="T308" s="1233">
        <v>540</v>
      </c>
      <c r="U308" s="1233">
        <f t="shared" si="95"/>
        <v>0</v>
      </c>
      <c r="V308" s="1234"/>
      <c r="W308" s="1238" t="s">
        <v>1363</v>
      </c>
      <c r="X308" s="1227" t="s">
        <v>95</v>
      </c>
      <c r="Y308" s="1227" t="s">
        <v>1364</v>
      </c>
      <c r="Z308" s="1247" t="s">
        <v>140</v>
      </c>
      <c r="AA308" s="1247"/>
      <c r="AB308" s="1247"/>
      <c r="AC308" s="1247" t="s">
        <v>1365</v>
      </c>
      <c r="AD308" s="1248" t="s">
        <v>757</v>
      </c>
      <c r="AE308" s="1247">
        <v>2.29</v>
      </c>
      <c r="AF308" s="1248">
        <f t="shared" si="104"/>
        <v>1236.6</v>
      </c>
      <c r="AG308" s="1258"/>
      <c r="AH308" s="1234" t="s">
        <v>753</v>
      </c>
      <c r="AI308" s="1234" t="s">
        <v>112</v>
      </c>
      <c r="AJ308" s="1234" t="s">
        <v>113</v>
      </c>
      <c r="AK308" s="1188">
        <f>I308*2</f>
        <v>1080</v>
      </c>
      <c r="AL308" s="1188"/>
      <c r="AM308" s="1188"/>
      <c r="AN308" s="1188"/>
      <c r="AO308" s="1188"/>
      <c r="AP308" s="1188"/>
      <c r="AQ308" s="1240"/>
      <c r="AR308" s="1188">
        <f>I308*2</f>
        <v>1080</v>
      </c>
      <c r="AS308" s="1236"/>
      <c r="AT308" s="1236"/>
      <c r="AU308" s="1188"/>
      <c r="AV308" s="1250">
        <f>I308*0.06*2</f>
        <v>64.8</v>
      </c>
      <c r="AW308" s="1250">
        <f>I308</f>
        <v>540</v>
      </c>
      <c r="AX308" s="1188"/>
      <c r="AY308" s="1188"/>
      <c r="AZ308" s="1188"/>
      <c r="BA308" s="1188"/>
      <c r="BB308" s="1188"/>
      <c r="BC308" s="1188"/>
      <c r="BD308" s="1188"/>
      <c r="BE308" s="1188"/>
      <c r="BF308" s="1188"/>
      <c r="BG308" s="1188"/>
      <c r="BH308" s="1188"/>
      <c r="BI308" s="1188"/>
      <c r="BJ308" s="1188"/>
      <c r="BK308" s="1188"/>
      <c r="BL308" s="1188"/>
      <c r="BM308" s="1188"/>
      <c r="BN308" s="1188"/>
      <c r="BO308" s="1240"/>
      <c r="BP308" s="1240"/>
      <c r="BQ308" s="1188"/>
      <c r="BR308" s="1236"/>
      <c r="BS308" s="1236"/>
      <c r="BT308" s="1188"/>
      <c r="BU308" s="1188"/>
      <c r="BV308" s="1240"/>
      <c r="BW308" s="1188"/>
      <c r="BX308" s="1188"/>
      <c r="BY308" s="1188"/>
      <c r="BZ308" s="1188"/>
      <c r="CA308" s="1188"/>
      <c r="CB308" s="1188"/>
      <c r="CC308" s="1188"/>
      <c r="CD308" s="1188">
        <f t="shared" si="83"/>
        <v>0</v>
      </c>
      <c r="CE308" s="1188">
        <f t="shared" si="94"/>
        <v>0</v>
      </c>
      <c r="CF308" s="1188">
        <f t="shared" si="85"/>
        <v>0</v>
      </c>
      <c r="CG308" s="1188">
        <f t="shared" si="86"/>
        <v>0</v>
      </c>
      <c r="CH308" s="1236"/>
      <c r="CI308" s="1236"/>
      <c r="CJ308" s="1236">
        <f>I308</f>
        <v>540</v>
      </c>
      <c r="CK308" s="1188">
        <f>I308</f>
        <v>540</v>
      </c>
      <c r="CL308" s="1188">
        <f>I308</f>
        <v>540</v>
      </c>
    </row>
    <row r="309" s="1168" customFormat="1" customHeight="1" spans="1:90">
      <c r="A309" s="1245">
        <v>46191</v>
      </c>
      <c r="B309" s="1247" t="s">
        <v>134</v>
      </c>
      <c r="C309" s="1234" t="s">
        <v>135</v>
      </c>
      <c r="D309" s="1268">
        <v>4500213014</v>
      </c>
      <c r="E309" s="1233">
        <v>4400579361</v>
      </c>
      <c r="F309" s="1188" t="s">
        <v>1366</v>
      </c>
      <c r="G309" s="1253" t="s">
        <v>270</v>
      </c>
      <c r="H309" s="1234" t="s">
        <v>104</v>
      </c>
      <c r="I309" s="1254">
        <v>15000</v>
      </c>
      <c r="J309" s="1234">
        <v>0</v>
      </c>
      <c r="K309" s="1234">
        <v>25</v>
      </c>
      <c r="L309" s="1246">
        <f t="shared" si="87"/>
        <v>600</v>
      </c>
      <c r="M309" s="1255">
        <v>46203</v>
      </c>
      <c r="N309" s="1255">
        <v>46203</v>
      </c>
      <c r="O309" s="1255"/>
      <c r="P309" s="1233" t="s">
        <v>1367</v>
      </c>
      <c r="Q309" s="1255" t="s">
        <v>106</v>
      </c>
      <c r="R309" s="1234" t="s">
        <v>1368</v>
      </c>
      <c r="S309" s="1234"/>
      <c r="T309" s="1233">
        <f>14875+125</f>
        <v>15000</v>
      </c>
      <c r="U309" s="1233">
        <f t="shared" si="95"/>
        <v>0</v>
      </c>
      <c r="V309" s="1234"/>
      <c r="W309" s="1238" t="s">
        <v>1369</v>
      </c>
      <c r="X309" s="1227" t="s">
        <v>95</v>
      </c>
      <c r="Y309" s="1227" t="s">
        <v>95</v>
      </c>
      <c r="Z309" s="1247" t="s">
        <v>140</v>
      </c>
      <c r="AA309" s="1247"/>
      <c r="AB309" s="1247"/>
      <c r="AC309" s="1247" t="s">
        <v>1370</v>
      </c>
      <c r="AD309" s="1248" t="s">
        <v>1142</v>
      </c>
      <c r="AE309" s="1247">
        <v>1.0976</v>
      </c>
      <c r="AF309" s="1248">
        <f t="shared" si="104"/>
        <v>16464</v>
      </c>
      <c r="AG309" s="1258"/>
      <c r="AH309" s="1234" t="s">
        <v>137</v>
      </c>
      <c r="AI309" s="1234" t="s">
        <v>112</v>
      </c>
      <c r="AJ309" s="1234" t="s">
        <v>113</v>
      </c>
      <c r="AK309" s="1188">
        <f>I309</f>
        <v>15000</v>
      </c>
      <c r="AL309" s="1188"/>
      <c r="AM309" s="1188"/>
      <c r="AN309" s="1188"/>
      <c r="AO309" s="1188"/>
      <c r="AP309" s="1188"/>
      <c r="AQ309" s="1240"/>
      <c r="AR309" s="1188"/>
      <c r="AS309" s="1236"/>
      <c r="AT309" s="1236"/>
      <c r="AU309" s="1188"/>
      <c r="AV309" s="1250">
        <f>I309*0.06</f>
        <v>900</v>
      </c>
      <c r="AW309" s="1250"/>
      <c r="AX309" s="1188"/>
      <c r="AY309" s="1188"/>
      <c r="AZ309" s="1188"/>
      <c r="BA309" s="1188"/>
      <c r="BB309" s="1188"/>
      <c r="BC309" s="1188"/>
      <c r="BD309" s="1188"/>
      <c r="BE309" s="1188"/>
      <c r="BF309" s="1188"/>
      <c r="BG309" s="1188">
        <f>I309</f>
        <v>15000</v>
      </c>
      <c r="BH309" s="1188">
        <f>I309</f>
        <v>15000</v>
      </c>
      <c r="BI309" s="1188"/>
      <c r="BJ309" s="1188"/>
      <c r="BK309" s="1188"/>
      <c r="BL309" s="1188"/>
      <c r="BM309" s="1188"/>
      <c r="BN309" s="1188"/>
      <c r="BO309" s="1240">
        <f>I309/25</f>
        <v>600</v>
      </c>
      <c r="BP309" s="1240"/>
      <c r="BQ309" s="1188"/>
      <c r="BR309" s="1236"/>
      <c r="BS309" s="1236"/>
      <c r="BT309" s="1188"/>
      <c r="BU309" s="1188"/>
      <c r="BV309" s="1240"/>
      <c r="BW309" s="1188"/>
      <c r="BX309" s="1188"/>
      <c r="BY309" s="1188"/>
      <c r="BZ309" s="1188"/>
      <c r="CA309" s="1188"/>
      <c r="CB309" s="1188"/>
      <c r="CC309" s="1188"/>
      <c r="CD309" s="1188">
        <f t="shared" si="83"/>
        <v>600</v>
      </c>
      <c r="CE309" s="1188">
        <f t="shared" si="94"/>
        <v>0</v>
      </c>
      <c r="CF309" s="1188">
        <f t="shared" si="85"/>
        <v>0</v>
      </c>
      <c r="CG309" s="1188">
        <f t="shared" si="86"/>
        <v>0</v>
      </c>
      <c r="CH309" s="1236"/>
      <c r="CI309" s="1236"/>
      <c r="CJ309" s="1236"/>
      <c r="CK309" s="1188"/>
      <c r="CL309" s="1188"/>
    </row>
    <row r="310" s="1168" customFormat="1" customHeight="1" spans="1:90">
      <c r="A310" s="1245">
        <v>46157</v>
      </c>
      <c r="B310" s="1247" t="s">
        <v>100</v>
      </c>
      <c r="C310" s="1234" t="s">
        <v>101</v>
      </c>
      <c r="D310" s="1268">
        <v>4500207409</v>
      </c>
      <c r="E310" s="1233">
        <v>5200010100</v>
      </c>
      <c r="F310" s="1188" t="s">
        <v>1371</v>
      </c>
      <c r="G310" s="1253" t="s">
        <v>1304</v>
      </c>
      <c r="H310" s="1234" t="s">
        <v>893</v>
      </c>
      <c r="I310" s="1254">
        <v>300</v>
      </c>
      <c r="J310" s="1234">
        <v>0</v>
      </c>
      <c r="K310" s="1234">
        <v>25</v>
      </c>
      <c r="L310" s="1246">
        <f t="shared" si="87"/>
        <v>12</v>
      </c>
      <c r="M310" s="1255">
        <v>46203</v>
      </c>
      <c r="N310" s="1255">
        <v>46203</v>
      </c>
      <c r="O310" s="1255" t="s">
        <v>1372</v>
      </c>
      <c r="P310" s="1233"/>
      <c r="Q310" s="1255"/>
      <c r="R310" s="1234" t="s">
        <v>1373</v>
      </c>
      <c r="S310" s="1234" t="s">
        <v>1374</v>
      </c>
      <c r="T310" s="1233">
        <v>300</v>
      </c>
      <c r="U310" s="1233">
        <f t="shared" si="95"/>
        <v>0</v>
      </c>
      <c r="V310" s="1234" t="s">
        <v>120</v>
      </c>
      <c r="W310" s="1238">
        <v>46157</v>
      </c>
      <c r="X310" s="1227" t="s">
        <v>107</v>
      </c>
      <c r="Y310" s="1227" t="s">
        <v>1375</v>
      </c>
      <c r="Z310" s="1247" t="s">
        <v>360</v>
      </c>
      <c r="AA310" s="1247"/>
      <c r="AB310" s="1247"/>
      <c r="AC310" s="1247" t="s">
        <v>1376</v>
      </c>
      <c r="AD310" s="1248" t="s">
        <v>110</v>
      </c>
      <c r="AE310" s="1247">
        <v>1.0856</v>
      </c>
      <c r="AF310" s="1248">
        <f t="shared" si="104"/>
        <v>325.68</v>
      </c>
      <c r="AG310" s="1258"/>
      <c r="AH310" s="1234" t="s">
        <v>1304</v>
      </c>
      <c r="AI310" s="1234" t="s">
        <v>112</v>
      </c>
      <c r="AJ310" s="1234" t="s">
        <v>113</v>
      </c>
      <c r="AK310" s="1188">
        <f>I310</f>
        <v>300</v>
      </c>
      <c r="AL310" s="1188"/>
      <c r="AM310" s="1188"/>
      <c r="AN310" s="1188">
        <f>I310</f>
        <v>300</v>
      </c>
      <c r="AO310" s="1188"/>
      <c r="AP310" s="1188"/>
      <c r="AQ310" s="1240"/>
      <c r="AR310" s="1188"/>
      <c r="AS310" s="1236"/>
      <c r="AT310" s="1236"/>
      <c r="AU310" s="1188"/>
      <c r="AV310" s="1250">
        <f>I310*0.06</f>
        <v>18</v>
      </c>
      <c r="AW310" s="1250"/>
      <c r="AX310" s="1188">
        <f>I310</f>
        <v>300</v>
      </c>
      <c r="AY310" s="1188"/>
      <c r="AZ310" s="1188"/>
      <c r="BA310" s="1188"/>
      <c r="BB310" s="1188"/>
      <c r="BC310" s="1188"/>
      <c r="BD310" s="1188"/>
      <c r="BE310" s="1188"/>
      <c r="BF310" s="1188"/>
      <c r="BG310" s="1188"/>
      <c r="BH310" s="1188"/>
      <c r="BI310" s="1188"/>
      <c r="BJ310" s="1188"/>
      <c r="BK310" s="1188"/>
      <c r="BL310" s="1188"/>
      <c r="BM310" s="1188"/>
      <c r="BN310" s="1188"/>
      <c r="BO310" s="1240"/>
      <c r="BP310" s="1240"/>
      <c r="BQ310" s="1188">
        <f>I310/25</f>
        <v>12</v>
      </c>
      <c r="BR310" s="1236"/>
      <c r="BS310" s="1236"/>
      <c r="BT310" s="1188"/>
      <c r="BU310" s="1188"/>
      <c r="BV310" s="1240"/>
      <c r="BW310" s="1188"/>
      <c r="BX310" s="1188"/>
      <c r="BY310" s="1188"/>
      <c r="BZ310" s="1188"/>
      <c r="CA310" s="1188"/>
      <c r="CB310" s="1188"/>
      <c r="CC310" s="1188"/>
      <c r="CD310" s="1188">
        <f t="shared" si="83"/>
        <v>12</v>
      </c>
      <c r="CE310" s="1188">
        <f t="shared" si="94"/>
        <v>0</v>
      </c>
      <c r="CF310" s="1188">
        <f t="shared" si="85"/>
        <v>0</v>
      </c>
      <c r="CG310" s="1188">
        <f t="shared" si="86"/>
        <v>0</v>
      </c>
      <c r="CH310" s="1236"/>
      <c r="CI310" s="1236"/>
      <c r="CJ310" s="1236"/>
      <c r="CK310" s="1188"/>
      <c r="CL310" s="1188"/>
    </row>
    <row r="311" s="1168" customFormat="1" customHeight="1" spans="1:90">
      <c r="A311" s="1245">
        <v>46154</v>
      </c>
      <c r="B311" s="1247" t="s">
        <v>1377</v>
      </c>
      <c r="C311" s="1234" t="s">
        <v>1333</v>
      </c>
      <c r="D311" s="1268">
        <v>4500205421</v>
      </c>
      <c r="E311" s="1234">
        <v>4407192470</v>
      </c>
      <c r="F311" s="1188" t="s">
        <v>1378</v>
      </c>
      <c r="G311" s="1253" t="s">
        <v>188</v>
      </c>
      <c r="H311" s="1234" t="s">
        <v>138</v>
      </c>
      <c r="I311" s="1254">
        <v>4600</v>
      </c>
      <c r="J311" s="1234">
        <v>0</v>
      </c>
      <c r="K311" s="1234">
        <v>50</v>
      </c>
      <c r="L311" s="1246">
        <f t="shared" si="87"/>
        <v>92</v>
      </c>
      <c r="M311" s="1255">
        <v>46203</v>
      </c>
      <c r="N311" s="1255">
        <v>46221</v>
      </c>
      <c r="O311" s="1255" t="s">
        <v>736</v>
      </c>
      <c r="P311" s="1233"/>
      <c r="Q311" s="1255" t="s">
        <v>106</v>
      </c>
      <c r="R311" s="1234" t="s">
        <v>1379</v>
      </c>
      <c r="S311" s="1234"/>
      <c r="T311" s="1233">
        <v>4600</v>
      </c>
      <c r="U311" s="1233">
        <f t="shared" si="95"/>
        <v>0</v>
      </c>
      <c r="V311" s="1234"/>
      <c r="W311" s="1238">
        <v>46172</v>
      </c>
      <c r="X311" s="1227" t="s">
        <v>95</v>
      </c>
      <c r="Y311" s="1227" t="s">
        <v>1380</v>
      </c>
      <c r="Z311" s="1247"/>
      <c r="AA311" s="1247"/>
      <c r="AB311" s="1247"/>
      <c r="AC311" s="1247" t="s">
        <v>1381</v>
      </c>
      <c r="AD311" s="1248" t="s">
        <v>450</v>
      </c>
      <c r="AE311" s="1247">
        <v>1.07</v>
      </c>
      <c r="AF311" s="1248">
        <f>AE311*I311</f>
        <v>4922</v>
      </c>
      <c r="AG311" s="1258"/>
      <c r="AH311" s="1234" t="s">
        <v>314</v>
      </c>
      <c r="AI311" s="1234" t="s">
        <v>112</v>
      </c>
      <c r="AJ311" s="1234" t="s">
        <v>113</v>
      </c>
      <c r="AK311" s="1188">
        <f>I311</f>
        <v>4600</v>
      </c>
      <c r="AL311" s="1188"/>
      <c r="AM311" s="1188"/>
      <c r="AN311" s="1188"/>
      <c r="AO311" s="1188"/>
      <c r="AP311" s="1188">
        <f>I311</f>
        <v>4600</v>
      </c>
      <c r="AQ311" s="1240"/>
      <c r="AR311" s="1188"/>
      <c r="AS311" s="1236"/>
      <c r="AT311" s="1236"/>
      <c r="AU311" s="1188">
        <f>I311</f>
        <v>4600</v>
      </c>
      <c r="AV311" s="1250">
        <f t="shared" ref="AV311:AV320" si="105">I311*0.06*2</f>
        <v>552</v>
      </c>
      <c r="AW311" s="1250"/>
      <c r="AX311" s="1188"/>
      <c r="AY311" s="1188"/>
      <c r="AZ311" s="1188"/>
      <c r="BA311" s="1188"/>
      <c r="BB311" s="1188"/>
      <c r="BC311" s="1188"/>
      <c r="BD311" s="1188"/>
      <c r="BE311" s="1188"/>
      <c r="BF311" s="1188"/>
      <c r="BG311" s="1188"/>
      <c r="BH311" s="1188"/>
      <c r="BI311" s="1188"/>
      <c r="BJ311" s="1188"/>
      <c r="BK311" s="1188"/>
      <c r="BL311" s="1188"/>
      <c r="BM311" s="1188"/>
      <c r="BN311" s="1188"/>
      <c r="BO311" s="1240">
        <f>I311/25</f>
        <v>184</v>
      </c>
      <c r="BP311" s="1240"/>
      <c r="BQ311" s="1188"/>
      <c r="BR311" s="1236"/>
      <c r="BS311" s="1236"/>
      <c r="BT311" s="1188"/>
      <c r="BU311" s="1188"/>
      <c r="BV311" s="1240"/>
      <c r="BW311" s="1188"/>
      <c r="BX311" s="1188"/>
      <c r="BY311" s="1188"/>
      <c r="BZ311" s="1188"/>
      <c r="CA311" s="1188"/>
      <c r="CB311" s="1188"/>
      <c r="CC311" s="1188"/>
      <c r="CD311" s="1188">
        <f t="shared" si="83"/>
        <v>184</v>
      </c>
      <c r="CE311" s="1188">
        <f t="shared" si="94"/>
        <v>0</v>
      </c>
      <c r="CF311" s="1188">
        <f t="shared" si="85"/>
        <v>0</v>
      </c>
      <c r="CG311" s="1188">
        <f t="shared" si="86"/>
        <v>0</v>
      </c>
      <c r="CH311" s="1236"/>
      <c r="CI311" s="1236"/>
      <c r="CJ311" s="1236"/>
      <c r="CK311" s="1188"/>
      <c r="CL311" s="1188"/>
    </row>
    <row r="312" s="1168" customFormat="1" customHeight="1" spans="1:90">
      <c r="A312" s="1245">
        <v>46154</v>
      </c>
      <c r="B312" s="1247" t="s">
        <v>1382</v>
      </c>
      <c r="C312" s="1234" t="s">
        <v>329</v>
      </c>
      <c r="D312" s="1268">
        <v>4500206746</v>
      </c>
      <c r="E312" s="1233">
        <v>5507192471</v>
      </c>
      <c r="F312" s="1188" t="s">
        <v>1383</v>
      </c>
      <c r="G312" s="1253" t="s">
        <v>188</v>
      </c>
      <c r="H312" s="1234" t="s">
        <v>138</v>
      </c>
      <c r="I312" s="1254">
        <v>2300</v>
      </c>
      <c r="J312" s="1234">
        <v>0</v>
      </c>
      <c r="K312" s="1234">
        <v>50</v>
      </c>
      <c r="L312" s="1246">
        <f t="shared" si="87"/>
        <v>46</v>
      </c>
      <c r="M312" s="1255">
        <v>46203</v>
      </c>
      <c r="N312" s="1255">
        <v>46221</v>
      </c>
      <c r="O312" s="1255" t="s">
        <v>736</v>
      </c>
      <c r="P312" s="1233"/>
      <c r="Q312" s="1255" t="s">
        <v>106</v>
      </c>
      <c r="R312" s="1234" t="s">
        <v>1384</v>
      </c>
      <c r="S312" s="1234"/>
      <c r="T312" s="1233">
        <v>2300</v>
      </c>
      <c r="U312" s="1233">
        <f t="shared" si="95"/>
        <v>0</v>
      </c>
      <c r="V312" s="1234"/>
      <c r="W312" s="1238">
        <v>46172</v>
      </c>
      <c r="X312" s="1227" t="s">
        <v>95</v>
      </c>
      <c r="Y312" s="1227" t="s">
        <v>1385</v>
      </c>
      <c r="Z312" s="1247"/>
      <c r="AA312" s="1247"/>
      <c r="AB312" s="1247"/>
      <c r="AC312" s="1247" t="s">
        <v>1386</v>
      </c>
      <c r="AD312" s="1248" t="s">
        <v>450</v>
      </c>
      <c r="AE312" s="1247">
        <v>1.1174</v>
      </c>
      <c r="AF312" s="1248">
        <f>AE312*I312</f>
        <v>2570.02</v>
      </c>
      <c r="AG312" s="1258"/>
      <c r="AH312" s="1234" t="s">
        <v>314</v>
      </c>
      <c r="AI312" s="1234" t="s">
        <v>112</v>
      </c>
      <c r="AJ312" s="1234" t="s">
        <v>113</v>
      </c>
      <c r="AK312" s="1188">
        <f>I312</f>
        <v>2300</v>
      </c>
      <c r="AL312" s="1188"/>
      <c r="AM312" s="1188"/>
      <c r="AN312" s="1188"/>
      <c r="AO312" s="1188"/>
      <c r="AP312" s="1188">
        <f>I312</f>
        <v>2300</v>
      </c>
      <c r="AQ312" s="1240"/>
      <c r="AR312" s="1188"/>
      <c r="AS312" s="1236"/>
      <c r="AT312" s="1236"/>
      <c r="AU312" s="1188">
        <f>I312</f>
        <v>2300</v>
      </c>
      <c r="AV312" s="1250">
        <f t="shared" si="105"/>
        <v>276</v>
      </c>
      <c r="AW312" s="1250"/>
      <c r="AX312" s="1188"/>
      <c r="AY312" s="1188"/>
      <c r="AZ312" s="1188"/>
      <c r="BA312" s="1188"/>
      <c r="BB312" s="1188"/>
      <c r="BC312" s="1188"/>
      <c r="BD312" s="1188"/>
      <c r="BE312" s="1188"/>
      <c r="BF312" s="1188"/>
      <c r="BG312" s="1188"/>
      <c r="BH312" s="1188"/>
      <c r="BI312" s="1188"/>
      <c r="BJ312" s="1188"/>
      <c r="BK312" s="1188"/>
      <c r="BL312" s="1188"/>
      <c r="BM312" s="1188"/>
      <c r="BN312" s="1188"/>
      <c r="BO312" s="1240">
        <f>I312/25</f>
        <v>92</v>
      </c>
      <c r="BP312" s="1240"/>
      <c r="BQ312" s="1188"/>
      <c r="BR312" s="1236"/>
      <c r="BS312" s="1236"/>
      <c r="BT312" s="1188"/>
      <c r="BU312" s="1188"/>
      <c r="BV312" s="1240"/>
      <c r="BW312" s="1188"/>
      <c r="BX312" s="1188"/>
      <c r="BY312" s="1188"/>
      <c r="BZ312" s="1188"/>
      <c r="CA312" s="1188"/>
      <c r="CB312" s="1188"/>
      <c r="CC312" s="1188"/>
      <c r="CD312" s="1188">
        <f t="shared" si="83"/>
        <v>92</v>
      </c>
      <c r="CE312" s="1188">
        <f t="shared" si="94"/>
        <v>0</v>
      </c>
      <c r="CF312" s="1188">
        <f t="shared" si="85"/>
        <v>0</v>
      </c>
      <c r="CG312" s="1188">
        <f t="shared" si="86"/>
        <v>0</v>
      </c>
      <c r="CH312" s="1236"/>
      <c r="CI312" s="1236"/>
      <c r="CJ312" s="1236"/>
      <c r="CK312" s="1188"/>
      <c r="CL312" s="1188"/>
    </row>
    <row r="313" s="1168" customFormat="1" customHeight="1" spans="1:90">
      <c r="A313" s="1245">
        <v>46154</v>
      </c>
      <c r="B313" s="1247" t="s">
        <v>1387</v>
      </c>
      <c r="C313" s="1234" t="s">
        <v>1388</v>
      </c>
      <c r="D313" s="1268">
        <v>4500206748</v>
      </c>
      <c r="E313" s="1234" t="s">
        <v>628</v>
      </c>
      <c r="F313" s="1188" t="s">
        <v>1389</v>
      </c>
      <c r="G313" s="1253" t="s">
        <v>188</v>
      </c>
      <c r="H313" s="1234" t="s">
        <v>138</v>
      </c>
      <c r="I313" s="1254">
        <v>5700</v>
      </c>
      <c r="J313" s="1234">
        <v>0</v>
      </c>
      <c r="K313" s="1234">
        <v>50</v>
      </c>
      <c r="L313" s="1246">
        <f t="shared" si="87"/>
        <v>114</v>
      </c>
      <c r="M313" s="1255">
        <v>46203</v>
      </c>
      <c r="N313" s="1255">
        <v>46221</v>
      </c>
      <c r="O313" s="1255" t="s">
        <v>736</v>
      </c>
      <c r="P313" s="1233"/>
      <c r="Q313" s="1255" t="s">
        <v>106</v>
      </c>
      <c r="R313" s="1234" t="s">
        <v>1384</v>
      </c>
      <c r="S313" s="1234"/>
      <c r="T313" s="1233">
        <v>5700</v>
      </c>
      <c r="U313" s="1233">
        <f t="shared" si="95"/>
        <v>0</v>
      </c>
      <c r="V313" s="1234"/>
      <c r="W313" s="1238">
        <v>46172</v>
      </c>
      <c r="X313" s="1227" t="s">
        <v>95</v>
      </c>
      <c r="Y313" s="1227" t="s">
        <v>1385</v>
      </c>
      <c r="Z313" s="1247"/>
      <c r="AA313" s="1247"/>
      <c r="AB313" s="1247"/>
      <c r="AC313" s="1247" t="s">
        <v>1390</v>
      </c>
      <c r="AD313" s="1248" t="s">
        <v>450</v>
      </c>
      <c r="AE313" s="1247">
        <v>1.1119</v>
      </c>
      <c r="AF313" s="1248">
        <f>AE313*I313</f>
        <v>6337.83</v>
      </c>
      <c r="AG313" s="1258"/>
      <c r="AH313" s="1234" t="s">
        <v>314</v>
      </c>
      <c r="AI313" s="1234" t="s">
        <v>112</v>
      </c>
      <c r="AJ313" s="1234" t="s">
        <v>113</v>
      </c>
      <c r="AK313" s="1188">
        <f>I313</f>
        <v>5700</v>
      </c>
      <c r="AL313" s="1188"/>
      <c r="AM313" s="1188"/>
      <c r="AN313" s="1188"/>
      <c r="AO313" s="1188"/>
      <c r="AP313" s="1188">
        <f>I313</f>
        <v>5700</v>
      </c>
      <c r="AQ313" s="1240"/>
      <c r="AR313" s="1188"/>
      <c r="AS313" s="1236"/>
      <c r="AT313" s="1236"/>
      <c r="AU313" s="1188">
        <f>I313</f>
        <v>5700</v>
      </c>
      <c r="AV313" s="1250">
        <f t="shared" si="105"/>
        <v>684</v>
      </c>
      <c r="AW313" s="1250"/>
      <c r="AX313" s="1188"/>
      <c r="AY313" s="1188"/>
      <c r="AZ313" s="1188"/>
      <c r="BA313" s="1188"/>
      <c r="BB313" s="1188"/>
      <c r="BC313" s="1188"/>
      <c r="BD313" s="1188"/>
      <c r="BE313" s="1188"/>
      <c r="BF313" s="1188"/>
      <c r="BG313" s="1188"/>
      <c r="BH313" s="1188"/>
      <c r="BI313" s="1188"/>
      <c r="BJ313" s="1188"/>
      <c r="BK313" s="1188"/>
      <c r="BL313" s="1188"/>
      <c r="BM313" s="1188"/>
      <c r="BN313" s="1188"/>
      <c r="BO313" s="1240">
        <f>I313/25</f>
        <v>228</v>
      </c>
      <c r="BP313" s="1240"/>
      <c r="BQ313" s="1188"/>
      <c r="BR313" s="1236"/>
      <c r="BS313" s="1236"/>
      <c r="BT313" s="1188"/>
      <c r="BU313" s="1188"/>
      <c r="BV313" s="1240"/>
      <c r="BW313" s="1188"/>
      <c r="BX313" s="1188"/>
      <c r="BY313" s="1188"/>
      <c r="BZ313" s="1188"/>
      <c r="CA313" s="1188"/>
      <c r="CB313" s="1188"/>
      <c r="CC313" s="1188"/>
      <c r="CD313" s="1188">
        <f t="shared" si="83"/>
        <v>228</v>
      </c>
      <c r="CE313" s="1188">
        <f t="shared" si="94"/>
        <v>0</v>
      </c>
      <c r="CF313" s="1188">
        <f t="shared" si="85"/>
        <v>0</v>
      </c>
      <c r="CG313" s="1188">
        <f t="shared" si="86"/>
        <v>0</v>
      </c>
      <c r="CH313" s="1236"/>
      <c r="CI313" s="1236"/>
      <c r="CJ313" s="1236"/>
      <c r="CK313" s="1188"/>
      <c r="CL313" s="1188"/>
    </row>
    <row r="314" s="1168" customFormat="1" customHeight="1" spans="1:90">
      <c r="A314" s="1245">
        <v>46136</v>
      </c>
      <c r="B314" s="1247" t="s">
        <v>935</v>
      </c>
      <c r="C314" s="1234" t="s">
        <v>115</v>
      </c>
      <c r="D314" s="1268">
        <v>4500203957</v>
      </c>
      <c r="E314" s="1233">
        <v>1750512411</v>
      </c>
      <c r="F314" s="1188" t="s">
        <v>1391</v>
      </c>
      <c r="G314" s="1253" t="s">
        <v>482</v>
      </c>
      <c r="H314" s="1234" t="s">
        <v>483</v>
      </c>
      <c r="I314" s="1254">
        <v>4320</v>
      </c>
      <c r="J314" s="1234">
        <v>0</v>
      </c>
      <c r="K314" s="1234">
        <v>120</v>
      </c>
      <c r="L314" s="1246">
        <f t="shared" si="87"/>
        <v>36</v>
      </c>
      <c r="M314" s="1255">
        <v>46203</v>
      </c>
      <c r="N314" s="1255">
        <v>46221</v>
      </c>
      <c r="O314" s="1255" t="s">
        <v>736</v>
      </c>
      <c r="P314" s="1233"/>
      <c r="Q314" s="1255" t="s">
        <v>106</v>
      </c>
      <c r="R314" s="1234" t="s">
        <v>1221</v>
      </c>
      <c r="S314" s="1234"/>
      <c r="T314" s="1233">
        <v>4320</v>
      </c>
      <c r="U314" s="1233">
        <f t="shared" si="95"/>
        <v>0</v>
      </c>
      <c r="V314" s="1234"/>
      <c r="W314" s="1238">
        <v>46155</v>
      </c>
      <c r="X314" s="1227" t="s">
        <v>107</v>
      </c>
      <c r="Y314" s="1227" t="s">
        <v>95</v>
      </c>
      <c r="Z314" s="1247"/>
      <c r="AA314" s="1247"/>
      <c r="AB314" s="1247"/>
      <c r="AC314" s="1247" t="s">
        <v>937</v>
      </c>
      <c r="AD314" s="1248" t="s">
        <v>488</v>
      </c>
      <c r="AE314" s="1247">
        <v>642</v>
      </c>
      <c r="AF314" s="1248">
        <f t="shared" ref="AF314:AF321" si="106">I314*AE314</f>
        <v>2773440</v>
      </c>
      <c r="AG314" s="1249" t="s">
        <v>1392</v>
      </c>
      <c r="AH314" s="1234" t="s">
        <v>490</v>
      </c>
      <c r="AI314" s="1234" t="s">
        <v>112</v>
      </c>
      <c r="AJ314" s="1234" t="s">
        <v>113</v>
      </c>
      <c r="AK314" s="1188"/>
      <c r="AL314" s="1188">
        <f>I314*3</f>
        <v>12960</v>
      </c>
      <c r="AM314" s="1188"/>
      <c r="AN314" s="1188"/>
      <c r="AO314" s="1188"/>
      <c r="AP314" s="1188"/>
      <c r="AQ314" s="1240"/>
      <c r="AR314" s="1188"/>
      <c r="AS314" s="1236"/>
      <c r="AT314" s="1236"/>
      <c r="AU314" s="1188"/>
      <c r="AV314" s="1250">
        <f t="shared" si="105"/>
        <v>518.4</v>
      </c>
      <c r="AW314" s="1250"/>
      <c r="AX314" s="1188"/>
      <c r="AY314" s="1188"/>
      <c r="AZ314" s="1188"/>
      <c r="BA314" s="1188"/>
      <c r="BB314" s="1188">
        <f>I314*3</f>
        <v>12960</v>
      </c>
      <c r="BC314" s="1188">
        <f>I314*3</f>
        <v>12960</v>
      </c>
      <c r="BD314" s="1188">
        <f>I314*3</f>
        <v>12960</v>
      </c>
      <c r="BE314" s="1188">
        <f>I314</f>
        <v>4320</v>
      </c>
      <c r="BF314" s="1188">
        <f>I314/6</f>
        <v>720</v>
      </c>
      <c r="BG314" s="1188"/>
      <c r="BH314" s="1188"/>
      <c r="BI314" s="1188"/>
      <c r="BJ314" s="1188"/>
      <c r="BK314" s="1188"/>
      <c r="BL314" s="1188"/>
      <c r="BM314" s="1188"/>
      <c r="BN314" s="1188"/>
      <c r="BO314" s="1240"/>
      <c r="BP314" s="1240"/>
      <c r="BQ314" s="1188"/>
      <c r="BR314" s="1236"/>
      <c r="BS314" s="1236"/>
      <c r="BT314" s="1188"/>
      <c r="BU314" s="1188"/>
      <c r="BV314" s="1240"/>
      <c r="BW314" s="1188"/>
      <c r="BX314" s="1188"/>
      <c r="BY314" s="1188"/>
      <c r="BZ314" s="1188"/>
      <c r="CA314" s="1188"/>
      <c r="CB314" s="1188"/>
      <c r="CC314" s="1188"/>
      <c r="CD314" s="1188">
        <f t="shared" si="83"/>
        <v>0</v>
      </c>
      <c r="CE314" s="1188">
        <f t="shared" si="94"/>
        <v>0</v>
      </c>
      <c r="CF314" s="1188">
        <f t="shared" si="85"/>
        <v>0</v>
      </c>
      <c r="CG314" s="1188">
        <f t="shared" si="86"/>
        <v>0</v>
      </c>
      <c r="CH314" s="1236"/>
      <c r="CI314" s="1236"/>
      <c r="CJ314" s="1236"/>
      <c r="CK314" s="1188"/>
      <c r="CL314" s="1188"/>
    </row>
    <row r="315" s="1168" customFormat="1" customHeight="1" spans="1:90">
      <c r="A315" s="1245">
        <v>46136</v>
      </c>
      <c r="B315" s="1247" t="s">
        <v>935</v>
      </c>
      <c r="C315" s="1234" t="s">
        <v>115</v>
      </c>
      <c r="D315" s="1268">
        <v>4500203956</v>
      </c>
      <c r="E315" s="1233">
        <v>9360512244</v>
      </c>
      <c r="F315" s="1188" t="s">
        <v>1393</v>
      </c>
      <c r="G315" s="1253" t="s">
        <v>482</v>
      </c>
      <c r="H315" s="1234" t="s">
        <v>483</v>
      </c>
      <c r="I315" s="1254">
        <v>4320</v>
      </c>
      <c r="J315" s="1234">
        <v>0</v>
      </c>
      <c r="K315" s="1234">
        <v>120</v>
      </c>
      <c r="L315" s="1246">
        <f t="shared" si="87"/>
        <v>36</v>
      </c>
      <c r="M315" s="1255">
        <v>46203</v>
      </c>
      <c r="N315" s="1255">
        <v>46221</v>
      </c>
      <c r="O315" s="1255" t="s">
        <v>736</v>
      </c>
      <c r="P315" s="1233"/>
      <c r="Q315" s="1255" t="s">
        <v>106</v>
      </c>
      <c r="R315" s="1234" t="s">
        <v>1301</v>
      </c>
      <c r="S315" s="1234"/>
      <c r="T315" s="1233">
        <v>4320</v>
      </c>
      <c r="U315" s="1233">
        <f t="shared" si="95"/>
        <v>0</v>
      </c>
      <c r="V315" s="1234"/>
      <c r="W315" s="1238">
        <v>46155</v>
      </c>
      <c r="X315" s="1227" t="s">
        <v>107</v>
      </c>
      <c r="Y315" s="1227" t="s">
        <v>95</v>
      </c>
      <c r="Z315" s="1247"/>
      <c r="AA315" s="1247"/>
      <c r="AB315" s="1247"/>
      <c r="AC315" s="1247" t="s">
        <v>937</v>
      </c>
      <c r="AD315" s="1248" t="s">
        <v>488</v>
      </c>
      <c r="AE315" s="1247">
        <v>642</v>
      </c>
      <c r="AF315" s="1248">
        <f t="shared" si="106"/>
        <v>2773440</v>
      </c>
      <c r="AG315" s="1249" t="s">
        <v>1394</v>
      </c>
      <c r="AH315" s="1234" t="s">
        <v>490</v>
      </c>
      <c r="AI315" s="1234" t="s">
        <v>112</v>
      </c>
      <c r="AJ315" s="1234" t="s">
        <v>113</v>
      </c>
      <c r="AK315" s="1188"/>
      <c r="AL315" s="1188">
        <f>I315*3</f>
        <v>12960</v>
      </c>
      <c r="AM315" s="1188"/>
      <c r="AN315" s="1188"/>
      <c r="AO315" s="1188"/>
      <c r="AP315" s="1188"/>
      <c r="AQ315" s="1240"/>
      <c r="AR315" s="1188"/>
      <c r="AS315" s="1236"/>
      <c r="AT315" s="1236"/>
      <c r="AU315" s="1188"/>
      <c r="AV315" s="1250">
        <f t="shared" si="105"/>
        <v>518.4</v>
      </c>
      <c r="AW315" s="1250"/>
      <c r="AX315" s="1188"/>
      <c r="AY315" s="1188"/>
      <c r="AZ315" s="1188"/>
      <c r="BA315" s="1188"/>
      <c r="BB315" s="1188">
        <f>I315*3</f>
        <v>12960</v>
      </c>
      <c r="BC315" s="1188">
        <f>I315*3</f>
        <v>12960</v>
      </c>
      <c r="BD315" s="1188">
        <f>I315*3</f>
        <v>12960</v>
      </c>
      <c r="BE315" s="1188">
        <f>I315</f>
        <v>4320</v>
      </c>
      <c r="BF315" s="1188">
        <f>I315/6</f>
        <v>720</v>
      </c>
      <c r="BG315" s="1188"/>
      <c r="BH315" s="1188"/>
      <c r="BI315" s="1188"/>
      <c r="BJ315" s="1188"/>
      <c r="BK315" s="1188"/>
      <c r="BL315" s="1188"/>
      <c r="BM315" s="1188"/>
      <c r="BN315" s="1188"/>
      <c r="BO315" s="1240"/>
      <c r="BP315" s="1240"/>
      <c r="BQ315" s="1188"/>
      <c r="BR315" s="1236"/>
      <c r="BS315" s="1236"/>
      <c r="BT315" s="1188"/>
      <c r="BU315" s="1188"/>
      <c r="BV315" s="1240"/>
      <c r="BW315" s="1188"/>
      <c r="BX315" s="1188"/>
      <c r="BY315" s="1188"/>
      <c r="BZ315" s="1188"/>
      <c r="CA315" s="1188"/>
      <c r="CB315" s="1188"/>
      <c r="CC315" s="1188"/>
      <c r="CD315" s="1188">
        <f t="shared" si="83"/>
        <v>0</v>
      </c>
      <c r="CE315" s="1188">
        <f t="shared" si="94"/>
        <v>0</v>
      </c>
      <c r="CF315" s="1188">
        <f t="shared" si="85"/>
        <v>0</v>
      </c>
      <c r="CG315" s="1188">
        <f t="shared" si="86"/>
        <v>0</v>
      </c>
      <c r="CH315" s="1236"/>
      <c r="CI315" s="1236"/>
      <c r="CJ315" s="1236"/>
      <c r="CK315" s="1188"/>
      <c r="CL315" s="1188"/>
    </row>
    <row r="316" s="1168" customFormat="1" customHeight="1" spans="1:90">
      <c r="A316" s="1245">
        <v>46150</v>
      </c>
      <c r="B316" s="1247" t="s">
        <v>761</v>
      </c>
      <c r="C316" s="1234" t="s">
        <v>115</v>
      </c>
      <c r="D316" s="1268">
        <v>4500205648</v>
      </c>
      <c r="E316" s="1234" t="s">
        <v>1395</v>
      </c>
      <c r="F316" s="1188" t="s">
        <v>1396</v>
      </c>
      <c r="G316" s="1253" t="s">
        <v>289</v>
      </c>
      <c r="H316" s="1234" t="s">
        <v>194</v>
      </c>
      <c r="I316" s="1254">
        <v>8840</v>
      </c>
      <c r="J316" s="1234">
        <v>0</v>
      </c>
      <c r="K316" s="1234">
        <v>13</v>
      </c>
      <c r="L316" s="1246">
        <f t="shared" si="87"/>
        <v>680</v>
      </c>
      <c r="M316" s="1255">
        <v>46203</v>
      </c>
      <c r="N316" s="1255">
        <v>46220</v>
      </c>
      <c r="O316" s="1255" t="s">
        <v>736</v>
      </c>
      <c r="P316" s="1233" t="s">
        <v>1397</v>
      </c>
      <c r="Q316" s="1255" t="s">
        <v>106</v>
      </c>
      <c r="R316" s="1234"/>
      <c r="S316" s="1234"/>
      <c r="T316" s="1233">
        <v>8840</v>
      </c>
      <c r="U316" s="1233">
        <f t="shared" si="95"/>
        <v>0</v>
      </c>
      <c r="V316" s="1234"/>
      <c r="W316" s="1238" t="s">
        <v>1398</v>
      </c>
      <c r="X316" s="1227" t="s">
        <v>95</v>
      </c>
      <c r="Y316" s="1227" t="s">
        <v>95</v>
      </c>
      <c r="Z316" s="1247"/>
      <c r="AA316" s="1247"/>
      <c r="AB316" s="1247"/>
      <c r="AC316" s="1247" t="s">
        <v>1399</v>
      </c>
      <c r="AD316" s="1248" t="s">
        <v>767</v>
      </c>
      <c r="AE316" s="1247">
        <v>0.6289</v>
      </c>
      <c r="AF316" s="1248">
        <f t="shared" si="106"/>
        <v>5559.476</v>
      </c>
      <c r="AG316" s="1249" t="s">
        <v>1400</v>
      </c>
      <c r="AH316" s="1234" t="s">
        <v>289</v>
      </c>
      <c r="AI316" s="1234" t="s">
        <v>112</v>
      </c>
      <c r="AJ316" s="1234" t="s">
        <v>113</v>
      </c>
      <c r="AK316" s="1188">
        <f>I316</f>
        <v>8840</v>
      </c>
      <c r="AL316" s="1188"/>
      <c r="AM316" s="1188"/>
      <c r="AN316" s="1188">
        <f>I316</f>
        <v>8840</v>
      </c>
      <c r="AO316" s="1188"/>
      <c r="AP316" s="1188"/>
      <c r="AQ316" s="1240"/>
      <c r="AR316" s="1188"/>
      <c r="AS316" s="1236"/>
      <c r="AT316" s="1236"/>
      <c r="AU316" s="1188">
        <f>I316</f>
        <v>8840</v>
      </c>
      <c r="AV316" s="1250">
        <f t="shared" si="105"/>
        <v>1060.8</v>
      </c>
      <c r="AW316" s="1250"/>
      <c r="AX316" s="1188"/>
      <c r="AY316" s="1188"/>
      <c r="AZ316" s="1188"/>
      <c r="BA316" s="1188"/>
      <c r="BB316" s="1188"/>
      <c r="BC316" s="1188"/>
      <c r="BD316" s="1188"/>
      <c r="BE316" s="1188"/>
      <c r="BF316" s="1188"/>
      <c r="BG316" s="1188"/>
      <c r="BH316" s="1188"/>
      <c r="BI316" s="1188"/>
      <c r="BJ316" s="1188"/>
      <c r="BK316" s="1188"/>
      <c r="BL316" s="1188"/>
      <c r="BM316" s="1188"/>
      <c r="BN316" s="1188"/>
      <c r="BO316" s="1240"/>
      <c r="BP316" s="1240"/>
      <c r="BQ316" s="1188"/>
      <c r="BR316" s="1236"/>
      <c r="BS316" s="1236"/>
      <c r="BT316" s="1188"/>
      <c r="BU316" s="1188"/>
      <c r="BV316" s="1240"/>
      <c r="BW316" s="1188"/>
      <c r="BX316" s="1188"/>
      <c r="BY316" s="1188"/>
      <c r="BZ316" s="1188"/>
      <c r="CA316" s="1188"/>
      <c r="CB316" s="1188"/>
      <c r="CC316" s="1188"/>
      <c r="CD316" s="1188">
        <f t="shared" si="83"/>
        <v>0</v>
      </c>
      <c r="CE316" s="1188">
        <f t="shared" si="94"/>
        <v>0</v>
      </c>
      <c r="CF316" s="1188">
        <f t="shared" si="85"/>
        <v>0</v>
      </c>
      <c r="CG316" s="1188">
        <f t="shared" si="86"/>
        <v>0</v>
      </c>
      <c r="CH316" s="1236"/>
      <c r="CI316" s="1236"/>
      <c r="CJ316" s="1236"/>
      <c r="CK316" s="1188"/>
      <c r="CL316" s="1188"/>
    </row>
    <row r="317" s="1168" customFormat="1" customHeight="1" spans="1:90">
      <c r="A317" s="1245">
        <v>46136</v>
      </c>
      <c r="B317" s="1247" t="s">
        <v>935</v>
      </c>
      <c r="C317" s="1234" t="s">
        <v>115</v>
      </c>
      <c r="D317" s="1268">
        <v>4500203952</v>
      </c>
      <c r="E317" s="1302">
        <v>2670512371</v>
      </c>
      <c r="F317" s="1188" t="s">
        <v>1401</v>
      </c>
      <c r="G317" s="1253" t="s">
        <v>482</v>
      </c>
      <c r="H317" s="1234" t="s">
        <v>483</v>
      </c>
      <c r="I317" s="1254">
        <v>4320</v>
      </c>
      <c r="J317" s="1234">
        <v>0</v>
      </c>
      <c r="K317" s="1234">
        <v>120</v>
      </c>
      <c r="L317" s="1246">
        <f t="shared" si="87"/>
        <v>36</v>
      </c>
      <c r="M317" s="1255">
        <v>46203</v>
      </c>
      <c r="N317" s="1320">
        <v>46221</v>
      </c>
      <c r="O317" s="1322" t="s">
        <v>736</v>
      </c>
      <c r="P317" s="1233"/>
      <c r="Q317" s="1233" t="s">
        <v>106</v>
      </c>
      <c r="R317" s="1234" t="s">
        <v>1402</v>
      </c>
      <c r="S317" s="1234"/>
      <c r="T317" s="1233">
        <v>4320</v>
      </c>
      <c r="U317" s="1233">
        <f t="shared" si="95"/>
        <v>0</v>
      </c>
      <c r="V317" s="1234"/>
      <c r="W317" s="1238">
        <v>46155</v>
      </c>
      <c r="X317" s="1227" t="s">
        <v>107</v>
      </c>
      <c r="Y317" s="1227" t="s">
        <v>95</v>
      </c>
      <c r="Z317" s="1247"/>
      <c r="AA317" s="1247"/>
      <c r="AB317" s="1247"/>
      <c r="AC317" s="1247" t="s">
        <v>937</v>
      </c>
      <c r="AD317" s="1255" t="s">
        <v>488</v>
      </c>
      <c r="AE317" s="1188">
        <v>642</v>
      </c>
      <c r="AF317" s="1248">
        <f t="shared" si="106"/>
        <v>2773440</v>
      </c>
      <c r="AG317" s="1249" t="s">
        <v>1403</v>
      </c>
      <c r="AH317" s="1234" t="s">
        <v>490</v>
      </c>
      <c r="AI317" s="1234" t="s">
        <v>112</v>
      </c>
      <c r="AJ317" s="1234" t="s">
        <v>113</v>
      </c>
      <c r="AK317" s="1188"/>
      <c r="AL317" s="1188">
        <f>I317*3</f>
        <v>12960</v>
      </c>
      <c r="AM317" s="1188"/>
      <c r="AN317" s="1188"/>
      <c r="AO317" s="1188"/>
      <c r="AP317" s="1188"/>
      <c r="AQ317" s="1240"/>
      <c r="AR317" s="1188"/>
      <c r="AS317" s="1236"/>
      <c r="AT317" s="1236"/>
      <c r="AU317" s="1188"/>
      <c r="AV317" s="1250">
        <f t="shared" si="105"/>
        <v>518.4</v>
      </c>
      <c r="AW317" s="1250"/>
      <c r="AX317" s="1188"/>
      <c r="AY317" s="1188"/>
      <c r="AZ317" s="1188"/>
      <c r="BA317" s="1188"/>
      <c r="BB317" s="1188">
        <f>I317*3</f>
        <v>12960</v>
      </c>
      <c r="BC317" s="1188">
        <f>I317*3</f>
        <v>12960</v>
      </c>
      <c r="BD317" s="1188">
        <f>I317*3</f>
        <v>12960</v>
      </c>
      <c r="BE317" s="1188">
        <f>I317</f>
        <v>4320</v>
      </c>
      <c r="BF317" s="1188">
        <f>I317/6</f>
        <v>720</v>
      </c>
      <c r="BG317" s="1188"/>
      <c r="BH317" s="1188"/>
      <c r="BI317" s="1188"/>
      <c r="BJ317" s="1188"/>
      <c r="BK317" s="1188"/>
      <c r="BL317" s="1188"/>
      <c r="BM317" s="1188"/>
      <c r="BN317" s="1188"/>
      <c r="BO317" s="1240"/>
      <c r="BP317" s="1240"/>
      <c r="BQ317" s="1188"/>
      <c r="BR317" s="1236"/>
      <c r="BS317" s="1236"/>
      <c r="BT317" s="1188"/>
      <c r="BU317" s="1188"/>
      <c r="BV317" s="1240"/>
      <c r="BW317" s="1188"/>
      <c r="BX317" s="1188"/>
      <c r="BY317" s="1188"/>
      <c r="BZ317" s="1188"/>
      <c r="CA317" s="1188"/>
      <c r="CB317" s="1188"/>
      <c r="CC317" s="1188"/>
      <c r="CD317" s="1188">
        <f t="shared" si="83"/>
        <v>0</v>
      </c>
      <c r="CE317" s="1188">
        <f t="shared" si="94"/>
        <v>0</v>
      </c>
      <c r="CF317" s="1188">
        <f t="shared" si="85"/>
        <v>0</v>
      </c>
      <c r="CG317" s="1188">
        <f t="shared" si="86"/>
        <v>0</v>
      </c>
      <c r="CH317" s="1236"/>
      <c r="CI317" s="1236"/>
      <c r="CJ317" s="1236"/>
      <c r="CK317" s="1188"/>
      <c r="CL317" s="1188"/>
    </row>
    <row r="318" s="1168" customFormat="1" customHeight="1" spans="1:90">
      <c r="A318" s="1245">
        <v>46136</v>
      </c>
      <c r="B318" s="1247" t="s">
        <v>935</v>
      </c>
      <c r="C318" s="1234" t="s">
        <v>115</v>
      </c>
      <c r="D318" s="1268">
        <v>4500203958</v>
      </c>
      <c r="E318" s="1302">
        <v>9600512465</v>
      </c>
      <c r="F318" s="1188" t="s">
        <v>1404</v>
      </c>
      <c r="G318" s="1253" t="s">
        <v>482</v>
      </c>
      <c r="H318" s="1234" t="s">
        <v>483</v>
      </c>
      <c r="I318" s="1254">
        <v>4320</v>
      </c>
      <c r="J318" s="1234">
        <v>0</v>
      </c>
      <c r="K318" s="1234">
        <v>120</v>
      </c>
      <c r="L318" s="1246">
        <f t="shared" si="87"/>
        <v>36</v>
      </c>
      <c r="M318" s="1255">
        <v>46203</v>
      </c>
      <c r="N318" s="1320">
        <v>46221</v>
      </c>
      <c r="O318" s="1322" t="s">
        <v>736</v>
      </c>
      <c r="P318" s="1233"/>
      <c r="Q318" s="1233" t="s">
        <v>106</v>
      </c>
      <c r="R318" s="1234"/>
      <c r="S318" s="1234"/>
      <c r="T318" s="1233">
        <v>4320</v>
      </c>
      <c r="U318" s="1233">
        <f t="shared" si="95"/>
        <v>0</v>
      </c>
      <c r="V318" s="1234"/>
      <c r="W318" s="1238">
        <v>46155</v>
      </c>
      <c r="X318" s="1227" t="s">
        <v>107</v>
      </c>
      <c r="Y318" s="1227" t="s">
        <v>95</v>
      </c>
      <c r="Z318" s="1247"/>
      <c r="AA318" s="1247"/>
      <c r="AB318" s="1247"/>
      <c r="AC318" s="1247" t="s">
        <v>937</v>
      </c>
      <c r="AD318" s="1255" t="s">
        <v>488</v>
      </c>
      <c r="AE318" s="1188">
        <v>642</v>
      </c>
      <c r="AF318" s="1248">
        <f t="shared" si="106"/>
        <v>2773440</v>
      </c>
      <c r="AG318" s="1249" t="s">
        <v>1405</v>
      </c>
      <c r="AH318" s="1234" t="s">
        <v>490</v>
      </c>
      <c r="AI318" s="1234" t="s">
        <v>112</v>
      </c>
      <c r="AJ318" s="1234" t="s">
        <v>113</v>
      </c>
      <c r="AK318" s="1188"/>
      <c r="AL318" s="1188">
        <f>I318*3</f>
        <v>12960</v>
      </c>
      <c r="AM318" s="1188"/>
      <c r="AN318" s="1188"/>
      <c r="AO318" s="1188"/>
      <c r="AP318" s="1188"/>
      <c r="AQ318" s="1240"/>
      <c r="AR318" s="1188"/>
      <c r="AS318" s="1236"/>
      <c r="AT318" s="1236"/>
      <c r="AU318" s="1188"/>
      <c r="AV318" s="1250">
        <f t="shared" si="105"/>
        <v>518.4</v>
      </c>
      <c r="AW318" s="1250"/>
      <c r="AX318" s="1188"/>
      <c r="AY318" s="1188"/>
      <c r="AZ318" s="1188"/>
      <c r="BA318" s="1188"/>
      <c r="BB318" s="1188">
        <f>I318*3</f>
        <v>12960</v>
      </c>
      <c r="BC318" s="1188">
        <f>I318*3</f>
        <v>12960</v>
      </c>
      <c r="BD318" s="1188">
        <f>I318*3</f>
        <v>12960</v>
      </c>
      <c r="BE318" s="1188">
        <f>I318</f>
        <v>4320</v>
      </c>
      <c r="BF318" s="1188">
        <f>I318/6</f>
        <v>720</v>
      </c>
      <c r="BG318" s="1188"/>
      <c r="BH318" s="1188"/>
      <c r="BI318" s="1188"/>
      <c r="BJ318" s="1188"/>
      <c r="BK318" s="1188"/>
      <c r="BL318" s="1188"/>
      <c r="BM318" s="1188"/>
      <c r="BN318" s="1188"/>
      <c r="BO318" s="1240"/>
      <c r="BP318" s="1240"/>
      <c r="BQ318" s="1188"/>
      <c r="BR318" s="1236"/>
      <c r="BS318" s="1236"/>
      <c r="BT318" s="1188"/>
      <c r="BU318" s="1188"/>
      <c r="BV318" s="1240"/>
      <c r="BW318" s="1188"/>
      <c r="BX318" s="1188"/>
      <c r="BY318" s="1188"/>
      <c r="BZ318" s="1188"/>
      <c r="CA318" s="1188"/>
      <c r="CB318" s="1188"/>
      <c r="CC318" s="1188"/>
      <c r="CD318" s="1188">
        <f t="shared" si="83"/>
        <v>0</v>
      </c>
      <c r="CE318" s="1188">
        <f t="shared" si="94"/>
        <v>0</v>
      </c>
      <c r="CF318" s="1188">
        <f t="shared" si="85"/>
        <v>0</v>
      </c>
      <c r="CG318" s="1188">
        <f t="shared" si="86"/>
        <v>0</v>
      </c>
      <c r="CH318" s="1236"/>
      <c r="CI318" s="1236"/>
      <c r="CJ318" s="1236"/>
      <c r="CK318" s="1188"/>
      <c r="CL318" s="1188"/>
    </row>
    <row r="319" s="1168" customFormat="1" customHeight="1" spans="1:90">
      <c r="A319" s="1245">
        <v>46136</v>
      </c>
      <c r="B319" s="1247" t="s">
        <v>935</v>
      </c>
      <c r="C319" s="1234" t="s">
        <v>115</v>
      </c>
      <c r="D319" s="1268">
        <v>4500203960</v>
      </c>
      <c r="E319" s="1302">
        <v>1710512329</v>
      </c>
      <c r="F319" s="1188" t="s">
        <v>1406</v>
      </c>
      <c r="G319" s="1253" t="s">
        <v>482</v>
      </c>
      <c r="H319" s="1234" t="s">
        <v>483</v>
      </c>
      <c r="I319" s="1254">
        <v>4320</v>
      </c>
      <c r="J319" s="1234">
        <v>0</v>
      </c>
      <c r="K319" s="1234">
        <v>120</v>
      </c>
      <c r="L319" s="1246">
        <f t="shared" si="87"/>
        <v>36</v>
      </c>
      <c r="M319" s="1255">
        <v>46203</v>
      </c>
      <c r="N319" s="1320">
        <v>46221</v>
      </c>
      <c r="O319" s="1322" t="s">
        <v>736</v>
      </c>
      <c r="P319" s="1233"/>
      <c r="Q319" s="1233" t="s">
        <v>106</v>
      </c>
      <c r="R319" s="1234"/>
      <c r="S319" s="1234"/>
      <c r="T319" s="1233">
        <v>4320</v>
      </c>
      <c r="U319" s="1233">
        <f t="shared" si="95"/>
        <v>0</v>
      </c>
      <c r="V319" s="1234"/>
      <c r="W319" s="1238">
        <v>46155</v>
      </c>
      <c r="X319" s="1227" t="s">
        <v>107</v>
      </c>
      <c r="Y319" s="1227" t="s">
        <v>95</v>
      </c>
      <c r="Z319" s="1247"/>
      <c r="AA319" s="1247"/>
      <c r="AB319" s="1247"/>
      <c r="AC319" s="1247" t="s">
        <v>937</v>
      </c>
      <c r="AD319" s="1255" t="s">
        <v>488</v>
      </c>
      <c r="AE319" s="1188">
        <v>642</v>
      </c>
      <c r="AF319" s="1248">
        <f t="shared" si="106"/>
        <v>2773440</v>
      </c>
      <c r="AG319" s="1249" t="s">
        <v>1407</v>
      </c>
      <c r="AH319" s="1234" t="s">
        <v>490</v>
      </c>
      <c r="AI319" s="1234" t="s">
        <v>112</v>
      </c>
      <c r="AJ319" s="1234" t="s">
        <v>113</v>
      </c>
      <c r="AK319" s="1188"/>
      <c r="AL319" s="1188">
        <f>I319*3</f>
        <v>12960</v>
      </c>
      <c r="AM319" s="1188"/>
      <c r="AN319" s="1188"/>
      <c r="AO319" s="1188"/>
      <c r="AP319" s="1188"/>
      <c r="AQ319" s="1240"/>
      <c r="AR319" s="1188"/>
      <c r="AS319" s="1236"/>
      <c r="AT319" s="1236"/>
      <c r="AU319" s="1188"/>
      <c r="AV319" s="1250">
        <f t="shared" si="105"/>
        <v>518.4</v>
      </c>
      <c r="AW319" s="1250"/>
      <c r="AX319" s="1188"/>
      <c r="AY319" s="1188"/>
      <c r="AZ319" s="1188"/>
      <c r="BA319" s="1188"/>
      <c r="BB319" s="1188">
        <f>I319*3</f>
        <v>12960</v>
      </c>
      <c r="BC319" s="1188">
        <f>I319*3</f>
        <v>12960</v>
      </c>
      <c r="BD319" s="1188">
        <f>I319*3</f>
        <v>12960</v>
      </c>
      <c r="BE319" s="1188">
        <f>I319</f>
        <v>4320</v>
      </c>
      <c r="BF319" s="1188">
        <f>I319/6</f>
        <v>720</v>
      </c>
      <c r="BG319" s="1188"/>
      <c r="BH319" s="1188"/>
      <c r="BI319" s="1188"/>
      <c r="BJ319" s="1188"/>
      <c r="BK319" s="1188"/>
      <c r="BL319" s="1188"/>
      <c r="BM319" s="1188"/>
      <c r="BN319" s="1188"/>
      <c r="BO319" s="1240"/>
      <c r="BP319" s="1240"/>
      <c r="BQ319" s="1188"/>
      <c r="BR319" s="1236"/>
      <c r="BS319" s="1236"/>
      <c r="BT319" s="1188"/>
      <c r="BU319" s="1188"/>
      <c r="BV319" s="1240"/>
      <c r="BW319" s="1188"/>
      <c r="BX319" s="1188"/>
      <c r="BY319" s="1188"/>
      <c r="BZ319" s="1188"/>
      <c r="CA319" s="1188"/>
      <c r="CB319" s="1188"/>
      <c r="CC319" s="1188"/>
      <c r="CD319" s="1188">
        <f t="shared" si="83"/>
        <v>0</v>
      </c>
      <c r="CE319" s="1188">
        <f t="shared" si="94"/>
        <v>0</v>
      </c>
      <c r="CF319" s="1188">
        <f t="shared" si="85"/>
        <v>0</v>
      </c>
      <c r="CG319" s="1188">
        <f t="shared" si="86"/>
        <v>0</v>
      </c>
      <c r="CH319" s="1236"/>
      <c r="CI319" s="1236"/>
      <c r="CJ319" s="1236"/>
      <c r="CK319" s="1188"/>
      <c r="CL319" s="1188"/>
    </row>
    <row r="320" s="1168" customFormat="1" customHeight="1" spans="1:90">
      <c r="A320" s="1245">
        <v>46167</v>
      </c>
      <c r="B320" s="1247" t="s">
        <v>1110</v>
      </c>
      <c r="C320" s="1234" t="s">
        <v>1111</v>
      </c>
      <c r="D320" s="1268">
        <v>4500205374</v>
      </c>
      <c r="E320" s="1234" t="s">
        <v>628</v>
      </c>
      <c r="F320" s="1251" t="s">
        <v>1408</v>
      </c>
      <c r="G320" s="1329" t="s">
        <v>188</v>
      </c>
      <c r="H320" s="1264" t="s">
        <v>893</v>
      </c>
      <c r="I320" s="1330">
        <v>4000</v>
      </c>
      <c r="J320" s="1234">
        <v>0</v>
      </c>
      <c r="K320" s="1264">
        <v>50</v>
      </c>
      <c r="L320" s="1234">
        <f t="shared" si="87"/>
        <v>80</v>
      </c>
      <c r="M320" s="1320">
        <v>46203</v>
      </c>
      <c r="N320" s="1320" t="s">
        <v>1409</v>
      </c>
      <c r="O320" s="1255"/>
      <c r="P320" s="1233"/>
      <c r="Q320" s="1233" t="s">
        <v>1410</v>
      </c>
      <c r="R320" s="1234"/>
      <c r="S320" s="1234"/>
      <c r="T320" s="1233">
        <v>4000</v>
      </c>
      <c r="U320" s="1233">
        <f t="shared" si="95"/>
        <v>0</v>
      </c>
      <c r="V320" s="1234"/>
      <c r="W320" s="1238" t="s">
        <v>1411</v>
      </c>
      <c r="X320" s="1227" t="s">
        <v>95</v>
      </c>
      <c r="Y320" s="1227" t="s">
        <v>95</v>
      </c>
      <c r="Z320" s="1247"/>
      <c r="AA320" s="1247"/>
      <c r="AB320" s="1247"/>
      <c r="AC320" s="1331" t="s">
        <v>1412</v>
      </c>
      <c r="AD320" s="1255" t="s">
        <v>222</v>
      </c>
      <c r="AE320" s="1332">
        <v>1.0329</v>
      </c>
      <c r="AF320" s="1248">
        <f t="shared" si="106"/>
        <v>4131.6</v>
      </c>
      <c r="AG320" s="1258"/>
      <c r="AH320" s="1253" t="s">
        <v>174</v>
      </c>
      <c r="AI320" s="1234" t="s">
        <v>112</v>
      </c>
      <c r="AJ320" s="1234"/>
      <c r="AK320" s="1188">
        <f>I320</f>
        <v>4000</v>
      </c>
      <c r="AL320" s="1188"/>
      <c r="AM320" s="1188"/>
      <c r="AN320" s="1188">
        <f>I320</f>
        <v>4000</v>
      </c>
      <c r="AO320" s="1188"/>
      <c r="AP320" s="1188"/>
      <c r="AQ320" s="1240"/>
      <c r="AR320" s="1188"/>
      <c r="AS320" s="1236"/>
      <c r="AT320" s="1236"/>
      <c r="AU320" s="1188">
        <f>I320</f>
        <v>4000</v>
      </c>
      <c r="AV320" s="1250">
        <f t="shared" si="105"/>
        <v>480</v>
      </c>
      <c r="AW320" s="1250"/>
      <c r="AX320" s="1188"/>
      <c r="AY320" s="1188"/>
      <c r="AZ320" s="1188"/>
      <c r="BA320" s="1188"/>
      <c r="BB320" s="1188"/>
      <c r="BC320" s="1188"/>
      <c r="BD320" s="1188"/>
      <c r="BE320" s="1188"/>
      <c r="BF320" s="1188"/>
      <c r="BG320" s="1188"/>
      <c r="BH320" s="1188"/>
      <c r="BI320" s="1188"/>
      <c r="BJ320" s="1188"/>
      <c r="BK320" s="1188"/>
      <c r="BL320" s="1188"/>
      <c r="BM320" s="1188"/>
      <c r="BN320" s="1188">
        <f>I320/25</f>
        <v>160</v>
      </c>
      <c r="BO320" s="1240"/>
      <c r="BP320" s="1240"/>
      <c r="BQ320" s="1188"/>
      <c r="BR320" s="1236"/>
      <c r="BS320" s="1236"/>
      <c r="BT320" s="1188"/>
      <c r="BU320" s="1188"/>
      <c r="BV320" s="1240"/>
      <c r="BW320" s="1188"/>
      <c r="BX320" s="1188"/>
      <c r="BY320" s="1188"/>
      <c r="BZ320" s="1188"/>
      <c r="CA320" s="1188"/>
      <c r="CB320" s="1188"/>
      <c r="CC320" s="1188"/>
      <c r="CD320" s="1188">
        <f t="shared" ref="CD320:CD383" si="107">BN320+BO320+BQ320+BS320+BR320</f>
        <v>160</v>
      </c>
      <c r="CE320" s="1188">
        <f t="shared" si="94"/>
        <v>0</v>
      </c>
      <c r="CF320" s="1188">
        <f t="shared" ref="CF320:CF383" si="108">CC320</f>
        <v>0</v>
      </c>
      <c r="CG320" s="1188">
        <f t="shared" ref="CG320:CG383" si="109">BV320+BW320+BX320</f>
        <v>0</v>
      </c>
      <c r="CH320" s="1236"/>
      <c r="CI320" s="1236"/>
      <c r="CJ320" s="1236"/>
      <c r="CK320" s="1188"/>
      <c r="CL320" s="1188"/>
    </row>
    <row r="321" s="1168" customFormat="1" customHeight="1" spans="1:90">
      <c r="A321" s="1245">
        <v>46203</v>
      </c>
      <c r="B321" s="1247" t="s">
        <v>438</v>
      </c>
      <c r="C321" s="1234" t="s">
        <v>115</v>
      </c>
      <c r="D321" s="1268">
        <v>4500214139</v>
      </c>
      <c r="E321" s="1234" t="s">
        <v>1413</v>
      </c>
      <c r="F321" s="1188" t="s">
        <v>1414</v>
      </c>
      <c r="G321" s="1253" t="s">
        <v>118</v>
      </c>
      <c r="H321" s="1234" t="s">
        <v>104</v>
      </c>
      <c r="I321" s="1254">
        <v>23800</v>
      </c>
      <c r="J321" s="1234">
        <v>0</v>
      </c>
      <c r="K321" s="1234">
        <v>25</v>
      </c>
      <c r="L321" s="1246">
        <f t="shared" si="87"/>
        <v>952</v>
      </c>
      <c r="M321" s="1255">
        <v>46204</v>
      </c>
      <c r="N321" s="1255">
        <v>46200</v>
      </c>
      <c r="O321" s="1255"/>
      <c r="P321" s="1233" t="s">
        <v>1415</v>
      </c>
      <c r="Q321" s="1255" t="s">
        <v>267</v>
      </c>
      <c r="R321" s="1234"/>
      <c r="S321" s="1234"/>
      <c r="T321" s="1233">
        <v>23800</v>
      </c>
      <c r="U321" s="1233">
        <f t="shared" si="95"/>
        <v>0</v>
      </c>
      <c r="V321" s="1234"/>
      <c r="W321" s="1238" t="s">
        <v>1416</v>
      </c>
      <c r="X321" s="1227" t="s">
        <v>107</v>
      </c>
      <c r="Y321" s="1227" t="s">
        <v>1417</v>
      </c>
      <c r="Z321" s="1247"/>
      <c r="AA321" s="1247"/>
      <c r="AB321" s="1247"/>
      <c r="AC321" s="1247" t="s">
        <v>1418</v>
      </c>
      <c r="AD321" s="1248" t="s">
        <v>443</v>
      </c>
      <c r="AE321" s="1247">
        <v>0.6406</v>
      </c>
      <c r="AF321" s="1248">
        <f t="shared" si="106"/>
        <v>15246.28</v>
      </c>
      <c r="AG321" s="1249" t="s">
        <v>1419</v>
      </c>
      <c r="AH321" s="1234" t="s">
        <v>118</v>
      </c>
      <c r="AI321" s="1234" t="s">
        <v>112</v>
      </c>
      <c r="AJ321" s="1234" t="s">
        <v>113</v>
      </c>
      <c r="AK321" s="1188"/>
      <c r="AL321" s="1188"/>
      <c r="AM321" s="1188">
        <f>I321</f>
        <v>23800</v>
      </c>
      <c r="AN321" s="1188">
        <f>I321</f>
        <v>23800</v>
      </c>
      <c r="AO321" s="1188"/>
      <c r="AP321" s="1188"/>
      <c r="AQ321" s="1240"/>
      <c r="AR321" s="1188"/>
      <c r="AS321" s="1236"/>
      <c r="AT321" s="1236"/>
      <c r="AU321" s="1188">
        <f>I321</f>
        <v>23800</v>
      </c>
      <c r="AV321" s="1250">
        <f>I321*0.06</f>
        <v>1428</v>
      </c>
      <c r="AW321" s="1250"/>
      <c r="AX321" s="1188"/>
      <c r="AY321" s="1188"/>
      <c r="AZ321" s="1188"/>
      <c r="BA321" s="1188"/>
      <c r="BB321" s="1188"/>
      <c r="BC321" s="1188"/>
      <c r="BD321" s="1188"/>
      <c r="BE321" s="1188"/>
      <c r="BF321" s="1188"/>
      <c r="BG321" s="1188"/>
      <c r="BH321" s="1188"/>
      <c r="BI321" s="1188"/>
      <c r="BJ321" s="1188"/>
      <c r="BK321" s="1188"/>
      <c r="BL321" s="1188"/>
      <c r="BM321" s="1188"/>
      <c r="BN321" s="1188"/>
      <c r="BO321" s="1240"/>
      <c r="BP321" s="1240"/>
      <c r="BQ321" s="1188"/>
      <c r="BR321" s="1236"/>
      <c r="BS321" s="1236"/>
      <c r="BT321" s="1188"/>
      <c r="BU321" s="1188">
        <f>I321/25</f>
        <v>952</v>
      </c>
      <c r="BV321" s="1240"/>
      <c r="BW321" s="1188"/>
      <c r="BX321" s="1188"/>
      <c r="BY321" s="1188"/>
      <c r="BZ321" s="1188"/>
      <c r="CA321" s="1188"/>
      <c r="CB321" s="1188"/>
      <c r="CC321" s="1188"/>
      <c r="CD321" s="1188">
        <f t="shared" si="107"/>
        <v>0</v>
      </c>
      <c r="CE321" s="1188">
        <f t="shared" si="94"/>
        <v>952</v>
      </c>
      <c r="CF321" s="1188">
        <f t="shared" si="108"/>
        <v>0</v>
      </c>
      <c r="CG321" s="1188">
        <f t="shared" si="109"/>
        <v>0</v>
      </c>
      <c r="CH321" s="1236"/>
      <c r="CI321" s="1236"/>
      <c r="CJ321" s="1236"/>
      <c r="CK321" s="1188"/>
      <c r="CL321" s="1188"/>
    </row>
    <row r="322" s="1168" customFormat="1" customHeight="1" spans="1:90">
      <c r="A322" s="1245">
        <v>46198</v>
      </c>
      <c r="B322" s="1247" t="s">
        <v>1420</v>
      </c>
      <c r="C322" s="1234" t="s">
        <v>597</v>
      </c>
      <c r="D322" s="1188" t="s">
        <v>1421</v>
      </c>
      <c r="E322" s="1234"/>
      <c r="F322" s="1188" t="s">
        <v>1422</v>
      </c>
      <c r="G322" s="1253" t="s">
        <v>91</v>
      </c>
      <c r="H322" s="1234" t="s">
        <v>600</v>
      </c>
      <c r="I322" s="1254">
        <v>15</v>
      </c>
      <c r="J322" s="1234">
        <v>0</v>
      </c>
      <c r="K322" s="1234">
        <v>24</v>
      </c>
      <c r="L322" s="1246">
        <f t="shared" si="87"/>
        <v>0.625</v>
      </c>
      <c r="M322" s="1255">
        <v>46205</v>
      </c>
      <c r="N322" s="1255">
        <v>46202</v>
      </c>
      <c r="O322" s="1255"/>
      <c r="P322" s="1233"/>
      <c r="Q322" s="1255" t="s">
        <v>106</v>
      </c>
      <c r="R322" s="1234"/>
      <c r="S322" s="1234"/>
      <c r="T322" s="1233">
        <v>15</v>
      </c>
      <c r="U322" s="1233">
        <f t="shared" si="95"/>
        <v>0</v>
      </c>
      <c r="V322" s="1234"/>
      <c r="W322" s="1238" t="s">
        <v>94</v>
      </c>
      <c r="X322" s="1227" t="s">
        <v>95</v>
      </c>
      <c r="Y322" s="1227" t="s">
        <v>95</v>
      </c>
      <c r="Z322" s="1247"/>
      <c r="AA322" s="1247"/>
      <c r="AB322" s="1247"/>
      <c r="AC322" s="1247" t="s">
        <v>1423</v>
      </c>
      <c r="AD322" s="1248" t="s">
        <v>272</v>
      </c>
      <c r="AE322" s="1247"/>
      <c r="AF322" s="1248"/>
      <c r="AG322" s="1258"/>
      <c r="AH322" s="1234" t="s">
        <v>91</v>
      </c>
      <c r="AI322" s="1234" t="s">
        <v>112</v>
      </c>
      <c r="AJ322" s="1234" t="s">
        <v>113</v>
      </c>
      <c r="AK322" s="1188">
        <f>I322</f>
        <v>15</v>
      </c>
      <c r="AL322" s="1188"/>
      <c r="AM322" s="1188"/>
      <c r="AN322" s="1188">
        <f>I322</f>
        <v>15</v>
      </c>
      <c r="AO322" s="1188"/>
      <c r="AP322" s="1188"/>
      <c r="AQ322" s="1240"/>
      <c r="AR322" s="1188"/>
      <c r="AS322" s="1236"/>
      <c r="AT322" s="1236"/>
      <c r="AU322" s="1188">
        <f>I322</f>
        <v>15</v>
      </c>
      <c r="AV322" s="1250"/>
      <c r="AW322" s="1250"/>
      <c r="AX322" s="1188"/>
      <c r="AY322" s="1188"/>
      <c r="AZ322" s="1188"/>
      <c r="BA322" s="1188"/>
      <c r="BB322" s="1188"/>
      <c r="BC322" s="1188"/>
      <c r="BD322" s="1188"/>
      <c r="BE322" s="1188"/>
      <c r="BF322" s="1188"/>
      <c r="BG322" s="1188"/>
      <c r="BH322" s="1188"/>
      <c r="BI322" s="1188"/>
      <c r="BJ322" s="1188"/>
      <c r="BK322" s="1188"/>
      <c r="BL322" s="1188"/>
      <c r="BM322" s="1188"/>
      <c r="BN322" s="1188"/>
      <c r="BO322" s="1240"/>
      <c r="BP322" s="1240"/>
      <c r="BQ322" s="1188"/>
      <c r="BR322" s="1236"/>
      <c r="BS322" s="1236"/>
      <c r="BT322" s="1188"/>
      <c r="BU322" s="1188"/>
      <c r="BV322" s="1240"/>
      <c r="BW322" s="1188"/>
      <c r="BX322" s="1188"/>
      <c r="BY322" s="1188"/>
      <c r="BZ322" s="1188"/>
      <c r="CA322" s="1188"/>
      <c r="CB322" s="1188"/>
      <c r="CC322" s="1188"/>
      <c r="CD322" s="1188">
        <f t="shared" si="107"/>
        <v>0</v>
      </c>
      <c r="CE322" s="1188">
        <f t="shared" si="94"/>
        <v>0</v>
      </c>
      <c r="CF322" s="1188">
        <f t="shared" si="108"/>
        <v>0</v>
      </c>
      <c r="CG322" s="1188">
        <f t="shared" si="109"/>
        <v>0</v>
      </c>
      <c r="CH322" s="1236"/>
      <c r="CI322" s="1236"/>
      <c r="CJ322" s="1236"/>
      <c r="CK322" s="1188"/>
      <c r="CL322" s="1188"/>
    </row>
    <row r="323" s="1168" customFormat="1" customHeight="1" spans="1:90">
      <c r="A323" s="1245">
        <v>46203</v>
      </c>
      <c r="B323" s="1247" t="s">
        <v>438</v>
      </c>
      <c r="C323" s="1234" t="s">
        <v>115</v>
      </c>
      <c r="D323" s="1268">
        <v>4500214141</v>
      </c>
      <c r="E323" s="1234" t="s">
        <v>1424</v>
      </c>
      <c r="F323" s="1188" t="s">
        <v>1425</v>
      </c>
      <c r="G323" s="1253" t="s">
        <v>118</v>
      </c>
      <c r="H323" s="1234" t="s">
        <v>104</v>
      </c>
      <c r="I323" s="1254">
        <v>81150</v>
      </c>
      <c r="J323" s="1234">
        <v>0</v>
      </c>
      <c r="K323" s="1234">
        <v>25</v>
      </c>
      <c r="L323" s="1246">
        <f t="shared" si="87"/>
        <v>3246</v>
      </c>
      <c r="M323" s="1255">
        <v>46205</v>
      </c>
      <c r="N323" s="1255">
        <v>46202</v>
      </c>
      <c r="O323" s="1255"/>
      <c r="P323" s="1233">
        <v>4500211262</v>
      </c>
      <c r="Q323" s="1255" t="s">
        <v>267</v>
      </c>
      <c r="R323" s="1234"/>
      <c r="S323" s="1234" t="s">
        <v>718</v>
      </c>
      <c r="T323" s="1233">
        <f>40575+14825+16775+8975</f>
        <v>81150</v>
      </c>
      <c r="U323" s="1233">
        <f t="shared" si="95"/>
        <v>0</v>
      </c>
      <c r="V323" s="1234"/>
      <c r="W323" s="1238" t="s">
        <v>1416</v>
      </c>
      <c r="X323" s="1227" t="s">
        <v>107</v>
      </c>
      <c r="Y323" s="1227" t="s">
        <v>1417</v>
      </c>
      <c r="Z323" s="1247"/>
      <c r="AA323" s="1247"/>
      <c r="AB323" s="1247"/>
      <c r="AC323" s="1247" t="s">
        <v>1426</v>
      </c>
      <c r="AD323" s="1248" t="s">
        <v>443</v>
      </c>
      <c r="AE323" s="1247">
        <v>0.6291</v>
      </c>
      <c r="AF323" s="1248">
        <f>I323*AE323</f>
        <v>51051.465</v>
      </c>
      <c r="AG323" s="1266" t="s">
        <v>1427</v>
      </c>
      <c r="AH323" s="1234" t="s">
        <v>118</v>
      </c>
      <c r="AI323" s="1234" t="s">
        <v>112</v>
      </c>
      <c r="AJ323" s="1234" t="s">
        <v>113</v>
      </c>
      <c r="AK323" s="1188"/>
      <c r="AL323" s="1188"/>
      <c r="AM323" s="1188">
        <f>I323</f>
        <v>81150</v>
      </c>
      <c r="AN323" s="1188">
        <f>I323</f>
        <v>81150</v>
      </c>
      <c r="AO323" s="1188"/>
      <c r="AP323" s="1188"/>
      <c r="AQ323" s="1240"/>
      <c r="AR323" s="1188"/>
      <c r="AS323" s="1236"/>
      <c r="AT323" s="1236"/>
      <c r="AU323" s="1188">
        <f>I323</f>
        <v>81150</v>
      </c>
      <c r="AV323" s="1250">
        <f>I323*0.06</f>
        <v>4869</v>
      </c>
      <c r="AW323" s="1250"/>
      <c r="AX323" s="1188"/>
      <c r="AY323" s="1188"/>
      <c r="AZ323" s="1188"/>
      <c r="BA323" s="1188"/>
      <c r="BB323" s="1188"/>
      <c r="BC323" s="1188"/>
      <c r="BD323" s="1188"/>
      <c r="BE323" s="1188"/>
      <c r="BF323" s="1188"/>
      <c r="BG323" s="1188"/>
      <c r="BH323" s="1188"/>
      <c r="BI323" s="1188"/>
      <c r="BJ323" s="1188"/>
      <c r="BK323" s="1188"/>
      <c r="BL323" s="1188"/>
      <c r="BM323" s="1188"/>
      <c r="BN323" s="1188"/>
      <c r="BO323" s="1240"/>
      <c r="BP323" s="1240"/>
      <c r="BQ323" s="1188"/>
      <c r="BR323" s="1236"/>
      <c r="BS323" s="1236"/>
      <c r="BT323" s="1188"/>
      <c r="BU323" s="1188">
        <f>I323/25</f>
        <v>3246</v>
      </c>
      <c r="BV323" s="1240"/>
      <c r="BW323" s="1188"/>
      <c r="BX323" s="1188"/>
      <c r="BY323" s="1188"/>
      <c r="BZ323" s="1188"/>
      <c r="CA323" s="1188"/>
      <c r="CB323" s="1188"/>
      <c r="CC323" s="1188"/>
      <c r="CD323" s="1188">
        <f t="shared" si="107"/>
        <v>0</v>
      </c>
      <c r="CE323" s="1188">
        <f t="shared" si="94"/>
        <v>3246</v>
      </c>
      <c r="CF323" s="1188">
        <f t="shared" si="108"/>
        <v>0</v>
      </c>
      <c r="CG323" s="1188">
        <f t="shared" si="109"/>
        <v>0</v>
      </c>
      <c r="CH323" s="1236"/>
      <c r="CI323" s="1236"/>
      <c r="CJ323" s="1236"/>
      <c r="CK323" s="1188"/>
      <c r="CL323" s="1188"/>
    </row>
    <row r="324" s="1168" customFormat="1" customHeight="1" spans="1:90">
      <c r="A324" s="1245">
        <v>46199</v>
      </c>
      <c r="B324" s="1247"/>
      <c r="C324" s="1234" t="s">
        <v>597</v>
      </c>
      <c r="D324" s="1188" t="s">
        <v>1428</v>
      </c>
      <c r="E324" s="1234"/>
      <c r="F324" s="1188" t="s">
        <v>1429</v>
      </c>
      <c r="G324" s="1253" t="s">
        <v>91</v>
      </c>
      <c r="H324" s="1234" t="s">
        <v>600</v>
      </c>
      <c r="I324" s="1254" t="s">
        <v>1189</v>
      </c>
      <c r="J324" s="1234"/>
      <c r="K324" s="1234">
        <v>24</v>
      </c>
      <c r="L324" s="1246">
        <v>3</v>
      </c>
      <c r="M324" s="1255">
        <v>46205</v>
      </c>
      <c r="N324" s="1255">
        <v>46205</v>
      </c>
      <c r="O324" s="1255"/>
      <c r="P324" s="1233"/>
      <c r="Q324" s="1255"/>
      <c r="R324" s="1234"/>
      <c r="S324" s="1234"/>
      <c r="T324" s="1233"/>
      <c r="U324" s="1233" t="e">
        <f t="shared" si="95"/>
        <v>#VALUE!</v>
      </c>
      <c r="V324" s="1234"/>
      <c r="W324" s="1238" t="s">
        <v>94</v>
      </c>
      <c r="X324" s="1227" t="s">
        <v>95</v>
      </c>
      <c r="Y324" s="1227" t="s">
        <v>95</v>
      </c>
      <c r="Z324" s="1247"/>
      <c r="AA324" s="1247"/>
      <c r="AB324" s="1247"/>
      <c r="AC324" s="1247" t="s">
        <v>1430</v>
      </c>
      <c r="AD324" s="1248" t="s">
        <v>272</v>
      </c>
      <c r="AE324" s="1247"/>
      <c r="AF324" s="1248"/>
      <c r="AG324" s="1258"/>
      <c r="AH324" s="1234" t="s">
        <v>99</v>
      </c>
      <c r="AI324" s="1234" t="s">
        <v>99</v>
      </c>
      <c r="AJ324" s="1234"/>
      <c r="AK324" s="1188"/>
      <c r="AL324" s="1188"/>
      <c r="AM324" s="1188"/>
      <c r="AN324" s="1188"/>
      <c r="AO324" s="1188"/>
      <c r="AP324" s="1188"/>
      <c r="AQ324" s="1240"/>
      <c r="AR324" s="1188"/>
      <c r="AS324" s="1236"/>
      <c r="AT324" s="1236"/>
      <c r="AU324" s="1188"/>
      <c r="AV324" s="1250"/>
      <c r="AW324" s="1250"/>
      <c r="AX324" s="1188"/>
      <c r="AY324" s="1188"/>
      <c r="AZ324" s="1188"/>
      <c r="BA324" s="1188"/>
      <c r="BB324" s="1188"/>
      <c r="BC324" s="1188"/>
      <c r="BD324" s="1188"/>
      <c r="BE324" s="1188"/>
      <c r="BF324" s="1188"/>
      <c r="BG324" s="1188"/>
      <c r="BH324" s="1188"/>
      <c r="BI324" s="1188"/>
      <c r="BJ324" s="1188"/>
      <c r="BK324" s="1188"/>
      <c r="BL324" s="1188"/>
      <c r="BM324" s="1188"/>
      <c r="BN324" s="1188"/>
      <c r="BO324" s="1240"/>
      <c r="BP324" s="1240"/>
      <c r="BQ324" s="1188"/>
      <c r="BR324" s="1236"/>
      <c r="BS324" s="1236"/>
      <c r="BT324" s="1188"/>
      <c r="BU324" s="1188"/>
      <c r="BV324" s="1240"/>
      <c r="BW324" s="1188"/>
      <c r="BX324" s="1188"/>
      <c r="BY324" s="1188"/>
      <c r="BZ324" s="1188"/>
      <c r="CA324" s="1188"/>
      <c r="CB324" s="1188"/>
      <c r="CC324" s="1188"/>
      <c r="CD324" s="1188">
        <f t="shared" si="107"/>
        <v>0</v>
      </c>
      <c r="CE324" s="1188">
        <f t="shared" si="94"/>
        <v>0</v>
      </c>
      <c r="CF324" s="1188">
        <f t="shared" si="108"/>
        <v>0</v>
      </c>
      <c r="CG324" s="1188">
        <f t="shared" si="109"/>
        <v>0</v>
      </c>
      <c r="CH324" s="1236"/>
      <c r="CI324" s="1236"/>
      <c r="CJ324" s="1236"/>
      <c r="CK324" s="1188"/>
      <c r="CL324" s="1188"/>
    </row>
    <row r="325" s="1168" customFormat="1" customHeight="1" spans="1:90">
      <c r="A325" s="1245">
        <v>46112</v>
      </c>
      <c r="B325" s="1247" t="s">
        <v>538</v>
      </c>
      <c r="C325" s="1234" t="s">
        <v>135</v>
      </c>
      <c r="D325" s="1268">
        <v>4500199191</v>
      </c>
      <c r="E325" s="1234" t="s">
        <v>1431</v>
      </c>
      <c r="F325" s="1188" t="s">
        <v>1432</v>
      </c>
      <c r="G325" s="1253" t="s">
        <v>753</v>
      </c>
      <c r="H325" s="1234" t="s">
        <v>390</v>
      </c>
      <c r="I325" s="1254">
        <v>5520</v>
      </c>
      <c r="J325" s="1234">
        <v>0</v>
      </c>
      <c r="K325" s="1234">
        <v>12</v>
      </c>
      <c r="L325" s="1246">
        <f t="shared" ref="L325:L349" si="110">I325/K325</f>
        <v>460</v>
      </c>
      <c r="M325" s="1255">
        <v>46205</v>
      </c>
      <c r="N325" s="1255">
        <v>46223</v>
      </c>
      <c r="O325" s="1255" t="s">
        <v>736</v>
      </c>
      <c r="P325" s="1233"/>
      <c r="Q325" s="1255" t="s">
        <v>106</v>
      </c>
      <c r="R325" s="1234" t="s">
        <v>1433</v>
      </c>
      <c r="S325" s="1234"/>
      <c r="T325" s="1233">
        <v>5520</v>
      </c>
      <c r="U325" s="1233">
        <f t="shared" si="95"/>
        <v>0</v>
      </c>
      <c r="V325" s="1234"/>
      <c r="W325" s="1238" t="s">
        <v>747</v>
      </c>
      <c r="X325" s="1227" t="s">
        <v>107</v>
      </c>
      <c r="Y325" s="1227" t="s">
        <v>1434</v>
      </c>
      <c r="Z325" s="1247" t="s">
        <v>140</v>
      </c>
      <c r="AA325" s="1247"/>
      <c r="AB325" s="1247"/>
      <c r="AC325" s="1247" t="s">
        <v>1435</v>
      </c>
      <c r="AD325" s="1248" t="s">
        <v>545</v>
      </c>
      <c r="AE325" s="1247">
        <v>2.5224</v>
      </c>
      <c r="AF325" s="1248">
        <f t="shared" ref="AF325:AF334" si="111">I325*AE325</f>
        <v>13923.648</v>
      </c>
      <c r="AG325" s="1258"/>
      <c r="AH325" s="1234" t="s">
        <v>753</v>
      </c>
      <c r="AI325" s="1234" t="s">
        <v>112</v>
      </c>
      <c r="AJ325" s="1234" t="s">
        <v>113</v>
      </c>
      <c r="AK325" s="1188">
        <f>I325*2</f>
        <v>11040</v>
      </c>
      <c r="AL325" s="1188"/>
      <c r="AM325" s="1188"/>
      <c r="AN325" s="1188"/>
      <c r="AO325" s="1188"/>
      <c r="AP325" s="1188"/>
      <c r="AQ325" s="1240"/>
      <c r="AR325" s="1188">
        <f>I325*2</f>
        <v>11040</v>
      </c>
      <c r="AS325" s="1236"/>
      <c r="AT325" s="1236"/>
      <c r="AU325" s="1188"/>
      <c r="AV325" s="1250">
        <f>I325*0.06*2</f>
        <v>662.4</v>
      </c>
      <c r="AW325" s="1250">
        <f>I325*2</f>
        <v>11040</v>
      </c>
      <c r="AX325" s="1188"/>
      <c r="AY325" s="1188"/>
      <c r="AZ325" s="1188"/>
      <c r="BA325" s="1188"/>
      <c r="BB325" s="1188"/>
      <c r="BC325" s="1188"/>
      <c r="BD325" s="1188"/>
      <c r="BE325" s="1188"/>
      <c r="BF325" s="1188"/>
      <c r="BG325" s="1188"/>
      <c r="BH325" s="1188"/>
      <c r="BI325" s="1188"/>
      <c r="BJ325" s="1188"/>
      <c r="BK325" s="1188"/>
      <c r="BL325" s="1188"/>
      <c r="BM325" s="1188"/>
      <c r="BN325" s="1188"/>
      <c r="BO325" s="1240"/>
      <c r="BP325" s="1240"/>
      <c r="BQ325" s="1188"/>
      <c r="BR325" s="1236"/>
      <c r="BS325" s="1236"/>
      <c r="BT325" s="1188"/>
      <c r="BU325" s="1188"/>
      <c r="BV325" s="1240"/>
      <c r="BW325" s="1188"/>
      <c r="BX325" s="1188"/>
      <c r="BY325" s="1188"/>
      <c r="BZ325" s="1188"/>
      <c r="CA325" s="1188"/>
      <c r="CB325" s="1188"/>
      <c r="CC325" s="1188"/>
      <c r="CD325" s="1188">
        <f t="shared" si="107"/>
        <v>0</v>
      </c>
      <c r="CE325" s="1188">
        <f t="shared" si="94"/>
        <v>0</v>
      </c>
      <c r="CF325" s="1188">
        <f t="shared" si="108"/>
        <v>0</v>
      </c>
      <c r="CG325" s="1188">
        <f t="shared" si="109"/>
        <v>0</v>
      </c>
      <c r="CH325" s="1236"/>
      <c r="CI325" s="1236"/>
      <c r="CJ325" s="1236">
        <f>I325</f>
        <v>5520</v>
      </c>
      <c r="CK325" s="1188">
        <f>I325</f>
        <v>5520</v>
      </c>
      <c r="CL325" s="1188">
        <f>I325</f>
        <v>5520</v>
      </c>
    </row>
    <row r="326" s="1168" customFormat="1" customHeight="1" spans="1:90">
      <c r="A326" s="1245">
        <v>46112</v>
      </c>
      <c r="B326" s="1247" t="s">
        <v>538</v>
      </c>
      <c r="C326" s="1234" t="s">
        <v>135</v>
      </c>
      <c r="D326" s="1268">
        <v>4500199191</v>
      </c>
      <c r="E326" s="1234" t="s">
        <v>1436</v>
      </c>
      <c r="F326" s="1188" t="s">
        <v>1437</v>
      </c>
      <c r="G326" s="1253" t="s">
        <v>753</v>
      </c>
      <c r="H326" s="1234" t="s">
        <v>390</v>
      </c>
      <c r="I326" s="1254">
        <v>2064</v>
      </c>
      <c r="J326" s="1234">
        <v>0</v>
      </c>
      <c r="K326" s="1234">
        <v>12</v>
      </c>
      <c r="L326" s="1246">
        <f t="shared" si="110"/>
        <v>172</v>
      </c>
      <c r="M326" s="1255">
        <v>46205</v>
      </c>
      <c r="N326" s="1255">
        <v>46223</v>
      </c>
      <c r="O326" s="1255" t="s">
        <v>736</v>
      </c>
      <c r="P326" s="1233"/>
      <c r="Q326" s="1255" t="s">
        <v>106</v>
      </c>
      <c r="R326" s="1234" t="s">
        <v>1433</v>
      </c>
      <c r="S326" s="1234"/>
      <c r="T326" s="1233">
        <v>2064</v>
      </c>
      <c r="U326" s="1233">
        <f t="shared" si="95"/>
        <v>0</v>
      </c>
      <c r="V326" s="1234"/>
      <c r="W326" s="1238" t="s">
        <v>747</v>
      </c>
      <c r="X326" s="1227" t="s">
        <v>107</v>
      </c>
      <c r="Y326" s="1227" t="s">
        <v>1434</v>
      </c>
      <c r="Z326" s="1247" t="s">
        <v>140</v>
      </c>
      <c r="AA326" s="1247"/>
      <c r="AB326" s="1247"/>
      <c r="AC326" s="1247" t="s">
        <v>1435</v>
      </c>
      <c r="AD326" s="1248" t="s">
        <v>545</v>
      </c>
      <c r="AE326" s="1247">
        <v>2.5224</v>
      </c>
      <c r="AF326" s="1248">
        <f t="shared" si="111"/>
        <v>5206.2336</v>
      </c>
      <c r="AG326" s="1258"/>
      <c r="AH326" s="1234" t="s">
        <v>753</v>
      </c>
      <c r="AI326" s="1234" t="s">
        <v>112</v>
      </c>
      <c r="AJ326" s="1234" t="s">
        <v>113</v>
      </c>
      <c r="AK326" s="1188">
        <f>I326*2</f>
        <v>4128</v>
      </c>
      <c r="AL326" s="1188"/>
      <c r="AM326" s="1188"/>
      <c r="AN326" s="1188"/>
      <c r="AO326" s="1188"/>
      <c r="AP326" s="1188"/>
      <c r="AQ326" s="1240"/>
      <c r="AR326" s="1188">
        <f>I326*2</f>
        <v>4128</v>
      </c>
      <c r="AS326" s="1236"/>
      <c r="AT326" s="1236"/>
      <c r="AU326" s="1188"/>
      <c r="AV326" s="1250">
        <f>I326*0.06*2</f>
        <v>247.68</v>
      </c>
      <c r="AW326" s="1250">
        <f>I326*2</f>
        <v>4128</v>
      </c>
      <c r="AX326" s="1188"/>
      <c r="AY326" s="1188"/>
      <c r="AZ326" s="1188"/>
      <c r="BA326" s="1188"/>
      <c r="BB326" s="1188"/>
      <c r="BC326" s="1188"/>
      <c r="BD326" s="1188"/>
      <c r="BE326" s="1188"/>
      <c r="BF326" s="1188"/>
      <c r="BG326" s="1188"/>
      <c r="BH326" s="1188"/>
      <c r="BI326" s="1188"/>
      <c r="BJ326" s="1188"/>
      <c r="BK326" s="1188"/>
      <c r="BL326" s="1188"/>
      <c r="BM326" s="1188"/>
      <c r="BN326" s="1188"/>
      <c r="BO326" s="1240"/>
      <c r="BP326" s="1240"/>
      <c r="BQ326" s="1188"/>
      <c r="BR326" s="1236"/>
      <c r="BS326" s="1236"/>
      <c r="BT326" s="1188"/>
      <c r="BU326" s="1188"/>
      <c r="BV326" s="1240"/>
      <c r="BW326" s="1188"/>
      <c r="BX326" s="1188"/>
      <c r="BY326" s="1188"/>
      <c r="BZ326" s="1188"/>
      <c r="CA326" s="1188"/>
      <c r="CB326" s="1188"/>
      <c r="CC326" s="1188"/>
      <c r="CD326" s="1188">
        <f t="shared" si="107"/>
        <v>0</v>
      </c>
      <c r="CE326" s="1188">
        <f t="shared" si="94"/>
        <v>0</v>
      </c>
      <c r="CF326" s="1188">
        <f t="shared" si="108"/>
        <v>0</v>
      </c>
      <c r="CG326" s="1188">
        <f t="shared" si="109"/>
        <v>0</v>
      </c>
      <c r="CH326" s="1236"/>
      <c r="CI326" s="1236"/>
      <c r="CJ326" s="1236">
        <f>I326</f>
        <v>2064</v>
      </c>
      <c r="CK326" s="1188">
        <f>I326</f>
        <v>2064</v>
      </c>
      <c r="CL326" s="1188">
        <f>I326</f>
        <v>2064</v>
      </c>
    </row>
    <row r="327" s="1168" customFormat="1" customHeight="1" spans="1:90">
      <c r="A327" s="1245">
        <v>46136</v>
      </c>
      <c r="B327" s="1247" t="s">
        <v>1438</v>
      </c>
      <c r="C327" s="1234" t="s">
        <v>1439</v>
      </c>
      <c r="D327" s="1188">
        <v>4500203810</v>
      </c>
      <c r="E327" s="1234" t="s">
        <v>1440</v>
      </c>
      <c r="F327" s="1188" t="s">
        <v>1441</v>
      </c>
      <c r="G327" s="1253" t="s">
        <v>91</v>
      </c>
      <c r="H327" s="1234" t="s">
        <v>600</v>
      </c>
      <c r="I327" s="1254">
        <v>984</v>
      </c>
      <c r="J327" s="1234">
        <v>0</v>
      </c>
      <c r="K327" s="1234">
        <v>24</v>
      </c>
      <c r="L327" s="1246">
        <f t="shared" si="110"/>
        <v>41</v>
      </c>
      <c r="M327" s="1255">
        <v>46205</v>
      </c>
      <c r="N327" s="1255">
        <v>46220</v>
      </c>
      <c r="O327" s="1255" t="s">
        <v>736</v>
      </c>
      <c r="P327" s="1233"/>
      <c r="Q327" s="1255" t="s">
        <v>106</v>
      </c>
      <c r="R327" s="1234" t="s">
        <v>1442</v>
      </c>
      <c r="S327" s="1234"/>
      <c r="T327" s="1233">
        <v>984</v>
      </c>
      <c r="U327" s="1233">
        <f t="shared" si="95"/>
        <v>0</v>
      </c>
      <c r="V327" s="1234" t="s">
        <v>120</v>
      </c>
      <c r="W327" s="1238" t="s">
        <v>1443</v>
      </c>
      <c r="X327" s="1227" t="s">
        <v>107</v>
      </c>
      <c r="Y327" s="1227" t="s">
        <v>1444</v>
      </c>
      <c r="Z327" s="1247"/>
      <c r="AA327" s="1247"/>
      <c r="AB327" s="1247"/>
      <c r="AC327" s="1247" t="s">
        <v>1445</v>
      </c>
      <c r="AD327" s="1248" t="s">
        <v>1446</v>
      </c>
      <c r="AE327" s="1247">
        <v>1.0126</v>
      </c>
      <c r="AF327" s="1248">
        <f t="shared" si="111"/>
        <v>996.3984</v>
      </c>
      <c r="AG327" s="1258"/>
      <c r="AH327" s="1234" t="s">
        <v>903</v>
      </c>
      <c r="AI327" s="1234" t="s">
        <v>112</v>
      </c>
      <c r="AJ327" s="1234" t="s">
        <v>113</v>
      </c>
      <c r="AK327" s="1188">
        <f>I327</f>
        <v>984</v>
      </c>
      <c r="AL327" s="1188"/>
      <c r="AM327" s="1188"/>
      <c r="AN327" s="1188"/>
      <c r="AO327" s="1188"/>
      <c r="AP327" s="1188">
        <f>I327</f>
        <v>984</v>
      </c>
      <c r="AQ327" s="1240"/>
      <c r="AR327" s="1188"/>
      <c r="AS327" s="1236"/>
      <c r="AT327" s="1236"/>
      <c r="AU327" s="1188">
        <f>I327</f>
        <v>984</v>
      </c>
      <c r="AV327" s="1250">
        <f>I327*0.06</f>
        <v>59.04</v>
      </c>
      <c r="AW327" s="1250"/>
      <c r="AX327" s="1188"/>
      <c r="AY327" s="1188"/>
      <c r="AZ327" s="1188"/>
      <c r="BA327" s="1188"/>
      <c r="BB327" s="1188"/>
      <c r="BC327" s="1188"/>
      <c r="BD327" s="1188"/>
      <c r="BE327" s="1188"/>
      <c r="BF327" s="1188"/>
      <c r="BG327" s="1188"/>
      <c r="BH327" s="1188"/>
      <c r="BI327" s="1188"/>
      <c r="BJ327" s="1188"/>
      <c r="BK327" s="1188"/>
      <c r="BL327" s="1188"/>
      <c r="BM327" s="1188"/>
      <c r="BN327" s="1188"/>
      <c r="BO327" s="1240"/>
      <c r="BP327" s="1240"/>
      <c r="BQ327" s="1188"/>
      <c r="BR327" s="1236"/>
      <c r="BS327" s="1236"/>
      <c r="BT327" s="1188"/>
      <c r="BU327" s="1188"/>
      <c r="BV327" s="1240"/>
      <c r="BW327" s="1188"/>
      <c r="BX327" s="1188"/>
      <c r="BY327" s="1188"/>
      <c r="BZ327" s="1188"/>
      <c r="CA327" s="1188"/>
      <c r="CB327" s="1188"/>
      <c r="CC327" s="1188"/>
      <c r="CD327" s="1188">
        <f t="shared" si="107"/>
        <v>0</v>
      </c>
      <c r="CE327" s="1188">
        <f t="shared" si="94"/>
        <v>0</v>
      </c>
      <c r="CF327" s="1188">
        <f t="shared" si="108"/>
        <v>0</v>
      </c>
      <c r="CG327" s="1188">
        <f t="shared" si="109"/>
        <v>0</v>
      </c>
      <c r="CH327" s="1236"/>
      <c r="CI327" s="1236"/>
      <c r="CJ327" s="1236"/>
      <c r="CK327" s="1188"/>
      <c r="CL327" s="1188"/>
    </row>
    <row r="328" s="1168" customFormat="1" customHeight="1" spans="1:90">
      <c r="A328" s="1245">
        <v>46136</v>
      </c>
      <c r="B328" s="1247" t="s">
        <v>1438</v>
      </c>
      <c r="C328" s="1234" t="s">
        <v>1439</v>
      </c>
      <c r="D328" s="1268">
        <v>4500203934</v>
      </c>
      <c r="E328" s="1234" t="s">
        <v>1447</v>
      </c>
      <c r="F328" s="1188" t="s">
        <v>1448</v>
      </c>
      <c r="G328" s="1253" t="s">
        <v>91</v>
      </c>
      <c r="H328" s="1234" t="s">
        <v>600</v>
      </c>
      <c r="I328" s="1254">
        <v>696</v>
      </c>
      <c r="J328" s="1234">
        <v>0</v>
      </c>
      <c r="K328" s="1234">
        <v>24</v>
      </c>
      <c r="L328" s="1246">
        <f t="shared" si="110"/>
        <v>29</v>
      </c>
      <c r="M328" s="1255">
        <v>46205</v>
      </c>
      <c r="N328" s="1255">
        <v>46220</v>
      </c>
      <c r="O328" s="1255" t="s">
        <v>736</v>
      </c>
      <c r="P328" s="1233"/>
      <c r="Q328" s="1255" t="s">
        <v>106</v>
      </c>
      <c r="R328" s="1234" t="s">
        <v>1442</v>
      </c>
      <c r="S328" s="1234"/>
      <c r="T328" s="1233">
        <v>696</v>
      </c>
      <c r="U328" s="1233">
        <f t="shared" si="95"/>
        <v>0</v>
      </c>
      <c r="V328" s="1234" t="s">
        <v>120</v>
      </c>
      <c r="W328" s="1238" t="s">
        <v>1443</v>
      </c>
      <c r="X328" s="1227" t="s">
        <v>107</v>
      </c>
      <c r="Y328" s="1227" t="s">
        <v>1444</v>
      </c>
      <c r="Z328" s="1247"/>
      <c r="AA328" s="1247"/>
      <c r="AB328" s="1247"/>
      <c r="AC328" s="1247" t="s">
        <v>1449</v>
      </c>
      <c r="AD328" s="1248" t="s">
        <v>1446</v>
      </c>
      <c r="AE328" s="1247">
        <v>1.0126</v>
      </c>
      <c r="AF328" s="1248">
        <f t="shared" si="111"/>
        <v>704.7696</v>
      </c>
      <c r="AG328" s="1258"/>
      <c r="AH328" s="1234" t="s">
        <v>903</v>
      </c>
      <c r="AI328" s="1234" t="s">
        <v>112</v>
      </c>
      <c r="AJ328" s="1234" t="s">
        <v>113</v>
      </c>
      <c r="AK328" s="1188">
        <f>I328</f>
        <v>696</v>
      </c>
      <c r="AL328" s="1188"/>
      <c r="AM328" s="1188"/>
      <c r="AN328" s="1188"/>
      <c r="AO328" s="1188"/>
      <c r="AP328" s="1188">
        <f>I328</f>
        <v>696</v>
      </c>
      <c r="AQ328" s="1240"/>
      <c r="AR328" s="1188"/>
      <c r="AS328" s="1236"/>
      <c r="AT328" s="1236"/>
      <c r="AU328" s="1188">
        <f>I328</f>
        <v>696</v>
      </c>
      <c r="AV328" s="1250">
        <f>I328*0.06</f>
        <v>41.76</v>
      </c>
      <c r="AW328" s="1250"/>
      <c r="AX328" s="1188"/>
      <c r="AY328" s="1188"/>
      <c r="AZ328" s="1188"/>
      <c r="BA328" s="1188"/>
      <c r="BB328" s="1188"/>
      <c r="BC328" s="1188"/>
      <c r="BD328" s="1188"/>
      <c r="BE328" s="1188"/>
      <c r="BF328" s="1188"/>
      <c r="BG328" s="1188"/>
      <c r="BH328" s="1188"/>
      <c r="BI328" s="1188"/>
      <c r="BJ328" s="1188"/>
      <c r="BK328" s="1188"/>
      <c r="BL328" s="1188"/>
      <c r="BM328" s="1188"/>
      <c r="BN328" s="1188"/>
      <c r="BO328" s="1240"/>
      <c r="BP328" s="1240"/>
      <c r="BQ328" s="1188"/>
      <c r="BR328" s="1236"/>
      <c r="BS328" s="1236"/>
      <c r="BT328" s="1188"/>
      <c r="BU328" s="1188"/>
      <c r="BV328" s="1240"/>
      <c r="BW328" s="1188"/>
      <c r="BX328" s="1188"/>
      <c r="BY328" s="1188"/>
      <c r="BZ328" s="1188"/>
      <c r="CA328" s="1188"/>
      <c r="CB328" s="1188"/>
      <c r="CC328" s="1188"/>
      <c r="CD328" s="1188">
        <f t="shared" si="107"/>
        <v>0</v>
      </c>
      <c r="CE328" s="1188">
        <f t="shared" si="94"/>
        <v>0</v>
      </c>
      <c r="CF328" s="1188">
        <f t="shared" si="108"/>
        <v>0</v>
      </c>
      <c r="CG328" s="1188">
        <f t="shared" si="109"/>
        <v>0</v>
      </c>
      <c r="CH328" s="1236"/>
      <c r="CI328" s="1236"/>
      <c r="CJ328" s="1236"/>
      <c r="CK328" s="1188"/>
      <c r="CL328" s="1188"/>
    </row>
    <row r="329" s="1168" customFormat="1" customHeight="1" spans="1:90">
      <c r="A329" s="1245">
        <v>46136</v>
      </c>
      <c r="B329" s="1247" t="s">
        <v>935</v>
      </c>
      <c r="C329" s="1234" t="s">
        <v>115</v>
      </c>
      <c r="D329" s="1268">
        <v>4500203961</v>
      </c>
      <c r="E329" s="1233">
        <v>1790512271</v>
      </c>
      <c r="F329" s="1188" t="s">
        <v>1450</v>
      </c>
      <c r="G329" s="1253" t="s">
        <v>482</v>
      </c>
      <c r="H329" s="1234" t="s">
        <v>483</v>
      </c>
      <c r="I329" s="1254">
        <v>4320</v>
      </c>
      <c r="J329" s="1234">
        <v>0</v>
      </c>
      <c r="K329" s="1234">
        <v>120</v>
      </c>
      <c r="L329" s="1246">
        <f t="shared" si="110"/>
        <v>36</v>
      </c>
      <c r="M329" s="1255">
        <v>46205</v>
      </c>
      <c r="N329" s="1255">
        <v>46223</v>
      </c>
      <c r="O329" s="1255" t="s">
        <v>736</v>
      </c>
      <c r="P329" s="1233"/>
      <c r="Q329" s="1255" t="s">
        <v>106</v>
      </c>
      <c r="R329" s="1234" t="s">
        <v>1301</v>
      </c>
      <c r="S329" s="1234"/>
      <c r="T329" s="1233">
        <v>4320</v>
      </c>
      <c r="U329" s="1233">
        <f t="shared" si="95"/>
        <v>0</v>
      </c>
      <c r="V329" s="1234"/>
      <c r="W329" s="1238">
        <v>46155</v>
      </c>
      <c r="X329" s="1227" t="s">
        <v>107</v>
      </c>
      <c r="Y329" s="1227" t="s">
        <v>95</v>
      </c>
      <c r="Z329" s="1247"/>
      <c r="AA329" s="1247"/>
      <c r="AB329" s="1247"/>
      <c r="AC329" s="1247" t="s">
        <v>937</v>
      </c>
      <c r="AD329" s="1248" t="s">
        <v>488</v>
      </c>
      <c r="AE329" s="1247">
        <v>642</v>
      </c>
      <c r="AF329" s="1248">
        <f t="shared" si="111"/>
        <v>2773440</v>
      </c>
      <c r="AG329" s="1249" t="s">
        <v>1451</v>
      </c>
      <c r="AH329" s="1234" t="s">
        <v>490</v>
      </c>
      <c r="AI329" s="1234" t="s">
        <v>112</v>
      </c>
      <c r="AJ329" s="1234" t="s">
        <v>113</v>
      </c>
      <c r="AK329" s="1188"/>
      <c r="AL329" s="1188">
        <f>I329*3</f>
        <v>12960</v>
      </c>
      <c r="AM329" s="1188"/>
      <c r="AN329" s="1188"/>
      <c r="AO329" s="1188"/>
      <c r="AP329" s="1188"/>
      <c r="AQ329" s="1240"/>
      <c r="AR329" s="1188"/>
      <c r="AS329" s="1236"/>
      <c r="AT329" s="1236"/>
      <c r="AU329" s="1188"/>
      <c r="AV329" s="1250">
        <f>I329*0.06*2</f>
        <v>518.4</v>
      </c>
      <c r="AW329" s="1250"/>
      <c r="AX329" s="1188"/>
      <c r="AY329" s="1188"/>
      <c r="AZ329" s="1188"/>
      <c r="BA329" s="1188"/>
      <c r="BB329" s="1188">
        <f>I329*3</f>
        <v>12960</v>
      </c>
      <c r="BC329" s="1188">
        <f>I329*3</f>
        <v>12960</v>
      </c>
      <c r="BD329" s="1188">
        <f>I329*3</f>
        <v>12960</v>
      </c>
      <c r="BE329" s="1188">
        <f>I329</f>
        <v>4320</v>
      </c>
      <c r="BF329" s="1188">
        <f>I329/6</f>
        <v>720</v>
      </c>
      <c r="BG329" s="1188"/>
      <c r="BH329" s="1188"/>
      <c r="BI329" s="1188"/>
      <c r="BJ329" s="1188"/>
      <c r="BK329" s="1188"/>
      <c r="BL329" s="1188"/>
      <c r="BM329" s="1188"/>
      <c r="BN329" s="1188"/>
      <c r="BO329" s="1240"/>
      <c r="BP329" s="1240"/>
      <c r="BQ329" s="1188"/>
      <c r="BR329" s="1236"/>
      <c r="BS329" s="1236"/>
      <c r="BT329" s="1188"/>
      <c r="BU329" s="1188"/>
      <c r="BV329" s="1240"/>
      <c r="BW329" s="1188"/>
      <c r="BX329" s="1188"/>
      <c r="BY329" s="1188"/>
      <c r="BZ329" s="1188"/>
      <c r="CA329" s="1188"/>
      <c r="CB329" s="1188"/>
      <c r="CC329" s="1188"/>
      <c r="CD329" s="1188">
        <f t="shared" si="107"/>
        <v>0</v>
      </c>
      <c r="CE329" s="1188">
        <f t="shared" si="94"/>
        <v>0</v>
      </c>
      <c r="CF329" s="1188">
        <f t="shared" si="108"/>
        <v>0</v>
      </c>
      <c r="CG329" s="1188">
        <f t="shared" si="109"/>
        <v>0</v>
      </c>
      <c r="CH329" s="1236"/>
      <c r="CI329" s="1236"/>
      <c r="CJ329" s="1236"/>
      <c r="CK329" s="1188"/>
      <c r="CL329" s="1188"/>
    </row>
    <row r="330" s="1168" customFormat="1" customHeight="1" spans="1:90">
      <c r="A330" s="1245">
        <v>46136</v>
      </c>
      <c r="B330" s="1247" t="s">
        <v>935</v>
      </c>
      <c r="C330" s="1234" t="s">
        <v>115</v>
      </c>
      <c r="D330" s="1268">
        <v>4500203962</v>
      </c>
      <c r="E330" s="1233">
        <v>2670512372</v>
      </c>
      <c r="F330" s="1188" t="s">
        <v>1452</v>
      </c>
      <c r="G330" s="1253" t="s">
        <v>482</v>
      </c>
      <c r="H330" s="1234" t="s">
        <v>483</v>
      </c>
      <c r="I330" s="1254">
        <v>4320</v>
      </c>
      <c r="J330" s="1234">
        <v>0</v>
      </c>
      <c r="K330" s="1234">
        <v>120</v>
      </c>
      <c r="L330" s="1246">
        <f t="shared" si="110"/>
        <v>36</v>
      </c>
      <c r="M330" s="1255">
        <v>46205</v>
      </c>
      <c r="N330" s="1255">
        <v>46223</v>
      </c>
      <c r="O330" s="1255" t="s">
        <v>736</v>
      </c>
      <c r="P330" s="1233"/>
      <c r="Q330" s="1255" t="s">
        <v>106</v>
      </c>
      <c r="R330" s="1234" t="s">
        <v>1301</v>
      </c>
      <c r="S330" s="1234"/>
      <c r="T330" s="1233">
        <v>4320</v>
      </c>
      <c r="U330" s="1233">
        <f t="shared" si="95"/>
        <v>0</v>
      </c>
      <c r="V330" s="1234"/>
      <c r="W330" s="1238">
        <v>46155</v>
      </c>
      <c r="X330" s="1227" t="s">
        <v>107</v>
      </c>
      <c r="Y330" s="1227" t="s">
        <v>95</v>
      </c>
      <c r="Z330" s="1247"/>
      <c r="AA330" s="1247"/>
      <c r="AB330" s="1247"/>
      <c r="AC330" s="1247" t="s">
        <v>937</v>
      </c>
      <c r="AD330" s="1248" t="s">
        <v>488</v>
      </c>
      <c r="AE330" s="1247">
        <v>642</v>
      </c>
      <c r="AF330" s="1248">
        <f t="shared" si="111"/>
        <v>2773440</v>
      </c>
      <c r="AG330" s="1249" t="s">
        <v>1453</v>
      </c>
      <c r="AH330" s="1234" t="s">
        <v>490</v>
      </c>
      <c r="AI330" s="1234" t="s">
        <v>112</v>
      </c>
      <c r="AJ330" s="1234" t="s">
        <v>113</v>
      </c>
      <c r="AK330" s="1188"/>
      <c r="AL330" s="1188">
        <f>I330*3</f>
        <v>12960</v>
      </c>
      <c r="AM330" s="1188"/>
      <c r="AN330" s="1188"/>
      <c r="AO330" s="1188"/>
      <c r="AP330" s="1188"/>
      <c r="AQ330" s="1240"/>
      <c r="AR330" s="1188"/>
      <c r="AS330" s="1236"/>
      <c r="AT330" s="1236"/>
      <c r="AU330" s="1188"/>
      <c r="AV330" s="1250">
        <f>I330*0.06*2</f>
        <v>518.4</v>
      </c>
      <c r="AW330" s="1250"/>
      <c r="AX330" s="1188"/>
      <c r="AY330" s="1188"/>
      <c r="AZ330" s="1188"/>
      <c r="BA330" s="1188"/>
      <c r="BB330" s="1188">
        <f>I330*3</f>
        <v>12960</v>
      </c>
      <c r="BC330" s="1188">
        <f>I330*3</f>
        <v>12960</v>
      </c>
      <c r="BD330" s="1188">
        <f>I330*3</f>
        <v>12960</v>
      </c>
      <c r="BE330" s="1188">
        <f>I330</f>
        <v>4320</v>
      </c>
      <c r="BF330" s="1188">
        <f>I330/6</f>
        <v>720</v>
      </c>
      <c r="BG330" s="1188"/>
      <c r="BH330" s="1188"/>
      <c r="BI330" s="1188"/>
      <c r="BJ330" s="1188"/>
      <c r="BK330" s="1188"/>
      <c r="BL330" s="1188"/>
      <c r="BM330" s="1188"/>
      <c r="BN330" s="1188"/>
      <c r="BO330" s="1240"/>
      <c r="BP330" s="1240"/>
      <c r="BQ330" s="1188"/>
      <c r="BR330" s="1236"/>
      <c r="BS330" s="1236"/>
      <c r="BT330" s="1188"/>
      <c r="BU330" s="1188"/>
      <c r="BV330" s="1240"/>
      <c r="BW330" s="1188"/>
      <c r="BX330" s="1188"/>
      <c r="BY330" s="1188"/>
      <c r="BZ330" s="1188"/>
      <c r="CA330" s="1188"/>
      <c r="CB330" s="1188"/>
      <c r="CC330" s="1188"/>
      <c r="CD330" s="1188">
        <f t="shared" si="107"/>
        <v>0</v>
      </c>
      <c r="CE330" s="1188">
        <f t="shared" si="94"/>
        <v>0</v>
      </c>
      <c r="CF330" s="1188">
        <f t="shared" si="108"/>
        <v>0</v>
      </c>
      <c r="CG330" s="1188">
        <f t="shared" si="109"/>
        <v>0</v>
      </c>
      <c r="CH330" s="1236"/>
      <c r="CI330" s="1236"/>
      <c r="CJ330" s="1236"/>
      <c r="CK330" s="1188"/>
      <c r="CL330" s="1188"/>
    </row>
    <row r="331" s="1168" customFormat="1" customHeight="1" spans="1:90">
      <c r="A331" s="1245">
        <v>46136</v>
      </c>
      <c r="B331" s="1247" t="s">
        <v>1438</v>
      </c>
      <c r="C331" s="1234" t="s">
        <v>1439</v>
      </c>
      <c r="D331" s="1268">
        <v>4500203860</v>
      </c>
      <c r="E331" s="1234" t="s">
        <v>1454</v>
      </c>
      <c r="F331" s="1188" t="s">
        <v>1455</v>
      </c>
      <c r="G331" s="1253" t="s">
        <v>91</v>
      </c>
      <c r="H331" s="1234" t="s">
        <v>600</v>
      </c>
      <c r="I331" s="1254">
        <v>576</v>
      </c>
      <c r="J331" s="1234">
        <v>0</v>
      </c>
      <c r="K331" s="1234">
        <v>24</v>
      </c>
      <c r="L331" s="1246">
        <f t="shared" si="110"/>
        <v>24</v>
      </c>
      <c r="M331" s="1255">
        <v>46205</v>
      </c>
      <c r="N331" s="1255">
        <v>46220</v>
      </c>
      <c r="O331" s="1255" t="s">
        <v>736</v>
      </c>
      <c r="P331" s="1233"/>
      <c r="Q331" s="1255" t="s">
        <v>106</v>
      </c>
      <c r="R331" s="1234"/>
      <c r="S331" s="1234"/>
      <c r="T331" s="1233">
        <v>576</v>
      </c>
      <c r="U331" s="1233">
        <f t="shared" si="95"/>
        <v>0</v>
      </c>
      <c r="V331" s="1234"/>
      <c r="W331" s="1238" t="s">
        <v>1443</v>
      </c>
      <c r="X331" s="1227" t="s">
        <v>107</v>
      </c>
      <c r="Y331" s="1227" t="s">
        <v>1444</v>
      </c>
      <c r="Z331" s="1247"/>
      <c r="AA331" s="1247"/>
      <c r="AB331" s="1247"/>
      <c r="AC331" s="1247" t="s">
        <v>1456</v>
      </c>
      <c r="AD331" s="1248" t="s">
        <v>1446</v>
      </c>
      <c r="AE331" s="1247">
        <v>1.0126</v>
      </c>
      <c r="AF331" s="1248">
        <f t="shared" si="111"/>
        <v>583.2576</v>
      </c>
      <c r="AG331" s="1258"/>
      <c r="AH331" s="1234" t="s">
        <v>903</v>
      </c>
      <c r="AI331" s="1234" t="s">
        <v>112</v>
      </c>
      <c r="AJ331" s="1234" t="s">
        <v>113</v>
      </c>
      <c r="AK331" s="1188">
        <f>I331</f>
        <v>576</v>
      </c>
      <c r="AL331" s="1188"/>
      <c r="AM331" s="1188"/>
      <c r="AN331" s="1188"/>
      <c r="AO331" s="1188"/>
      <c r="AP331" s="1188">
        <f>I331</f>
        <v>576</v>
      </c>
      <c r="AQ331" s="1240"/>
      <c r="AR331" s="1188"/>
      <c r="AS331" s="1236"/>
      <c r="AT331" s="1236"/>
      <c r="AU331" s="1188">
        <f t="shared" ref="AU331:AU337" si="112">I331</f>
        <v>576</v>
      </c>
      <c r="AV331" s="1250">
        <f>I331*0.06</f>
        <v>34.56</v>
      </c>
      <c r="AW331" s="1250"/>
      <c r="AX331" s="1188"/>
      <c r="AY331" s="1188"/>
      <c r="AZ331" s="1188"/>
      <c r="BA331" s="1188"/>
      <c r="BB331" s="1188"/>
      <c r="BC331" s="1188"/>
      <c r="BD331" s="1188"/>
      <c r="BE331" s="1188"/>
      <c r="BF331" s="1188"/>
      <c r="BG331" s="1188"/>
      <c r="BH331" s="1188"/>
      <c r="BI331" s="1188"/>
      <c r="BJ331" s="1188"/>
      <c r="BK331" s="1188"/>
      <c r="BL331" s="1188"/>
      <c r="BM331" s="1188"/>
      <c r="BN331" s="1188"/>
      <c r="BO331" s="1240"/>
      <c r="BP331" s="1240"/>
      <c r="BQ331" s="1188"/>
      <c r="BR331" s="1236"/>
      <c r="BS331" s="1236"/>
      <c r="BT331" s="1188"/>
      <c r="BU331" s="1188"/>
      <c r="BV331" s="1240"/>
      <c r="BW331" s="1188"/>
      <c r="BX331" s="1188"/>
      <c r="BY331" s="1188"/>
      <c r="BZ331" s="1188"/>
      <c r="CA331" s="1188"/>
      <c r="CB331" s="1188"/>
      <c r="CC331" s="1188"/>
      <c r="CD331" s="1188">
        <f t="shared" si="107"/>
        <v>0</v>
      </c>
      <c r="CE331" s="1188">
        <f t="shared" si="94"/>
        <v>0</v>
      </c>
      <c r="CF331" s="1188">
        <f t="shared" si="108"/>
        <v>0</v>
      </c>
      <c r="CG331" s="1188">
        <f t="shared" si="109"/>
        <v>0</v>
      </c>
      <c r="CH331" s="1236"/>
      <c r="CI331" s="1236"/>
      <c r="CJ331" s="1236"/>
      <c r="CK331" s="1188"/>
      <c r="CL331" s="1188"/>
    </row>
    <row r="332" s="1168" customFormat="1" customHeight="1" spans="1:90">
      <c r="A332" s="1245">
        <v>46136</v>
      </c>
      <c r="B332" s="1247" t="s">
        <v>1438</v>
      </c>
      <c r="C332" s="1234" t="s">
        <v>1439</v>
      </c>
      <c r="D332" s="1268">
        <v>4500203898</v>
      </c>
      <c r="E332" s="1234" t="s">
        <v>1457</v>
      </c>
      <c r="F332" s="1188" t="s">
        <v>1458</v>
      </c>
      <c r="G332" s="1253" t="s">
        <v>91</v>
      </c>
      <c r="H332" s="1234" t="s">
        <v>600</v>
      </c>
      <c r="I332" s="1254">
        <v>1128</v>
      </c>
      <c r="J332" s="1234">
        <v>0</v>
      </c>
      <c r="K332" s="1234">
        <v>24</v>
      </c>
      <c r="L332" s="1246">
        <f t="shared" si="110"/>
        <v>47</v>
      </c>
      <c r="M332" s="1255">
        <v>46205</v>
      </c>
      <c r="N332" s="1255">
        <v>46220</v>
      </c>
      <c r="O332" s="1255" t="s">
        <v>736</v>
      </c>
      <c r="P332" s="1233"/>
      <c r="Q332" s="1255" t="s">
        <v>106</v>
      </c>
      <c r="R332" s="1234"/>
      <c r="S332" s="1234"/>
      <c r="T332" s="1233">
        <v>1128</v>
      </c>
      <c r="U332" s="1233">
        <f t="shared" si="95"/>
        <v>0</v>
      </c>
      <c r="V332" s="1234"/>
      <c r="W332" s="1238" t="s">
        <v>1443</v>
      </c>
      <c r="X332" s="1227" t="s">
        <v>107</v>
      </c>
      <c r="Y332" s="1227" t="s">
        <v>1444</v>
      </c>
      <c r="Z332" s="1247"/>
      <c r="AA332" s="1247"/>
      <c r="AB332" s="1247"/>
      <c r="AC332" s="1247" t="s">
        <v>1459</v>
      </c>
      <c r="AD332" s="1248" t="s">
        <v>1446</v>
      </c>
      <c r="AE332" s="1247">
        <v>1.0073</v>
      </c>
      <c r="AF332" s="1248">
        <f t="shared" si="111"/>
        <v>1136.2344</v>
      </c>
      <c r="AG332" s="1258"/>
      <c r="AH332" s="1234" t="s">
        <v>903</v>
      </c>
      <c r="AI332" s="1234" t="s">
        <v>112</v>
      </c>
      <c r="AJ332" s="1234" t="s">
        <v>113</v>
      </c>
      <c r="AK332" s="1188">
        <f>I332</f>
        <v>1128</v>
      </c>
      <c r="AL332" s="1188"/>
      <c r="AM332" s="1188"/>
      <c r="AN332" s="1188"/>
      <c r="AO332" s="1188"/>
      <c r="AP332" s="1188">
        <f>I332</f>
        <v>1128</v>
      </c>
      <c r="AQ332" s="1240"/>
      <c r="AR332" s="1188"/>
      <c r="AS332" s="1236"/>
      <c r="AT332" s="1236"/>
      <c r="AU332" s="1188">
        <f t="shared" si="112"/>
        <v>1128</v>
      </c>
      <c r="AV332" s="1250">
        <f>I332*0.06</f>
        <v>67.68</v>
      </c>
      <c r="AW332" s="1250"/>
      <c r="AX332" s="1188"/>
      <c r="AY332" s="1188"/>
      <c r="AZ332" s="1188"/>
      <c r="BA332" s="1188"/>
      <c r="BB332" s="1188"/>
      <c r="BC332" s="1188"/>
      <c r="BD332" s="1188"/>
      <c r="BE332" s="1188"/>
      <c r="BF332" s="1188"/>
      <c r="BG332" s="1188"/>
      <c r="BH332" s="1188"/>
      <c r="BI332" s="1188"/>
      <c r="BJ332" s="1188"/>
      <c r="BK332" s="1188"/>
      <c r="BL332" s="1188"/>
      <c r="BM332" s="1188"/>
      <c r="BN332" s="1188"/>
      <c r="BO332" s="1240"/>
      <c r="BP332" s="1240"/>
      <c r="BQ332" s="1188"/>
      <c r="BR332" s="1236"/>
      <c r="BS332" s="1236"/>
      <c r="BT332" s="1188"/>
      <c r="BU332" s="1188"/>
      <c r="BV332" s="1240"/>
      <c r="BW332" s="1188"/>
      <c r="BX332" s="1188"/>
      <c r="BY332" s="1188"/>
      <c r="BZ332" s="1188"/>
      <c r="CA332" s="1188"/>
      <c r="CB332" s="1188"/>
      <c r="CC332" s="1188"/>
      <c r="CD332" s="1188">
        <f t="shared" si="107"/>
        <v>0</v>
      </c>
      <c r="CE332" s="1188">
        <f t="shared" si="94"/>
        <v>0</v>
      </c>
      <c r="CF332" s="1188">
        <f t="shared" si="108"/>
        <v>0</v>
      </c>
      <c r="CG332" s="1188">
        <f t="shared" si="109"/>
        <v>0</v>
      </c>
      <c r="CH332" s="1236"/>
      <c r="CI332" s="1236"/>
      <c r="CJ332" s="1236"/>
      <c r="CK332" s="1188"/>
      <c r="CL332" s="1188"/>
    </row>
    <row r="333" s="1168" customFormat="1" customHeight="1" spans="1:90">
      <c r="A333" s="1245">
        <v>46162</v>
      </c>
      <c r="B333" s="1247" t="s">
        <v>1460</v>
      </c>
      <c r="C333" s="1234" t="s">
        <v>1461</v>
      </c>
      <c r="D333" s="1188">
        <v>4500208203</v>
      </c>
      <c r="E333" s="1234" t="s">
        <v>628</v>
      </c>
      <c r="F333" s="1188" t="s">
        <v>1462</v>
      </c>
      <c r="G333" s="1253" t="s">
        <v>174</v>
      </c>
      <c r="H333" s="1234" t="s">
        <v>175</v>
      </c>
      <c r="I333" s="1254">
        <v>2028</v>
      </c>
      <c r="J333" s="1234">
        <v>0</v>
      </c>
      <c r="K333" s="1234">
        <v>52</v>
      </c>
      <c r="L333" s="1246">
        <f t="shared" si="110"/>
        <v>39</v>
      </c>
      <c r="M333" s="1320">
        <v>46205</v>
      </c>
      <c r="N333" s="1320">
        <v>46220</v>
      </c>
      <c r="O333" s="1320" t="s">
        <v>1463</v>
      </c>
      <c r="P333" s="1233"/>
      <c r="Q333" s="1233" t="s">
        <v>106</v>
      </c>
      <c r="R333" s="1234"/>
      <c r="S333" s="1234"/>
      <c r="T333" s="1233">
        <v>2028</v>
      </c>
      <c r="U333" s="1233">
        <f t="shared" si="95"/>
        <v>0</v>
      </c>
      <c r="V333" s="1234"/>
      <c r="W333" s="1238">
        <v>46163</v>
      </c>
      <c r="X333" s="1227" t="s">
        <v>95</v>
      </c>
      <c r="Y333" s="1227" t="s">
        <v>1464</v>
      </c>
      <c r="Z333" s="1247"/>
      <c r="AA333" s="1247"/>
      <c r="AB333" s="1247"/>
      <c r="AC333" s="1247" t="s">
        <v>1465</v>
      </c>
      <c r="AD333" s="1255" t="s">
        <v>1466</v>
      </c>
      <c r="AE333" s="1188">
        <v>1.0598</v>
      </c>
      <c r="AF333" s="1248">
        <f t="shared" si="111"/>
        <v>2149.2744</v>
      </c>
      <c r="AG333" s="1258"/>
      <c r="AH333" s="1253" t="s">
        <v>174</v>
      </c>
      <c r="AI333" s="1234" t="s">
        <v>112</v>
      </c>
      <c r="AJ333" s="1234" t="s">
        <v>113</v>
      </c>
      <c r="AK333" s="1188">
        <f>I333</f>
        <v>2028</v>
      </c>
      <c r="AL333" s="1188"/>
      <c r="AM333" s="1188"/>
      <c r="AN333" s="1188">
        <f>I333</f>
        <v>2028</v>
      </c>
      <c r="AO333" s="1188"/>
      <c r="AP333" s="1188"/>
      <c r="AQ333" s="1240"/>
      <c r="AR333" s="1188"/>
      <c r="AS333" s="1236"/>
      <c r="AT333" s="1236"/>
      <c r="AU333" s="1188">
        <f t="shared" si="112"/>
        <v>2028</v>
      </c>
      <c r="AV333" s="1250">
        <f>I333*0.06*2</f>
        <v>243.36</v>
      </c>
      <c r="AW333" s="1250"/>
      <c r="AX333" s="1188"/>
      <c r="AY333" s="1188"/>
      <c r="AZ333" s="1188"/>
      <c r="BA333" s="1188"/>
      <c r="BB333" s="1188"/>
      <c r="BC333" s="1188"/>
      <c r="BD333" s="1188"/>
      <c r="BE333" s="1188"/>
      <c r="BF333" s="1188"/>
      <c r="BG333" s="1188"/>
      <c r="BH333" s="1188"/>
      <c r="BI333" s="1188"/>
      <c r="BJ333" s="1188"/>
      <c r="BK333" s="1188">
        <f>I333/13</f>
        <v>156</v>
      </c>
      <c r="BL333" s="1188"/>
      <c r="BM333" s="1188"/>
      <c r="BN333" s="1188"/>
      <c r="BO333" s="1240"/>
      <c r="BP333" s="1240"/>
      <c r="BQ333" s="1188"/>
      <c r="BR333" s="1236"/>
      <c r="BS333" s="1236"/>
      <c r="BT333" s="1188"/>
      <c r="BU333" s="1188"/>
      <c r="BV333" s="1240"/>
      <c r="BW333" s="1188"/>
      <c r="BX333" s="1188"/>
      <c r="BY333" s="1188"/>
      <c r="BZ333" s="1188"/>
      <c r="CA333" s="1188"/>
      <c r="CB333" s="1188"/>
      <c r="CC333" s="1188"/>
      <c r="CD333" s="1188">
        <f t="shared" si="107"/>
        <v>0</v>
      </c>
      <c r="CE333" s="1188">
        <f t="shared" si="94"/>
        <v>0</v>
      </c>
      <c r="CF333" s="1188">
        <f t="shared" si="108"/>
        <v>0</v>
      </c>
      <c r="CG333" s="1188">
        <f t="shared" si="109"/>
        <v>0</v>
      </c>
      <c r="CH333" s="1236"/>
      <c r="CI333" s="1236"/>
      <c r="CJ333" s="1236"/>
      <c r="CK333" s="1188"/>
      <c r="CL333" s="1188"/>
    </row>
    <row r="334" s="1168" customFormat="1" customHeight="1" spans="1:90">
      <c r="A334" s="1245">
        <v>46203</v>
      </c>
      <c r="B334" s="1247" t="s">
        <v>438</v>
      </c>
      <c r="C334" s="1234" t="s">
        <v>115</v>
      </c>
      <c r="D334" s="1268">
        <v>4500214143</v>
      </c>
      <c r="E334" s="1234" t="s">
        <v>1467</v>
      </c>
      <c r="F334" s="1188" t="s">
        <v>1468</v>
      </c>
      <c r="G334" s="1253" t="s">
        <v>118</v>
      </c>
      <c r="H334" s="1234" t="s">
        <v>104</v>
      </c>
      <c r="I334" s="1254">
        <v>30000</v>
      </c>
      <c r="J334" s="1234">
        <v>0</v>
      </c>
      <c r="K334" s="1234">
        <v>25</v>
      </c>
      <c r="L334" s="1246">
        <f t="shared" si="110"/>
        <v>1200</v>
      </c>
      <c r="M334" s="1255">
        <v>46206</v>
      </c>
      <c r="N334" s="1255">
        <v>46202</v>
      </c>
      <c r="O334" s="1255" t="s">
        <v>736</v>
      </c>
      <c r="P334" s="1233" t="s">
        <v>1469</v>
      </c>
      <c r="Q334" s="1255" t="s">
        <v>106</v>
      </c>
      <c r="R334" s="1234"/>
      <c r="S334" s="1234"/>
      <c r="T334" s="1233">
        <v>30000</v>
      </c>
      <c r="U334" s="1233">
        <f t="shared" si="95"/>
        <v>0</v>
      </c>
      <c r="V334" s="1234"/>
      <c r="W334" s="1238" t="s">
        <v>1416</v>
      </c>
      <c r="X334" s="1227" t="s">
        <v>107</v>
      </c>
      <c r="Y334" s="1227" t="s">
        <v>1417</v>
      </c>
      <c r="Z334" s="1247"/>
      <c r="AA334" s="1247"/>
      <c r="AB334" s="1247"/>
      <c r="AC334" s="1247" t="s">
        <v>1470</v>
      </c>
      <c r="AD334" s="1248" t="s">
        <v>443</v>
      </c>
      <c r="AE334" s="1247">
        <v>0.6406</v>
      </c>
      <c r="AF334" s="1248">
        <f t="shared" si="111"/>
        <v>19218</v>
      </c>
      <c r="AG334" s="1249" t="s">
        <v>1471</v>
      </c>
      <c r="AH334" s="1234" t="s">
        <v>118</v>
      </c>
      <c r="AI334" s="1234" t="s">
        <v>112</v>
      </c>
      <c r="AJ334" s="1234" t="s">
        <v>113</v>
      </c>
      <c r="AK334" s="1188"/>
      <c r="AL334" s="1188"/>
      <c r="AM334" s="1188">
        <f>I334</f>
        <v>30000</v>
      </c>
      <c r="AN334" s="1188">
        <f>I334</f>
        <v>30000</v>
      </c>
      <c r="AO334" s="1188"/>
      <c r="AP334" s="1188"/>
      <c r="AQ334" s="1240"/>
      <c r="AR334" s="1188"/>
      <c r="AS334" s="1236"/>
      <c r="AT334" s="1236"/>
      <c r="AU334" s="1188">
        <f t="shared" si="112"/>
        <v>30000</v>
      </c>
      <c r="AV334" s="1250">
        <f>I334*0.06</f>
        <v>1800</v>
      </c>
      <c r="AW334" s="1250"/>
      <c r="AX334" s="1188"/>
      <c r="AY334" s="1188"/>
      <c r="AZ334" s="1188"/>
      <c r="BA334" s="1188"/>
      <c r="BB334" s="1188"/>
      <c r="BC334" s="1188"/>
      <c r="BD334" s="1188"/>
      <c r="BE334" s="1188"/>
      <c r="BF334" s="1188"/>
      <c r="BG334" s="1188"/>
      <c r="BH334" s="1188"/>
      <c r="BI334" s="1188"/>
      <c r="BJ334" s="1188"/>
      <c r="BK334" s="1188"/>
      <c r="BL334" s="1188"/>
      <c r="BM334" s="1188"/>
      <c r="BN334" s="1188"/>
      <c r="BO334" s="1240"/>
      <c r="BP334" s="1240"/>
      <c r="BQ334" s="1188"/>
      <c r="BR334" s="1236"/>
      <c r="BS334" s="1236"/>
      <c r="BT334" s="1188"/>
      <c r="BU334" s="1188">
        <f>I334/25</f>
        <v>1200</v>
      </c>
      <c r="BV334" s="1240"/>
      <c r="BW334" s="1188"/>
      <c r="BX334" s="1188"/>
      <c r="BY334" s="1188"/>
      <c r="BZ334" s="1188"/>
      <c r="CA334" s="1188"/>
      <c r="CB334" s="1188"/>
      <c r="CC334" s="1188"/>
      <c r="CD334" s="1188">
        <f t="shared" si="107"/>
        <v>0</v>
      </c>
      <c r="CE334" s="1188">
        <f t="shared" si="94"/>
        <v>1200</v>
      </c>
      <c r="CF334" s="1188">
        <f t="shared" si="108"/>
        <v>0</v>
      </c>
      <c r="CG334" s="1188">
        <f t="shared" si="109"/>
        <v>0</v>
      </c>
      <c r="CH334" s="1236"/>
      <c r="CI334" s="1236"/>
      <c r="CJ334" s="1236"/>
      <c r="CK334" s="1188"/>
      <c r="CL334" s="1188"/>
    </row>
    <row r="335" s="1168" customFormat="1" customHeight="1" spans="1:90">
      <c r="A335" s="1245">
        <v>46154</v>
      </c>
      <c r="B335" s="1247" t="s">
        <v>1472</v>
      </c>
      <c r="C335" s="1234" t="s">
        <v>1439</v>
      </c>
      <c r="D335" s="1268">
        <v>4500206705</v>
      </c>
      <c r="E335" s="1234" t="s">
        <v>628</v>
      </c>
      <c r="F335" s="1188" t="s">
        <v>1473</v>
      </c>
      <c r="G335" s="1253" t="s">
        <v>188</v>
      </c>
      <c r="H335" s="1234" t="s">
        <v>138</v>
      </c>
      <c r="I335" s="1254">
        <v>15000</v>
      </c>
      <c r="J335" s="1234">
        <v>0</v>
      </c>
      <c r="K335" s="1234">
        <v>50</v>
      </c>
      <c r="L335" s="1246">
        <f t="shared" si="110"/>
        <v>300</v>
      </c>
      <c r="M335" s="1255">
        <v>46206</v>
      </c>
      <c r="N335" s="1255">
        <f>M335-4</f>
        <v>46202</v>
      </c>
      <c r="O335" s="1255" t="s">
        <v>1372</v>
      </c>
      <c r="P335" s="1233" t="s">
        <v>1474</v>
      </c>
      <c r="Q335" s="1255" t="s">
        <v>106</v>
      </c>
      <c r="R335" s="1234"/>
      <c r="S335" s="1234"/>
      <c r="T335" s="1233">
        <f>14850+150</f>
        <v>15000</v>
      </c>
      <c r="U335" s="1233">
        <f t="shared" si="95"/>
        <v>0</v>
      </c>
      <c r="V335" s="1234"/>
      <c r="W335" s="1238">
        <v>46160</v>
      </c>
      <c r="X335" s="1227" t="s">
        <v>95</v>
      </c>
      <c r="Y335" s="1227" t="s">
        <v>1475</v>
      </c>
      <c r="Z335" s="1247"/>
      <c r="AA335" s="1247"/>
      <c r="AB335" s="1247"/>
      <c r="AC335" s="1247" t="s">
        <v>1476</v>
      </c>
      <c r="AD335" s="1248" t="s">
        <v>1477</v>
      </c>
      <c r="AE335" s="1247">
        <v>1.087</v>
      </c>
      <c r="AF335" s="1248">
        <f>AE335*I335</f>
        <v>16305</v>
      </c>
      <c r="AG335" s="1258"/>
      <c r="AH335" s="1234" t="s">
        <v>314</v>
      </c>
      <c r="AI335" s="1234" t="s">
        <v>112</v>
      </c>
      <c r="AJ335" s="1234" t="s">
        <v>113</v>
      </c>
      <c r="AK335" s="1188">
        <f>I335</f>
        <v>15000</v>
      </c>
      <c r="AL335" s="1188"/>
      <c r="AM335" s="1188"/>
      <c r="AN335" s="1188"/>
      <c r="AO335" s="1188"/>
      <c r="AP335" s="1188">
        <f>I335</f>
        <v>15000</v>
      </c>
      <c r="AQ335" s="1240"/>
      <c r="AR335" s="1188"/>
      <c r="AS335" s="1236"/>
      <c r="AT335" s="1236"/>
      <c r="AU335" s="1188">
        <f t="shared" si="112"/>
        <v>15000</v>
      </c>
      <c r="AV335" s="1250">
        <f>I335*0.06*2</f>
        <v>1800</v>
      </c>
      <c r="AW335" s="1250"/>
      <c r="AX335" s="1188"/>
      <c r="AY335" s="1188"/>
      <c r="AZ335" s="1188"/>
      <c r="BA335" s="1188"/>
      <c r="BB335" s="1188"/>
      <c r="BC335" s="1188"/>
      <c r="BD335" s="1188"/>
      <c r="BE335" s="1188"/>
      <c r="BF335" s="1188"/>
      <c r="BG335" s="1188"/>
      <c r="BH335" s="1188"/>
      <c r="BI335" s="1188"/>
      <c r="BJ335" s="1188"/>
      <c r="BK335" s="1188"/>
      <c r="BL335" s="1188"/>
      <c r="BM335" s="1188"/>
      <c r="BN335" s="1188"/>
      <c r="BO335" s="1240">
        <f>I335/25</f>
        <v>600</v>
      </c>
      <c r="BP335" s="1240"/>
      <c r="BQ335" s="1188"/>
      <c r="BR335" s="1236"/>
      <c r="BS335" s="1236"/>
      <c r="BT335" s="1188"/>
      <c r="BU335" s="1188"/>
      <c r="BV335" s="1240"/>
      <c r="BW335" s="1188"/>
      <c r="BX335" s="1188"/>
      <c r="BY335" s="1188"/>
      <c r="BZ335" s="1188"/>
      <c r="CA335" s="1188"/>
      <c r="CB335" s="1188"/>
      <c r="CC335" s="1188"/>
      <c r="CD335" s="1188">
        <f t="shared" si="107"/>
        <v>600</v>
      </c>
      <c r="CE335" s="1188">
        <f t="shared" si="94"/>
        <v>0</v>
      </c>
      <c r="CF335" s="1188">
        <f t="shared" si="108"/>
        <v>0</v>
      </c>
      <c r="CG335" s="1188">
        <f t="shared" si="109"/>
        <v>0</v>
      </c>
      <c r="CH335" s="1236"/>
      <c r="CI335" s="1236"/>
      <c r="CJ335" s="1236"/>
      <c r="CK335" s="1188"/>
      <c r="CL335" s="1188"/>
    </row>
    <row r="336" s="1168" customFormat="1" customHeight="1" spans="1:90">
      <c r="A336" s="1245">
        <v>46189</v>
      </c>
      <c r="B336" s="1247" t="s">
        <v>890</v>
      </c>
      <c r="C336" s="1234" t="s">
        <v>891</v>
      </c>
      <c r="D336" s="1268">
        <v>4500212578</v>
      </c>
      <c r="E336" s="1233">
        <v>5200010638</v>
      </c>
      <c r="F336" s="1188" t="s">
        <v>1478</v>
      </c>
      <c r="G336" s="1253" t="s">
        <v>610</v>
      </c>
      <c r="H336" s="1234" t="s">
        <v>893</v>
      </c>
      <c r="I336" s="1254">
        <v>275</v>
      </c>
      <c r="J336" s="1234">
        <v>0</v>
      </c>
      <c r="K336" s="1234">
        <v>25</v>
      </c>
      <c r="L336" s="1246">
        <f t="shared" si="110"/>
        <v>11</v>
      </c>
      <c r="M336" s="1255">
        <v>46206</v>
      </c>
      <c r="N336" s="1255">
        <v>46206</v>
      </c>
      <c r="O336" s="1255"/>
      <c r="P336" s="1233" t="s">
        <v>105</v>
      </c>
      <c r="Q336" s="1255" t="s">
        <v>106</v>
      </c>
      <c r="R336" s="1234"/>
      <c r="S336" s="1234"/>
      <c r="T336" s="1233">
        <v>275</v>
      </c>
      <c r="U336" s="1233">
        <f t="shared" si="95"/>
        <v>0</v>
      </c>
      <c r="V336" s="1234"/>
      <c r="W336" s="1238">
        <v>46189</v>
      </c>
      <c r="X336" s="1227" t="s">
        <v>107</v>
      </c>
      <c r="Y336" s="1227" t="s">
        <v>1479</v>
      </c>
      <c r="Z336" s="1247"/>
      <c r="AA336" s="1247"/>
      <c r="AB336" s="1247"/>
      <c r="AC336" s="1247" t="s">
        <v>1480</v>
      </c>
      <c r="AD336" s="1248" t="s">
        <v>895</v>
      </c>
      <c r="AE336" s="1247">
        <v>1.1139</v>
      </c>
      <c r="AF336" s="1248">
        <f>AE336*I336</f>
        <v>306.3225</v>
      </c>
      <c r="AG336" s="1258"/>
      <c r="AH336" s="1234" t="s">
        <v>111</v>
      </c>
      <c r="AI336" s="1234" t="s">
        <v>112</v>
      </c>
      <c r="AJ336" s="1234" t="s">
        <v>113</v>
      </c>
      <c r="AK336" s="1188">
        <f>I336</f>
        <v>275</v>
      </c>
      <c r="AL336" s="1188"/>
      <c r="AM336" s="1188"/>
      <c r="AN336" s="1188"/>
      <c r="AO336" s="1188"/>
      <c r="AP336" s="1188">
        <f>I336</f>
        <v>275</v>
      </c>
      <c r="AQ336" s="1240"/>
      <c r="AR336" s="1188"/>
      <c r="AS336" s="1236"/>
      <c r="AT336" s="1236"/>
      <c r="AU336" s="1188">
        <f t="shared" si="112"/>
        <v>275</v>
      </c>
      <c r="AV336" s="1250"/>
      <c r="AW336" s="1250"/>
      <c r="AX336" s="1188"/>
      <c r="AY336" s="1188"/>
      <c r="AZ336" s="1188"/>
      <c r="BA336" s="1188"/>
      <c r="BB336" s="1188"/>
      <c r="BC336" s="1188"/>
      <c r="BD336" s="1188"/>
      <c r="BE336" s="1188"/>
      <c r="BF336" s="1188"/>
      <c r="BG336" s="1188"/>
      <c r="BH336" s="1188"/>
      <c r="BI336" s="1188"/>
      <c r="BJ336" s="1188"/>
      <c r="BK336" s="1188"/>
      <c r="BL336" s="1188"/>
      <c r="BM336" s="1188"/>
      <c r="BN336" s="1188"/>
      <c r="BO336" s="1240">
        <f>I336/25</f>
        <v>11</v>
      </c>
      <c r="BP336" s="1240"/>
      <c r="BQ336" s="1188"/>
      <c r="BR336" s="1236"/>
      <c r="BS336" s="1236"/>
      <c r="BT336" s="1188"/>
      <c r="BU336" s="1188"/>
      <c r="BV336" s="1240"/>
      <c r="BW336" s="1188"/>
      <c r="BX336" s="1188"/>
      <c r="BY336" s="1188"/>
      <c r="BZ336" s="1188"/>
      <c r="CA336" s="1188"/>
      <c r="CB336" s="1188"/>
      <c r="CC336" s="1188"/>
      <c r="CD336" s="1188">
        <f t="shared" si="107"/>
        <v>11</v>
      </c>
      <c r="CE336" s="1188">
        <f t="shared" si="94"/>
        <v>0</v>
      </c>
      <c r="CF336" s="1188">
        <f t="shared" si="108"/>
        <v>0</v>
      </c>
      <c r="CG336" s="1188">
        <f t="shared" si="109"/>
        <v>0</v>
      </c>
      <c r="CH336" s="1236"/>
      <c r="CI336" s="1236"/>
      <c r="CJ336" s="1236"/>
      <c r="CK336" s="1188"/>
      <c r="CL336" s="1188"/>
    </row>
    <row r="337" s="1168" customFormat="1" customHeight="1" spans="1:90">
      <c r="A337" s="1245">
        <v>46111</v>
      </c>
      <c r="B337" s="1247" t="s">
        <v>530</v>
      </c>
      <c r="C337" s="1234" t="s">
        <v>135</v>
      </c>
      <c r="D337" s="1268">
        <v>4500199242</v>
      </c>
      <c r="E337" s="1233">
        <v>89015140</v>
      </c>
      <c r="F337" s="1188" t="s">
        <v>1481</v>
      </c>
      <c r="G337" s="1253" t="s">
        <v>532</v>
      </c>
      <c r="H337" s="1234" t="s">
        <v>194</v>
      </c>
      <c r="I337" s="1254">
        <v>2704</v>
      </c>
      <c r="J337" s="1234">
        <v>13</v>
      </c>
      <c r="K337" s="1234">
        <v>104</v>
      </c>
      <c r="L337" s="1246">
        <f t="shared" si="110"/>
        <v>26</v>
      </c>
      <c r="M337" s="1255">
        <v>46206</v>
      </c>
      <c r="N337" s="1255">
        <v>46223</v>
      </c>
      <c r="O337" s="1255" t="s">
        <v>736</v>
      </c>
      <c r="P337" s="1233"/>
      <c r="Q337" s="1255" t="s">
        <v>106</v>
      </c>
      <c r="R337" s="1234" t="s">
        <v>1301</v>
      </c>
      <c r="S337" s="1234"/>
      <c r="T337" s="1233">
        <v>2704</v>
      </c>
      <c r="U337" s="1233">
        <f t="shared" si="95"/>
        <v>0</v>
      </c>
      <c r="V337" s="1234"/>
      <c r="W337" s="1238">
        <v>46129</v>
      </c>
      <c r="X337" s="1227" t="s">
        <v>95</v>
      </c>
      <c r="Y337" s="1227" t="s">
        <v>95</v>
      </c>
      <c r="Z337" s="1247" t="s">
        <v>140</v>
      </c>
      <c r="AA337" s="1247"/>
      <c r="AB337" s="1247"/>
      <c r="AC337" s="1247" t="s">
        <v>1482</v>
      </c>
      <c r="AD337" s="1248" t="s">
        <v>142</v>
      </c>
      <c r="AE337" s="1247">
        <v>1.2</v>
      </c>
      <c r="AF337" s="1248">
        <f>I337*AE337</f>
        <v>3244.8</v>
      </c>
      <c r="AG337" s="1258"/>
      <c r="AH337" s="1234" t="s">
        <v>532</v>
      </c>
      <c r="AI337" s="1234" t="s">
        <v>112</v>
      </c>
      <c r="AJ337" s="1234" t="s">
        <v>113</v>
      </c>
      <c r="AK337" s="1188">
        <f>I337</f>
        <v>2704</v>
      </c>
      <c r="AL337" s="1188"/>
      <c r="AM337" s="1188"/>
      <c r="AN337" s="1188">
        <f>I337</f>
        <v>2704</v>
      </c>
      <c r="AO337" s="1188"/>
      <c r="AP337" s="1188"/>
      <c r="AQ337" s="1240"/>
      <c r="AR337" s="1188"/>
      <c r="AS337" s="1236"/>
      <c r="AT337" s="1236"/>
      <c r="AU337" s="1188">
        <f t="shared" si="112"/>
        <v>2704</v>
      </c>
      <c r="AV337" s="1250">
        <f t="shared" ref="AV337:AV349" si="113">I337*0.06*2</f>
        <v>324.48</v>
      </c>
      <c r="AW337" s="1250"/>
      <c r="AX337" s="1188"/>
      <c r="AY337" s="1188"/>
      <c r="AZ337" s="1188"/>
      <c r="BA337" s="1188"/>
      <c r="BB337" s="1188"/>
      <c r="BC337" s="1188"/>
      <c r="BD337" s="1188"/>
      <c r="BE337" s="1188"/>
      <c r="BF337" s="1188"/>
      <c r="BG337" s="1188"/>
      <c r="BH337" s="1188"/>
      <c r="BI337" s="1188"/>
      <c r="BJ337" s="1188"/>
      <c r="BK337" s="1188">
        <f>I337/13</f>
        <v>208</v>
      </c>
      <c r="BL337" s="1188"/>
      <c r="BM337" s="1188"/>
      <c r="BN337" s="1188"/>
      <c r="BO337" s="1240"/>
      <c r="BP337" s="1240"/>
      <c r="BQ337" s="1188"/>
      <c r="BR337" s="1236"/>
      <c r="BS337" s="1236"/>
      <c r="BT337" s="1188"/>
      <c r="BU337" s="1188"/>
      <c r="BV337" s="1240"/>
      <c r="BW337" s="1188"/>
      <c r="BX337" s="1188"/>
      <c r="BY337" s="1188"/>
      <c r="BZ337" s="1188"/>
      <c r="CA337" s="1188"/>
      <c r="CB337" s="1188"/>
      <c r="CC337" s="1188"/>
      <c r="CD337" s="1188">
        <f t="shared" si="107"/>
        <v>0</v>
      </c>
      <c r="CE337" s="1188">
        <f t="shared" si="94"/>
        <v>0</v>
      </c>
      <c r="CF337" s="1188">
        <f t="shared" si="108"/>
        <v>0</v>
      </c>
      <c r="CG337" s="1188">
        <f t="shared" si="109"/>
        <v>0</v>
      </c>
      <c r="CH337" s="1236"/>
      <c r="CI337" s="1236"/>
      <c r="CJ337" s="1236"/>
      <c r="CK337" s="1188"/>
      <c r="CL337" s="1188"/>
    </row>
    <row r="338" s="1168" customFormat="1" customHeight="1" spans="1:90">
      <c r="A338" s="1245">
        <v>46136</v>
      </c>
      <c r="B338" s="1247" t="s">
        <v>935</v>
      </c>
      <c r="C338" s="1234" t="s">
        <v>115</v>
      </c>
      <c r="D338" s="1268">
        <v>4500203964</v>
      </c>
      <c r="E338" s="1233">
        <v>12030512318</v>
      </c>
      <c r="F338" s="1188" t="s">
        <v>1483</v>
      </c>
      <c r="G338" s="1253" t="s">
        <v>482</v>
      </c>
      <c r="H338" s="1234" t="s">
        <v>483</v>
      </c>
      <c r="I338" s="1254">
        <v>4320</v>
      </c>
      <c r="J338" s="1234">
        <v>0</v>
      </c>
      <c r="K338" s="1234">
        <v>120</v>
      </c>
      <c r="L338" s="1246">
        <f t="shared" si="110"/>
        <v>36</v>
      </c>
      <c r="M338" s="1255">
        <v>46206</v>
      </c>
      <c r="N338" s="1255">
        <v>46224</v>
      </c>
      <c r="O338" s="1255" t="s">
        <v>736</v>
      </c>
      <c r="P338" s="1233"/>
      <c r="Q338" s="1255" t="s">
        <v>106</v>
      </c>
      <c r="R338" s="1234" t="s">
        <v>1301</v>
      </c>
      <c r="S338" s="1234"/>
      <c r="T338" s="1233">
        <v>4320</v>
      </c>
      <c r="U338" s="1233">
        <f t="shared" si="95"/>
        <v>0</v>
      </c>
      <c r="V338" s="1234"/>
      <c r="W338" s="1238">
        <v>46155</v>
      </c>
      <c r="X338" s="1227" t="s">
        <v>107</v>
      </c>
      <c r="Y338" s="1227" t="s">
        <v>95</v>
      </c>
      <c r="Z338" s="1247"/>
      <c r="AA338" s="1247"/>
      <c r="AB338" s="1247"/>
      <c r="AC338" s="1247" t="s">
        <v>937</v>
      </c>
      <c r="AD338" s="1248" t="s">
        <v>488</v>
      </c>
      <c r="AE338" s="1247">
        <v>642</v>
      </c>
      <c r="AF338" s="1248">
        <f>I338*AE338</f>
        <v>2773440</v>
      </c>
      <c r="AG338" s="1249" t="s">
        <v>1484</v>
      </c>
      <c r="AH338" s="1234" t="s">
        <v>490</v>
      </c>
      <c r="AI338" s="1234" t="s">
        <v>112</v>
      </c>
      <c r="AJ338" s="1234" t="s">
        <v>113</v>
      </c>
      <c r="AK338" s="1188"/>
      <c r="AL338" s="1188">
        <f>I338*3</f>
        <v>12960</v>
      </c>
      <c r="AM338" s="1188"/>
      <c r="AN338" s="1188"/>
      <c r="AO338" s="1188"/>
      <c r="AP338" s="1188"/>
      <c r="AQ338" s="1240"/>
      <c r="AR338" s="1188"/>
      <c r="AS338" s="1236"/>
      <c r="AT338" s="1236"/>
      <c r="AU338" s="1188"/>
      <c r="AV338" s="1250">
        <f t="shared" si="113"/>
        <v>518.4</v>
      </c>
      <c r="AW338" s="1250"/>
      <c r="AX338" s="1188"/>
      <c r="AY338" s="1188"/>
      <c r="AZ338" s="1188"/>
      <c r="BA338" s="1188"/>
      <c r="BB338" s="1188">
        <f>I338*3</f>
        <v>12960</v>
      </c>
      <c r="BC338" s="1188">
        <f>I338*3</f>
        <v>12960</v>
      </c>
      <c r="BD338" s="1188">
        <f>I338*3</f>
        <v>12960</v>
      </c>
      <c r="BE338" s="1188">
        <f>I338</f>
        <v>4320</v>
      </c>
      <c r="BF338" s="1188">
        <f>I338/6</f>
        <v>720</v>
      </c>
      <c r="BG338" s="1188"/>
      <c r="BH338" s="1188"/>
      <c r="BI338" s="1188"/>
      <c r="BJ338" s="1188"/>
      <c r="BK338" s="1188"/>
      <c r="BL338" s="1188"/>
      <c r="BM338" s="1188"/>
      <c r="BN338" s="1188"/>
      <c r="BO338" s="1240"/>
      <c r="BP338" s="1240"/>
      <c r="BQ338" s="1188"/>
      <c r="BR338" s="1236"/>
      <c r="BS338" s="1236"/>
      <c r="BT338" s="1188"/>
      <c r="BU338" s="1188"/>
      <c r="BV338" s="1240"/>
      <c r="BW338" s="1188"/>
      <c r="BX338" s="1188"/>
      <c r="BY338" s="1188"/>
      <c r="BZ338" s="1188"/>
      <c r="CA338" s="1188"/>
      <c r="CB338" s="1188"/>
      <c r="CC338" s="1188"/>
      <c r="CD338" s="1188">
        <f t="shared" si="107"/>
        <v>0</v>
      </c>
      <c r="CE338" s="1188">
        <f t="shared" si="94"/>
        <v>0</v>
      </c>
      <c r="CF338" s="1188">
        <f t="shared" si="108"/>
        <v>0</v>
      </c>
      <c r="CG338" s="1188">
        <f t="shared" si="109"/>
        <v>0</v>
      </c>
      <c r="CH338" s="1236"/>
      <c r="CI338" s="1236"/>
      <c r="CJ338" s="1236"/>
      <c r="CK338" s="1188"/>
      <c r="CL338" s="1188"/>
    </row>
    <row r="339" s="1168" customFormat="1" customHeight="1" spans="1:90">
      <c r="A339" s="1245">
        <v>46120</v>
      </c>
      <c r="B339" s="1247" t="s">
        <v>1485</v>
      </c>
      <c r="C339" s="1234" t="s">
        <v>1439</v>
      </c>
      <c r="D339" s="1268">
        <v>4500199601</v>
      </c>
      <c r="E339" s="1233">
        <v>5200009495</v>
      </c>
      <c r="F339" s="1188" t="s">
        <v>1486</v>
      </c>
      <c r="G339" s="1253" t="s">
        <v>193</v>
      </c>
      <c r="H339" s="1234" t="s">
        <v>194</v>
      </c>
      <c r="I339" s="1254">
        <v>3003</v>
      </c>
      <c r="J339" s="1234">
        <v>0</v>
      </c>
      <c r="K339" s="1234">
        <v>13</v>
      </c>
      <c r="L339" s="1246">
        <f t="shared" si="110"/>
        <v>231</v>
      </c>
      <c r="M339" s="1255">
        <v>46206</v>
      </c>
      <c r="N339" s="1255">
        <v>46223</v>
      </c>
      <c r="O339" s="1255" t="s">
        <v>736</v>
      </c>
      <c r="P339" s="1233"/>
      <c r="Q339" s="1255" t="s">
        <v>106</v>
      </c>
      <c r="R339" s="1234"/>
      <c r="S339" s="1234"/>
      <c r="T339" s="1233">
        <v>3003</v>
      </c>
      <c r="U339" s="1233">
        <f t="shared" si="95"/>
        <v>0</v>
      </c>
      <c r="V339" s="1234" t="s">
        <v>120</v>
      </c>
      <c r="W339" s="1238" t="s">
        <v>1487</v>
      </c>
      <c r="X339" s="1227" t="s">
        <v>95</v>
      </c>
      <c r="Y339" s="1227" t="s">
        <v>1488</v>
      </c>
      <c r="Z339" s="1247" t="s">
        <v>1489</v>
      </c>
      <c r="AA339" s="1247"/>
      <c r="AB339" s="1247" t="s">
        <v>1490</v>
      </c>
      <c r="AC339" s="1247" t="s">
        <v>1491</v>
      </c>
      <c r="AD339" s="1248" t="s">
        <v>1492</v>
      </c>
      <c r="AE339" s="1247">
        <v>1.2</v>
      </c>
      <c r="AF339" s="1248">
        <f>I339*AE339</f>
        <v>3603.6</v>
      </c>
      <c r="AG339" s="1258"/>
      <c r="AH339" s="1234" t="s">
        <v>199</v>
      </c>
      <c r="AI339" s="1234" t="s">
        <v>112</v>
      </c>
      <c r="AJ339" s="1234" t="s">
        <v>113</v>
      </c>
      <c r="AK339" s="1188">
        <f>I339</f>
        <v>3003</v>
      </c>
      <c r="AL339" s="1188"/>
      <c r="AM339" s="1188"/>
      <c r="AN339" s="1188"/>
      <c r="AO339" s="1188"/>
      <c r="AP339" s="1188">
        <f>I279</f>
        <v>2080</v>
      </c>
      <c r="AQ339" s="1240"/>
      <c r="AR339" s="1188"/>
      <c r="AS339" s="1236"/>
      <c r="AT339" s="1236"/>
      <c r="AU339" s="1188">
        <f>I339</f>
        <v>3003</v>
      </c>
      <c r="AV339" s="1250">
        <f t="shared" si="113"/>
        <v>360.36</v>
      </c>
      <c r="AW339" s="1250"/>
      <c r="AX339" s="1188"/>
      <c r="AY339" s="1188"/>
      <c r="AZ339" s="1188"/>
      <c r="BA339" s="1188"/>
      <c r="BB339" s="1188"/>
      <c r="BC339" s="1188"/>
      <c r="BD339" s="1188"/>
      <c r="BE339" s="1188"/>
      <c r="BF339" s="1188"/>
      <c r="BG339" s="1188"/>
      <c r="BH339" s="1188"/>
      <c r="BI339" s="1188"/>
      <c r="BJ339" s="1188"/>
      <c r="BK339" s="1188"/>
      <c r="BL339" s="1188">
        <f>I339/13</f>
        <v>231</v>
      </c>
      <c r="BM339" s="1188"/>
      <c r="BN339" s="1188"/>
      <c r="BO339" s="1240"/>
      <c r="BP339" s="1240"/>
      <c r="BQ339" s="1188"/>
      <c r="BR339" s="1236"/>
      <c r="BS339" s="1236"/>
      <c r="BT339" s="1188"/>
      <c r="BU339" s="1188"/>
      <c r="BV339" s="1240"/>
      <c r="BW339" s="1188"/>
      <c r="BX339" s="1188"/>
      <c r="BY339" s="1188"/>
      <c r="BZ339" s="1188"/>
      <c r="CA339" s="1188"/>
      <c r="CB339" s="1188"/>
      <c r="CC339" s="1188"/>
      <c r="CD339" s="1188">
        <f t="shared" si="107"/>
        <v>0</v>
      </c>
      <c r="CE339" s="1188">
        <f t="shared" si="94"/>
        <v>0</v>
      </c>
      <c r="CF339" s="1188">
        <f t="shared" si="108"/>
        <v>0</v>
      </c>
      <c r="CG339" s="1188">
        <f t="shared" si="109"/>
        <v>0</v>
      </c>
      <c r="CH339" s="1236"/>
      <c r="CI339" s="1236"/>
      <c r="CJ339" s="1236"/>
      <c r="CK339" s="1188"/>
      <c r="CL339" s="1188"/>
    </row>
    <row r="340" s="1168" customFormat="1" customHeight="1" spans="1:90">
      <c r="A340" s="1245">
        <v>46129</v>
      </c>
      <c r="B340" s="1247" t="s">
        <v>1493</v>
      </c>
      <c r="C340" s="1234" t="s">
        <v>810</v>
      </c>
      <c r="D340" s="1268">
        <v>4500202542</v>
      </c>
      <c r="E340" s="1234">
        <v>2000010104</v>
      </c>
      <c r="F340" s="1188" t="s">
        <v>1494</v>
      </c>
      <c r="G340" s="1253" t="s">
        <v>803</v>
      </c>
      <c r="H340" s="1234" t="s">
        <v>804</v>
      </c>
      <c r="I340" s="1254">
        <v>2004</v>
      </c>
      <c r="J340" s="1234">
        <v>0</v>
      </c>
      <c r="K340" s="1234">
        <v>6</v>
      </c>
      <c r="L340" s="1246">
        <f t="shared" si="110"/>
        <v>334</v>
      </c>
      <c r="M340" s="1255">
        <v>46206</v>
      </c>
      <c r="N340" s="1255">
        <v>46223</v>
      </c>
      <c r="O340" s="1255" t="s">
        <v>1495</v>
      </c>
      <c r="P340" s="1233" t="s">
        <v>1496</v>
      </c>
      <c r="Q340" s="1255" t="s">
        <v>106</v>
      </c>
      <c r="R340" s="1234" t="s">
        <v>1497</v>
      </c>
      <c r="S340" s="1234"/>
      <c r="T340" s="1233">
        <v>2004</v>
      </c>
      <c r="U340" s="1233">
        <f t="shared" si="95"/>
        <v>0</v>
      </c>
      <c r="V340" s="1234" t="s">
        <v>120</v>
      </c>
      <c r="W340" s="1238">
        <v>46169</v>
      </c>
      <c r="X340" s="1227" t="s">
        <v>95</v>
      </c>
      <c r="Y340" s="1227" t="s">
        <v>1498</v>
      </c>
      <c r="Z340" s="1247" t="s">
        <v>1499</v>
      </c>
      <c r="AA340" s="1247"/>
      <c r="AB340" s="1247" t="s">
        <v>1500</v>
      </c>
      <c r="AC340" s="1247" t="s">
        <v>1501</v>
      </c>
      <c r="AD340" s="1248" t="s">
        <v>722</v>
      </c>
      <c r="AE340" s="1247">
        <v>8.15</v>
      </c>
      <c r="AF340" s="1248">
        <f>I340*AE340</f>
        <v>16332.6</v>
      </c>
      <c r="AG340" s="1258"/>
      <c r="AH340" s="1234" t="s">
        <v>952</v>
      </c>
      <c r="AI340" s="1234" t="s">
        <v>112</v>
      </c>
      <c r="AJ340" s="1234" t="s">
        <v>113</v>
      </c>
      <c r="AK340" s="1188">
        <f>I340*2</f>
        <v>4008</v>
      </c>
      <c r="AL340" s="1188"/>
      <c r="AM340" s="1188"/>
      <c r="AN340" s="1188"/>
      <c r="AO340" s="1188"/>
      <c r="AP340" s="1188">
        <f>I340*2</f>
        <v>4008</v>
      </c>
      <c r="AQ340" s="1240"/>
      <c r="AR340" s="1188"/>
      <c r="AS340" s="1236"/>
      <c r="AT340" s="1236"/>
      <c r="AU340" s="1188">
        <f>I340*2</f>
        <v>4008</v>
      </c>
      <c r="AV340" s="1250">
        <f t="shared" si="113"/>
        <v>240.48</v>
      </c>
      <c r="AW340" s="1250"/>
      <c r="AX340" s="1188"/>
      <c r="AY340" s="1188"/>
      <c r="AZ340" s="1188"/>
      <c r="BA340" s="1188"/>
      <c r="BB340" s="1188"/>
      <c r="BC340" s="1188"/>
      <c r="BD340" s="1188"/>
      <c r="BE340" s="1188"/>
      <c r="BF340" s="1188"/>
      <c r="BG340" s="1188"/>
      <c r="BH340" s="1188"/>
      <c r="BI340" s="1188"/>
      <c r="BJ340" s="1188"/>
      <c r="BK340" s="1188"/>
      <c r="BL340" s="1188"/>
      <c r="BM340" s="1188"/>
      <c r="BN340" s="1188"/>
      <c r="BO340" s="1240"/>
      <c r="BP340" s="1240"/>
      <c r="BQ340" s="1188"/>
      <c r="BR340" s="1236"/>
      <c r="BS340" s="1236"/>
      <c r="BT340" s="1188"/>
      <c r="BU340" s="1188"/>
      <c r="BV340" s="1240"/>
      <c r="BW340" s="1188"/>
      <c r="BX340" s="1188"/>
      <c r="BY340" s="1188"/>
      <c r="BZ340" s="1188"/>
      <c r="CA340" s="1188"/>
      <c r="CB340" s="1188"/>
      <c r="CC340" s="1188"/>
      <c r="CD340" s="1188">
        <f t="shared" si="107"/>
        <v>0</v>
      </c>
      <c r="CE340" s="1188">
        <f t="shared" ref="CE340:CE403" si="114">BU340</f>
        <v>0</v>
      </c>
      <c r="CF340" s="1188">
        <f t="shared" si="108"/>
        <v>0</v>
      </c>
      <c r="CG340" s="1188">
        <f t="shared" si="109"/>
        <v>0</v>
      </c>
      <c r="CH340" s="1236"/>
      <c r="CI340" s="1236"/>
      <c r="CJ340" s="1236"/>
      <c r="CK340" s="1188"/>
      <c r="CL340" s="1188"/>
    </row>
    <row r="341" s="1168" customFormat="1" customHeight="1" spans="1:90">
      <c r="A341" s="1245">
        <v>46176</v>
      </c>
      <c r="B341" s="1247" t="s">
        <v>1493</v>
      </c>
      <c r="C341" s="1234" t="s">
        <v>810</v>
      </c>
      <c r="D341" s="1268">
        <v>4500202542</v>
      </c>
      <c r="E341" s="1233">
        <v>2000010097</v>
      </c>
      <c r="F341" s="1188" t="s">
        <v>1502</v>
      </c>
      <c r="G341" s="1253" t="s">
        <v>803</v>
      </c>
      <c r="H341" s="1234" t="s">
        <v>804</v>
      </c>
      <c r="I341" s="1254">
        <v>3000</v>
      </c>
      <c r="J341" s="1234">
        <v>0</v>
      </c>
      <c r="K341" s="1234">
        <v>6</v>
      </c>
      <c r="L341" s="1246">
        <f t="shared" si="110"/>
        <v>500</v>
      </c>
      <c r="M341" s="1255">
        <v>46206</v>
      </c>
      <c r="N341" s="1255">
        <v>46223</v>
      </c>
      <c r="O341" s="1255" t="s">
        <v>1503</v>
      </c>
      <c r="P341" s="1233" t="s">
        <v>1496</v>
      </c>
      <c r="Q341" s="1255" t="s">
        <v>106</v>
      </c>
      <c r="R341" s="1234" t="s">
        <v>1497</v>
      </c>
      <c r="S341" s="1234"/>
      <c r="T341" s="1233">
        <v>3000</v>
      </c>
      <c r="U341" s="1233">
        <f t="shared" si="95"/>
        <v>0</v>
      </c>
      <c r="V341" s="1234" t="s">
        <v>120</v>
      </c>
      <c r="W341" s="1238">
        <v>46169</v>
      </c>
      <c r="X341" s="1227" t="s">
        <v>95</v>
      </c>
      <c r="Y341" s="1227" t="s">
        <v>1504</v>
      </c>
      <c r="Z341" s="1247" t="s">
        <v>1505</v>
      </c>
      <c r="AA341" s="1247"/>
      <c r="AB341" s="1247" t="s">
        <v>1506</v>
      </c>
      <c r="AC341" s="1247" t="s">
        <v>1507</v>
      </c>
      <c r="AD341" s="1248" t="s">
        <v>722</v>
      </c>
      <c r="AE341" s="1247">
        <v>8.15</v>
      </c>
      <c r="AF341" s="1248">
        <f>AE341*I341</f>
        <v>24450</v>
      </c>
      <c r="AG341" s="1258"/>
      <c r="AH341" s="1234" t="s">
        <v>952</v>
      </c>
      <c r="AI341" s="1234" t="s">
        <v>112</v>
      </c>
      <c r="AJ341" s="1234" t="s">
        <v>113</v>
      </c>
      <c r="AK341" s="1188">
        <f>I341*2</f>
        <v>6000</v>
      </c>
      <c r="AL341" s="1188"/>
      <c r="AM341" s="1188"/>
      <c r="AN341" s="1188"/>
      <c r="AO341" s="1188"/>
      <c r="AP341" s="1188">
        <f>I341*2</f>
        <v>6000</v>
      </c>
      <c r="AQ341" s="1240"/>
      <c r="AR341" s="1188"/>
      <c r="AS341" s="1236"/>
      <c r="AT341" s="1236"/>
      <c r="AU341" s="1188">
        <f>I341*2</f>
        <v>6000</v>
      </c>
      <c r="AV341" s="1250">
        <f t="shared" si="113"/>
        <v>360</v>
      </c>
      <c r="AW341" s="1250"/>
      <c r="AX341" s="1188"/>
      <c r="AY341" s="1188"/>
      <c r="AZ341" s="1188"/>
      <c r="BA341" s="1188"/>
      <c r="BB341" s="1188"/>
      <c r="BC341" s="1188"/>
      <c r="BD341" s="1188"/>
      <c r="BE341" s="1188"/>
      <c r="BF341" s="1188"/>
      <c r="BG341" s="1188"/>
      <c r="BH341" s="1188"/>
      <c r="BI341" s="1188"/>
      <c r="BJ341" s="1188"/>
      <c r="BK341" s="1188"/>
      <c r="BL341" s="1188"/>
      <c r="BM341" s="1188"/>
      <c r="BN341" s="1188"/>
      <c r="BO341" s="1240"/>
      <c r="BP341" s="1240"/>
      <c r="BQ341" s="1188"/>
      <c r="BR341" s="1236"/>
      <c r="BS341" s="1236"/>
      <c r="BT341" s="1188"/>
      <c r="BU341" s="1188"/>
      <c r="BV341" s="1240"/>
      <c r="BW341" s="1188"/>
      <c r="BX341" s="1188"/>
      <c r="BY341" s="1188"/>
      <c r="BZ341" s="1188"/>
      <c r="CA341" s="1188"/>
      <c r="CB341" s="1188"/>
      <c r="CC341" s="1188"/>
      <c r="CD341" s="1188">
        <f t="shared" si="107"/>
        <v>0</v>
      </c>
      <c r="CE341" s="1188">
        <f t="shared" si="114"/>
        <v>0</v>
      </c>
      <c r="CF341" s="1188">
        <f t="shared" si="108"/>
        <v>0</v>
      </c>
      <c r="CG341" s="1188">
        <f t="shared" si="109"/>
        <v>0</v>
      </c>
      <c r="CH341" s="1236"/>
      <c r="CI341" s="1236"/>
      <c r="CJ341" s="1236"/>
      <c r="CK341" s="1188"/>
      <c r="CL341" s="1188"/>
    </row>
    <row r="342" s="1168" customFormat="1" customHeight="1" spans="1:90">
      <c r="A342" s="1245">
        <v>46164</v>
      </c>
      <c r="B342" s="1247" t="s">
        <v>230</v>
      </c>
      <c r="C342" s="1234" t="s">
        <v>135</v>
      </c>
      <c r="D342" s="1268">
        <v>4500208771</v>
      </c>
      <c r="E342" s="1234" t="s">
        <v>1508</v>
      </c>
      <c r="F342" s="1188" t="s">
        <v>1509</v>
      </c>
      <c r="G342" s="1253" t="s">
        <v>137</v>
      </c>
      <c r="H342" s="1234" t="s">
        <v>138</v>
      </c>
      <c r="I342" s="1254">
        <v>3750</v>
      </c>
      <c r="J342" s="1234">
        <v>0</v>
      </c>
      <c r="K342" s="1234">
        <v>50</v>
      </c>
      <c r="L342" s="1246">
        <f t="shared" si="110"/>
        <v>75</v>
      </c>
      <c r="M342" s="1255">
        <v>46206</v>
      </c>
      <c r="N342" s="1255">
        <v>46223</v>
      </c>
      <c r="O342" s="1255" t="s">
        <v>1510</v>
      </c>
      <c r="P342" s="1233" t="s">
        <v>1511</v>
      </c>
      <c r="Q342" s="1255" t="s">
        <v>106</v>
      </c>
      <c r="R342" s="1333" t="s">
        <v>1090</v>
      </c>
      <c r="S342" s="1234"/>
      <c r="T342" s="1233">
        <v>3750</v>
      </c>
      <c r="U342" s="1233">
        <f t="shared" si="95"/>
        <v>0</v>
      </c>
      <c r="V342" s="1234"/>
      <c r="W342" s="1238">
        <v>46171</v>
      </c>
      <c r="X342" s="1227" t="s">
        <v>95</v>
      </c>
      <c r="Y342" s="1227" t="s">
        <v>1512</v>
      </c>
      <c r="Z342" s="1247" t="s">
        <v>140</v>
      </c>
      <c r="AA342" s="1247"/>
      <c r="AB342" s="1247" t="s">
        <v>1513</v>
      </c>
      <c r="AC342" s="1247" t="s">
        <v>1514</v>
      </c>
      <c r="AD342" s="1248" t="s">
        <v>236</v>
      </c>
      <c r="AE342" s="1247">
        <v>1.07</v>
      </c>
      <c r="AF342" s="1248">
        <f>AE342*I342</f>
        <v>4012.5</v>
      </c>
      <c r="AG342" s="1258"/>
      <c r="AH342" s="1234" t="s">
        <v>1515</v>
      </c>
      <c r="AI342" s="1234" t="s">
        <v>112</v>
      </c>
      <c r="AJ342" s="1234" t="s">
        <v>113</v>
      </c>
      <c r="AK342" s="1188">
        <f>I342</f>
        <v>3750</v>
      </c>
      <c r="AL342" s="1188"/>
      <c r="AM342" s="1188"/>
      <c r="AN342" s="1188">
        <f>I342</f>
        <v>3750</v>
      </c>
      <c r="AO342" s="1188"/>
      <c r="AP342" s="1188"/>
      <c r="AQ342" s="1240"/>
      <c r="AR342" s="1188"/>
      <c r="AS342" s="1236"/>
      <c r="AT342" s="1236"/>
      <c r="AU342" s="1188"/>
      <c r="AV342" s="1250">
        <f t="shared" si="113"/>
        <v>450</v>
      </c>
      <c r="AW342" s="1250">
        <f>I342</f>
        <v>3750</v>
      </c>
      <c r="AX342" s="1188"/>
      <c r="AY342" s="1188"/>
      <c r="AZ342" s="1188"/>
      <c r="BA342" s="1188"/>
      <c r="BB342" s="1188"/>
      <c r="BC342" s="1188"/>
      <c r="BD342" s="1188"/>
      <c r="BE342" s="1188"/>
      <c r="BF342" s="1188"/>
      <c r="BG342" s="1188"/>
      <c r="BH342" s="1188"/>
      <c r="BI342" s="1188"/>
      <c r="BJ342" s="1188"/>
      <c r="BK342" s="1188"/>
      <c r="BL342" s="1188"/>
      <c r="BM342" s="1188"/>
      <c r="BN342" s="1188">
        <f>I342/25</f>
        <v>150</v>
      </c>
      <c r="BO342" s="1240"/>
      <c r="BP342" s="1240"/>
      <c r="BQ342" s="1188"/>
      <c r="BR342" s="1236"/>
      <c r="BS342" s="1236"/>
      <c r="BT342" s="1188"/>
      <c r="BU342" s="1188"/>
      <c r="BV342" s="1240"/>
      <c r="BW342" s="1188"/>
      <c r="BX342" s="1188"/>
      <c r="BY342" s="1188"/>
      <c r="BZ342" s="1188"/>
      <c r="CA342" s="1188"/>
      <c r="CB342" s="1188"/>
      <c r="CC342" s="1188"/>
      <c r="CD342" s="1188">
        <f t="shared" si="107"/>
        <v>150</v>
      </c>
      <c r="CE342" s="1188">
        <f t="shared" si="114"/>
        <v>0</v>
      </c>
      <c r="CF342" s="1188">
        <f t="shared" si="108"/>
        <v>0</v>
      </c>
      <c r="CG342" s="1188">
        <f t="shared" si="109"/>
        <v>0</v>
      </c>
      <c r="CH342" s="1236"/>
      <c r="CI342" s="1236"/>
      <c r="CJ342" s="1236"/>
      <c r="CK342" s="1188"/>
      <c r="CL342" s="1188"/>
    </row>
    <row r="343" s="1168" customFormat="1" customHeight="1" spans="1:90">
      <c r="A343" s="1245">
        <v>46136</v>
      </c>
      <c r="B343" s="1247" t="s">
        <v>935</v>
      </c>
      <c r="C343" s="1234" t="s">
        <v>115</v>
      </c>
      <c r="D343" s="1268">
        <v>4500203968</v>
      </c>
      <c r="E343" s="1302">
        <v>1740512238</v>
      </c>
      <c r="F343" s="1188" t="s">
        <v>1516</v>
      </c>
      <c r="G343" s="1253" t="s">
        <v>482</v>
      </c>
      <c r="H343" s="1234" t="s">
        <v>483</v>
      </c>
      <c r="I343" s="1254">
        <v>4320</v>
      </c>
      <c r="J343" s="1234">
        <v>0</v>
      </c>
      <c r="K343" s="1234">
        <v>120</v>
      </c>
      <c r="L343" s="1246">
        <f t="shared" si="110"/>
        <v>36</v>
      </c>
      <c r="M343" s="1255">
        <v>46206</v>
      </c>
      <c r="N343" s="1320">
        <v>46224</v>
      </c>
      <c r="O343" s="1322" t="s">
        <v>736</v>
      </c>
      <c r="P343" s="1233"/>
      <c r="Q343" s="1233" t="s">
        <v>106</v>
      </c>
      <c r="R343" s="1234"/>
      <c r="S343" s="1234"/>
      <c r="T343" s="1233">
        <v>4320</v>
      </c>
      <c r="U343" s="1233">
        <f t="shared" si="95"/>
        <v>0</v>
      </c>
      <c r="V343" s="1234"/>
      <c r="W343" s="1238">
        <v>46155</v>
      </c>
      <c r="X343" s="1227" t="s">
        <v>107</v>
      </c>
      <c r="Y343" s="1227" t="s">
        <v>95</v>
      </c>
      <c r="Z343" s="1247"/>
      <c r="AA343" s="1247"/>
      <c r="AB343" s="1247"/>
      <c r="AC343" s="1247" t="s">
        <v>937</v>
      </c>
      <c r="AD343" s="1255" t="s">
        <v>488</v>
      </c>
      <c r="AE343" s="1188">
        <v>642</v>
      </c>
      <c r="AF343" s="1248">
        <f>I343*AE343</f>
        <v>2773440</v>
      </c>
      <c r="AG343" s="1258"/>
      <c r="AH343" s="1234" t="s">
        <v>490</v>
      </c>
      <c r="AI343" s="1234" t="s">
        <v>112</v>
      </c>
      <c r="AJ343" s="1234" t="s">
        <v>113</v>
      </c>
      <c r="AK343" s="1188"/>
      <c r="AL343" s="1188">
        <f t="shared" ref="AL343:AL348" si="115">I343*3</f>
        <v>12960</v>
      </c>
      <c r="AM343" s="1188"/>
      <c r="AN343" s="1188"/>
      <c r="AO343" s="1188"/>
      <c r="AP343" s="1188"/>
      <c r="AQ343" s="1240"/>
      <c r="AR343" s="1188"/>
      <c r="AS343" s="1236"/>
      <c r="AT343" s="1236"/>
      <c r="AU343" s="1188"/>
      <c r="AV343" s="1250">
        <f t="shared" si="113"/>
        <v>518.4</v>
      </c>
      <c r="AW343" s="1250"/>
      <c r="AX343" s="1188"/>
      <c r="AY343" s="1188"/>
      <c r="AZ343" s="1188"/>
      <c r="BA343" s="1188"/>
      <c r="BB343" s="1188">
        <f t="shared" ref="BB343:BB348" si="116">I343*3</f>
        <v>12960</v>
      </c>
      <c r="BC343" s="1188">
        <f t="shared" ref="BC343:BC348" si="117">I343*3</f>
        <v>12960</v>
      </c>
      <c r="BD343" s="1188">
        <f t="shared" ref="BD343:BD348" si="118">I343*3</f>
        <v>12960</v>
      </c>
      <c r="BE343" s="1188">
        <f t="shared" ref="BE343:BE348" si="119">I343</f>
        <v>4320</v>
      </c>
      <c r="BF343" s="1188">
        <f t="shared" ref="BF343:BF348" si="120">I343/6</f>
        <v>720</v>
      </c>
      <c r="BG343" s="1188"/>
      <c r="BH343" s="1188"/>
      <c r="BI343" s="1188"/>
      <c r="BJ343" s="1188"/>
      <c r="BK343" s="1188"/>
      <c r="BL343" s="1188"/>
      <c r="BM343" s="1188"/>
      <c r="BN343" s="1188"/>
      <c r="BO343" s="1240"/>
      <c r="BP343" s="1240"/>
      <c r="BQ343" s="1188"/>
      <c r="BR343" s="1236"/>
      <c r="BS343" s="1236"/>
      <c r="BT343" s="1188"/>
      <c r="BU343" s="1188"/>
      <c r="BV343" s="1240"/>
      <c r="BW343" s="1188"/>
      <c r="BX343" s="1188"/>
      <c r="BY343" s="1188"/>
      <c r="BZ343" s="1188"/>
      <c r="CA343" s="1188"/>
      <c r="CB343" s="1188"/>
      <c r="CC343" s="1188"/>
      <c r="CD343" s="1188">
        <f t="shared" si="107"/>
        <v>0</v>
      </c>
      <c r="CE343" s="1188">
        <f t="shared" si="114"/>
        <v>0</v>
      </c>
      <c r="CF343" s="1188">
        <f t="shared" si="108"/>
        <v>0</v>
      </c>
      <c r="CG343" s="1188">
        <f t="shared" si="109"/>
        <v>0</v>
      </c>
      <c r="CH343" s="1236"/>
      <c r="CI343" s="1236"/>
      <c r="CJ343" s="1236"/>
      <c r="CK343" s="1188"/>
      <c r="CL343" s="1188"/>
    </row>
    <row r="344" s="1168" customFormat="1" customHeight="1" spans="1:90">
      <c r="A344" s="1245">
        <v>46136</v>
      </c>
      <c r="B344" s="1247" t="s">
        <v>935</v>
      </c>
      <c r="C344" s="1234" t="s">
        <v>115</v>
      </c>
      <c r="D344" s="1268">
        <v>4500203966</v>
      </c>
      <c r="E344" s="1302">
        <v>2620512310</v>
      </c>
      <c r="F344" s="1188" t="s">
        <v>1517</v>
      </c>
      <c r="G344" s="1253" t="s">
        <v>482</v>
      </c>
      <c r="H344" s="1234" t="s">
        <v>483</v>
      </c>
      <c r="I344" s="1254">
        <v>4320</v>
      </c>
      <c r="J344" s="1234">
        <v>0</v>
      </c>
      <c r="K344" s="1234">
        <v>120</v>
      </c>
      <c r="L344" s="1246">
        <f t="shared" si="110"/>
        <v>36</v>
      </c>
      <c r="M344" s="1255">
        <v>46206</v>
      </c>
      <c r="N344" s="1320">
        <v>46224</v>
      </c>
      <c r="O344" s="1322" t="s">
        <v>1518</v>
      </c>
      <c r="P344" s="1233"/>
      <c r="Q344" s="1233" t="s">
        <v>106</v>
      </c>
      <c r="R344" s="1234" t="s">
        <v>1519</v>
      </c>
      <c r="S344" s="1234"/>
      <c r="T344" s="1233">
        <v>4320</v>
      </c>
      <c r="U344" s="1233">
        <f t="shared" ref="U344:U407" si="121">T344-I344</f>
        <v>0</v>
      </c>
      <c r="V344" s="1234"/>
      <c r="W344" s="1238">
        <v>46155</v>
      </c>
      <c r="X344" s="1227" t="s">
        <v>107</v>
      </c>
      <c r="Y344" s="1227" t="s">
        <v>95</v>
      </c>
      <c r="Z344" s="1247"/>
      <c r="AA344" s="1247"/>
      <c r="AB344" s="1247"/>
      <c r="AC344" s="1247" t="s">
        <v>937</v>
      </c>
      <c r="AD344" s="1255" t="s">
        <v>488</v>
      </c>
      <c r="AE344" s="1188">
        <v>642</v>
      </c>
      <c r="AF344" s="1248">
        <f>I344*AE344</f>
        <v>2773440</v>
      </c>
      <c r="AG344" s="1249" t="s">
        <v>1520</v>
      </c>
      <c r="AH344" s="1234" t="s">
        <v>490</v>
      </c>
      <c r="AI344" s="1234" t="s">
        <v>112</v>
      </c>
      <c r="AJ344" s="1234" t="s">
        <v>113</v>
      </c>
      <c r="AK344" s="1188"/>
      <c r="AL344" s="1188">
        <f t="shared" si="115"/>
        <v>12960</v>
      </c>
      <c r="AM344" s="1188"/>
      <c r="AN344" s="1188"/>
      <c r="AO344" s="1188"/>
      <c r="AP344" s="1188"/>
      <c r="AQ344" s="1240"/>
      <c r="AR344" s="1188"/>
      <c r="AS344" s="1236"/>
      <c r="AT344" s="1236"/>
      <c r="AU344" s="1188"/>
      <c r="AV344" s="1250">
        <f t="shared" si="113"/>
        <v>518.4</v>
      </c>
      <c r="AW344" s="1250"/>
      <c r="AX344" s="1188"/>
      <c r="AY344" s="1188"/>
      <c r="AZ344" s="1188"/>
      <c r="BA344" s="1188"/>
      <c r="BB344" s="1188">
        <f t="shared" si="116"/>
        <v>12960</v>
      </c>
      <c r="BC344" s="1188">
        <f t="shared" si="117"/>
        <v>12960</v>
      </c>
      <c r="BD344" s="1188">
        <f t="shared" si="118"/>
        <v>12960</v>
      </c>
      <c r="BE344" s="1188">
        <f t="shared" si="119"/>
        <v>4320</v>
      </c>
      <c r="BF344" s="1188">
        <f t="shared" si="120"/>
        <v>720</v>
      </c>
      <c r="BG344" s="1188"/>
      <c r="BH344" s="1188"/>
      <c r="BI344" s="1188"/>
      <c r="BJ344" s="1188"/>
      <c r="BK344" s="1188"/>
      <c r="BL344" s="1188"/>
      <c r="BM344" s="1188"/>
      <c r="BN344" s="1188"/>
      <c r="BO344" s="1240"/>
      <c r="BP344" s="1240"/>
      <c r="BQ344" s="1188"/>
      <c r="BR344" s="1236"/>
      <c r="BS344" s="1236"/>
      <c r="BT344" s="1188"/>
      <c r="BU344" s="1188"/>
      <c r="BV344" s="1240"/>
      <c r="BW344" s="1188"/>
      <c r="BX344" s="1188"/>
      <c r="BY344" s="1188"/>
      <c r="BZ344" s="1188"/>
      <c r="CA344" s="1188"/>
      <c r="CB344" s="1188"/>
      <c r="CC344" s="1188"/>
      <c r="CD344" s="1188">
        <f t="shared" si="107"/>
        <v>0</v>
      </c>
      <c r="CE344" s="1188">
        <f t="shared" si="114"/>
        <v>0</v>
      </c>
      <c r="CF344" s="1188">
        <f t="shared" si="108"/>
        <v>0</v>
      </c>
      <c r="CG344" s="1188">
        <f t="shared" si="109"/>
        <v>0</v>
      </c>
      <c r="CH344" s="1236"/>
      <c r="CI344" s="1236"/>
      <c r="CJ344" s="1236"/>
      <c r="CK344" s="1188"/>
      <c r="CL344" s="1188"/>
    </row>
    <row r="345" s="1168" customFormat="1" customHeight="1" spans="1:90">
      <c r="A345" s="1245">
        <v>46136</v>
      </c>
      <c r="B345" s="1247" t="s">
        <v>935</v>
      </c>
      <c r="C345" s="1234" t="s">
        <v>115</v>
      </c>
      <c r="D345" s="1268">
        <v>4500203972</v>
      </c>
      <c r="E345" s="1302">
        <v>13860512199</v>
      </c>
      <c r="F345" s="1188" t="s">
        <v>1521</v>
      </c>
      <c r="G345" s="1253" t="s">
        <v>482</v>
      </c>
      <c r="H345" s="1234" t="s">
        <v>483</v>
      </c>
      <c r="I345" s="1254">
        <v>4320</v>
      </c>
      <c r="J345" s="1234">
        <v>0</v>
      </c>
      <c r="K345" s="1234">
        <v>120</v>
      </c>
      <c r="L345" s="1246">
        <f t="shared" si="110"/>
        <v>36</v>
      </c>
      <c r="M345" s="1255">
        <v>46206</v>
      </c>
      <c r="N345" s="1320">
        <v>46224</v>
      </c>
      <c r="O345" s="1322" t="s">
        <v>1518</v>
      </c>
      <c r="P345" s="1233"/>
      <c r="Q345" s="1233" t="s">
        <v>106</v>
      </c>
      <c r="R345" s="1234" t="s">
        <v>1522</v>
      </c>
      <c r="S345" s="1234"/>
      <c r="T345" s="1233">
        <v>4320</v>
      </c>
      <c r="U345" s="1233">
        <f t="shared" si="121"/>
        <v>0</v>
      </c>
      <c r="V345" s="1234"/>
      <c r="W345" s="1238">
        <v>46155</v>
      </c>
      <c r="X345" s="1227" t="s">
        <v>107</v>
      </c>
      <c r="Y345" s="1227" t="s">
        <v>95</v>
      </c>
      <c r="Z345" s="1247"/>
      <c r="AA345" s="1247"/>
      <c r="AB345" s="1247"/>
      <c r="AC345" s="1247" t="s">
        <v>937</v>
      </c>
      <c r="AD345" s="1255" t="s">
        <v>488</v>
      </c>
      <c r="AE345" s="1188">
        <v>642</v>
      </c>
      <c r="AF345" s="1248">
        <f>I345*AE345</f>
        <v>2773440</v>
      </c>
      <c r="AG345" s="1249" t="s">
        <v>1523</v>
      </c>
      <c r="AH345" s="1234" t="s">
        <v>490</v>
      </c>
      <c r="AI345" s="1234" t="s">
        <v>112</v>
      </c>
      <c r="AJ345" s="1234" t="s">
        <v>113</v>
      </c>
      <c r="AK345" s="1188"/>
      <c r="AL345" s="1188">
        <f t="shared" si="115"/>
        <v>12960</v>
      </c>
      <c r="AM345" s="1188"/>
      <c r="AN345" s="1188"/>
      <c r="AO345" s="1188"/>
      <c r="AP345" s="1188"/>
      <c r="AQ345" s="1240"/>
      <c r="AR345" s="1188"/>
      <c r="AS345" s="1236"/>
      <c r="AT345" s="1236"/>
      <c r="AU345" s="1188"/>
      <c r="AV345" s="1250">
        <f t="shared" si="113"/>
        <v>518.4</v>
      </c>
      <c r="AW345" s="1250"/>
      <c r="AX345" s="1188"/>
      <c r="AY345" s="1188"/>
      <c r="AZ345" s="1188"/>
      <c r="BA345" s="1188"/>
      <c r="BB345" s="1188">
        <f t="shared" si="116"/>
        <v>12960</v>
      </c>
      <c r="BC345" s="1188">
        <f t="shared" si="117"/>
        <v>12960</v>
      </c>
      <c r="BD345" s="1188">
        <f t="shared" si="118"/>
        <v>12960</v>
      </c>
      <c r="BE345" s="1188">
        <f t="shared" si="119"/>
        <v>4320</v>
      </c>
      <c r="BF345" s="1188">
        <f t="shared" si="120"/>
        <v>720</v>
      </c>
      <c r="BG345" s="1188"/>
      <c r="BH345" s="1188"/>
      <c r="BI345" s="1188"/>
      <c r="BJ345" s="1188"/>
      <c r="BK345" s="1188"/>
      <c r="BL345" s="1188"/>
      <c r="BM345" s="1188"/>
      <c r="BN345" s="1188"/>
      <c r="BO345" s="1240"/>
      <c r="BP345" s="1240"/>
      <c r="BQ345" s="1188"/>
      <c r="BR345" s="1236"/>
      <c r="BS345" s="1236"/>
      <c r="BT345" s="1188"/>
      <c r="BU345" s="1188"/>
      <c r="BV345" s="1240"/>
      <c r="BW345" s="1188"/>
      <c r="BX345" s="1188"/>
      <c r="BY345" s="1188"/>
      <c r="BZ345" s="1188"/>
      <c r="CA345" s="1188"/>
      <c r="CB345" s="1188"/>
      <c r="CC345" s="1188"/>
      <c r="CD345" s="1188">
        <f t="shared" si="107"/>
        <v>0</v>
      </c>
      <c r="CE345" s="1188">
        <f t="shared" si="114"/>
        <v>0</v>
      </c>
      <c r="CF345" s="1188">
        <f t="shared" si="108"/>
        <v>0</v>
      </c>
      <c r="CG345" s="1188">
        <f t="shared" si="109"/>
        <v>0</v>
      </c>
      <c r="CH345" s="1236"/>
      <c r="CI345" s="1236"/>
      <c r="CJ345" s="1236"/>
      <c r="CK345" s="1188"/>
      <c r="CL345" s="1188"/>
    </row>
    <row r="346" s="1168" customFormat="1" customHeight="1" spans="1:90">
      <c r="A346" s="1245">
        <v>46136</v>
      </c>
      <c r="B346" s="1247" t="s">
        <v>935</v>
      </c>
      <c r="C346" s="1234" t="s">
        <v>115</v>
      </c>
      <c r="D346" s="1268">
        <v>4500203976</v>
      </c>
      <c r="E346" s="1302">
        <v>10520512305</v>
      </c>
      <c r="F346" s="1188" t="s">
        <v>1524</v>
      </c>
      <c r="G346" s="1253" t="s">
        <v>482</v>
      </c>
      <c r="H346" s="1234" t="s">
        <v>483</v>
      </c>
      <c r="I346" s="1254">
        <v>4320</v>
      </c>
      <c r="J346" s="1234">
        <v>0</v>
      </c>
      <c r="K346" s="1234">
        <v>120</v>
      </c>
      <c r="L346" s="1246">
        <f t="shared" si="110"/>
        <v>36</v>
      </c>
      <c r="M346" s="1255">
        <v>46206</v>
      </c>
      <c r="N346" s="1320">
        <v>46224</v>
      </c>
      <c r="O346" s="1322" t="s">
        <v>1518</v>
      </c>
      <c r="P346" s="1233"/>
      <c r="Q346" s="1233" t="s">
        <v>106</v>
      </c>
      <c r="R346" s="1234" t="s">
        <v>1519</v>
      </c>
      <c r="S346" s="1234"/>
      <c r="T346" s="1233">
        <v>4320</v>
      </c>
      <c r="U346" s="1233">
        <f t="shared" si="121"/>
        <v>0</v>
      </c>
      <c r="V346" s="1234"/>
      <c r="W346" s="1238">
        <v>46155</v>
      </c>
      <c r="X346" s="1227" t="s">
        <v>107</v>
      </c>
      <c r="Y346" s="1227" t="s">
        <v>95</v>
      </c>
      <c r="Z346" s="1247"/>
      <c r="AA346" s="1247"/>
      <c r="AB346" s="1247"/>
      <c r="AC346" s="1247" t="s">
        <v>937</v>
      </c>
      <c r="AD346" s="1255" t="s">
        <v>488</v>
      </c>
      <c r="AE346" s="1188">
        <v>642</v>
      </c>
      <c r="AF346" s="1248">
        <f>I346*AE346</f>
        <v>2773440</v>
      </c>
      <c r="AG346" s="1249" t="s">
        <v>1525</v>
      </c>
      <c r="AH346" s="1234" t="s">
        <v>490</v>
      </c>
      <c r="AI346" s="1234" t="s">
        <v>112</v>
      </c>
      <c r="AJ346" s="1234" t="s">
        <v>113</v>
      </c>
      <c r="AK346" s="1188"/>
      <c r="AL346" s="1188">
        <f t="shared" si="115"/>
        <v>12960</v>
      </c>
      <c r="AM346" s="1188"/>
      <c r="AN346" s="1188"/>
      <c r="AO346" s="1188"/>
      <c r="AP346" s="1188"/>
      <c r="AQ346" s="1240"/>
      <c r="AR346" s="1188"/>
      <c r="AS346" s="1236"/>
      <c r="AT346" s="1236"/>
      <c r="AU346" s="1188"/>
      <c r="AV346" s="1250">
        <f t="shared" si="113"/>
        <v>518.4</v>
      </c>
      <c r="AW346" s="1250"/>
      <c r="AX346" s="1188"/>
      <c r="AY346" s="1188"/>
      <c r="AZ346" s="1188"/>
      <c r="BA346" s="1188"/>
      <c r="BB346" s="1188">
        <f t="shared" si="116"/>
        <v>12960</v>
      </c>
      <c r="BC346" s="1188">
        <f t="shared" si="117"/>
        <v>12960</v>
      </c>
      <c r="BD346" s="1188">
        <f t="shared" si="118"/>
        <v>12960</v>
      </c>
      <c r="BE346" s="1188">
        <f t="shared" si="119"/>
        <v>4320</v>
      </c>
      <c r="BF346" s="1188">
        <f t="shared" si="120"/>
        <v>720</v>
      </c>
      <c r="BG346" s="1188"/>
      <c r="BH346" s="1188"/>
      <c r="BI346" s="1188"/>
      <c r="BJ346" s="1188"/>
      <c r="BK346" s="1188"/>
      <c r="BL346" s="1188"/>
      <c r="BM346" s="1188"/>
      <c r="BN346" s="1188"/>
      <c r="BO346" s="1240"/>
      <c r="BP346" s="1240"/>
      <c r="BQ346" s="1188"/>
      <c r="BR346" s="1236"/>
      <c r="BS346" s="1236"/>
      <c r="BT346" s="1188"/>
      <c r="BU346" s="1188"/>
      <c r="BV346" s="1240"/>
      <c r="BW346" s="1188"/>
      <c r="BX346" s="1188"/>
      <c r="BY346" s="1188"/>
      <c r="BZ346" s="1188"/>
      <c r="CA346" s="1188"/>
      <c r="CB346" s="1188"/>
      <c r="CC346" s="1188"/>
      <c r="CD346" s="1188">
        <f t="shared" si="107"/>
        <v>0</v>
      </c>
      <c r="CE346" s="1188">
        <f t="shared" si="114"/>
        <v>0</v>
      </c>
      <c r="CF346" s="1188">
        <f t="shared" si="108"/>
        <v>0</v>
      </c>
      <c r="CG346" s="1188">
        <f t="shared" si="109"/>
        <v>0</v>
      </c>
      <c r="CH346" s="1236"/>
      <c r="CI346" s="1236"/>
      <c r="CJ346" s="1236"/>
      <c r="CK346" s="1188"/>
      <c r="CL346" s="1188"/>
    </row>
    <row r="347" s="1168" customFormat="1" customHeight="1" spans="1:90">
      <c r="A347" s="1245">
        <v>46136</v>
      </c>
      <c r="B347" s="1247" t="s">
        <v>935</v>
      </c>
      <c r="C347" s="1234" t="s">
        <v>115</v>
      </c>
      <c r="D347" s="1268">
        <v>4500203982</v>
      </c>
      <c r="E347" s="1302">
        <v>1750512412</v>
      </c>
      <c r="F347" s="1188" t="s">
        <v>1526</v>
      </c>
      <c r="G347" s="1253" t="s">
        <v>482</v>
      </c>
      <c r="H347" s="1234" t="s">
        <v>483</v>
      </c>
      <c r="I347" s="1254">
        <v>4320</v>
      </c>
      <c r="J347" s="1234">
        <v>0</v>
      </c>
      <c r="K347" s="1234">
        <v>120</v>
      </c>
      <c r="L347" s="1246">
        <f t="shared" si="110"/>
        <v>36</v>
      </c>
      <c r="M347" s="1255">
        <v>46206</v>
      </c>
      <c r="N347" s="1320">
        <v>46225</v>
      </c>
      <c r="O347" s="1322" t="s">
        <v>1527</v>
      </c>
      <c r="P347" s="1233"/>
      <c r="Q347" s="1233" t="s">
        <v>106</v>
      </c>
      <c r="R347" s="1234" t="s">
        <v>1519</v>
      </c>
      <c r="S347" s="1234"/>
      <c r="T347" s="1233">
        <v>4320</v>
      </c>
      <c r="U347" s="1233">
        <f t="shared" si="121"/>
        <v>0</v>
      </c>
      <c r="V347" s="1234"/>
      <c r="W347" s="1238">
        <v>46155</v>
      </c>
      <c r="X347" s="1227" t="s">
        <v>107</v>
      </c>
      <c r="Y347" s="1227" t="s">
        <v>95</v>
      </c>
      <c r="Z347" s="1247"/>
      <c r="AA347" s="1247"/>
      <c r="AB347" s="1247"/>
      <c r="AC347" s="1247" t="s">
        <v>937</v>
      </c>
      <c r="AD347" s="1255" t="s">
        <v>488</v>
      </c>
      <c r="AE347" s="1188">
        <v>642</v>
      </c>
      <c r="AF347" s="1248">
        <f>I347*AE347</f>
        <v>2773440</v>
      </c>
      <c r="AG347" s="1249" t="s">
        <v>1528</v>
      </c>
      <c r="AH347" s="1234" t="s">
        <v>490</v>
      </c>
      <c r="AI347" s="1234" t="s">
        <v>112</v>
      </c>
      <c r="AJ347" s="1234" t="s">
        <v>113</v>
      </c>
      <c r="AK347" s="1188"/>
      <c r="AL347" s="1188">
        <f t="shared" si="115"/>
        <v>12960</v>
      </c>
      <c r="AM347" s="1188"/>
      <c r="AN347" s="1188"/>
      <c r="AO347" s="1188"/>
      <c r="AP347" s="1188"/>
      <c r="AQ347" s="1240"/>
      <c r="AR347" s="1188"/>
      <c r="AS347" s="1236"/>
      <c r="AT347" s="1236"/>
      <c r="AU347" s="1188"/>
      <c r="AV347" s="1250">
        <f t="shared" si="113"/>
        <v>518.4</v>
      </c>
      <c r="AW347" s="1250"/>
      <c r="AX347" s="1188"/>
      <c r="AY347" s="1188"/>
      <c r="AZ347" s="1188"/>
      <c r="BA347" s="1188"/>
      <c r="BB347" s="1188">
        <f t="shared" si="116"/>
        <v>12960</v>
      </c>
      <c r="BC347" s="1188">
        <f t="shared" si="117"/>
        <v>12960</v>
      </c>
      <c r="BD347" s="1188">
        <f t="shared" si="118"/>
        <v>12960</v>
      </c>
      <c r="BE347" s="1188">
        <f t="shared" si="119"/>
        <v>4320</v>
      </c>
      <c r="BF347" s="1188">
        <f t="shared" si="120"/>
        <v>720</v>
      </c>
      <c r="BG347" s="1188"/>
      <c r="BH347" s="1188"/>
      <c r="BI347" s="1188"/>
      <c r="BJ347" s="1188"/>
      <c r="BK347" s="1188"/>
      <c r="BL347" s="1188"/>
      <c r="BM347" s="1188"/>
      <c r="BN347" s="1188"/>
      <c r="BO347" s="1240"/>
      <c r="BP347" s="1240"/>
      <c r="BQ347" s="1188"/>
      <c r="BR347" s="1236"/>
      <c r="BS347" s="1236"/>
      <c r="BT347" s="1188"/>
      <c r="BU347" s="1188"/>
      <c r="BV347" s="1240"/>
      <c r="BW347" s="1188"/>
      <c r="BX347" s="1188"/>
      <c r="BY347" s="1188"/>
      <c r="BZ347" s="1188"/>
      <c r="CA347" s="1188"/>
      <c r="CB347" s="1188"/>
      <c r="CC347" s="1188"/>
      <c r="CD347" s="1188">
        <f t="shared" si="107"/>
        <v>0</v>
      </c>
      <c r="CE347" s="1188">
        <f t="shared" si="114"/>
        <v>0</v>
      </c>
      <c r="CF347" s="1188">
        <f t="shared" si="108"/>
        <v>0</v>
      </c>
      <c r="CG347" s="1188">
        <f t="shared" si="109"/>
        <v>0</v>
      </c>
      <c r="CH347" s="1236"/>
      <c r="CI347" s="1236"/>
      <c r="CJ347" s="1236"/>
      <c r="CK347" s="1188"/>
      <c r="CL347" s="1188"/>
    </row>
    <row r="348" s="1168" customFormat="1" customHeight="1" spans="1:90">
      <c r="A348" s="1245">
        <v>46107</v>
      </c>
      <c r="B348" s="1247" t="s">
        <v>845</v>
      </c>
      <c r="C348" s="1234" t="s">
        <v>291</v>
      </c>
      <c r="D348" s="1188">
        <v>4500198843</v>
      </c>
      <c r="E348" s="1234">
        <v>7950324038</v>
      </c>
      <c r="F348" s="1188" t="s">
        <v>1529</v>
      </c>
      <c r="G348" s="1253" t="s">
        <v>482</v>
      </c>
      <c r="H348" s="1234" t="s">
        <v>483</v>
      </c>
      <c r="I348" s="1254">
        <v>4320</v>
      </c>
      <c r="J348" s="1234">
        <v>0</v>
      </c>
      <c r="K348" s="1234">
        <v>120</v>
      </c>
      <c r="L348" s="1246">
        <f t="shared" si="110"/>
        <v>36</v>
      </c>
      <c r="M348" s="1255">
        <v>46206</v>
      </c>
      <c r="N348" s="1320">
        <v>46225</v>
      </c>
      <c r="O348" s="1322" t="s">
        <v>1530</v>
      </c>
      <c r="P348" s="1233"/>
      <c r="Q348" s="1233" t="s">
        <v>106</v>
      </c>
      <c r="R348" s="1234" t="s">
        <v>1531</v>
      </c>
      <c r="S348" s="1234" t="s">
        <v>447</v>
      </c>
      <c r="T348" s="1233">
        <v>4320</v>
      </c>
      <c r="U348" s="1233">
        <f t="shared" si="121"/>
        <v>0</v>
      </c>
      <c r="V348" s="1234"/>
      <c r="W348" s="1221" t="s">
        <v>1330</v>
      </c>
      <c r="X348" s="1227" t="s">
        <v>107</v>
      </c>
      <c r="Y348" s="1227" t="s">
        <v>849</v>
      </c>
      <c r="Z348" s="1247"/>
      <c r="AA348" s="1247"/>
      <c r="AB348" s="1247"/>
      <c r="AC348" s="1247" t="s">
        <v>1076</v>
      </c>
      <c r="AD348" s="1255" t="s">
        <v>295</v>
      </c>
      <c r="AE348" s="1267">
        <v>1070</v>
      </c>
      <c r="AF348" s="1248">
        <f>L348*AE348</f>
        <v>38520</v>
      </c>
      <c r="AG348" s="1258"/>
      <c r="AH348" s="1234" t="s">
        <v>490</v>
      </c>
      <c r="AI348" s="1234" t="s">
        <v>112</v>
      </c>
      <c r="AJ348" s="1234" t="s">
        <v>113</v>
      </c>
      <c r="AK348" s="1188"/>
      <c r="AL348" s="1188">
        <f t="shared" si="115"/>
        <v>12960</v>
      </c>
      <c r="AM348" s="1188"/>
      <c r="AN348" s="1188"/>
      <c r="AO348" s="1188"/>
      <c r="AP348" s="1188"/>
      <c r="AQ348" s="1240"/>
      <c r="AR348" s="1188"/>
      <c r="AS348" s="1236"/>
      <c r="AT348" s="1236"/>
      <c r="AU348" s="1188"/>
      <c r="AV348" s="1250">
        <f t="shared" si="113"/>
        <v>518.4</v>
      </c>
      <c r="AW348" s="1250"/>
      <c r="AX348" s="1188"/>
      <c r="AY348" s="1188"/>
      <c r="AZ348" s="1188"/>
      <c r="BA348" s="1188"/>
      <c r="BB348" s="1188">
        <f t="shared" si="116"/>
        <v>12960</v>
      </c>
      <c r="BC348" s="1188">
        <f t="shared" si="117"/>
        <v>12960</v>
      </c>
      <c r="BD348" s="1188">
        <f t="shared" si="118"/>
        <v>12960</v>
      </c>
      <c r="BE348" s="1188">
        <f t="shared" si="119"/>
        <v>4320</v>
      </c>
      <c r="BF348" s="1188">
        <f t="shared" si="120"/>
        <v>720</v>
      </c>
      <c r="BG348" s="1188"/>
      <c r="BH348" s="1188"/>
      <c r="BI348" s="1188"/>
      <c r="BJ348" s="1188"/>
      <c r="BK348" s="1188"/>
      <c r="BL348" s="1188"/>
      <c r="BM348" s="1188"/>
      <c r="BN348" s="1188"/>
      <c r="BO348" s="1240"/>
      <c r="BP348" s="1240"/>
      <c r="BQ348" s="1188"/>
      <c r="BR348" s="1236"/>
      <c r="BS348" s="1236"/>
      <c r="BT348" s="1188"/>
      <c r="BU348" s="1188"/>
      <c r="BV348" s="1240"/>
      <c r="BW348" s="1188"/>
      <c r="BX348" s="1188"/>
      <c r="BY348" s="1188"/>
      <c r="BZ348" s="1188"/>
      <c r="CA348" s="1188"/>
      <c r="CB348" s="1188"/>
      <c r="CC348" s="1188"/>
      <c r="CD348" s="1188">
        <f t="shared" si="107"/>
        <v>0</v>
      </c>
      <c r="CE348" s="1188">
        <f t="shared" si="114"/>
        <v>0</v>
      </c>
      <c r="CF348" s="1188">
        <f t="shared" si="108"/>
        <v>0</v>
      </c>
      <c r="CG348" s="1188">
        <f t="shared" si="109"/>
        <v>0</v>
      </c>
      <c r="CH348" s="1236"/>
      <c r="CI348" s="1236"/>
      <c r="CJ348" s="1236"/>
      <c r="CK348" s="1188"/>
      <c r="CL348" s="1188"/>
    </row>
    <row r="349" s="1168" customFormat="1" customHeight="1" spans="1:90">
      <c r="A349" s="1245">
        <v>46142</v>
      </c>
      <c r="B349" s="1247" t="s">
        <v>1532</v>
      </c>
      <c r="C349" s="1234" t="s">
        <v>1533</v>
      </c>
      <c r="D349" s="1268">
        <v>4500203217</v>
      </c>
      <c r="E349" s="1234" t="s">
        <v>1534</v>
      </c>
      <c r="F349" s="1188" t="s">
        <v>1535</v>
      </c>
      <c r="G349" s="1253" t="s">
        <v>188</v>
      </c>
      <c r="H349" s="1234" t="s">
        <v>138</v>
      </c>
      <c r="I349" s="1254">
        <v>100</v>
      </c>
      <c r="J349" s="1234">
        <v>0</v>
      </c>
      <c r="K349" s="1234">
        <v>50</v>
      </c>
      <c r="L349" s="1246">
        <f t="shared" si="110"/>
        <v>2</v>
      </c>
      <c r="M349" s="1255">
        <v>46206</v>
      </c>
      <c r="N349" s="1320">
        <v>46220</v>
      </c>
      <c r="O349" s="1320"/>
      <c r="P349" s="1233"/>
      <c r="Q349" s="1233" t="s">
        <v>1410</v>
      </c>
      <c r="R349" s="1234" t="s">
        <v>1536</v>
      </c>
      <c r="S349" s="1234"/>
      <c r="T349" s="1233">
        <v>100</v>
      </c>
      <c r="U349" s="1233">
        <f t="shared" si="121"/>
        <v>0</v>
      </c>
      <c r="V349" s="1234"/>
      <c r="W349" s="1238">
        <v>46177</v>
      </c>
      <c r="X349" s="1227" t="s">
        <v>95</v>
      </c>
      <c r="Y349" s="1227" t="s">
        <v>1537</v>
      </c>
      <c r="Z349" s="1247"/>
      <c r="AA349" s="1247"/>
      <c r="AB349" s="1247"/>
      <c r="AC349" s="1334" t="s">
        <v>1538</v>
      </c>
      <c r="AD349" s="1255" t="s">
        <v>1169</v>
      </c>
      <c r="AE349" s="1188">
        <v>1.0942</v>
      </c>
      <c r="AF349" s="1248">
        <f t="shared" ref="AF349:AF356" si="122">AE349*I349</f>
        <v>109.42</v>
      </c>
      <c r="AG349" s="1258"/>
      <c r="AH349" s="1234" t="s">
        <v>314</v>
      </c>
      <c r="AI349" s="1234" t="s">
        <v>112</v>
      </c>
      <c r="AJ349" s="1234" t="s">
        <v>113</v>
      </c>
      <c r="AK349" s="1188">
        <f t="shared" ref="AK349:AK368" si="123">I349</f>
        <v>100</v>
      </c>
      <c r="AL349" s="1188"/>
      <c r="AM349" s="1188"/>
      <c r="AN349" s="1188"/>
      <c r="AO349" s="1188"/>
      <c r="AP349" s="1188">
        <f>I349</f>
        <v>100</v>
      </c>
      <c r="AQ349" s="1240"/>
      <c r="AR349" s="1188"/>
      <c r="AS349" s="1236"/>
      <c r="AT349" s="1236"/>
      <c r="AU349" s="1188">
        <f t="shared" ref="AU349:AU366" si="124">I349</f>
        <v>100</v>
      </c>
      <c r="AV349" s="1250">
        <f t="shared" si="113"/>
        <v>12</v>
      </c>
      <c r="AW349" s="1250"/>
      <c r="AX349" s="1188"/>
      <c r="AY349" s="1188"/>
      <c r="AZ349" s="1188"/>
      <c r="BA349" s="1188"/>
      <c r="BB349" s="1188"/>
      <c r="BC349" s="1188"/>
      <c r="BD349" s="1188"/>
      <c r="BE349" s="1188"/>
      <c r="BF349" s="1188"/>
      <c r="BG349" s="1188"/>
      <c r="BH349" s="1188"/>
      <c r="BI349" s="1188"/>
      <c r="BJ349" s="1188"/>
      <c r="BK349" s="1188"/>
      <c r="BL349" s="1188"/>
      <c r="BM349" s="1188"/>
      <c r="BN349" s="1188"/>
      <c r="BO349" s="1240">
        <f>I349/25</f>
        <v>4</v>
      </c>
      <c r="BP349" s="1240"/>
      <c r="BQ349" s="1188"/>
      <c r="BR349" s="1236"/>
      <c r="BS349" s="1236"/>
      <c r="BT349" s="1188"/>
      <c r="BU349" s="1188"/>
      <c r="BV349" s="1240"/>
      <c r="BW349" s="1188"/>
      <c r="BX349" s="1188"/>
      <c r="BY349" s="1188"/>
      <c r="BZ349" s="1188"/>
      <c r="CA349" s="1188"/>
      <c r="CB349" s="1188"/>
      <c r="CC349" s="1188"/>
      <c r="CD349" s="1188">
        <f t="shared" si="107"/>
        <v>4</v>
      </c>
      <c r="CE349" s="1188">
        <f t="shared" si="114"/>
        <v>0</v>
      </c>
      <c r="CF349" s="1188">
        <f t="shared" si="108"/>
        <v>0</v>
      </c>
      <c r="CG349" s="1188">
        <f t="shared" si="109"/>
        <v>0</v>
      </c>
      <c r="CH349" s="1236"/>
      <c r="CI349" s="1236"/>
      <c r="CJ349" s="1236"/>
      <c r="CK349" s="1188"/>
      <c r="CL349" s="1188"/>
    </row>
    <row r="350" s="1168" customFormat="1" customHeight="1" spans="1:90">
      <c r="A350" s="1245">
        <v>46198</v>
      </c>
      <c r="B350" s="1247" t="s">
        <v>378</v>
      </c>
      <c r="C350" s="1234" t="s">
        <v>201</v>
      </c>
      <c r="D350" s="1268">
        <v>4500213633</v>
      </c>
      <c r="E350" s="1234">
        <v>2551020363</v>
      </c>
      <c r="F350" s="1188" t="s">
        <v>1539</v>
      </c>
      <c r="G350" s="1253" t="s">
        <v>380</v>
      </c>
      <c r="H350" s="1234" t="s">
        <v>381</v>
      </c>
      <c r="I350" s="1254">
        <v>6480</v>
      </c>
      <c r="J350" s="1234">
        <v>0</v>
      </c>
      <c r="K350" s="1234">
        <v>16</v>
      </c>
      <c r="L350" s="1246">
        <f>IF(K350=0,"",I350/K350)</f>
        <v>405</v>
      </c>
      <c r="M350" s="1255">
        <v>46209</v>
      </c>
      <c r="N350" s="1255">
        <v>46205</v>
      </c>
      <c r="O350" s="1255"/>
      <c r="P350" s="1233" t="s">
        <v>1540</v>
      </c>
      <c r="Q350" s="1255" t="s">
        <v>106</v>
      </c>
      <c r="R350" s="1234"/>
      <c r="S350" s="1234" t="s">
        <v>718</v>
      </c>
      <c r="T350" s="1233">
        <f>1808+1808+2864</f>
        <v>6480</v>
      </c>
      <c r="U350" s="1233">
        <f t="shared" si="121"/>
        <v>0</v>
      </c>
      <c r="V350" s="1234"/>
      <c r="W350" s="1238" t="s">
        <v>1541</v>
      </c>
      <c r="X350" s="1227" t="s">
        <v>95</v>
      </c>
      <c r="Y350" s="1227" t="s">
        <v>1542</v>
      </c>
      <c r="Z350" s="1247"/>
      <c r="AA350" s="1247"/>
      <c r="AB350" s="1247"/>
      <c r="AC350" s="1247" t="s">
        <v>1543</v>
      </c>
      <c r="AD350" s="1248" t="s">
        <v>384</v>
      </c>
      <c r="AE350" s="1247">
        <v>1.1566</v>
      </c>
      <c r="AF350" s="1248">
        <f t="shared" si="122"/>
        <v>7494.768</v>
      </c>
      <c r="AG350" s="1258"/>
      <c r="AH350" s="1234" t="s">
        <v>1544</v>
      </c>
      <c r="AI350" s="1234" t="s">
        <v>112</v>
      </c>
      <c r="AJ350" s="1234" t="s">
        <v>113</v>
      </c>
      <c r="AK350" s="1188">
        <f t="shared" si="123"/>
        <v>6480</v>
      </c>
      <c r="AL350" s="1188"/>
      <c r="AM350" s="1188"/>
      <c r="AN350" s="1188"/>
      <c r="AO350" s="1188"/>
      <c r="AP350" s="1188">
        <f>I350</f>
        <v>6480</v>
      </c>
      <c r="AQ350" s="1240"/>
      <c r="AR350" s="1188"/>
      <c r="AS350" s="1236"/>
      <c r="AT350" s="1236"/>
      <c r="AU350" s="1188">
        <f t="shared" si="124"/>
        <v>6480</v>
      </c>
      <c r="AV350" s="1250"/>
      <c r="AW350" s="1250"/>
      <c r="AX350" s="1188"/>
      <c r="AY350" s="1188"/>
      <c r="AZ350" s="1188"/>
      <c r="BA350" s="1188"/>
      <c r="BB350" s="1188"/>
      <c r="BC350" s="1188"/>
      <c r="BD350" s="1188"/>
      <c r="BE350" s="1188"/>
      <c r="BF350" s="1188"/>
      <c r="BG350" s="1188"/>
      <c r="BH350" s="1188"/>
      <c r="BI350" s="1188"/>
      <c r="BJ350" s="1188"/>
      <c r="BK350" s="1188"/>
      <c r="BL350" s="1188"/>
      <c r="BM350" s="1188"/>
      <c r="BN350" s="1188"/>
      <c r="BO350" s="1240"/>
      <c r="BP350" s="1240"/>
      <c r="BQ350" s="1188"/>
      <c r="BR350" s="1236"/>
      <c r="BS350" s="1188">
        <f>I350/16</f>
        <v>405</v>
      </c>
      <c r="BT350" s="1188"/>
      <c r="BU350" s="1188"/>
      <c r="BV350" s="1240"/>
      <c r="BW350" s="1188"/>
      <c r="BX350" s="1188"/>
      <c r="BY350" s="1188"/>
      <c r="BZ350" s="1188"/>
      <c r="CA350" s="1188"/>
      <c r="CB350" s="1188"/>
      <c r="CC350" s="1188"/>
      <c r="CD350" s="1188">
        <f t="shared" si="107"/>
        <v>405</v>
      </c>
      <c r="CE350" s="1188">
        <f t="shared" si="114"/>
        <v>0</v>
      </c>
      <c r="CF350" s="1188">
        <f t="shared" si="108"/>
        <v>0</v>
      </c>
      <c r="CG350" s="1188">
        <f t="shared" si="109"/>
        <v>0</v>
      </c>
      <c r="CH350" s="1236"/>
      <c r="CI350" s="1236"/>
      <c r="CJ350" s="1236"/>
      <c r="CK350" s="1188"/>
      <c r="CL350" s="1188"/>
    </row>
    <row r="351" s="1168" customFormat="1" customHeight="1" spans="1:90">
      <c r="A351" s="1245">
        <v>46203</v>
      </c>
      <c r="B351" s="1247" t="s">
        <v>346</v>
      </c>
      <c r="C351" s="1234" t="s">
        <v>115</v>
      </c>
      <c r="D351" s="1188">
        <v>4500214280</v>
      </c>
      <c r="E351" s="1890" t="s">
        <v>1545</v>
      </c>
      <c r="F351" s="1188" t="s">
        <v>1546</v>
      </c>
      <c r="G351" s="1253" t="s">
        <v>380</v>
      </c>
      <c r="H351" s="1234" t="s">
        <v>381</v>
      </c>
      <c r="I351" s="1254">
        <v>31424</v>
      </c>
      <c r="J351" s="1234">
        <v>0</v>
      </c>
      <c r="K351" s="1234">
        <v>16</v>
      </c>
      <c r="L351" s="1246">
        <f t="shared" ref="L351:L409" si="125">I351/K351</f>
        <v>1964</v>
      </c>
      <c r="M351" s="1255">
        <v>46210</v>
      </c>
      <c r="N351" s="1255">
        <v>46206</v>
      </c>
      <c r="O351" s="1255" t="s">
        <v>736</v>
      </c>
      <c r="P351" s="1233" t="s">
        <v>1547</v>
      </c>
      <c r="Q351" s="1255" t="s">
        <v>1548</v>
      </c>
      <c r="R351" s="1234" t="s">
        <v>1549</v>
      </c>
      <c r="S351" s="1234" t="s">
        <v>1550</v>
      </c>
      <c r="T351" s="1233">
        <v>31424</v>
      </c>
      <c r="U351" s="1233">
        <f t="shared" si="121"/>
        <v>0</v>
      </c>
      <c r="V351" s="1234"/>
      <c r="W351" s="1238" t="s">
        <v>1551</v>
      </c>
      <c r="X351" s="1227" t="s">
        <v>95</v>
      </c>
      <c r="Y351" s="1227" t="s">
        <v>1552</v>
      </c>
      <c r="Z351" s="1247"/>
      <c r="AA351" s="1247"/>
      <c r="AB351" s="1247"/>
      <c r="AC351" s="1247" t="s">
        <v>1553</v>
      </c>
      <c r="AD351" s="1248" t="s">
        <v>354</v>
      </c>
      <c r="AE351" s="1247">
        <v>0.664</v>
      </c>
      <c r="AF351" s="1248">
        <f t="shared" si="122"/>
        <v>20865.536</v>
      </c>
      <c r="AG351" s="1249" t="s">
        <v>1554</v>
      </c>
      <c r="AH351" s="1234" t="s">
        <v>380</v>
      </c>
      <c r="AI351" s="1234" t="s">
        <v>112</v>
      </c>
      <c r="AJ351" s="1234" t="s">
        <v>113</v>
      </c>
      <c r="AK351" s="1188">
        <f t="shared" si="123"/>
        <v>31424</v>
      </c>
      <c r="AL351" s="1188"/>
      <c r="AM351" s="1188"/>
      <c r="AN351" s="1188">
        <f t="shared" ref="AN351:AN358" si="126">I351</f>
        <v>31424</v>
      </c>
      <c r="AO351" s="1188"/>
      <c r="AP351" s="1188"/>
      <c r="AQ351" s="1240"/>
      <c r="AR351" s="1188"/>
      <c r="AS351" s="1236"/>
      <c r="AT351" s="1236"/>
      <c r="AU351" s="1188">
        <f t="shared" si="124"/>
        <v>31424</v>
      </c>
      <c r="AV351" s="1250"/>
      <c r="AW351" s="1250"/>
      <c r="AX351" s="1188"/>
      <c r="AY351" s="1188"/>
      <c r="AZ351" s="1188"/>
      <c r="BA351" s="1188"/>
      <c r="BB351" s="1188"/>
      <c r="BC351" s="1188"/>
      <c r="BD351" s="1188"/>
      <c r="BE351" s="1188"/>
      <c r="BF351" s="1188"/>
      <c r="BG351" s="1188"/>
      <c r="BH351" s="1188"/>
      <c r="BI351" s="1188"/>
      <c r="BJ351" s="1188"/>
      <c r="BK351" s="1188"/>
      <c r="BL351" s="1188"/>
      <c r="BM351" s="1188"/>
      <c r="BN351" s="1188"/>
      <c r="BO351" s="1240"/>
      <c r="BP351" s="1240"/>
      <c r="BQ351" s="1188"/>
      <c r="BR351" s="1236">
        <f t="shared" ref="BR351:BR358" si="127">I351/16</f>
        <v>1964</v>
      </c>
      <c r="BS351" s="1236"/>
      <c r="BT351" s="1188"/>
      <c r="BU351" s="1188"/>
      <c r="BV351" s="1240"/>
      <c r="BW351" s="1188"/>
      <c r="BX351" s="1188"/>
      <c r="BY351" s="1188"/>
      <c r="BZ351" s="1188"/>
      <c r="CA351" s="1188"/>
      <c r="CB351" s="1188"/>
      <c r="CC351" s="1188"/>
      <c r="CD351" s="1188">
        <f t="shared" si="107"/>
        <v>1964</v>
      </c>
      <c r="CE351" s="1188">
        <f t="shared" si="114"/>
        <v>0</v>
      </c>
      <c r="CF351" s="1188">
        <f t="shared" si="108"/>
        <v>0</v>
      </c>
      <c r="CG351" s="1188">
        <f t="shared" si="109"/>
        <v>0</v>
      </c>
      <c r="CH351" s="1236"/>
      <c r="CI351" s="1236"/>
      <c r="CJ351" s="1236"/>
      <c r="CK351" s="1188"/>
      <c r="CL351" s="1188"/>
    </row>
    <row r="352" s="1168" customFormat="1" customHeight="1" spans="1:90">
      <c r="A352" s="1245">
        <v>46203</v>
      </c>
      <c r="B352" s="1247" t="s">
        <v>346</v>
      </c>
      <c r="C352" s="1234" t="s">
        <v>115</v>
      </c>
      <c r="D352" s="1188">
        <v>4500214280</v>
      </c>
      <c r="E352" s="1890" t="s">
        <v>1555</v>
      </c>
      <c r="F352" s="1188" t="s">
        <v>1556</v>
      </c>
      <c r="G352" s="1253" t="s">
        <v>380</v>
      </c>
      <c r="H352" s="1234" t="s">
        <v>381</v>
      </c>
      <c r="I352" s="1254">
        <v>23744</v>
      </c>
      <c r="J352" s="1234">
        <v>0</v>
      </c>
      <c r="K352" s="1234">
        <v>16</v>
      </c>
      <c r="L352" s="1246">
        <f t="shared" si="125"/>
        <v>1484</v>
      </c>
      <c r="M352" s="1255">
        <v>46210</v>
      </c>
      <c r="N352" s="1255">
        <v>46206</v>
      </c>
      <c r="O352" s="1255" t="s">
        <v>736</v>
      </c>
      <c r="P352" s="1233" t="s">
        <v>1547</v>
      </c>
      <c r="Q352" s="1255" t="s">
        <v>1548</v>
      </c>
      <c r="R352" s="1234" t="s">
        <v>1549</v>
      </c>
      <c r="S352" s="1234" t="s">
        <v>1550</v>
      </c>
      <c r="T352" s="1233">
        <f>13440+8384</f>
        <v>21824</v>
      </c>
      <c r="U352" s="1233">
        <f t="shared" si="121"/>
        <v>-1920</v>
      </c>
      <c r="V352" s="1234"/>
      <c r="W352" s="1238" t="s">
        <v>1551</v>
      </c>
      <c r="X352" s="1227" t="s">
        <v>95</v>
      </c>
      <c r="Y352" s="1227" t="s">
        <v>1552</v>
      </c>
      <c r="Z352" s="1247"/>
      <c r="AA352" s="1247"/>
      <c r="AB352" s="1247"/>
      <c r="AC352" s="1247" t="s">
        <v>1553</v>
      </c>
      <c r="AD352" s="1248" t="s">
        <v>354</v>
      </c>
      <c r="AE352" s="1247">
        <v>0.664</v>
      </c>
      <c r="AF352" s="1248">
        <f t="shared" si="122"/>
        <v>15766.016</v>
      </c>
      <c r="AG352" s="1249" t="s">
        <v>1557</v>
      </c>
      <c r="AH352" s="1234" t="s">
        <v>380</v>
      </c>
      <c r="AI352" s="1234" t="s">
        <v>112</v>
      </c>
      <c r="AJ352" s="1234" t="s">
        <v>113</v>
      </c>
      <c r="AK352" s="1188">
        <f t="shared" si="123"/>
        <v>23744</v>
      </c>
      <c r="AL352" s="1188"/>
      <c r="AM352" s="1188"/>
      <c r="AN352" s="1188">
        <f t="shared" si="126"/>
        <v>23744</v>
      </c>
      <c r="AO352" s="1188"/>
      <c r="AP352" s="1188"/>
      <c r="AQ352" s="1240"/>
      <c r="AR352" s="1188"/>
      <c r="AS352" s="1236"/>
      <c r="AT352" s="1236"/>
      <c r="AU352" s="1188">
        <f t="shared" si="124"/>
        <v>23744</v>
      </c>
      <c r="AV352" s="1250"/>
      <c r="AW352" s="1250"/>
      <c r="AX352" s="1188"/>
      <c r="AY352" s="1188"/>
      <c r="AZ352" s="1188"/>
      <c r="BA352" s="1188"/>
      <c r="BB352" s="1188"/>
      <c r="BC352" s="1188"/>
      <c r="BD352" s="1188"/>
      <c r="BE352" s="1188"/>
      <c r="BF352" s="1188"/>
      <c r="BG352" s="1188"/>
      <c r="BH352" s="1188"/>
      <c r="BI352" s="1188"/>
      <c r="BJ352" s="1188"/>
      <c r="BK352" s="1188"/>
      <c r="BL352" s="1188"/>
      <c r="BM352" s="1188"/>
      <c r="BN352" s="1188"/>
      <c r="BO352" s="1240"/>
      <c r="BP352" s="1240"/>
      <c r="BQ352" s="1188"/>
      <c r="BR352" s="1236">
        <f t="shared" si="127"/>
        <v>1484</v>
      </c>
      <c r="BS352" s="1236"/>
      <c r="BT352" s="1188"/>
      <c r="BU352" s="1188"/>
      <c r="BV352" s="1240"/>
      <c r="BW352" s="1188"/>
      <c r="BX352" s="1188"/>
      <c r="BY352" s="1188"/>
      <c r="BZ352" s="1188"/>
      <c r="CA352" s="1188"/>
      <c r="CB352" s="1188"/>
      <c r="CC352" s="1188"/>
      <c r="CD352" s="1188">
        <f t="shared" si="107"/>
        <v>1484</v>
      </c>
      <c r="CE352" s="1188">
        <f t="shared" si="114"/>
        <v>0</v>
      </c>
      <c r="CF352" s="1188">
        <f t="shared" si="108"/>
        <v>0</v>
      </c>
      <c r="CG352" s="1188">
        <f t="shared" si="109"/>
        <v>0</v>
      </c>
      <c r="CH352" s="1236"/>
      <c r="CI352" s="1236"/>
      <c r="CJ352" s="1236"/>
      <c r="CK352" s="1188"/>
      <c r="CL352" s="1188"/>
    </row>
    <row r="353" s="1168" customFormat="1" customHeight="1" spans="1:111">
      <c r="A353" s="1245">
        <v>46203</v>
      </c>
      <c r="B353" s="1247" t="s">
        <v>346</v>
      </c>
      <c r="C353" s="1234" t="s">
        <v>115</v>
      </c>
      <c r="D353" s="1188">
        <v>4500214280</v>
      </c>
      <c r="E353" s="1890" t="s">
        <v>1558</v>
      </c>
      <c r="F353" s="1188" t="s">
        <v>1559</v>
      </c>
      <c r="G353" s="1253" t="s">
        <v>380</v>
      </c>
      <c r="H353" s="1234" t="s">
        <v>381</v>
      </c>
      <c r="I353" s="1254">
        <v>20032</v>
      </c>
      <c r="J353" s="1234">
        <v>0</v>
      </c>
      <c r="K353" s="1234">
        <v>16</v>
      </c>
      <c r="L353" s="1246">
        <f t="shared" si="125"/>
        <v>1252</v>
      </c>
      <c r="M353" s="1255">
        <v>46210</v>
      </c>
      <c r="N353" s="1255">
        <v>46206</v>
      </c>
      <c r="O353" s="1255" t="s">
        <v>736</v>
      </c>
      <c r="P353" s="1233" t="s">
        <v>1547</v>
      </c>
      <c r="Q353" s="1255" t="s">
        <v>1548</v>
      </c>
      <c r="R353" s="1234" t="s">
        <v>1549</v>
      </c>
      <c r="S353" s="1234" t="s">
        <v>1550</v>
      </c>
      <c r="T353" s="1233">
        <v>20032</v>
      </c>
      <c r="U353" s="1233">
        <f t="shared" si="121"/>
        <v>0</v>
      </c>
      <c r="V353" s="1234"/>
      <c r="W353" s="1238" t="s">
        <v>1551</v>
      </c>
      <c r="X353" s="1227" t="s">
        <v>95</v>
      </c>
      <c r="Y353" s="1227" t="s">
        <v>1552</v>
      </c>
      <c r="Z353" s="1247"/>
      <c r="AA353" s="1247"/>
      <c r="AB353" s="1247"/>
      <c r="AC353" s="1247" t="s">
        <v>1553</v>
      </c>
      <c r="AD353" s="1248" t="s">
        <v>354</v>
      </c>
      <c r="AE353" s="1247">
        <v>0.664</v>
      </c>
      <c r="AF353" s="1248">
        <f t="shared" si="122"/>
        <v>13301.248</v>
      </c>
      <c r="AG353" s="1249" t="s">
        <v>1560</v>
      </c>
      <c r="AH353" s="1234" t="s">
        <v>380</v>
      </c>
      <c r="AI353" s="1234" t="s">
        <v>112</v>
      </c>
      <c r="AJ353" s="1234" t="s">
        <v>113</v>
      </c>
      <c r="AK353" s="1188">
        <f t="shared" si="123"/>
        <v>20032</v>
      </c>
      <c r="AL353" s="1188"/>
      <c r="AM353" s="1188"/>
      <c r="AN353" s="1188">
        <f t="shared" si="126"/>
        <v>20032</v>
      </c>
      <c r="AO353" s="1188"/>
      <c r="AP353" s="1188"/>
      <c r="AQ353" s="1240"/>
      <c r="AR353" s="1188"/>
      <c r="AS353" s="1236"/>
      <c r="AT353" s="1236"/>
      <c r="AU353" s="1188">
        <f t="shared" si="124"/>
        <v>20032</v>
      </c>
      <c r="AV353" s="1250"/>
      <c r="AW353" s="1250"/>
      <c r="AX353" s="1188"/>
      <c r="AY353" s="1188"/>
      <c r="AZ353" s="1188"/>
      <c r="BA353" s="1188"/>
      <c r="BB353" s="1188"/>
      <c r="BC353" s="1188"/>
      <c r="BD353" s="1188"/>
      <c r="BE353" s="1188"/>
      <c r="BF353" s="1188"/>
      <c r="BG353" s="1188"/>
      <c r="BH353" s="1188"/>
      <c r="BI353" s="1188"/>
      <c r="BJ353" s="1188"/>
      <c r="BK353" s="1188"/>
      <c r="BL353" s="1188"/>
      <c r="BM353" s="1188"/>
      <c r="BN353" s="1188"/>
      <c r="BO353" s="1240"/>
      <c r="BP353" s="1240"/>
      <c r="BQ353" s="1188"/>
      <c r="BR353" s="1236">
        <f t="shared" si="127"/>
        <v>1252</v>
      </c>
      <c r="BS353" s="1236"/>
      <c r="BT353" s="1188"/>
      <c r="BU353" s="1188"/>
      <c r="BV353" s="1240"/>
      <c r="BW353" s="1188"/>
      <c r="BX353" s="1188"/>
      <c r="BY353" s="1188"/>
      <c r="BZ353" s="1188"/>
      <c r="CA353" s="1188"/>
      <c r="CB353" s="1188"/>
      <c r="CC353" s="1188"/>
      <c r="CD353" s="1188">
        <f t="shared" si="107"/>
        <v>1252</v>
      </c>
      <c r="CE353" s="1188">
        <f t="shared" si="114"/>
        <v>0</v>
      </c>
      <c r="CF353" s="1188">
        <f t="shared" si="108"/>
        <v>0</v>
      </c>
      <c r="CG353" s="1188">
        <f t="shared" si="109"/>
        <v>0</v>
      </c>
      <c r="CH353" s="1236"/>
      <c r="CI353" s="1236"/>
      <c r="CJ353" s="1236"/>
      <c r="CK353" s="1188"/>
      <c r="CL353" s="1188"/>
    </row>
    <row r="354" s="1168" customFormat="1" customHeight="1" spans="1:111">
      <c r="A354" s="1245">
        <v>46203</v>
      </c>
      <c r="B354" s="1247" t="s">
        <v>346</v>
      </c>
      <c r="C354" s="1234" t="s">
        <v>115</v>
      </c>
      <c r="D354" s="1188">
        <v>4500214280</v>
      </c>
      <c r="E354" s="1890" t="s">
        <v>1561</v>
      </c>
      <c r="F354" s="1188" t="s">
        <v>1562</v>
      </c>
      <c r="G354" s="1253" t="s">
        <v>380</v>
      </c>
      <c r="H354" s="1234" t="s">
        <v>381</v>
      </c>
      <c r="I354" s="1254">
        <v>23408</v>
      </c>
      <c r="J354" s="1234">
        <v>0</v>
      </c>
      <c r="K354" s="1234">
        <v>16</v>
      </c>
      <c r="L354" s="1246">
        <f t="shared" si="125"/>
        <v>1463</v>
      </c>
      <c r="M354" s="1255">
        <v>46210</v>
      </c>
      <c r="N354" s="1255">
        <v>46206</v>
      </c>
      <c r="O354" s="1255" t="s">
        <v>736</v>
      </c>
      <c r="P354" s="1233" t="s">
        <v>1547</v>
      </c>
      <c r="Q354" s="1255" t="s">
        <v>1548</v>
      </c>
      <c r="R354" s="1234" t="s">
        <v>1549</v>
      </c>
      <c r="S354" s="1234" t="s">
        <v>1550</v>
      </c>
      <c r="T354" s="1233">
        <v>23408</v>
      </c>
      <c r="U354" s="1233">
        <f t="shared" si="121"/>
        <v>0</v>
      </c>
      <c r="V354" s="1234"/>
      <c r="W354" s="1238" t="s">
        <v>1551</v>
      </c>
      <c r="X354" s="1227" t="s">
        <v>95</v>
      </c>
      <c r="Y354" s="1227" t="s">
        <v>1552</v>
      </c>
      <c r="Z354" s="1247"/>
      <c r="AA354" s="1247"/>
      <c r="AB354" s="1247"/>
      <c r="AC354" s="1247" t="s">
        <v>1553</v>
      </c>
      <c r="AD354" s="1248" t="s">
        <v>354</v>
      </c>
      <c r="AE354" s="1247">
        <v>0.664</v>
      </c>
      <c r="AF354" s="1248">
        <f t="shared" si="122"/>
        <v>15542.912</v>
      </c>
      <c r="AG354" s="1249" t="s">
        <v>1563</v>
      </c>
      <c r="AH354" s="1234" t="s">
        <v>380</v>
      </c>
      <c r="AI354" s="1234" t="s">
        <v>112</v>
      </c>
      <c r="AJ354" s="1234" t="s">
        <v>113</v>
      </c>
      <c r="AK354" s="1188">
        <f t="shared" si="123"/>
        <v>23408</v>
      </c>
      <c r="AL354" s="1188"/>
      <c r="AM354" s="1188"/>
      <c r="AN354" s="1188">
        <f t="shared" si="126"/>
        <v>23408</v>
      </c>
      <c r="AO354" s="1188"/>
      <c r="AP354" s="1188"/>
      <c r="AQ354" s="1240"/>
      <c r="AR354" s="1188"/>
      <c r="AS354" s="1236"/>
      <c r="AT354" s="1236"/>
      <c r="AU354" s="1188">
        <f t="shared" si="124"/>
        <v>23408</v>
      </c>
      <c r="AV354" s="1250"/>
      <c r="AW354" s="1250"/>
      <c r="AX354" s="1188"/>
      <c r="AY354" s="1188"/>
      <c r="AZ354" s="1188"/>
      <c r="BA354" s="1188"/>
      <c r="BB354" s="1188"/>
      <c r="BC354" s="1188"/>
      <c r="BD354" s="1188"/>
      <c r="BE354" s="1188"/>
      <c r="BF354" s="1188"/>
      <c r="BG354" s="1188"/>
      <c r="BH354" s="1188"/>
      <c r="BI354" s="1188"/>
      <c r="BJ354" s="1188"/>
      <c r="BK354" s="1188"/>
      <c r="BL354" s="1188"/>
      <c r="BM354" s="1188"/>
      <c r="BN354" s="1188"/>
      <c r="BO354" s="1240"/>
      <c r="BP354" s="1240"/>
      <c r="BQ354" s="1188"/>
      <c r="BR354" s="1236">
        <f t="shared" si="127"/>
        <v>1463</v>
      </c>
      <c r="BS354" s="1236"/>
      <c r="BT354" s="1188"/>
      <c r="BU354" s="1188"/>
      <c r="BV354" s="1240"/>
      <c r="BW354" s="1188"/>
      <c r="BX354" s="1188"/>
      <c r="BY354" s="1188"/>
      <c r="BZ354" s="1188"/>
      <c r="CA354" s="1188"/>
      <c r="CB354" s="1188"/>
      <c r="CC354" s="1188"/>
      <c r="CD354" s="1188">
        <f t="shared" si="107"/>
        <v>1463</v>
      </c>
      <c r="CE354" s="1188">
        <f t="shared" si="114"/>
        <v>0</v>
      </c>
      <c r="CF354" s="1188">
        <f t="shared" si="108"/>
        <v>0</v>
      </c>
      <c r="CG354" s="1188">
        <f t="shared" si="109"/>
        <v>0</v>
      </c>
      <c r="CH354" s="1236"/>
      <c r="CI354" s="1236"/>
      <c r="CJ354" s="1236"/>
      <c r="CK354" s="1188"/>
      <c r="CL354" s="1188"/>
    </row>
    <row r="355" s="1168" customFormat="1" customHeight="1" spans="1:111">
      <c r="A355" s="1245">
        <v>46203</v>
      </c>
      <c r="B355" s="1247" t="s">
        <v>346</v>
      </c>
      <c r="C355" s="1234" t="s">
        <v>115</v>
      </c>
      <c r="D355" s="1188">
        <v>4500214280</v>
      </c>
      <c r="E355" s="1890" t="s">
        <v>1564</v>
      </c>
      <c r="F355" s="1188" t="s">
        <v>1565</v>
      </c>
      <c r="G355" s="1253" t="s">
        <v>380</v>
      </c>
      <c r="H355" s="1234" t="s">
        <v>381</v>
      </c>
      <c r="I355" s="1254">
        <v>26512</v>
      </c>
      <c r="J355" s="1234">
        <v>0</v>
      </c>
      <c r="K355" s="1234">
        <v>16</v>
      </c>
      <c r="L355" s="1246">
        <f t="shared" si="125"/>
        <v>1657</v>
      </c>
      <c r="M355" s="1255">
        <v>46210</v>
      </c>
      <c r="N355" s="1255">
        <v>46206</v>
      </c>
      <c r="O355" s="1255" t="s">
        <v>736</v>
      </c>
      <c r="P355" s="1233" t="s">
        <v>1547</v>
      </c>
      <c r="Q355" s="1255" t="s">
        <v>1548</v>
      </c>
      <c r="R355" s="1234" t="s">
        <v>1549</v>
      </c>
      <c r="S355" s="1234" t="s">
        <v>1550</v>
      </c>
      <c r="T355" s="1233">
        <f>3840+22672</f>
        <v>26512</v>
      </c>
      <c r="U355" s="1233">
        <f t="shared" si="121"/>
        <v>0</v>
      </c>
      <c r="V355" s="1234"/>
      <c r="W355" s="1238" t="s">
        <v>1551</v>
      </c>
      <c r="X355" s="1227" t="s">
        <v>95</v>
      </c>
      <c r="Y355" s="1227" t="s">
        <v>1552</v>
      </c>
      <c r="Z355" s="1247"/>
      <c r="AA355" s="1247"/>
      <c r="AB355" s="1247"/>
      <c r="AC355" s="1247" t="s">
        <v>1553</v>
      </c>
      <c r="AD355" s="1248" t="s">
        <v>354</v>
      </c>
      <c r="AE355" s="1247">
        <v>0.664</v>
      </c>
      <c r="AF355" s="1248">
        <f t="shared" si="122"/>
        <v>17603.968</v>
      </c>
      <c r="AG355" s="1249" t="s">
        <v>1566</v>
      </c>
      <c r="AH355" s="1234" t="s">
        <v>380</v>
      </c>
      <c r="AI355" s="1234" t="s">
        <v>112</v>
      </c>
      <c r="AJ355" s="1234" t="s">
        <v>113</v>
      </c>
      <c r="AK355" s="1188">
        <f t="shared" si="123"/>
        <v>26512</v>
      </c>
      <c r="AL355" s="1188"/>
      <c r="AM355" s="1188"/>
      <c r="AN355" s="1188">
        <f t="shared" si="126"/>
        <v>26512</v>
      </c>
      <c r="AO355" s="1188"/>
      <c r="AP355" s="1188"/>
      <c r="AQ355" s="1240"/>
      <c r="AR355" s="1188"/>
      <c r="AS355" s="1236"/>
      <c r="AT355" s="1236"/>
      <c r="AU355" s="1188">
        <f t="shared" si="124"/>
        <v>26512</v>
      </c>
      <c r="AV355" s="1250"/>
      <c r="AW355" s="1250"/>
      <c r="AX355" s="1188"/>
      <c r="AY355" s="1188"/>
      <c r="AZ355" s="1188"/>
      <c r="BA355" s="1188"/>
      <c r="BB355" s="1188"/>
      <c r="BC355" s="1188"/>
      <c r="BD355" s="1188"/>
      <c r="BE355" s="1188"/>
      <c r="BF355" s="1188"/>
      <c r="BG355" s="1188"/>
      <c r="BH355" s="1188"/>
      <c r="BI355" s="1188"/>
      <c r="BJ355" s="1188"/>
      <c r="BK355" s="1188"/>
      <c r="BL355" s="1188"/>
      <c r="BM355" s="1188"/>
      <c r="BN355" s="1188"/>
      <c r="BO355" s="1240"/>
      <c r="BP355" s="1240"/>
      <c r="BQ355" s="1188"/>
      <c r="BR355" s="1236">
        <f t="shared" si="127"/>
        <v>1657</v>
      </c>
      <c r="BS355" s="1236"/>
      <c r="BT355" s="1188"/>
      <c r="BU355" s="1188"/>
      <c r="BV355" s="1240"/>
      <c r="BW355" s="1188"/>
      <c r="BX355" s="1188"/>
      <c r="BY355" s="1188"/>
      <c r="BZ355" s="1188"/>
      <c r="CA355" s="1188"/>
      <c r="CB355" s="1188"/>
      <c r="CC355" s="1188"/>
      <c r="CD355" s="1188">
        <f t="shared" si="107"/>
        <v>1657</v>
      </c>
      <c r="CE355" s="1188">
        <f t="shared" si="114"/>
        <v>0</v>
      </c>
      <c r="CF355" s="1188">
        <f t="shared" si="108"/>
        <v>0</v>
      </c>
      <c r="CG355" s="1188">
        <f t="shared" si="109"/>
        <v>0</v>
      </c>
      <c r="CH355" s="1236"/>
      <c r="CI355" s="1236"/>
      <c r="CJ355" s="1236"/>
      <c r="CK355" s="1188"/>
      <c r="CL355" s="1188"/>
    </row>
    <row r="356" s="1168" customFormat="1" customHeight="1" spans="1:111">
      <c r="A356" s="1245">
        <v>46198</v>
      </c>
      <c r="B356" s="1247" t="s">
        <v>1567</v>
      </c>
      <c r="C356" s="1234" t="s">
        <v>115</v>
      </c>
      <c r="D356" s="1188" t="s">
        <v>1568</v>
      </c>
      <c r="E356" s="1234" t="s">
        <v>1569</v>
      </c>
      <c r="F356" s="1188" t="s">
        <v>1570</v>
      </c>
      <c r="G356" s="1253" t="s">
        <v>380</v>
      </c>
      <c r="H356" s="1234" t="s">
        <v>381</v>
      </c>
      <c r="I356" s="1330">
        <v>1712</v>
      </c>
      <c r="J356" s="1234">
        <v>0</v>
      </c>
      <c r="K356" s="1234">
        <v>16</v>
      </c>
      <c r="L356" s="1246">
        <f t="shared" si="125"/>
        <v>107</v>
      </c>
      <c r="M356" s="1255">
        <v>46210</v>
      </c>
      <c r="N356" s="1255" t="s">
        <v>1571</v>
      </c>
      <c r="O356" s="1255"/>
      <c r="P356" s="1233" t="s">
        <v>708</v>
      </c>
      <c r="Q356" s="1233"/>
      <c r="R356" s="1234"/>
      <c r="S356" s="1234"/>
      <c r="T356" s="1233"/>
      <c r="U356" s="1233">
        <f t="shared" si="121"/>
        <v>-1712</v>
      </c>
      <c r="V356" s="1234"/>
      <c r="W356" s="1238" t="s">
        <v>1572</v>
      </c>
      <c r="X356" s="1227" t="s">
        <v>95</v>
      </c>
      <c r="Y356" s="1227" t="s">
        <v>1542</v>
      </c>
      <c r="Z356" s="1247"/>
      <c r="AA356" s="1247"/>
      <c r="AB356" s="1247"/>
      <c r="AC356" s="1247" t="s">
        <v>1573</v>
      </c>
      <c r="AD356" s="1320"/>
      <c r="AE356" s="1251"/>
      <c r="AF356" s="1335">
        <f t="shared" si="122"/>
        <v>0</v>
      </c>
      <c r="AG356" s="1336"/>
      <c r="AH356" s="1234" t="s">
        <v>380</v>
      </c>
      <c r="AI356" s="1234" t="s">
        <v>99</v>
      </c>
      <c r="AJ356" s="1234"/>
      <c r="AK356" s="1188">
        <f t="shared" si="123"/>
        <v>1712</v>
      </c>
      <c r="AL356" s="1188"/>
      <c r="AM356" s="1188"/>
      <c r="AN356" s="1188">
        <f t="shared" si="126"/>
        <v>1712</v>
      </c>
      <c r="AO356" s="1188"/>
      <c r="AP356" s="1188"/>
      <c r="AQ356" s="1240"/>
      <c r="AR356" s="1188"/>
      <c r="AS356" s="1236"/>
      <c r="AT356" s="1236"/>
      <c r="AU356" s="1188">
        <f t="shared" si="124"/>
        <v>1712</v>
      </c>
      <c r="AV356" s="1250"/>
      <c r="AW356" s="1250"/>
      <c r="AX356" s="1188"/>
      <c r="AY356" s="1188"/>
      <c r="AZ356" s="1188"/>
      <c r="BA356" s="1188"/>
      <c r="BB356" s="1188"/>
      <c r="BC356" s="1188"/>
      <c r="BD356" s="1188"/>
      <c r="BE356" s="1188"/>
      <c r="BF356" s="1188"/>
      <c r="BG356" s="1188"/>
      <c r="BH356" s="1188"/>
      <c r="BI356" s="1188"/>
      <c r="BJ356" s="1188"/>
      <c r="BK356" s="1188"/>
      <c r="BL356" s="1188"/>
      <c r="BM356" s="1188"/>
      <c r="BN356" s="1188"/>
      <c r="BO356" s="1240"/>
      <c r="BP356" s="1240"/>
      <c r="BQ356" s="1188"/>
      <c r="BR356" s="1236">
        <f t="shared" si="127"/>
        <v>107</v>
      </c>
      <c r="BS356" s="1236"/>
      <c r="BT356" s="1188"/>
      <c r="BU356" s="1188"/>
      <c r="BV356" s="1240"/>
      <c r="BW356" s="1188"/>
      <c r="BX356" s="1188"/>
      <c r="BY356" s="1188"/>
      <c r="BZ356" s="1188"/>
      <c r="CA356" s="1188"/>
      <c r="CB356" s="1188"/>
      <c r="CC356" s="1188"/>
      <c r="CD356" s="1188">
        <f t="shared" si="107"/>
        <v>107</v>
      </c>
      <c r="CE356" s="1188">
        <f t="shared" si="114"/>
        <v>0</v>
      </c>
      <c r="CF356" s="1188">
        <f t="shared" si="108"/>
        <v>0</v>
      </c>
      <c r="CG356" s="1188">
        <f t="shared" si="109"/>
        <v>0</v>
      </c>
      <c r="CH356" s="1236"/>
      <c r="CI356" s="1236"/>
      <c r="CJ356" s="1236"/>
      <c r="CK356" s="1188"/>
      <c r="CL356" s="1188"/>
    </row>
    <row r="357" s="1168" customFormat="1" customHeight="1" spans="1:111">
      <c r="A357" s="1245">
        <v>46136</v>
      </c>
      <c r="B357" s="1247" t="s">
        <v>346</v>
      </c>
      <c r="C357" s="1234" t="s">
        <v>115</v>
      </c>
      <c r="D357" s="1268">
        <v>4500204118</v>
      </c>
      <c r="E357" s="1234">
        <v>7137244455</v>
      </c>
      <c r="F357" s="1188" t="s">
        <v>1574</v>
      </c>
      <c r="G357" s="1253" t="s">
        <v>1575</v>
      </c>
      <c r="H357" s="1234" t="s">
        <v>1576</v>
      </c>
      <c r="I357" s="1254">
        <v>17280</v>
      </c>
      <c r="J357" s="1234">
        <v>0</v>
      </c>
      <c r="K357" s="1234">
        <v>64</v>
      </c>
      <c r="L357" s="1246">
        <f t="shared" si="125"/>
        <v>270</v>
      </c>
      <c r="M357" s="1255">
        <v>46211</v>
      </c>
      <c r="N357" s="1255">
        <v>46209</v>
      </c>
      <c r="O357" s="1255" t="s">
        <v>736</v>
      </c>
      <c r="P357" s="1233" t="s">
        <v>1547</v>
      </c>
      <c r="Q357" s="1255" t="s">
        <v>106</v>
      </c>
      <c r="R357" s="1234"/>
      <c r="S357" s="1234" t="s">
        <v>718</v>
      </c>
      <c r="T357" s="1233">
        <v>17280</v>
      </c>
      <c r="U357" s="1233">
        <f t="shared" si="121"/>
        <v>0</v>
      </c>
      <c r="V357" s="1234"/>
      <c r="W357" s="1238">
        <v>46136</v>
      </c>
      <c r="X357" s="1227" t="s">
        <v>95</v>
      </c>
      <c r="Y357" s="1227" t="s">
        <v>1552</v>
      </c>
      <c r="Z357" s="1247" t="s">
        <v>1577</v>
      </c>
      <c r="AA357" s="1247"/>
      <c r="AB357" s="1247"/>
      <c r="AC357" s="1247" t="s">
        <v>1578</v>
      </c>
      <c r="AD357" s="1248" t="s">
        <v>354</v>
      </c>
      <c r="AE357" s="1247">
        <v>234.1959</v>
      </c>
      <c r="AF357" s="1248">
        <f>I357*AE357</f>
        <v>4046905.152</v>
      </c>
      <c r="AG357" s="1266" t="s">
        <v>1579</v>
      </c>
      <c r="AH357" s="1234" t="s">
        <v>1580</v>
      </c>
      <c r="AI357" s="1234" t="s">
        <v>112</v>
      </c>
      <c r="AJ357" s="1234" t="s">
        <v>113</v>
      </c>
      <c r="AK357" s="1188">
        <f t="shared" si="123"/>
        <v>17280</v>
      </c>
      <c r="AL357" s="1188"/>
      <c r="AM357" s="1188"/>
      <c r="AN357" s="1188">
        <f t="shared" si="126"/>
        <v>17280</v>
      </c>
      <c r="AO357" s="1188"/>
      <c r="AP357" s="1188"/>
      <c r="AQ357" s="1240"/>
      <c r="AR357" s="1188"/>
      <c r="AS357" s="1236"/>
      <c r="AT357" s="1236"/>
      <c r="AU357" s="1188">
        <f t="shared" si="124"/>
        <v>17280</v>
      </c>
      <c r="AV357" s="1250">
        <f t="shared" ref="AV357:AV362" si="128">I357*0.06*2</f>
        <v>2073.6</v>
      </c>
      <c r="AW357" s="1250"/>
      <c r="AX357" s="1188"/>
      <c r="AY357" s="1188"/>
      <c r="AZ357" s="1188"/>
      <c r="BA357" s="1188"/>
      <c r="BB357" s="1188"/>
      <c r="BC357" s="1188"/>
      <c r="BD357" s="1188"/>
      <c r="BE357" s="1188"/>
      <c r="BF357" s="1188"/>
      <c r="BG357" s="1188"/>
      <c r="BH357" s="1188"/>
      <c r="BI357" s="1188"/>
      <c r="BJ357" s="1188"/>
      <c r="BK357" s="1188"/>
      <c r="BL357" s="1188"/>
      <c r="BM357" s="1188"/>
      <c r="BN357" s="1188"/>
      <c r="BO357" s="1240"/>
      <c r="BP357" s="1240"/>
      <c r="BQ357" s="1188"/>
      <c r="BR357" s="1236">
        <f t="shared" si="127"/>
        <v>1080</v>
      </c>
      <c r="BS357" s="1236"/>
      <c r="BT357" s="1188"/>
      <c r="BU357" s="1188"/>
      <c r="BV357" s="1240"/>
      <c r="BW357" s="1188"/>
      <c r="BX357" s="1188"/>
      <c r="BY357" s="1188"/>
      <c r="BZ357" s="1188"/>
      <c r="CA357" s="1188">
        <f>I357/64</f>
        <v>270</v>
      </c>
      <c r="CB357" s="1188"/>
      <c r="CC357" s="1188"/>
      <c r="CD357" s="1188">
        <f t="shared" si="107"/>
        <v>1080</v>
      </c>
      <c r="CE357" s="1188">
        <f t="shared" si="114"/>
        <v>0</v>
      </c>
      <c r="CF357" s="1188">
        <f t="shared" si="108"/>
        <v>0</v>
      </c>
      <c r="CG357" s="1188">
        <f t="shared" si="109"/>
        <v>0</v>
      </c>
      <c r="CH357" s="1236"/>
      <c r="CI357" s="1236"/>
      <c r="CJ357" s="1236"/>
      <c r="CK357" s="1188"/>
      <c r="CL357" s="1188"/>
    </row>
    <row r="358" s="1168" customFormat="1" customHeight="1" spans="1:111">
      <c r="A358" s="1245">
        <v>46136</v>
      </c>
      <c r="B358" s="1247" t="s">
        <v>346</v>
      </c>
      <c r="C358" s="1234" t="s">
        <v>115</v>
      </c>
      <c r="D358" s="1268">
        <v>4500204118</v>
      </c>
      <c r="E358" s="1234">
        <v>7137244451</v>
      </c>
      <c r="F358" s="1188" t="s">
        <v>1581</v>
      </c>
      <c r="G358" s="1253" t="s">
        <v>1575</v>
      </c>
      <c r="H358" s="1234" t="s">
        <v>1576</v>
      </c>
      <c r="I358" s="1254">
        <v>18240</v>
      </c>
      <c r="J358" s="1234">
        <v>0</v>
      </c>
      <c r="K358" s="1234">
        <v>64</v>
      </c>
      <c r="L358" s="1246">
        <f t="shared" si="125"/>
        <v>285</v>
      </c>
      <c r="M358" s="1255">
        <v>46211</v>
      </c>
      <c r="N358" s="1255">
        <v>46209</v>
      </c>
      <c r="O358" s="1255" t="s">
        <v>736</v>
      </c>
      <c r="P358" s="1233" t="s">
        <v>1582</v>
      </c>
      <c r="Q358" s="1255" t="s">
        <v>106</v>
      </c>
      <c r="R358" s="1234"/>
      <c r="S358" s="1234" t="s">
        <v>943</v>
      </c>
      <c r="T358" s="1233">
        <v>18240</v>
      </c>
      <c r="U358" s="1233">
        <f t="shared" si="121"/>
        <v>0</v>
      </c>
      <c r="V358" s="1234"/>
      <c r="W358" s="1238">
        <v>46136</v>
      </c>
      <c r="X358" s="1227" t="s">
        <v>95</v>
      </c>
      <c r="Y358" s="1227" t="s">
        <v>1552</v>
      </c>
      <c r="Z358" s="1247" t="s">
        <v>1577</v>
      </c>
      <c r="AA358" s="1247"/>
      <c r="AB358" s="1247"/>
      <c r="AC358" s="1247" t="s">
        <v>1578</v>
      </c>
      <c r="AD358" s="1248" t="s">
        <v>354</v>
      </c>
      <c r="AE358" s="1247">
        <v>244.487</v>
      </c>
      <c r="AF358" s="1248">
        <f>I358*AE358</f>
        <v>4459442.88</v>
      </c>
      <c r="AG358" s="1266" t="s">
        <v>1579</v>
      </c>
      <c r="AH358" s="1234" t="s">
        <v>1580</v>
      </c>
      <c r="AI358" s="1234" t="s">
        <v>112</v>
      </c>
      <c r="AJ358" s="1234" t="s">
        <v>113</v>
      </c>
      <c r="AK358" s="1188">
        <f t="shared" si="123"/>
        <v>18240</v>
      </c>
      <c r="AL358" s="1188"/>
      <c r="AM358" s="1188"/>
      <c r="AN358" s="1188">
        <f t="shared" si="126"/>
        <v>18240</v>
      </c>
      <c r="AO358" s="1188"/>
      <c r="AP358" s="1188"/>
      <c r="AQ358" s="1240"/>
      <c r="AR358" s="1188"/>
      <c r="AS358" s="1236"/>
      <c r="AT358" s="1236"/>
      <c r="AU358" s="1188">
        <f t="shared" si="124"/>
        <v>18240</v>
      </c>
      <c r="AV358" s="1250">
        <f t="shared" si="128"/>
        <v>2188.8</v>
      </c>
      <c r="AW358" s="1250"/>
      <c r="AX358" s="1188"/>
      <c r="AY358" s="1188"/>
      <c r="AZ358" s="1188"/>
      <c r="BA358" s="1188"/>
      <c r="BB358" s="1188"/>
      <c r="BC358" s="1188"/>
      <c r="BD358" s="1188"/>
      <c r="BE358" s="1188"/>
      <c r="BF358" s="1188"/>
      <c r="BG358" s="1188"/>
      <c r="BH358" s="1188"/>
      <c r="BI358" s="1188"/>
      <c r="BJ358" s="1188"/>
      <c r="BK358" s="1188"/>
      <c r="BL358" s="1188"/>
      <c r="BM358" s="1188"/>
      <c r="BN358" s="1188"/>
      <c r="BO358" s="1240"/>
      <c r="BP358" s="1240"/>
      <c r="BQ358" s="1188"/>
      <c r="BR358" s="1236">
        <f t="shared" si="127"/>
        <v>1140</v>
      </c>
      <c r="BS358" s="1236"/>
      <c r="BT358" s="1188"/>
      <c r="BU358" s="1188"/>
      <c r="BV358" s="1240"/>
      <c r="BW358" s="1188"/>
      <c r="BX358" s="1188"/>
      <c r="BY358" s="1188"/>
      <c r="BZ358" s="1188"/>
      <c r="CA358" s="1188">
        <f>I358/64</f>
        <v>285</v>
      </c>
      <c r="CB358" s="1188"/>
      <c r="CC358" s="1188"/>
      <c r="CD358" s="1188">
        <f t="shared" si="107"/>
        <v>1140</v>
      </c>
      <c r="CE358" s="1188">
        <f t="shared" si="114"/>
        <v>0</v>
      </c>
      <c r="CF358" s="1188">
        <f t="shared" si="108"/>
        <v>0</v>
      </c>
      <c r="CG358" s="1188">
        <f t="shared" si="109"/>
        <v>0</v>
      </c>
      <c r="CH358" s="1236"/>
      <c r="CI358" s="1236"/>
      <c r="CJ358" s="1236"/>
      <c r="CK358" s="1188"/>
      <c r="CL358" s="1188"/>
    </row>
    <row r="359" s="1168" customFormat="1" customHeight="1" spans="1:111">
      <c r="A359" s="1245">
        <v>46135</v>
      </c>
      <c r="B359" s="1247" t="s">
        <v>1583</v>
      </c>
      <c r="C359" s="1234" t="s">
        <v>201</v>
      </c>
      <c r="D359" s="1268">
        <v>4500203455</v>
      </c>
      <c r="E359" s="1234" t="s">
        <v>1584</v>
      </c>
      <c r="F359" s="1188" t="s">
        <v>1585</v>
      </c>
      <c r="G359" s="1253" t="s">
        <v>146</v>
      </c>
      <c r="H359" s="1234" t="s">
        <v>104</v>
      </c>
      <c r="I359" s="1254">
        <v>4775</v>
      </c>
      <c r="J359" s="1234">
        <v>0</v>
      </c>
      <c r="K359" s="1234">
        <v>25</v>
      </c>
      <c r="L359" s="1246">
        <f t="shared" si="125"/>
        <v>191</v>
      </c>
      <c r="M359" s="1255">
        <v>46211</v>
      </c>
      <c r="N359" s="1255">
        <v>46225</v>
      </c>
      <c r="O359" s="1255" t="s">
        <v>1586</v>
      </c>
      <c r="P359" s="1233" t="s">
        <v>1587</v>
      </c>
      <c r="Q359" s="1255" t="s">
        <v>106</v>
      </c>
      <c r="R359" s="1234" t="s">
        <v>1588</v>
      </c>
      <c r="S359" s="1234"/>
      <c r="T359" s="1233">
        <v>4775</v>
      </c>
      <c r="U359" s="1233">
        <f t="shared" si="121"/>
        <v>0</v>
      </c>
      <c r="V359" s="1234"/>
      <c r="W359" s="1238" t="s">
        <v>1302</v>
      </c>
      <c r="X359" s="1227" t="s">
        <v>95</v>
      </c>
      <c r="Y359" s="1227" t="s">
        <v>709</v>
      </c>
      <c r="Z359" s="1247"/>
      <c r="AA359" s="1247"/>
      <c r="AB359" s="1247"/>
      <c r="AC359" s="1247" t="s">
        <v>1589</v>
      </c>
      <c r="AD359" s="1248" t="s">
        <v>1590</v>
      </c>
      <c r="AE359" s="1247">
        <v>1.0803</v>
      </c>
      <c r="AF359" s="1248">
        <f>I359*AE359</f>
        <v>5158.4325</v>
      </c>
      <c r="AG359" s="1258"/>
      <c r="AH359" s="1234" t="s">
        <v>111</v>
      </c>
      <c r="AI359" s="1234" t="s">
        <v>112</v>
      </c>
      <c r="AJ359" s="1234" t="s">
        <v>113</v>
      </c>
      <c r="AK359" s="1188">
        <f t="shared" si="123"/>
        <v>4775</v>
      </c>
      <c r="AL359" s="1188"/>
      <c r="AM359" s="1188"/>
      <c r="AN359" s="1188"/>
      <c r="AO359" s="1188"/>
      <c r="AP359" s="1188">
        <f>I359</f>
        <v>4775</v>
      </c>
      <c r="AQ359" s="1240"/>
      <c r="AR359" s="1188"/>
      <c r="AS359" s="1236"/>
      <c r="AT359" s="1236"/>
      <c r="AU359" s="1188">
        <f t="shared" si="124"/>
        <v>4775</v>
      </c>
      <c r="AV359" s="1250">
        <f t="shared" si="128"/>
        <v>573</v>
      </c>
      <c r="AW359" s="1250"/>
      <c r="AX359" s="1188"/>
      <c r="AY359" s="1188"/>
      <c r="AZ359" s="1188"/>
      <c r="BA359" s="1188"/>
      <c r="BB359" s="1188"/>
      <c r="BC359" s="1188"/>
      <c r="BD359" s="1188"/>
      <c r="BE359" s="1188"/>
      <c r="BF359" s="1188"/>
      <c r="BG359" s="1188"/>
      <c r="BH359" s="1188"/>
      <c r="BI359" s="1188"/>
      <c r="BJ359" s="1188"/>
      <c r="BK359" s="1188"/>
      <c r="BL359" s="1188"/>
      <c r="BM359" s="1188"/>
      <c r="BN359" s="1188"/>
      <c r="BO359" s="1240">
        <f>I359/25</f>
        <v>191</v>
      </c>
      <c r="BP359" s="1240"/>
      <c r="BQ359" s="1188"/>
      <c r="BR359" s="1236"/>
      <c r="BS359" s="1236"/>
      <c r="BT359" s="1188"/>
      <c r="BU359" s="1188"/>
      <c r="BV359" s="1240"/>
      <c r="BW359" s="1188"/>
      <c r="BX359" s="1188"/>
      <c r="BY359" s="1188"/>
      <c r="BZ359" s="1188"/>
      <c r="CA359" s="1188"/>
      <c r="CB359" s="1188"/>
      <c r="CC359" s="1188"/>
      <c r="CD359" s="1188">
        <f t="shared" si="107"/>
        <v>191</v>
      </c>
      <c r="CE359" s="1188">
        <f t="shared" si="114"/>
        <v>0</v>
      </c>
      <c r="CF359" s="1188">
        <f t="shared" si="108"/>
        <v>0</v>
      </c>
      <c r="CG359" s="1188">
        <f t="shared" si="109"/>
        <v>0</v>
      </c>
      <c r="CH359" s="1236"/>
      <c r="CI359" s="1236"/>
      <c r="CJ359" s="1236"/>
      <c r="CK359" s="1188"/>
      <c r="CL359" s="1188"/>
    </row>
    <row r="360" s="1168" customFormat="1" customHeight="1" spans="1:111">
      <c r="A360" s="1245">
        <v>46160</v>
      </c>
      <c r="B360" s="1269" t="s">
        <v>1591</v>
      </c>
      <c r="C360" s="1287" t="s">
        <v>1592</v>
      </c>
      <c r="D360" s="1270">
        <v>4500207810</v>
      </c>
      <c r="E360" s="1271" t="s">
        <v>628</v>
      </c>
      <c r="F360" s="1270" t="s">
        <v>1593</v>
      </c>
      <c r="G360" s="1272" t="s">
        <v>174</v>
      </c>
      <c r="H360" s="1234" t="s">
        <v>175</v>
      </c>
      <c r="I360" s="1273">
        <v>1196</v>
      </c>
      <c r="J360" s="1274">
        <v>0</v>
      </c>
      <c r="K360" s="1274">
        <v>52</v>
      </c>
      <c r="L360" s="1246">
        <f t="shared" si="125"/>
        <v>23</v>
      </c>
      <c r="M360" s="1255">
        <v>46211</v>
      </c>
      <c r="N360" s="1320">
        <v>46227</v>
      </c>
      <c r="O360" s="1320" t="s">
        <v>1594</v>
      </c>
      <c r="P360" s="1233"/>
      <c r="Q360" s="1233" t="s">
        <v>106</v>
      </c>
      <c r="R360" s="1234" t="s">
        <v>1595</v>
      </c>
      <c r="S360" s="1234"/>
      <c r="T360" s="1233">
        <v>1196</v>
      </c>
      <c r="U360" s="1233">
        <f t="shared" si="121"/>
        <v>0</v>
      </c>
      <c r="V360" s="1234"/>
      <c r="W360" s="1238" t="s">
        <v>1153</v>
      </c>
      <c r="X360" s="1227" t="s">
        <v>95</v>
      </c>
      <c r="Y360" s="1227" t="s">
        <v>1596</v>
      </c>
      <c r="Z360" s="1247" t="s">
        <v>1597</v>
      </c>
      <c r="AA360" s="1247"/>
      <c r="AB360" s="1247"/>
      <c r="AC360" s="1321" t="s">
        <v>1598</v>
      </c>
      <c r="AD360" s="1275" t="s">
        <v>1599</v>
      </c>
      <c r="AE360" s="1188">
        <v>1.0368</v>
      </c>
      <c r="AF360" s="1248">
        <f>I360*AE360</f>
        <v>1240.0128</v>
      </c>
      <c r="AG360" s="1258"/>
      <c r="AH360" s="1234" t="s">
        <v>1027</v>
      </c>
      <c r="AI360" s="1234" t="s">
        <v>112</v>
      </c>
      <c r="AJ360" s="1234" t="s">
        <v>113</v>
      </c>
      <c r="AK360" s="1188">
        <f t="shared" si="123"/>
        <v>1196</v>
      </c>
      <c r="AL360" s="1188"/>
      <c r="AM360" s="1188"/>
      <c r="AN360" s="1188"/>
      <c r="AO360" s="1188"/>
      <c r="AP360" s="1188">
        <f>I360</f>
        <v>1196</v>
      </c>
      <c r="AQ360" s="1240"/>
      <c r="AR360" s="1188"/>
      <c r="AS360" s="1236"/>
      <c r="AT360" s="1236"/>
      <c r="AU360" s="1188">
        <f t="shared" si="124"/>
        <v>1196</v>
      </c>
      <c r="AV360" s="1250">
        <f t="shared" si="128"/>
        <v>143.52</v>
      </c>
      <c r="AW360" s="1250"/>
      <c r="AX360" s="1188"/>
      <c r="AY360" s="1188"/>
      <c r="AZ360" s="1188"/>
      <c r="BA360" s="1188"/>
      <c r="BB360" s="1188"/>
      <c r="BC360" s="1188"/>
      <c r="BD360" s="1188"/>
      <c r="BE360" s="1188"/>
      <c r="BF360" s="1188"/>
      <c r="BG360" s="1188"/>
      <c r="BH360" s="1188"/>
      <c r="BI360" s="1188"/>
      <c r="BJ360" s="1188"/>
      <c r="BK360" s="1188"/>
      <c r="BL360" s="1188">
        <f>I360/13</f>
        <v>92</v>
      </c>
      <c r="BM360" s="1188"/>
      <c r="BN360" s="1188"/>
      <c r="BO360" s="1240"/>
      <c r="BP360" s="1240"/>
      <c r="BQ360" s="1188"/>
      <c r="BR360" s="1236"/>
      <c r="BS360" s="1236"/>
      <c r="BT360" s="1188"/>
      <c r="BU360" s="1188"/>
      <c r="BV360" s="1240"/>
      <c r="BW360" s="1188"/>
      <c r="BX360" s="1188"/>
      <c r="BY360" s="1188"/>
      <c r="BZ360" s="1188"/>
      <c r="CA360" s="1188"/>
      <c r="CB360" s="1188"/>
      <c r="CC360" s="1188"/>
      <c r="CD360" s="1188">
        <f t="shared" si="107"/>
        <v>0</v>
      </c>
      <c r="CE360" s="1188">
        <f t="shared" si="114"/>
        <v>0</v>
      </c>
      <c r="CF360" s="1188">
        <f t="shared" si="108"/>
        <v>0</v>
      </c>
      <c r="CG360" s="1188">
        <f t="shared" si="109"/>
        <v>0</v>
      </c>
      <c r="CH360" s="1236"/>
      <c r="CI360" s="1236"/>
      <c r="CJ360" s="1236"/>
      <c r="CK360" s="1188"/>
      <c r="CL360" s="1188"/>
    </row>
    <row r="361" s="1168" customFormat="1" customHeight="1" spans="1:111">
      <c r="A361" s="1245">
        <v>46160</v>
      </c>
      <c r="B361" s="1269" t="s">
        <v>1591</v>
      </c>
      <c r="C361" s="1287" t="s">
        <v>1592</v>
      </c>
      <c r="D361" s="1270">
        <v>4500207810</v>
      </c>
      <c r="E361" s="1271" t="s">
        <v>628</v>
      </c>
      <c r="F361" s="1270" t="s">
        <v>1600</v>
      </c>
      <c r="G361" s="1272" t="s">
        <v>188</v>
      </c>
      <c r="H361" s="1247" t="s">
        <v>138</v>
      </c>
      <c r="I361" s="1273">
        <v>600</v>
      </c>
      <c r="J361" s="1274">
        <v>0</v>
      </c>
      <c r="K361" s="1274">
        <v>50</v>
      </c>
      <c r="L361" s="1246">
        <f t="shared" si="125"/>
        <v>12</v>
      </c>
      <c r="M361" s="1255">
        <v>46211</v>
      </c>
      <c r="N361" s="1320">
        <v>46227</v>
      </c>
      <c r="O361" s="1320" t="s">
        <v>1594</v>
      </c>
      <c r="P361" s="1233"/>
      <c r="Q361" s="1233" t="s">
        <v>106</v>
      </c>
      <c r="R361" s="1234" t="s">
        <v>1595</v>
      </c>
      <c r="S361" s="1234"/>
      <c r="T361" s="1233">
        <v>600</v>
      </c>
      <c r="U361" s="1233">
        <f t="shared" si="121"/>
        <v>0</v>
      </c>
      <c r="V361" s="1234"/>
      <c r="W361" s="1238" t="s">
        <v>1153</v>
      </c>
      <c r="X361" s="1227" t="s">
        <v>95</v>
      </c>
      <c r="Y361" s="1227" t="s">
        <v>1596</v>
      </c>
      <c r="Z361" s="1247" t="s">
        <v>1597</v>
      </c>
      <c r="AA361" s="1247"/>
      <c r="AB361" s="1247"/>
      <c r="AC361" s="1321" t="s">
        <v>1601</v>
      </c>
      <c r="AD361" s="1275" t="s">
        <v>1599</v>
      </c>
      <c r="AE361" s="1276">
        <v>1.1228</v>
      </c>
      <c r="AF361" s="1248">
        <f>AE361*I361</f>
        <v>673.68</v>
      </c>
      <c r="AG361" s="1258"/>
      <c r="AH361" s="1234" t="s">
        <v>314</v>
      </c>
      <c r="AI361" s="1234" t="s">
        <v>112</v>
      </c>
      <c r="AJ361" s="1234" t="s">
        <v>113</v>
      </c>
      <c r="AK361" s="1188">
        <f t="shared" si="123"/>
        <v>600</v>
      </c>
      <c r="AL361" s="1188"/>
      <c r="AM361" s="1188"/>
      <c r="AN361" s="1188"/>
      <c r="AO361" s="1188"/>
      <c r="AP361" s="1188">
        <f>I361</f>
        <v>600</v>
      </c>
      <c r="AQ361" s="1240"/>
      <c r="AR361" s="1188"/>
      <c r="AS361" s="1236"/>
      <c r="AT361" s="1236"/>
      <c r="AU361" s="1188">
        <f t="shared" si="124"/>
        <v>600</v>
      </c>
      <c r="AV361" s="1250">
        <f t="shared" si="128"/>
        <v>72</v>
      </c>
      <c r="AW361" s="1250"/>
      <c r="AX361" s="1188"/>
      <c r="AY361" s="1188"/>
      <c r="AZ361" s="1188"/>
      <c r="BA361" s="1188"/>
      <c r="BB361" s="1188"/>
      <c r="BC361" s="1188"/>
      <c r="BD361" s="1188"/>
      <c r="BE361" s="1188"/>
      <c r="BF361" s="1188"/>
      <c r="BG361" s="1188"/>
      <c r="BH361" s="1188"/>
      <c r="BI361" s="1188"/>
      <c r="BJ361" s="1188"/>
      <c r="BK361" s="1188"/>
      <c r="BL361" s="1188"/>
      <c r="BM361" s="1188"/>
      <c r="BN361" s="1188"/>
      <c r="BO361" s="1240">
        <f>I361/25</f>
        <v>24</v>
      </c>
      <c r="BP361" s="1240"/>
      <c r="BQ361" s="1188"/>
      <c r="BR361" s="1236"/>
      <c r="BS361" s="1236"/>
      <c r="BT361" s="1188"/>
      <c r="BU361" s="1188"/>
      <c r="BV361" s="1240"/>
      <c r="BW361" s="1188"/>
      <c r="BX361" s="1188"/>
      <c r="BY361" s="1188"/>
      <c r="BZ361" s="1188"/>
      <c r="CA361" s="1188"/>
      <c r="CB361" s="1188"/>
      <c r="CC361" s="1188"/>
      <c r="CD361" s="1188">
        <f t="shared" si="107"/>
        <v>24</v>
      </c>
      <c r="CE361" s="1188">
        <f t="shared" si="114"/>
        <v>0</v>
      </c>
      <c r="CF361" s="1188">
        <f t="shared" si="108"/>
        <v>0</v>
      </c>
      <c r="CG361" s="1188">
        <f t="shared" si="109"/>
        <v>0</v>
      </c>
      <c r="CH361" s="1236"/>
      <c r="CI361" s="1236"/>
      <c r="CJ361" s="1236"/>
      <c r="CK361" s="1188"/>
      <c r="CL361" s="1188"/>
    </row>
    <row r="362" s="1168" customFormat="1" ht="31" customHeight="1" spans="1:111">
      <c r="A362" s="1245">
        <v>46160</v>
      </c>
      <c r="B362" s="1269" t="s">
        <v>1591</v>
      </c>
      <c r="C362" s="1287" t="s">
        <v>1592</v>
      </c>
      <c r="D362" s="1270">
        <v>4500207810</v>
      </c>
      <c r="E362" s="1271" t="s">
        <v>628</v>
      </c>
      <c r="F362" s="1270" t="s">
        <v>1602</v>
      </c>
      <c r="G362" s="1272" t="s">
        <v>740</v>
      </c>
      <c r="H362" s="1247" t="s">
        <v>151</v>
      </c>
      <c r="I362" s="1273">
        <v>1512</v>
      </c>
      <c r="J362" s="1274">
        <v>0</v>
      </c>
      <c r="K362" s="1274">
        <v>36</v>
      </c>
      <c r="L362" s="1246">
        <f t="shared" si="125"/>
        <v>42</v>
      </c>
      <c r="M362" s="1255">
        <v>46211</v>
      </c>
      <c r="N362" s="1320">
        <v>46227</v>
      </c>
      <c r="O362" s="1320" t="s">
        <v>1603</v>
      </c>
      <c r="P362" s="1233"/>
      <c r="Q362" s="1233" t="s">
        <v>106</v>
      </c>
      <c r="R362" s="1234" t="s">
        <v>1595</v>
      </c>
      <c r="S362" s="1234"/>
      <c r="T362" s="1233">
        <v>1512</v>
      </c>
      <c r="U362" s="1233">
        <f t="shared" si="121"/>
        <v>0</v>
      </c>
      <c r="V362" s="1234"/>
      <c r="W362" s="1238" t="s">
        <v>1153</v>
      </c>
      <c r="X362" s="1227" t="s">
        <v>95</v>
      </c>
      <c r="Y362" s="1227" t="s">
        <v>1596</v>
      </c>
      <c r="Z362" s="1247" t="s">
        <v>1597</v>
      </c>
      <c r="AA362" s="1247"/>
      <c r="AB362" s="1247"/>
      <c r="AC362" s="1321" t="s">
        <v>1604</v>
      </c>
      <c r="AD362" s="1275" t="s">
        <v>1599</v>
      </c>
      <c r="AE362" s="1276">
        <v>108.0468</v>
      </c>
      <c r="AF362" s="1248">
        <f>AE362*L362</f>
        <v>4537.9656</v>
      </c>
      <c r="AG362" s="1258"/>
      <c r="AH362" s="1234" t="s">
        <v>873</v>
      </c>
      <c r="AI362" s="1234" t="s">
        <v>112</v>
      </c>
      <c r="AJ362" s="1234" t="s">
        <v>113</v>
      </c>
      <c r="AK362" s="1188">
        <f t="shared" si="123"/>
        <v>1512</v>
      </c>
      <c r="AL362" s="1188"/>
      <c r="AM362" s="1188"/>
      <c r="AN362" s="1188"/>
      <c r="AO362" s="1188"/>
      <c r="AP362" s="1188">
        <f>I362</f>
        <v>1512</v>
      </c>
      <c r="AQ362" s="1240"/>
      <c r="AR362" s="1188"/>
      <c r="AS362" s="1236"/>
      <c r="AT362" s="1236"/>
      <c r="AU362" s="1188">
        <f t="shared" si="124"/>
        <v>1512</v>
      </c>
      <c r="AV362" s="1250">
        <f t="shared" si="128"/>
        <v>181.44</v>
      </c>
      <c r="AW362" s="1250"/>
      <c r="AX362" s="1188"/>
      <c r="AY362" s="1188"/>
      <c r="AZ362" s="1188"/>
      <c r="BA362" s="1188"/>
      <c r="BB362" s="1188"/>
      <c r="BC362" s="1188"/>
      <c r="BD362" s="1188"/>
      <c r="BE362" s="1188"/>
      <c r="BF362" s="1188"/>
      <c r="BG362" s="1188"/>
      <c r="BH362" s="1188"/>
      <c r="BI362" s="1188"/>
      <c r="BJ362" s="1188"/>
      <c r="BK362" s="1188"/>
      <c r="BL362" s="1188"/>
      <c r="BM362" s="1188"/>
      <c r="BN362" s="1188"/>
      <c r="BO362" s="1240"/>
      <c r="BP362" s="1240"/>
      <c r="BQ362" s="1188"/>
      <c r="BR362" s="1236"/>
      <c r="BS362" s="1236"/>
      <c r="BT362" s="1188"/>
      <c r="BU362" s="1188"/>
      <c r="BV362" s="1240"/>
      <c r="BW362" s="1188">
        <f>I362/36</f>
        <v>42</v>
      </c>
      <c r="BX362" s="1188"/>
      <c r="BY362" s="1188"/>
      <c r="BZ362" s="1188"/>
      <c r="CA362" s="1188"/>
      <c r="CB362" s="1188"/>
      <c r="CC362" s="1188"/>
      <c r="CD362" s="1188">
        <f t="shared" si="107"/>
        <v>0</v>
      </c>
      <c r="CE362" s="1188">
        <f t="shared" si="114"/>
        <v>0</v>
      </c>
      <c r="CF362" s="1188">
        <f t="shared" si="108"/>
        <v>0</v>
      </c>
      <c r="CG362" s="1188">
        <f t="shared" si="109"/>
        <v>42</v>
      </c>
      <c r="CH362" s="1236"/>
      <c r="CI362" s="1236"/>
      <c r="CJ362" s="1236"/>
      <c r="CK362" s="1188"/>
      <c r="CL362" s="1188"/>
    </row>
    <row r="363" s="1169" customFormat="1" customHeight="1" spans="1:111">
      <c r="A363" s="1245">
        <v>46203</v>
      </c>
      <c r="B363" s="1220" t="s">
        <v>346</v>
      </c>
      <c r="C363" s="1221" t="s">
        <v>115</v>
      </c>
      <c r="D363" s="1222">
        <v>4500214386</v>
      </c>
      <c r="E363" s="1892" t="s">
        <v>1605</v>
      </c>
      <c r="F363" s="1222" t="s">
        <v>1606</v>
      </c>
      <c r="G363" s="1223" t="s">
        <v>380</v>
      </c>
      <c r="H363" s="1234" t="s">
        <v>381</v>
      </c>
      <c r="I363" s="1252">
        <v>22624</v>
      </c>
      <c r="J363" s="1221">
        <v>0</v>
      </c>
      <c r="K363" s="1221">
        <v>16</v>
      </c>
      <c r="L363" s="1246">
        <f t="shared" si="125"/>
        <v>1414</v>
      </c>
      <c r="M363" s="1225">
        <v>46212</v>
      </c>
      <c r="N363" s="1225">
        <v>46209</v>
      </c>
      <c r="O363" s="1225" t="s">
        <v>736</v>
      </c>
      <c r="P363" s="1226" t="s">
        <v>1607</v>
      </c>
      <c r="Q363" s="1255" t="s">
        <v>1608</v>
      </c>
      <c r="R363" s="1234" t="s">
        <v>1549</v>
      </c>
      <c r="S363" s="1234" t="s">
        <v>718</v>
      </c>
      <c r="T363" s="1233">
        <v>22624</v>
      </c>
      <c r="U363" s="1233">
        <f t="shared" si="121"/>
        <v>0</v>
      </c>
      <c r="V363" s="1234"/>
      <c r="W363" s="1238" t="s">
        <v>1551</v>
      </c>
      <c r="X363" s="1227" t="s">
        <v>95</v>
      </c>
      <c r="Y363" s="1227" t="s">
        <v>1552</v>
      </c>
      <c r="Z363" s="1247"/>
      <c r="AA363" s="1247"/>
      <c r="AB363" s="1247"/>
      <c r="AC363" s="1220" t="s">
        <v>1609</v>
      </c>
      <c r="AD363" s="1229" t="s">
        <v>354</v>
      </c>
      <c r="AE363" s="1247">
        <v>0.6798</v>
      </c>
      <c r="AF363" s="1248">
        <f>AE363*I363</f>
        <v>15379.7952</v>
      </c>
      <c r="AG363" s="1249" t="s">
        <v>1610</v>
      </c>
      <c r="AH363" s="1234" t="s">
        <v>380</v>
      </c>
      <c r="AI363" s="1234" t="s">
        <v>112</v>
      </c>
      <c r="AJ363" s="1234" t="s">
        <v>113</v>
      </c>
      <c r="AK363" s="1188">
        <f t="shared" si="123"/>
        <v>22624</v>
      </c>
      <c r="AL363" s="1188"/>
      <c r="AM363" s="1188"/>
      <c r="AN363" s="1188">
        <f>I363</f>
        <v>22624</v>
      </c>
      <c r="AO363" s="1188"/>
      <c r="AP363" s="1188"/>
      <c r="AQ363" s="1240"/>
      <c r="AR363" s="1188"/>
      <c r="AS363" s="1236"/>
      <c r="AT363" s="1236"/>
      <c r="AU363" s="1188">
        <f t="shared" si="124"/>
        <v>22624</v>
      </c>
      <c r="AV363" s="1250"/>
      <c r="AW363" s="1250"/>
      <c r="AX363" s="1188"/>
      <c r="AY363" s="1188"/>
      <c r="AZ363" s="1188"/>
      <c r="BA363" s="1188"/>
      <c r="BB363" s="1188"/>
      <c r="BC363" s="1188"/>
      <c r="BD363" s="1188"/>
      <c r="BE363" s="1188"/>
      <c r="BF363" s="1188"/>
      <c r="BG363" s="1188"/>
      <c r="BH363" s="1188"/>
      <c r="BI363" s="1188"/>
      <c r="BJ363" s="1188"/>
      <c r="BK363" s="1188"/>
      <c r="BL363" s="1188"/>
      <c r="BM363" s="1188"/>
      <c r="BN363" s="1188"/>
      <c r="BO363" s="1240"/>
      <c r="BP363" s="1240"/>
      <c r="BQ363" s="1188"/>
      <c r="BR363" s="1236">
        <f>I363/16</f>
        <v>1414</v>
      </c>
      <c r="BS363" s="1236"/>
      <c r="BT363" s="1188"/>
      <c r="BU363" s="1188"/>
      <c r="BV363" s="1240"/>
      <c r="BW363" s="1188"/>
      <c r="BX363" s="1188"/>
      <c r="BY363" s="1188"/>
      <c r="BZ363" s="1188"/>
      <c r="CA363" s="1188"/>
      <c r="CB363" s="1188"/>
      <c r="CC363" s="1188"/>
      <c r="CD363" s="1188">
        <f t="shared" si="107"/>
        <v>1414</v>
      </c>
      <c r="CE363" s="1188">
        <f t="shared" si="114"/>
        <v>0</v>
      </c>
      <c r="CF363" s="1188">
        <f t="shared" si="108"/>
        <v>0</v>
      </c>
      <c r="CG363" s="1188">
        <f t="shared" si="109"/>
        <v>0</v>
      </c>
      <c r="CH363" s="1236"/>
      <c r="CI363" s="1236"/>
      <c r="CJ363" s="1236"/>
      <c r="CK363" s="1188"/>
      <c r="CL363" s="1188"/>
      <c r="CM363" s="1168"/>
      <c r="CN363" s="1168"/>
      <c r="CO363" s="1168"/>
      <c r="CP363" s="1168"/>
      <c r="CQ363" s="1168"/>
      <c r="CR363" s="1168"/>
      <c r="CS363" s="1168"/>
      <c r="CT363" s="1168"/>
      <c r="CU363" s="1168"/>
      <c r="CV363" s="1168"/>
      <c r="CW363" s="1168"/>
      <c r="CX363" s="1168"/>
      <c r="CY363" s="1168"/>
      <c r="CZ363" s="1168"/>
      <c r="DA363" s="1168"/>
      <c r="DB363" s="1168"/>
      <c r="DC363" s="1168"/>
      <c r="DD363" s="1168"/>
      <c r="DE363" s="1168"/>
      <c r="DF363" s="1168"/>
      <c r="DG363" s="1168"/>
    </row>
    <row r="364" s="1168" customFormat="1" customHeight="1" spans="1:111">
      <c r="A364" s="1245">
        <v>46136</v>
      </c>
      <c r="B364" s="1220" t="s">
        <v>346</v>
      </c>
      <c r="C364" s="1221" t="s">
        <v>115</v>
      </c>
      <c r="D364" s="1303">
        <v>4500204119</v>
      </c>
      <c r="E364" s="1226">
        <v>7137244453</v>
      </c>
      <c r="F364" s="1222" t="s">
        <v>1611</v>
      </c>
      <c r="G364" s="1223" t="s">
        <v>1575</v>
      </c>
      <c r="H364" s="1234" t="s">
        <v>1576</v>
      </c>
      <c r="I364" s="1252">
        <v>17088</v>
      </c>
      <c r="J364" s="1221">
        <v>0</v>
      </c>
      <c r="K364" s="1221">
        <v>64</v>
      </c>
      <c r="L364" s="1246">
        <f t="shared" si="125"/>
        <v>267</v>
      </c>
      <c r="M364" s="1225">
        <v>46212</v>
      </c>
      <c r="N364" s="1225">
        <v>46209</v>
      </c>
      <c r="O364" s="1255" t="s">
        <v>736</v>
      </c>
      <c r="P364" s="1233" t="s">
        <v>1547</v>
      </c>
      <c r="Q364" s="1255" t="s">
        <v>1612</v>
      </c>
      <c r="R364" s="1234"/>
      <c r="S364" s="1234" t="s">
        <v>718</v>
      </c>
      <c r="T364" s="1233">
        <v>17088</v>
      </c>
      <c r="U364" s="1233">
        <f t="shared" si="121"/>
        <v>0</v>
      </c>
      <c r="V364" s="1234"/>
      <c r="W364" s="1238">
        <v>46136</v>
      </c>
      <c r="X364" s="1227" t="s">
        <v>95</v>
      </c>
      <c r="Y364" s="1227" t="s">
        <v>1552</v>
      </c>
      <c r="Z364" s="1247" t="s">
        <v>1577</v>
      </c>
      <c r="AA364" s="1247"/>
      <c r="AB364" s="1247"/>
      <c r="AC364" s="1220" t="s">
        <v>1613</v>
      </c>
      <c r="AD364" s="1229" t="s">
        <v>354</v>
      </c>
      <c r="AE364" s="1247">
        <v>235.0099</v>
      </c>
      <c r="AF364" s="1248">
        <f>I364*AE364</f>
        <v>4015849.1712</v>
      </c>
      <c r="AG364" s="1266" t="s">
        <v>1614</v>
      </c>
      <c r="AH364" s="1234" t="s">
        <v>1580</v>
      </c>
      <c r="AI364" s="1234" t="s">
        <v>112</v>
      </c>
      <c r="AJ364" s="1234" t="s">
        <v>113</v>
      </c>
      <c r="AK364" s="1188">
        <f t="shared" si="123"/>
        <v>17088</v>
      </c>
      <c r="AL364" s="1188"/>
      <c r="AM364" s="1188"/>
      <c r="AN364" s="1188">
        <f>I364</f>
        <v>17088</v>
      </c>
      <c r="AO364" s="1188"/>
      <c r="AP364" s="1188"/>
      <c r="AQ364" s="1240"/>
      <c r="AR364" s="1188"/>
      <c r="AS364" s="1236"/>
      <c r="AT364" s="1236"/>
      <c r="AU364" s="1188">
        <f t="shared" si="124"/>
        <v>17088</v>
      </c>
      <c r="AV364" s="1250">
        <f>I364*0.06*2</f>
        <v>2050.56</v>
      </c>
      <c r="AW364" s="1250"/>
      <c r="AX364" s="1188"/>
      <c r="AY364" s="1188"/>
      <c r="AZ364" s="1188"/>
      <c r="BA364" s="1188"/>
      <c r="BB364" s="1188"/>
      <c r="BC364" s="1188"/>
      <c r="BD364" s="1188"/>
      <c r="BE364" s="1188"/>
      <c r="BF364" s="1188"/>
      <c r="BG364" s="1188"/>
      <c r="BH364" s="1188"/>
      <c r="BI364" s="1188"/>
      <c r="BJ364" s="1188"/>
      <c r="BK364" s="1188"/>
      <c r="BL364" s="1188"/>
      <c r="BM364" s="1188"/>
      <c r="BN364" s="1188"/>
      <c r="BO364" s="1240"/>
      <c r="BP364" s="1240"/>
      <c r="BQ364" s="1188"/>
      <c r="BR364" s="1236">
        <f>I364/16</f>
        <v>1068</v>
      </c>
      <c r="BS364" s="1236"/>
      <c r="BT364" s="1188"/>
      <c r="BU364" s="1188"/>
      <c r="BV364" s="1240"/>
      <c r="BW364" s="1188"/>
      <c r="BX364" s="1188"/>
      <c r="BY364" s="1188"/>
      <c r="BZ364" s="1188"/>
      <c r="CA364" s="1188">
        <f>I364/64</f>
        <v>267</v>
      </c>
      <c r="CB364" s="1188"/>
      <c r="CC364" s="1188"/>
      <c r="CD364" s="1188">
        <f t="shared" si="107"/>
        <v>1068</v>
      </c>
      <c r="CE364" s="1188">
        <f t="shared" si="114"/>
        <v>0</v>
      </c>
      <c r="CF364" s="1188">
        <f t="shared" si="108"/>
        <v>0</v>
      </c>
      <c r="CG364" s="1188">
        <f t="shared" si="109"/>
        <v>0</v>
      </c>
      <c r="CH364" s="1236"/>
      <c r="CI364" s="1236"/>
      <c r="CJ364" s="1236"/>
      <c r="CK364" s="1188"/>
      <c r="CL364" s="1188"/>
    </row>
    <row r="365" s="1168" customFormat="1" customHeight="1" spans="1:111">
      <c r="A365" s="1245">
        <v>46203</v>
      </c>
      <c r="B365" s="1247" t="s">
        <v>346</v>
      </c>
      <c r="C365" s="1234" t="s">
        <v>115</v>
      </c>
      <c r="D365" s="1188">
        <v>4500214280</v>
      </c>
      <c r="E365" s="1890" t="s">
        <v>1615</v>
      </c>
      <c r="F365" s="1188" t="s">
        <v>1616</v>
      </c>
      <c r="G365" s="1253" t="s">
        <v>380</v>
      </c>
      <c r="H365" s="1234" t="s">
        <v>381</v>
      </c>
      <c r="I365" s="1254">
        <v>24992</v>
      </c>
      <c r="J365" s="1234">
        <v>0</v>
      </c>
      <c r="K365" s="1234">
        <v>16</v>
      </c>
      <c r="L365" s="1246">
        <f t="shared" si="125"/>
        <v>1562</v>
      </c>
      <c r="M365" s="1225">
        <v>46212</v>
      </c>
      <c r="N365" s="1255">
        <v>46209</v>
      </c>
      <c r="O365" s="1255" t="s">
        <v>736</v>
      </c>
      <c r="P365" s="1233" t="s">
        <v>1607</v>
      </c>
      <c r="Q365" s="1255" t="s">
        <v>1548</v>
      </c>
      <c r="R365" s="1234" t="s">
        <v>1549</v>
      </c>
      <c r="S365" s="1234" t="s">
        <v>1550</v>
      </c>
      <c r="T365" s="1233">
        <f>1920+23056+16</f>
        <v>24992</v>
      </c>
      <c r="U365" s="1233">
        <f t="shared" si="121"/>
        <v>0</v>
      </c>
      <c r="V365" s="1234"/>
      <c r="W365" s="1256" t="s">
        <v>1551</v>
      </c>
      <c r="X365" s="1257" t="s">
        <v>95</v>
      </c>
      <c r="Y365" s="1257" t="s">
        <v>1552</v>
      </c>
      <c r="Z365" s="1247"/>
      <c r="AA365" s="1247"/>
      <c r="AB365" s="1247"/>
      <c r="AC365" s="1247" t="s">
        <v>1553</v>
      </c>
      <c r="AD365" s="1248" t="s">
        <v>354</v>
      </c>
      <c r="AE365" s="1247">
        <v>0.664</v>
      </c>
      <c r="AF365" s="1248">
        <f>AE365*I365</f>
        <v>16594.688</v>
      </c>
      <c r="AG365" s="1249" t="s">
        <v>1617</v>
      </c>
      <c r="AH365" s="1234" t="s">
        <v>380</v>
      </c>
      <c r="AI365" s="1234" t="s">
        <v>112</v>
      </c>
      <c r="AJ365" s="1234" t="s">
        <v>113</v>
      </c>
      <c r="AK365" s="1188">
        <f t="shared" si="123"/>
        <v>24992</v>
      </c>
      <c r="AL365" s="1188"/>
      <c r="AM365" s="1188"/>
      <c r="AN365" s="1188">
        <f>I365</f>
        <v>24992</v>
      </c>
      <c r="AO365" s="1188"/>
      <c r="AP365" s="1188"/>
      <c r="AQ365" s="1240"/>
      <c r="AR365" s="1188"/>
      <c r="AS365" s="1236"/>
      <c r="AT365" s="1236"/>
      <c r="AU365" s="1188">
        <f t="shared" si="124"/>
        <v>24992</v>
      </c>
      <c r="AV365" s="1250"/>
      <c r="AW365" s="1250"/>
      <c r="AX365" s="1188"/>
      <c r="AY365" s="1188"/>
      <c r="AZ365" s="1188"/>
      <c r="BA365" s="1188"/>
      <c r="BB365" s="1188"/>
      <c r="BC365" s="1188"/>
      <c r="BD365" s="1188"/>
      <c r="BE365" s="1188"/>
      <c r="BF365" s="1188"/>
      <c r="BG365" s="1188"/>
      <c r="BH365" s="1188"/>
      <c r="BI365" s="1188"/>
      <c r="BJ365" s="1188"/>
      <c r="BK365" s="1188"/>
      <c r="BL365" s="1188"/>
      <c r="BM365" s="1188"/>
      <c r="BN365" s="1188"/>
      <c r="BO365" s="1240"/>
      <c r="BP365" s="1240"/>
      <c r="BQ365" s="1188"/>
      <c r="BR365" s="1236">
        <f>I365/16</f>
        <v>1562</v>
      </c>
      <c r="BS365" s="1188"/>
      <c r="BT365" s="1188"/>
      <c r="BU365" s="1188"/>
      <c r="BV365" s="1240"/>
      <c r="BW365" s="1188"/>
      <c r="BX365" s="1188"/>
      <c r="BY365" s="1188"/>
      <c r="BZ365" s="1188"/>
      <c r="CA365" s="1188"/>
      <c r="CB365" s="1188"/>
      <c r="CC365" s="1188"/>
      <c r="CD365" s="1188">
        <f t="shared" si="107"/>
        <v>1562</v>
      </c>
      <c r="CE365" s="1188">
        <f t="shared" si="114"/>
        <v>0</v>
      </c>
      <c r="CF365" s="1188">
        <f t="shared" si="108"/>
        <v>0</v>
      </c>
      <c r="CG365" s="1188">
        <f t="shared" si="109"/>
        <v>0</v>
      </c>
      <c r="CH365" s="1236"/>
      <c r="CI365" s="1236"/>
      <c r="CJ365" s="1236"/>
      <c r="CK365" s="1188"/>
      <c r="CL365" s="1188"/>
    </row>
    <row r="366" s="1168" customFormat="1" customHeight="1" spans="1:111">
      <c r="A366" s="1245">
        <v>46203</v>
      </c>
      <c r="B366" s="1220" t="s">
        <v>346</v>
      </c>
      <c r="C366" s="1221" t="s">
        <v>115</v>
      </c>
      <c r="D366" s="1222">
        <v>4500214280</v>
      </c>
      <c r="E366" s="1892" t="s">
        <v>1618</v>
      </c>
      <c r="F366" s="1222" t="s">
        <v>1619</v>
      </c>
      <c r="G366" s="1223" t="s">
        <v>380</v>
      </c>
      <c r="H366" s="1221" t="s">
        <v>381</v>
      </c>
      <c r="I366" s="1252">
        <v>36864</v>
      </c>
      <c r="J366" s="1221">
        <v>0</v>
      </c>
      <c r="K366" s="1221">
        <v>16</v>
      </c>
      <c r="L366" s="1246">
        <f t="shared" si="125"/>
        <v>2304</v>
      </c>
      <c r="M366" s="1225">
        <v>46212</v>
      </c>
      <c r="N366" s="1225">
        <v>46209</v>
      </c>
      <c r="O366" s="1255" t="s">
        <v>736</v>
      </c>
      <c r="P366" s="1233" t="s">
        <v>1607</v>
      </c>
      <c r="Q366" s="1255" t="s">
        <v>1548</v>
      </c>
      <c r="R366" s="1234" t="s">
        <v>1549</v>
      </c>
      <c r="S366" s="1234" t="s">
        <v>1550</v>
      </c>
      <c r="T366" s="1233">
        <f>3840+33024</f>
        <v>36864</v>
      </c>
      <c r="U366" s="1233">
        <f t="shared" si="121"/>
        <v>0</v>
      </c>
      <c r="V366" s="1234"/>
      <c r="W366" s="1238" t="s">
        <v>1551</v>
      </c>
      <c r="X366" s="1257" t="s">
        <v>95</v>
      </c>
      <c r="Y366" s="1227" t="s">
        <v>1552</v>
      </c>
      <c r="Z366" s="1220"/>
      <c r="AA366" s="1220"/>
      <c r="AB366" s="1220"/>
      <c r="AC366" s="1220" t="s">
        <v>1553</v>
      </c>
      <c r="AD366" s="1229" t="s">
        <v>354</v>
      </c>
      <c r="AE366" s="1247">
        <v>0.664</v>
      </c>
      <c r="AF366" s="1248">
        <f>AE366*I366</f>
        <v>24477.696</v>
      </c>
      <c r="AG366" s="1249" t="s">
        <v>1620</v>
      </c>
      <c r="AH366" s="1234" t="s">
        <v>380</v>
      </c>
      <c r="AI366" s="1234" t="s">
        <v>112</v>
      </c>
      <c r="AJ366" s="1234" t="s">
        <v>113</v>
      </c>
      <c r="AK366" s="1188">
        <f t="shared" si="123"/>
        <v>36864</v>
      </c>
      <c r="AL366" s="1188"/>
      <c r="AM366" s="1188"/>
      <c r="AN366" s="1188">
        <f>I366</f>
        <v>36864</v>
      </c>
      <c r="AO366" s="1188"/>
      <c r="AP366" s="1188"/>
      <c r="AQ366" s="1240"/>
      <c r="AR366" s="1188"/>
      <c r="AS366" s="1236"/>
      <c r="AT366" s="1236"/>
      <c r="AU366" s="1188">
        <f t="shared" si="124"/>
        <v>36864</v>
      </c>
      <c r="AV366" s="1250"/>
      <c r="AW366" s="1250"/>
      <c r="AX366" s="1188"/>
      <c r="AY366" s="1188"/>
      <c r="AZ366" s="1188"/>
      <c r="BA366" s="1188"/>
      <c r="BB366" s="1188"/>
      <c r="BC366" s="1188"/>
      <c r="BD366" s="1188"/>
      <c r="BE366" s="1188"/>
      <c r="BF366" s="1188"/>
      <c r="BG366" s="1188"/>
      <c r="BH366" s="1188"/>
      <c r="BI366" s="1188"/>
      <c r="BJ366" s="1188"/>
      <c r="BK366" s="1188"/>
      <c r="BL366" s="1188"/>
      <c r="BM366" s="1188"/>
      <c r="BN366" s="1188"/>
      <c r="BO366" s="1240"/>
      <c r="BP366" s="1240"/>
      <c r="BQ366" s="1188"/>
      <c r="BR366" s="1236">
        <f>I366/16</f>
        <v>2304</v>
      </c>
      <c r="BS366" s="1236"/>
      <c r="BT366" s="1188"/>
      <c r="BU366" s="1188"/>
      <c r="BV366" s="1240"/>
      <c r="BW366" s="1188"/>
      <c r="BX366" s="1188"/>
      <c r="BY366" s="1188"/>
      <c r="BZ366" s="1188"/>
      <c r="CA366" s="1188"/>
      <c r="CB366" s="1188"/>
      <c r="CC366" s="1188"/>
      <c r="CD366" s="1188">
        <f t="shared" si="107"/>
        <v>2304</v>
      </c>
      <c r="CE366" s="1188">
        <f t="shared" si="114"/>
        <v>0</v>
      </c>
      <c r="CF366" s="1188">
        <f t="shared" si="108"/>
        <v>0</v>
      </c>
      <c r="CG366" s="1188">
        <f t="shared" si="109"/>
        <v>0</v>
      </c>
      <c r="CH366" s="1236"/>
      <c r="CI366" s="1236"/>
      <c r="CJ366" s="1236"/>
      <c r="CK366" s="1188"/>
      <c r="CL366" s="1188"/>
    </row>
    <row r="367" s="1169" customFormat="1" customHeight="1" spans="1:111">
      <c r="A367" s="1245">
        <v>46191</v>
      </c>
      <c r="B367" s="1220" t="s">
        <v>264</v>
      </c>
      <c r="C367" s="1221" t="s">
        <v>265</v>
      </c>
      <c r="D367" s="1303">
        <v>4500213012</v>
      </c>
      <c r="E367" s="1226">
        <v>4400579362</v>
      </c>
      <c r="F367" s="1222" t="s">
        <v>1621</v>
      </c>
      <c r="G367" s="1223" t="s">
        <v>270</v>
      </c>
      <c r="H367" s="1234" t="s">
        <v>104</v>
      </c>
      <c r="I367" s="1252">
        <v>3000</v>
      </c>
      <c r="J367" s="1221">
        <v>0</v>
      </c>
      <c r="K367" s="1221">
        <v>25</v>
      </c>
      <c r="L367" s="1224">
        <f t="shared" si="125"/>
        <v>120</v>
      </c>
      <c r="M367" s="1225">
        <v>46212</v>
      </c>
      <c r="N367" s="1225">
        <v>46212</v>
      </c>
      <c r="O367" s="1255" t="s">
        <v>736</v>
      </c>
      <c r="P367" s="1233" t="s">
        <v>1622</v>
      </c>
      <c r="Q367" s="1255" t="s">
        <v>106</v>
      </c>
      <c r="R367" s="1234" t="s">
        <v>1374</v>
      </c>
      <c r="S367" s="1234"/>
      <c r="T367" s="1233">
        <v>3000</v>
      </c>
      <c r="U367" s="1233">
        <f t="shared" si="121"/>
        <v>0</v>
      </c>
      <c r="V367" s="1234"/>
      <c r="W367" s="1238" t="s">
        <v>1623</v>
      </c>
      <c r="X367" s="1227" t="s">
        <v>95</v>
      </c>
      <c r="Y367" s="1227" t="s">
        <v>95</v>
      </c>
      <c r="Z367" s="1247" t="s">
        <v>140</v>
      </c>
      <c r="AA367" s="1247"/>
      <c r="AB367" s="1247"/>
      <c r="AC367" s="1220" t="s">
        <v>1624</v>
      </c>
      <c r="AD367" s="1229" t="s">
        <v>1142</v>
      </c>
      <c r="AE367" s="1247">
        <v>1.1085</v>
      </c>
      <c r="AF367" s="1248">
        <f>I367*AE367</f>
        <v>3325.5</v>
      </c>
      <c r="AG367" s="1258"/>
      <c r="AH367" s="1234" t="s">
        <v>137</v>
      </c>
      <c r="AI367" s="1234" t="s">
        <v>112</v>
      </c>
      <c r="AJ367" s="1234" t="s">
        <v>113</v>
      </c>
      <c r="AK367" s="1188">
        <f t="shared" si="123"/>
        <v>3000</v>
      </c>
      <c r="AL367" s="1188"/>
      <c r="AM367" s="1188"/>
      <c r="AN367" s="1188"/>
      <c r="AO367" s="1188"/>
      <c r="AP367" s="1188"/>
      <c r="AQ367" s="1240"/>
      <c r="AR367" s="1188"/>
      <c r="AS367" s="1236"/>
      <c r="AT367" s="1236"/>
      <c r="AU367" s="1188"/>
      <c r="AV367" s="1250">
        <f>I367*0.06</f>
        <v>180</v>
      </c>
      <c r="AW367" s="1250"/>
      <c r="AX367" s="1188"/>
      <c r="AY367" s="1188"/>
      <c r="AZ367" s="1188"/>
      <c r="BA367" s="1188"/>
      <c r="BB367" s="1188"/>
      <c r="BC367" s="1188"/>
      <c r="BD367" s="1188"/>
      <c r="BE367" s="1188"/>
      <c r="BF367" s="1188"/>
      <c r="BG367" s="1188">
        <f>I367</f>
        <v>3000</v>
      </c>
      <c r="BH367" s="1188">
        <f>I367</f>
        <v>3000</v>
      </c>
      <c r="BI367" s="1188"/>
      <c r="BJ367" s="1188"/>
      <c r="BK367" s="1188"/>
      <c r="BL367" s="1188"/>
      <c r="BM367" s="1188"/>
      <c r="BN367" s="1188"/>
      <c r="BO367" s="1240">
        <f>I367/25</f>
        <v>120</v>
      </c>
      <c r="BP367" s="1240"/>
      <c r="BQ367" s="1188"/>
      <c r="BR367" s="1236"/>
      <c r="BS367" s="1236"/>
      <c r="BT367" s="1188"/>
      <c r="BU367" s="1188"/>
      <c r="BV367" s="1240"/>
      <c r="BW367" s="1188"/>
      <c r="BX367" s="1188"/>
      <c r="BY367" s="1188"/>
      <c r="BZ367" s="1188"/>
      <c r="CA367" s="1188"/>
      <c r="CB367" s="1188"/>
      <c r="CC367" s="1188"/>
      <c r="CD367" s="1188">
        <f t="shared" si="107"/>
        <v>120</v>
      </c>
      <c r="CE367" s="1188">
        <f t="shared" si="114"/>
        <v>0</v>
      </c>
      <c r="CF367" s="1188">
        <f t="shared" si="108"/>
        <v>0</v>
      </c>
      <c r="CG367" s="1188">
        <f t="shared" si="109"/>
        <v>0</v>
      </c>
      <c r="CH367" s="1236"/>
      <c r="CI367" s="1236"/>
      <c r="CJ367" s="1236"/>
      <c r="CK367" s="1188"/>
      <c r="CL367" s="1188"/>
      <c r="CM367" s="1168"/>
      <c r="CN367" s="1168"/>
      <c r="CO367" s="1168"/>
      <c r="CP367" s="1168"/>
      <c r="CQ367" s="1168"/>
      <c r="CR367" s="1168"/>
      <c r="CS367" s="1168"/>
      <c r="CT367" s="1168"/>
      <c r="CU367" s="1168"/>
      <c r="CV367" s="1168"/>
      <c r="CW367" s="1168"/>
      <c r="CX367" s="1168"/>
      <c r="CY367" s="1168"/>
      <c r="CZ367" s="1168"/>
      <c r="DA367" s="1168"/>
      <c r="DB367" s="1168"/>
      <c r="DC367" s="1168"/>
      <c r="DD367" s="1168"/>
      <c r="DE367" s="1168"/>
      <c r="DF367" s="1168"/>
      <c r="DG367" s="1168"/>
    </row>
    <row r="368" s="1168" customFormat="1" customHeight="1" spans="1:111">
      <c r="A368" s="1245">
        <v>46136</v>
      </c>
      <c r="B368" s="1220" t="s">
        <v>346</v>
      </c>
      <c r="C368" s="1221" t="s">
        <v>115</v>
      </c>
      <c r="D368" s="1303">
        <v>4500204119</v>
      </c>
      <c r="E368" s="1221">
        <v>7137244450</v>
      </c>
      <c r="F368" s="1222" t="s">
        <v>1625</v>
      </c>
      <c r="G368" s="1223" t="s">
        <v>1575</v>
      </c>
      <c r="H368" s="1221" t="s">
        <v>1576</v>
      </c>
      <c r="I368" s="1252">
        <v>11328</v>
      </c>
      <c r="J368" s="1221">
        <v>0</v>
      </c>
      <c r="K368" s="1221">
        <v>64</v>
      </c>
      <c r="L368" s="1246">
        <f t="shared" si="125"/>
        <v>177</v>
      </c>
      <c r="M368" s="1225">
        <v>46212</v>
      </c>
      <c r="N368" s="1225">
        <v>46209</v>
      </c>
      <c r="O368" s="1225" t="s">
        <v>736</v>
      </c>
      <c r="P368" s="1233" t="s">
        <v>1626</v>
      </c>
      <c r="Q368" s="1255" t="s">
        <v>106</v>
      </c>
      <c r="R368" s="1234"/>
      <c r="S368" s="1234" t="s">
        <v>718</v>
      </c>
      <c r="T368" s="1233">
        <f>3920+7408</f>
        <v>11328</v>
      </c>
      <c r="U368" s="1233">
        <f t="shared" si="121"/>
        <v>0</v>
      </c>
      <c r="V368" s="1234"/>
      <c r="W368" s="1256">
        <v>46136</v>
      </c>
      <c r="X368" s="1257" t="s">
        <v>95</v>
      </c>
      <c r="Y368" s="1257" t="s">
        <v>1552</v>
      </c>
      <c r="Z368" s="1247" t="s">
        <v>1577</v>
      </c>
      <c r="AA368" s="1247"/>
      <c r="AB368" s="1247"/>
      <c r="AC368" s="1220" t="s">
        <v>1613</v>
      </c>
      <c r="AD368" s="1229" t="s">
        <v>354</v>
      </c>
      <c r="AE368" s="1247">
        <v>235.0099</v>
      </c>
      <c r="AF368" s="1248">
        <f>I368*AE368</f>
        <v>2662192.1472</v>
      </c>
      <c r="AG368" s="1266" t="s">
        <v>1614</v>
      </c>
      <c r="AH368" s="1234" t="s">
        <v>1580</v>
      </c>
      <c r="AI368" s="1234" t="s">
        <v>112</v>
      </c>
      <c r="AJ368" s="1234" t="s">
        <v>113</v>
      </c>
      <c r="AK368" s="1188">
        <f t="shared" si="123"/>
        <v>11328</v>
      </c>
      <c r="AL368" s="1188"/>
      <c r="AM368" s="1188"/>
      <c r="AN368" s="1188">
        <f>I368</f>
        <v>11328</v>
      </c>
      <c r="AO368" s="1188"/>
      <c r="AP368" s="1188"/>
      <c r="AQ368" s="1240"/>
      <c r="AR368" s="1188"/>
      <c r="AS368" s="1236"/>
      <c r="AT368" s="1236"/>
      <c r="AU368" s="1188">
        <f>I368</f>
        <v>11328</v>
      </c>
      <c r="AV368" s="1250">
        <f>I368*0.06*2</f>
        <v>1359.36</v>
      </c>
      <c r="AW368" s="1250"/>
      <c r="AX368" s="1188"/>
      <c r="AY368" s="1188"/>
      <c r="AZ368" s="1188"/>
      <c r="BA368" s="1188"/>
      <c r="BB368" s="1188"/>
      <c r="BC368" s="1188"/>
      <c r="BD368" s="1188"/>
      <c r="BE368" s="1188"/>
      <c r="BF368" s="1188"/>
      <c r="BG368" s="1188"/>
      <c r="BH368" s="1188"/>
      <c r="BI368" s="1188"/>
      <c r="BJ368" s="1188"/>
      <c r="BK368" s="1188"/>
      <c r="BL368" s="1188"/>
      <c r="BM368" s="1188"/>
      <c r="BN368" s="1188"/>
      <c r="BO368" s="1240"/>
      <c r="BP368" s="1240"/>
      <c r="BQ368" s="1188"/>
      <c r="BR368" s="1236">
        <f>I368/16</f>
        <v>708</v>
      </c>
      <c r="BS368" s="1236"/>
      <c r="BT368" s="1188"/>
      <c r="BU368" s="1188"/>
      <c r="BV368" s="1240"/>
      <c r="BW368" s="1188"/>
      <c r="BX368" s="1188"/>
      <c r="BY368" s="1188"/>
      <c r="BZ368" s="1188"/>
      <c r="CA368" s="1188">
        <f>I368/64</f>
        <v>177</v>
      </c>
      <c r="CB368" s="1188"/>
      <c r="CC368" s="1188"/>
      <c r="CD368" s="1188">
        <f t="shared" si="107"/>
        <v>708</v>
      </c>
      <c r="CE368" s="1188">
        <f t="shared" si="114"/>
        <v>0</v>
      </c>
      <c r="CF368" s="1188">
        <f t="shared" si="108"/>
        <v>0</v>
      </c>
      <c r="CG368" s="1188">
        <f t="shared" si="109"/>
        <v>0</v>
      </c>
      <c r="CH368" s="1236"/>
      <c r="CI368" s="1236"/>
      <c r="CJ368" s="1236"/>
      <c r="CK368" s="1188"/>
      <c r="CL368" s="1188"/>
    </row>
    <row r="369" s="1168" customFormat="1" customHeight="1" spans="1:111">
      <c r="A369" s="1245">
        <v>46136</v>
      </c>
      <c r="B369" s="1247" t="s">
        <v>935</v>
      </c>
      <c r="C369" s="1234" t="s">
        <v>115</v>
      </c>
      <c r="D369" s="1268">
        <v>4500203985</v>
      </c>
      <c r="E369" s="1893" t="s">
        <v>1627</v>
      </c>
      <c r="F369" s="1188" t="s">
        <v>1628</v>
      </c>
      <c r="G369" s="1253" t="s">
        <v>482</v>
      </c>
      <c r="H369" s="1234" t="s">
        <v>483</v>
      </c>
      <c r="I369" s="1254">
        <v>4320</v>
      </c>
      <c r="J369" s="1234">
        <v>0</v>
      </c>
      <c r="K369" s="1234">
        <v>120</v>
      </c>
      <c r="L369" s="1246">
        <f t="shared" si="125"/>
        <v>36</v>
      </c>
      <c r="M369" s="1255">
        <v>46212</v>
      </c>
      <c r="N369" s="1320">
        <v>46226</v>
      </c>
      <c r="O369" s="1322" t="s">
        <v>736</v>
      </c>
      <c r="P369" s="1233"/>
      <c r="Q369" s="1233" t="s">
        <v>106</v>
      </c>
      <c r="R369" s="1234" t="s">
        <v>1629</v>
      </c>
      <c r="S369" s="1234"/>
      <c r="T369" s="1233">
        <v>4320</v>
      </c>
      <c r="U369" s="1233">
        <f t="shared" si="121"/>
        <v>0</v>
      </c>
      <c r="V369" s="1234"/>
      <c r="W369" s="1256">
        <v>46155</v>
      </c>
      <c r="X369" s="1257" t="s">
        <v>107</v>
      </c>
      <c r="Y369" s="1257" t="s">
        <v>95</v>
      </c>
      <c r="Z369" s="1247"/>
      <c r="AA369" s="1247"/>
      <c r="AB369" s="1247"/>
      <c r="AC369" s="1247" t="s">
        <v>937</v>
      </c>
      <c r="AD369" s="1255" t="s">
        <v>488</v>
      </c>
      <c r="AE369" s="1188">
        <v>642</v>
      </c>
      <c r="AF369" s="1248">
        <f>I369*AE369</f>
        <v>2773440</v>
      </c>
      <c r="AG369" s="1249" t="s">
        <v>1630</v>
      </c>
      <c r="AH369" s="1234" t="s">
        <v>490</v>
      </c>
      <c r="AI369" s="1234" t="s">
        <v>112</v>
      </c>
      <c r="AJ369" s="1234" t="s">
        <v>113</v>
      </c>
      <c r="AK369" s="1188"/>
      <c r="AL369" s="1188">
        <f>I369*3</f>
        <v>12960</v>
      </c>
      <c r="AM369" s="1188"/>
      <c r="AN369" s="1188"/>
      <c r="AO369" s="1188"/>
      <c r="AP369" s="1188"/>
      <c r="AQ369" s="1240"/>
      <c r="AR369" s="1188"/>
      <c r="AS369" s="1236"/>
      <c r="AT369" s="1236"/>
      <c r="AU369" s="1188"/>
      <c r="AV369" s="1250">
        <f>I369*0.06*2</f>
        <v>518.4</v>
      </c>
      <c r="AW369" s="1250"/>
      <c r="AX369" s="1188"/>
      <c r="AY369" s="1188"/>
      <c r="AZ369" s="1188"/>
      <c r="BA369" s="1188"/>
      <c r="BB369" s="1188">
        <f>I369*3</f>
        <v>12960</v>
      </c>
      <c r="BC369" s="1188">
        <f>I369*3</f>
        <v>12960</v>
      </c>
      <c r="BD369" s="1188">
        <f>I369*3</f>
        <v>12960</v>
      </c>
      <c r="BE369" s="1188">
        <f>I369</f>
        <v>4320</v>
      </c>
      <c r="BF369" s="1188">
        <f>I369/6</f>
        <v>720</v>
      </c>
      <c r="BG369" s="1188"/>
      <c r="BH369" s="1188"/>
      <c r="BI369" s="1188"/>
      <c r="BJ369" s="1188"/>
      <c r="BK369" s="1188"/>
      <c r="BL369" s="1188"/>
      <c r="BM369" s="1188"/>
      <c r="BN369" s="1188"/>
      <c r="BO369" s="1240"/>
      <c r="BP369" s="1240"/>
      <c r="BQ369" s="1188"/>
      <c r="BR369" s="1236"/>
      <c r="BS369" s="1236"/>
      <c r="BT369" s="1188"/>
      <c r="BU369" s="1188"/>
      <c r="BV369" s="1240"/>
      <c r="BW369" s="1188"/>
      <c r="BX369" s="1188"/>
      <c r="BY369" s="1188"/>
      <c r="BZ369" s="1188"/>
      <c r="CA369" s="1188"/>
      <c r="CB369" s="1188"/>
      <c r="CC369" s="1188"/>
      <c r="CD369" s="1188">
        <f t="shared" si="107"/>
        <v>0</v>
      </c>
      <c r="CE369" s="1188">
        <f t="shared" si="114"/>
        <v>0</v>
      </c>
      <c r="CF369" s="1188">
        <f t="shared" si="108"/>
        <v>0</v>
      </c>
      <c r="CG369" s="1188">
        <f t="shared" si="109"/>
        <v>0</v>
      </c>
      <c r="CH369" s="1236"/>
      <c r="CI369" s="1236"/>
      <c r="CJ369" s="1236"/>
      <c r="CK369" s="1188"/>
      <c r="CL369" s="1188"/>
    </row>
    <row r="370" s="1168" customFormat="1" customHeight="1" spans="1:111">
      <c r="A370" s="1245">
        <v>46136</v>
      </c>
      <c r="B370" s="1247" t="s">
        <v>935</v>
      </c>
      <c r="C370" s="1234" t="s">
        <v>115</v>
      </c>
      <c r="D370" s="1268">
        <v>4500203986</v>
      </c>
      <c r="E370" s="1302">
        <v>1710512332</v>
      </c>
      <c r="F370" s="1188" t="s">
        <v>1631</v>
      </c>
      <c r="G370" s="1253" t="s">
        <v>482</v>
      </c>
      <c r="H370" s="1234" t="s">
        <v>483</v>
      </c>
      <c r="I370" s="1254">
        <v>4320</v>
      </c>
      <c r="J370" s="1234">
        <v>0</v>
      </c>
      <c r="K370" s="1234">
        <v>120</v>
      </c>
      <c r="L370" s="1246">
        <f t="shared" si="125"/>
        <v>36</v>
      </c>
      <c r="M370" s="1255">
        <v>46212</v>
      </c>
      <c r="N370" s="1320">
        <v>46226</v>
      </c>
      <c r="O370" s="1337" t="s">
        <v>1527</v>
      </c>
      <c r="P370" s="1233"/>
      <c r="Q370" s="1233" t="s">
        <v>106</v>
      </c>
      <c r="R370" s="1234" t="s">
        <v>1632</v>
      </c>
      <c r="S370" s="1234"/>
      <c r="T370" s="1233">
        <v>4320</v>
      </c>
      <c r="U370" s="1233">
        <f t="shared" si="121"/>
        <v>0</v>
      </c>
      <c r="V370" s="1234"/>
      <c r="W370" s="1238">
        <v>46155</v>
      </c>
      <c r="X370" s="1257" t="s">
        <v>107</v>
      </c>
      <c r="Y370" s="1227" t="s">
        <v>95</v>
      </c>
      <c r="Z370" s="1247"/>
      <c r="AA370" s="1247"/>
      <c r="AB370" s="1247"/>
      <c r="AC370" s="1247" t="s">
        <v>937</v>
      </c>
      <c r="AD370" s="1255" t="s">
        <v>488</v>
      </c>
      <c r="AE370" s="1188">
        <v>642</v>
      </c>
      <c r="AF370" s="1248">
        <f>I370*AE370</f>
        <v>2773440</v>
      </c>
      <c r="AG370" s="1249" t="s">
        <v>1633</v>
      </c>
      <c r="AH370" s="1234" t="s">
        <v>490</v>
      </c>
      <c r="AI370" s="1234" t="s">
        <v>112</v>
      </c>
      <c r="AJ370" s="1234" t="s">
        <v>113</v>
      </c>
      <c r="AK370" s="1188"/>
      <c r="AL370" s="1188">
        <f>I370*3</f>
        <v>12960</v>
      </c>
      <c r="AM370" s="1188"/>
      <c r="AN370" s="1188"/>
      <c r="AO370" s="1188"/>
      <c r="AP370" s="1188"/>
      <c r="AQ370" s="1240"/>
      <c r="AR370" s="1188"/>
      <c r="AS370" s="1236"/>
      <c r="AT370" s="1236"/>
      <c r="AU370" s="1188"/>
      <c r="AV370" s="1250">
        <f>I370*0.06*2</f>
        <v>518.4</v>
      </c>
      <c r="AW370" s="1250"/>
      <c r="AX370" s="1188"/>
      <c r="AY370" s="1188"/>
      <c r="AZ370" s="1188"/>
      <c r="BA370" s="1188"/>
      <c r="BB370" s="1188">
        <f>I370*3</f>
        <v>12960</v>
      </c>
      <c r="BC370" s="1188">
        <f>I370*3</f>
        <v>12960</v>
      </c>
      <c r="BD370" s="1188">
        <f>I370*3</f>
        <v>12960</v>
      </c>
      <c r="BE370" s="1188">
        <f>I370</f>
        <v>4320</v>
      </c>
      <c r="BF370" s="1188">
        <f>I370/6</f>
        <v>720</v>
      </c>
      <c r="BG370" s="1188"/>
      <c r="BH370" s="1188"/>
      <c r="BI370" s="1188"/>
      <c r="BJ370" s="1188"/>
      <c r="BK370" s="1188"/>
      <c r="BL370" s="1188"/>
      <c r="BM370" s="1188"/>
      <c r="BN370" s="1188"/>
      <c r="BO370" s="1240"/>
      <c r="BP370" s="1240"/>
      <c r="BQ370" s="1188"/>
      <c r="BR370" s="1236"/>
      <c r="BS370" s="1236"/>
      <c r="BT370" s="1188"/>
      <c r="BU370" s="1188"/>
      <c r="BV370" s="1240"/>
      <c r="BW370" s="1188"/>
      <c r="BX370" s="1188"/>
      <c r="BY370" s="1188"/>
      <c r="BZ370" s="1188"/>
      <c r="CA370" s="1188"/>
      <c r="CB370" s="1188"/>
      <c r="CC370" s="1188"/>
      <c r="CD370" s="1188">
        <f t="shared" si="107"/>
        <v>0</v>
      </c>
      <c r="CE370" s="1188">
        <f t="shared" si="114"/>
        <v>0</v>
      </c>
      <c r="CF370" s="1188">
        <f t="shared" si="108"/>
        <v>0</v>
      </c>
      <c r="CG370" s="1188">
        <f t="shared" si="109"/>
        <v>0</v>
      </c>
      <c r="CH370" s="1236"/>
      <c r="CI370" s="1236"/>
      <c r="CJ370" s="1236"/>
      <c r="CK370" s="1188"/>
      <c r="CL370" s="1188"/>
    </row>
    <row r="371" s="1168" customFormat="1" customHeight="1" spans="1:111">
      <c r="A371" s="1245">
        <v>46164</v>
      </c>
      <c r="B371" s="1247" t="s">
        <v>1634</v>
      </c>
      <c r="C371" s="1234" t="s">
        <v>1635</v>
      </c>
      <c r="D371" s="1268">
        <v>4500208709</v>
      </c>
      <c r="E371" s="1234" t="s">
        <v>628</v>
      </c>
      <c r="F371" s="1188" t="s">
        <v>1636</v>
      </c>
      <c r="G371" s="1253" t="s">
        <v>188</v>
      </c>
      <c r="H371" s="1234" t="s">
        <v>138</v>
      </c>
      <c r="I371" s="1254">
        <v>2500</v>
      </c>
      <c r="J371" s="1234">
        <v>0</v>
      </c>
      <c r="K371" s="1234">
        <v>50</v>
      </c>
      <c r="L371" s="1246">
        <f t="shared" si="125"/>
        <v>50</v>
      </c>
      <c r="M371" s="1255">
        <v>46213</v>
      </c>
      <c r="N371" s="1255">
        <v>46227</v>
      </c>
      <c r="O371" s="1255" t="s">
        <v>736</v>
      </c>
      <c r="P371" s="1233"/>
      <c r="Q371" s="1255" t="s">
        <v>106</v>
      </c>
      <c r="R371" s="1234" t="s">
        <v>1301</v>
      </c>
      <c r="S371" s="1234"/>
      <c r="T371" s="1233">
        <v>2500</v>
      </c>
      <c r="U371" s="1233">
        <f t="shared" si="121"/>
        <v>0</v>
      </c>
      <c r="V371" s="1234"/>
      <c r="W371" s="1238">
        <v>46174</v>
      </c>
      <c r="X371" s="1227" t="s">
        <v>95</v>
      </c>
      <c r="Y371" s="1227" t="s">
        <v>1637</v>
      </c>
      <c r="Z371" s="1247"/>
      <c r="AA371" s="1247"/>
      <c r="AB371" s="1247"/>
      <c r="AC371" s="1247" t="s">
        <v>1638</v>
      </c>
      <c r="AD371" s="1248" t="s">
        <v>1059</v>
      </c>
      <c r="AE371" s="1247">
        <v>1.1174</v>
      </c>
      <c r="AF371" s="1248">
        <f t="shared" ref="AF371:AF376" si="129">AE371*I371</f>
        <v>2793.5</v>
      </c>
      <c r="AG371" s="1258"/>
      <c r="AH371" s="1234" t="s">
        <v>188</v>
      </c>
      <c r="AI371" s="1234" t="s">
        <v>112</v>
      </c>
      <c r="AJ371" s="1234" t="s">
        <v>113</v>
      </c>
      <c r="AK371" s="1188">
        <f t="shared" ref="AK371:AK376" si="130">I371</f>
        <v>2500</v>
      </c>
      <c r="AL371" s="1188"/>
      <c r="AM371" s="1188"/>
      <c r="AN371" s="1188">
        <f>I371</f>
        <v>2500</v>
      </c>
      <c r="AO371" s="1188"/>
      <c r="AP371" s="1188"/>
      <c r="AQ371" s="1240"/>
      <c r="AR371" s="1188"/>
      <c r="AS371" s="1236"/>
      <c r="AT371" s="1236"/>
      <c r="AU371" s="1188">
        <f t="shared" ref="AU371:AU376" si="131">I371</f>
        <v>2500</v>
      </c>
      <c r="AV371" s="1250">
        <f>I371*0.06*2</f>
        <v>300</v>
      </c>
      <c r="AW371" s="1250"/>
      <c r="AX371" s="1188"/>
      <c r="AY371" s="1188"/>
      <c r="AZ371" s="1188"/>
      <c r="BA371" s="1188"/>
      <c r="BB371" s="1188"/>
      <c r="BC371" s="1188"/>
      <c r="BD371" s="1188"/>
      <c r="BE371" s="1188"/>
      <c r="BF371" s="1188"/>
      <c r="BG371" s="1188"/>
      <c r="BH371" s="1188"/>
      <c r="BI371" s="1188"/>
      <c r="BJ371" s="1188"/>
      <c r="BK371" s="1188"/>
      <c r="BL371" s="1188"/>
      <c r="BM371" s="1188"/>
      <c r="BN371" s="1188">
        <f>I371/25</f>
        <v>100</v>
      </c>
      <c r="BO371" s="1240"/>
      <c r="BP371" s="1240"/>
      <c r="BQ371" s="1188"/>
      <c r="BR371" s="1236"/>
      <c r="BS371" s="1236"/>
      <c r="BT371" s="1188"/>
      <c r="BU371" s="1188"/>
      <c r="BV371" s="1240"/>
      <c r="BW371" s="1188"/>
      <c r="BX371" s="1188"/>
      <c r="BY371" s="1188"/>
      <c r="BZ371" s="1188"/>
      <c r="CA371" s="1188"/>
      <c r="CB371" s="1188"/>
      <c r="CC371" s="1188"/>
      <c r="CD371" s="1188">
        <f t="shared" si="107"/>
        <v>100</v>
      </c>
      <c r="CE371" s="1188">
        <f t="shared" si="114"/>
        <v>0</v>
      </c>
      <c r="CF371" s="1188">
        <f t="shared" si="108"/>
        <v>0</v>
      </c>
      <c r="CG371" s="1188">
        <f t="shared" si="109"/>
        <v>0</v>
      </c>
      <c r="CH371" s="1236"/>
      <c r="CI371" s="1236"/>
      <c r="CJ371" s="1236"/>
      <c r="CK371" s="1188"/>
      <c r="CL371" s="1188"/>
    </row>
    <row r="372" s="1168" customFormat="1" customHeight="1" spans="1:111">
      <c r="A372" s="1245">
        <v>46203</v>
      </c>
      <c r="B372" s="1247" t="s">
        <v>346</v>
      </c>
      <c r="C372" s="1234" t="s">
        <v>115</v>
      </c>
      <c r="D372" s="1188">
        <v>4500214387</v>
      </c>
      <c r="E372" s="1890" t="s">
        <v>1639</v>
      </c>
      <c r="F372" s="1188" t="s">
        <v>1640</v>
      </c>
      <c r="G372" s="1253" t="s">
        <v>380</v>
      </c>
      <c r="H372" s="1234" t="s">
        <v>381</v>
      </c>
      <c r="I372" s="1254">
        <v>21776</v>
      </c>
      <c r="J372" s="1234">
        <v>0</v>
      </c>
      <c r="K372" s="1234">
        <v>16</v>
      </c>
      <c r="L372" s="1246">
        <f t="shared" si="125"/>
        <v>1361</v>
      </c>
      <c r="M372" s="1255">
        <v>46213</v>
      </c>
      <c r="N372" s="1320">
        <v>46220</v>
      </c>
      <c r="O372" s="1322" t="s">
        <v>736</v>
      </c>
      <c r="P372" s="1302" t="s">
        <v>1641</v>
      </c>
      <c r="Q372" s="1233" t="s">
        <v>106</v>
      </c>
      <c r="R372" s="1233"/>
      <c r="S372" s="1234" t="s">
        <v>1204</v>
      </c>
      <c r="T372" s="1233">
        <v>21776</v>
      </c>
      <c r="U372" s="1233">
        <f t="shared" si="121"/>
        <v>0</v>
      </c>
      <c r="V372" s="1234"/>
      <c r="W372" s="1256" t="s">
        <v>1551</v>
      </c>
      <c r="X372" s="1227" t="s">
        <v>95</v>
      </c>
      <c r="Y372" s="1257" t="s">
        <v>1642</v>
      </c>
      <c r="Z372" s="1247"/>
      <c r="AA372" s="1247"/>
      <c r="AB372" s="1247"/>
      <c r="AC372" s="1247" t="s">
        <v>1609</v>
      </c>
      <c r="AD372" s="1255" t="s">
        <v>354</v>
      </c>
      <c r="AE372" s="1188">
        <v>0.6798</v>
      </c>
      <c r="AF372" s="1248">
        <f t="shared" si="129"/>
        <v>14803.3248</v>
      </c>
      <c r="AG372" s="1249" t="s">
        <v>1643</v>
      </c>
      <c r="AH372" s="1234" t="s">
        <v>380</v>
      </c>
      <c r="AI372" s="1234" t="s">
        <v>112</v>
      </c>
      <c r="AJ372" s="1234" t="s">
        <v>113</v>
      </c>
      <c r="AK372" s="1188">
        <f t="shared" si="130"/>
        <v>21776</v>
      </c>
      <c r="AL372" s="1188"/>
      <c r="AM372" s="1188"/>
      <c r="AN372" s="1188">
        <f>I372</f>
        <v>21776</v>
      </c>
      <c r="AO372" s="1188"/>
      <c r="AP372" s="1188"/>
      <c r="AQ372" s="1240"/>
      <c r="AR372" s="1188"/>
      <c r="AS372" s="1236"/>
      <c r="AT372" s="1236"/>
      <c r="AU372" s="1188">
        <f t="shared" si="131"/>
        <v>21776</v>
      </c>
      <c r="AV372" s="1250"/>
      <c r="AW372" s="1250"/>
      <c r="AX372" s="1188"/>
      <c r="AY372" s="1188"/>
      <c r="AZ372" s="1188"/>
      <c r="BA372" s="1188"/>
      <c r="BB372" s="1188"/>
      <c r="BC372" s="1188"/>
      <c r="BD372" s="1188"/>
      <c r="BE372" s="1188"/>
      <c r="BF372" s="1188"/>
      <c r="BG372" s="1188"/>
      <c r="BH372" s="1188"/>
      <c r="BI372" s="1188"/>
      <c r="BJ372" s="1188"/>
      <c r="BK372" s="1188"/>
      <c r="BL372" s="1188"/>
      <c r="BM372" s="1188"/>
      <c r="BN372" s="1188"/>
      <c r="BO372" s="1240"/>
      <c r="BP372" s="1240"/>
      <c r="BQ372" s="1188"/>
      <c r="BR372" s="1236">
        <f>I372/16</f>
        <v>1361</v>
      </c>
      <c r="BS372" s="1188"/>
      <c r="BT372" s="1188"/>
      <c r="BU372" s="1188"/>
      <c r="BV372" s="1240"/>
      <c r="BW372" s="1188"/>
      <c r="BX372" s="1188"/>
      <c r="BY372" s="1188"/>
      <c r="BZ372" s="1188"/>
      <c r="CA372" s="1188"/>
      <c r="CB372" s="1188"/>
      <c r="CC372" s="1188"/>
      <c r="CD372" s="1188">
        <f t="shared" si="107"/>
        <v>1361</v>
      </c>
      <c r="CE372" s="1188">
        <f t="shared" si="114"/>
        <v>0</v>
      </c>
      <c r="CF372" s="1188">
        <f t="shared" si="108"/>
        <v>0</v>
      </c>
      <c r="CG372" s="1188">
        <f t="shared" si="109"/>
        <v>0</v>
      </c>
      <c r="CH372" s="1236"/>
      <c r="CI372" s="1236"/>
      <c r="CJ372" s="1236"/>
      <c r="CK372" s="1188"/>
      <c r="CL372" s="1188"/>
    </row>
    <row r="373" s="1168" customFormat="1" customHeight="1" spans="1:111">
      <c r="A373" s="1245">
        <v>46203</v>
      </c>
      <c r="B373" s="1247" t="s">
        <v>346</v>
      </c>
      <c r="C373" s="1234" t="s">
        <v>115</v>
      </c>
      <c r="D373" s="1188">
        <v>4500214387</v>
      </c>
      <c r="E373" s="1890" t="s">
        <v>1644</v>
      </c>
      <c r="F373" s="1188" t="s">
        <v>1645</v>
      </c>
      <c r="G373" s="1253" t="s">
        <v>380</v>
      </c>
      <c r="H373" s="1234" t="s">
        <v>381</v>
      </c>
      <c r="I373" s="1254">
        <v>25632</v>
      </c>
      <c r="J373" s="1234">
        <v>0</v>
      </c>
      <c r="K373" s="1234">
        <v>16</v>
      </c>
      <c r="L373" s="1246">
        <f t="shared" si="125"/>
        <v>1602</v>
      </c>
      <c r="M373" s="1255">
        <v>46213</v>
      </c>
      <c r="N373" s="1320">
        <v>46220</v>
      </c>
      <c r="O373" s="1337" t="s">
        <v>736</v>
      </c>
      <c r="P373" s="1302" t="s">
        <v>1641</v>
      </c>
      <c r="Q373" s="1233" t="s">
        <v>106</v>
      </c>
      <c r="R373" s="1233" t="s">
        <v>1549</v>
      </c>
      <c r="S373" s="1234" t="s">
        <v>1204</v>
      </c>
      <c r="T373" s="1233">
        <v>25632</v>
      </c>
      <c r="U373" s="1233">
        <f t="shared" si="121"/>
        <v>0</v>
      </c>
      <c r="V373" s="1234"/>
      <c r="W373" s="1238" t="s">
        <v>1572</v>
      </c>
      <c r="X373" s="1227" t="s">
        <v>95</v>
      </c>
      <c r="Y373" s="1227" t="s">
        <v>1642</v>
      </c>
      <c r="Z373" s="1247"/>
      <c r="AA373" s="1247"/>
      <c r="AB373" s="1247"/>
      <c r="AC373" s="1247" t="s">
        <v>1609</v>
      </c>
      <c r="AD373" s="1255" t="s">
        <v>354</v>
      </c>
      <c r="AE373" s="1188">
        <v>0.6798</v>
      </c>
      <c r="AF373" s="1248">
        <f t="shared" si="129"/>
        <v>17424.6336</v>
      </c>
      <c r="AG373" s="1249" t="s">
        <v>1646</v>
      </c>
      <c r="AH373" s="1234" t="s">
        <v>380</v>
      </c>
      <c r="AI373" s="1234" t="s">
        <v>112</v>
      </c>
      <c r="AJ373" s="1234" t="s">
        <v>113</v>
      </c>
      <c r="AK373" s="1188">
        <f t="shared" si="130"/>
        <v>25632</v>
      </c>
      <c r="AL373" s="1188"/>
      <c r="AM373" s="1188"/>
      <c r="AN373" s="1188">
        <f>I373</f>
        <v>25632</v>
      </c>
      <c r="AO373" s="1188"/>
      <c r="AP373" s="1188"/>
      <c r="AQ373" s="1240"/>
      <c r="AR373" s="1188"/>
      <c r="AS373" s="1236"/>
      <c r="AT373" s="1236"/>
      <c r="AU373" s="1188">
        <f t="shared" si="131"/>
        <v>25632</v>
      </c>
      <c r="AV373" s="1250"/>
      <c r="AW373" s="1250"/>
      <c r="AX373" s="1188"/>
      <c r="AY373" s="1188"/>
      <c r="AZ373" s="1188"/>
      <c r="BA373" s="1188"/>
      <c r="BB373" s="1188"/>
      <c r="BC373" s="1188"/>
      <c r="BD373" s="1188"/>
      <c r="BE373" s="1188"/>
      <c r="BF373" s="1188"/>
      <c r="BG373" s="1188"/>
      <c r="BH373" s="1188"/>
      <c r="BI373" s="1188"/>
      <c r="BJ373" s="1188"/>
      <c r="BK373" s="1188"/>
      <c r="BL373" s="1188"/>
      <c r="BM373" s="1188"/>
      <c r="BN373" s="1188"/>
      <c r="BO373" s="1240"/>
      <c r="BP373" s="1240"/>
      <c r="BQ373" s="1188"/>
      <c r="BR373" s="1236">
        <f>I373/16</f>
        <v>1602</v>
      </c>
      <c r="BS373" s="1236"/>
      <c r="BT373" s="1188"/>
      <c r="BU373" s="1188"/>
      <c r="BV373" s="1240"/>
      <c r="BW373" s="1188"/>
      <c r="BX373" s="1188"/>
      <c r="BY373" s="1188"/>
      <c r="BZ373" s="1188"/>
      <c r="CA373" s="1188"/>
      <c r="CB373" s="1188"/>
      <c r="CC373" s="1188"/>
      <c r="CD373" s="1188">
        <f t="shared" si="107"/>
        <v>1602</v>
      </c>
      <c r="CE373" s="1188">
        <f t="shared" si="114"/>
        <v>0</v>
      </c>
      <c r="CF373" s="1188">
        <f t="shared" si="108"/>
        <v>0</v>
      </c>
      <c r="CG373" s="1188">
        <f t="shared" si="109"/>
        <v>0</v>
      </c>
      <c r="CH373" s="1236"/>
      <c r="CI373" s="1236"/>
      <c r="CJ373" s="1236"/>
      <c r="CK373" s="1188"/>
      <c r="CL373" s="1188"/>
    </row>
    <row r="374" s="1168" customFormat="1" customHeight="1" spans="1:111">
      <c r="A374" s="1245">
        <v>46169</v>
      </c>
      <c r="B374" s="1247" t="s">
        <v>1647</v>
      </c>
      <c r="C374" s="1234" t="s">
        <v>1439</v>
      </c>
      <c r="D374" s="1268">
        <v>4500209381</v>
      </c>
      <c r="E374" s="1233">
        <v>22362602</v>
      </c>
      <c r="F374" s="1188" t="s">
        <v>1648</v>
      </c>
      <c r="G374" s="1253" t="s">
        <v>188</v>
      </c>
      <c r="H374" s="1234" t="s">
        <v>138</v>
      </c>
      <c r="I374" s="1254">
        <v>25000</v>
      </c>
      <c r="J374" s="1234">
        <v>0</v>
      </c>
      <c r="K374" s="1234">
        <v>50</v>
      </c>
      <c r="L374" s="1246">
        <f t="shared" si="125"/>
        <v>500</v>
      </c>
      <c r="M374" s="1255">
        <v>46213</v>
      </c>
      <c r="N374" s="1320">
        <v>46226</v>
      </c>
      <c r="O374" s="1338" t="s">
        <v>1649</v>
      </c>
      <c r="P374" s="1233" t="s">
        <v>1650</v>
      </c>
      <c r="Q374" s="1233" t="s">
        <v>106</v>
      </c>
      <c r="R374" s="1234" t="s">
        <v>1497</v>
      </c>
      <c r="S374" s="1234"/>
      <c r="T374" s="1233">
        <v>25000</v>
      </c>
      <c r="U374" s="1233">
        <f t="shared" si="121"/>
        <v>0</v>
      </c>
      <c r="V374" s="1234"/>
      <c r="W374" s="1238">
        <v>46169</v>
      </c>
      <c r="X374" s="1227" t="s">
        <v>95</v>
      </c>
      <c r="Y374" s="1227" t="s">
        <v>1651</v>
      </c>
      <c r="Z374" s="1247" t="s">
        <v>1652</v>
      </c>
      <c r="AA374" s="1247"/>
      <c r="AB374" s="1247"/>
      <c r="AC374" s="1247" t="s">
        <v>1653</v>
      </c>
      <c r="AD374" s="1255" t="s">
        <v>1477</v>
      </c>
      <c r="AE374" s="1188">
        <v>1.0944</v>
      </c>
      <c r="AF374" s="1248">
        <f t="shared" si="129"/>
        <v>27360</v>
      </c>
      <c r="AG374" s="1258"/>
      <c r="AH374" s="1234" t="s">
        <v>314</v>
      </c>
      <c r="AI374" s="1234" t="s">
        <v>112</v>
      </c>
      <c r="AJ374" s="1234" t="s">
        <v>113</v>
      </c>
      <c r="AK374" s="1188">
        <f t="shared" si="130"/>
        <v>25000</v>
      </c>
      <c r="AL374" s="1188"/>
      <c r="AM374" s="1188"/>
      <c r="AN374" s="1188"/>
      <c r="AO374" s="1188"/>
      <c r="AP374" s="1188">
        <f>I374</f>
        <v>25000</v>
      </c>
      <c r="AQ374" s="1240"/>
      <c r="AR374" s="1188"/>
      <c r="AS374" s="1236"/>
      <c r="AT374" s="1236"/>
      <c r="AU374" s="1188">
        <f t="shared" si="131"/>
        <v>25000</v>
      </c>
      <c r="AV374" s="1250">
        <f t="shared" ref="AV374:AV381" si="132">I374*0.06*2</f>
        <v>3000</v>
      </c>
      <c r="AW374" s="1250"/>
      <c r="AX374" s="1188"/>
      <c r="AY374" s="1188"/>
      <c r="AZ374" s="1188"/>
      <c r="BA374" s="1188"/>
      <c r="BB374" s="1188"/>
      <c r="BC374" s="1188"/>
      <c r="BD374" s="1188"/>
      <c r="BE374" s="1188"/>
      <c r="BF374" s="1188"/>
      <c r="BG374" s="1188"/>
      <c r="BH374" s="1188"/>
      <c r="BI374" s="1188"/>
      <c r="BJ374" s="1188"/>
      <c r="BK374" s="1188"/>
      <c r="BL374" s="1188"/>
      <c r="BM374" s="1188"/>
      <c r="BN374" s="1188"/>
      <c r="BO374" s="1240">
        <f>I374/25</f>
        <v>1000</v>
      </c>
      <c r="BP374" s="1240"/>
      <c r="BQ374" s="1188"/>
      <c r="BR374" s="1236"/>
      <c r="BS374" s="1236"/>
      <c r="BT374" s="1188"/>
      <c r="BU374" s="1188"/>
      <c r="BV374" s="1240"/>
      <c r="BW374" s="1188"/>
      <c r="BX374" s="1188"/>
      <c r="BY374" s="1188"/>
      <c r="BZ374" s="1188"/>
      <c r="CA374" s="1188"/>
      <c r="CB374" s="1188"/>
      <c r="CC374" s="1188"/>
      <c r="CD374" s="1188">
        <f t="shared" si="107"/>
        <v>1000</v>
      </c>
      <c r="CE374" s="1188">
        <f t="shared" si="114"/>
        <v>0</v>
      </c>
      <c r="CF374" s="1188">
        <f t="shared" si="108"/>
        <v>0</v>
      </c>
      <c r="CG374" s="1188">
        <f t="shared" si="109"/>
        <v>0</v>
      </c>
      <c r="CH374" s="1236"/>
      <c r="CI374" s="1236"/>
      <c r="CJ374" s="1236"/>
      <c r="CK374" s="1188"/>
      <c r="CL374" s="1188"/>
    </row>
    <row r="375" s="1168" customFormat="1" customHeight="1" spans="1:111">
      <c r="A375" s="1245">
        <v>46140</v>
      </c>
      <c r="B375" s="1247" t="s">
        <v>1654</v>
      </c>
      <c r="C375" s="1234" t="s">
        <v>1655</v>
      </c>
      <c r="D375" s="1268">
        <v>4500204389</v>
      </c>
      <c r="E375" s="1234" t="s">
        <v>628</v>
      </c>
      <c r="F375" s="1188" t="s">
        <v>1656</v>
      </c>
      <c r="G375" s="1253" t="s">
        <v>188</v>
      </c>
      <c r="H375" s="1234" t="s">
        <v>138</v>
      </c>
      <c r="I375" s="1254">
        <v>5000</v>
      </c>
      <c r="J375" s="1234">
        <v>0</v>
      </c>
      <c r="K375" s="1234">
        <v>50</v>
      </c>
      <c r="L375" s="1246">
        <f t="shared" si="125"/>
        <v>100</v>
      </c>
      <c r="M375" s="1255">
        <v>46213</v>
      </c>
      <c r="N375" s="1320">
        <v>46227</v>
      </c>
      <c r="O375" s="1320" t="s">
        <v>1649</v>
      </c>
      <c r="P375" s="1233"/>
      <c r="Q375" s="1233" t="s">
        <v>106</v>
      </c>
      <c r="R375" s="1234" t="s">
        <v>1657</v>
      </c>
      <c r="S375" s="1234"/>
      <c r="T375" s="1233">
        <v>5000</v>
      </c>
      <c r="U375" s="1233">
        <f t="shared" si="121"/>
        <v>0</v>
      </c>
      <c r="V375" s="1234"/>
      <c r="W375" s="1256">
        <v>46178</v>
      </c>
      <c r="X375" s="1257" t="s">
        <v>95</v>
      </c>
      <c r="Y375" s="1257" t="s">
        <v>1658</v>
      </c>
      <c r="Z375" s="1247" t="s">
        <v>1659</v>
      </c>
      <c r="AA375" s="1247"/>
      <c r="AB375" s="1247"/>
      <c r="AC375" s="1247" t="s">
        <v>1660</v>
      </c>
      <c r="AD375" s="1255" t="s">
        <v>295</v>
      </c>
      <c r="AE375" s="1188">
        <v>1.0647</v>
      </c>
      <c r="AF375" s="1248">
        <f t="shared" si="129"/>
        <v>5323.5</v>
      </c>
      <c r="AG375" s="1258"/>
      <c r="AH375" s="1234" t="s">
        <v>314</v>
      </c>
      <c r="AI375" s="1234" t="s">
        <v>112</v>
      </c>
      <c r="AJ375" s="1234" t="s">
        <v>113</v>
      </c>
      <c r="AK375" s="1188">
        <f t="shared" si="130"/>
        <v>5000</v>
      </c>
      <c r="AL375" s="1188"/>
      <c r="AM375" s="1188"/>
      <c r="AN375" s="1188"/>
      <c r="AO375" s="1188"/>
      <c r="AP375" s="1188">
        <f>I375</f>
        <v>5000</v>
      </c>
      <c r="AQ375" s="1240"/>
      <c r="AR375" s="1188"/>
      <c r="AS375" s="1236"/>
      <c r="AT375" s="1236"/>
      <c r="AU375" s="1188">
        <f t="shared" si="131"/>
        <v>5000</v>
      </c>
      <c r="AV375" s="1250">
        <f t="shared" si="132"/>
        <v>600</v>
      </c>
      <c r="AW375" s="1250"/>
      <c r="AX375" s="1188"/>
      <c r="AY375" s="1188"/>
      <c r="AZ375" s="1188"/>
      <c r="BA375" s="1188"/>
      <c r="BB375" s="1188"/>
      <c r="BC375" s="1188"/>
      <c r="BD375" s="1188"/>
      <c r="BE375" s="1188"/>
      <c r="BF375" s="1188"/>
      <c r="BG375" s="1188"/>
      <c r="BH375" s="1188"/>
      <c r="BI375" s="1188"/>
      <c r="BJ375" s="1188"/>
      <c r="BK375" s="1188"/>
      <c r="BL375" s="1188"/>
      <c r="BM375" s="1188"/>
      <c r="BN375" s="1188"/>
      <c r="BO375" s="1240">
        <f>I375/25</f>
        <v>200</v>
      </c>
      <c r="BP375" s="1240"/>
      <c r="BQ375" s="1188"/>
      <c r="BR375" s="1236"/>
      <c r="BS375" s="1236"/>
      <c r="BT375" s="1188"/>
      <c r="BU375" s="1188"/>
      <c r="BV375" s="1240"/>
      <c r="BW375" s="1188"/>
      <c r="BX375" s="1188"/>
      <c r="BY375" s="1188"/>
      <c r="BZ375" s="1188"/>
      <c r="CA375" s="1188"/>
      <c r="CB375" s="1188"/>
      <c r="CC375" s="1188"/>
      <c r="CD375" s="1188">
        <f t="shared" si="107"/>
        <v>200</v>
      </c>
      <c r="CE375" s="1188">
        <f t="shared" si="114"/>
        <v>0</v>
      </c>
      <c r="CF375" s="1188">
        <f t="shared" si="108"/>
        <v>0</v>
      </c>
      <c r="CG375" s="1188">
        <f t="shared" si="109"/>
        <v>0</v>
      </c>
      <c r="CH375" s="1236"/>
      <c r="CI375" s="1236"/>
      <c r="CJ375" s="1236"/>
      <c r="CK375" s="1188"/>
      <c r="CL375" s="1188"/>
    </row>
    <row r="376" s="1168" customFormat="1" customHeight="1" spans="1:111">
      <c r="A376" s="1245">
        <v>46136</v>
      </c>
      <c r="B376" s="1220" t="s">
        <v>1661</v>
      </c>
      <c r="C376" s="1221" t="s">
        <v>1388</v>
      </c>
      <c r="D376" s="1303">
        <v>4500203841</v>
      </c>
      <c r="E376" s="1221" t="s">
        <v>628</v>
      </c>
      <c r="F376" s="1222" t="s">
        <v>1662</v>
      </c>
      <c r="G376" s="1223" t="s">
        <v>188</v>
      </c>
      <c r="H376" s="1221" t="s">
        <v>138</v>
      </c>
      <c r="I376" s="1252">
        <v>1600</v>
      </c>
      <c r="J376" s="1221">
        <v>0</v>
      </c>
      <c r="K376" s="1221">
        <v>50</v>
      </c>
      <c r="L376" s="1246">
        <f t="shared" si="125"/>
        <v>32</v>
      </c>
      <c r="M376" s="1225">
        <v>46213</v>
      </c>
      <c r="N376" s="1338">
        <v>46227</v>
      </c>
      <c r="O376" s="1322" t="s">
        <v>1649</v>
      </c>
      <c r="P376" s="1233"/>
      <c r="Q376" s="1233" t="s">
        <v>106</v>
      </c>
      <c r="R376" s="1234" t="s">
        <v>1663</v>
      </c>
      <c r="S376" s="1234"/>
      <c r="T376" s="1233">
        <v>1600</v>
      </c>
      <c r="U376" s="1233">
        <f t="shared" si="121"/>
        <v>0</v>
      </c>
      <c r="V376" s="1234"/>
      <c r="W376" s="1238">
        <v>46178</v>
      </c>
      <c r="X376" s="1227" t="s">
        <v>95</v>
      </c>
      <c r="Y376" s="1227" t="s">
        <v>1664</v>
      </c>
      <c r="Z376" s="1247"/>
      <c r="AA376" s="1247"/>
      <c r="AB376" s="1247"/>
      <c r="AC376" s="1220" t="s">
        <v>1665</v>
      </c>
      <c r="AD376" s="1225" t="s">
        <v>295</v>
      </c>
      <c r="AE376" s="1188">
        <v>1.089</v>
      </c>
      <c r="AF376" s="1248">
        <f t="shared" si="129"/>
        <v>1742.4</v>
      </c>
      <c r="AG376" s="1258"/>
      <c r="AH376" s="1234" t="s">
        <v>314</v>
      </c>
      <c r="AI376" s="1234" t="s">
        <v>112</v>
      </c>
      <c r="AJ376" s="1234" t="s">
        <v>113</v>
      </c>
      <c r="AK376" s="1188">
        <f t="shared" si="130"/>
        <v>1600</v>
      </c>
      <c r="AL376" s="1188"/>
      <c r="AM376" s="1188"/>
      <c r="AN376" s="1188"/>
      <c r="AO376" s="1188"/>
      <c r="AP376" s="1188">
        <f>I376</f>
        <v>1600</v>
      </c>
      <c r="AQ376" s="1240"/>
      <c r="AR376" s="1188"/>
      <c r="AS376" s="1236"/>
      <c r="AT376" s="1236"/>
      <c r="AU376" s="1188">
        <f t="shared" si="131"/>
        <v>1600</v>
      </c>
      <c r="AV376" s="1250">
        <f t="shared" si="132"/>
        <v>192</v>
      </c>
      <c r="AW376" s="1250"/>
      <c r="AX376" s="1188"/>
      <c r="AY376" s="1188"/>
      <c r="AZ376" s="1188"/>
      <c r="BA376" s="1188"/>
      <c r="BB376" s="1188"/>
      <c r="BC376" s="1188"/>
      <c r="BD376" s="1188"/>
      <c r="BE376" s="1188"/>
      <c r="BF376" s="1188"/>
      <c r="BG376" s="1188"/>
      <c r="BH376" s="1188"/>
      <c r="BI376" s="1188"/>
      <c r="BJ376" s="1188"/>
      <c r="BK376" s="1188"/>
      <c r="BL376" s="1188"/>
      <c r="BM376" s="1188"/>
      <c r="BN376" s="1188"/>
      <c r="BO376" s="1240">
        <f>I376/25</f>
        <v>64</v>
      </c>
      <c r="BP376" s="1240"/>
      <c r="BQ376" s="1188"/>
      <c r="BR376" s="1236"/>
      <c r="BS376" s="1236"/>
      <c r="BT376" s="1188"/>
      <c r="BU376" s="1188"/>
      <c r="BV376" s="1240"/>
      <c r="BW376" s="1188"/>
      <c r="BX376" s="1188"/>
      <c r="BY376" s="1188"/>
      <c r="BZ376" s="1188"/>
      <c r="CA376" s="1188"/>
      <c r="CB376" s="1188"/>
      <c r="CC376" s="1188"/>
      <c r="CD376" s="1188">
        <f t="shared" si="107"/>
        <v>64</v>
      </c>
      <c r="CE376" s="1188">
        <f t="shared" si="114"/>
        <v>0</v>
      </c>
      <c r="CF376" s="1188">
        <f t="shared" si="108"/>
        <v>0</v>
      </c>
      <c r="CG376" s="1188">
        <f t="shared" si="109"/>
        <v>0</v>
      </c>
      <c r="CH376" s="1236"/>
      <c r="CI376" s="1236"/>
      <c r="CJ376" s="1236"/>
      <c r="CK376" s="1188"/>
      <c r="CL376" s="1188"/>
    </row>
    <row r="377" s="1168" customFormat="1" ht="31" customHeight="1" spans="1:111">
      <c r="A377" s="1245">
        <v>46136</v>
      </c>
      <c r="B377" s="1247" t="s">
        <v>935</v>
      </c>
      <c r="C377" s="1234" t="s">
        <v>115</v>
      </c>
      <c r="D377" s="1268">
        <v>4500203988</v>
      </c>
      <c r="E377" s="1302">
        <v>1790512272</v>
      </c>
      <c r="F377" s="1188" t="s">
        <v>1666</v>
      </c>
      <c r="G377" s="1253" t="s">
        <v>482</v>
      </c>
      <c r="H377" s="1234" t="s">
        <v>483</v>
      </c>
      <c r="I377" s="1254">
        <v>4320</v>
      </c>
      <c r="J377" s="1234">
        <v>0</v>
      </c>
      <c r="K377" s="1234">
        <v>120</v>
      </c>
      <c r="L377" s="1246">
        <f t="shared" si="125"/>
        <v>36</v>
      </c>
      <c r="M377" s="1255">
        <v>46213</v>
      </c>
      <c r="N377" s="1320">
        <v>46226</v>
      </c>
      <c r="O377" s="1322" t="s">
        <v>1527</v>
      </c>
      <c r="P377" s="1233"/>
      <c r="Q377" s="1233" t="s">
        <v>106</v>
      </c>
      <c r="R377" s="1234" t="s">
        <v>1315</v>
      </c>
      <c r="S377" s="1234"/>
      <c r="T377" s="1233">
        <v>4320</v>
      </c>
      <c r="U377" s="1233">
        <f t="shared" si="121"/>
        <v>0</v>
      </c>
      <c r="V377" s="1234"/>
      <c r="W377" s="1238">
        <v>46155</v>
      </c>
      <c r="X377" s="1227" t="s">
        <v>107</v>
      </c>
      <c r="Y377" s="1227" t="s">
        <v>95</v>
      </c>
      <c r="Z377" s="1247"/>
      <c r="AA377" s="1247"/>
      <c r="AB377" s="1247"/>
      <c r="AC377" s="1247" t="s">
        <v>937</v>
      </c>
      <c r="AD377" s="1255" t="s">
        <v>488</v>
      </c>
      <c r="AE377" s="1188">
        <v>642</v>
      </c>
      <c r="AF377" s="1248">
        <f>I377*AE377</f>
        <v>2773440</v>
      </c>
      <c r="AG377" s="1249" t="s">
        <v>1667</v>
      </c>
      <c r="AH377" s="1234" t="s">
        <v>490</v>
      </c>
      <c r="AI377" s="1234" t="s">
        <v>112</v>
      </c>
      <c r="AJ377" s="1234" t="s">
        <v>113</v>
      </c>
      <c r="AK377" s="1188"/>
      <c r="AL377" s="1188">
        <f>I377*3</f>
        <v>12960</v>
      </c>
      <c r="AM377" s="1188"/>
      <c r="AN377" s="1188"/>
      <c r="AO377" s="1188"/>
      <c r="AP377" s="1188"/>
      <c r="AQ377" s="1240"/>
      <c r="AR377" s="1188"/>
      <c r="AS377" s="1236"/>
      <c r="AT377" s="1236"/>
      <c r="AU377" s="1188"/>
      <c r="AV377" s="1250">
        <f t="shared" si="132"/>
        <v>518.4</v>
      </c>
      <c r="AW377" s="1250"/>
      <c r="AX377" s="1188"/>
      <c r="AY377" s="1188"/>
      <c r="AZ377" s="1188"/>
      <c r="BA377" s="1188"/>
      <c r="BB377" s="1188">
        <f>I377*3</f>
        <v>12960</v>
      </c>
      <c r="BC377" s="1188">
        <f>I377*3</f>
        <v>12960</v>
      </c>
      <c r="BD377" s="1188">
        <f>I377*3</f>
        <v>12960</v>
      </c>
      <c r="BE377" s="1188">
        <f>I377</f>
        <v>4320</v>
      </c>
      <c r="BF377" s="1188">
        <f>I377/6</f>
        <v>720</v>
      </c>
      <c r="BG377" s="1188"/>
      <c r="BH377" s="1188"/>
      <c r="BI377" s="1188"/>
      <c r="BJ377" s="1188"/>
      <c r="BK377" s="1188"/>
      <c r="BL377" s="1188"/>
      <c r="BM377" s="1188"/>
      <c r="BN377" s="1188"/>
      <c r="BO377" s="1240"/>
      <c r="BP377" s="1240"/>
      <c r="BQ377" s="1188"/>
      <c r="BR377" s="1236"/>
      <c r="BS377" s="1236"/>
      <c r="BT377" s="1188"/>
      <c r="BU377" s="1188"/>
      <c r="BV377" s="1240"/>
      <c r="BW377" s="1188"/>
      <c r="BX377" s="1188"/>
      <c r="BY377" s="1188"/>
      <c r="BZ377" s="1188"/>
      <c r="CA377" s="1188"/>
      <c r="CB377" s="1188"/>
      <c r="CC377" s="1188"/>
      <c r="CD377" s="1188">
        <f t="shared" si="107"/>
        <v>0</v>
      </c>
      <c r="CE377" s="1188">
        <f t="shared" si="114"/>
        <v>0</v>
      </c>
      <c r="CF377" s="1188">
        <f t="shared" si="108"/>
        <v>0</v>
      </c>
      <c r="CG377" s="1188">
        <f t="shared" si="109"/>
        <v>0</v>
      </c>
      <c r="CH377" s="1236"/>
      <c r="CI377" s="1236"/>
      <c r="CJ377" s="1236"/>
      <c r="CK377" s="1188"/>
      <c r="CL377" s="1188"/>
    </row>
    <row r="378" s="1168" customFormat="1" customHeight="1" spans="1:111">
      <c r="A378" s="1245">
        <v>46136</v>
      </c>
      <c r="B378" s="1220" t="s">
        <v>935</v>
      </c>
      <c r="C378" s="1221" t="s">
        <v>115</v>
      </c>
      <c r="D378" s="1303">
        <v>4500203991</v>
      </c>
      <c r="E378" s="1339">
        <v>2620512311</v>
      </c>
      <c r="F378" s="1222" t="s">
        <v>1668</v>
      </c>
      <c r="G378" s="1223" t="s">
        <v>482</v>
      </c>
      <c r="H378" s="1221" t="s">
        <v>483</v>
      </c>
      <c r="I378" s="1252">
        <v>4320</v>
      </c>
      <c r="J378" s="1221">
        <v>0</v>
      </c>
      <c r="K378" s="1221">
        <v>120</v>
      </c>
      <c r="L378" s="1246">
        <f t="shared" si="125"/>
        <v>36</v>
      </c>
      <c r="M378" s="1225">
        <v>46213</v>
      </c>
      <c r="N378" s="1338">
        <v>46226</v>
      </c>
      <c r="O378" s="1322" t="s">
        <v>1527</v>
      </c>
      <c r="P378" s="1233"/>
      <c r="Q378" s="1233" t="s">
        <v>106</v>
      </c>
      <c r="R378" s="1234" t="s">
        <v>1519</v>
      </c>
      <c r="S378" s="1234"/>
      <c r="T378" s="1233">
        <v>4320</v>
      </c>
      <c r="U378" s="1233">
        <f t="shared" si="121"/>
        <v>0</v>
      </c>
      <c r="V378" s="1234"/>
      <c r="W378" s="1256">
        <v>46155</v>
      </c>
      <c r="X378" s="1257" t="s">
        <v>107</v>
      </c>
      <c r="Y378" s="1257" t="s">
        <v>95</v>
      </c>
      <c r="Z378" s="1247"/>
      <c r="AA378" s="1247"/>
      <c r="AB378" s="1247"/>
      <c r="AC378" s="1220" t="s">
        <v>937</v>
      </c>
      <c r="AD378" s="1225" t="s">
        <v>488</v>
      </c>
      <c r="AE378" s="1188">
        <v>642</v>
      </c>
      <c r="AF378" s="1248">
        <f>I378*AE378</f>
        <v>2773440</v>
      </c>
      <c r="AG378" s="1249" t="s">
        <v>1669</v>
      </c>
      <c r="AH378" s="1234" t="s">
        <v>490</v>
      </c>
      <c r="AI378" s="1234" t="s">
        <v>112</v>
      </c>
      <c r="AJ378" s="1234" t="s">
        <v>113</v>
      </c>
      <c r="AK378" s="1188"/>
      <c r="AL378" s="1188">
        <f>I378*3</f>
        <v>12960</v>
      </c>
      <c r="AM378" s="1188"/>
      <c r="AN378" s="1188"/>
      <c r="AO378" s="1188"/>
      <c r="AP378" s="1188"/>
      <c r="AQ378" s="1240"/>
      <c r="AR378" s="1188"/>
      <c r="AS378" s="1236"/>
      <c r="AT378" s="1236"/>
      <c r="AU378" s="1188"/>
      <c r="AV378" s="1250">
        <f t="shared" si="132"/>
        <v>518.4</v>
      </c>
      <c r="AW378" s="1250"/>
      <c r="AX378" s="1188"/>
      <c r="AY378" s="1188"/>
      <c r="AZ378" s="1188"/>
      <c r="BA378" s="1188"/>
      <c r="BB378" s="1188">
        <f>I378*3</f>
        <v>12960</v>
      </c>
      <c r="BC378" s="1188">
        <f>I378*3</f>
        <v>12960</v>
      </c>
      <c r="BD378" s="1188">
        <f>I378*3</f>
        <v>12960</v>
      </c>
      <c r="BE378" s="1188">
        <f>I378</f>
        <v>4320</v>
      </c>
      <c r="BF378" s="1188">
        <f>I378/6</f>
        <v>720</v>
      </c>
      <c r="BG378" s="1188"/>
      <c r="BH378" s="1188"/>
      <c r="BI378" s="1188"/>
      <c r="BJ378" s="1188"/>
      <c r="BK378" s="1188"/>
      <c r="BL378" s="1188"/>
      <c r="BM378" s="1188"/>
      <c r="BN378" s="1188"/>
      <c r="BO378" s="1240"/>
      <c r="BP378" s="1240"/>
      <c r="BQ378" s="1188"/>
      <c r="BR378" s="1236"/>
      <c r="BS378" s="1236"/>
      <c r="BT378" s="1188"/>
      <c r="BU378" s="1188"/>
      <c r="BV378" s="1240"/>
      <c r="BW378" s="1188"/>
      <c r="BX378" s="1188"/>
      <c r="BY378" s="1188"/>
      <c r="BZ378" s="1188"/>
      <c r="CA378" s="1188"/>
      <c r="CB378" s="1188"/>
      <c r="CC378" s="1188"/>
      <c r="CD378" s="1188">
        <f t="shared" si="107"/>
        <v>0</v>
      </c>
      <c r="CE378" s="1188">
        <f t="shared" si="114"/>
        <v>0</v>
      </c>
      <c r="CF378" s="1188">
        <f t="shared" si="108"/>
        <v>0</v>
      </c>
      <c r="CG378" s="1188">
        <f t="shared" si="109"/>
        <v>0</v>
      </c>
      <c r="CH378" s="1236"/>
      <c r="CI378" s="1236"/>
      <c r="CJ378" s="1236"/>
      <c r="CK378" s="1188"/>
      <c r="CL378" s="1188"/>
    </row>
    <row r="379" s="1168" customFormat="1" customHeight="1" spans="1:111">
      <c r="A379" s="1245">
        <v>46164</v>
      </c>
      <c r="B379" s="1247" t="s">
        <v>1670</v>
      </c>
      <c r="C379" s="1234" t="s">
        <v>492</v>
      </c>
      <c r="D379" s="1188">
        <v>4500208747</v>
      </c>
      <c r="E379" s="1234">
        <v>20176</v>
      </c>
      <c r="F379" s="1188" t="s">
        <v>1671</v>
      </c>
      <c r="G379" s="1253" t="s">
        <v>289</v>
      </c>
      <c r="H379" s="1234" t="s">
        <v>194</v>
      </c>
      <c r="I379" s="1254">
        <v>1300</v>
      </c>
      <c r="J379" s="1234">
        <v>0</v>
      </c>
      <c r="K379" s="1234">
        <v>13</v>
      </c>
      <c r="L379" s="1234">
        <f t="shared" si="125"/>
        <v>100</v>
      </c>
      <c r="M379" s="1255">
        <v>46213</v>
      </c>
      <c r="N379" s="1320">
        <v>46226</v>
      </c>
      <c r="O379" s="1322" t="s">
        <v>1594</v>
      </c>
      <c r="P379" s="1233"/>
      <c r="Q379" s="1233" t="s">
        <v>106</v>
      </c>
      <c r="R379" s="1234" t="s">
        <v>1315</v>
      </c>
      <c r="S379" s="1234"/>
      <c r="T379" s="1233">
        <v>1300</v>
      </c>
      <c r="U379" s="1233">
        <f t="shared" si="121"/>
        <v>0</v>
      </c>
      <c r="V379" s="1234"/>
      <c r="W379" s="1238">
        <v>46170</v>
      </c>
      <c r="X379" s="1227" t="s">
        <v>95</v>
      </c>
      <c r="Y379" s="1227" t="s">
        <v>1672</v>
      </c>
      <c r="Z379" s="1247"/>
      <c r="AA379" s="1247"/>
      <c r="AB379" s="1247"/>
      <c r="AC379" s="1257" t="s">
        <v>1673</v>
      </c>
      <c r="AD379" s="1255" t="s">
        <v>236</v>
      </c>
      <c r="AE379" s="1332">
        <v>1.0809</v>
      </c>
      <c r="AF379" s="1188">
        <f>I379*AE379</f>
        <v>1405.17</v>
      </c>
      <c r="AG379" s="1258"/>
      <c r="AH379" s="1234" t="s">
        <v>199</v>
      </c>
      <c r="AI379" s="1234" t="s">
        <v>112</v>
      </c>
      <c r="AJ379" s="1262" t="s">
        <v>113</v>
      </c>
      <c r="AK379" s="1188">
        <f>I379</f>
        <v>1300</v>
      </c>
      <c r="AL379" s="1188"/>
      <c r="AM379" s="1188"/>
      <c r="AN379" s="1188"/>
      <c r="AO379" s="1188"/>
      <c r="AP379" s="1188">
        <f>I379</f>
        <v>1300</v>
      </c>
      <c r="AQ379" s="1240"/>
      <c r="AR379" s="1188"/>
      <c r="AS379" s="1236"/>
      <c r="AT379" s="1236"/>
      <c r="AU379" s="1188">
        <f>I379</f>
        <v>1300</v>
      </c>
      <c r="AV379" s="1250">
        <f t="shared" si="132"/>
        <v>156</v>
      </c>
      <c r="AW379" s="1250"/>
      <c r="AX379" s="1188"/>
      <c r="AY379" s="1188"/>
      <c r="AZ379" s="1188"/>
      <c r="BA379" s="1188"/>
      <c r="BB379" s="1188"/>
      <c r="BC379" s="1188"/>
      <c r="BD379" s="1188"/>
      <c r="BE379" s="1188"/>
      <c r="BF379" s="1188"/>
      <c r="BG379" s="1188"/>
      <c r="BH379" s="1188"/>
      <c r="BI379" s="1188"/>
      <c r="BJ379" s="1188"/>
      <c r="BK379" s="1188"/>
      <c r="BL379" s="1188">
        <f>I379/13</f>
        <v>100</v>
      </c>
      <c r="BM379" s="1188"/>
      <c r="BN379" s="1188"/>
      <c r="BO379" s="1240"/>
      <c r="BP379" s="1240"/>
      <c r="BQ379" s="1188"/>
      <c r="BR379" s="1236"/>
      <c r="BS379" s="1236"/>
      <c r="BT379" s="1188"/>
      <c r="BU379" s="1188"/>
      <c r="BV379" s="1240"/>
      <c r="BW379" s="1188"/>
      <c r="BX379" s="1188"/>
      <c r="BY379" s="1188"/>
      <c r="BZ379" s="1188"/>
      <c r="CA379" s="1188"/>
      <c r="CB379" s="1188"/>
      <c r="CC379" s="1188"/>
      <c r="CD379" s="1188">
        <f t="shared" si="107"/>
        <v>0</v>
      </c>
      <c r="CE379" s="1188">
        <f t="shared" si="114"/>
        <v>0</v>
      </c>
      <c r="CF379" s="1188">
        <f t="shared" si="108"/>
        <v>0</v>
      </c>
      <c r="CG379" s="1188">
        <f t="shared" si="109"/>
        <v>0</v>
      </c>
      <c r="CH379" s="1236"/>
      <c r="CI379" s="1236"/>
      <c r="CJ379" s="1236"/>
      <c r="CK379" s="1188"/>
      <c r="CL379" s="1188"/>
    </row>
    <row r="380" s="1169" customFormat="1" ht="31" customHeight="1" spans="1:111">
      <c r="A380" s="1245">
        <v>46169</v>
      </c>
      <c r="B380" s="1247" t="s">
        <v>1647</v>
      </c>
      <c r="C380" s="1234" t="s">
        <v>1439</v>
      </c>
      <c r="D380" s="1268">
        <v>4500209381</v>
      </c>
      <c r="E380" s="1233">
        <v>22362602</v>
      </c>
      <c r="F380" s="1188" t="s">
        <v>1674</v>
      </c>
      <c r="G380" s="1253" t="s">
        <v>799</v>
      </c>
      <c r="H380" s="1234" t="s">
        <v>800</v>
      </c>
      <c r="I380" s="1254">
        <v>6000</v>
      </c>
      <c r="J380" s="1234">
        <v>0</v>
      </c>
      <c r="K380" s="1234">
        <v>30</v>
      </c>
      <c r="L380" s="1246">
        <f t="shared" si="125"/>
        <v>200</v>
      </c>
      <c r="M380" s="1255">
        <v>46213</v>
      </c>
      <c r="N380" s="1320">
        <v>46227</v>
      </c>
      <c r="O380" s="1320" t="s">
        <v>1675</v>
      </c>
      <c r="P380" s="1233" t="s">
        <v>1650</v>
      </c>
      <c r="Q380" s="1233" t="s">
        <v>106</v>
      </c>
      <c r="R380" s="1234" t="s">
        <v>1497</v>
      </c>
      <c r="S380" s="1234"/>
      <c r="T380" s="1233">
        <v>6000</v>
      </c>
      <c r="U380" s="1233">
        <f t="shared" si="121"/>
        <v>0</v>
      </c>
      <c r="V380" s="1234"/>
      <c r="W380" s="1256">
        <v>46169</v>
      </c>
      <c r="X380" s="1257" t="s">
        <v>95</v>
      </c>
      <c r="Y380" s="1257" t="s">
        <v>1651</v>
      </c>
      <c r="Z380" s="1247" t="s">
        <v>1652</v>
      </c>
      <c r="AA380" s="1247"/>
      <c r="AB380" s="1247"/>
      <c r="AC380" s="1247" t="s">
        <v>1653</v>
      </c>
      <c r="AD380" s="1255" t="s">
        <v>1477</v>
      </c>
      <c r="AE380" s="1188">
        <v>41.859</v>
      </c>
      <c r="AF380" s="1248">
        <f>AE380*L380</f>
        <v>8371.8</v>
      </c>
      <c r="AG380" s="1258"/>
      <c r="AH380" s="1253" t="s">
        <v>799</v>
      </c>
      <c r="AI380" s="1234" t="s">
        <v>112</v>
      </c>
      <c r="AJ380" s="1262" t="s">
        <v>113</v>
      </c>
      <c r="AK380" s="1188">
        <f>I380</f>
        <v>6000</v>
      </c>
      <c r="AL380" s="1188"/>
      <c r="AM380" s="1188"/>
      <c r="AN380" s="1188"/>
      <c r="AO380" s="1188"/>
      <c r="AP380" s="1188">
        <f>I380</f>
        <v>6000</v>
      </c>
      <c r="AQ380" s="1240"/>
      <c r="AR380" s="1188"/>
      <c r="AS380" s="1236"/>
      <c r="AT380" s="1236"/>
      <c r="AU380" s="1188">
        <f>I380</f>
        <v>6000</v>
      </c>
      <c r="AV380" s="1250">
        <f t="shared" si="132"/>
        <v>720</v>
      </c>
      <c r="AW380" s="1250"/>
      <c r="AX380" s="1188"/>
      <c r="AY380" s="1188"/>
      <c r="AZ380" s="1188"/>
      <c r="BA380" s="1188"/>
      <c r="BB380" s="1188"/>
      <c r="BC380" s="1188"/>
      <c r="BD380" s="1188"/>
      <c r="BE380" s="1188"/>
      <c r="BF380" s="1188"/>
      <c r="BG380" s="1188"/>
      <c r="BH380" s="1188"/>
      <c r="BI380" s="1188"/>
      <c r="BJ380" s="1188"/>
      <c r="BK380" s="1188"/>
      <c r="BL380" s="1188"/>
      <c r="BM380" s="1188"/>
      <c r="BN380" s="1188"/>
      <c r="BO380" s="1240"/>
      <c r="BP380" s="1240"/>
      <c r="BQ380" s="1188"/>
      <c r="BR380" s="1236"/>
      <c r="BS380" s="1236"/>
      <c r="BT380" s="1188"/>
      <c r="BU380" s="1188"/>
      <c r="BV380" s="1240"/>
      <c r="BW380" s="1188"/>
      <c r="BX380" s="1188"/>
      <c r="BY380" s="1188"/>
      <c r="BZ380" s="1188"/>
      <c r="CA380" s="1188"/>
      <c r="CB380" s="1188"/>
      <c r="CC380" s="1188">
        <f>I380/30</f>
        <v>200</v>
      </c>
      <c r="CD380" s="1188">
        <f t="shared" si="107"/>
        <v>0</v>
      </c>
      <c r="CE380" s="1188">
        <f t="shared" si="114"/>
        <v>0</v>
      </c>
      <c r="CF380" s="1188">
        <f t="shared" si="108"/>
        <v>200</v>
      </c>
      <c r="CG380" s="1188">
        <f t="shared" si="109"/>
        <v>0</v>
      </c>
      <c r="CH380" s="1236"/>
      <c r="CI380" s="1236"/>
      <c r="CJ380" s="1236"/>
      <c r="CK380" s="1188"/>
      <c r="CL380" s="1188"/>
      <c r="CM380" s="1168"/>
      <c r="CN380" s="1168"/>
      <c r="CO380" s="1168"/>
      <c r="CP380" s="1168"/>
      <c r="CQ380" s="1168"/>
      <c r="CR380" s="1168"/>
      <c r="CS380" s="1168"/>
      <c r="CT380" s="1168"/>
      <c r="CU380" s="1168"/>
      <c r="CV380" s="1168"/>
      <c r="CW380" s="1168"/>
      <c r="CX380" s="1168"/>
      <c r="CY380" s="1168"/>
      <c r="CZ380" s="1168"/>
      <c r="DA380" s="1168"/>
      <c r="DB380" s="1168"/>
      <c r="DC380" s="1168"/>
      <c r="DD380" s="1168"/>
      <c r="DE380" s="1168"/>
      <c r="DF380" s="1168"/>
      <c r="DG380" s="1168"/>
    </row>
    <row r="381" s="1171" customFormat="1" customHeight="1" spans="1:111">
      <c r="A381" s="1245">
        <v>46129</v>
      </c>
      <c r="B381" s="1247" t="s">
        <v>1676</v>
      </c>
      <c r="C381" s="1234" t="s">
        <v>1439</v>
      </c>
      <c r="D381" s="1268">
        <v>4500202549</v>
      </c>
      <c r="E381" s="1234" t="s">
        <v>628</v>
      </c>
      <c r="F381" s="1188" t="s">
        <v>1677</v>
      </c>
      <c r="G381" s="1253" t="s">
        <v>803</v>
      </c>
      <c r="H381" s="1234" t="s">
        <v>804</v>
      </c>
      <c r="I381" s="1254">
        <v>1800</v>
      </c>
      <c r="J381" s="1234">
        <v>0</v>
      </c>
      <c r="K381" s="1234">
        <v>6</v>
      </c>
      <c r="L381" s="1246">
        <f t="shared" si="125"/>
        <v>300</v>
      </c>
      <c r="M381" s="1255">
        <v>46213</v>
      </c>
      <c r="N381" s="1320">
        <v>46227</v>
      </c>
      <c r="O381" s="1320" t="s">
        <v>1678</v>
      </c>
      <c r="P381" s="1233"/>
      <c r="Q381" s="1233" t="s">
        <v>1410</v>
      </c>
      <c r="R381" s="1234"/>
      <c r="S381" s="1234"/>
      <c r="T381" s="1233">
        <v>1800</v>
      </c>
      <c r="U381" s="1233">
        <f t="shared" si="121"/>
        <v>0</v>
      </c>
      <c r="V381" s="1234"/>
      <c r="W381" s="1238">
        <v>46181</v>
      </c>
      <c r="X381" s="1227" t="s">
        <v>95</v>
      </c>
      <c r="Y381" s="1257" t="s">
        <v>1679</v>
      </c>
      <c r="Z381" s="1247" t="s">
        <v>1680</v>
      </c>
      <c r="AA381" s="1247"/>
      <c r="AB381" s="1247"/>
      <c r="AC381" s="1247" t="s">
        <v>1681</v>
      </c>
      <c r="AD381" s="1255" t="s">
        <v>722</v>
      </c>
      <c r="AE381" s="1188">
        <v>8.15</v>
      </c>
      <c r="AF381" s="1248">
        <f>I381*AE381</f>
        <v>14670</v>
      </c>
      <c r="AG381" s="1258"/>
      <c r="AH381" s="1234" t="s">
        <v>952</v>
      </c>
      <c r="AI381" s="1234" t="s">
        <v>112</v>
      </c>
      <c r="AJ381" s="1262" t="s">
        <v>113</v>
      </c>
      <c r="AK381" s="1188">
        <f>I381*2</f>
        <v>3600</v>
      </c>
      <c r="AL381" s="1188"/>
      <c r="AM381" s="1188"/>
      <c r="AN381" s="1188"/>
      <c r="AO381" s="1188"/>
      <c r="AP381" s="1188">
        <f>I381*2</f>
        <v>3600</v>
      </c>
      <c r="AQ381" s="1240"/>
      <c r="AR381" s="1188"/>
      <c r="AS381" s="1236"/>
      <c r="AT381" s="1236"/>
      <c r="AU381" s="1188">
        <f>I381*2</f>
        <v>3600</v>
      </c>
      <c r="AV381" s="1250">
        <f t="shared" si="132"/>
        <v>216</v>
      </c>
      <c r="AW381" s="1250"/>
      <c r="AX381" s="1188"/>
      <c r="AY381" s="1188"/>
      <c r="AZ381" s="1188"/>
      <c r="BA381" s="1188"/>
      <c r="BB381" s="1188"/>
      <c r="BC381" s="1188"/>
      <c r="BD381" s="1188"/>
      <c r="BE381" s="1188"/>
      <c r="BF381" s="1188"/>
      <c r="BG381" s="1188"/>
      <c r="BH381" s="1188"/>
      <c r="BI381" s="1188"/>
      <c r="BJ381" s="1188"/>
      <c r="BK381" s="1188"/>
      <c r="BL381" s="1188"/>
      <c r="BM381" s="1188"/>
      <c r="BN381" s="1188"/>
      <c r="BO381" s="1240"/>
      <c r="BP381" s="1240"/>
      <c r="BQ381" s="1188"/>
      <c r="BR381" s="1236"/>
      <c r="BS381" s="1188"/>
      <c r="BT381" s="1188"/>
      <c r="BU381" s="1188"/>
      <c r="BV381" s="1240"/>
      <c r="BW381" s="1188"/>
      <c r="BX381" s="1188"/>
      <c r="BY381" s="1188"/>
      <c r="BZ381" s="1188"/>
      <c r="CA381" s="1188"/>
      <c r="CB381" s="1188"/>
      <c r="CC381" s="1188"/>
      <c r="CD381" s="1188">
        <f t="shared" si="107"/>
        <v>0</v>
      </c>
      <c r="CE381" s="1188">
        <f t="shared" si="114"/>
        <v>0</v>
      </c>
      <c r="CF381" s="1188">
        <f t="shared" si="108"/>
        <v>0</v>
      </c>
      <c r="CG381" s="1188">
        <f t="shared" si="109"/>
        <v>0</v>
      </c>
      <c r="CH381" s="1236"/>
      <c r="CI381" s="1236"/>
      <c r="CJ381" s="1236"/>
      <c r="CK381" s="1188"/>
      <c r="CL381" s="1188"/>
      <c r="CM381" s="1168"/>
      <c r="CN381" s="1168"/>
      <c r="CO381" s="1168"/>
      <c r="CP381" s="1168"/>
      <c r="CQ381" s="1168"/>
      <c r="CR381" s="1168"/>
      <c r="CS381" s="1168"/>
      <c r="CT381" s="1168"/>
      <c r="CU381" s="1168"/>
      <c r="CV381" s="1168"/>
      <c r="CW381" s="1168"/>
      <c r="CX381" s="1168"/>
      <c r="CY381" s="1168"/>
      <c r="CZ381" s="1168"/>
      <c r="DA381" s="1168"/>
      <c r="DB381" s="1168"/>
      <c r="DC381" s="1168"/>
      <c r="DD381" s="1168"/>
      <c r="DE381" s="1168"/>
      <c r="DF381" s="1168"/>
      <c r="DG381" s="1168"/>
    </row>
    <row r="382" s="1168" customFormat="1" ht="31" customHeight="1" spans="1:111">
      <c r="A382" s="1245">
        <v>46122</v>
      </c>
      <c r="B382" s="1247" t="s">
        <v>1682</v>
      </c>
      <c r="C382" s="1234" t="s">
        <v>148</v>
      </c>
      <c r="D382" s="1268">
        <v>4500201190</v>
      </c>
      <c r="E382" s="1234" t="s">
        <v>1683</v>
      </c>
      <c r="F382" s="1188" t="s">
        <v>1684</v>
      </c>
      <c r="G382" s="1253" t="s">
        <v>702</v>
      </c>
      <c r="H382" s="1234" t="s">
        <v>151</v>
      </c>
      <c r="I382" s="1254">
        <v>84</v>
      </c>
      <c r="J382" s="1234">
        <v>0</v>
      </c>
      <c r="K382" s="1234">
        <v>84</v>
      </c>
      <c r="L382" s="1246">
        <f t="shared" si="125"/>
        <v>1</v>
      </c>
      <c r="M382" s="1255">
        <v>46213</v>
      </c>
      <c r="N382" s="1320">
        <v>46227</v>
      </c>
      <c r="O382" s="1322" t="s">
        <v>736</v>
      </c>
      <c r="P382" s="1233"/>
      <c r="Q382" s="1233" t="s">
        <v>106</v>
      </c>
      <c r="R382" s="1234"/>
      <c r="S382" s="1234"/>
      <c r="T382" s="1233">
        <v>84</v>
      </c>
      <c r="U382" s="1233">
        <f t="shared" si="121"/>
        <v>0</v>
      </c>
      <c r="V382" s="1234"/>
      <c r="W382" s="1256" t="s">
        <v>1685</v>
      </c>
      <c r="X382" s="1257" t="s">
        <v>107</v>
      </c>
      <c r="Y382" s="1257" t="s">
        <v>1686</v>
      </c>
      <c r="Z382" s="1247"/>
      <c r="AA382" s="1247"/>
      <c r="AB382" s="1247"/>
      <c r="AC382" s="1321" t="s">
        <v>1687</v>
      </c>
      <c r="AD382" s="1255" t="s">
        <v>1446</v>
      </c>
      <c r="AE382" s="1188">
        <v>203.2712</v>
      </c>
      <c r="AF382" s="1248">
        <f>L382*AE382</f>
        <v>203.2712</v>
      </c>
      <c r="AG382" s="1258"/>
      <c r="AH382" s="1234" t="s">
        <v>1688</v>
      </c>
      <c r="AI382" s="1234" t="s">
        <v>112</v>
      </c>
      <c r="AJ382" s="1234" t="s">
        <v>113</v>
      </c>
      <c r="AK382" s="1188">
        <f t="shared" ref="AK382:AK398" si="133">I382</f>
        <v>84</v>
      </c>
      <c r="AL382" s="1188"/>
      <c r="AM382" s="1188"/>
      <c r="AN382" s="1188"/>
      <c r="AO382" s="1188"/>
      <c r="AP382" s="1188">
        <f t="shared" ref="AP382:AP395" si="134">I382</f>
        <v>84</v>
      </c>
      <c r="AQ382" s="1240"/>
      <c r="AR382" s="1188"/>
      <c r="AS382" s="1236"/>
      <c r="AT382" s="1236"/>
      <c r="AU382" s="1188">
        <f t="shared" ref="AU382:AU398" si="135">I382</f>
        <v>84</v>
      </c>
      <c r="AV382" s="1250">
        <f t="shared" ref="AV382:AV394" si="136">I382*0.06</f>
        <v>5.04</v>
      </c>
      <c r="AW382" s="1250"/>
      <c r="AX382" s="1188"/>
      <c r="AY382" s="1188"/>
      <c r="AZ382" s="1188"/>
      <c r="BA382" s="1188"/>
      <c r="BB382" s="1188"/>
      <c r="BC382" s="1188"/>
      <c r="BD382" s="1188"/>
      <c r="BE382" s="1188"/>
      <c r="BF382" s="1188"/>
      <c r="BG382" s="1188"/>
      <c r="BH382" s="1188"/>
      <c r="BI382" s="1188"/>
      <c r="BJ382" s="1188"/>
      <c r="BK382" s="1188"/>
      <c r="BL382" s="1188"/>
      <c r="BM382" s="1188"/>
      <c r="BN382" s="1188"/>
      <c r="BO382" s="1240"/>
      <c r="BP382" s="1240"/>
      <c r="BQ382" s="1188"/>
      <c r="BR382" s="1236"/>
      <c r="BS382" s="1188"/>
      <c r="BT382" s="1188"/>
      <c r="BU382" s="1188"/>
      <c r="BV382" s="1240"/>
      <c r="BW382" s="1188"/>
      <c r="BX382" s="1188">
        <f>I382/84</f>
        <v>1</v>
      </c>
      <c r="BY382" s="1188"/>
      <c r="BZ382" s="1188"/>
      <c r="CA382" s="1188"/>
      <c r="CB382" s="1188"/>
      <c r="CC382" s="1188"/>
      <c r="CD382" s="1188">
        <f t="shared" si="107"/>
        <v>0</v>
      </c>
      <c r="CE382" s="1188">
        <f t="shared" si="114"/>
        <v>0</v>
      </c>
      <c r="CF382" s="1188">
        <f t="shared" si="108"/>
        <v>0</v>
      </c>
      <c r="CG382" s="1188">
        <f t="shared" si="109"/>
        <v>1</v>
      </c>
      <c r="CH382" s="1236"/>
      <c r="CI382" s="1236"/>
      <c r="CJ382" s="1236"/>
      <c r="CK382" s="1188"/>
      <c r="CL382" s="1188"/>
    </row>
    <row r="383" s="1168" customFormat="1" ht="31" customHeight="1" spans="1:111">
      <c r="A383" s="1340">
        <v>46122</v>
      </c>
      <c r="B383" s="1341" t="s">
        <v>1682</v>
      </c>
      <c r="C383" s="1342" t="s">
        <v>148</v>
      </c>
      <c r="D383" s="1343">
        <v>4500201190</v>
      </c>
      <c r="E383" s="1342" t="s">
        <v>1689</v>
      </c>
      <c r="F383" s="1172" t="s">
        <v>1690</v>
      </c>
      <c r="G383" s="1223" t="s">
        <v>702</v>
      </c>
      <c r="H383" s="1342" t="s">
        <v>151</v>
      </c>
      <c r="I383" s="1344">
        <v>168</v>
      </c>
      <c r="J383" s="1342">
        <v>0</v>
      </c>
      <c r="K383" s="1342">
        <v>84</v>
      </c>
      <c r="L383" s="1345">
        <f t="shared" si="125"/>
        <v>2</v>
      </c>
      <c r="M383" s="1286">
        <v>46213</v>
      </c>
      <c r="N383" s="1346">
        <v>46227</v>
      </c>
      <c r="O383" s="1322" t="s">
        <v>736</v>
      </c>
      <c r="P383" s="1347"/>
      <c r="Q383" s="1233" t="s">
        <v>106</v>
      </c>
      <c r="R383" s="1234"/>
      <c r="S383" s="1348"/>
      <c r="T383" s="1347">
        <v>168</v>
      </c>
      <c r="U383" s="1233">
        <f t="shared" si="121"/>
        <v>0</v>
      </c>
      <c r="V383" s="1348"/>
      <c r="W383" s="1256" t="s">
        <v>1685</v>
      </c>
      <c r="X383" s="1257" t="s">
        <v>107</v>
      </c>
      <c r="Y383" s="1257" t="s">
        <v>1686</v>
      </c>
      <c r="Z383" s="1349"/>
      <c r="AA383" s="1349"/>
      <c r="AB383" s="1349"/>
      <c r="AC383" s="1350" t="s">
        <v>1687</v>
      </c>
      <c r="AD383" s="1286" t="s">
        <v>1446</v>
      </c>
      <c r="AE383" s="1351">
        <v>203.2712</v>
      </c>
      <c r="AF383" s="1352">
        <f>L383*AE383</f>
        <v>406.5424</v>
      </c>
      <c r="AG383" s="1353"/>
      <c r="AH383" s="1348" t="s">
        <v>1688</v>
      </c>
      <c r="AI383" s="1348" t="s">
        <v>112</v>
      </c>
      <c r="AJ383" s="1348" t="s">
        <v>113</v>
      </c>
      <c r="AK383" s="1188">
        <f t="shared" si="133"/>
        <v>168</v>
      </c>
      <c r="AL383" s="1351"/>
      <c r="AM383" s="1351"/>
      <c r="AN383" s="1351"/>
      <c r="AO383" s="1351"/>
      <c r="AP383" s="1351">
        <f t="shared" si="134"/>
        <v>168</v>
      </c>
      <c r="AQ383" s="1354"/>
      <c r="AR383" s="1351"/>
      <c r="AS383" s="1355"/>
      <c r="AT383" s="1355"/>
      <c r="AU383" s="1351">
        <f t="shared" si="135"/>
        <v>168</v>
      </c>
      <c r="AV383" s="1356">
        <f t="shared" si="136"/>
        <v>10.08</v>
      </c>
      <c r="AW383" s="1356"/>
      <c r="AX383" s="1351"/>
      <c r="AY383" s="1351"/>
      <c r="AZ383" s="1351"/>
      <c r="BA383" s="1351"/>
      <c r="BB383" s="1351"/>
      <c r="BC383" s="1351"/>
      <c r="BD383" s="1351"/>
      <c r="BE383" s="1351"/>
      <c r="BF383" s="1351"/>
      <c r="BG383" s="1351"/>
      <c r="BH383" s="1351"/>
      <c r="BI383" s="1351"/>
      <c r="BJ383" s="1351"/>
      <c r="BK383" s="1351"/>
      <c r="BL383" s="1351"/>
      <c r="BM383" s="1351"/>
      <c r="BN383" s="1351"/>
      <c r="BO383" s="1354"/>
      <c r="BP383" s="1354"/>
      <c r="BQ383" s="1351"/>
      <c r="BR383" s="1355"/>
      <c r="BS383" s="1355"/>
      <c r="BT383" s="1351"/>
      <c r="BU383" s="1351"/>
      <c r="BV383" s="1354"/>
      <c r="BW383" s="1351"/>
      <c r="BX383" s="1351">
        <f>I383/84</f>
        <v>2</v>
      </c>
      <c r="BY383" s="1351"/>
      <c r="BZ383" s="1351"/>
      <c r="CA383" s="1351"/>
      <c r="CB383" s="1351"/>
      <c r="CC383" s="1351"/>
      <c r="CD383" s="1188">
        <f t="shared" si="107"/>
        <v>0</v>
      </c>
      <c r="CE383" s="1188">
        <f t="shared" si="114"/>
        <v>0</v>
      </c>
      <c r="CF383" s="1188">
        <f t="shared" si="108"/>
        <v>0</v>
      </c>
      <c r="CG383" s="1188">
        <f t="shared" si="109"/>
        <v>2</v>
      </c>
      <c r="CH383" s="1355"/>
      <c r="CI383" s="1355"/>
      <c r="CJ383" s="1355"/>
      <c r="CK383" s="1351"/>
      <c r="CL383" s="1351"/>
    </row>
    <row r="384" s="1168" customFormat="1" customHeight="1" spans="1:111">
      <c r="A384" s="1219">
        <v>46122</v>
      </c>
      <c r="B384" s="1220" t="s">
        <v>1682</v>
      </c>
      <c r="C384" s="1221" t="s">
        <v>148</v>
      </c>
      <c r="D384" s="1303">
        <v>4500201190</v>
      </c>
      <c r="E384" s="1221" t="s">
        <v>1691</v>
      </c>
      <c r="F384" s="1222" t="s">
        <v>1692</v>
      </c>
      <c r="G384" s="1223" t="s">
        <v>702</v>
      </c>
      <c r="H384" s="1221" t="s">
        <v>151</v>
      </c>
      <c r="I384" s="1252">
        <v>4788</v>
      </c>
      <c r="J384" s="1221">
        <v>0</v>
      </c>
      <c r="K384" s="1221">
        <v>84</v>
      </c>
      <c r="L384" s="1224">
        <f t="shared" si="125"/>
        <v>57</v>
      </c>
      <c r="M384" s="1225">
        <v>46213</v>
      </c>
      <c r="N384" s="1338">
        <v>46227</v>
      </c>
      <c r="O384" s="1322" t="s">
        <v>736</v>
      </c>
      <c r="P384" s="1226"/>
      <c r="Q384" s="1357" t="s">
        <v>106</v>
      </c>
      <c r="R384" s="1234"/>
      <c r="S384" s="1221"/>
      <c r="T384" s="1226">
        <v>4788</v>
      </c>
      <c r="U384" s="1233">
        <f t="shared" si="121"/>
        <v>0</v>
      </c>
      <c r="V384" s="1221"/>
      <c r="W384" s="1256" t="s">
        <v>1685</v>
      </c>
      <c r="X384" s="1227" t="s">
        <v>107</v>
      </c>
      <c r="Y384" s="1227" t="s">
        <v>1686</v>
      </c>
      <c r="Z384" s="1220"/>
      <c r="AA384" s="1220"/>
      <c r="AB384" s="1220"/>
      <c r="AC384" s="1358" t="s">
        <v>1687</v>
      </c>
      <c r="AD384" s="1225" t="s">
        <v>1446</v>
      </c>
      <c r="AE384" s="1222">
        <v>202.826</v>
      </c>
      <c r="AF384" s="1229">
        <f>L384*AE384</f>
        <v>11561.082</v>
      </c>
      <c r="AG384" s="1230"/>
      <c r="AH384" s="1234" t="s">
        <v>1688</v>
      </c>
      <c r="AI384" s="1234" t="s">
        <v>112</v>
      </c>
      <c r="AJ384" s="1221" t="s">
        <v>113</v>
      </c>
      <c r="AK384" s="1188">
        <f t="shared" si="133"/>
        <v>4788</v>
      </c>
      <c r="AL384" s="1222"/>
      <c r="AM384" s="1222"/>
      <c r="AN384" s="1188"/>
      <c r="AO384" s="1222"/>
      <c r="AP384" s="1222">
        <f t="shared" si="134"/>
        <v>4788</v>
      </c>
      <c r="AQ384" s="1242"/>
      <c r="AR384" s="1222"/>
      <c r="AS384" s="1232"/>
      <c r="AT384" s="1232"/>
      <c r="AU384" s="1188">
        <f t="shared" si="135"/>
        <v>4788</v>
      </c>
      <c r="AV384" s="1241">
        <f t="shared" si="136"/>
        <v>287.28</v>
      </c>
      <c r="AW384" s="1241"/>
      <c r="AX384" s="1222"/>
      <c r="AY384" s="1222"/>
      <c r="AZ384" s="1222"/>
      <c r="BA384" s="1222"/>
      <c r="BB384" s="1222"/>
      <c r="BC384" s="1222"/>
      <c r="BD384" s="1222"/>
      <c r="BE384" s="1222"/>
      <c r="BF384" s="1222"/>
      <c r="BG384" s="1222"/>
      <c r="BH384" s="1222"/>
      <c r="BI384" s="1222"/>
      <c r="BJ384" s="1222"/>
      <c r="BK384" s="1222"/>
      <c r="BL384" s="1222"/>
      <c r="BM384" s="1222"/>
      <c r="BN384" s="1222"/>
      <c r="BO384" s="1240"/>
      <c r="BP384" s="1242"/>
      <c r="BQ384" s="1222"/>
      <c r="BR384" s="1236"/>
      <c r="BS384" s="1232"/>
      <c r="BT384" s="1222"/>
      <c r="BU384" s="1222"/>
      <c r="BV384" s="1242"/>
      <c r="BW384" s="1222"/>
      <c r="BX384" s="1222">
        <f>I384/84</f>
        <v>57</v>
      </c>
      <c r="BY384" s="1222"/>
      <c r="BZ384" s="1222"/>
      <c r="CA384" s="1222"/>
      <c r="CB384" s="1222"/>
      <c r="CC384" s="1222"/>
      <c r="CD384" s="1188">
        <f t="shared" ref="CD384:CD409" si="137">BN384+BO384+BQ384+BS384+BR384</f>
        <v>0</v>
      </c>
      <c r="CE384" s="1188">
        <f t="shared" si="114"/>
        <v>0</v>
      </c>
      <c r="CF384" s="1188">
        <f t="shared" ref="CF384:CF409" si="138">CC384</f>
        <v>0</v>
      </c>
      <c r="CG384" s="1188">
        <f t="shared" ref="CG384:CG409" si="139">BV384+BW384+BX384</f>
        <v>57</v>
      </c>
      <c r="CH384" s="1232"/>
      <c r="CI384" s="1232"/>
      <c r="CJ384" s="1232"/>
      <c r="CK384" s="1222"/>
      <c r="CL384" s="1222"/>
    </row>
    <row r="385" s="1168" customFormat="1" customHeight="1" spans="1:111">
      <c r="A385" s="1245">
        <v>46136</v>
      </c>
      <c r="B385" s="1220" t="s">
        <v>1438</v>
      </c>
      <c r="C385" s="1221" t="s">
        <v>1439</v>
      </c>
      <c r="D385" s="1303">
        <v>4500203798</v>
      </c>
      <c r="E385" s="1221" t="s">
        <v>1693</v>
      </c>
      <c r="F385" s="1222" t="s">
        <v>1694</v>
      </c>
      <c r="G385" s="1223" t="s">
        <v>91</v>
      </c>
      <c r="H385" s="1221" t="s">
        <v>600</v>
      </c>
      <c r="I385" s="1252">
        <v>552</v>
      </c>
      <c r="J385" s="1221">
        <v>0</v>
      </c>
      <c r="K385" s="1221">
        <v>24</v>
      </c>
      <c r="L385" s="1246">
        <f t="shared" si="125"/>
        <v>23</v>
      </c>
      <c r="M385" s="1225">
        <v>46213</v>
      </c>
      <c r="N385" s="1338">
        <v>46227</v>
      </c>
      <c r="O385" s="1320" t="s">
        <v>1649</v>
      </c>
      <c r="P385" s="1233"/>
      <c r="Q385" s="1233" t="s">
        <v>106</v>
      </c>
      <c r="R385" s="1234" t="s">
        <v>1695</v>
      </c>
      <c r="S385" s="1234"/>
      <c r="T385" s="1233">
        <v>552</v>
      </c>
      <c r="U385" s="1233">
        <f t="shared" si="121"/>
        <v>0</v>
      </c>
      <c r="V385" s="1234"/>
      <c r="W385" s="1256" t="s">
        <v>1443</v>
      </c>
      <c r="X385" s="1257" t="s">
        <v>107</v>
      </c>
      <c r="Y385" s="1257" t="s">
        <v>1696</v>
      </c>
      <c r="Z385" s="1247"/>
      <c r="AA385" s="1247"/>
      <c r="AB385" s="1247"/>
      <c r="AC385" s="1220" t="s">
        <v>1697</v>
      </c>
      <c r="AD385" s="1225" t="s">
        <v>1446</v>
      </c>
      <c r="AE385" s="1188">
        <v>0.998</v>
      </c>
      <c r="AF385" s="1248">
        <f>I385*AE385</f>
        <v>550.896</v>
      </c>
      <c r="AG385" s="1258"/>
      <c r="AH385" s="1234" t="s">
        <v>903</v>
      </c>
      <c r="AI385" s="1234" t="s">
        <v>112</v>
      </c>
      <c r="AJ385" s="1234" t="s">
        <v>113</v>
      </c>
      <c r="AK385" s="1188">
        <f t="shared" si="133"/>
        <v>552</v>
      </c>
      <c r="AL385" s="1188"/>
      <c r="AM385" s="1188"/>
      <c r="AN385" s="1188"/>
      <c r="AO385" s="1188"/>
      <c r="AP385" s="1188">
        <f t="shared" si="134"/>
        <v>552</v>
      </c>
      <c r="AQ385" s="1240"/>
      <c r="AR385" s="1188"/>
      <c r="AS385" s="1236"/>
      <c r="AT385" s="1236"/>
      <c r="AU385" s="1188">
        <f t="shared" si="135"/>
        <v>552</v>
      </c>
      <c r="AV385" s="1250">
        <f t="shared" si="136"/>
        <v>33.12</v>
      </c>
      <c r="AW385" s="1250"/>
      <c r="AX385" s="1188"/>
      <c r="AY385" s="1188"/>
      <c r="AZ385" s="1188"/>
      <c r="BA385" s="1188"/>
      <c r="BB385" s="1188"/>
      <c r="BC385" s="1188"/>
      <c r="BD385" s="1188"/>
      <c r="BE385" s="1188"/>
      <c r="BF385" s="1188"/>
      <c r="BG385" s="1188"/>
      <c r="BH385" s="1188"/>
      <c r="BI385" s="1188"/>
      <c r="BJ385" s="1188"/>
      <c r="BK385" s="1188"/>
      <c r="BL385" s="1188"/>
      <c r="BM385" s="1188"/>
      <c r="BN385" s="1188"/>
      <c r="BO385" s="1240"/>
      <c r="BP385" s="1240"/>
      <c r="BQ385" s="1188"/>
      <c r="BR385" s="1236"/>
      <c r="BS385" s="1236"/>
      <c r="BT385" s="1188"/>
      <c r="BU385" s="1188"/>
      <c r="BV385" s="1240"/>
      <c r="BW385" s="1188"/>
      <c r="BX385" s="1188"/>
      <c r="BY385" s="1188"/>
      <c r="BZ385" s="1188"/>
      <c r="CA385" s="1188"/>
      <c r="CB385" s="1188"/>
      <c r="CC385" s="1188"/>
      <c r="CD385" s="1188">
        <f t="shared" si="137"/>
        <v>0</v>
      </c>
      <c r="CE385" s="1188">
        <f t="shared" si="114"/>
        <v>0</v>
      </c>
      <c r="CF385" s="1188">
        <f t="shared" si="138"/>
        <v>0</v>
      </c>
      <c r="CG385" s="1188">
        <f t="shared" si="139"/>
        <v>0</v>
      </c>
      <c r="CH385" s="1236"/>
      <c r="CI385" s="1236"/>
      <c r="CJ385" s="1236"/>
      <c r="CK385" s="1188"/>
      <c r="CL385" s="1188"/>
    </row>
    <row r="386" s="1168" customFormat="1" customHeight="1" spans="1:111">
      <c r="A386" s="1245">
        <v>46142</v>
      </c>
      <c r="B386" s="1220" t="s">
        <v>1438</v>
      </c>
      <c r="C386" s="1221" t="s">
        <v>1439</v>
      </c>
      <c r="D386" s="1303">
        <v>4500204184</v>
      </c>
      <c r="E386" s="1221" t="s">
        <v>1698</v>
      </c>
      <c r="F386" s="1222" t="s">
        <v>1699</v>
      </c>
      <c r="G386" s="1223" t="s">
        <v>702</v>
      </c>
      <c r="H386" s="1221" t="s">
        <v>151</v>
      </c>
      <c r="I386" s="1252">
        <v>2268</v>
      </c>
      <c r="J386" s="1221">
        <v>0</v>
      </c>
      <c r="K386" s="1221">
        <v>84</v>
      </c>
      <c r="L386" s="1246">
        <f t="shared" si="125"/>
        <v>27</v>
      </c>
      <c r="M386" s="1225">
        <v>46213</v>
      </c>
      <c r="N386" s="1338">
        <v>46227</v>
      </c>
      <c r="O386" s="1320" t="s">
        <v>1700</v>
      </c>
      <c r="P386" s="1233"/>
      <c r="Q386" s="1233" t="s">
        <v>106</v>
      </c>
      <c r="R386" s="1234" t="s">
        <v>1701</v>
      </c>
      <c r="S386" s="1234"/>
      <c r="T386" s="1233">
        <v>2268</v>
      </c>
      <c r="U386" s="1233">
        <f t="shared" si="121"/>
        <v>0</v>
      </c>
      <c r="V386" s="1234"/>
      <c r="W386" s="1256" t="s">
        <v>1443</v>
      </c>
      <c r="X386" s="1257" t="s">
        <v>107</v>
      </c>
      <c r="Y386" s="1257" t="s">
        <v>1696</v>
      </c>
      <c r="Z386" s="1247"/>
      <c r="AA386" s="1247"/>
      <c r="AB386" s="1247"/>
      <c r="AC386" s="1220" t="s">
        <v>1702</v>
      </c>
      <c r="AD386" s="1225" t="s">
        <v>1446</v>
      </c>
      <c r="AE386" s="1188">
        <v>210.1148</v>
      </c>
      <c r="AF386" s="1248">
        <f t="shared" ref="AF386:AF394" si="140">L386*AE386</f>
        <v>5673.0996</v>
      </c>
      <c r="AG386" s="1258"/>
      <c r="AH386" s="1234" t="s">
        <v>1688</v>
      </c>
      <c r="AI386" s="1234" t="s">
        <v>112</v>
      </c>
      <c r="AJ386" s="1234" t="s">
        <v>113</v>
      </c>
      <c r="AK386" s="1188">
        <f t="shared" si="133"/>
        <v>2268</v>
      </c>
      <c r="AL386" s="1188"/>
      <c r="AM386" s="1188"/>
      <c r="AN386" s="1188"/>
      <c r="AO386" s="1188"/>
      <c r="AP386" s="1188">
        <f t="shared" si="134"/>
        <v>2268</v>
      </c>
      <c r="AQ386" s="1240"/>
      <c r="AR386" s="1188"/>
      <c r="AS386" s="1236"/>
      <c r="AT386" s="1236"/>
      <c r="AU386" s="1188">
        <f t="shared" si="135"/>
        <v>2268</v>
      </c>
      <c r="AV386" s="1250">
        <f t="shared" si="136"/>
        <v>136.08</v>
      </c>
      <c r="AW386" s="1250"/>
      <c r="AX386" s="1188"/>
      <c r="AY386" s="1188"/>
      <c r="AZ386" s="1188"/>
      <c r="BA386" s="1188"/>
      <c r="BB386" s="1188"/>
      <c r="BC386" s="1188"/>
      <c r="BD386" s="1188"/>
      <c r="BE386" s="1188"/>
      <c r="BF386" s="1188"/>
      <c r="BG386" s="1188"/>
      <c r="BH386" s="1188"/>
      <c r="BI386" s="1188"/>
      <c r="BJ386" s="1188"/>
      <c r="BK386" s="1188"/>
      <c r="BL386" s="1188"/>
      <c r="BM386" s="1188"/>
      <c r="BN386" s="1188"/>
      <c r="BO386" s="1240"/>
      <c r="BP386" s="1240"/>
      <c r="BQ386" s="1188"/>
      <c r="BR386" s="1236"/>
      <c r="BS386" s="1236"/>
      <c r="BT386" s="1188"/>
      <c r="BU386" s="1188"/>
      <c r="BV386" s="1240"/>
      <c r="BW386" s="1188"/>
      <c r="BX386" s="1188">
        <f>I386/84</f>
        <v>27</v>
      </c>
      <c r="BY386" s="1188"/>
      <c r="BZ386" s="1188"/>
      <c r="CA386" s="1188"/>
      <c r="CB386" s="1188"/>
      <c r="CC386" s="1188"/>
      <c r="CD386" s="1188">
        <f t="shared" si="137"/>
        <v>0</v>
      </c>
      <c r="CE386" s="1188">
        <f t="shared" si="114"/>
        <v>0</v>
      </c>
      <c r="CF386" s="1188">
        <f t="shared" si="138"/>
        <v>0</v>
      </c>
      <c r="CG386" s="1188">
        <f t="shared" si="139"/>
        <v>27</v>
      </c>
      <c r="CH386" s="1236"/>
      <c r="CI386" s="1236"/>
      <c r="CJ386" s="1236"/>
      <c r="CK386" s="1188"/>
      <c r="CL386" s="1188"/>
    </row>
    <row r="387" s="1168" customFormat="1" customHeight="1" spans="1:111">
      <c r="A387" s="1245">
        <v>46142</v>
      </c>
      <c r="B387" s="1247" t="s">
        <v>1703</v>
      </c>
      <c r="C387" s="1234" t="s">
        <v>1704</v>
      </c>
      <c r="D387" s="1268">
        <v>4500204205</v>
      </c>
      <c r="E387" s="1234" t="s">
        <v>1705</v>
      </c>
      <c r="F387" s="1188" t="s">
        <v>1706</v>
      </c>
      <c r="G387" s="1253" t="s">
        <v>702</v>
      </c>
      <c r="H387" s="1234" t="s">
        <v>151</v>
      </c>
      <c r="I387" s="1254">
        <v>504</v>
      </c>
      <c r="J387" s="1234">
        <v>0</v>
      </c>
      <c r="K387" s="1234">
        <v>84</v>
      </c>
      <c r="L387" s="1246">
        <f t="shared" si="125"/>
        <v>6</v>
      </c>
      <c r="M387" s="1255">
        <v>46213</v>
      </c>
      <c r="N387" s="1320">
        <v>46227</v>
      </c>
      <c r="O387" s="1338" t="s">
        <v>1700</v>
      </c>
      <c r="P387" s="1233"/>
      <c r="Q387" s="1233" t="s">
        <v>106</v>
      </c>
      <c r="R387" s="1234" t="s">
        <v>1701</v>
      </c>
      <c r="S387" s="1234"/>
      <c r="T387" s="1233">
        <v>504</v>
      </c>
      <c r="U387" s="1233">
        <f t="shared" si="121"/>
        <v>0</v>
      </c>
      <c r="V387" s="1234"/>
      <c r="W387" s="1256" t="s">
        <v>1707</v>
      </c>
      <c r="X387" s="1257" t="s">
        <v>107</v>
      </c>
      <c r="Y387" s="1257" t="s">
        <v>1696</v>
      </c>
      <c r="Z387" s="1247"/>
      <c r="AA387" s="1247"/>
      <c r="AB387" s="1247"/>
      <c r="AC387" s="1247" t="s">
        <v>1708</v>
      </c>
      <c r="AD387" s="1255" t="s">
        <v>1446</v>
      </c>
      <c r="AE387" s="1188">
        <v>210.56</v>
      </c>
      <c r="AF387" s="1248">
        <f t="shared" si="140"/>
        <v>1263.36</v>
      </c>
      <c r="AG387" s="1258"/>
      <c r="AH387" s="1234" t="s">
        <v>1688</v>
      </c>
      <c r="AI387" s="1234" t="s">
        <v>112</v>
      </c>
      <c r="AJ387" s="1234" t="s">
        <v>113</v>
      </c>
      <c r="AK387" s="1188">
        <f t="shared" si="133"/>
        <v>504</v>
      </c>
      <c r="AL387" s="1188"/>
      <c r="AM387" s="1188"/>
      <c r="AN387" s="1188"/>
      <c r="AO387" s="1188"/>
      <c r="AP387" s="1188">
        <f t="shared" si="134"/>
        <v>504</v>
      </c>
      <c r="AQ387" s="1240"/>
      <c r="AR387" s="1188"/>
      <c r="AS387" s="1236"/>
      <c r="AT387" s="1236"/>
      <c r="AU387" s="1188">
        <f t="shared" si="135"/>
        <v>504</v>
      </c>
      <c r="AV387" s="1250">
        <f t="shared" si="136"/>
        <v>30.24</v>
      </c>
      <c r="AW387" s="1250"/>
      <c r="AX387" s="1188"/>
      <c r="AY387" s="1188"/>
      <c r="AZ387" s="1188"/>
      <c r="BA387" s="1188"/>
      <c r="BB387" s="1188"/>
      <c r="BC387" s="1188"/>
      <c r="BD387" s="1188"/>
      <c r="BE387" s="1188"/>
      <c r="BF387" s="1188"/>
      <c r="BG387" s="1188"/>
      <c r="BH387" s="1188"/>
      <c r="BI387" s="1188"/>
      <c r="BJ387" s="1188"/>
      <c r="BK387" s="1188"/>
      <c r="BL387" s="1188"/>
      <c r="BM387" s="1188"/>
      <c r="BN387" s="1188"/>
      <c r="BO387" s="1240"/>
      <c r="BP387" s="1240"/>
      <c r="BQ387" s="1188"/>
      <c r="BR387" s="1236"/>
      <c r="BS387" s="1236"/>
      <c r="BT387" s="1188"/>
      <c r="BU387" s="1188"/>
      <c r="BV387" s="1240"/>
      <c r="BW387" s="1188"/>
      <c r="BX387" s="1188">
        <f>I387/84</f>
        <v>6</v>
      </c>
      <c r="BY387" s="1188"/>
      <c r="BZ387" s="1188"/>
      <c r="CA387" s="1188"/>
      <c r="CB387" s="1188"/>
      <c r="CC387" s="1188"/>
      <c r="CD387" s="1188">
        <f t="shared" si="137"/>
        <v>0</v>
      </c>
      <c r="CE387" s="1188">
        <f t="shared" si="114"/>
        <v>0</v>
      </c>
      <c r="CF387" s="1188">
        <f t="shared" si="138"/>
        <v>0</v>
      </c>
      <c r="CG387" s="1188">
        <f t="shared" si="139"/>
        <v>6</v>
      </c>
      <c r="CH387" s="1236"/>
      <c r="CI387" s="1236"/>
      <c r="CJ387" s="1236"/>
      <c r="CK387" s="1188"/>
      <c r="CL387" s="1188"/>
    </row>
    <row r="388" s="1168" customFormat="1" customHeight="1" spans="1:111">
      <c r="A388" s="1219">
        <v>46142</v>
      </c>
      <c r="B388" s="1220" t="s">
        <v>1438</v>
      </c>
      <c r="C388" s="1221" t="s">
        <v>1439</v>
      </c>
      <c r="D388" s="1303">
        <v>4500204239</v>
      </c>
      <c r="E388" s="1221" t="s">
        <v>1709</v>
      </c>
      <c r="F388" s="1222" t="s">
        <v>1710</v>
      </c>
      <c r="G388" s="1223" t="s">
        <v>702</v>
      </c>
      <c r="H388" s="1221" t="s">
        <v>151</v>
      </c>
      <c r="I388" s="1252">
        <v>3444</v>
      </c>
      <c r="J388" s="1221">
        <v>0</v>
      </c>
      <c r="K388" s="1221">
        <v>84</v>
      </c>
      <c r="L388" s="1224">
        <f t="shared" si="125"/>
        <v>41</v>
      </c>
      <c r="M388" s="1225">
        <v>46213</v>
      </c>
      <c r="N388" s="1338">
        <v>46227</v>
      </c>
      <c r="O388" s="1338" t="s">
        <v>1711</v>
      </c>
      <c r="P388" s="1226"/>
      <c r="Q388" s="1233" t="s">
        <v>106</v>
      </c>
      <c r="R388" s="1234" t="s">
        <v>1712</v>
      </c>
      <c r="S388" s="1221"/>
      <c r="T388" s="1226">
        <v>3444</v>
      </c>
      <c r="U388" s="1233">
        <f t="shared" si="121"/>
        <v>0</v>
      </c>
      <c r="V388" s="1221"/>
      <c r="W388" s="1238" t="s">
        <v>1443</v>
      </c>
      <c r="X388" s="1227" t="s">
        <v>107</v>
      </c>
      <c r="Y388" s="1227" t="s">
        <v>1444</v>
      </c>
      <c r="Z388" s="1220"/>
      <c r="AA388" s="1220"/>
      <c r="AB388" s="1220"/>
      <c r="AC388" s="1220" t="s">
        <v>1713</v>
      </c>
      <c r="AD388" s="1225" t="s">
        <v>1446</v>
      </c>
      <c r="AE388" s="1222">
        <v>210.1148</v>
      </c>
      <c r="AF388" s="1229">
        <f t="shared" si="140"/>
        <v>8614.7068</v>
      </c>
      <c r="AG388" s="1230"/>
      <c r="AH388" s="1234" t="s">
        <v>1688</v>
      </c>
      <c r="AI388" s="1221" t="s">
        <v>112</v>
      </c>
      <c r="AJ388" s="1234" t="s">
        <v>113</v>
      </c>
      <c r="AK388" s="1222">
        <f t="shared" si="133"/>
        <v>3444</v>
      </c>
      <c r="AL388" s="1222"/>
      <c r="AM388" s="1222"/>
      <c r="AN388" s="1222"/>
      <c r="AO388" s="1222"/>
      <c r="AP388" s="1222">
        <f t="shared" si="134"/>
        <v>3444</v>
      </c>
      <c r="AQ388" s="1242"/>
      <c r="AR388" s="1222"/>
      <c r="AS388" s="1232"/>
      <c r="AT388" s="1232"/>
      <c r="AU388" s="1222">
        <f t="shared" si="135"/>
        <v>3444</v>
      </c>
      <c r="AV388" s="1241">
        <f t="shared" si="136"/>
        <v>206.64</v>
      </c>
      <c r="AW388" s="1241"/>
      <c r="AX388" s="1222"/>
      <c r="AY388" s="1222"/>
      <c r="AZ388" s="1222"/>
      <c r="BA388" s="1222"/>
      <c r="BB388" s="1222"/>
      <c r="BC388" s="1222"/>
      <c r="BD388" s="1222"/>
      <c r="BE388" s="1222"/>
      <c r="BF388" s="1222"/>
      <c r="BG388" s="1222"/>
      <c r="BH388" s="1222"/>
      <c r="BI388" s="1222"/>
      <c r="BJ388" s="1222"/>
      <c r="BK388" s="1222"/>
      <c r="BL388" s="1222"/>
      <c r="BM388" s="1222"/>
      <c r="BN388" s="1222"/>
      <c r="BO388" s="1242"/>
      <c r="BP388" s="1242"/>
      <c r="BQ388" s="1222"/>
      <c r="BR388" s="1232"/>
      <c r="BS388" s="1232"/>
      <c r="BT388" s="1222"/>
      <c r="BU388" s="1222"/>
      <c r="BV388" s="1242"/>
      <c r="BW388" s="1222"/>
      <c r="BX388" s="1222">
        <f>I388/K388</f>
        <v>41</v>
      </c>
      <c r="BY388" s="1222"/>
      <c r="BZ388" s="1222"/>
      <c r="CA388" s="1222"/>
      <c r="CB388" s="1222"/>
      <c r="CC388" s="1222"/>
      <c r="CD388" s="1188">
        <f t="shared" si="137"/>
        <v>0</v>
      </c>
      <c r="CE388" s="1188">
        <f t="shared" si="114"/>
        <v>0</v>
      </c>
      <c r="CF388" s="1188">
        <f t="shared" si="138"/>
        <v>0</v>
      </c>
      <c r="CG388" s="1188">
        <f t="shared" si="139"/>
        <v>41</v>
      </c>
      <c r="CH388" s="1232"/>
      <c r="CI388" s="1232"/>
      <c r="CJ388" s="1232"/>
      <c r="CK388" s="1222"/>
      <c r="CL388" s="1222"/>
    </row>
    <row r="389" s="1168" customFormat="1" customHeight="1" spans="1:111">
      <c r="A389" s="1245">
        <v>46142</v>
      </c>
      <c r="B389" s="1247" t="s">
        <v>1438</v>
      </c>
      <c r="C389" s="1234" t="s">
        <v>1439</v>
      </c>
      <c r="D389" s="1268">
        <v>4500204240</v>
      </c>
      <c r="E389" s="1234" t="s">
        <v>1714</v>
      </c>
      <c r="F389" s="1188" t="s">
        <v>1715</v>
      </c>
      <c r="G389" s="1253" t="s">
        <v>702</v>
      </c>
      <c r="H389" s="1234" t="s">
        <v>151</v>
      </c>
      <c r="I389" s="1254">
        <v>2436</v>
      </c>
      <c r="J389" s="1234">
        <v>0</v>
      </c>
      <c r="K389" s="1234">
        <v>84</v>
      </c>
      <c r="L389" s="1246">
        <f t="shared" si="125"/>
        <v>29</v>
      </c>
      <c r="M389" s="1255">
        <v>46213</v>
      </c>
      <c r="N389" s="1338">
        <v>46227</v>
      </c>
      <c r="O389" s="1320" t="s">
        <v>1711</v>
      </c>
      <c r="P389" s="1233"/>
      <c r="Q389" s="1233" t="s">
        <v>106</v>
      </c>
      <c r="R389" s="1234" t="s">
        <v>1701</v>
      </c>
      <c r="S389" s="1234"/>
      <c r="T389" s="1233">
        <v>2436</v>
      </c>
      <c r="U389" s="1233">
        <f t="shared" si="121"/>
        <v>0</v>
      </c>
      <c r="V389" s="1234"/>
      <c r="W389" s="1238" t="s">
        <v>1443</v>
      </c>
      <c r="X389" s="1227" t="s">
        <v>107</v>
      </c>
      <c r="Y389" s="1257" t="s">
        <v>1696</v>
      </c>
      <c r="Z389" s="1247"/>
      <c r="AA389" s="1247"/>
      <c r="AB389" s="1247"/>
      <c r="AC389" s="1247" t="s">
        <v>1713</v>
      </c>
      <c r="AD389" s="1255" t="s">
        <v>1446</v>
      </c>
      <c r="AE389" s="1188">
        <v>210.1148</v>
      </c>
      <c r="AF389" s="1248">
        <f t="shared" si="140"/>
        <v>6093.3292</v>
      </c>
      <c r="AG389" s="1258"/>
      <c r="AH389" s="1234" t="s">
        <v>1688</v>
      </c>
      <c r="AI389" s="1234" t="s">
        <v>112</v>
      </c>
      <c r="AJ389" s="1234" t="s">
        <v>113</v>
      </c>
      <c r="AK389" s="1188">
        <f t="shared" si="133"/>
        <v>2436</v>
      </c>
      <c r="AL389" s="1188"/>
      <c r="AM389" s="1188"/>
      <c r="AN389" s="1188"/>
      <c r="AO389" s="1188"/>
      <c r="AP389" s="1188">
        <f t="shared" si="134"/>
        <v>2436</v>
      </c>
      <c r="AQ389" s="1240"/>
      <c r="AR389" s="1188"/>
      <c r="AS389" s="1236"/>
      <c r="AT389" s="1236"/>
      <c r="AU389" s="1188">
        <f t="shared" si="135"/>
        <v>2436</v>
      </c>
      <c r="AV389" s="1250">
        <f t="shared" si="136"/>
        <v>146.16</v>
      </c>
      <c r="AW389" s="1250"/>
      <c r="AX389" s="1188"/>
      <c r="AY389" s="1188"/>
      <c r="AZ389" s="1188"/>
      <c r="BA389" s="1188"/>
      <c r="BB389" s="1188"/>
      <c r="BC389" s="1188"/>
      <c r="BD389" s="1188"/>
      <c r="BE389" s="1188"/>
      <c r="BF389" s="1188"/>
      <c r="BG389" s="1188"/>
      <c r="BH389" s="1188"/>
      <c r="BI389" s="1188"/>
      <c r="BJ389" s="1188"/>
      <c r="BK389" s="1188"/>
      <c r="BL389" s="1188"/>
      <c r="BM389" s="1188"/>
      <c r="BN389" s="1188"/>
      <c r="BO389" s="1240"/>
      <c r="BP389" s="1240"/>
      <c r="BQ389" s="1188"/>
      <c r="BR389" s="1236"/>
      <c r="BS389" s="1188"/>
      <c r="BT389" s="1188"/>
      <c r="BU389" s="1188"/>
      <c r="BV389" s="1240"/>
      <c r="BW389" s="1188"/>
      <c r="BX389" s="1188">
        <f>I389/K389</f>
        <v>29</v>
      </c>
      <c r="BY389" s="1188"/>
      <c r="BZ389" s="1188"/>
      <c r="CA389" s="1188"/>
      <c r="CB389" s="1188"/>
      <c r="CC389" s="1188"/>
      <c r="CD389" s="1188">
        <f t="shared" si="137"/>
        <v>0</v>
      </c>
      <c r="CE389" s="1188">
        <f t="shared" si="114"/>
        <v>0</v>
      </c>
      <c r="CF389" s="1188">
        <f t="shared" si="138"/>
        <v>0</v>
      </c>
      <c r="CG389" s="1188">
        <f t="shared" si="139"/>
        <v>29</v>
      </c>
      <c r="CH389" s="1236"/>
      <c r="CI389" s="1236"/>
      <c r="CJ389" s="1236"/>
      <c r="CK389" s="1188"/>
      <c r="CL389" s="1188"/>
    </row>
    <row r="390" s="1168" customFormat="1" customHeight="1" spans="1:111">
      <c r="A390" s="1340">
        <v>46142</v>
      </c>
      <c r="B390" s="1341" t="s">
        <v>1438</v>
      </c>
      <c r="C390" s="1342" t="s">
        <v>1439</v>
      </c>
      <c r="D390" s="1343">
        <v>4500204243</v>
      </c>
      <c r="E390" s="1342" t="s">
        <v>1716</v>
      </c>
      <c r="F390" s="1172" t="s">
        <v>1717</v>
      </c>
      <c r="G390" s="1359" t="s">
        <v>702</v>
      </c>
      <c r="H390" s="1342" t="s">
        <v>151</v>
      </c>
      <c r="I390" s="1344">
        <v>4788</v>
      </c>
      <c r="J390" s="1342">
        <v>0</v>
      </c>
      <c r="K390" s="1342">
        <v>84</v>
      </c>
      <c r="L390" s="1345">
        <f t="shared" si="125"/>
        <v>57</v>
      </c>
      <c r="M390" s="1286">
        <v>46213</v>
      </c>
      <c r="N390" s="1338">
        <v>46227</v>
      </c>
      <c r="O390" s="1320" t="s">
        <v>1711</v>
      </c>
      <c r="P390" s="1357"/>
      <c r="Q390" s="1233" t="s">
        <v>106</v>
      </c>
      <c r="R390" s="1234" t="s">
        <v>1695</v>
      </c>
      <c r="S390" s="1342"/>
      <c r="T390" s="1357">
        <v>4788</v>
      </c>
      <c r="U390" s="1233">
        <f t="shared" si="121"/>
        <v>0</v>
      </c>
      <c r="V390" s="1342"/>
      <c r="W390" s="1238" t="s">
        <v>1443</v>
      </c>
      <c r="X390" s="1257" t="s">
        <v>107</v>
      </c>
      <c r="Y390" s="1257" t="s">
        <v>1696</v>
      </c>
      <c r="Z390" s="1247"/>
      <c r="AA390" s="1247"/>
      <c r="AB390" s="1247"/>
      <c r="AC390" s="1341" t="s">
        <v>1718</v>
      </c>
      <c r="AD390" s="1286" t="s">
        <v>1446</v>
      </c>
      <c r="AE390" s="1172">
        <v>209.8676</v>
      </c>
      <c r="AF390" s="1360">
        <f t="shared" si="140"/>
        <v>11962.4532</v>
      </c>
      <c r="AG390" s="1258"/>
      <c r="AH390" s="1234" t="s">
        <v>1688</v>
      </c>
      <c r="AI390" s="1234" t="s">
        <v>112</v>
      </c>
      <c r="AJ390" s="1234" t="s">
        <v>113</v>
      </c>
      <c r="AK390" s="1188">
        <f t="shared" si="133"/>
        <v>4788</v>
      </c>
      <c r="AL390" s="1172"/>
      <c r="AM390" s="1172"/>
      <c r="AN390" s="1172"/>
      <c r="AO390" s="1172"/>
      <c r="AP390" s="1172">
        <f t="shared" si="134"/>
        <v>4788</v>
      </c>
      <c r="AQ390" s="1172"/>
      <c r="AR390" s="1172"/>
      <c r="AS390" s="1172"/>
      <c r="AT390" s="1172"/>
      <c r="AU390" s="1172">
        <f t="shared" si="135"/>
        <v>4788</v>
      </c>
      <c r="AV390" s="1250">
        <f t="shared" si="136"/>
        <v>287.28</v>
      </c>
      <c r="AW390" s="1250"/>
      <c r="AX390" s="1172"/>
      <c r="AY390" s="1172"/>
      <c r="AZ390" s="1172"/>
      <c r="BA390" s="1172"/>
      <c r="BB390" s="1172"/>
      <c r="BC390" s="1172"/>
      <c r="BD390" s="1172"/>
      <c r="BE390" s="1172"/>
      <c r="BF390" s="1172"/>
      <c r="BG390" s="1188"/>
      <c r="BH390" s="1188"/>
      <c r="BI390" s="1172"/>
      <c r="BJ390" s="1172"/>
      <c r="BK390" s="1172"/>
      <c r="BL390" s="1172"/>
      <c r="BM390" s="1172"/>
      <c r="BN390" s="1172"/>
      <c r="BO390" s="1240"/>
      <c r="BP390" s="1172"/>
      <c r="BQ390" s="1172"/>
      <c r="BR390" s="1172"/>
      <c r="BS390" s="1172"/>
      <c r="BT390" s="1172"/>
      <c r="BU390" s="1172"/>
      <c r="BV390" s="1172"/>
      <c r="BW390" s="1172"/>
      <c r="BX390" s="1172">
        <f>I390/K390</f>
        <v>57</v>
      </c>
      <c r="BY390" s="1172"/>
      <c r="BZ390" s="1172"/>
      <c r="CA390" s="1172"/>
      <c r="CB390" s="1172"/>
      <c r="CC390" s="1172"/>
      <c r="CD390" s="1188">
        <f t="shared" si="137"/>
        <v>0</v>
      </c>
      <c r="CE390" s="1188">
        <f t="shared" si="114"/>
        <v>0</v>
      </c>
      <c r="CF390" s="1188">
        <f t="shared" si="138"/>
        <v>0</v>
      </c>
      <c r="CG390" s="1188">
        <f t="shared" si="139"/>
        <v>57</v>
      </c>
      <c r="CH390" s="1188"/>
      <c r="CI390" s="1188"/>
      <c r="CJ390" s="1172"/>
      <c r="CK390" s="1172"/>
      <c r="CL390" s="1172"/>
    </row>
    <row r="391" s="1171" customFormat="1" customHeight="1" spans="1:111">
      <c r="A391" s="1340">
        <v>46142</v>
      </c>
      <c r="B391" s="1341" t="s">
        <v>1438</v>
      </c>
      <c r="C391" s="1342" t="s">
        <v>1439</v>
      </c>
      <c r="D391" s="1343">
        <v>4500204245</v>
      </c>
      <c r="E391" s="1342" t="s">
        <v>1719</v>
      </c>
      <c r="F391" s="1172" t="s">
        <v>1720</v>
      </c>
      <c r="G391" s="1359" t="s">
        <v>702</v>
      </c>
      <c r="H391" s="1342" t="s">
        <v>151</v>
      </c>
      <c r="I391" s="1344">
        <v>1764</v>
      </c>
      <c r="J391" s="1342">
        <v>0</v>
      </c>
      <c r="K391" s="1342">
        <v>84</v>
      </c>
      <c r="L391" s="1345">
        <f t="shared" si="125"/>
        <v>21</v>
      </c>
      <c r="M391" s="1286">
        <v>46213</v>
      </c>
      <c r="N391" s="1361">
        <v>46227</v>
      </c>
      <c r="O391" s="1338" t="s">
        <v>1711</v>
      </c>
      <c r="P391" s="1357"/>
      <c r="Q391" s="1233" t="s">
        <v>106</v>
      </c>
      <c r="R391" s="1342" t="s">
        <v>1712</v>
      </c>
      <c r="S391" s="1342"/>
      <c r="T391" s="1357">
        <v>1764</v>
      </c>
      <c r="U391" s="1233">
        <f t="shared" si="121"/>
        <v>0</v>
      </c>
      <c r="V391" s="1342"/>
      <c r="W391" s="1238" t="s">
        <v>1443</v>
      </c>
      <c r="X391" s="1257" t="s">
        <v>107</v>
      </c>
      <c r="Y391" s="1257" t="s">
        <v>1696</v>
      </c>
      <c r="Z391" s="1247"/>
      <c r="AA391" s="1247"/>
      <c r="AB391" s="1247"/>
      <c r="AC391" s="1341" t="s">
        <v>1713</v>
      </c>
      <c r="AD391" s="1286" t="s">
        <v>1446</v>
      </c>
      <c r="AE391" s="1172">
        <v>210.1148</v>
      </c>
      <c r="AF391" s="1360">
        <f t="shared" si="140"/>
        <v>4412.4108</v>
      </c>
      <c r="AG391" s="1258"/>
      <c r="AH391" s="1234" t="s">
        <v>1688</v>
      </c>
      <c r="AI391" s="1234" t="s">
        <v>112</v>
      </c>
      <c r="AJ391" s="1234" t="s">
        <v>113</v>
      </c>
      <c r="AK391" s="1188">
        <f t="shared" si="133"/>
        <v>1764</v>
      </c>
      <c r="AL391" s="1172"/>
      <c r="AM391" s="1172"/>
      <c r="AN391" s="1172"/>
      <c r="AO391" s="1172"/>
      <c r="AP391" s="1172">
        <f t="shared" si="134"/>
        <v>1764</v>
      </c>
      <c r="AQ391" s="1172"/>
      <c r="AR391" s="1172"/>
      <c r="AS391" s="1172"/>
      <c r="AT391" s="1172"/>
      <c r="AU391" s="1172">
        <f t="shared" si="135"/>
        <v>1764</v>
      </c>
      <c r="AV391" s="1250">
        <f t="shared" si="136"/>
        <v>105.84</v>
      </c>
      <c r="AW391" s="1250"/>
      <c r="AX391" s="1172"/>
      <c r="AY391" s="1172"/>
      <c r="AZ391" s="1172"/>
      <c r="BA391" s="1172"/>
      <c r="BB391" s="1172"/>
      <c r="BC391" s="1172"/>
      <c r="BD391" s="1172"/>
      <c r="BE391" s="1172"/>
      <c r="BF391" s="1172"/>
      <c r="BG391" s="1188"/>
      <c r="BH391" s="1188"/>
      <c r="BI391" s="1172"/>
      <c r="BJ391" s="1172"/>
      <c r="BK391" s="1172"/>
      <c r="BL391" s="1172"/>
      <c r="BM391" s="1172"/>
      <c r="BN391" s="1172"/>
      <c r="BO391" s="1240"/>
      <c r="BP391" s="1172"/>
      <c r="BQ391" s="1172"/>
      <c r="BR391" s="1172"/>
      <c r="BS391" s="1172"/>
      <c r="BT391" s="1172"/>
      <c r="BU391" s="1172"/>
      <c r="BV391" s="1172"/>
      <c r="BW391" s="1172"/>
      <c r="BX391" s="1172">
        <f>I391/K391</f>
        <v>21</v>
      </c>
      <c r="BY391" s="1172"/>
      <c r="BZ391" s="1172"/>
      <c r="CA391" s="1172"/>
      <c r="CB391" s="1172"/>
      <c r="CC391" s="1172"/>
      <c r="CD391" s="1188">
        <f t="shared" si="137"/>
        <v>0</v>
      </c>
      <c r="CE391" s="1188">
        <f t="shared" si="114"/>
        <v>0</v>
      </c>
      <c r="CF391" s="1188">
        <f t="shared" si="138"/>
        <v>0</v>
      </c>
      <c r="CG391" s="1188">
        <f t="shared" si="139"/>
        <v>21</v>
      </c>
      <c r="CH391" s="1188"/>
      <c r="CI391" s="1188"/>
      <c r="CJ391" s="1172"/>
      <c r="CK391" s="1172"/>
      <c r="CL391" s="1172"/>
      <c r="CM391" s="1168"/>
      <c r="CN391" s="1168"/>
      <c r="CO391" s="1168"/>
      <c r="CP391" s="1168"/>
      <c r="CQ391" s="1168"/>
      <c r="CR391" s="1168"/>
      <c r="CS391" s="1168"/>
      <c r="CT391" s="1168"/>
      <c r="CU391" s="1168"/>
      <c r="CV391" s="1168"/>
      <c r="CW391" s="1168"/>
      <c r="CX391" s="1168"/>
      <c r="CY391" s="1168"/>
      <c r="CZ391" s="1168"/>
      <c r="DA391" s="1168"/>
      <c r="DB391" s="1168"/>
      <c r="DC391" s="1168"/>
      <c r="DD391" s="1168"/>
      <c r="DE391" s="1168"/>
      <c r="DF391" s="1168"/>
      <c r="DG391" s="1168"/>
    </row>
    <row r="392" s="1168" customFormat="1" ht="31.6" customHeight="1" spans="1:111">
      <c r="A392" s="1245">
        <v>46151</v>
      </c>
      <c r="B392" s="1247" t="s">
        <v>1721</v>
      </c>
      <c r="C392" s="1234" t="s">
        <v>148</v>
      </c>
      <c r="D392" s="1268">
        <v>4500204197</v>
      </c>
      <c r="E392" s="1234" t="s">
        <v>1722</v>
      </c>
      <c r="F392" s="1188" t="s">
        <v>1723</v>
      </c>
      <c r="G392" s="1253" t="s">
        <v>702</v>
      </c>
      <c r="H392" s="1234" t="s">
        <v>151</v>
      </c>
      <c r="I392" s="1254">
        <v>336</v>
      </c>
      <c r="J392" s="1234">
        <v>0</v>
      </c>
      <c r="K392" s="1234">
        <v>84</v>
      </c>
      <c r="L392" s="1246">
        <f t="shared" si="125"/>
        <v>4</v>
      </c>
      <c r="M392" s="1255">
        <v>46213</v>
      </c>
      <c r="N392" s="1320">
        <v>46228</v>
      </c>
      <c r="O392" s="1338" t="s">
        <v>1711</v>
      </c>
      <c r="P392" s="1233"/>
      <c r="Q392" s="1233" t="s">
        <v>106</v>
      </c>
      <c r="R392" s="1234"/>
      <c r="S392" s="1234"/>
      <c r="T392" s="1233">
        <v>336</v>
      </c>
      <c r="U392" s="1233">
        <f t="shared" si="121"/>
        <v>0</v>
      </c>
      <c r="V392" s="1234"/>
      <c r="W392" s="1256" t="s">
        <v>1707</v>
      </c>
      <c r="X392" s="1227" t="s">
        <v>107</v>
      </c>
      <c r="Y392" s="1227" t="s">
        <v>1444</v>
      </c>
      <c r="Z392" s="1247"/>
      <c r="AA392" s="1247"/>
      <c r="AB392" s="1247"/>
      <c r="AC392" s="1321" t="s">
        <v>1724</v>
      </c>
      <c r="AD392" s="1255" t="s">
        <v>1725</v>
      </c>
      <c r="AE392" s="1188">
        <v>218.5508</v>
      </c>
      <c r="AF392" s="1248">
        <f t="shared" si="140"/>
        <v>874.2032</v>
      </c>
      <c r="AG392" s="1258"/>
      <c r="AH392" s="1234" t="s">
        <v>1688</v>
      </c>
      <c r="AI392" s="1234" t="s">
        <v>112</v>
      </c>
      <c r="AJ392" s="1234" t="s">
        <v>113</v>
      </c>
      <c r="AK392" s="1188">
        <f t="shared" si="133"/>
        <v>336</v>
      </c>
      <c r="AL392" s="1188"/>
      <c r="AM392" s="1188"/>
      <c r="AN392" s="1188"/>
      <c r="AO392" s="1188"/>
      <c r="AP392" s="1188">
        <f t="shared" si="134"/>
        <v>336</v>
      </c>
      <c r="AQ392" s="1240"/>
      <c r="AR392" s="1188"/>
      <c r="AS392" s="1236"/>
      <c r="AT392" s="1236"/>
      <c r="AU392" s="1188">
        <f t="shared" si="135"/>
        <v>336</v>
      </c>
      <c r="AV392" s="1250">
        <f t="shared" si="136"/>
        <v>20.16</v>
      </c>
      <c r="AW392" s="1250"/>
      <c r="AX392" s="1188"/>
      <c r="AY392" s="1188"/>
      <c r="AZ392" s="1188"/>
      <c r="BA392" s="1188"/>
      <c r="BB392" s="1188"/>
      <c r="BC392" s="1188"/>
      <c r="BD392" s="1188"/>
      <c r="BE392" s="1188"/>
      <c r="BF392" s="1188"/>
      <c r="BG392" s="1188"/>
      <c r="BH392" s="1188"/>
      <c r="BI392" s="1188"/>
      <c r="BJ392" s="1188"/>
      <c r="BK392" s="1188"/>
      <c r="BL392" s="1188"/>
      <c r="BM392" s="1188"/>
      <c r="BN392" s="1188"/>
      <c r="BO392" s="1240"/>
      <c r="BP392" s="1240"/>
      <c r="BQ392" s="1188"/>
      <c r="BR392" s="1236"/>
      <c r="BS392" s="1188"/>
      <c r="BT392" s="1188"/>
      <c r="BU392" s="1188"/>
      <c r="BV392" s="1240"/>
      <c r="BW392" s="1188"/>
      <c r="BX392" s="1188">
        <f>I392/K392</f>
        <v>4</v>
      </c>
      <c r="BY392" s="1188"/>
      <c r="BZ392" s="1188"/>
      <c r="CA392" s="1188"/>
      <c r="CB392" s="1188"/>
      <c r="CC392" s="1188"/>
      <c r="CD392" s="1188">
        <f t="shared" si="137"/>
        <v>0</v>
      </c>
      <c r="CE392" s="1188">
        <f t="shared" si="114"/>
        <v>0</v>
      </c>
      <c r="CF392" s="1188">
        <f t="shared" si="138"/>
        <v>0</v>
      </c>
      <c r="CG392" s="1188">
        <f t="shared" si="139"/>
        <v>4</v>
      </c>
      <c r="CH392" s="1236"/>
      <c r="CI392" s="1236"/>
      <c r="CJ392" s="1236"/>
      <c r="CK392" s="1188"/>
      <c r="CL392" s="1188"/>
    </row>
    <row r="393" s="1168" customFormat="1" customHeight="1" spans="1:111">
      <c r="A393" s="1245">
        <v>46122</v>
      </c>
      <c r="B393" s="1247" t="s">
        <v>1682</v>
      </c>
      <c r="C393" s="1234" t="s">
        <v>148</v>
      </c>
      <c r="D393" s="1268">
        <v>4500201186</v>
      </c>
      <c r="E393" s="1234" t="s">
        <v>1726</v>
      </c>
      <c r="F393" s="1188" t="s">
        <v>1727</v>
      </c>
      <c r="G393" s="1253" t="s">
        <v>702</v>
      </c>
      <c r="H393" s="1234" t="s">
        <v>151</v>
      </c>
      <c r="I393" s="1254">
        <v>252</v>
      </c>
      <c r="J393" s="1234">
        <v>0</v>
      </c>
      <c r="K393" s="1234">
        <v>84</v>
      </c>
      <c r="L393" s="1246">
        <f t="shared" si="125"/>
        <v>3</v>
      </c>
      <c r="M393" s="1255">
        <v>46213</v>
      </c>
      <c r="N393" s="1320">
        <v>46227</v>
      </c>
      <c r="O393" s="1338" t="s">
        <v>1700</v>
      </c>
      <c r="P393" s="1233"/>
      <c r="Q393" s="1233" t="s">
        <v>1410</v>
      </c>
      <c r="R393" s="1234" t="s">
        <v>1728</v>
      </c>
      <c r="S393" s="1234"/>
      <c r="T393" s="1233">
        <v>252</v>
      </c>
      <c r="U393" s="1233">
        <f t="shared" si="121"/>
        <v>0</v>
      </c>
      <c r="V393" s="1234"/>
      <c r="W393" s="1238" t="s">
        <v>1685</v>
      </c>
      <c r="X393" s="1227" t="s">
        <v>107</v>
      </c>
      <c r="Y393" s="1227" t="s">
        <v>1686</v>
      </c>
      <c r="Z393" s="1247"/>
      <c r="AA393" s="1247"/>
      <c r="AB393" s="1247"/>
      <c r="AC393" s="1321" t="s">
        <v>1687</v>
      </c>
      <c r="AD393" s="1255" t="s">
        <v>1446</v>
      </c>
      <c r="AE393" s="1188">
        <v>203.2712</v>
      </c>
      <c r="AF393" s="1248">
        <f t="shared" si="140"/>
        <v>609.8136</v>
      </c>
      <c r="AG393" s="1258"/>
      <c r="AH393" s="1234" t="s">
        <v>1688</v>
      </c>
      <c r="AI393" s="1234" t="s">
        <v>112</v>
      </c>
      <c r="AJ393" s="1234" t="s">
        <v>113</v>
      </c>
      <c r="AK393" s="1188">
        <f t="shared" si="133"/>
        <v>252</v>
      </c>
      <c r="AL393" s="1188"/>
      <c r="AM393" s="1188"/>
      <c r="AN393" s="1188"/>
      <c r="AO393" s="1188"/>
      <c r="AP393" s="1188">
        <f t="shared" si="134"/>
        <v>252</v>
      </c>
      <c r="AQ393" s="1240"/>
      <c r="AR393" s="1188"/>
      <c r="AS393" s="1236"/>
      <c r="AT393" s="1236"/>
      <c r="AU393" s="1188">
        <f t="shared" si="135"/>
        <v>252</v>
      </c>
      <c r="AV393" s="1250">
        <f t="shared" si="136"/>
        <v>15.12</v>
      </c>
      <c r="AW393" s="1250"/>
      <c r="AX393" s="1188"/>
      <c r="AY393" s="1188"/>
      <c r="AZ393" s="1188"/>
      <c r="BA393" s="1188"/>
      <c r="BB393" s="1188"/>
      <c r="BC393" s="1188"/>
      <c r="BD393" s="1188"/>
      <c r="BE393" s="1188"/>
      <c r="BF393" s="1188"/>
      <c r="BG393" s="1188"/>
      <c r="BH393" s="1188"/>
      <c r="BI393" s="1188"/>
      <c r="BJ393" s="1188"/>
      <c r="BK393" s="1188"/>
      <c r="BL393" s="1188"/>
      <c r="BM393" s="1188"/>
      <c r="BN393" s="1188"/>
      <c r="BO393" s="1240"/>
      <c r="BP393" s="1240"/>
      <c r="BQ393" s="1188"/>
      <c r="BR393" s="1236"/>
      <c r="BS393" s="1188"/>
      <c r="BT393" s="1188"/>
      <c r="BU393" s="1188"/>
      <c r="BV393" s="1240"/>
      <c r="BW393" s="1188"/>
      <c r="BX393" s="1188">
        <f>I393/84</f>
        <v>3</v>
      </c>
      <c r="BY393" s="1188"/>
      <c r="BZ393" s="1188"/>
      <c r="CA393" s="1188"/>
      <c r="CB393" s="1188"/>
      <c r="CC393" s="1188"/>
      <c r="CD393" s="1188">
        <f t="shared" si="137"/>
        <v>0</v>
      </c>
      <c r="CE393" s="1188">
        <f t="shared" si="114"/>
        <v>0</v>
      </c>
      <c r="CF393" s="1188">
        <f t="shared" si="138"/>
        <v>0</v>
      </c>
      <c r="CG393" s="1188">
        <f t="shared" si="139"/>
        <v>3</v>
      </c>
      <c r="CH393" s="1236"/>
      <c r="CI393" s="1236"/>
      <c r="CJ393" s="1236"/>
      <c r="CK393" s="1188"/>
      <c r="CL393" s="1188"/>
    </row>
    <row r="394" s="1168" customFormat="1" customHeight="1" spans="1:111">
      <c r="A394" s="1245">
        <v>46122</v>
      </c>
      <c r="B394" s="1247" t="s">
        <v>1682</v>
      </c>
      <c r="C394" s="1234" t="s">
        <v>148</v>
      </c>
      <c r="D394" s="1268">
        <v>4500201186</v>
      </c>
      <c r="E394" s="1234" t="s">
        <v>1729</v>
      </c>
      <c r="F394" s="1188" t="s">
        <v>1730</v>
      </c>
      <c r="G394" s="1253" t="s">
        <v>702</v>
      </c>
      <c r="H394" s="1234" t="s">
        <v>151</v>
      </c>
      <c r="I394" s="1254">
        <v>8064</v>
      </c>
      <c r="J394" s="1234">
        <v>0</v>
      </c>
      <c r="K394" s="1234">
        <v>84</v>
      </c>
      <c r="L394" s="1246">
        <f t="shared" si="125"/>
        <v>96</v>
      </c>
      <c r="M394" s="1255">
        <v>46213</v>
      </c>
      <c r="N394" s="1320">
        <v>46227</v>
      </c>
      <c r="O394" s="1320" t="s">
        <v>1700</v>
      </c>
      <c r="P394" s="1233"/>
      <c r="Q394" s="1233" t="s">
        <v>1410</v>
      </c>
      <c r="R394" s="1234" t="s">
        <v>1728</v>
      </c>
      <c r="S394" s="1234"/>
      <c r="T394" s="1233">
        <v>8064</v>
      </c>
      <c r="U394" s="1233">
        <f t="shared" si="121"/>
        <v>0</v>
      </c>
      <c r="V394" s="1234"/>
      <c r="W394" s="1238" t="s">
        <v>1685</v>
      </c>
      <c r="X394" s="1227" t="s">
        <v>107</v>
      </c>
      <c r="Y394" s="1227" t="s">
        <v>1686</v>
      </c>
      <c r="Z394" s="1247"/>
      <c r="AA394" s="1247"/>
      <c r="AB394" s="1247"/>
      <c r="AC394" s="1321" t="s">
        <v>1687</v>
      </c>
      <c r="AD394" s="1255" t="s">
        <v>1446</v>
      </c>
      <c r="AE394" s="1188">
        <v>202.3808</v>
      </c>
      <c r="AF394" s="1248">
        <f t="shared" si="140"/>
        <v>19428.5568</v>
      </c>
      <c r="AG394" s="1258"/>
      <c r="AH394" s="1234" t="s">
        <v>1688</v>
      </c>
      <c r="AI394" s="1234" t="s">
        <v>112</v>
      </c>
      <c r="AJ394" s="1234" t="s">
        <v>113</v>
      </c>
      <c r="AK394" s="1188">
        <f t="shared" si="133"/>
        <v>8064</v>
      </c>
      <c r="AL394" s="1188"/>
      <c r="AM394" s="1188"/>
      <c r="AN394" s="1188"/>
      <c r="AO394" s="1188"/>
      <c r="AP394" s="1188">
        <f t="shared" si="134"/>
        <v>8064</v>
      </c>
      <c r="AQ394" s="1240"/>
      <c r="AR394" s="1188"/>
      <c r="AS394" s="1236"/>
      <c r="AT394" s="1236"/>
      <c r="AU394" s="1188">
        <f t="shared" si="135"/>
        <v>8064</v>
      </c>
      <c r="AV394" s="1250">
        <f t="shared" si="136"/>
        <v>483.84</v>
      </c>
      <c r="AW394" s="1250"/>
      <c r="AX394" s="1188"/>
      <c r="AY394" s="1188"/>
      <c r="AZ394" s="1188"/>
      <c r="BA394" s="1188"/>
      <c r="BB394" s="1188"/>
      <c r="BC394" s="1188"/>
      <c r="BD394" s="1188"/>
      <c r="BE394" s="1188"/>
      <c r="BF394" s="1188"/>
      <c r="BG394" s="1188"/>
      <c r="BH394" s="1188"/>
      <c r="BI394" s="1188"/>
      <c r="BJ394" s="1188"/>
      <c r="BK394" s="1188"/>
      <c r="BL394" s="1188"/>
      <c r="BM394" s="1188"/>
      <c r="BN394" s="1188"/>
      <c r="BO394" s="1240"/>
      <c r="BP394" s="1240"/>
      <c r="BQ394" s="1188"/>
      <c r="BR394" s="1236"/>
      <c r="BS394" s="1236"/>
      <c r="BT394" s="1188"/>
      <c r="BU394" s="1188"/>
      <c r="BV394" s="1240"/>
      <c r="BW394" s="1188"/>
      <c r="BX394" s="1188">
        <f>I394/84</f>
        <v>96</v>
      </c>
      <c r="BY394" s="1188"/>
      <c r="BZ394" s="1188"/>
      <c r="CA394" s="1188"/>
      <c r="CB394" s="1188"/>
      <c r="CC394" s="1188"/>
      <c r="CD394" s="1188">
        <f t="shared" si="137"/>
        <v>0</v>
      </c>
      <c r="CE394" s="1188">
        <f t="shared" si="114"/>
        <v>0</v>
      </c>
      <c r="CF394" s="1188">
        <f t="shared" si="138"/>
        <v>0</v>
      </c>
      <c r="CG394" s="1188">
        <f t="shared" si="139"/>
        <v>96</v>
      </c>
      <c r="CH394" s="1236"/>
      <c r="CI394" s="1236"/>
      <c r="CJ394" s="1236"/>
      <c r="CK394" s="1188"/>
      <c r="CL394" s="1188"/>
    </row>
    <row r="395" s="1168" customFormat="1" customHeight="1" spans="1:111">
      <c r="A395" s="1245">
        <v>46134</v>
      </c>
      <c r="B395" s="1247" t="s">
        <v>1731</v>
      </c>
      <c r="C395" s="1234" t="s">
        <v>164</v>
      </c>
      <c r="D395" s="1268">
        <v>4500203158</v>
      </c>
      <c r="E395" s="1234">
        <v>10371518</v>
      </c>
      <c r="F395" s="1188" t="s">
        <v>1732</v>
      </c>
      <c r="G395" s="1253" t="s">
        <v>289</v>
      </c>
      <c r="H395" s="1234" t="s">
        <v>194</v>
      </c>
      <c r="I395" s="1254">
        <v>598</v>
      </c>
      <c r="J395" s="1234">
        <v>0</v>
      </c>
      <c r="K395" s="1234">
        <v>13</v>
      </c>
      <c r="L395" s="1246">
        <f t="shared" si="125"/>
        <v>46</v>
      </c>
      <c r="M395" s="1255">
        <v>46214</v>
      </c>
      <c r="N395" s="1255">
        <v>46210</v>
      </c>
      <c r="O395" s="1255"/>
      <c r="P395" s="1233"/>
      <c r="Q395" s="1286" t="s">
        <v>106</v>
      </c>
      <c r="R395" s="1234"/>
      <c r="S395" s="1234" t="s">
        <v>943</v>
      </c>
      <c r="T395" s="1233">
        <v>598</v>
      </c>
      <c r="U395" s="1233">
        <f t="shared" si="121"/>
        <v>0</v>
      </c>
      <c r="V395" s="1234"/>
      <c r="W395" s="1256">
        <v>46136</v>
      </c>
      <c r="X395" s="1257" t="s">
        <v>95</v>
      </c>
      <c r="Y395" s="1257" t="s">
        <v>1733</v>
      </c>
      <c r="Z395" s="1247"/>
      <c r="AA395" s="1247"/>
      <c r="AB395" s="1247"/>
      <c r="AC395" s="1247" t="s">
        <v>1734</v>
      </c>
      <c r="AD395" s="1248" t="s">
        <v>1735</v>
      </c>
      <c r="AE395" s="1247">
        <v>1.0588</v>
      </c>
      <c r="AF395" s="1248">
        <f>I395*AE395</f>
        <v>633.1624</v>
      </c>
      <c r="AG395" s="1258"/>
      <c r="AH395" s="1234" t="s">
        <v>199</v>
      </c>
      <c r="AI395" s="1234" t="s">
        <v>112</v>
      </c>
      <c r="AJ395" s="1234" t="s">
        <v>113</v>
      </c>
      <c r="AK395" s="1188">
        <f t="shared" si="133"/>
        <v>598</v>
      </c>
      <c r="AL395" s="1188"/>
      <c r="AM395" s="1188"/>
      <c r="AN395" s="1188"/>
      <c r="AO395" s="1188"/>
      <c r="AP395" s="1188">
        <f t="shared" si="134"/>
        <v>598</v>
      </c>
      <c r="AQ395" s="1240"/>
      <c r="AR395" s="1188"/>
      <c r="AS395" s="1236"/>
      <c r="AT395" s="1236"/>
      <c r="AU395" s="1188">
        <f t="shared" si="135"/>
        <v>598</v>
      </c>
      <c r="AV395" s="1250">
        <f>I395*0.06*2</f>
        <v>71.76</v>
      </c>
      <c r="AW395" s="1250"/>
      <c r="AX395" s="1188"/>
      <c r="AY395" s="1188"/>
      <c r="AZ395" s="1188"/>
      <c r="BA395" s="1188"/>
      <c r="BB395" s="1188"/>
      <c r="BC395" s="1188"/>
      <c r="BD395" s="1188"/>
      <c r="BE395" s="1188"/>
      <c r="BF395" s="1188"/>
      <c r="BG395" s="1188"/>
      <c r="BH395" s="1188"/>
      <c r="BI395" s="1188"/>
      <c r="BJ395" s="1188"/>
      <c r="BK395" s="1188"/>
      <c r="BL395" s="1188">
        <f>I395/13</f>
        <v>46</v>
      </c>
      <c r="BM395" s="1188"/>
      <c r="BN395" s="1188"/>
      <c r="BO395" s="1240"/>
      <c r="BP395" s="1240"/>
      <c r="BQ395" s="1188"/>
      <c r="BR395" s="1236"/>
      <c r="BS395" s="1188"/>
      <c r="BT395" s="1188"/>
      <c r="BU395" s="1188"/>
      <c r="BV395" s="1240"/>
      <c r="BW395" s="1188"/>
      <c r="BX395" s="1188"/>
      <c r="BY395" s="1188"/>
      <c r="BZ395" s="1188"/>
      <c r="CA395" s="1188"/>
      <c r="CB395" s="1188"/>
      <c r="CC395" s="1188"/>
      <c r="CD395" s="1188">
        <f t="shared" si="137"/>
        <v>0</v>
      </c>
      <c r="CE395" s="1188">
        <f t="shared" si="114"/>
        <v>0</v>
      </c>
      <c r="CF395" s="1188">
        <f t="shared" si="138"/>
        <v>0</v>
      </c>
      <c r="CG395" s="1188">
        <f t="shared" si="139"/>
        <v>0</v>
      </c>
      <c r="CH395" s="1236"/>
      <c r="CI395" s="1236"/>
      <c r="CJ395" s="1236"/>
      <c r="CK395" s="1188"/>
      <c r="CL395" s="1188"/>
    </row>
    <row r="396" s="1168" customFormat="1" customHeight="1" spans="1:111">
      <c r="A396" s="1245">
        <v>46203</v>
      </c>
      <c r="B396" s="1247" t="s">
        <v>346</v>
      </c>
      <c r="C396" s="1234" t="s">
        <v>115</v>
      </c>
      <c r="D396" s="1188">
        <v>4500214388</v>
      </c>
      <c r="E396" s="1890" t="s">
        <v>1736</v>
      </c>
      <c r="F396" s="1188" t="s">
        <v>1737</v>
      </c>
      <c r="G396" s="1253" t="s">
        <v>380</v>
      </c>
      <c r="H396" s="1234" t="s">
        <v>381</v>
      </c>
      <c r="I396" s="1254">
        <v>22080</v>
      </c>
      <c r="J396" s="1234">
        <v>0</v>
      </c>
      <c r="K396" s="1234">
        <v>16</v>
      </c>
      <c r="L396" s="1246">
        <f t="shared" si="125"/>
        <v>1380</v>
      </c>
      <c r="M396" s="1255">
        <v>46216</v>
      </c>
      <c r="N396" s="1255">
        <v>46212</v>
      </c>
      <c r="O396" s="1225" t="s">
        <v>736</v>
      </c>
      <c r="P396" s="1233" t="s">
        <v>1738</v>
      </c>
      <c r="Q396" s="1255" t="s">
        <v>1608</v>
      </c>
      <c r="R396" s="1234" t="s">
        <v>1549</v>
      </c>
      <c r="S396" s="1234" t="s">
        <v>718</v>
      </c>
      <c r="T396" s="1233">
        <v>22080</v>
      </c>
      <c r="U396" s="1233">
        <f t="shared" si="121"/>
        <v>0</v>
      </c>
      <c r="V396" s="1234"/>
      <c r="W396" s="1256" t="s">
        <v>1572</v>
      </c>
      <c r="X396" s="1257" t="s">
        <v>95</v>
      </c>
      <c r="Y396" s="1257" t="s">
        <v>1739</v>
      </c>
      <c r="Z396" s="1247"/>
      <c r="AA396" s="1247"/>
      <c r="AB396" s="1247"/>
      <c r="AC396" s="1247" t="s">
        <v>1609</v>
      </c>
      <c r="AD396" s="1248" t="s">
        <v>354</v>
      </c>
      <c r="AE396" s="1247">
        <v>0.664</v>
      </c>
      <c r="AF396" s="1248">
        <f>AE396*I396</f>
        <v>14661.12</v>
      </c>
      <c r="AG396" s="1249" t="s">
        <v>1740</v>
      </c>
      <c r="AH396" s="1234" t="s">
        <v>380</v>
      </c>
      <c r="AI396" s="1234" t="s">
        <v>112</v>
      </c>
      <c r="AJ396" s="1234" t="s">
        <v>113</v>
      </c>
      <c r="AK396" s="1188">
        <f t="shared" si="133"/>
        <v>22080</v>
      </c>
      <c r="AL396" s="1188"/>
      <c r="AM396" s="1188"/>
      <c r="AN396" s="1188">
        <f>I396</f>
        <v>22080</v>
      </c>
      <c r="AO396" s="1188"/>
      <c r="AP396" s="1188"/>
      <c r="AQ396" s="1240"/>
      <c r="AR396" s="1188"/>
      <c r="AS396" s="1236"/>
      <c r="AT396" s="1236"/>
      <c r="AU396" s="1188">
        <f t="shared" si="135"/>
        <v>22080</v>
      </c>
      <c r="AV396" s="1250"/>
      <c r="AW396" s="1250"/>
      <c r="AX396" s="1188"/>
      <c r="AY396" s="1188"/>
      <c r="AZ396" s="1188"/>
      <c r="BA396" s="1188"/>
      <c r="BB396" s="1188"/>
      <c r="BC396" s="1188"/>
      <c r="BD396" s="1188"/>
      <c r="BE396" s="1188"/>
      <c r="BF396" s="1188"/>
      <c r="BG396" s="1188"/>
      <c r="BH396" s="1188"/>
      <c r="BI396" s="1188"/>
      <c r="BJ396" s="1188"/>
      <c r="BK396" s="1188"/>
      <c r="BL396" s="1188"/>
      <c r="BM396" s="1188"/>
      <c r="BN396" s="1188"/>
      <c r="BO396" s="1240"/>
      <c r="BP396" s="1240"/>
      <c r="BQ396" s="1188"/>
      <c r="BR396" s="1236">
        <f>I396/16</f>
        <v>1380</v>
      </c>
      <c r="BS396" s="1188"/>
      <c r="BT396" s="1188"/>
      <c r="BU396" s="1188"/>
      <c r="BV396" s="1240"/>
      <c r="BW396" s="1188"/>
      <c r="BX396" s="1188"/>
      <c r="BY396" s="1188"/>
      <c r="BZ396" s="1188"/>
      <c r="CA396" s="1188"/>
      <c r="CB396" s="1188"/>
      <c r="CC396" s="1188"/>
      <c r="CD396" s="1188">
        <f t="shared" si="137"/>
        <v>1380</v>
      </c>
      <c r="CE396" s="1188">
        <f t="shared" si="114"/>
        <v>0</v>
      </c>
      <c r="CF396" s="1188">
        <f t="shared" si="138"/>
        <v>0</v>
      </c>
      <c r="CG396" s="1188">
        <f t="shared" si="139"/>
        <v>0</v>
      </c>
      <c r="CH396" s="1236"/>
      <c r="CI396" s="1236"/>
      <c r="CJ396" s="1236"/>
      <c r="CK396" s="1188"/>
      <c r="CL396" s="1188"/>
    </row>
    <row r="397" s="1168" customFormat="1" customHeight="1" spans="1:111">
      <c r="A397" s="1245">
        <v>46203</v>
      </c>
      <c r="B397" s="1247" t="s">
        <v>346</v>
      </c>
      <c r="C397" s="1234" t="s">
        <v>115</v>
      </c>
      <c r="D397" s="1268">
        <v>4500214401</v>
      </c>
      <c r="E397" s="1890" t="s">
        <v>1741</v>
      </c>
      <c r="F397" s="1188" t="s">
        <v>1742</v>
      </c>
      <c r="G397" s="1253" t="s">
        <v>380</v>
      </c>
      <c r="H397" s="1234" t="s">
        <v>381</v>
      </c>
      <c r="I397" s="1254">
        <v>30368</v>
      </c>
      <c r="J397" s="1234">
        <v>0</v>
      </c>
      <c r="K397" s="1234">
        <v>16</v>
      </c>
      <c r="L397" s="1246">
        <f t="shared" si="125"/>
        <v>1898</v>
      </c>
      <c r="M397" s="1255">
        <v>46216</v>
      </c>
      <c r="N397" s="1255">
        <v>46218</v>
      </c>
      <c r="O397" s="1225" t="s">
        <v>736</v>
      </c>
      <c r="P397" s="1233" t="s">
        <v>1743</v>
      </c>
      <c r="Q397" s="1255" t="s">
        <v>1612</v>
      </c>
      <c r="R397" s="1234" t="s">
        <v>1744</v>
      </c>
      <c r="S397" s="1234"/>
      <c r="T397" s="1233">
        <f>5984+24384</f>
        <v>30368</v>
      </c>
      <c r="U397" s="1233">
        <f t="shared" si="121"/>
        <v>0</v>
      </c>
      <c r="V397" s="1234"/>
      <c r="W397" s="1238" t="s">
        <v>1572</v>
      </c>
      <c r="X397" s="1227" t="s">
        <v>95</v>
      </c>
      <c r="Y397" s="1227" t="s">
        <v>1642</v>
      </c>
      <c r="Z397" s="1247"/>
      <c r="AA397" s="1247"/>
      <c r="AB397" s="1247"/>
      <c r="AC397" s="1247" t="s">
        <v>1745</v>
      </c>
      <c r="AD397" s="1248" t="s">
        <v>354</v>
      </c>
      <c r="AE397" s="1247">
        <v>0.664</v>
      </c>
      <c r="AF397" s="1248">
        <f>AE397*I397</f>
        <v>20164.352</v>
      </c>
      <c r="AG397" s="1249" t="s">
        <v>1746</v>
      </c>
      <c r="AH397" s="1234" t="s">
        <v>380</v>
      </c>
      <c r="AI397" s="1234" t="s">
        <v>112</v>
      </c>
      <c r="AJ397" s="1234" t="s">
        <v>113</v>
      </c>
      <c r="AK397" s="1188">
        <f t="shared" si="133"/>
        <v>30368</v>
      </c>
      <c r="AL397" s="1188"/>
      <c r="AM397" s="1188"/>
      <c r="AN397" s="1188">
        <f>I397</f>
        <v>30368</v>
      </c>
      <c r="AO397" s="1188"/>
      <c r="AP397" s="1188"/>
      <c r="AQ397" s="1240"/>
      <c r="AR397" s="1188"/>
      <c r="AS397" s="1236"/>
      <c r="AT397" s="1236"/>
      <c r="AU397" s="1188">
        <f t="shared" si="135"/>
        <v>30368</v>
      </c>
      <c r="AV397" s="1250"/>
      <c r="AW397" s="1250"/>
      <c r="AX397" s="1188"/>
      <c r="AY397" s="1188"/>
      <c r="AZ397" s="1188"/>
      <c r="BA397" s="1188"/>
      <c r="BB397" s="1188"/>
      <c r="BC397" s="1188"/>
      <c r="BD397" s="1188"/>
      <c r="BE397" s="1188"/>
      <c r="BF397" s="1188"/>
      <c r="BG397" s="1188"/>
      <c r="BH397" s="1188"/>
      <c r="BI397" s="1188"/>
      <c r="BJ397" s="1188"/>
      <c r="BK397" s="1188"/>
      <c r="BL397" s="1188"/>
      <c r="BM397" s="1188"/>
      <c r="BN397" s="1188"/>
      <c r="BO397" s="1240"/>
      <c r="BP397" s="1240"/>
      <c r="BQ397" s="1188"/>
      <c r="BR397" s="1236">
        <f>I397/16</f>
        <v>1898</v>
      </c>
      <c r="BS397" s="1236"/>
      <c r="BT397" s="1188"/>
      <c r="BU397" s="1188"/>
      <c r="BV397" s="1240"/>
      <c r="BW397" s="1188"/>
      <c r="BX397" s="1188"/>
      <c r="BY397" s="1188"/>
      <c r="BZ397" s="1188"/>
      <c r="CA397" s="1188"/>
      <c r="CB397" s="1188"/>
      <c r="CC397" s="1188"/>
      <c r="CD397" s="1188">
        <f t="shared" si="137"/>
        <v>1898</v>
      </c>
      <c r="CE397" s="1188">
        <f t="shared" si="114"/>
        <v>0</v>
      </c>
      <c r="CF397" s="1188">
        <f t="shared" si="138"/>
        <v>0</v>
      </c>
      <c r="CG397" s="1188">
        <f t="shared" si="139"/>
        <v>0</v>
      </c>
      <c r="CH397" s="1236"/>
      <c r="CI397" s="1236"/>
      <c r="CJ397" s="1236"/>
      <c r="CK397" s="1188"/>
      <c r="CL397" s="1188"/>
    </row>
    <row r="398" s="1168" customFormat="1" customHeight="1" spans="1:111">
      <c r="A398" s="1245">
        <v>46135</v>
      </c>
      <c r="B398" s="1247" t="s">
        <v>191</v>
      </c>
      <c r="C398" s="1234" t="s">
        <v>164</v>
      </c>
      <c r="D398" s="1268">
        <v>4500203431</v>
      </c>
      <c r="E398" s="1233">
        <v>5200009693</v>
      </c>
      <c r="F398" s="1188" t="s">
        <v>1747</v>
      </c>
      <c r="G398" s="1253" t="s">
        <v>193</v>
      </c>
      <c r="H398" s="1234" t="s">
        <v>194</v>
      </c>
      <c r="I398" s="1254">
        <v>15002</v>
      </c>
      <c r="J398" s="1234">
        <v>0</v>
      </c>
      <c r="K398" s="1234">
        <v>13</v>
      </c>
      <c r="L398" s="1246">
        <f t="shared" si="125"/>
        <v>1154</v>
      </c>
      <c r="M398" s="1255">
        <v>46216</v>
      </c>
      <c r="N398" s="1255">
        <v>46212</v>
      </c>
      <c r="O398" s="1225" t="s">
        <v>736</v>
      </c>
      <c r="P398" s="1233"/>
      <c r="Q398" s="1255" t="s">
        <v>106</v>
      </c>
      <c r="R398" s="1234" t="s">
        <v>1748</v>
      </c>
      <c r="S398" s="1234" t="s">
        <v>943</v>
      </c>
      <c r="T398" s="1233">
        <f>12675+2327</f>
        <v>15002</v>
      </c>
      <c r="U398" s="1233">
        <f t="shared" si="121"/>
        <v>0</v>
      </c>
      <c r="V398" s="1234"/>
      <c r="W398" s="1256">
        <v>46154</v>
      </c>
      <c r="X398" s="1227" t="s">
        <v>95</v>
      </c>
      <c r="Y398" s="1227" t="s">
        <v>822</v>
      </c>
      <c r="Z398" s="1247"/>
      <c r="AA398" s="1247"/>
      <c r="AB398" s="1247"/>
      <c r="AC398" s="1247" t="s">
        <v>1749</v>
      </c>
      <c r="AD398" s="1248" t="s">
        <v>895</v>
      </c>
      <c r="AE398" s="1247">
        <v>1.2</v>
      </c>
      <c r="AF398" s="1248">
        <f>I398*AE398</f>
        <v>18002.4</v>
      </c>
      <c r="AG398" s="1258"/>
      <c r="AH398" s="1234" t="s">
        <v>199</v>
      </c>
      <c r="AI398" s="1234" t="s">
        <v>112</v>
      </c>
      <c r="AJ398" s="1234" t="s">
        <v>113</v>
      </c>
      <c r="AK398" s="1188">
        <f t="shared" si="133"/>
        <v>15002</v>
      </c>
      <c r="AL398" s="1188"/>
      <c r="AM398" s="1188"/>
      <c r="AN398" s="1188"/>
      <c r="AO398" s="1188"/>
      <c r="AP398" s="1188">
        <f>I398</f>
        <v>15002</v>
      </c>
      <c r="AQ398" s="1240"/>
      <c r="AR398" s="1188"/>
      <c r="AS398" s="1236"/>
      <c r="AT398" s="1236"/>
      <c r="AU398" s="1188">
        <f t="shared" si="135"/>
        <v>15002</v>
      </c>
      <c r="AV398" s="1250">
        <f>I398*0.06*2</f>
        <v>1800.24</v>
      </c>
      <c r="AW398" s="1250"/>
      <c r="AX398" s="1188"/>
      <c r="AY398" s="1188"/>
      <c r="AZ398" s="1188"/>
      <c r="BA398" s="1188"/>
      <c r="BB398" s="1188"/>
      <c r="BC398" s="1188"/>
      <c r="BD398" s="1188"/>
      <c r="BE398" s="1188"/>
      <c r="BF398" s="1188"/>
      <c r="BG398" s="1188"/>
      <c r="BH398" s="1188"/>
      <c r="BI398" s="1188"/>
      <c r="BJ398" s="1188"/>
      <c r="BK398" s="1188"/>
      <c r="BL398" s="1188">
        <f>I398/13</f>
        <v>1154</v>
      </c>
      <c r="BM398" s="1188"/>
      <c r="BN398" s="1188"/>
      <c r="BO398" s="1240"/>
      <c r="BP398" s="1240"/>
      <c r="BQ398" s="1188"/>
      <c r="BR398" s="1236"/>
      <c r="BS398" s="1188"/>
      <c r="BT398" s="1188"/>
      <c r="BU398" s="1188"/>
      <c r="BV398" s="1240"/>
      <c r="BW398" s="1188"/>
      <c r="BX398" s="1188"/>
      <c r="BY398" s="1188"/>
      <c r="BZ398" s="1188"/>
      <c r="CA398" s="1188"/>
      <c r="CB398" s="1188"/>
      <c r="CC398" s="1188"/>
      <c r="CD398" s="1188">
        <f t="shared" si="137"/>
        <v>0</v>
      </c>
      <c r="CE398" s="1188">
        <f t="shared" si="114"/>
        <v>0</v>
      </c>
      <c r="CF398" s="1188">
        <f t="shared" si="138"/>
        <v>0</v>
      </c>
      <c r="CG398" s="1188">
        <f t="shared" si="139"/>
        <v>0</v>
      </c>
      <c r="CH398" s="1236"/>
      <c r="CI398" s="1236"/>
      <c r="CJ398" s="1236"/>
      <c r="CK398" s="1188"/>
      <c r="CL398" s="1188"/>
    </row>
    <row r="399" s="1168" customFormat="1" customHeight="1" spans="1:111">
      <c r="A399" s="1245">
        <v>46205</v>
      </c>
      <c r="B399" s="1220" t="s">
        <v>386</v>
      </c>
      <c r="C399" s="1221" t="s">
        <v>115</v>
      </c>
      <c r="D399" s="1303">
        <v>4500214773</v>
      </c>
      <c r="E399" s="1221" t="s">
        <v>1750</v>
      </c>
      <c r="F399" s="1222" t="s">
        <v>1751</v>
      </c>
      <c r="G399" s="1223" t="s">
        <v>389</v>
      </c>
      <c r="H399" s="1221" t="s">
        <v>390</v>
      </c>
      <c r="I399" s="1252">
        <v>22320</v>
      </c>
      <c r="J399" s="1221">
        <v>0</v>
      </c>
      <c r="K399" s="1221">
        <v>12</v>
      </c>
      <c r="L399" s="1246">
        <f t="shared" si="125"/>
        <v>1860</v>
      </c>
      <c r="M399" s="1225">
        <v>46216</v>
      </c>
      <c r="N399" s="1255">
        <v>46220</v>
      </c>
      <c r="O399" s="1225" t="s">
        <v>736</v>
      </c>
      <c r="P399" s="1233" t="s">
        <v>1752</v>
      </c>
      <c r="Q399" s="1255" t="s">
        <v>106</v>
      </c>
      <c r="R399" s="1234" t="s">
        <v>1753</v>
      </c>
      <c r="S399" s="1234"/>
      <c r="T399" s="1233">
        <v>22320</v>
      </c>
      <c r="U399" s="1233">
        <f t="shared" si="121"/>
        <v>0</v>
      </c>
      <c r="V399" s="1234" t="s">
        <v>120</v>
      </c>
      <c r="W399" s="1256">
        <v>46205</v>
      </c>
      <c r="X399" s="1227" t="s">
        <v>107</v>
      </c>
      <c r="Y399" s="1227" t="s">
        <v>1754</v>
      </c>
      <c r="Z399" s="1247"/>
      <c r="AA399" s="1247"/>
      <c r="AB399" s="1247"/>
      <c r="AC399" s="1220" t="s">
        <v>1755</v>
      </c>
      <c r="AD399" s="1229" t="s">
        <v>557</v>
      </c>
      <c r="AE399" s="1247">
        <v>1.5398</v>
      </c>
      <c r="AF399" s="1248">
        <f>I399*AE399</f>
        <v>34368.336</v>
      </c>
      <c r="AG399" s="1249" t="s">
        <v>1756</v>
      </c>
      <c r="AH399" s="1234" t="s">
        <v>389</v>
      </c>
      <c r="AI399" s="1234" t="s">
        <v>112</v>
      </c>
      <c r="AJ399" s="1234" t="s">
        <v>113</v>
      </c>
      <c r="AK399" s="1188">
        <f>I399*2</f>
        <v>44640</v>
      </c>
      <c r="AL399" s="1188"/>
      <c r="AM399" s="1188"/>
      <c r="AN399" s="1188"/>
      <c r="AO399" s="1188"/>
      <c r="AP399" s="1188"/>
      <c r="AQ399" s="1240">
        <f>I399*2</f>
        <v>44640</v>
      </c>
      <c r="AR399" s="1188"/>
      <c r="AS399" s="1236"/>
      <c r="AT399" s="1236"/>
      <c r="AU399" s="1188">
        <f>I399*2</f>
        <v>44640</v>
      </c>
      <c r="AV399" s="1250">
        <f>I399*0.06*2</f>
        <v>2678.4</v>
      </c>
      <c r="AW399" s="1250"/>
      <c r="AX399" s="1188"/>
      <c r="AY399" s="1188"/>
      <c r="AZ399" s="1188"/>
      <c r="BA399" s="1188"/>
      <c r="BB399" s="1188"/>
      <c r="BC399" s="1188"/>
      <c r="BD399" s="1188"/>
      <c r="BE399" s="1188"/>
      <c r="BF399" s="1188"/>
      <c r="BG399" s="1188"/>
      <c r="BH399" s="1188"/>
      <c r="BI399" s="1188"/>
      <c r="BJ399" s="1188"/>
      <c r="BK399" s="1188"/>
      <c r="BL399" s="1188"/>
      <c r="BM399" s="1188"/>
      <c r="BN399" s="1188"/>
      <c r="BO399" s="1240"/>
      <c r="BP399" s="1240"/>
      <c r="BQ399" s="1188"/>
      <c r="BR399" s="1236"/>
      <c r="BS399" s="1236"/>
      <c r="BT399" s="1188"/>
      <c r="BU399" s="1188"/>
      <c r="BV399" s="1240"/>
      <c r="BW399" s="1188"/>
      <c r="BX399" s="1188"/>
      <c r="BY399" s="1188"/>
      <c r="BZ399" s="1188"/>
      <c r="CA399" s="1188"/>
      <c r="CB399" s="1188"/>
      <c r="CC399" s="1188"/>
      <c r="CD399" s="1188">
        <f t="shared" si="137"/>
        <v>0</v>
      </c>
      <c r="CE399" s="1188">
        <f t="shared" si="114"/>
        <v>0</v>
      </c>
      <c r="CF399" s="1188">
        <f t="shared" si="138"/>
        <v>0</v>
      </c>
      <c r="CG399" s="1188">
        <f t="shared" si="139"/>
        <v>0</v>
      </c>
      <c r="CH399" s="1236"/>
      <c r="CI399" s="1236"/>
      <c r="CJ399" s="1236">
        <f>I399</f>
        <v>22320</v>
      </c>
      <c r="CK399" s="1188">
        <f>I399</f>
        <v>22320</v>
      </c>
      <c r="CL399" s="1188">
        <f>I399</f>
        <v>22320</v>
      </c>
    </row>
    <row r="400" s="1168" customFormat="1" customHeight="1" spans="1:111">
      <c r="A400" s="1245">
        <v>46203</v>
      </c>
      <c r="B400" s="1220" t="s">
        <v>346</v>
      </c>
      <c r="C400" s="1221" t="s">
        <v>115</v>
      </c>
      <c r="D400" s="1303">
        <v>4500214401</v>
      </c>
      <c r="E400" s="1892" t="s">
        <v>1757</v>
      </c>
      <c r="F400" s="1222" t="s">
        <v>1758</v>
      </c>
      <c r="G400" s="1223" t="s">
        <v>380</v>
      </c>
      <c r="H400" s="1221" t="s">
        <v>381</v>
      </c>
      <c r="I400" s="1252">
        <v>18624</v>
      </c>
      <c r="J400" s="1221">
        <v>0</v>
      </c>
      <c r="K400" s="1221">
        <v>16</v>
      </c>
      <c r="L400" s="1246">
        <f t="shared" si="125"/>
        <v>1164</v>
      </c>
      <c r="M400" s="1225">
        <v>46216</v>
      </c>
      <c r="N400" s="1225">
        <v>46221</v>
      </c>
      <c r="O400" s="1255" t="s">
        <v>736</v>
      </c>
      <c r="P400" s="1233" t="s">
        <v>1641</v>
      </c>
      <c r="Q400" s="1255" t="s">
        <v>106</v>
      </c>
      <c r="R400" s="1234" t="s">
        <v>1629</v>
      </c>
      <c r="S400" s="1234"/>
      <c r="T400" s="1233">
        <v>18624</v>
      </c>
      <c r="U400" s="1233">
        <f t="shared" si="121"/>
        <v>0</v>
      </c>
      <c r="V400" s="1234"/>
      <c r="W400" s="1238" t="s">
        <v>1572</v>
      </c>
      <c r="X400" s="1257" t="s">
        <v>95</v>
      </c>
      <c r="Y400" s="1257" t="s">
        <v>1642</v>
      </c>
      <c r="Z400" s="1247"/>
      <c r="AA400" s="1247"/>
      <c r="AB400" s="1247"/>
      <c r="AC400" s="1220" t="s">
        <v>1745</v>
      </c>
      <c r="AD400" s="1229" t="s">
        <v>354</v>
      </c>
      <c r="AE400" s="1247">
        <v>0.664</v>
      </c>
      <c r="AF400" s="1248">
        <f>AE400*I400</f>
        <v>12366.336</v>
      </c>
      <c r="AG400" s="1249" t="s">
        <v>1759</v>
      </c>
      <c r="AH400" s="1234" t="s">
        <v>380</v>
      </c>
      <c r="AI400" s="1234" t="s">
        <v>112</v>
      </c>
      <c r="AJ400" s="1234" t="s">
        <v>113</v>
      </c>
      <c r="AK400" s="1188">
        <f t="shared" ref="AK400:AK405" si="141">I400</f>
        <v>18624</v>
      </c>
      <c r="AL400" s="1188"/>
      <c r="AM400" s="1188"/>
      <c r="AN400" s="1188">
        <f>I400</f>
        <v>18624</v>
      </c>
      <c r="AO400" s="1188"/>
      <c r="AP400" s="1188"/>
      <c r="AQ400" s="1240"/>
      <c r="AR400" s="1188"/>
      <c r="AS400" s="1236"/>
      <c r="AT400" s="1236"/>
      <c r="AU400" s="1188">
        <f>I400</f>
        <v>18624</v>
      </c>
      <c r="AV400" s="1250"/>
      <c r="AW400" s="1250"/>
      <c r="AX400" s="1188"/>
      <c r="AY400" s="1188"/>
      <c r="AZ400" s="1188"/>
      <c r="BA400" s="1188"/>
      <c r="BB400" s="1188"/>
      <c r="BC400" s="1188"/>
      <c r="BD400" s="1188"/>
      <c r="BE400" s="1188"/>
      <c r="BF400" s="1188"/>
      <c r="BG400" s="1188"/>
      <c r="BH400" s="1188"/>
      <c r="BI400" s="1188"/>
      <c r="BJ400" s="1188"/>
      <c r="BK400" s="1188"/>
      <c r="BL400" s="1188"/>
      <c r="BM400" s="1188"/>
      <c r="BN400" s="1188"/>
      <c r="BO400" s="1240"/>
      <c r="BP400" s="1240"/>
      <c r="BQ400" s="1188"/>
      <c r="BR400" s="1236">
        <f>I400/16</f>
        <v>1164</v>
      </c>
      <c r="BS400" s="1236"/>
      <c r="BT400" s="1188"/>
      <c r="BU400" s="1188"/>
      <c r="BV400" s="1240"/>
      <c r="BW400" s="1188"/>
      <c r="BX400" s="1188"/>
      <c r="BY400" s="1188"/>
      <c r="BZ400" s="1188"/>
      <c r="CA400" s="1188"/>
      <c r="CB400" s="1188"/>
      <c r="CC400" s="1188"/>
      <c r="CD400" s="1188">
        <f t="shared" si="137"/>
        <v>1164</v>
      </c>
      <c r="CE400" s="1188">
        <f t="shared" si="114"/>
        <v>0</v>
      </c>
      <c r="CF400" s="1188">
        <f t="shared" si="138"/>
        <v>0</v>
      </c>
      <c r="CG400" s="1188">
        <f t="shared" si="139"/>
        <v>0</v>
      </c>
      <c r="CH400" s="1236"/>
      <c r="CI400" s="1236"/>
      <c r="CJ400" s="1236"/>
      <c r="CK400" s="1188"/>
      <c r="CL400" s="1188"/>
    </row>
    <row r="401" s="1168" customFormat="1" ht="31" customHeight="1" spans="1:111">
      <c r="A401" s="1245">
        <v>46203</v>
      </c>
      <c r="B401" s="1220" t="s">
        <v>346</v>
      </c>
      <c r="C401" s="1221" t="s">
        <v>115</v>
      </c>
      <c r="D401" s="1303">
        <v>4500214401</v>
      </c>
      <c r="E401" s="1892" t="s">
        <v>1760</v>
      </c>
      <c r="F401" s="1222" t="s">
        <v>1761</v>
      </c>
      <c r="G401" s="1223" t="s">
        <v>380</v>
      </c>
      <c r="H401" s="1221" t="s">
        <v>381</v>
      </c>
      <c r="I401" s="1252">
        <v>19360</v>
      </c>
      <c r="J401" s="1221">
        <v>0</v>
      </c>
      <c r="K401" s="1221">
        <v>16</v>
      </c>
      <c r="L401" s="1246">
        <f t="shared" si="125"/>
        <v>1210</v>
      </c>
      <c r="M401" s="1225">
        <v>46216</v>
      </c>
      <c r="N401" s="1225">
        <v>46221</v>
      </c>
      <c r="O401" s="1225" t="s">
        <v>736</v>
      </c>
      <c r="P401" s="1233" t="s">
        <v>1641</v>
      </c>
      <c r="Q401" s="1255" t="s">
        <v>106</v>
      </c>
      <c r="R401" s="1234" t="s">
        <v>1629</v>
      </c>
      <c r="S401" s="1234"/>
      <c r="T401" s="1233">
        <f>19008+352</f>
        <v>19360</v>
      </c>
      <c r="U401" s="1233">
        <f t="shared" si="121"/>
        <v>0</v>
      </c>
      <c r="V401" s="1234"/>
      <c r="W401" s="1238" t="s">
        <v>1572</v>
      </c>
      <c r="X401" s="1227" t="s">
        <v>95</v>
      </c>
      <c r="Y401" s="1227" t="s">
        <v>1762</v>
      </c>
      <c r="Z401" s="1247"/>
      <c r="AA401" s="1247"/>
      <c r="AB401" s="1247"/>
      <c r="AC401" s="1220" t="s">
        <v>1745</v>
      </c>
      <c r="AD401" s="1229" t="s">
        <v>354</v>
      </c>
      <c r="AE401" s="1247">
        <v>0.664</v>
      </c>
      <c r="AF401" s="1248">
        <f>AE401*I401</f>
        <v>12855.04</v>
      </c>
      <c r="AG401" s="1249" t="s">
        <v>1763</v>
      </c>
      <c r="AH401" s="1234" t="s">
        <v>380</v>
      </c>
      <c r="AI401" s="1234" t="s">
        <v>112</v>
      </c>
      <c r="AJ401" s="1234" t="s">
        <v>113</v>
      </c>
      <c r="AK401" s="1188">
        <f t="shared" si="141"/>
        <v>19360</v>
      </c>
      <c r="AL401" s="1188"/>
      <c r="AM401" s="1188"/>
      <c r="AN401" s="1188">
        <f>I401</f>
        <v>19360</v>
      </c>
      <c r="AO401" s="1188"/>
      <c r="AP401" s="1188"/>
      <c r="AQ401" s="1240"/>
      <c r="AR401" s="1188"/>
      <c r="AS401" s="1236"/>
      <c r="AT401" s="1236"/>
      <c r="AU401" s="1188">
        <f>I401</f>
        <v>19360</v>
      </c>
      <c r="AV401" s="1250"/>
      <c r="AW401" s="1250"/>
      <c r="AX401" s="1188"/>
      <c r="AY401" s="1188"/>
      <c r="AZ401" s="1188"/>
      <c r="BA401" s="1188"/>
      <c r="BB401" s="1188"/>
      <c r="BC401" s="1188"/>
      <c r="BD401" s="1188"/>
      <c r="BE401" s="1188"/>
      <c r="BF401" s="1188"/>
      <c r="BG401" s="1188"/>
      <c r="BH401" s="1188"/>
      <c r="BI401" s="1188"/>
      <c r="BJ401" s="1188"/>
      <c r="BK401" s="1188"/>
      <c r="BL401" s="1188"/>
      <c r="BM401" s="1188"/>
      <c r="BN401" s="1188"/>
      <c r="BO401" s="1240"/>
      <c r="BP401" s="1240"/>
      <c r="BQ401" s="1188"/>
      <c r="BR401" s="1236">
        <f>I401/16</f>
        <v>1210</v>
      </c>
      <c r="BS401" s="1236"/>
      <c r="BT401" s="1188"/>
      <c r="BU401" s="1188"/>
      <c r="BV401" s="1240"/>
      <c r="BW401" s="1188"/>
      <c r="BX401" s="1188"/>
      <c r="BY401" s="1188"/>
      <c r="BZ401" s="1188"/>
      <c r="CA401" s="1188"/>
      <c r="CB401" s="1188"/>
      <c r="CC401" s="1188"/>
      <c r="CD401" s="1188">
        <f t="shared" si="137"/>
        <v>1210</v>
      </c>
      <c r="CE401" s="1188">
        <f t="shared" si="114"/>
        <v>0</v>
      </c>
      <c r="CF401" s="1188">
        <f t="shared" si="138"/>
        <v>0</v>
      </c>
      <c r="CG401" s="1188">
        <f t="shared" si="139"/>
        <v>0</v>
      </c>
      <c r="CH401" s="1236"/>
      <c r="CI401" s="1236"/>
      <c r="CJ401" s="1236"/>
      <c r="CK401" s="1188"/>
      <c r="CL401" s="1188"/>
    </row>
    <row r="402" s="1168" customFormat="1" customHeight="1" spans="1:111">
      <c r="A402" s="1245">
        <v>46203</v>
      </c>
      <c r="B402" s="1247" t="s">
        <v>346</v>
      </c>
      <c r="C402" s="1234" t="s">
        <v>115</v>
      </c>
      <c r="D402" s="1268">
        <v>4500214401</v>
      </c>
      <c r="E402" s="1890" t="s">
        <v>1764</v>
      </c>
      <c r="F402" s="1188" t="s">
        <v>1765</v>
      </c>
      <c r="G402" s="1253" t="s">
        <v>380</v>
      </c>
      <c r="H402" s="1234" t="s">
        <v>381</v>
      </c>
      <c r="I402" s="1254">
        <v>35632</v>
      </c>
      <c r="J402" s="1234">
        <v>0</v>
      </c>
      <c r="K402" s="1234">
        <v>16</v>
      </c>
      <c r="L402" s="1246">
        <f t="shared" si="125"/>
        <v>2227</v>
      </c>
      <c r="M402" s="1255">
        <v>46216</v>
      </c>
      <c r="N402" s="1255">
        <v>46221</v>
      </c>
      <c r="O402" s="1225" t="s">
        <v>736</v>
      </c>
      <c r="P402" s="1233" t="s">
        <v>1641</v>
      </c>
      <c r="Q402" s="1255" t="s">
        <v>106</v>
      </c>
      <c r="R402" s="1234"/>
      <c r="S402" s="1234"/>
      <c r="T402" s="1233">
        <v>35632</v>
      </c>
      <c r="U402" s="1233">
        <f t="shared" si="121"/>
        <v>0</v>
      </c>
      <c r="V402" s="1234"/>
      <c r="W402" s="1238" t="s">
        <v>1572</v>
      </c>
      <c r="X402" s="1257" t="s">
        <v>95</v>
      </c>
      <c r="Y402" s="1257" t="s">
        <v>1642</v>
      </c>
      <c r="Z402" s="1247"/>
      <c r="AA402" s="1247"/>
      <c r="AB402" s="1247"/>
      <c r="AC402" s="1247" t="s">
        <v>1745</v>
      </c>
      <c r="AD402" s="1248" t="s">
        <v>354</v>
      </c>
      <c r="AE402" s="1247">
        <v>0.664</v>
      </c>
      <c r="AF402" s="1248">
        <f>AE402*I402</f>
        <v>23659.648</v>
      </c>
      <c r="AG402" s="1249" t="s">
        <v>1766</v>
      </c>
      <c r="AH402" s="1234" t="s">
        <v>380</v>
      </c>
      <c r="AI402" s="1234" t="s">
        <v>112</v>
      </c>
      <c r="AJ402" s="1234" t="s">
        <v>113</v>
      </c>
      <c r="AK402" s="1188">
        <f t="shared" si="141"/>
        <v>35632</v>
      </c>
      <c r="AL402" s="1188"/>
      <c r="AM402" s="1188"/>
      <c r="AN402" s="1188">
        <f>I402</f>
        <v>35632</v>
      </c>
      <c r="AO402" s="1188"/>
      <c r="AP402" s="1188"/>
      <c r="AQ402" s="1240"/>
      <c r="AR402" s="1188"/>
      <c r="AS402" s="1236"/>
      <c r="AT402" s="1236"/>
      <c r="AU402" s="1188">
        <f>I402</f>
        <v>35632</v>
      </c>
      <c r="AV402" s="1250"/>
      <c r="AW402" s="1250"/>
      <c r="AX402" s="1188"/>
      <c r="AY402" s="1188"/>
      <c r="AZ402" s="1188"/>
      <c r="BA402" s="1188"/>
      <c r="BB402" s="1188"/>
      <c r="BC402" s="1188"/>
      <c r="BD402" s="1188"/>
      <c r="BE402" s="1188"/>
      <c r="BF402" s="1188"/>
      <c r="BG402" s="1188"/>
      <c r="BH402" s="1188"/>
      <c r="BI402" s="1188"/>
      <c r="BJ402" s="1188"/>
      <c r="BK402" s="1188"/>
      <c r="BL402" s="1188"/>
      <c r="BM402" s="1188"/>
      <c r="BN402" s="1188"/>
      <c r="BO402" s="1240"/>
      <c r="BP402" s="1240"/>
      <c r="BQ402" s="1188"/>
      <c r="BR402" s="1236">
        <f>I402/16</f>
        <v>2227</v>
      </c>
      <c r="BS402" s="1236"/>
      <c r="BT402" s="1188"/>
      <c r="BU402" s="1188"/>
      <c r="BV402" s="1240"/>
      <c r="BW402" s="1188"/>
      <c r="BX402" s="1188"/>
      <c r="BY402" s="1188"/>
      <c r="BZ402" s="1188"/>
      <c r="CA402" s="1188"/>
      <c r="CB402" s="1188"/>
      <c r="CC402" s="1188"/>
      <c r="CD402" s="1188">
        <f t="shared" si="137"/>
        <v>2227</v>
      </c>
      <c r="CE402" s="1188">
        <f t="shared" si="114"/>
        <v>0</v>
      </c>
      <c r="CF402" s="1188">
        <f t="shared" si="138"/>
        <v>0</v>
      </c>
      <c r="CG402" s="1188">
        <f t="shared" si="139"/>
        <v>0</v>
      </c>
      <c r="CH402" s="1236"/>
      <c r="CI402" s="1236"/>
      <c r="CJ402" s="1236"/>
      <c r="CK402" s="1188"/>
      <c r="CL402" s="1188"/>
    </row>
    <row r="403" s="1168" customFormat="1" customHeight="1" spans="1:111">
      <c r="A403" s="1245">
        <v>46203</v>
      </c>
      <c r="B403" s="1247" t="s">
        <v>346</v>
      </c>
      <c r="C403" s="1234" t="s">
        <v>115</v>
      </c>
      <c r="D403" s="1268">
        <v>4500214401</v>
      </c>
      <c r="E403" s="1890" t="s">
        <v>1767</v>
      </c>
      <c r="F403" s="1188" t="s">
        <v>1768</v>
      </c>
      <c r="G403" s="1253" t="s">
        <v>380</v>
      </c>
      <c r="H403" s="1234" t="s">
        <v>381</v>
      </c>
      <c r="I403" s="1254">
        <v>24656</v>
      </c>
      <c r="J403" s="1234">
        <v>0</v>
      </c>
      <c r="K403" s="1234">
        <v>16</v>
      </c>
      <c r="L403" s="1246">
        <f t="shared" si="125"/>
        <v>1541</v>
      </c>
      <c r="M403" s="1255">
        <v>46216</v>
      </c>
      <c r="N403" s="1255">
        <v>46221</v>
      </c>
      <c r="O403" s="1255" t="s">
        <v>736</v>
      </c>
      <c r="P403" s="1233" t="s">
        <v>1641</v>
      </c>
      <c r="Q403" s="1255" t="s">
        <v>106</v>
      </c>
      <c r="R403" s="1234"/>
      <c r="S403" s="1234"/>
      <c r="T403" s="1233">
        <f>11520+13136</f>
        <v>24656</v>
      </c>
      <c r="U403" s="1233">
        <f t="shared" si="121"/>
        <v>0</v>
      </c>
      <c r="V403" s="1234"/>
      <c r="W403" s="1238" t="s">
        <v>1572</v>
      </c>
      <c r="X403" s="1227" t="s">
        <v>95</v>
      </c>
      <c r="Y403" s="1257" t="s">
        <v>1642</v>
      </c>
      <c r="Z403" s="1247"/>
      <c r="AA403" s="1247"/>
      <c r="AB403" s="1247"/>
      <c r="AC403" s="1247" t="s">
        <v>1745</v>
      </c>
      <c r="AD403" s="1248" t="s">
        <v>354</v>
      </c>
      <c r="AE403" s="1247">
        <v>0.664</v>
      </c>
      <c r="AF403" s="1248">
        <f>AE403*I403</f>
        <v>16371.584</v>
      </c>
      <c r="AG403" s="1249" t="s">
        <v>1769</v>
      </c>
      <c r="AH403" s="1234" t="s">
        <v>380</v>
      </c>
      <c r="AI403" s="1234" t="s">
        <v>112</v>
      </c>
      <c r="AJ403" s="1234" t="s">
        <v>113</v>
      </c>
      <c r="AK403" s="1188">
        <f t="shared" si="141"/>
        <v>24656</v>
      </c>
      <c r="AL403" s="1188"/>
      <c r="AM403" s="1188"/>
      <c r="AN403" s="1188">
        <f>I403</f>
        <v>24656</v>
      </c>
      <c r="AO403" s="1188"/>
      <c r="AP403" s="1188"/>
      <c r="AQ403" s="1240"/>
      <c r="AR403" s="1188"/>
      <c r="AS403" s="1236"/>
      <c r="AT403" s="1236"/>
      <c r="AU403" s="1188">
        <f>I403</f>
        <v>24656</v>
      </c>
      <c r="AV403" s="1250"/>
      <c r="AW403" s="1250"/>
      <c r="AX403" s="1188"/>
      <c r="AY403" s="1188"/>
      <c r="AZ403" s="1188"/>
      <c r="BA403" s="1188"/>
      <c r="BB403" s="1188"/>
      <c r="BC403" s="1188"/>
      <c r="BD403" s="1188"/>
      <c r="BE403" s="1188"/>
      <c r="BF403" s="1188"/>
      <c r="BG403" s="1188"/>
      <c r="BH403" s="1188"/>
      <c r="BI403" s="1188"/>
      <c r="BJ403" s="1188"/>
      <c r="BK403" s="1188"/>
      <c r="BL403" s="1188"/>
      <c r="BM403" s="1188"/>
      <c r="BN403" s="1188"/>
      <c r="BO403" s="1240"/>
      <c r="BP403" s="1240"/>
      <c r="BQ403" s="1188"/>
      <c r="BR403" s="1236">
        <f>I403/16</f>
        <v>1541</v>
      </c>
      <c r="BS403" s="1188"/>
      <c r="BT403" s="1188"/>
      <c r="BU403" s="1188"/>
      <c r="BV403" s="1240"/>
      <c r="BW403" s="1188"/>
      <c r="BX403" s="1188"/>
      <c r="BY403" s="1188"/>
      <c r="BZ403" s="1188"/>
      <c r="CA403" s="1188"/>
      <c r="CB403" s="1188"/>
      <c r="CC403" s="1188"/>
      <c r="CD403" s="1188">
        <f t="shared" si="137"/>
        <v>1541</v>
      </c>
      <c r="CE403" s="1188">
        <f t="shared" si="114"/>
        <v>0</v>
      </c>
      <c r="CF403" s="1188">
        <f t="shared" si="138"/>
        <v>0</v>
      </c>
      <c r="CG403" s="1188">
        <f t="shared" si="139"/>
        <v>0</v>
      </c>
      <c r="CH403" s="1236"/>
      <c r="CI403" s="1236"/>
      <c r="CJ403" s="1236"/>
      <c r="CK403" s="1188"/>
      <c r="CL403" s="1188"/>
    </row>
    <row r="404" s="1168" customFormat="1" customHeight="1" spans="1:111">
      <c r="A404" s="1245">
        <v>46166</v>
      </c>
      <c r="B404" s="1220" t="s">
        <v>1295</v>
      </c>
      <c r="C404" s="1221" t="s">
        <v>201</v>
      </c>
      <c r="D404" s="1303">
        <v>4500208811</v>
      </c>
      <c r="E404" s="1221" t="s">
        <v>1770</v>
      </c>
      <c r="F404" s="1222" t="s">
        <v>1771</v>
      </c>
      <c r="G404" s="1223" t="s">
        <v>289</v>
      </c>
      <c r="H404" s="1221" t="s">
        <v>194</v>
      </c>
      <c r="I404" s="1252">
        <v>1144</v>
      </c>
      <c r="J404" s="1221">
        <v>0</v>
      </c>
      <c r="K404" s="1221">
        <v>13</v>
      </c>
      <c r="L404" s="1234">
        <f t="shared" si="125"/>
        <v>88</v>
      </c>
      <c r="M404" s="1225">
        <v>46216</v>
      </c>
      <c r="N404" s="1338">
        <v>46227</v>
      </c>
      <c r="O404" s="1338" t="s">
        <v>1772</v>
      </c>
      <c r="P404" s="1233"/>
      <c r="Q404" s="1233" t="s">
        <v>106</v>
      </c>
      <c r="R404" s="1234" t="s">
        <v>1773</v>
      </c>
      <c r="S404" s="1234"/>
      <c r="T404" s="1233">
        <v>1144</v>
      </c>
      <c r="U404" s="1233">
        <f t="shared" si="121"/>
        <v>0</v>
      </c>
      <c r="V404" s="1234"/>
      <c r="W404" s="1238" t="s">
        <v>1774</v>
      </c>
      <c r="X404" s="1227" t="s">
        <v>95</v>
      </c>
      <c r="Y404" s="1227" t="s">
        <v>1775</v>
      </c>
      <c r="Z404" s="1247"/>
      <c r="AA404" s="1247"/>
      <c r="AB404" s="1247"/>
      <c r="AC404" s="1227" t="s">
        <v>1776</v>
      </c>
      <c r="AD404" s="1225" t="s">
        <v>204</v>
      </c>
      <c r="AE404" s="1332">
        <v>1.0949</v>
      </c>
      <c r="AF404" s="1188">
        <f>I404*AE404</f>
        <v>1252.5656</v>
      </c>
      <c r="AG404" s="1258"/>
      <c r="AH404" s="1234" t="s">
        <v>199</v>
      </c>
      <c r="AI404" s="1234" t="s">
        <v>112</v>
      </c>
      <c r="AJ404" s="1234" t="s">
        <v>113</v>
      </c>
      <c r="AK404" s="1188">
        <f t="shared" si="141"/>
        <v>1144</v>
      </c>
      <c r="AL404" s="1188"/>
      <c r="AM404" s="1188"/>
      <c r="AN404" s="1188"/>
      <c r="AO404" s="1188"/>
      <c r="AP404" s="1188">
        <f>I404</f>
        <v>1144</v>
      </c>
      <c r="AQ404" s="1240"/>
      <c r="AR404" s="1188"/>
      <c r="AS404" s="1236"/>
      <c r="AT404" s="1236"/>
      <c r="AU404" s="1188">
        <f>I404</f>
        <v>1144</v>
      </c>
      <c r="AV404" s="1250">
        <f>I404*0.06*2</f>
        <v>137.28</v>
      </c>
      <c r="AW404" s="1250"/>
      <c r="AX404" s="1188"/>
      <c r="AY404" s="1188"/>
      <c r="AZ404" s="1188"/>
      <c r="BA404" s="1188"/>
      <c r="BB404" s="1188"/>
      <c r="BC404" s="1188"/>
      <c r="BD404" s="1188"/>
      <c r="BE404" s="1188"/>
      <c r="BF404" s="1188"/>
      <c r="BG404" s="1188"/>
      <c r="BH404" s="1188"/>
      <c r="BI404" s="1188"/>
      <c r="BJ404" s="1188"/>
      <c r="BK404" s="1188"/>
      <c r="BL404" s="1188">
        <f>I404/13</f>
        <v>88</v>
      </c>
      <c r="BM404" s="1188"/>
      <c r="BN404" s="1188"/>
      <c r="BO404" s="1240"/>
      <c r="BP404" s="1240"/>
      <c r="BQ404" s="1188"/>
      <c r="BR404" s="1236"/>
      <c r="BS404" s="1236"/>
      <c r="BT404" s="1188"/>
      <c r="BU404" s="1188"/>
      <c r="BV404" s="1240"/>
      <c r="BW404" s="1188"/>
      <c r="BX404" s="1188"/>
      <c r="BY404" s="1188"/>
      <c r="BZ404" s="1188"/>
      <c r="CA404" s="1188"/>
      <c r="CB404" s="1188"/>
      <c r="CC404" s="1188"/>
      <c r="CD404" s="1188">
        <f t="shared" si="137"/>
        <v>0</v>
      </c>
      <c r="CE404" s="1188">
        <f t="shared" ref="CE404:CE409" si="142">BU404</f>
        <v>0</v>
      </c>
      <c r="CF404" s="1188">
        <f t="shared" si="138"/>
        <v>0</v>
      </c>
      <c r="CG404" s="1188">
        <f t="shared" si="139"/>
        <v>0</v>
      </c>
      <c r="CH404" s="1236"/>
      <c r="CI404" s="1236"/>
      <c r="CJ404" s="1236"/>
      <c r="CK404" s="1188"/>
      <c r="CL404" s="1188"/>
    </row>
    <row r="405" s="1168" customFormat="1" customHeight="1" spans="1:111">
      <c r="A405" s="1219">
        <v>46133</v>
      </c>
      <c r="B405" s="1220" t="s">
        <v>1777</v>
      </c>
      <c r="C405" s="1221" t="s">
        <v>135</v>
      </c>
      <c r="D405" s="1303">
        <v>4500202966</v>
      </c>
      <c r="E405" s="1221" t="s">
        <v>1778</v>
      </c>
      <c r="F405" s="1222" t="s">
        <v>1779</v>
      </c>
      <c r="G405" s="1223" t="s">
        <v>137</v>
      </c>
      <c r="H405" s="1221" t="s">
        <v>138</v>
      </c>
      <c r="I405" s="1252">
        <v>3700</v>
      </c>
      <c r="J405" s="1221">
        <v>0</v>
      </c>
      <c r="K405" s="1221">
        <v>50</v>
      </c>
      <c r="L405" s="1221">
        <f t="shared" si="125"/>
        <v>74</v>
      </c>
      <c r="M405" s="1225">
        <v>46216</v>
      </c>
      <c r="N405" s="1338">
        <v>46227</v>
      </c>
      <c r="O405" s="1338" t="s">
        <v>1772</v>
      </c>
      <c r="P405" s="1226"/>
      <c r="Q405" s="1233" t="s">
        <v>106</v>
      </c>
      <c r="R405" s="1221"/>
      <c r="S405" s="1221"/>
      <c r="T405" s="1226">
        <v>3700</v>
      </c>
      <c r="U405" s="1233">
        <f t="shared" si="121"/>
        <v>0</v>
      </c>
      <c r="V405" s="1221"/>
      <c r="W405" s="1238">
        <v>46171</v>
      </c>
      <c r="X405" s="1227" t="s">
        <v>95</v>
      </c>
      <c r="Y405" s="1227" t="s">
        <v>95</v>
      </c>
      <c r="Z405" s="1222" t="s">
        <v>140</v>
      </c>
      <c r="AA405" s="1222"/>
      <c r="AB405" s="1220"/>
      <c r="AC405" s="1220" t="s">
        <v>1780</v>
      </c>
      <c r="AD405" s="1225" t="s">
        <v>1781</v>
      </c>
      <c r="AE405" s="1222">
        <v>1.007</v>
      </c>
      <c r="AF405" s="1222">
        <f>I405*AE405</f>
        <v>3725.9</v>
      </c>
      <c r="AG405" s="1230"/>
      <c r="AH405" s="1234" t="s">
        <v>1515</v>
      </c>
      <c r="AI405" s="1221" t="s">
        <v>112</v>
      </c>
      <c r="AJ405" s="1234" t="s">
        <v>113</v>
      </c>
      <c r="AK405" s="1222">
        <f t="shared" si="141"/>
        <v>3700</v>
      </c>
      <c r="AL405" s="1222"/>
      <c r="AM405" s="1222"/>
      <c r="AN405" s="1222">
        <f>I405</f>
        <v>3700</v>
      </c>
      <c r="AO405" s="1222"/>
      <c r="AP405" s="1222"/>
      <c r="AQ405" s="1242"/>
      <c r="AR405" s="1222"/>
      <c r="AS405" s="1232"/>
      <c r="AT405" s="1232"/>
      <c r="AU405" s="1222"/>
      <c r="AV405" s="1241">
        <f>I405*0.06*2</f>
        <v>444</v>
      </c>
      <c r="AW405" s="1241">
        <f>I405</f>
        <v>3700</v>
      </c>
      <c r="AX405" s="1222"/>
      <c r="AY405" s="1222"/>
      <c r="AZ405" s="1222"/>
      <c r="BA405" s="1222"/>
      <c r="BB405" s="1222"/>
      <c r="BC405" s="1222"/>
      <c r="BD405" s="1222"/>
      <c r="BE405" s="1222"/>
      <c r="BF405" s="1222"/>
      <c r="BG405" s="1222"/>
      <c r="BH405" s="1222"/>
      <c r="BI405" s="1222"/>
      <c r="BJ405" s="1222"/>
      <c r="BK405" s="1222"/>
      <c r="BL405" s="1222"/>
      <c r="BM405" s="1222"/>
      <c r="BN405" s="1222">
        <f>I405/25</f>
        <v>148</v>
      </c>
      <c r="BO405" s="1240"/>
      <c r="BP405" s="1242"/>
      <c r="BQ405" s="1222"/>
      <c r="BR405" s="1232"/>
      <c r="BS405" s="1232"/>
      <c r="BT405" s="1222"/>
      <c r="BU405" s="1222"/>
      <c r="BV405" s="1242"/>
      <c r="BW405" s="1222"/>
      <c r="BX405" s="1222"/>
      <c r="BY405" s="1222"/>
      <c r="BZ405" s="1222"/>
      <c r="CA405" s="1222"/>
      <c r="CB405" s="1222"/>
      <c r="CC405" s="1222"/>
      <c r="CD405" s="1188">
        <f t="shared" si="137"/>
        <v>148</v>
      </c>
      <c r="CE405" s="1188">
        <f t="shared" si="142"/>
        <v>0</v>
      </c>
      <c r="CF405" s="1188">
        <f t="shared" si="138"/>
        <v>0</v>
      </c>
      <c r="CG405" s="1188">
        <f t="shared" si="139"/>
        <v>0</v>
      </c>
      <c r="CH405" s="1232"/>
      <c r="CI405" s="1232"/>
      <c r="CJ405" s="1232"/>
      <c r="CK405" s="1222"/>
      <c r="CL405" s="1222"/>
    </row>
    <row r="406" s="1168" customFormat="1" customHeight="1" spans="1:111">
      <c r="A406" s="1245">
        <v>46128</v>
      </c>
      <c r="B406" s="1247" t="s">
        <v>1782</v>
      </c>
      <c r="C406" s="1234" t="s">
        <v>115</v>
      </c>
      <c r="D406" s="1188">
        <v>4500202450</v>
      </c>
      <c r="E406" s="1234">
        <v>2165957</v>
      </c>
      <c r="F406" s="1188" t="s">
        <v>1783</v>
      </c>
      <c r="G406" s="1253" t="s">
        <v>389</v>
      </c>
      <c r="H406" s="1234" t="s">
        <v>390</v>
      </c>
      <c r="I406" s="1254">
        <v>1932</v>
      </c>
      <c r="J406" s="1234">
        <v>0</v>
      </c>
      <c r="K406" s="1234">
        <v>12</v>
      </c>
      <c r="L406" s="1246">
        <f t="shared" si="125"/>
        <v>161</v>
      </c>
      <c r="M406" s="1255">
        <v>46216</v>
      </c>
      <c r="N406" s="1320">
        <v>46227</v>
      </c>
      <c r="O406" s="1320" t="s">
        <v>1772</v>
      </c>
      <c r="P406" s="1233"/>
      <c r="Q406" s="1233" t="s">
        <v>106</v>
      </c>
      <c r="R406" s="1234"/>
      <c r="S406" s="1234"/>
      <c r="T406" s="1233">
        <v>1932</v>
      </c>
      <c r="U406" s="1233">
        <f t="shared" si="121"/>
        <v>0</v>
      </c>
      <c r="V406" s="1234"/>
      <c r="W406" s="1256">
        <v>46128</v>
      </c>
      <c r="X406" s="1257" t="s">
        <v>107</v>
      </c>
      <c r="Y406" s="1257" t="s">
        <v>1784</v>
      </c>
      <c r="Z406" s="1247"/>
      <c r="AA406" s="1247"/>
      <c r="AB406" s="1247"/>
      <c r="AC406" s="1247" t="s">
        <v>1785</v>
      </c>
      <c r="AD406" s="1255" t="s">
        <v>421</v>
      </c>
      <c r="AE406" s="1362">
        <v>1.5692</v>
      </c>
      <c r="AF406" s="1248">
        <f>I406*AE406</f>
        <v>3031.6944</v>
      </c>
      <c r="AG406" s="1249" t="s">
        <v>1786</v>
      </c>
      <c r="AH406" s="1234" t="s">
        <v>389</v>
      </c>
      <c r="AI406" s="1234" t="s">
        <v>112</v>
      </c>
      <c r="AJ406" s="1234" t="s">
        <v>113</v>
      </c>
      <c r="AK406" s="1188">
        <f>I406*2</f>
        <v>3864</v>
      </c>
      <c r="AL406" s="1188"/>
      <c r="AM406" s="1188"/>
      <c r="AN406" s="1188">
        <f>I406*2</f>
        <v>3864</v>
      </c>
      <c r="AO406" s="1188"/>
      <c r="AP406" s="1188"/>
      <c r="AQ406" s="1240"/>
      <c r="AR406" s="1188"/>
      <c r="AS406" s="1236"/>
      <c r="AT406" s="1236"/>
      <c r="AU406" s="1188">
        <f>I406*2</f>
        <v>3864</v>
      </c>
      <c r="AV406" s="1250">
        <f>I406*0.06*2</f>
        <v>231.84</v>
      </c>
      <c r="AW406" s="1250"/>
      <c r="AX406" s="1188"/>
      <c r="AY406" s="1188"/>
      <c r="AZ406" s="1188"/>
      <c r="BA406" s="1188"/>
      <c r="BB406" s="1188"/>
      <c r="BC406" s="1188"/>
      <c r="BD406" s="1188"/>
      <c r="BE406" s="1188"/>
      <c r="BF406" s="1188"/>
      <c r="BG406" s="1188"/>
      <c r="BH406" s="1188"/>
      <c r="BI406" s="1188"/>
      <c r="BJ406" s="1188"/>
      <c r="BK406" s="1188"/>
      <c r="BL406" s="1188"/>
      <c r="BM406" s="1188"/>
      <c r="BN406" s="1188"/>
      <c r="BO406" s="1240"/>
      <c r="BP406" s="1240"/>
      <c r="BQ406" s="1188"/>
      <c r="BR406" s="1236"/>
      <c r="BS406" s="1236"/>
      <c r="BT406" s="1188"/>
      <c r="BU406" s="1188"/>
      <c r="BV406" s="1240"/>
      <c r="BW406" s="1188"/>
      <c r="BX406" s="1188"/>
      <c r="BY406" s="1188"/>
      <c r="BZ406" s="1188"/>
      <c r="CA406" s="1188"/>
      <c r="CB406" s="1188"/>
      <c r="CC406" s="1188"/>
      <c r="CD406" s="1188">
        <f t="shared" si="137"/>
        <v>0</v>
      </c>
      <c r="CE406" s="1188">
        <f t="shared" si="142"/>
        <v>0</v>
      </c>
      <c r="CF406" s="1188">
        <f t="shared" si="138"/>
        <v>0</v>
      </c>
      <c r="CG406" s="1188">
        <f t="shared" si="139"/>
        <v>0</v>
      </c>
      <c r="CH406" s="1236"/>
      <c r="CI406" s="1236"/>
      <c r="CJ406" s="1236">
        <f>I406</f>
        <v>1932</v>
      </c>
      <c r="CK406" s="1188">
        <f>I406</f>
        <v>1932</v>
      </c>
      <c r="CL406" s="1188">
        <f>I406</f>
        <v>1932</v>
      </c>
    </row>
    <row r="407" s="1168" customFormat="1" customHeight="1" spans="1:111">
      <c r="A407" s="1245">
        <v>46128</v>
      </c>
      <c r="B407" s="1247" t="s">
        <v>1782</v>
      </c>
      <c r="C407" s="1234" t="s">
        <v>115</v>
      </c>
      <c r="D407" s="1188">
        <v>4500202450</v>
      </c>
      <c r="E407" s="1234">
        <v>2165958</v>
      </c>
      <c r="F407" s="1188" t="s">
        <v>1787</v>
      </c>
      <c r="G407" s="1253" t="s">
        <v>389</v>
      </c>
      <c r="H407" s="1234" t="s">
        <v>390</v>
      </c>
      <c r="I407" s="1254">
        <v>828</v>
      </c>
      <c r="J407" s="1234">
        <v>0</v>
      </c>
      <c r="K407" s="1234">
        <v>12</v>
      </c>
      <c r="L407" s="1246">
        <f t="shared" si="125"/>
        <v>69</v>
      </c>
      <c r="M407" s="1255">
        <v>46216</v>
      </c>
      <c r="N407" s="1320">
        <v>46227</v>
      </c>
      <c r="O407" s="1320" t="s">
        <v>1772</v>
      </c>
      <c r="P407" s="1233"/>
      <c r="Q407" s="1233" t="s">
        <v>106</v>
      </c>
      <c r="R407" s="1234"/>
      <c r="S407" s="1234"/>
      <c r="T407" s="1233">
        <v>828</v>
      </c>
      <c r="U407" s="1233">
        <f t="shared" si="121"/>
        <v>0</v>
      </c>
      <c r="V407" s="1234"/>
      <c r="W407" s="1256">
        <v>46128</v>
      </c>
      <c r="X407" s="1257" t="s">
        <v>107</v>
      </c>
      <c r="Y407" s="1257" t="s">
        <v>1784</v>
      </c>
      <c r="Z407" s="1247"/>
      <c r="AA407" s="1247"/>
      <c r="AB407" s="1247"/>
      <c r="AC407" s="1247" t="s">
        <v>1788</v>
      </c>
      <c r="AD407" s="1255" t="s">
        <v>421</v>
      </c>
      <c r="AE407" s="1362">
        <v>1.5692</v>
      </c>
      <c r="AF407" s="1248">
        <f>I407*AE407</f>
        <v>1299.2976</v>
      </c>
      <c r="AG407" s="1249" t="s">
        <v>1789</v>
      </c>
      <c r="AH407" s="1234" t="s">
        <v>389</v>
      </c>
      <c r="AI407" s="1234" t="s">
        <v>112</v>
      </c>
      <c r="AJ407" s="1234" t="s">
        <v>113</v>
      </c>
      <c r="AK407" s="1188">
        <f>I407*2</f>
        <v>1656</v>
      </c>
      <c r="AL407" s="1188"/>
      <c r="AM407" s="1188"/>
      <c r="AN407" s="1188">
        <f>I407*2</f>
        <v>1656</v>
      </c>
      <c r="AO407" s="1188"/>
      <c r="AP407" s="1188"/>
      <c r="AQ407" s="1240"/>
      <c r="AR407" s="1188"/>
      <c r="AS407" s="1236"/>
      <c r="AT407" s="1236"/>
      <c r="AU407" s="1188">
        <f>I407*2</f>
        <v>1656</v>
      </c>
      <c r="AV407" s="1250">
        <f>I407*0.06*2</f>
        <v>99.36</v>
      </c>
      <c r="AW407" s="1250"/>
      <c r="AX407" s="1188"/>
      <c r="AY407" s="1188"/>
      <c r="AZ407" s="1188"/>
      <c r="BA407" s="1188"/>
      <c r="BB407" s="1188"/>
      <c r="BC407" s="1188"/>
      <c r="BD407" s="1188"/>
      <c r="BE407" s="1188"/>
      <c r="BF407" s="1188"/>
      <c r="BG407" s="1188"/>
      <c r="BH407" s="1188"/>
      <c r="BI407" s="1188"/>
      <c r="BJ407" s="1188"/>
      <c r="BK407" s="1188"/>
      <c r="BL407" s="1188"/>
      <c r="BM407" s="1188"/>
      <c r="BN407" s="1188"/>
      <c r="BO407" s="1240"/>
      <c r="BP407" s="1240"/>
      <c r="BQ407" s="1188"/>
      <c r="BR407" s="1236"/>
      <c r="BS407" s="1236"/>
      <c r="BT407" s="1188"/>
      <c r="BU407" s="1188"/>
      <c r="BV407" s="1240"/>
      <c r="BW407" s="1188"/>
      <c r="BX407" s="1188"/>
      <c r="BY407" s="1188"/>
      <c r="BZ407" s="1188"/>
      <c r="CA407" s="1188"/>
      <c r="CB407" s="1188"/>
      <c r="CC407" s="1188"/>
      <c r="CD407" s="1188">
        <f t="shared" si="137"/>
        <v>0</v>
      </c>
      <c r="CE407" s="1188">
        <f t="shared" si="142"/>
        <v>0</v>
      </c>
      <c r="CF407" s="1188">
        <f t="shared" si="138"/>
        <v>0</v>
      </c>
      <c r="CG407" s="1188">
        <f t="shared" si="139"/>
        <v>0</v>
      </c>
      <c r="CH407" s="1236"/>
      <c r="CI407" s="1236"/>
      <c r="CJ407" s="1236">
        <f>I407</f>
        <v>828</v>
      </c>
      <c r="CK407" s="1188">
        <f>I407</f>
        <v>828</v>
      </c>
      <c r="CL407" s="1188">
        <f>I407</f>
        <v>828</v>
      </c>
    </row>
    <row r="408" s="1168" customFormat="1" ht="33.2" customHeight="1" spans="1:111">
      <c r="A408" s="1245">
        <v>46219</v>
      </c>
      <c r="B408" s="1247" t="s">
        <v>163</v>
      </c>
      <c r="C408" s="1234" t="s">
        <v>164</v>
      </c>
      <c r="D408" s="1188">
        <v>4500216772</v>
      </c>
      <c r="E408" s="1234">
        <v>4400585260</v>
      </c>
      <c r="F408" s="1188" t="s">
        <v>1790</v>
      </c>
      <c r="G408" s="1253" t="s">
        <v>270</v>
      </c>
      <c r="H408" s="1234" t="s">
        <v>104</v>
      </c>
      <c r="I408" s="1254">
        <v>8000</v>
      </c>
      <c r="J408" s="1234">
        <v>0</v>
      </c>
      <c r="K408" s="1234">
        <v>25</v>
      </c>
      <c r="L408" s="1246">
        <f t="shared" si="125"/>
        <v>320</v>
      </c>
      <c r="M408" s="1255">
        <v>46216</v>
      </c>
      <c r="N408" s="1255">
        <v>46212</v>
      </c>
      <c r="O408" s="1255"/>
      <c r="P408" s="1233" t="s">
        <v>1791</v>
      </c>
      <c r="Q408" s="1233" t="s">
        <v>106</v>
      </c>
      <c r="R408" s="1234" t="s">
        <v>1792</v>
      </c>
      <c r="S408" s="1234"/>
      <c r="T408" s="1233">
        <v>8000</v>
      </c>
      <c r="U408" s="1233">
        <f t="shared" ref="U408:U420" si="143">T408-I408</f>
        <v>0</v>
      </c>
      <c r="V408" s="1234"/>
      <c r="W408" s="1256" t="s">
        <v>1793</v>
      </c>
      <c r="X408" s="1257" t="s">
        <v>95</v>
      </c>
      <c r="Y408" s="1257" t="s">
        <v>1794</v>
      </c>
      <c r="Z408" s="1247" t="s">
        <v>140</v>
      </c>
      <c r="AA408" s="1247"/>
      <c r="AB408" s="1247" t="s">
        <v>1795</v>
      </c>
      <c r="AC408" s="1247" t="s">
        <v>1796</v>
      </c>
      <c r="AD408" s="1255" t="s">
        <v>142</v>
      </c>
      <c r="AE408" s="1188">
        <v>1.1413</v>
      </c>
      <c r="AF408" s="1248">
        <f>I408*AE408</f>
        <v>9130.4</v>
      </c>
      <c r="AG408" s="1258"/>
      <c r="AH408" s="1234" t="s">
        <v>137</v>
      </c>
      <c r="AI408" s="1234" t="s">
        <v>112</v>
      </c>
      <c r="AJ408" s="1234" t="s">
        <v>113</v>
      </c>
      <c r="AK408" s="1188">
        <f>I408</f>
        <v>8000</v>
      </c>
      <c r="AL408" s="1188"/>
      <c r="AM408" s="1188"/>
      <c r="AN408" s="1188"/>
      <c r="AO408" s="1188"/>
      <c r="AP408" s="1188"/>
      <c r="AQ408" s="1240"/>
      <c r="AR408" s="1188"/>
      <c r="AS408" s="1236"/>
      <c r="AT408" s="1236"/>
      <c r="AU408" s="1188"/>
      <c r="AV408" s="1250">
        <f>I408*0.06</f>
        <v>480</v>
      </c>
      <c r="AW408" s="1250"/>
      <c r="AX408" s="1188"/>
      <c r="AY408" s="1188"/>
      <c r="AZ408" s="1188"/>
      <c r="BA408" s="1188"/>
      <c r="BB408" s="1188"/>
      <c r="BC408" s="1188"/>
      <c r="BD408" s="1188"/>
      <c r="BE408" s="1188"/>
      <c r="BF408" s="1188"/>
      <c r="BG408" s="1188">
        <f>I408</f>
        <v>8000</v>
      </c>
      <c r="BH408" s="1188">
        <f>I408</f>
        <v>8000</v>
      </c>
      <c r="BI408" s="1188"/>
      <c r="BJ408" s="1188"/>
      <c r="BK408" s="1188"/>
      <c r="BL408" s="1188"/>
      <c r="BM408" s="1188"/>
      <c r="BN408" s="1188"/>
      <c r="BO408" s="1240">
        <f>I408/25</f>
        <v>320</v>
      </c>
      <c r="BP408" s="1240"/>
      <c r="BQ408" s="1188"/>
      <c r="BR408" s="1236"/>
      <c r="BS408" s="1236"/>
      <c r="BT408" s="1188"/>
      <c r="BU408" s="1188"/>
      <c r="BV408" s="1240"/>
      <c r="BW408" s="1188"/>
      <c r="BX408" s="1188"/>
      <c r="BY408" s="1188"/>
      <c r="BZ408" s="1188"/>
      <c r="CA408" s="1188"/>
      <c r="CB408" s="1188"/>
      <c r="CC408" s="1188"/>
      <c r="CD408" s="1188">
        <f t="shared" si="137"/>
        <v>320</v>
      </c>
      <c r="CE408" s="1188">
        <f t="shared" si="142"/>
        <v>0</v>
      </c>
      <c r="CF408" s="1188">
        <f t="shared" si="138"/>
        <v>0</v>
      </c>
      <c r="CG408" s="1188">
        <f t="shared" si="139"/>
        <v>0</v>
      </c>
      <c r="CH408" s="1236"/>
      <c r="CI408" s="1236"/>
      <c r="CJ408" s="1236"/>
      <c r="CK408" s="1188"/>
      <c r="CL408" s="1188"/>
      <c r="CM408" s="1169"/>
      <c r="CN408" s="1169"/>
      <c r="CO408" s="1169"/>
      <c r="CP408" s="1169"/>
      <c r="CQ408" s="1169"/>
      <c r="CR408" s="1169"/>
      <c r="CS408" s="1169"/>
      <c r="CT408" s="1169"/>
      <c r="CU408" s="1169"/>
      <c r="CV408" s="1169"/>
      <c r="CW408" s="1169"/>
      <c r="CX408" s="1169"/>
      <c r="CY408" s="1169"/>
      <c r="CZ408" s="1169"/>
      <c r="DA408" s="1169"/>
      <c r="DB408" s="1169"/>
      <c r="DC408" s="1169"/>
      <c r="DD408" s="1169"/>
      <c r="DE408" s="1169"/>
      <c r="DF408" s="1169"/>
      <c r="DG408" s="1169"/>
    </row>
    <row r="409" s="1168" customFormat="1" customHeight="1" spans="1:111">
      <c r="A409" s="1245">
        <v>46182</v>
      </c>
      <c r="B409" s="1247" t="s">
        <v>1797</v>
      </c>
      <c r="C409" s="1234" t="s">
        <v>319</v>
      </c>
      <c r="D409" s="1188">
        <v>4500210152</v>
      </c>
      <c r="E409" s="1234" t="s">
        <v>1798</v>
      </c>
      <c r="F409" s="1188" t="s">
        <v>1799</v>
      </c>
      <c r="G409" s="1253" t="s">
        <v>1800</v>
      </c>
      <c r="H409" s="1234" t="s">
        <v>1801</v>
      </c>
      <c r="I409" s="1254">
        <v>520</v>
      </c>
      <c r="J409" s="1234">
        <v>0</v>
      </c>
      <c r="K409" s="1234">
        <v>40</v>
      </c>
      <c r="L409" s="1246">
        <f t="shared" si="125"/>
        <v>13</v>
      </c>
      <c r="M409" s="1320">
        <v>46216</v>
      </c>
      <c r="N409" s="1320">
        <v>46230</v>
      </c>
      <c r="O409" s="1255"/>
      <c r="P409" s="1233" t="s">
        <v>1802</v>
      </c>
      <c r="Q409" s="1233"/>
      <c r="R409" s="1234"/>
      <c r="S409" s="1234"/>
      <c r="T409" s="1233"/>
      <c r="U409" s="1233">
        <f t="shared" si="143"/>
        <v>-520</v>
      </c>
      <c r="V409" s="1234"/>
      <c r="W409" s="1238">
        <v>46182</v>
      </c>
      <c r="X409" s="1227" t="s">
        <v>95</v>
      </c>
      <c r="Y409" s="1227">
        <v>46182</v>
      </c>
      <c r="Z409" s="1247" t="s">
        <v>1803</v>
      </c>
      <c r="AA409" s="1247"/>
      <c r="AB409" s="1247"/>
      <c r="AC409" s="1247" t="s">
        <v>1804</v>
      </c>
      <c r="AD409" s="1255" t="s">
        <v>1805</v>
      </c>
      <c r="AE409" s="1188">
        <v>1.177</v>
      </c>
      <c r="AF409" s="1248">
        <f>AE409*I409</f>
        <v>612.04</v>
      </c>
      <c r="AG409" s="1258"/>
      <c r="AH409" s="1234" t="s">
        <v>1800</v>
      </c>
      <c r="AI409" s="1234" t="s">
        <v>112</v>
      </c>
      <c r="AJ409" s="1234"/>
      <c r="AK409" s="1188">
        <f>I409*2</f>
        <v>1040</v>
      </c>
      <c r="AL409" s="1188"/>
      <c r="AM409" s="1188"/>
      <c r="AN409" s="1188">
        <f>I409</f>
        <v>520</v>
      </c>
      <c r="AO409" s="1188"/>
      <c r="AP409" s="1188"/>
      <c r="AQ409" s="1240"/>
      <c r="AR409" s="1188"/>
      <c r="AS409" s="1236"/>
      <c r="AT409" s="1236"/>
      <c r="AU409" s="1188">
        <f>I409</f>
        <v>520</v>
      </c>
      <c r="AV409" s="1250"/>
      <c r="AW409" s="1250"/>
      <c r="AX409" s="1188"/>
      <c r="AY409" s="1188"/>
      <c r="AZ409" s="1188"/>
      <c r="BA409" s="1188"/>
      <c r="BB409" s="1188"/>
      <c r="BC409" s="1188"/>
      <c r="BD409" s="1188"/>
      <c r="BE409" s="1188"/>
      <c r="BF409" s="1188"/>
      <c r="BG409" s="1188"/>
      <c r="BH409" s="1188"/>
      <c r="BI409" s="1188"/>
      <c r="BJ409" s="1188"/>
      <c r="BK409" s="1188"/>
      <c r="BL409" s="1188"/>
      <c r="BM409" s="1188"/>
      <c r="BN409" s="1188"/>
      <c r="BO409" s="1240"/>
      <c r="BP409" s="1240"/>
      <c r="BQ409" s="1188"/>
      <c r="BR409" s="1236"/>
      <c r="BS409" s="1236"/>
      <c r="BT409" s="1188"/>
      <c r="BU409" s="1188"/>
      <c r="BV409" s="1240"/>
      <c r="BW409" s="1188"/>
      <c r="BX409" s="1188"/>
      <c r="BY409" s="1188"/>
      <c r="BZ409" s="1188"/>
      <c r="CA409" s="1188"/>
      <c r="CB409" s="1188"/>
      <c r="CC409" s="1188"/>
      <c r="CD409" s="1188">
        <f t="shared" si="137"/>
        <v>0</v>
      </c>
      <c r="CE409" s="1188">
        <f t="shared" si="142"/>
        <v>0</v>
      </c>
      <c r="CF409" s="1188">
        <f t="shared" si="138"/>
        <v>0</v>
      </c>
      <c r="CG409" s="1188">
        <f t="shared" si="139"/>
        <v>0</v>
      </c>
      <c r="CH409" s="1236">
        <f>I409</f>
        <v>520</v>
      </c>
      <c r="CI409" s="1236">
        <f>I409/10</f>
        <v>52</v>
      </c>
      <c r="CJ409" s="1236"/>
      <c r="CK409" s="1188"/>
      <c r="CL409" s="1188"/>
    </row>
    <row r="410" s="1168" customFormat="1" customHeight="1" spans="1:111">
      <c r="A410" s="1245">
        <v>46206</v>
      </c>
      <c r="B410" s="1247"/>
      <c r="C410" s="1234" t="s">
        <v>597</v>
      </c>
      <c r="D410" s="1188" t="s">
        <v>1806</v>
      </c>
      <c r="E410" s="1234"/>
      <c r="F410" s="1188" t="s">
        <v>1807</v>
      </c>
      <c r="G410" s="1253" t="s">
        <v>1808</v>
      </c>
      <c r="H410" s="1234"/>
      <c r="I410" s="1254" t="s">
        <v>1809</v>
      </c>
      <c r="J410" s="1234">
        <v>0</v>
      </c>
      <c r="K410" s="1234">
        <v>1</v>
      </c>
      <c r="L410" s="1246">
        <v>47</v>
      </c>
      <c r="M410" s="1255">
        <v>46217</v>
      </c>
      <c r="N410" s="1255">
        <v>46213</v>
      </c>
      <c r="O410" s="1255"/>
      <c r="P410" s="1233"/>
      <c r="Q410" s="1255"/>
      <c r="R410" s="1234"/>
      <c r="S410" s="1234"/>
      <c r="T410" s="1233"/>
      <c r="U410" s="1233" t="e">
        <f t="shared" si="143"/>
        <v>#VALUE!</v>
      </c>
      <c r="V410" s="1234"/>
      <c r="W410" s="1238" t="s">
        <v>94</v>
      </c>
      <c r="X410" s="1227" t="s">
        <v>95</v>
      </c>
      <c r="Y410" s="1257" t="s">
        <v>95</v>
      </c>
      <c r="Z410" s="1247"/>
      <c r="AA410" s="1247"/>
      <c r="AB410" s="1247"/>
      <c r="AC410" s="1247" t="s">
        <v>1810</v>
      </c>
      <c r="AD410" s="1248" t="s">
        <v>272</v>
      </c>
      <c r="AE410" s="1247"/>
      <c r="AF410" s="1248"/>
      <c r="AG410" s="1258"/>
      <c r="AH410" s="1234" t="s">
        <v>99</v>
      </c>
      <c r="AI410" s="1234" t="s">
        <v>99</v>
      </c>
      <c r="AJ410" s="1234"/>
      <c r="AK410" s="1188"/>
      <c r="AL410" s="1188"/>
      <c r="AM410" s="1188"/>
      <c r="AN410" s="1188"/>
      <c r="AO410" s="1188"/>
      <c r="AP410" s="1188"/>
      <c r="AQ410" s="1240"/>
      <c r="AR410" s="1188"/>
      <c r="AS410" s="1236"/>
      <c r="AT410" s="1236"/>
      <c r="AU410" s="1188"/>
      <c r="AV410" s="1250"/>
      <c r="AW410" s="1250"/>
      <c r="AX410" s="1188"/>
      <c r="AY410" s="1188"/>
      <c r="AZ410" s="1188"/>
      <c r="BA410" s="1188"/>
      <c r="BB410" s="1188"/>
      <c r="BC410" s="1188"/>
      <c r="BD410" s="1188"/>
      <c r="BE410" s="1188"/>
      <c r="BF410" s="1188"/>
      <c r="BG410" s="1188"/>
      <c r="BH410" s="1188"/>
      <c r="BI410" s="1188"/>
      <c r="BJ410" s="1188"/>
      <c r="BK410" s="1188"/>
      <c r="BL410" s="1188"/>
      <c r="BM410" s="1188"/>
      <c r="BN410" s="1188"/>
      <c r="BO410" s="1240"/>
      <c r="BP410" s="1240"/>
      <c r="BQ410" s="1188"/>
      <c r="BR410" s="1236"/>
      <c r="BS410" s="1188"/>
      <c r="BT410" s="1188"/>
      <c r="BU410" s="1188"/>
      <c r="BV410" s="1240"/>
      <c r="BW410" s="1188"/>
      <c r="BX410" s="1188">
        <v>40</v>
      </c>
      <c r="BY410" s="1188"/>
      <c r="BZ410" s="1188"/>
      <c r="CA410" s="1188"/>
      <c r="CB410" s="1188"/>
      <c r="CC410" s="1188"/>
      <c r="CD410" s="1188"/>
      <c r="CE410" s="1188"/>
      <c r="CF410" s="1188"/>
      <c r="CG410" s="1188"/>
      <c r="CH410" s="1236"/>
      <c r="CI410" s="1236"/>
      <c r="CJ410" s="1236"/>
      <c r="CK410" s="1188"/>
      <c r="CL410" s="1188"/>
    </row>
    <row r="411" s="1168" customFormat="1" customHeight="1" spans="1:111">
      <c r="A411" s="1245">
        <v>46203</v>
      </c>
      <c r="B411" s="1220" t="s">
        <v>346</v>
      </c>
      <c r="C411" s="1221" t="s">
        <v>115</v>
      </c>
      <c r="D411" s="1303">
        <v>4500214402</v>
      </c>
      <c r="E411" s="1892" t="s">
        <v>1811</v>
      </c>
      <c r="F411" s="1222" t="s">
        <v>1812</v>
      </c>
      <c r="G411" s="1223" t="s">
        <v>380</v>
      </c>
      <c r="H411" s="1221" t="s">
        <v>381</v>
      </c>
      <c r="I411" s="1252">
        <v>23632</v>
      </c>
      <c r="J411" s="1221">
        <v>0</v>
      </c>
      <c r="K411" s="1221">
        <v>16</v>
      </c>
      <c r="L411" s="1246">
        <f t="shared" ref="L411:L420" si="144">I411/K411</f>
        <v>1477</v>
      </c>
      <c r="M411" s="1225">
        <v>46217</v>
      </c>
      <c r="N411" s="1225">
        <v>46220</v>
      </c>
      <c r="O411" s="1255" t="s">
        <v>736</v>
      </c>
      <c r="P411" s="1233" t="s">
        <v>1813</v>
      </c>
      <c r="Q411" s="1255" t="s">
        <v>106</v>
      </c>
      <c r="R411" s="1234"/>
      <c r="S411" s="1234"/>
      <c r="T411" s="1233">
        <v>23632</v>
      </c>
      <c r="U411" s="1233">
        <f t="shared" si="143"/>
        <v>0</v>
      </c>
      <c r="V411" s="1234"/>
      <c r="W411" s="1256" t="s">
        <v>1572</v>
      </c>
      <c r="X411" s="1257" t="s">
        <v>95</v>
      </c>
      <c r="Y411" s="1257" t="s">
        <v>1642</v>
      </c>
      <c r="Z411" s="1247"/>
      <c r="AA411" s="1247"/>
      <c r="AB411" s="1247"/>
      <c r="AC411" s="1220" t="s">
        <v>1814</v>
      </c>
      <c r="AD411" s="1229" t="s">
        <v>354</v>
      </c>
      <c r="AE411" s="1247">
        <v>0.664</v>
      </c>
      <c r="AF411" s="1248">
        <f>AE411*I411</f>
        <v>15691.648</v>
      </c>
      <c r="AG411" s="1249" t="s">
        <v>1815</v>
      </c>
      <c r="AH411" s="1234" t="s">
        <v>380</v>
      </c>
      <c r="AI411" s="1234" t="s">
        <v>112</v>
      </c>
      <c r="AJ411" s="1234" t="s">
        <v>113</v>
      </c>
      <c r="AK411" s="1188">
        <f t="shared" ref="AK411:AK420" si="145">I411</f>
        <v>23632</v>
      </c>
      <c r="AL411" s="1188"/>
      <c r="AM411" s="1188"/>
      <c r="AN411" s="1188">
        <f>I411</f>
        <v>23632</v>
      </c>
      <c r="AO411" s="1188"/>
      <c r="AP411" s="1188"/>
      <c r="AQ411" s="1240"/>
      <c r="AR411" s="1188"/>
      <c r="AS411" s="1236"/>
      <c r="AT411" s="1236"/>
      <c r="AU411" s="1188">
        <f t="shared" ref="AU411:AU420" si="146">I411</f>
        <v>23632</v>
      </c>
      <c r="AV411" s="1250"/>
      <c r="AW411" s="1250"/>
      <c r="AX411" s="1188"/>
      <c r="AY411" s="1188"/>
      <c r="AZ411" s="1188"/>
      <c r="BA411" s="1188"/>
      <c r="BB411" s="1188"/>
      <c r="BC411" s="1188"/>
      <c r="BD411" s="1188"/>
      <c r="BE411" s="1188"/>
      <c r="BF411" s="1188"/>
      <c r="BG411" s="1188"/>
      <c r="BH411" s="1188"/>
      <c r="BI411" s="1188"/>
      <c r="BJ411" s="1188"/>
      <c r="BK411" s="1188"/>
      <c r="BL411" s="1188"/>
      <c r="BM411" s="1188"/>
      <c r="BN411" s="1188"/>
      <c r="BO411" s="1240"/>
      <c r="BP411" s="1240"/>
      <c r="BQ411" s="1188"/>
      <c r="BR411" s="1236">
        <f>I411/16</f>
        <v>1477</v>
      </c>
      <c r="BS411" s="1236"/>
      <c r="BT411" s="1188"/>
      <c r="BU411" s="1188"/>
      <c r="BV411" s="1240"/>
      <c r="BW411" s="1188"/>
      <c r="BX411" s="1188"/>
      <c r="BY411" s="1188"/>
      <c r="BZ411" s="1188"/>
      <c r="CA411" s="1188"/>
      <c r="CB411" s="1188"/>
      <c r="CC411" s="1188"/>
      <c r="CD411" s="1188">
        <f t="shared" ref="CD411:CD451" si="147">BN411+BO411+BQ411+BS411+BR411</f>
        <v>1477</v>
      </c>
      <c r="CE411" s="1188">
        <f t="shared" ref="CE411:CE451" si="148">BU411</f>
        <v>0</v>
      </c>
      <c r="CF411" s="1188">
        <f t="shared" ref="CF411:CF451" si="149">CC411</f>
        <v>0</v>
      </c>
      <c r="CG411" s="1188">
        <f t="shared" ref="CG411:CG451" si="150">BV411+BW411+BX411</f>
        <v>0</v>
      </c>
      <c r="CH411" s="1236"/>
      <c r="CI411" s="1236"/>
      <c r="CJ411" s="1236"/>
      <c r="CK411" s="1188"/>
      <c r="CL411" s="1188"/>
    </row>
    <row r="412" s="1168" customFormat="1" customHeight="1" spans="1:111">
      <c r="A412" s="1245">
        <v>46203</v>
      </c>
      <c r="B412" s="1247" t="s">
        <v>346</v>
      </c>
      <c r="C412" s="1234" t="s">
        <v>115</v>
      </c>
      <c r="D412" s="1268">
        <v>4500214419</v>
      </c>
      <c r="E412" s="1890" t="s">
        <v>1816</v>
      </c>
      <c r="F412" s="1188" t="s">
        <v>1817</v>
      </c>
      <c r="G412" s="1253" t="s">
        <v>380</v>
      </c>
      <c r="H412" s="1234" t="s">
        <v>381</v>
      </c>
      <c r="I412" s="1254">
        <v>34272</v>
      </c>
      <c r="J412" s="1234">
        <v>0</v>
      </c>
      <c r="K412" s="1234">
        <v>16</v>
      </c>
      <c r="L412" s="1246">
        <f t="shared" si="144"/>
        <v>2142</v>
      </c>
      <c r="M412" s="1255">
        <v>46217</v>
      </c>
      <c r="N412" s="1255">
        <v>46223</v>
      </c>
      <c r="O412" s="1225" t="s">
        <v>736</v>
      </c>
      <c r="P412" s="1233" t="s">
        <v>1818</v>
      </c>
      <c r="Q412" s="1255" t="s">
        <v>106</v>
      </c>
      <c r="R412" s="1234"/>
      <c r="S412" s="1234"/>
      <c r="T412" s="1233">
        <f>9232+25040</f>
        <v>34272</v>
      </c>
      <c r="U412" s="1233">
        <f t="shared" si="143"/>
        <v>0</v>
      </c>
      <c r="V412" s="1234"/>
      <c r="W412" s="1256" t="s">
        <v>1572</v>
      </c>
      <c r="X412" s="1257" t="s">
        <v>95</v>
      </c>
      <c r="Y412" s="1257" t="s">
        <v>1762</v>
      </c>
      <c r="Z412" s="1247"/>
      <c r="AA412" s="1247"/>
      <c r="AB412" s="1247"/>
      <c r="AC412" s="1247" t="s">
        <v>1819</v>
      </c>
      <c r="AD412" s="1248" t="s">
        <v>354</v>
      </c>
      <c r="AE412" s="1247">
        <v>0.664</v>
      </c>
      <c r="AF412" s="1248">
        <f>AE412*I412</f>
        <v>22756.608</v>
      </c>
      <c r="AG412" s="1249" t="s">
        <v>1820</v>
      </c>
      <c r="AH412" s="1234" t="s">
        <v>380</v>
      </c>
      <c r="AI412" s="1234" t="s">
        <v>112</v>
      </c>
      <c r="AJ412" s="1234" t="s">
        <v>113</v>
      </c>
      <c r="AK412" s="1188">
        <f t="shared" si="145"/>
        <v>34272</v>
      </c>
      <c r="AL412" s="1188"/>
      <c r="AM412" s="1188"/>
      <c r="AN412" s="1188">
        <f>I412</f>
        <v>34272</v>
      </c>
      <c r="AO412" s="1188"/>
      <c r="AP412" s="1188"/>
      <c r="AQ412" s="1240"/>
      <c r="AR412" s="1188"/>
      <c r="AS412" s="1236"/>
      <c r="AT412" s="1236"/>
      <c r="AU412" s="1188">
        <f t="shared" si="146"/>
        <v>34272</v>
      </c>
      <c r="AV412" s="1250"/>
      <c r="AW412" s="1250"/>
      <c r="AX412" s="1188"/>
      <c r="AY412" s="1188"/>
      <c r="AZ412" s="1188"/>
      <c r="BA412" s="1188"/>
      <c r="BB412" s="1188"/>
      <c r="BC412" s="1188"/>
      <c r="BD412" s="1188"/>
      <c r="BE412" s="1188"/>
      <c r="BF412" s="1188"/>
      <c r="BG412" s="1188"/>
      <c r="BH412" s="1188"/>
      <c r="BI412" s="1188"/>
      <c r="BJ412" s="1188"/>
      <c r="BK412" s="1188"/>
      <c r="BL412" s="1188"/>
      <c r="BM412" s="1188"/>
      <c r="BN412" s="1188"/>
      <c r="BO412" s="1240"/>
      <c r="BP412" s="1240"/>
      <c r="BQ412" s="1188"/>
      <c r="BR412" s="1236">
        <f>I412/16</f>
        <v>2142</v>
      </c>
      <c r="BS412" s="1188"/>
      <c r="BT412" s="1188"/>
      <c r="BU412" s="1188"/>
      <c r="BV412" s="1240"/>
      <c r="BW412" s="1188"/>
      <c r="BX412" s="1188"/>
      <c r="BY412" s="1188"/>
      <c r="BZ412" s="1188"/>
      <c r="CA412" s="1188"/>
      <c r="CB412" s="1188"/>
      <c r="CC412" s="1188"/>
      <c r="CD412" s="1188">
        <f t="shared" si="147"/>
        <v>2142</v>
      </c>
      <c r="CE412" s="1188">
        <f t="shared" si="148"/>
        <v>0</v>
      </c>
      <c r="CF412" s="1188">
        <f t="shared" si="149"/>
        <v>0</v>
      </c>
      <c r="CG412" s="1188">
        <f t="shared" si="150"/>
        <v>0</v>
      </c>
      <c r="CH412" s="1236"/>
      <c r="CI412" s="1236"/>
      <c r="CJ412" s="1236"/>
      <c r="CK412" s="1188"/>
      <c r="CL412" s="1188"/>
    </row>
    <row r="413" s="1168" customFormat="1" customHeight="1" spans="1:111">
      <c r="A413" s="1245">
        <v>46162</v>
      </c>
      <c r="B413" s="1269" t="s">
        <v>1821</v>
      </c>
      <c r="C413" s="1287" t="s">
        <v>1822</v>
      </c>
      <c r="D413" s="1270">
        <v>4500208189</v>
      </c>
      <c r="E413" s="1271" t="s">
        <v>628</v>
      </c>
      <c r="F413" s="1270" t="s">
        <v>1823</v>
      </c>
      <c r="G413" s="1272" t="s">
        <v>174</v>
      </c>
      <c r="H413" s="1234" t="s">
        <v>175</v>
      </c>
      <c r="I413" s="1273">
        <v>5200</v>
      </c>
      <c r="J413" s="1274">
        <v>0</v>
      </c>
      <c r="K413" s="1274">
        <v>52</v>
      </c>
      <c r="L413" s="1246">
        <f t="shared" si="144"/>
        <v>100</v>
      </c>
      <c r="M413" s="1255">
        <v>46217</v>
      </c>
      <c r="N413" s="1320">
        <v>46227</v>
      </c>
      <c r="O413" s="1320" t="s">
        <v>1772</v>
      </c>
      <c r="P413" s="1233"/>
      <c r="Q413" s="1233" t="s">
        <v>106</v>
      </c>
      <c r="R413" s="1234"/>
      <c r="S413" s="1234"/>
      <c r="T413" s="1233">
        <v>5200</v>
      </c>
      <c r="U413" s="1233">
        <f t="shared" si="143"/>
        <v>0</v>
      </c>
      <c r="V413" s="1234"/>
      <c r="W413" s="1238" t="s">
        <v>1824</v>
      </c>
      <c r="X413" s="1227" t="s">
        <v>95</v>
      </c>
      <c r="Y413" s="1227" t="s">
        <v>1825</v>
      </c>
      <c r="Z413" s="1247"/>
      <c r="AA413" s="1247"/>
      <c r="AB413" s="1247"/>
      <c r="AC413" s="1247" t="s">
        <v>1826</v>
      </c>
      <c r="AD413" s="1275" t="s">
        <v>295</v>
      </c>
      <c r="AE413" s="1188">
        <v>1.0732</v>
      </c>
      <c r="AF413" s="1248">
        <f>I413*AE413</f>
        <v>5580.64</v>
      </c>
      <c r="AG413" s="1258"/>
      <c r="AH413" s="1234" t="s">
        <v>1027</v>
      </c>
      <c r="AI413" s="1234" t="s">
        <v>112</v>
      </c>
      <c r="AJ413" s="1234" t="s">
        <v>113</v>
      </c>
      <c r="AK413" s="1188">
        <f t="shared" si="145"/>
        <v>5200</v>
      </c>
      <c r="AL413" s="1188"/>
      <c r="AM413" s="1188"/>
      <c r="AN413" s="1188"/>
      <c r="AO413" s="1188"/>
      <c r="AP413" s="1188">
        <f>I413</f>
        <v>5200</v>
      </c>
      <c r="AQ413" s="1240"/>
      <c r="AR413" s="1188"/>
      <c r="AS413" s="1236"/>
      <c r="AT413" s="1236"/>
      <c r="AU413" s="1188">
        <f t="shared" si="146"/>
        <v>5200</v>
      </c>
      <c r="AV413" s="1250">
        <f>I413*0.06*2</f>
        <v>624</v>
      </c>
      <c r="AW413" s="1250"/>
      <c r="AX413" s="1188"/>
      <c r="AY413" s="1188"/>
      <c r="AZ413" s="1188"/>
      <c r="BA413" s="1188"/>
      <c r="BB413" s="1188"/>
      <c r="BC413" s="1188"/>
      <c r="BD413" s="1188"/>
      <c r="BE413" s="1188"/>
      <c r="BF413" s="1188"/>
      <c r="BG413" s="1188"/>
      <c r="BH413" s="1188"/>
      <c r="BI413" s="1188"/>
      <c r="BJ413" s="1188"/>
      <c r="BK413" s="1188"/>
      <c r="BL413" s="1188">
        <f>I413/13</f>
        <v>400</v>
      </c>
      <c r="BM413" s="1188"/>
      <c r="BN413" s="1188"/>
      <c r="BO413" s="1240"/>
      <c r="BP413" s="1240"/>
      <c r="BQ413" s="1188"/>
      <c r="BR413" s="1236"/>
      <c r="BS413" s="1236"/>
      <c r="BT413" s="1188"/>
      <c r="BU413" s="1188"/>
      <c r="BV413" s="1240"/>
      <c r="BW413" s="1188"/>
      <c r="BX413" s="1188"/>
      <c r="BY413" s="1188"/>
      <c r="BZ413" s="1188"/>
      <c r="CA413" s="1188"/>
      <c r="CB413" s="1188"/>
      <c r="CC413" s="1188"/>
      <c r="CD413" s="1188">
        <f t="shared" si="147"/>
        <v>0</v>
      </c>
      <c r="CE413" s="1188">
        <f t="shared" si="148"/>
        <v>0</v>
      </c>
      <c r="CF413" s="1188">
        <f t="shared" si="149"/>
        <v>0</v>
      </c>
      <c r="CG413" s="1188">
        <f t="shared" si="150"/>
        <v>0</v>
      </c>
      <c r="CH413" s="1236"/>
      <c r="CI413" s="1236"/>
      <c r="CJ413" s="1236"/>
      <c r="CK413" s="1188"/>
      <c r="CL413" s="1188"/>
    </row>
    <row r="414" s="1168" customFormat="1" customHeight="1" spans="1:111">
      <c r="A414" s="1245">
        <v>46156</v>
      </c>
      <c r="B414" s="1269" t="s">
        <v>1827</v>
      </c>
      <c r="C414" s="1287" t="s">
        <v>1828</v>
      </c>
      <c r="D414" s="1270">
        <v>4500207203</v>
      </c>
      <c r="E414" s="1894" t="s">
        <v>1829</v>
      </c>
      <c r="F414" s="1270" t="s">
        <v>1830</v>
      </c>
      <c r="G414" s="1272" t="s">
        <v>188</v>
      </c>
      <c r="H414" s="1247" t="s">
        <v>138</v>
      </c>
      <c r="I414" s="1273">
        <v>3300</v>
      </c>
      <c r="J414" s="1274">
        <v>0</v>
      </c>
      <c r="K414" s="1274">
        <v>50</v>
      </c>
      <c r="L414" s="1246">
        <f t="shared" si="144"/>
        <v>66</v>
      </c>
      <c r="M414" s="1255">
        <v>46217</v>
      </c>
      <c r="N414" s="1320">
        <v>46220</v>
      </c>
      <c r="O414" s="1320" t="s">
        <v>1772</v>
      </c>
      <c r="P414" s="1233"/>
      <c r="Q414" s="1233" t="s">
        <v>1410</v>
      </c>
      <c r="R414" s="1234" t="s">
        <v>1831</v>
      </c>
      <c r="S414" s="1234"/>
      <c r="T414" s="1233">
        <v>3300</v>
      </c>
      <c r="U414" s="1233">
        <f t="shared" si="143"/>
        <v>0</v>
      </c>
      <c r="V414" s="1234"/>
      <c r="W414" s="1238">
        <v>46182</v>
      </c>
      <c r="X414" s="1227" t="s">
        <v>95</v>
      </c>
      <c r="Y414" s="1227" t="s">
        <v>1832</v>
      </c>
      <c r="Z414" s="1247"/>
      <c r="AA414" s="1247"/>
      <c r="AB414" s="1247"/>
      <c r="AC414" s="1321" t="s">
        <v>1833</v>
      </c>
      <c r="AD414" s="1275" t="s">
        <v>757</v>
      </c>
      <c r="AE414" s="1276">
        <v>1.1174</v>
      </c>
      <c r="AF414" s="1248">
        <f>AE414*I414</f>
        <v>3687.42</v>
      </c>
      <c r="AG414" s="1258"/>
      <c r="AH414" s="1234" t="s">
        <v>314</v>
      </c>
      <c r="AI414" s="1234" t="s">
        <v>112</v>
      </c>
      <c r="AJ414" s="1234" t="s">
        <v>113</v>
      </c>
      <c r="AK414" s="1188">
        <f t="shared" si="145"/>
        <v>3300</v>
      </c>
      <c r="AL414" s="1188"/>
      <c r="AM414" s="1188"/>
      <c r="AN414" s="1188"/>
      <c r="AO414" s="1188"/>
      <c r="AP414" s="1188">
        <f>I414</f>
        <v>3300</v>
      </c>
      <c r="AQ414" s="1240"/>
      <c r="AR414" s="1188"/>
      <c r="AS414" s="1236"/>
      <c r="AT414" s="1236"/>
      <c r="AU414" s="1188">
        <f t="shared" si="146"/>
        <v>3300</v>
      </c>
      <c r="AV414" s="1250">
        <f>I414*0.06*2</f>
        <v>396</v>
      </c>
      <c r="AW414" s="1250"/>
      <c r="AX414" s="1188"/>
      <c r="AY414" s="1188"/>
      <c r="AZ414" s="1188"/>
      <c r="BA414" s="1188"/>
      <c r="BB414" s="1188"/>
      <c r="BC414" s="1188"/>
      <c r="BD414" s="1188"/>
      <c r="BE414" s="1188"/>
      <c r="BF414" s="1188"/>
      <c r="BG414" s="1188"/>
      <c r="BH414" s="1188"/>
      <c r="BI414" s="1188"/>
      <c r="BJ414" s="1188"/>
      <c r="BK414" s="1188"/>
      <c r="BL414" s="1188"/>
      <c r="BM414" s="1188"/>
      <c r="BN414" s="1188"/>
      <c r="BO414" s="1240">
        <f>I414/25</f>
        <v>132</v>
      </c>
      <c r="BP414" s="1240"/>
      <c r="BQ414" s="1188"/>
      <c r="BR414" s="1236"/>
      <c r="BS414" s="1236"/>
      <c r="BT414" s="1188"/>
      <c r="BU414" s="1188"/>
      <c r="BV414" s="1240"/>
      <c r="BW414" s="1188"/>
      <c r="BX414" s="1188"/>
      <c r="BY414" s="1188"/>
      <c r="BZ414" s="1188"/>
      <c r="CA414" s="1188"/>
      <c r="CB414" s="1188"/>
      <c r="CC414" s="1188"/>
      <c r="CD414" s="1188">
        <f t="shared" si="147"/>
        <v>132</v>
      </c>
      <c r="CE414" s="1188">
        <f t="shared" si="148"/>
        <v>0</v>
      </c>
      <c r="CF414" s="1188">
        <f t="shared" si="149"/>
        <v>0</v>
      </c>
      <c r="CG414" s="1188">
        <f t="shared" si="150"/>
        <v>0</v>
      </c>
      <c r="CH414" s="1236"/>
      <c r="CI414" s="1236"/>
      <c r="CJ414" s="1236"/>
      <c r="CK414" s="1188"/>
      <c r="CL414" s="1188"/>
    </row>
    <row r="415" s="1171" customFormat="1" customHeight="1" spans="1:111">
      <c r="A415" s="1245">
        <v>46203</v>
      </c>
      <c r="B415" s="1247" t="s">
        <v>346</v>
      </c>
      <c r="C415" s="1234" t="s">
        <v>115</v>
      </c>
      <c r="D415" s="1268">
        <v>4500214403</v>
      </c>
      <c r="E415" s="1890" t="s">
        <v>1834</v>
      </c>
      <c r="F415" s="1188" t="s">
        <v>1835</v>
      </c>
      <c r="G415" s="1253" t="s">
        <v>380</v>
      </c>
      <c r="H415" s="1234" t="s">
        <v>381</v>
      </c>
      <c r="I415" s="1254">
        <v>20208</v>
      </c>
      <c r="J415" s="1234">
        <v>0</v>
      </c>
      <c r="K415" s="1234">
        <v>16</v>
      </c>
      <c r="L415" s="1246">
        <f t="shared" si="144"/>
        <v>1263</v>
      </c>
      <c r="M415" s="1255">
        <v>46218</v>
      </c>
      <c r="N415" s="1255">
        <v>46223</v>
      </c>
      <c r="O415" s="1255" t="s">
        <v>736</v>
      </c>
      <c r="P415" s="1233" t="s">
        <v>1818</v>
      </c>
      <c r="Q415" s="1255" t="s">
        <v>106</v>
      </c>
      <c r="R415" s="1234" t="s">
        <v>1629</v>
      </c>
      <c r="S415" s="1234"/>
      <c r="T415" s="1233">
        <v>20208</v>
      </c>
      <c r="U415" s="1233">
        <f t="shared" si="143"/>
        <v>0</v>
      </c>
      <c r="V415" s="1234"/>
      <c r="W415" s="1238" t="s">
        <v>1572</v>
      </c>
      <c r="X415" s="1227" t="s">
        <v>95</v>
      </c>
      <c r="Y415" s="1227" t="s">
        <v>1762</v>
      </c>
      <c r="Z415" s="1247"/>
      <c r="AA415" s="1247"/>
      <c r="AB415" s="1247"/>
      <c r="AC415" s="1247" t="s">
        <v>1836</v>
      </c>
      <c r="AD415" s="1248" t="s">
        <v>354</v>
      </c>
      <c r="AE415" s="1247">
        <v>0.664</v>
      </c>
      <c r="AF415" s="1248">
        <f>AE415*I415</f>
        <v>13418.112</v>
      </c>
      <c r="AG415" s="1249" t="s">
        <v>1837</v>
      </c>
      <c r="AH415" s="1234" t="s">
        <v>380</v>
      </c>
      <c r="AI415" s="1234" t="s">
        <v>112</v>
      </c>
      <c r="AJ415" s="1234" t="s">
        <v>113</v>
      </c>
      <c r="AK415" s="1188">
        <f t="shared" si="145"/>
        <v>20208</v>
      </c>
      <c r="AL415" s="1188"/>
      <c r="AM415" s="1188"/>
      <c r="AN415" s="1188">
        <f>I415</f>
        <v>20208</v>
      </c>
      <c r="AO415" s="1188"/>
      <c r="AP415" s="1188"/>
      <c r="AQ415" s="1240"/>
      <c r="AR415" s="1188"/>
      <c r="AS415" s="1236"/>
      <c r="AT415" s="1236"/>
      <c r="AU415" s="1188">
        <f t="shared" si="146"/>
        <v>20208</v>
      </c>
      <c r="AV415" s="1250"/>
      <c r="AW415" s="1250"/>
      <c r="AX415" s="1188"/>
      <c r="AY415" s="1188"/>
      <c r="AZ415" s="1188"/>
      <c r="BA415" s="1188"/>
      <c r="BB415" s="1188"/>
      <c r="BC415" s="1188"/>
      <c r="BD415" s="1188"/>
      <c r="BE415" s="1188"/>
      <c r="BF415" s="1188"/>
      <c r="BG415" s="1188"/>
      <c r="BH415" s="1188"/>
      <c r="BI415" s="1188"/>
      <c r="BJ415" s="1188"/>
      <c r="BK415" s="1188"/>
      <c r="BL415" s="1188"/>
      <c r="BM415" s="1188"/>
      <c r="BN415" s="1188"/>
      <c r="BO415" s="1240"/>
      <c r="BP415" s="1240"/>
      <c r="BQ415" s="1188"/>
      <c r="BR415" s="1236">
        <f>I415/16</f>
        <v>1263</v>
      </c>
      <c r="BS415" s="1236"/>
      <c r="BT415" s="1188"/>
      <c r="BU415" s="1188"/>
      <c r="BV415" s="1240"/>
      <c r="BW415" s="1188"/>
      <c r="BX415" s="1188"/>
      <c r="BY415" s="1188"/>
      <c r="BZ415" s="1188"/>
      <c r="CA415" s="1188"/>
      <c r="CB415" s="1188"/>
      <c r="CC415" s="1188"/>
      <c r="CD415" s="1188">
        <f t="shared" si="147"/>
        <v>1263</v>
      </c>
      <c r="CE415" s="1188">
        <f t="shared" si="148"/>
        <v>0</v>
      </c>
      <c r="CF415" s="1188">
        <f t="shared" si="149"/>
        <v>0</v>
      </c>
      <c r="CG415" s="1188">
        <f t="shared" si="150"/>
        <v>0</v>
      </c>
      <c r="CH415" s="1236"/>
      <c r="CI415" s="1236"/>
      <c r="CJ415" s="1236"/>
      <c r="CK415" s="1188"/>
      <c r="CL415" s="1188"/>
      <c r="CM415" s="1168"/>
      <c r="CN415" s="1168"/>
      <c r="CO415" s="1168"/>
      <c r="CP415" s="1168"/>
      <c r="CQ415" s="1168"/>
      <c r="CR415" s="1168"/>
      <c r="CS415" s="1168"/>
      <c r="CT415" s="1168"/>
      <c r="CU415" s="1168"/>
      <c r="CV415" s="1168"/>
      <c r="CW415" s="1168"/>
      <c r="CX415" s="1168"/>
      <c r="CY415" s="1168"/>
      <c r="CZ415" s="1168"/>
      <c r="DA415" s="1168"/>
      <c r="DB415" s="1168"/>
      <c r="DC415" s="1168"/>
      <c r="DD415" s="1168"/>
      <c r="DE415" s="1168"/>
      <c r="DF415" s="1168"/>
      <c r="DG415" s="1168"/>
    </row>
    <row r="416" s="1171" customFormat="1" customHeight="1" spans="1:111">
      <c r="A416" s="1245">
        <v>46203</v>
      </c>
      <c r="B416" s="1247" t="s">
        <v>346</v>
      </c>
      <c r="C416" s="1234" t="s">
        <v>115</v>
      </c>
      <c r="D416" s="1268">
        <v>4500214403</v>
      </c>
      <c r="E416" s="1890" t="s">
        <v>1838</v>
      </c>
      <c r="F416" s="1188" t="s">
        <v>1839</v>
      </c>
      <c r="G416" s="1253" t="s">
        <v>380</v>
      </c>
      <c r="H416" s="1234" t="s">
        <v>381</v>
      </c>
      <c r="I416" s="1254">
        <v>23232</v>
      </c>
      <c r="J416" s="1234">
        <v>0</v>
      </c>
      <c r="K416" s="1234">
        <v>16</v>
      </c>
      <c r="L416" s="1246">
        <f t="shared" si="144"/>
        <v>1452</v>
      </c>
      <c r="M416" s="1255">
        <v>46218</v>
      </c>
      <c r="N416" s="1255">
        <v>46223</v>
      </c>
      <c r="O416" s="1255" t="s">
        <v>736</v>
      </c>
      <c r="P416" s="1233" t="s">
        <v>1818</v>
      </c>
      <c r="Q416" s="1255" t="s">
        <v>106</v>
      </c>
      <c r="R416" s="1234"/>
      <c r="S416" s="1234"/>
      <c r="T416" s="1233">
        <v>23232</v>
      </c>
      <c r="U416" s="1233">
        <f t="shared" si="143"/>
        <v>0</v>
      </c>
      <c r="V416" s="1234"/>
      <c r="W416" s="1238" t="s">
        <v>1572</v>
      </c>
      <c r="X416" s="1227" t="s">
        <v>95</v>
      </c>
      <c r="Y416" s="1227" t="s">
        <v>1762</v>
      </c>
      <c r="Z416" s="1247"/>
      <c r="AA416" s="1247"/>
      <c r="AB416" s="1247"/>
      <c r="AC416" s="1247" t="s">
        <v>1836</v>
      </c>
      <c r="AD416" s="1248" t="s">
        <v>354</v>
      </c>
      <c r="AE416" s="1247">
        <v>0.664</v>
      </c>
      <c r="AF416" s="1248">
        <f>AE416*I416</f>
        <v>15426.048</v>
      </c>
      <c r="AG416" s="1249" t="s">
        <v>1840</v>
      </c>
      <c r="AH416" s="1234" t="s">
        <v>380</v>
      </c>
      <c r="AI416" s="1234" t="s">
        <v>112</v>
      </c>
      <c r="AJ416" s="1234" t="s">
        <v>113</v>
      </c>
      <c r="AK416" s="1188">
        <f t="shared" si="145"/>
        <v>23232</v>
      </c>
      <c r="AL416" s="1188"/>
      <c r="AM416" s="1188"/>
      <c r="AN416" s="1188">
        <f>I416</f>
        <v>23232</v>
      </c>
      <c r="AO416" s="1188"/>
      <c r="AP416" s="1188"/>
      <c r="AQ416" s="1240"/>
      <c r="AR416" s="1188"/>
      <c r="AS416" s="1236"/>
      <c r="AT416" s="1236"/>
      <c r="AU416" s="1188">
        <f t="shared" si="146"/>
        <v>23232</v>
      </c>
      <c r="AV416" s="1250"/>
      <c r="AW416" s="1250"/>
      <c r="AX416" s="1188"/>
      <c r="AY416" s="1188"/>
      <c r="AZ416" s="1188"/>
      <c r="BA416" s="1188"/>
      <c r="BB416" s="1188"/>
      <c r="BC416" s="1188"/>
      <c r="BD416" s="1188"/>
      <c r="BE416" s="1188"/>
      <c r="BF416" s="1188"/>
      <c r="BG416" s="1188"/>
      <c r="BH416" s="1188"/>
      <c r="BI416" s="1188"/>
      <c r="BJ416" s="1188"/>
      <c r="BK416" s="1188"/>
      <c r="BL416" s="1188"/>
      <c r="BM416" s="1188"/>
      <c r="BN416" s="1188"/>
      <c r="BO416" s="1240"/>
      <c r="BP416" s="1240"/>
      <c r="BQ416" s="1188"/>
      <c r="BR416" s="1236">
        <f>I416/16</f>
        <v>1452</v>
      </c>
      <c r="BS416" s="1236"/>
      <c r="BT416" s="1188"/>
      <c r="BU416" s="1188"/>
      <c r="BV416" s="1240"/>
      <c r="BW416" s="1188"/>
      <c r="BX416" s="1188"/>
      <c r="BY416" s="1188"/>
      <c r="BZ416" s="1188"/>
      <c r="CA416" s="1188"/>
      <c r="CB416" s="1188"/>
      <c r="CC416" s="1188"/>
      <c r="CD416" s="1188">
        <f t="shared" si="147"/>
        <v>1452</v>
      </c>
      <c r="CE416" s="1188">
        <f t="shared" si="148"/>
        <v>0</v>
      </c>
      <c r="CF416" s="1188">
        <f t="shared" si="149"/>
        <v>0</v>
      </c>
      <c r="CG416" s="1188">
        <f t="shared" si="150"/>
        <v>0</v>
      </c>
      <c r="CH416" s="1236"/>
      <c r="CI416" s="1236"/>
      <c r="CJ416" s="1236"/>
      <c r="CK416" s="1188"/>
      <c r="CL416" s="1188"/>
      <c r="CM416" s="1168"/>
      <c r="CN416" s="1168"/>
      <c r="CO416" s="1168"/>
      <c r="CP416" s="1168"/>
      <c r="CQ416" s="1168"/>
      <c r="CR416" s="1168"/>
      <c r="CS416" s="1168"/>
      <c r="CT416" s="1168"/>
      <c r="CU416" s="1168"/>
      <c r="CV416" s="1168"/>
      <c r="CW416" s="1168"/>
      <c r="CX416" s="1168"/>
      <c r="CY416" s="1168"/>
      <c r="CZ416" s="1168"/>
      <c r="DA416" s="1168"/>
      <c r="DB416" s="1168"/>
      <c r="DC416" s="1168"/>
      <c r="DD416" s="1168"/>
      <c r="DE416" s="1168"/>
      <c r="DF416" s="1168"/>
      <c r="DG416" s="1168"/>
    </row>
    <row r="417" s="1168" customFormat="1" customHeight="1" spans="1:111">
      <c r="A417" s="1245">
        <v>46203</v>
      </c>
      <c r="B417" s="1220" t="s">
        <v>346</v>
      </c>
      <c r="C417" s="1221" t="s">
        <v>115</v>
      </c>
      <c r="D417" s="1303">
        <v>4500214403</v>
      </c>
      <c r="E417" s="1892" t="s">
        <v>1841</v>
      </c>
      <c r="F417" s="1222" t="s">
        <v>1842</v>
      </c>
      <c r="G417" s="1223" t="s">
        <v>380</v>
      </c>
      <c r="H417" s="1221" t="s">
        <v>381</v>
      </c>
      <c r="I417" s="1252">
        <v>29216</v>
      </c>
      <c r="J417" s="1221">
        <v>0</v>
      </c>
      <c r="K417" s="1221">
        <v>16</v>
      </c>
      <c r="L417" s="1246">
        <f t="shared" si="144"/>
        <v>1826</v>
      </c>
      <c r="M417" s="1225">
        <v>46218</v>
      </c>
      <c r="N417" s="1225">
        <v>46223</v>
      </c>
      <c r="O417" s="1255" t="s">
        <v>736</v>
      </c>
      <c r="P417" s="1233" t="s">
        <v>1818</v>
      </c>
      <c r="Q417" s="1255" t="s">
        <v>106</v>
      </c>
      <c r="R417" s="1234"/>
      <c r="S417" s="1234"/>
      <c r="T417" s="1233">
        <v>29216</v>
      </c>
      <c r="U417" s="1233">
        <f t="shared" si="143"/>
        <v>0</v>
      </c>
      <c r="V417" s="1234"/>
      <c r="W417" s="1256" t="s">
        <v>1572</v>
      </c>
      <c r="X417" s="1257" t="s">
        <v>95</v>
      </c>
      <c r="Y417" s="1257" t="s">
        <v>1762</v>
      </c>
      <c r="Z417" s="1247"/>
      <c r="AA417" s="1247"/>
      <c r="AB417" s="1247"/>
      <c r="AC417" s="1220" t="s">
        <v>1836</v>
      </c>
      <c r="AD417" s="1229" t="s">
        <v>354</v>
      </c>
      <c r="AE417" s="1247">
        <v>0.664</v>
      </c>
      <c r="AF417" s="1248">
        <f>AE417*I417</f>
        <v>19399.424</v>
      </c>
      <c r="AG417" s="1249" t="s">
        <v>1843</v>
      </c>
      <c r="AH417" s="1234" t="s">
        <v>380</v>
      </c>
      <c r="AI417" s="1234" t="s">
        <v>112</v>
      </c>
      <c r="AJ417" s="1234" t="s">
        <v>113</v>
      </c>
      <c r="AK417" s="1188">
        <f t="shared" si="145"/>
        <v>29216</v>
      </c>
      <c r="AL417" s="1188"/>
      <c r="AM417" s="1188"/>
      <c r="AN417" s="1188">
        <f>I417</f>
        <v>29216</v>
      </c>
      <c r="AO417" s="1188"/>
      <c r="AP417" s="1188"/>
      <c r="AQ417" s="1240"/>
      <c r="AR417" s="1188"/>
      <c r="AS417" s="1236"/>
      <c r="AT417" s="1236"/>
      <c r="AU417" s="1188">
        <f t="shared" si="146"/>
        <v>29216</v>
      </c>
      <c r="AV417" s="1250"/>
      <c r="AW417" s="1250"/>
      <c r="AX417" s="1188"/>
      <c r="AY417" s="1188"/>
      <c r="AZ417" s="1188"/>
      <c r="BA417" s="1188"/>
      <c r="BB417" s="1188"/>
      <c r="BC417" s="1188"/>
      <c r="BD417" s="1188"/>
      <c r="BE417" s="1188"/>
      <c r="BF417" s="1188"/>
      <c r="BG417" s="1188"/>
      <c r="BH417" s="1188"/>
      <c r="BI417" s="1188"/>
      <c r="BJ417" s="1188"/>
      <c r="BK417" s="1188"/>
      <c r="BL417" s="1188"/>
      <c r="BM417" s="1188"/>
      <c r="BN417" s="1188"/>
      <c r="BO417" s="1240"/>
      <c r="BP417" s="1240"/>
      <c r="BQ417" s="1188"/>
      <c r="BR417" s="1236">
        <f>I417/16</f>
        <v>1826</v>
      </c>
      <c r="BS417" s="1236"/>
      <c r="BT417" s="1188"/>
      <c r="BU417" s="1188"/>
      <c r="BV417" s="1240"/>
      <c r="BW417" s="1188"/>
      <c r="BX417" s="1188"/>
      <c r="BY417" s="1188"/>
      <c r="BZ417" s="1188"/>
      <c r="CA417" s="1188"/>
      <c r="CB417" s="1188"/>
      <c r="CC417" s="1188"/>
      <c r="CD417" s="1188">
        <f t="shared" si="147"/>
        <v>1826</v>
      </c>
      <c r="CE417" s="1188">
        <f t="shared" si="148"/>
        <v>0</v>
      </c>
      <c r="CF417" s="1188">
        <f t="shared" si="149"/>
        <v>0</v>
      </c>
      <c r="CG417" s="1188">
        <f t="shared" si="150"/>
        <v>0</v>
      </c>
      <c r="CH417" s="1236"/>
      <c r="CI417" s="1236"/>
      <c r="CJ417" s="1236"/>
      <c r="CK417" s="1188"/>
      <c r="CL417" s="1188"/>
    </row>
    <row r="418" s="1168" customFormat="1" customHeight="1" spans="1:111">
      <c r="A418" s="1245">
        <v>46156</v>
      </c>
      <c r="B418" s="1247" t="s">
        <v>290</v>
      </c>
      <c r="C418" s="1234" t="s">
        <v>291</v>
      </c>
      <c r="D418" s="1268">
        <v>4500207090</v>
      </c>
      <c r="E418" s="1233">
        <v>50212602021</v>
      </c>
      <c r="F418" s="1188" t="s">
        <v>1844</v>
      </c>
      <c r="G418" s="1253" t="s">
        <v>146</v>
      </c>
      <c r="H418" s="1234" t="s">
        <v>893</v>
      </c>
      <c r="I418" s="1254">
        <v>23500</v>
      </c>
      <c r="J418" s="1234">
        <v>0</v>
      </c>
      <c r="K418" s="1234">
        <v>25</v>
      </c>
      <c r="L418" s="1246">
        <f t="shared" si="144"/>
        <v>940</v>
      </c>
      <c r="M418" s="1255">
        <v>46218</v>
      </c>
      <c r="N418" s="1320">
        <v>46228</v>
      </c>
      <c r="O418" s="1320" t="s">
        <v>1845</v>
      </c>
      <c r="P418" s="1233" t="s">
        <v>1228</v>
      </c>
      <c r="Q418" s="1233" t="s">
        <v>106</v>
      </c>
      <c r="R418" s="1234" t="s">
        <v>1846</v>
      </c>
      <c r="S418" s="1234"/>
      <c r="T418" s="1233">
        <v>23500</v>
      </c>
      <c r="U418" s="1233">
        <f t="shared" si="143"/>
        <v>0</v>
      </c>
      <c r="V418" s="1234"/>
      <c r="W418" s="1256">
        <v>46178</v>
      </c>
      <c r="X418" s="1257" t="s">
        <v>95</v>
      </c>
      <c r="Y418" s="1257" t="s">
        <v>1847</v>
      </c>
      <c r="Z418" s="1247"/>
      <c r="AA418" s="1247"/>
      <c r="AB418" s="1247"/>
      <c r="AC418" s="1321" t="s">
        <v>1848</v>
      </c>
      <c r="AD418" s="1255" t="s">
        <v>295</v>
      </c>
      <c r="AE418" s="1188">
        <v>1.0404</v>
      </c>
      <c r="AF418" s="1248">
        <f>I418*AE418</f>
        <v>24449.4</v>
      </c>
      <c r="AG418" s="1258"/>
      <c r="AH418" s="1234" t="s">
        <v>111</v>
      </c>
      <c r="AI418" s="1234" t="s">
        <v>112</v>
      </c>
      <c r="AJ418" s="1234" t="s">
        <v>113</v>
      </c>
      <c r="AK418" s="1188">
        <f t="shared" si="145"/>
        <v>23500</v>
      </c>
      <c r="AL418" s="1188"/>
      <c r="AM418" s="1188"/>
      <c r="AN418" s="1188"/>
      <c r="AO418" s="1188"/>
      <c r="AP418" s="1188">
        <f>I418</f>
        <v>23500</v>
      </c>
      <c r="AQ418" s="1240"/>
      <c r="AR418" s="1188"/>
      <c r="AS418" s="1236"/>
      <c r="AT418" s="1236"/>
      <c r="AU418" s="1188">
        <f t="shared" si="146"/>
        <v>23500</v>
      </c>
      <c r="AV418" s="1250">
        <f>I418*0.06*2</f>
        <v>2820</v>
      </c>
      <c r="AW418" s="1250"/>
      <c r="AX418" s="1188"/>
      <c r="AY418" s="1188"/>
      <c r="AZ418" s="1188"/>
      <c r="BA418" s="1188"/>
      <c r="BB418" s="1188"/>
      <c r="BC418" s="1188"/>
      <c r="BD418" s="1188"/>
      <c r="BE418" s="1188"/>
      <c r="BF418" s="1188"/>
      <c r="BG418" s="1188"/>
      <c r="BH418" s="1188"/>
      <c r="BI418" s="1188"/>
      <c r="BJ418" s="1188"/>
      <c r="BK418" s="1188"/>
      <c r="BL418" s="1188"/>
      <c r="BM418" s="1188"/>
      <c r="BN418" s="1188"/>
      <c r="BO418" s="1240">
        <f>I418/25</f>
        <v>940</v>
      </c>
      <c r="BP418" s="1240"/>
      <c r="BQ418" s="1188"/>
      <c r="BR418" s="1236"/>
      <c r="BS418" s="1188"/>
      <c r="BT418" s="1188"/>
      <c r="BU418" s="1188"/>
      <c r="BV418" s="1240"/>
      <c r="BW418" s="1188"/>
      <c r="BX418" s="1188"/>
      <c r="BY418" s="1188"/>
      <c r="BZ418" s="1188"/>
      <c r="CA418" s="1188"/>
      <c r="CB418" s="1188"/>
      <c r="CC418" s="1188"/>
      <c r="CD418" s="1188">
        <f t="shared" si="147"/>
        <v>940</v>
      </c>
      <c r="CE418" s="1188">
        <f t="shared" si="148"/>
        <v>0</v>
      </c>
      <c r="CF418" s="1188">
        <f t="shared" si="149"/>
        <v>0</v>
      </c>
      <c r="CG418" s="1188">
        <f t="shared" si="150"/>
        <v>0</v>
      </c>
      <c r="CH418" s="1236"/>
      <c r="CI418" s="1236"/>
      <c r="CJ418" s="1236"/>
      <c r="CK418" s="1188"/>
      <c r="CL418" s="1188"/>
    </row>
    <row r="419" s="1171" customFormat="1" customHeight="1" spans="1:111">
      <c r="A419" s="1245">
        <v>46107</v>
      </c>
      <c r="B419" s="1247" t="s">
        <v>324</v>
      </c>
      <c r="C419" s="1234" t="s">
        <v>325</v>
      </c>
      <c r="D419" s="1188">
        <v>4500198815</v>
      </c>
      <c r="E419" s="1234" t="s">
        <v>1849</v>
      </c>
      <c r="F419" s="1188" t="s">
        <v>1850</v>
      </c>
      <c r="G419" s="1253" t="s">
        <v>188</v>
      </c>
      <c r="H419" s="1234" t="s">
        <v>138</v>
      </c>
      <c r="I419" s="1254">
        <v>5000</v>
      </c>
      <c r="J419" s="1234">
        <v>0</v>
      </c>
      <c r="K419" s="1234">
        <v>50</v>
      </c>
      <c r="L419" s="1246">
        <f t="shared" si="144"/>
        <v>100</v>
      </c>
      <c r="M419" s="1255">
        <v>46218</v>
      </c>
      <c r="N419" s="1320">
        <v>46228</v>
      </c>
      <c r="O419" s="1320" t="s">
        <v>1772</v>
      </c>
      <c r="P419" s="1233"/>
      <c r="Q419" s="1233" t="s">
        <v>106</v>
      </c>
      <c r="R419" s="1234"/>
      <c r="S419" s="1234"/>
      <c r="T419" s="1233">
        <v>5000</v>
      </c>
      <c r="U419" s="1233">
        <f t="shared" si="143"/>
        <v>0</v>
      </c>
      <c r="V419" s="1234"/>
      <c r="W419" s="1238">
        <v>46185</v>
      </c>
      <c r="X419" s="1227" t="s">
        <v>95</v>
      </c>
      <c r="Y419" s="1227" t="s">
        <v>1851</v>
      </c>
      <c r="Z419" s="1188"/>
      <c r="AA419" s="1188"/>
      <c r="AB419" s="1247"/>
      <c r="AC419" s="1247" t="s">
        <v>1852</v>
      </c>
      <c r="AD419" s="1255" t="s">
        <v>313</v>
      </c>
      <c r="AE419" s="1267">
        <v>1.007</v>
      </c>
      <c r="AF419" s="1248">
        <f>AE419*I419</f>
        <v>5035</v>
      </c>
      <c r="AG419" s="1258"/>
      <c r="AH419" s="1234" t="s">
        <v>314</v>
      </c>
      <c r="AI419" s="1234" t="s">
        <v>112</v>
      </c>
      <c r="AJ419" s="1234" t="s">
        <v>113</v>
      </c>
      <c r="AK419" s="1188">
        <f t="shared" si="145"/>
        <v>5000</v>
      </c>
      <c r="AL419" s="1188"/>
      <c r="AM419" s="1188"/>
      <c r="AN419" s="1188"/>
      <c r="AO419" s="1188"/>
      <c r="AP419" s="1188">
        <f>I419</f>
        <v>5000</v>
      </c>
      <c r="AQ419" s="1240"/>
      <c r="AR419" s="1188"/>
      <c r="AS419" s="1236"/>
      <c r="AT419" s="1236"/>
      <c r="AU419" s="1188">
        <f t="shared" si="146"/>
        <v>5000</v>
      </c>
      <c r="AV419" s="1250">
        <f>I419*0.06*2</f>
        <v>600</v>
      </c>
      <c r="AW419" s="1250"/>
      <c r="AX419" s="1188"/>
      <c r="AY419" s="1188"/>
      <c r="AZ419" s="1188"/>
      <c r="BA419" s="1188"/>
      <c r="BB419" s="1188"/>
      <c r="BC419" s="1188"/>
      <c r="BD419" s="1188"/>
      <c r="BE419" s="1188"/>
      <c r="BF419" s="1188"/>
      <c r="BG419" s="1188"/>
      <c r="BH419" s="1188"/>
      <c r="BI419" s="1188"/>
      <c r="BJ419" s="1188"/>
      <c r="BK419" s="1188"/>
      <c r="BL419" s="1188"/>
      <c r="BM419" s="1188"/>
      <c r="BN419" s="1188"/>
      <c r="BO419" s="1240">
        <f>I419/25</f>
        <v>200</v>
      </c>
      <c r="BP419" s="1240"/>
      <c r="BQ419" s="1188"/>
      <c r="BR419" s="1236"/>
      <c r="BS419" s="1236"/>
      <c r="BT419" s="1188"/>
      <c r="BU419" s="1188"/>
      <c r="BV419" s="1240"/>
      <c r="BW419" s="1188"/>
      <c r="BX419" s="1188"/>
      <c r="BY419" s="1188"/>
      <c r="BZ419" s="1188"/>
      <c r="CA419" s="1188"/>
      <c r="CB419" s="1188"/>
      <c r="CC419" s="1188"/>
      <c r="CD419" s="1188">
        <f t="shared" si="147"/>
        <v>200</v>
      </c>
      <c r="CE419" s="1188">
        <f t="shared" si="148"/>
        <v>0</v>
      </c>
      <c r="CF419" s="1188">
        <f t="shared" si="149"/>
        <v>0</v>
      </c>
      <c r="CG419" s="1188">
        <f t="shared" si="150"/>
        <v>0</v>
      </c>
      <c r="CH419" s="1236"/>
      <c r="CI419" s="1236"/>
      <c r="CJ419" s="1236"/>
      <c r="CK419" s="1188"/>
      <c r="CL419" s="1188"/>
      <c r="CM419" s="1168"/>
      <c r="CN419" s="1168"/>
      <c r="CO419" s="1168"/>
      <c r="CP419" s="1168"/>
      <c r="CQ419" s="1168"/>
      <c r="CR419" s="1168"/>
      <c r="CS419" s="1168"/>
      <c r="CT419" s="1168"/>
      <c r="CU419" s="1168"/>
      <c r="CV419" s="1168"/>
      <c r="CW419" s="1168"/>
      <c r="CX419" s="1168"/>
      <c r="CY419" s="1168"/>
      <c r="CZ419" s="1168"/>
      <c r="DA419" s="1168"/>
      <c r="DB419" s="1168"/>
      <c r="DC419" s="1168"/>
      <c r="DD419" s="1168"/>
      <c r="DE419" s="1168"/>
      <c r="DF419" s="1168"/>
      <c r="DG419" s="1168"/>
    </row>
    <row r="420" s="1171" customFormat="1" customHeight="1" spans="1:111">
      <c r="A420" s="1245">
        <v>46102</v>
      </c>
      <c r="B420" s="1247" t="s">
        <v>1853</v>
      </c>
      <c r="C420" s="1234" t="s">
        <v>201</v>
      </c>
      <c r="D420" s="1188">
        <v>4500197988</v>
      </c>
      <c r="E420" s="1253" t="s">
        <v>1854</v>
      </c>
      <c r="F420" s="1188" t="s">
        <v>1855</v>
      </c>
      <c r="G420" s="1253" t="s">
        <v>380</v>
      </c>
      <c r="H420" s="1234" t="s">
        <v>381</v>
      </c>
      <c r="I420" s="1254">
        <v>30000</v>
      </c>
      <c r="J420" s="1234">
        <v>0</v>
      </c>
      <c r="K420" s="1234">
        <v>16</v>
      </c>
      <c r="L420" s="1246">
        <f t="shared" si="144"/>
        <v>1875</v>
      </c>
      <c r="M420" s="1255">
        <v>46218</v>
      </c>
      <c r="N420" s="1320">
        <v>46228</v>
      </c>
      <c r="O420" s="1320" t="s">
        <v>1845</v>
      </c>
      <c r="P420" s="1233"/>
      <c r="Q420" s="1364" t="s">
        <v>1410</v>
      </c>
      <c r="R420" s="1234"/>
      <c r="S420" s="1234"/>
      <c r="T420" s="1233">
        <f>29936+64</f>
        <v>30000</v>
      </c>
      <c r="U420" s="1233">
        <f t="shared" si="143"/>
        <v>0</v>
      </c>
      <c r="V420" s="1234"/>
      <c r="W420" s="1238">
        <v>46104</v>
      </c>
      <c r="X420" s="1227" t="s">
        <v>95</v>
      </c>
      <c r="Y420" s="1227" t="s">
        <v>1856</v>
      </c>
      <c r="Z420" s="1247"/>
      <c r="AA420" s="1247"/>
      <c r="AB420" s="1247"/>
      <c r="AC420" s="1334" t="s">
        <v>1857</v>
      </c>
      <c r="AD420" s="1255" t="s">
        <v>1858</v>
      </c>
      <c r="AE420" s="1267">
        <v>1.3</v>
      </c>
      <c r="AF420" s="1248">
        <f>AE420*I420</f>
        <v>39000</v>
      </c>
      <c r="AG420" s="1258"/>
      <c r="AH420" s="1234" t="s">
        <v>1544</v>
      </c>
      <c r="AI420" s="1234" t="s">
        <v>112</v>
      </c>
      <c r="AJ420" s="1234" t="s">
        <v>113</v>
      </c>
      <c r="AK420" s="1188">
        <f t="shared" si="145"/>
        <v>30000</v>
      </c>
      <c r="AL420" s="1188"/>
      <c r="AM420" s="1188"/>
      <c r="AN420" s="1188"/>
      <c r="AO420" s="1188"/>
      <c r="AP420" s="1188">
        <f>I420</f>
        <v>30000</v>
      </c>
      <c r="AQ420" s="1240"/>
      <c r="AR420" s="1188"/>
      <c r="AS420" s="1236"/>
      <c r="AT420" s="1236"/>
      <c r="AU420" s="1188">
        <f t="shared" si="146"/>
        <v>30000</v>
      </c>
      <c r="AV420" s="1250">
        <f>I420*0.06</f>
        <v>1800</v>
      </c>
      <c r="AW420" s="1250"/>
      <c r="AX420" s="1188"/>
      <c r="AY420" s="1188"/>
      <c r="AZ420" s="1188"/>
      <c r="BA420" s="1188"/>
      <c r="BB420" s="1188"/>
      <c r="BC420" s="1188"/>
      <c r="BD420" s="1188"/>
      <c r="BE420" s="1188"/>
      <c r="BF420" s="1188"/>
      <c r="BG420" s="1188"/>
      <c r="BH420" s="1188"/>
      <c r="BI420" s="1188"/>
      <c r="BJ420" s="1188"/>
      <c r="BK420" s="1188"/>
      <c r="BL420" s="1188"/>
      <c r="BM420" s="1188"/>
      <c r="BN420" s="1188"/>
      <c r="BO420" s="1240"/>
      <c r="BP420" s="1240"/>
      <c r="BQ420" s="1188"/>
      <c r="BR420" s="1236"/>
      <c r="BS420" s="1188">
        <f>I420/16</f>
        <v>1875</v>
      </c>
      <c r="BT420" s="1188"/>
      <c r="BU420" s="1188"/>
      <c r="BV420" s="1240"/>
      <c r="BW420" s="1188"/>
      <c r="BX420" s="1188"/>
      <c r="BY420" s="1188"/>
      <c r="BZ420" s="1188"/>
      <c r="CA420" s="1188"/>
      <c r="CB420" s="1188"/>
      <c r="CC420" s="1188"/>
      <c r="CD420" s="1188">
        <f t="shared" si="147"/>
        <v>1875</v>
      </c>
      <c r="CE420" s="1188">
        <f t="shared" si="148"/>
        <v>0</v>
      </c>
      <c r="CF420" s="1188">
        <f t="shared" si="149"/>
        <v>0</v>
      </c>
      <c r="CG420" s="1188">
        <f t="shared" si="150"/>
        <v>0</v>
      </c>
      <c r="CH420" s="1236"/>
      <c r="CI420" s="1236"/>
      <c r="CJ420" s="1236"/>
      <c r="CK420" s="1188"/>
      <c r="CL420" s="1188"/>
      <c r="CM420" s="1168"/>
      <c r="CN420" s="1168"/>
      <c r="CO420" s="1168"/>
      <c r="CP420" s="1168"/>
      <c r="CQ420" s="1168"/>
      <c r="CR420" s="1168"/>
      <c r="CS420" s="1168"/>
      <c r="CT420" s="1168"/>
      <c r="CU420" s="1168"/>
      <c r="CV420" s="1168"/>
      <c r="CW420" s="1168"/>
      <c r="CX420" s="1168"/>
      <c r="CY420" s="1168"/>
      <c r="CZ420" s="1168"/>
      <c r="DA420" s="1168"/>
      <c r="DB420" s="1168"/>
      <c r="DC420" s="1168"/>
      <c r="DD420" s="1168"/>
      <c r="DE420" s="1168"/>
      <c r="DF420" s="1168"/>
      <c r="DG420" s="1168"/>
    </row>
    <row r="421" s="1171" customFormat="1" customHeight="1" spans="1:111">
      <c r="A421" s="1289">
        <v>46189</v>
      </c>
      <c r="B421" s="543"/>
      <c r="C421" s="504" t="s">
        <v>597</v>
      </c>
      <c r="D421" s="327" t="s">
        <v>1859</v>
      </c>
      <c r="E421" s="504"/>
      <c r="F421" s="502" t="s">
        <v>1859</v>
      </c>
      <c r="G421" s="505" t="s">
        <v>91</v>
      </c>
      <c r="H421" s="504" t="s">
        <v>600</v>
      </c>
      <c r="I421" s="1311" t="s">
        <v>1860</v>
      </c>
      <c r="J421" s="504">
        <v>0</v>
      </c>
      <c r="K421" s="504"/>
      <c r="L421" s="1291"/>
      <c r="M421" s="501">
        <v>46218</v>
      </c>
      <c r="N421" s="501">
        <v>46214</v>
      </c>
      <c r="O421" s="501"/>
      <c r="P421" s="506"/>
      <c r="Q421" s="506"/>
      <c r="R421" s="504"/>
      <c r="S421" s="504"/>
      <c r="T421" s="506">
        <v>670</v>
      </c>
      <c r="U421" s="500">
        <v>0</v>
      </c>
      <c r="V421" s="504"/>
      <c r="W421" s="1300" t="s">
        <v>94</v>
      </c>
      <c r="X421" s="1301" t="s">
        <v>95</v>
      </c>
      <c r="Y421" s="1294" t="s">
        <v>95</v>
      </c>
      <c r="Z421" s="544"/>
      <c r="AA421" s="544"/>
      <c r="AB421" s="543"/>
      <c r="AC421" s="544" t="s">
        <v>1861</v>
      </c>
      <c r="AD421" s="1365" t="s">
        <v>272</v>
      </c>
      <c r="AE421" s="1366"/>
      <c r="AF421" s="1367"/>
      <c r="AG421" s="1368"/>
      <c r="AH421" s="488" t="s">
        <v>99</v>
      </c>
      <c r="AI421" s="488" t="s">
        <v>99</v>
      </c>
      <c r="AJ421" s="504"/>
      <c r="AK421" s="502"/>
      <c r="AL421" s="502"/>
      <c r="AM421" s="1218"/>
      <c r="AN421" s="502"/>
      <c r="AO421" s="502"/>
      <c r="AP421" s="502"/>
      <c r="AQ421" s="1296"/>
      <c r="AR421" s="438"/>
      <c r="AS421" s="1297"/>
      <c r="AT421" s="1297"/>
      <c r="AU421" s="327"/>
      <c r="AV421" s="1298"/>
      <c r="AW421" s="1298"/>
      <c r="AX421" s="502"/>
      <c r="AY421" s="502"/>
      <c r="AZ421" s="502"/>
      <c r="BA421" s="502"/>
      <c r="BB421" s="502"/>
      <c r="BC421" s="502"/>
      <c r="BD421" s="502"/>
      <c r="BE421" s="502"/>
      <c r="BF421" s="502"/>
      <c r="BG421" s="502"/>
      <c r="BH421" s="502"/>
      <c r="BI421" s="502"/>
      <c r="BJ421" s="502"/>
      <c r="BK421" s="502"/>
      <c r="BL421" s="502"/>
      <c r="BM421" s="502"/>
      <c r="BN421" s="502"/>
      <c r="BO421" s="1296"/>
      <c r="BP421" s="1296"/>
      <c r="BQ421" s="1218"/>
      <c r="BR421" s="1297"/>
      <c r="BS421" s="502"/>
      <c r="BT421" s="502"/>
      <c r="BU421" s="502"/>
      <c r="BV421" s="1296"/>
      <c r="BW421" s="1218"/>
      <c r="BX421" s="1218"/>
      <c r="BY421" s="1218"/>
      <c r="BZ421" s="1218"/>
      <c r="CA421" s="1218"/>
      <c r="CB421" s="1218"/>
      <c r="CC421" s="1218"/>
      <c r="CD421" s="1218">
        <f t="shared" si="147"/>
        <v>0</v>
      </c>
      <c r="CE421" s="1218">
        <f t="shared" si="148"/>
        <v>0</v>
      </c>
      <c r="CF421" s="502">
        <f t="shared" si="149"/>
        <v>0</v>
      </c>
      <c r="CG421" s="1218">
        <f t="shared" si="150"/>
        <v>0</v>
      </c>
      <c r="CH421" s="1299"/>
      <c r="CI421" s="1299"/>
      <c r="CJ421" s="1297"/>
      <c r="CK421" s="502"/>
      <c r="CL421" s="502"/>
      <c r="CM421" s="293"/>
      <c r="CN421" s="293"/>
      <c r="CO421" s="293"/>
      <c r="CP421" s="293"/>
      <c r="CQ421" s="293"/>
      <c r="CR421" s="293"/>
      <c r="CS421" s="293"/>
      <c r="CT421" s="293"/>
      <c r="CU421" s="293"/>
      <c r="CV421" s="293"/>
      <c r="CW421" s="293"/>
      <c r="CX421" s="293"/>
      <c r="CY421" s="293"/>
      <c r="CZ421" s="293"/>
      <c r="DA421" s="293"/>
      <c r="DB421" s="293"/>
      <c r="DC421" s="293"/>
      <c r="DD421" s="293"/>
      <c r="DE421" s="293"/>
      <c r="DF421" s="293"/>
      <c r="DG421" s="293"/>
    </row>
    <row r="422" s="1168" customFormat="1" customHeight="1" spans="1:111">
      <c r="A422" s="1245">
        <v>46122</v>
      </c>
      <c r="B422" s="1247" t="s">
        <v>1060</v>
      </c>
      <c r="C422" s="1234" t="s">
        <v>148</v>
      </c>
      <c r="D422" s="1188">
        <v>4500201010</v>
      </c>
      <c r="E422" s="1233">
        <v>2000009904</v>
      </c>
      <c r="F422" s="1188" t="s">
        <v>1862</v>
      </c>
      <c r="G422" s="1253" t="s">
        <v>803</v>
      </c>
      <c r="H422" s="1234" t="s">
        <v>804</v>
      </c>
      <c r="I422" s="1254">
        <v>1704</v>
      </c>
      <c r="J422" s="1234">
        <v>0</v>
      </c>
      <c r="K422" s="1234">
        <v>6</v>
      </c>
      <c r="L422" s="1246">
        <f t="shared" ref="L422:L485" si="151">I422/K422</f>
        <v>284</v>
      </c>
      <c r="M422" s="1255">
        <v>46218</v>
      </c>
      <c r="N422" s="1320">
        <v>46228</v>
      </c>
      <c r="O422" s="1320" t="s">
        <v>1772</v>
      </c>
      <c r="P422" s="1233"/>
      <c r="Q422" s="1233" t="s">
        <v>1410</v>
      </c>
      <c r="R422" s="1234"/>
      <c r="S422" s="1234"/>
      <c r="T422" s="715">
        <f>1686+18</f>
        <v>1704</v>
      </c>
      <c r="U422" s="1233">
        <f t="shared" ref="U422:U485" si="152">T422-I422</f>
        <v>0</v>
      </c>
      <c r="V422" s="1234"/>
      <c r="W422" s="1238" t="s">
        <v>1863</v>
      </c>
      <c r="X422" s="1227" t="s">
        <v>95</v>
      </c>
      <c r="Y422" s="1227" t="s">
        <v>1864</v>
      </c>
      <c r="Z422" s="1247" t="s">
        <v>1499</v>
      </c>
      <c r="AA422" s="1247"/>
      <c r="AB422" s="1247"/>
      <c r="AC422" s="1247" t="s">
        <v>1865</v>
      </c>
      <c r="AD422" s="1255" t="s">
        <v>1067</v>
      </c>
      <c r="AE422" s="1188">
        <v>8.15</v>
      </c>
      <c r="AF422" s="1248">
        <f>AE422*I422</f>
        <v>13887.6</v>
      </c>
      <c r="AG422" s="1258"/>
      <c r="AH422" s="1234" t="s">
        <v>952</v>
      </c>
      <c r="AI422" s="1234" t="s">
        <v>112</v>
      </c>
      <c r="AJ422" s="1234" t="s">
        <v>1866</v>
      </c>
      <c r="AK422" s="1188">
        <f>I422*2</f>
        <v>3408</v>
      </c>
      <c r="AL422" s="1188"/>
      <c r="AM422" s="1188"/>
      <c r="AN422" s="1188"/>
      <c r="AO422" s="1188"/>
      <c r="AP422" s="1188">
        <f>I422*2</f>
        <v>3408</v>
      </c>
      <c r="AQ422" s="1240"/>
      <c r="AR422" s="1188"/>
      <c r="AS422" s="1236"/>
      <c r="AT422" s="1236"/>
      <c r="AU422" s="1188">
        <f>I422*2</f>
        <v>3408</v>
      </c>
      <c r="AV422" s="1250">
        <f>I422*0.06*2</f>
        <v>204.48</v>
      </c>
      <c r="AW422" s="1250"/>
      <c r="AX422" s="1188"/>
      <c r="AY422" s="1188"/>
      <c r="AZ422" s="1188"/>
      <c r="BA422" s="1188"/>
      <c r="BB422" s="1188"/>
      <c r="BC422" s="1188"/>
      <c r="BD422" s="1188"/>
      <c r="BE422" s="1188"/>
      <c r="BF422" s="1188"/>
      <c r="BG422" s="1188"/>
      <c r="BH422" s="1188"/>
      <c r="BI422" s="1188"/>
      <c r="BJ422" s="1188"/>
      <c r="BK422" s="1188"/>
      <c r="BL422" s="1188"/>
      <c r="BM422" s="1188"/>
      <c r="BN422" s="1188"/>
      <c r="BO422" s="1240"/>
      <c r="BP422" s="1240"/>
      <c r="BQ422" s="1188"/>
      <c r="BR422" s="1236"/>
      <c r="BS422" s="1236"/>
      <c r="BT422" s="1188"/>
      <c r="BU422" s="1188"/>
      <c r="BV422" s="1240"/>
      <c r="BW422" s="1188"/>
      <c r="BX422" s="1188"/>
      <c r="BY422" s="1188"/>
      <c r="BZ422" s="1188"/>
      <c r="CA422" s="1188"/>
      <c r="CB422" s="1188"/>
      <c r="CC422" s="1188"/>
      <c r="CD422" s="1188">
        <f t="shared" si="147"/>
        <v>0</v>
      </c>
      <c r="CE422" s="1188">
        <f t="shared" si="148"/>
        <v>0</v>
      </c>
      <c r="CF422" s="1188">
        <f t="shared" si="149"/>
        <v>0</v>
      </c>
      <c r="CG422" s="1188">
        <f t="shared" si="150"/>
        <v>0</v>
      </c>
      <c r="CH422" s="1236"/>
      <c r="CI422" s="1236"/>
      <c r="CJ422" s="1236"/>
      <c r="CK422" s="1188"/>
      <c r="CL422" s="1188"/>
    </row>
    <row r="423" s="1168" customFormat="1" customHeight="1" spans="1:111">
      <c r="A423" s="1245">
        <v>46154</v>
      </c>
      <c r="B423" s="1269" t="s">
        <v>1212</v>
      </c>
      <c r="C423" s="1287" t="s">
        <v>1213</v>
      </c>
      <c r="D423" s="1270">
        <v>4500206033</v>
      </c>
      <c r="E423" s="1271" t="s">
        <v>1867</v>
      </c>
      <c r="F423" s="1270" t="s">
        <v>1868</v>
      </c>
      <c r="G423" s="1272" t="s">
        <v>188</v>
      </c>
      <c r="H423" s="1247" t="s">
        <v>138</v>
      </c>
      <c r="I423" s="1273">
        <v>7000</v>
      </c>
      <c r="J423" s="1274">
        <v>0</v>
      </c>
      <c r="K423" s="1274">
        <v>50</v>
      </c>
      <c r="L423" s="1246">
        <f t="shared" si="151"/>
        <v>140</v>
      </c>
      <c r="M423" s="1255">
        <v>46218</v>
      </c>
      <c r="N423" s="1320">
        <v>46228</v>
      </c>
      <c r="O423" s="1320" t="s">
        <v>1845</v>
      </c>
      <c r="P423" s="1233"/>
      <c r="Q423" s="1233" t="s">
        <v>1410</v>
      </c>
      <c r="R423" s="1234"/>
      <c r="S423" s="1234"/>
      <c r="T423" s="1233">
        <v>7000</v>
      </c>
      <c r="U423" s="1233">
        <f t="shared" si="152"/>
        <v>0</v>
      </c>
      <c r="V423" s="1234"/>
      <c r="W423" s="1238">
        <v>46190</v>
      </c>
      <c r="X423" s="1227" t="s">
        <v>95</v>
      </c>
      <c r="Y423" s="1369" t="s">
        <v>1869</v>
      </c>
      <c r="Z423" s="1247"/>
      <c r="AA423" s="1247"/>
      <c r="AB423" s="1247"/>
      <c r="AC423" s="1321" t="s">
        <v>1870</v>
      </c>
      <c r="AD423" s="1275" t="s">
        <v>295</v>
      </c>
      <c r="AE423" s="1276">
        <v>1.0837</v>
      </c>
      <c r="AF423" s="1248">
        <f>AE423*I423</f>
        <v>7585.9</v>
      </c>
      <c r="AG423" s="1258"/>
      <c r="AH423" s="1234" t="s">
        <v>188</v>
      </c>
      <c r="AI423" s="1234" t="s">
        <v>112</v>
      </c>
      <c r="AJ423" s="1234" t="s">
        <v>113</v>
      </c>
      <c r="AK423" s="1188">
        <f t="shared" ref="AK423:AK433" si="153">I423</f>
        <v>7000</v>
      </c>
      <c r="AL423" s="1188"/>
      <c r="AM423" s="1188"/>
      <c r="AN423" s="1188">
        <f>I423</f>
        <v>7000</v>
      </c>
      <c r="AO423" s="1188"/>
      <c r="AP423" s="1188"/>
      <c r="AQ423" s="1240"/>
      <c r="AR423" s="1188"/>
      <c r="AS423" s="1236"/>
      <c r="AT423" s="1236"/>
      <c r="AU423" s="1188">
        <f>I423</f>
        <v>7000</v>
      </c>
      <c r="AV423" s="1250">
        <f>I423*0.06*2</f>
        <v>840</v>
      </c>
      <c r="AW423" s="1250"/>
      <c r="AX423" s="1188"/>
      <c r="AY423" s="1188"/>
      <c r="AZ423" s="1188"/>
      <c r="BA423" s="1188"/>
      <c r="BB423" s="1188"/>
      <c r="BC423" s="1188"/>
      <c r="BD423" s="1188"/>
      <c r="BE423" s="1188"/>
      <c r="BF423" s="1188"/>
      <c r="BG423" s="1188"/>
      <c r="BH423" s="1188"/>
      <c r="BI423" s="1188"/>
      <c r="BJ423" s="1188"/>
      <c r="BK423" s="1188"/>
      <c r="BL423" s="1188"/>
      <c r="BM423" s="1188"/>
      <c r="BN423" s="1188"/>
      <c r="BO423" s="1240"/>
      <c r="BP423" s="1240"/>
      <c r="BQ423" s="1188"/>
      <c r="BR423" s="1236"/>
      <c r="BS423" s="1236"/>
      <c r="BT423" s="1188"/>
      <c r="BU423" s="1188"/>
      <c r="BV423" s="1240"/>
      <c r="BW423" s="1188"/>
      <c r="BX423" s="1188"/>
      <c r="BY423" s="1188"/>
      <c r="BZ423" s="1188"/>
      <c r="CA423" s="1188"/>
      <c r="CB423" s="1188"/>
      <c r="CC423" s="1188"/>
      <c r="CD423" s="1188">
        <f t="shared" si="147"/>
        <v>0</v>
      </c>
      <c r="CE423" s="1188">
        <f t="shared" si="148"/>
        <v>0</v>
      </c>
      <c r="CF423" s="1188">
        <f t="shared" si="149"/>
        <v>0</v>
      </c>
      <c r="CG423" s="1188">
        <f t="shared" si="150"/>
        <v>0</v>
      </c>
      <c r="CH423" s="1236"/>
      <c r="CI423" s="1236"/>
      <c r="CJ423" s="1236"/>
      <c r="CK423" s="1188"/>
      <c r="CL423" s="1188"/>
    </row>
    <row r="424" s="1168" customFormat="1" customHeight="1" spans="1:111">
      <c r="A424" s="1245">
        <v>46134</v>
      </c>
      <c r="B424" s="1220" t="s">
        <v>607</v>
      </c>
      <c r="C424" s="1221" t="s">
        <v>608</v>
      </c>
      <c r="D424" s="1303">
        <v>4500203307</v>
      </c>
      <c r="E424" s="1226">
        <v>5200009751</v>
      </c>
      <c r="F424" s="1222" t="s">
        <v>1871</v>
      </c>
      <c r="G424" s="1223" t="s">
        <v>193</v>
      </c>
      <c r="H424" s="1221" t="s">
        <v>194</v>
      </c>
      <c r="I424" s="1252">
        <v>5200</v>
      </c>
      <c r="J424" s="1221">
        <v>0</v>
      </c>
      <c r="K424" s="1221">
        <v>13</v>
      </c>
      <c r="L424" s="1246">
        <f t="shared" si="151"/>
        <v>400</v>
      </c>
      <c r="M424" s="1225">
        <v>46219</v>
      </c>
      <c r="N424" s="1225">
        <v>46215</v>
      </c>
      <c r="O424" s="1255" t="s">
        <v>736</v>
      </c>
      <c r="P424" s="1233"/>
      <c r="Q424" s="1255" t="s">
        <v>106</v>
      </c>
      <c r="R424" s="1234"/>
      <c r="S424" s="1234"/>
      <c r="T424" s="1233">
        <f>3900+1300</f>
        <v>5200</v>
      </c>
      <c r="U424" s="1233">
        <f t="shared" si="152"/>
        <v>0</v>
      </c>
      <c r="V424" s="1234"/>
      <c r="W424" s="1256">
        <v>46169</v>
      </c>
      <c r="X424" s="1257" t="s">
        <v>95</v>
      </c>
      <c r="Y424" s="1257" t="s">
        <v>1003</v>
      </c>
      <c r="Z424" s="1247"/>
      <c r="AA424" s="1247"/>
      <c r="AB424" s="1247"/>
      <c r="AC424" s="1220" t="s">
        <v>1872</v>
      </c>
      <c r="AD424" s="1229" t="s">
        <v>895</v>
      </c>
      <c r="AE424" s="1247">
        <v>1.2</v>
      </c>
      <c r="AF424" s="1248">
        <f>I424*AE424</f>
        <v>6240</v>
      </c>
      <c r="AG424" s="1258"/>
      <c r="AH424" s="1234" t="s">
        <v>199</v>
      </c>
      <c r="AI424" s="1234" t="s">
        <v>112</v>
      </c>
      <c r="AJ424" s="1234" t="s">
        <v>113</v>
      </c>
      <c r="AK424" s="1188">
        <f t="shared" si="153"/>
        <v>5200</v>
      </c>
      <c r="AL424" s="1188"/>
      <c r="AM424" s="1188"/>
      <c r="AN424" s="1188"/>
      <c r="AO424" s="1188"/>
      <c r="AP424" s="1188">
        <f>I424</f>
        <v>5200</v>
      </c>
      <c r="AQ424" s="1240"/>
      <c r="AR424" s="1188"/>
      <c r="AS424" s="1236"/>
      <c r="AT424" s="1236"/>
      <c r="AU424" s="1188">
        <f>I424</f>
        <v>5200</v>
      </c>
      <c r="AV424" s="1250">
        <f>I424*0.06*2</f>
        <v>624</v>
      </c>
      <c r="AW424" s="1250"/>
      <c r="AX424" s="1188"/>
      <c r="AY424" s="1188"/>
      <c r="AZ424" s="1188"/>
      <c r="BA424" s="1188"/>
      <c r="BB424" s="1188"/>
      <c r="BC424" s="1188"/>
      <c r="BD424" s="1188"/>
      <c r="BE424" s="1188"/>
      <c r="BF424" s="1188"/>
      <c r="BG424" s="1188"/>
      <c r="BH424" s="1188"/>
      <c r="BI424" s="1188"/>
      <c r="BJ424" s="1188"/>
      <c r="BK424" s="1188"/>
      <c r="BL424" s="1188">
        <f>I424/13</f>
        <v>400</v>
      </c>
      <c r="BM424" s="1188"/>
      <c r="BN424" s="1188"/>
      <c r="BO424" s="1240"/>
      <c r="BP424" s="1240"/>
      <c r="BQ424" s="1188"/>
      <c r="BR424" s="1236"/>
      <c r="BS424" s="1236"/>
      <c r="BT424" s="1188"/>
      <c r="BU424" s="1188"/>
      <c r="BV424" s="1240"/>
      <c r="BW424" s="1188"/>
      <c r="BX424" s="1188"/>
      <c r="BY424" s="1188"/>
      <c r="BZ424" s="1188"/>
      <c r="CA424" s="1188"/>
      <c r="CB424" s="1188"/>
      <c r="CC424" s="1188"/>
      <c r="CD424" s="1188">
        <f t="shared" si="147"/>
        <v>0</v>
      </c>
      <c r="CE424" s="1188">
        <f t="shared" si="148"/>
        <v>0</v>
      </c>
      <c r="CF424" s="1188">
        <f t="shared" si="149"/>
        <v>0</v>
      </c>
      <c r="CG424" s="1188">
        <f t="shared" si="150"/>
        <v>0</v>
      </c>
      <c r="CH424" s="1236"/>
      <c r="CI424" s="1236"/>
      <c r="CJ424" s="1236"/>
      <c r="CK424" s="1188"/>
      <c r="CL424" s="1188"/>
    </row>
    <row r="425" s="1168" customFormat="1" customHeight="1" spans="1:111">
      <c r="A425" s="1245">
        <v>46219</v>
      </c>
      <c r="B425" s="1220" t="s">
        <v>163</v>
      </c>
      <c r="C425" s="1221" t="s">
        <v>164</v>
      </c>
      <c r="D425" s="1222">
        <v>4500216768</v>
      </c>
      <c r="E425" s="1221">
        <v>4400573265</v>
      </c>
      <c r="F425" s="1222" t="s">
        <v>1873</v>
      </c>
      <c r="G425" s="1223" t="s">
        <v>270</v>
      </c>
      <c r="H425" s="1221" t="s">
        <v>104</v>
      </c>
      <c r="I425" s="1252">
        <v>4000</v>
      </c>
      <c r="J425" s="1221">
        <v>0</v>
      </c>
      <c r="K425" s="1221">
        <v>25</v>
      </c>
      <c r="L425" s="1246">
        <f t="shared" si="151"/>
        <v>160</v>
      </c>
      <c r="M425" s="1225">
        <v>46219</v>
      </c>
      <c r="N425" s="1225">
        <v>46216</v>
      </c>
      <c r="O425" s="1255"/>
      <c r="P425" s="1256" t="s">
        <v>1874</v>
      </c>
      <c r="Q425" s="1233" t="s">
        <v>106</v>
      </c>
      <c r="R425" s="1234"/>
      <c r="S425" s="1234"/>
      <c r="T425" s="1233">
        <v>4000</v>
      </c>
      <c r="U425" s="1233">
        <f t="shared" si="152"/>
        <v>0</v>
      </c>
      <c r="V425" s="1234"/>
      <c r="W425" s="1256" t="s">
        <v>1874</v>
      </c>
      <c r="X425" s="1257" t="s">
        <v>95</v>
      </c>
      <c r="Y425" s="1257" t="s">
        <v>1794</v>
      </c>
      <c r="Z425" s="1247" t="s">
        <v>140</v>
      </c>
      <c r="AA425" s="1247"/>
      <c r="AB425" s="1247" t="s">
        <v>1795</v>
      </c>
      <c r="AC425" s="1220" t="s">
        <v>1875</v>
      </c>
      <c r="AD425" s="1225" t="s">
        <v>1142</v>
      </c>
      <c r="AE425" s="1188">
        <v>1.1467</v>
      </c>
      <c r="AF425" s="1248">
        <f>I425*AE425</f>
        <v>4586.8</v>
      </c>
      <c r="AG425" s="1258"/>
      <c r="AH425" s="1234" t="s">
        <v>137</v>
      </c>
      <c r="AI425" s="1234" t="s">
        <v>112</v>
      </c>
      <c r="AJ425" s="1234"/>
      <c r="AK425" s="1188">
        <f t="shared" si="153"/>
        <v>4000</v>
      </c>
      <c r="AL425" s="1188"/>
      <c r="AM425" s="1188"/>
      <c r="AN425" s="1188"/>
      <c r="AO425" s="1188"/>
      <c r="AP425" s="1188"/>
      <c r="AQ425" s="1240"/>
      <c r="AR425" s="1188"/>
      <c r="AS425" s="1236"/>
      <c r="AT425" s="1236"/>
      <c r="AU425" s="1188"/>
      <c r="AV425" s="1250">
        <f>I425*0.06</f>
        <v>240</v>
      </c>
      <c r="AW425" s="1250"/>
      <c r="AX425" s="1188"/>
      <c r="AY425" s="1188"/>
      <c r="AZ425" s="1188"/>
      <c r="BA425" s="1188"/>
      <c r="BB425" s="1188"/>
      <c r="BC425" s="1188"/>
      <c r="BD425" s="1188"/>
      <c r="BE425" s="1188"/>
      <c r="BF425" s="1188"/>
      <c r="BG425" s="1188">
        <f>I425</f>
        <v>4000</v>
      </c>
      <c r="BH425" s="1188">
        <f>I425</f>
        <v>4000</v>
      </c>
      <c r="BI425" s="1188"/>
      <c r="BJ425" s="1188"/>
      <c r="BK425" s="1188"/>
      <c r="BL425" s="1188"/>
      <c r="BM425" s="1188"/>
      <c r="BN425" s="1188"/>
      <c r="BO425" s="1240">
        <f>I425/25</f>
        <v>160</v>
      </c>
      <c r="BP425" s="1240"/>
      <c r="BQ425" s="1188"/>
      <c r="BR425" s="1236"/>
      <c r="BS425" s="1236"/>
      <c r="BT425" s="1188"/>
      <c r="BU425" s="1188"/>
      <c r="BV425" s="1240"/>
      <c r="BW425" s="1188"/>
      <c r="BX425" s="1188"/>
      <c r="BY425" s="1188"/>
      <c r="BZ425" s="1188"/>
      <c r="CA425" s="1188"/>
      <c r="CB425" s="1188"/>
      <c r="CC425" s="1188"/>
      <c r="CD425" s="1188">
        <f t="shared" si="147"/>
        <v>160</v>
      </c>
      <c r="CE425" s="1188">
        <f t="shared" si="148"/>
        <v>0</v>
      </c>
      <c r="CF425" s="1188">
        <f t="shared" si="149"/>
        <v>0</v>
      </c>
      <c r="CG425" s="1188">
        <f t="shared" si="150"/>
        <v>0</v>
      </c>
      <c r="CH425" s="1236"/>
      <c r="CI425" s="1236"/>
      <c r="CJ425" s="1236"/>
      <c r="CK425" s="1188"/>
      <c r="CL425" s="1188"/>
      <c r="CM425" s="1169"/>
      <c r="CN425" s="1169"/>
      <c r="CO425" s="1169"/>
      <c r="CP425" s="1169"/>
      <c r="CQ425" s="1169"/>
      <c r="CR425" s="1169"/>
      <c r="CS425" s="1169"/>
      <c r="CT425" s="1169"/>
      <c r="CU425" s="1169"/>
      <c r="CV425" s="1169"/>
      <c r="CW425" s="1169"/>
      <c r="CX425" s="1169"/>
      <c r="CY425" s="1169"/>
      <c r="CZ425" s="1169"/>
      <c r="DA425" s="1169"/>
      <c r="DB425" s="1169"/>
      <c r="DC425" s="1169"/>
      <c r="DD425" s="1169"/>
      <c r="DE425" s="1169"/>
      <c r="DF425" s="1169"/>
      <c r="DG425" s="1169"/>
    </row>
    <row r="426" s="1168" customFormat="1" customHeight="1" spans="1:111">
      <c r="A426" s="1245">
        <v>46142</v>
      </c>
      <c r="B426" s="1247" t="s">
        <v>1438</v>
      </c>
      <c r="C426" s="1234" t="s">
        <v>1439</v>
      </c>
      <c r="D426" s="1268">
        <v>4500204176</v>
      </c>
      <c r="E426" s="1234" t="s">
        <v>1876</v>
      </c>
      <c r="F426" s="1188" t="s">
        <v>1877</v>
      </c>
      <c r="G426" s="1253" t="s">
        <v>702</v>
      </c>
      <c r="H426" s="1234" t="s">
        <v>151</v>
      </c>
      <c r="I426" s="1254">
        <v>1176</v>
      </c>
      <c r="J426" s="1234">
        <v>0</v>
      </c>
      <c r="K426" s="1234">
        <v>84</v>
      </c>
      <c r="L426" s="1246">
        <f t="shared" si="151"/>
        <v>14</v>
      </c>
      <c r="M426" s="1255">
        <v>46219</v>
      </c>
      <c r="N426" s="1320">
        <v>46228</v>
      </c>
      <c r="O426" s="1320" t="s">
        <v>1878</v>
      </c>
      <c r="P426" s="1233"/>
      <c r="Q426" s="1233" t="s">
        <v>106</v>
      </c>
      <c r="R426" s="1234"/>
      <c r="S426" s="1234"/>
      <c r="T426" s="1233">
        <v>1176</v>
      </c>
      <c r="U426" s="1233">
        <f t="shared" si="152"/>
        <v>0</v>
      </c>
      <c r="V426" s="1234"/>
      <c r="W426" s="1238" t="s">
        <v>1443</v>
      </c>
      <c r="X426" s="1227" t="s">
        <v>107</v>
      </c>
      <c r="Y426" s="1227" t="s">
        <v>1444</v>
      </c>
      <c r="Z426" s="1247"/>
      <c r="AA426" s="1247"/>
      <c r="AB426" s="1247"/>
      <c r="AC426" s="1247" t="s">
        <v>1879</v>
      </c>
      <c r="AD426" s="1255" t="s">
        <v>1446</v>
      </c>
      <c r="AE426" s="1188">
        <v>210.1148</v>
      </c>
      <c r="AF426" s="1248">
        <f>L426*AE426</f>
        <v>2941.6072</v>
      </c>
      <c r="AG426" s="1258"/>
      <c r="AH426" s="1234" t="s">
        <v>1688</v>
      </c>
      <c r="AI426" s="1234" t="s">
        <v>112</v>
      </c>
      <c r="AJ426" s="1234" t="s">
        <v>113</v>
      </c>
      <c r="AK426" s="1188">
        <f t="shared" si="153"/>
        <v>1176</v>
      </c>
      <c r="AL426" s="1188"/>
      <c r="AM426" s="1188"/>
      <c r="AN426" s="1188"/>
      <c r="AO426" s="1188"/>
      <c r="AP426" s="1188">
        <f>I426</f>
        <v>1176</v>
      </c>
      <c r="AQ426" s="1240"/>
      <c r="AR426" s="1188"/>
      <c r="AS426" s="1236"/>
      <c r="AT426" s="1236"/>
      <c r="AU426" s="1188">
        <f>I426</f>
        <v>1176</v>
      </c>
      <c r="AV426" s="1250">
        <f>I426*0.06</f>
        <v>70.56</v>
      </c>
      <c r="AW426" s="1250"/>
      <c r="AX426" s="1188"/>
      <c r="AY426" s="1188"/>
      <c r="AZ426" s="1188"/>
      <c r="BA426" s="1188"/>
      <c r="BB426" s="1188"/>
      <c r="BC426" s="1188"/>
      <c r="BD426" s="1188"/>
      <c r="BE426" s="1188"/>
      <c r="BF426" s="1188"/>
      <c r="BG426" s="1188"/>
      <c r="BH426" s="1188"/>
      <c r="BI426" s="1188"/>
      <c r="BJ426" s="1188"/>
      <c r="BK426" s="1188"/>
      <c r="BL426" s="1188"/>
      <c r="BM426" s="1188"/>
      <c r="BN426" s="1188"/>
      <c r="BO426" s="1240"/>
      <c r="BP426" s="1240"/>
      <c r="BQ426" s="1188"/>
      <c r="BR426" s="1236"/>
      <c r="BS426" s="1236"/>
      <c r="BT426" s="1188"/>
      <c r="BU426" s="1188"/>
      <c r="BV426" s="1240"/>
      <c r="BW426" s="1188"/>
      <c r="BX426" s="1188">
        <f>I426/K426</f>
        <v>14</v>
      </c>
      <c r="BY426" s="1188"/>
      <c r="BZ426" s="1188"/>
      <c r="CA426" s="1188"/>
      <c r="CB426" s="1188"/>
      <c r="CC426" s="1188"/>
      <c r="CD426" s="1188">
        <f t="shared" si="147"/>
        <v>0</v>
      </c>
      <c r="CE426" s="1188">
        <f t="shared" si="148"/>
        <v>0</v>
      </c>
      <c r="CF426" s="1188">
        <f t="shared" si="149"/>
        <v>0</v>
      </c>
      <c r="CG426" s="1188">
        <f t="shared" si="150"/>
        <v>14</v>
      </c>
      <c r="CH426" s="1236"/>
      <c r="CI426" s="1236"/>
      <c r="CJ426" s="1236"/>
      <c r="CK426" s="1188"/>
      <c r="CL426" s="1188"/>
    </row>
    <row r="427" s="1168" customFormat="1" customHeight="1" spans="1:111">
      <c r="A427" s="1245">
        <v>46142</v>
      </c>
      <c r="B427" s="1247" t="s">
        <v>1438</v>
      </c>
      <c r="C427" s="1234" t="s">
        <v>1439</v>
      </c>
      <c r="D427" s="1268">
        <v>4500204166</v>
      </c>
      <c r="E427" s="1234" t="s">
        <v>1880</v>
      </c>
      <c r="F427" s="1188" t="s">
        <v>1881</v>
      </c>
      <c r="G427" s="1253" t="s">
        <v>702</v>
      </c>
      <c r="H427" s="1234" t="s">
        <v>151</v>
      </c>
      <c r="I427" s="1254">
        <v>924</v>
      </c>
      <c r="J427" s="1234">
        <v>0</v>
      </c>
      <c r="K427" s="1234">
        <v>84</v>
      </c>
      <c r="L427" s="1246">
        <f t="shared" si="151"/>
        <v>11</v>
      </c>
      <c r="M427" s="1255">
        <v>46219</v>
      </c>
      <c r="N427" s="1320">
        <v>46228</v>
      </c>
      <c r="O427" s="1320" t="s">
        <v>1878</v>
      </c>
      <c r="P427" s="1233"/>
      <c r="Q427" s="1233" t="s">
        <v>106</v>
      </c>
      <c r="R427" s="1234"/>
      <c r="S427" s="1234"/>
      <c r="T427" s="1233"/>
      <c r="U427" s="1233">
        <f t="shared" si="152"/>
        <v>-924</v>
      </c>
      <c r="V427" s="1234"/>
      <c r="W427" s="1238" t="s">
        <v>1443</v>
      </c>
      <c r="X427" s="1257" t="s">
        <v>107</v>
      </c>
      <c r="Y427" s="1227" t="s">
        <v>1444</v>
      </c>
      <c r="Z427" s="1247"/>
      <c r="AA427" s="1247"/>
      <c r="AB427" s="1247"/>
      <c r="AC427" s="1247" t="s">
        <v>1882</v>
      </c>
      <c r="AD427" s="1255" t="s">
        <v>1446</v>
      </c>
      <c r="AE427" s="1188">
        <v>210.56</v>
      </c>
      <c r="AF427" s="1248">
        <f>L427*AE427</f>
        <v>2316.16</v>
      </c>
      <c r="AG427" s="1258"/>
      <c r="AH427" s="1234" t="s">
        <v>1688</v>
      </c>
      <c r="AI427" s="1234" t="s">
        <v>112</v>
      </c>
      <c r="AJ427" s="1234" t="s">
        <v>113</v>
      </c>
      <c r="AK427" s="1188">
        <f t="shared" si="153"/>
        <v>924</v>
      </c>
      <c r="AL427" s="1188"/>
      <c r="AM427" s="1188"/>
      <c r="AN427" s="1188"/>
      <c r="AO427" s="1188"/>
      <c r="AP427" s="1188">
        <f>I427</f>
        <v>924</v>
      </c>
      <c r="AQ427" s="1240"/>
      <c r="AR427" s="1188"/>
      <c r="AS427" s="1236"/>
      <c r="AT427" s="1236"/>
      <c r="AU427" s="1188">
        <f>I427</f>
        <v>924</v>
      </c>
      <c r="AV427" s="1250">
        <f>I427*0.06</f>
        <v>55.44</v>
      </c>
      <c r="AW427" s="1250"/>
      <c r="AX427" s="1188"/>
      <c r="AY427" s="1188"/>
      <c r="AZ427" s="1188"/>
      <c r="BA427" s="1188"/>
      <c r="BB427" s="1188"/>
      <c r="BC427" s="1188"/>
      <c r="BD427" s="1188"/>
      <c r="BE427" s="1188"/>
      <c r="BF427" s="1188"/>
      <c r="BG427" s="1188"/>
      <c r="BH427" s="1188"/>
      <c r="BI427" s="1188"/>
      <c r="BJ427" s="1188"/>
      <c r="BK427" s="1188"/>
      <c r="BL427" s="1188"/>
      <c r="BM427" s="1188"/>
      <c r="BN427" s="1188"/>
      <c r="BO427" s="1240"/>
      <c r="BP427" s="1240"/>
      <c r="BQ427" s="1188"/>
      <c r="BR427" s="1236"/>
      <c r="BS427" s="1236"/>
      <c r="BT427" s="1188"/>
      <c r="BU427" s="1188"/>
      <c r="BV427" s="1240"/>
      <c r="BW427" s="1188"/>
      <c r="BX427" s="1188">
        <f>I427/K427</f>
        <v>11</v>
      </c>
      <c r="BY427" s="1188"/>
      <c r="BZ427" s="1188"/>
      <c r="CA427" s="1188"/>
      <c r="CB427" s="1188"/>
      <c r="CC427" s="1188"/>
      <c r="CD427" s="1188">
        <f t="shared" si="147"/>
        <v>0</v>
      </c>
      <c r="CE427" s="1188">
        <f t="shared" si="148"/>
        <v>0</v>
      </c>
      <c r="CF427" s="1188">
        <f t="shared" si="149"/>
        <v>0</v>
      </c>
      <c r="CG427" s="1188">
        <f t="shared" si="150"/>
        <v>11</v>
      </c>
      <c r="CH427" s="1236"/>
      <c r="CI427" s="1236"/>
      <c r="CJ427" s="1236"/>
      <c r="CK427" s="1188"/>
      <c r="CL427" s="1188"/>
    </row>
    <row r="428" s="1168" customFormat="1" customHeight="1" spans="1:111">
      <c r="A428" s="1245">
        <v>46169</v>
      </c>
      <c r="B428" s="1247" t="s">
        <v>602</v>
      </c>
      <c r="C428" s="1234" t="s">
        <v>508</v>
      </c>
      <c r="D428" s="1268">
        <v>4500209403</v>
      </c>
      <c r="E428" s="1233">
        <v>86817</v>
      </c>
      <c r="F428" s="1188" t="s">
        <v>1883</v>
      </c>
      <c r="G428" s="1253" t="s">
        <v>604</v>
      </c>
      <c r="H428" s="1234" t="s">
        <v>893</v>
      </c>
      <c r="I428" s="1254">
        <v>8000</v>
      </c>
      <c r="J428" s="1234">
        <v>0</v>
      </c>
      <c r="K428" s="1234">
        <v>25</v>
      </c>
      <c r="L428" s="1246">
        <f t="shared" si="151"/>
        <v>320</v>
      </c>
      <c r="M428" s="1255">
        <v>46220</v>
      </c>
      <c r="N428" s="1255">
        <v>46224</v>
      </c>
      <c r="O428" s="1255" t="s">
        <v>1884</v>
      </c>
      <c r="P428" s="1233"/>
      <c r="Q428" s="1255" t="s">
        <v>106</v>
      </c>
      <c r="R428" s="1234" t="s">
        <v>1885</v>
      </c>
      <c r="S428" s="1234"/>
      <c r="T428" s="1233">
        <v>8000</v>
      </c>
      <c r="U428" s="1233">
        <f t="shared" si="152"/>
        <v>0</v>
      </c>
      <c r="V428" s="1234"/>
      <c r="W428" s="1256">
        <v>46169</v>
      </c>
      <c r="X428" s="1257" t="s">
        <v>95</v>
      </c>
      <c r="Y428" s="1257" t="s">
        <v>1886</v>
      </c>
      <c r="Z428" s="1247" t="s">
        <v>360</v>
      </c>
      <c r="AA428" s="1247"/>
      <c r="AB428" s="1247"/>
      <c r="AC428" s="1247" t="s">
        <v>1887</v>
      </c>
      <c r="AD428" s="1248" t="s">
        <v>362</v>
      </c>
      <c r="AE428" s="1247">
        <v>1.1413</v>
      </c>
      <c r="AF428" s="1248">
        <f>I428*AE428</f>
        <v>9130.4</v>
      </c>
      <c r="AG428" s="1258"/>
      <c r="AH428" s="1234" t="s">
        <v>1304</v>
      </c>
      <c r="AI428" s="1234" t="s">
        <v>112</v>
      </c>
      <c r="AJ428" s="1234" t="s">
        <v>113</v>
      </c>
      <c r="AK428" s="1188">
        <f t="shared" si="153"/>
        <v>8000</v>
      </c>
      <c r="AL428" s="1188"/>
      <c r="AM428" s="1188"/>
      <c r="AN428" s="1188">
        <f>I428</f>
        <v>8000</v>
      </c>
      <c r="AO428" s="1188"/>
      <c r="AP428" s="1188"/>
      <c r="AQ428" s="1240"/>
      <c r="AR428" s="1188"/>
      <c r="AS428" s="1236"/>
      <c r="AT428" s="1236"/>
      <c r="AU428" s="1188"/>
      <c r="AV428" s="1250">
        <f>I428*0.06</f>
        <v>480</v>
      </c>
      <c r="AW428" s="1250"/>
      <c r="AX428" s="1188">
        <f>I428</f>
        <v>8000</v>
      </c>
      <c r="AY428" s="1188"/>
      <c r="AZ428" s="1188"/>
      <c r="BA428" s="1188"/>
      <c r="BB428" s="1188"/>
      <c r="BC428" s="1188"/>
      <c r="BD428" s="1188"/>
      <c r="BE428" s="1188"/>
      <c r="BF428" s="1188"/>
      <c r="BG428" s="1188"/>
      <c r="BH428" s="1188"/>
      <c r="BI428" s="1188"/>
      <c r="BJ428" s="1188"/>
      <c r="BK428" s="1188"/>
      <c r="BL428" s="1188"/>
      <c r="BM428" s="1188"/>
      <c r="BN428" s="1188"/>
      <c r="BO428" s="1240"/>
      <c r="BP428" s="1240"/>
      <c r="BQ428" s="1188">
        <f>I428/25</f>
        <v>320</v>
      </c>
      <c r="BR428" s="1236"/>
      <c r="BS428" s="1188"/>
      <c r="BT428" s="1188"/>
      <c r="BU428" s="1188"/>
      <c r="BV428" s="1240"/>
      <c r="BW428" s="1188"/>
      <c r="BX428" s="1188"/>
      <c r="BY428" s="1188"/>
      <c r="BZ428" s="1188"/>
      <c r="CA428" s="1188"/>
      <c r="CB428" s="1188"/>
      <c r="CC428" s="1188"/>
      <c r="CD428" s="1188">
        <f t="shared" si="147"/>
        <v>320</v>
      </c>
      <c r="CE428" s="1188">
        <f t="shared" si="148"/>
        <v>0</v>
      </c>
      <c r="CF428" s="1188">
        <f t="shared" si="149"/>
        <v>0</v>
      </c>
      <c r="CG428" s="1188">
        <f t="shared" si="150"/>
        <v>0</v>
      </c>
      <c r="CH428" s="1236"/>
      <c r="CI428" s="1236"/>
      <c r="CJ428" s="1236"/>
      <c r="CK428" s="1188"/>
      <c r="CL428" s="1188"/>
    </row>
    <row r="429" s="1168" customFormat="1" customHeight="1" spans="1:111">
      <c r="A429" s="1219">
        <v>46136</v>
      </c>
      <c r="B429" s="1220" t="s">
        <v>346</v>
      </c>
      <c r="C429" s="1221" t="s">
        <v>115</v>
      </c>
      <c r="D429" s="1303">
        <v>4500204121</v>
      </c>
      <c r="E429" s="1370">
        <v>7137244454</v>
      </c>
      <c r="F429" s="1222" t="s">
        <v>1888</v>
      </c>
      <c r="G429" s="1223" t="s">
        <v>1575</v>
      </c>
      <c r="H429" s="1221" t="s">
        <v>1576</v>
      </c>
      <c r="I429" s="1252">
        <v>17216</v>
      </c>
      <c r="J429" s="1221">
        <v>0</v>
      </c>
      <c r="K429" s="1221">
        <v>64</v>
      </c>
      <c r="L429" s="1224">
        <f t="shared" si="151"/>
        <v>269</v>
      </c>
      <c r="M429" s="1225">
        <v>46220</v>
      </c>
      <c r="N429" s="1338">
        <v>46220</v>
      </c>
      <c r="O429" s="1322" t="s">
        <v>736</v>
      </c>
      <c r="P429" s="1226" t="s">
        <v>1813</v>
      </c>
      <c r="Q429" s="1233" t="s">
        <v>267</v>
      </c>
      <c r="R429" s="1221" t="s">
        <v>1889</v>
      </c>
      <c r="S429" s="1221"/>
      <c r="T429" s="1226">
        <v>17216</v>
      </c>
      <c r="U429" s="1233">
        <f t="shared" si="152"/>
        <v>0</v>
      </c>
      <c r="V429" s="1221"/>
      <c r="W429" s="1238">
        <v>46136</v>
      </c>
      <c r="X429" s="1227" t="s">
        <v>95</v>
      </c>
      <c r="Y429" s="1227" t="s">
        <v>1762</v>
      </c>
      <c r="Z429" s="1220" t="s">
        <v>1577</v>
      </c>
      <c r="AA429" s="1220"/>
      <c r="AB429" s="1220"/>
      <c r="AC429" s="1358" t="s">
        <v>1613</v>
      </c>
      <c r="AD429" s="1225" t="s">
        <v>354</v>
      </c>
      <c r="AE429" s="1222">
        <v>235.0099</v>
      </c>
      <c r="AF429" s="1229">
        <f>I429*AE429</f>
        <v>4045930.4384</v>
      </c>
      <c r="AG429" s="1371" t="s">
        <v>1890</v>
      </c>
      <c r="AH429" s="1234" t="s">
        <v>1580</v>
      </c>
      <c r="AI429" s="1234" t="s">
        <v>112</v>
      </c>
      <c r="AJ429" s="1234" t="s">
        <v>113</v>
      </c>
      <c r="AK429" s="1188">
        <f t="shared" si="153"/>
        <v>17216</v>
      </c>
      <c r="AL429" s="1222"/>
      <c r="AM429" s="1222"/>
      <c r="AN429" s="1188">
        <f>I429</f>
        <v>17216</v>
      </c>
      <c r="AO429" s="1188"/>
      <c r="AP429" s="1188"/>
      <c r="AQ429" s="1240"/>
      <c r="AR429" s="1188"/>
      <c r="AS429" s="1236"/>
      <c r="AT429" s="1236"/>
      <c r="AU429" s="1188">
        <f>I429</f>
        <v>17216</v>
      </c>
      <c r="AV429" s="1241">
        <f t="shared" ref="AV429:AV444" si="154">I429*0.06*2</f>
        <v>2065.92</v>
      </c>
      <c r="AW429" s="1241"/>
      <c r="AX429" s="1222"/>
      <c r="AY429" s="1222"/>
      <c r="AZ429" s="1188"/>
      <c r="BA429" s="1188"/>
      <c r="BB429" s="1222"/>
      <c r="BC429" s="1222"/>
      <c r="BD429" s="1222"/>
      <c r="BE429" s="1222"/>
      <c r="BF429" s="1222"/>
      <c r="BG429" s="1222"/>
      <c r="BH429" s="1222"/>
      <c r="BI429" s="1222"/>
      <c r="BJ429" s="1222"/>
      <c r="BK429" s="1222"/>
      <c r="BL429" s="1222"/>
      <c r="BM429" s="1222"/>
      <c r="BN429" s="1222"/>
      <c r="BO429" s="1242"/>
      <c r="BP429" s="1242"/>
      <c r="BQ429" s="1222"/>
      <c r="BR429" s="1232">
        <f>I429/16</f>
        <v>1076</v>
      </c>
      <c r="BS429" s="1232"/>
      <c r="BT429" s="1222"/>
      <c r="BU429" s="1222"/>
      <c r="BV429" s="1242"/>
      <c r="BW429" s="1222"/>
      <c r="BX429" s="1222"/>
      <c r="BY429" s="1222"/>
      <c r="BZ429" s="1222"/>
      <c r="CA429" s="1222">
        <f>I429/64</f>
        <v>269</v>
      </c>
      <c r="CB429" s="1222"/>
      <c r="CC429" s="1222"/>
      <c r="CD429" s="1188">
        <f t="shared" si="147"/>
        <v>1076</v>
      </c>
      <c r="CE429" s="1188">
        <f t="shared" si="148"/>
        <v>0</v>
      </c>
      <c r="CF429" s="1188">
        <f t="shared" si="149"/>
        <v>0</v>
      </c>
      <c r="CG429" s="1188">
        <f t="shared" si="150"/>
        <v>0</v>
      </c>
      <c r="CH429" s="1232"/>
      <c r="CI429" s="1232"/>
      <c r="CJ429" s="1232"/>
      <c r="CK429" s="1222"/>
      <c r="CL429" s="1222"/>
    </row>
    <row r="430" s="1168" customFormat="1" customHeight="1" spans="1:111">
      <c r="A430" s="1245">
        <v>46136</v>
      </c>
      <c r="B430" s="1247" t="s">
        <v>346</v>
      </c>
      <c r="C430" s="1234" t="s">
        <v>115</v>
      </c>
      <c r="D430" s="1268">
        <v>4500204120</v>
      </c>
      <c r="E430" s="1264">
        <v>7137244452</v>
      </c>
      <c r="F430" s="1188" t="s">
        <v>1891</v>
      </c>
      <c r="G430" s="1253" t="s">
        <v>1575</v>
      </c>
      <c r="H430" s="1234" t="s">
        <v>1576</v>
      </c>
      <c r="I430" s="1254">
        <v>26112</v>
      </c>
      <c r="J430" s="1234">
        <v>0</v>
      </c>
      <c r="K430" s="1234">
        <v>64</v>
      </c>
      <c r="L430" s="1246">
        <f t="shared" si="151"/>
        <v>408</v>
      </c>
      <c r="M430" s="1320">
        <v>46220</v>
      </c>
      <c r="N430" s="1320">
        <v>46216</v>
      </c>
      <c r="O430" s="1322" t="s">
        <v>736</v>
      </c>
      <c r="P430" s="1233" t="s">
        <v>1892</v>
      </c>
      <c r="Q430" s="1233" t="s">
        <v>106</v>
      </c>
      <c r="R430" s="1234"/>
      <c r="S430" s="1234"/>
      <c r="T430" s="1233">
        <f>8624+8640</f>
        <v>17264</v>
      </c>
      <c r="U430" s="1233">
        <f t="shared" si="152"/>
        <v>-8848</v>
      </c>
      <c r="V430" s="1234"/>
      <c r="W430" s="1238">
        <v>46136</v>
      </c>
      <c r="X430" s="1227" t="s">
        <v>95</v>
      </c>
      <c r="Y430" s="1257" t="s">
        <v>1762</v>
      </c>
      <c r="Z430" s="1247" t="s">
        <v>1577</v>
      </c>
      <c r="AA430" s="1247"/>
      <c r="AB430" s="1247"/>
      <c r="AC430" s="1321" t="s">
        <v>1613</v>
      </c>
      <c r="AD430" s="1255" t="s">
        <v>354</v>
      </c>
      <c r="AE430" s="1188">
        <v>234.1958</v>
      </c>
      <c r="AF430" s="1248">
        <f>I430*AE430</f>
        <v>6115320.7296</v>
      </c>
      <c r="AG430" s="1266" t="s">
        <v>1893</v>
      </c>
      <c r="AH430" s="1234" t="s">
        <v>1580</v>
      </c>
      <c r="AI430" s="1234" t="s">
        <v>112</v>
      </c>
      <c r="AJ430" s="1234" t="s">
        <v>113</v>
      </c>
      <c r="AK430" s="1188">
        <f t="shared" si="153"/>
        <v>26112</v>
      </c>
      <c r="AL430" s="1188"/>
      <c r="AM430" s="1188"/>
      <c r="AN430" s="1188">
        <f>I430</f>
        <v>26112</v>
      </c>
      <c r="AO430" s="1188"/>
      <c r="AP430" s="1188"/>
      <c r="AQ430" s="1240"/>
      <c r="AR430" s="1188"/>
      <c r="AS430" s="1236"/>
      <c r="AT430" s="1236"/>
      <c r="AU430" s="1188">
        <f>I430</f>
        <v>26112</v>
      </c>
      <c r="AV430" s="1250">
        <f t="shared" si="154"/>
        <v>3133.44</v>
      </c>
      <c r="AW430" s="1250"/>
      <c r="AX430" s="1188"/>
      <c r="AY430" s="1188"/>
      <c r="AZ430" s="1188"/>
      <c r="BA430" s="1188"/>
      <c r="BB430" s="1188"/>
      <c r="BC430" s="1188"/>
      <c r="BD430" s="1188"/>
      <c r="BE430" s="1188"/>
      <c r="BF430" s="1188"/>
      <c r="BG430" s="1188"/>
      <c r="BH430" s="1188"/>
      <c r="BI430" s="1188"/>
      <c r="BJ430" s="1188"/>
      <c r="BK430" s="1188"/>
      <c r="BL430" s="1188"/>
      <c r="BM430" s="1188"/>
      <c r="BN430" s="1188"/>
      <c r="BO430" s="1240"/>
      <c r="BP430" s="1240"/>
      <c r="BQ430" s="1188"/>
      <c r="BR430" s="1236">
        <f>I430/16</f>
        <v>1632</v>
      </c>
      <c r="BS430" s="1188"/>
      <c r="BT430" s="1188"/>
      <c r="BU430" s="1188"/>
      <c r="BV430" s="1240"/>
      <c r="BW430" s="1188"/>
      <c r="BX430" s="1188"/>
      <c r="BY430" s="1188"/>
      <c r="BZ430" s="1188"/>
      <c r="CA430" s="1188">
        <f>I430/64</f>
        <v>408</v>
      </c>
      <c r="CB430" s="1188"/>
      <c r="CC430" s="1188"/>
      <c r="CD430" s="1188">
        <f t="shared" si="147"/>
        <v>1632</v>
      </c>
      <c r="CE430" s="1188">
        <f t="shared" si="148"/>
        <v>0</v>
      </c>
      <c r="CF430" s="1188">
        <f t="shared" si="149"/>
        <v>0</v>
      </c>
      <c r="CG430" s="1188">
        <f t="shared" si="150"/>
        <v>0</v>
      </c>
      <c r="CH430" s="1236"/>
      <c r="CI430" s="1236"/>
      <c r="CJ430" s="1236"/>
      <c r="CK430" s="1188"/>
      <c r="CL430" s="1188"/>
    </row>
    <row r="431" s="1168" customFormat="1" customHeight="1" spans="1:111">
      <c r="A431" s="1245">
        <v>46144</v>
      </c>
      <c r="B431" s="1247" t="s">
        <v>1894</v>
      </c>
      <c r="C431" s="1234" t="s">
        <v>1895</v>
      </c>
      <c r="D431" s="1372">
        <v>4500204979</v>
      </c>
      <c r="E431" s="1234" t="s">
        <v>1896</v>
      </c>
      <c r="F431" s="1188" t="s">
        <v>1897</v>
      </c>
      <c r="G431" s="1253" t="s">
        <v>174</v>
      </c>
      <c r="H431" s="1234" t="s">
        <v>175</v>
      </c>
      <c r="I431" s="1254">
        <v>1508</v>
      </c>
      <c r="J431" s="1234">
        <v>0</v>
      </c>
      <c r="K431" s="1234">
        <v>52</v>
      </c>
      <c r="L431" s="1246">
        <f t="shared" si="151"/>
        <v>29</v>
      </c>
      <c r="M431" s="1320">
        <v>46220</v>
      </c>
      <c r="N431" s="1320">
        <f>M431-2</f>
        <v>46218</v>
      </c>
      <c r="O431" s="1322" t="s">
        <v>736</v>
      </c>
      <c r="P431" s="1233"/>
      <c r="Q431" s="1233" t="s">
        <v>106</v>
      </c>
      <c r="R431" s="1234"/>
      <c r="S431" s="1234" t="s">
        <v>943</v>
      </c>
      <c r="T431" s="1233">
        <v>1508</v>
      </c>
      <c r="U431" s="1233">
        <f t="shared" si="152"/>
        <v>0</v>
      </c>
      <c r="V431" s="1234" t="s">
        <v>120</v>
      </c>
      <c r="W431" s="1238">
        <v>46156</v>
      </c>
      <c r="X431" s="1227" t="s">
        <v>95</v>
      </c>
      <c r="Y431" s="1227" t="s">
        <v>1898</v>
      </c>
      <c r="Z431" s="1247"/>
      <c r="AA431" s="1247"/>
      <c r="AB431" s="1247"/>
      <c r="AC431" s="1247" t="s">
        <v>1899</v>
      </c>
      <c r="AD431" s="1255" t="s">
        <v>1735</v>
      </c>
      <c r="AE431" s="1188">
        <v>1.0786</v>
      </c>
      <c r="AF431" s="1248">
        <f>I431*AE431</f>
        <v>1626.5288</v>
      </c>
      <c r="AG431" s="1258"/>
      <c r="AH431" s="1234" t="s">
        <v>1027</v>
      </c>
      <c r="AI431" s="1234" t="s">
        <v>112</v>
      </c>
      <c r="AJ431" s="1234" t="s">
        <v>113</v>
      </c>
      <c r="AK431" s="1188">
        <f t="shared" si="153"/>
        <v>1508</v>
      </c>
      <c r="AL431" s="1188"/>
      <c r="AM431" s="1188"/>
      <c r="AN431" s="1188"/>
      <c r="AO431" s="1188"/>
      <c r="AP431" s="1188">
        <f>I431</f>
        <v>1508</v>
      </c>
      <c r="AQ431" s="1240"/>
      <c r="AR431" s="1188"/>
      <c r="AS431" s="1236"/>
      <c r="AT431" s="1236"/>
      <c r="AU431" s="1188">
        <f>I431</f>
        <v>1508</v>
      </c>
      <c r="AV431" s="1250">
        <f t="shared" si="154"/>
        <v>180.96</v>
      </c>
      <c r="AW431" s="1250"/>
      <c r="AX431" s="1188"/>
      <c r="AY431" s="1188"/>
      <c r="AZ431" s="1188"/>
      <c r="BA431" s="1188"/>
      <c r="BB431" s="1188"/>
      <c r="BC431" s="1188"/>
      <c r="BD431" s="1188"/>
      <c r="BE431" s="1188"/>
      <c r="BF431" s="1188"/>
      <c r="BG431" s="1188"/>
      <c r="BH431" s="1188"/>
      <c r="BI431" s="1188"/>
      <c r="BJ431" s="1188"/>
      <c r="BK431" s="1188"/>
      <c r="BL431" s="1188"/>
      <c r="BM431" s="1188"/>
      <c r="BN431" s="1188"/>
      <c r="BO431" s="1240"/>
      <c r="BP431" s="1240"/>
      <c r="BQ431" s="1188"/>
      <c r="BR431" s="1236"/>
      <c r="BS431" s="1236"/>
      <c r="BT431" s="1188"/>
      <c r="BU431" s="1188"/>
      <c r="BV431" s="1240"/>
      <c r="BW431" s="1188"/>
      <c r="BX431" s="1188"/>
      <c r="BY431" s="1188"/>
      <c r="BZ431" s="1188"/>
      <c r="CA431" s="1188"/>
      <c r="CB431" s="1188"/>
      <c r="CC431" s="1188"/>
      <c r="CD431" s="1188">
        <f t="shared" si="147"/>
        <v>0</v>
      </c>
      <c r="CE431" s="1188">
        <f t="shared" si="148"/>
        <v>0</v>
      </c>
      <c r="CF431" s="1188">
        <f t="shared" si="149"/>
        <v>0</v>
      </c>
      <c r="CG431" s="1188">
        <f t="shared" si="150"/>
        <v>0</v>
      </c>
      <c r="CH431" s="1236"/>
      <c r="CI431" s="1236"/>
      <c r="CJ431" s="1236"/>
      <c r="CK431" s="1188"/>
      <c r="CL431" s="1188"/>
    </row>
    <row r="432" s="1168" customFormat="1" customHeight="1" spans="1:111">
      <c r="A432" s="1245">
        <v>46154</v>
      </c>
      <c r="B432" s="1269" t="s">
        <v>1532</v>
      </c>
      <c r="C432" s="1287" t="s">
        <v>1533</v>
      </c>
      <c r="D432" s="1270">
        <v>4500203215</v>
      </c>
      <c r="E432" s="1271" t="s">
        <v>1900</v>
      </c>
      <c r="F432" s="1270" t="s">
        <v>1901</v>
      </c>
      <c r="G432" s="1272" t="s">
        <v>188</v>
      </c>
      <c r="H432" s="1247" t="s">
        <v>138</v>
      </c>
      <c r="I432" s="1273">
        <v>500</v>
      </c>
      <c r="J432" s="1274">
        <v>0</v>
      </c>
      <c r="K432" s="1274">
        <v>50</v>
      </c>
      <c r="L432" s="1246">
        <f t="shared" si="151"/>
        <v>10</v>
      </c>
      <c r="M432" s="1255">
        <v>46220</v>
      </c>
      <c r="N432" s="1320">
        <v>46220</v>
      </c>
      <c r="O432" s="1322" t="s">
        <v>1902</v>
      </c>
      <c r="P432" s="1233"/>
      <c r="Q432" s="1233" t="s">
        <v>106</v>
      </c>
      <c r="R432" s="1234"/>
      <c r="S432" s="1234"/>
      <c r="T432" s="1233">
        <v>500</v>
      </c>
      <c r="U432" s="1233">
        <f t="shared" si="152"/>
        <v>0</v>
      </c>
      <c r="V432" s="1234"/>
      <c r="W432" s="1256">
        <v>46184</v>
      </c>
      <c r="X432" s="1257" t="s">
        <v>95</v>
      </c>
      <c r="Y432" s="1227" t="s">
        <v>1903</v>
      </c>
      <c r="Z432" s="1247"/>
      <c r="AA432" s="1247"/>
      <c r="AB432" s="1247"/>
      <c r="AC432" s="1247" t="s">
        <v>1904</v>
      </c>
      <c r="AD432" s="1275" t="s">
        <v>1169</v>
      </c>
      <c r="AE432" s="1276">
        <v>1.0942</v>
      </c>
      <c r="AF432" s="1248">
        <f>AE432*I432</f>
        <v>547.1</v>
      </c>
      <c r="AG432" s="1258"/>
      <c r="AH432" s="1234" t="s">
        <v>314</v>
      </c>
      <c r="AI432" s="1234" t="s">
        <v>112</v>
      </c>
      <c r="AJ432" s="1234" t="s">
        <v>113</v>
      </c>
      <c r="AK432" s="1188">
        <f t="shared" si="153"/>
        <v>500</v>
      </c>
      <c r="AL432" s="1188"/>
      <c r="AM432" s="1188"/>
      <c r="AN432" s="1188"/>
      <c r="AO432" s="1188"/>
      <c r="AP432" s="1188">
        <f>I432</f>
        <v>500</v>
      </c>
      <c r="AQ432" s="1240"/>
      <c r="AR432" s="1188"/>
      <c r="AS432" s="1236"/>
      <c r="AT432" s="1236"/>
      <c r="AU432" s="1188">
        <f>I432</f>
        <v>500</v>
      </c>
      <c r="AV432" s="1250">
        <f t="shared" si="154"/>
        <v>60</v>
      </c>
      <c r="AW432" s="1250"/>
      <c r="AX432" s="1188"/>
      <c r="AY432" s="1188"/>
      <c r="AZ432" s="1188"/>
      <c r="BA432" s="1188"/>
      <c r="BB432" s="1188"/>
      <c r="BC432" s="1188"/>
      <c r="BD432" s="1188"/>
      <c r="BE432" s="1188"/>
      <c r="BF432" s="1188"/>
      <c r="BG432" s="1188"/>
      <c r="BH432" s="1188"/>
      <c r="BI432" s="1188"/>
      <c r="BJ432" s="1188"/>
      <c r="BK432" s="1188"/>
      <c r="BL432" s="1188"/>
      <c r="BM432" s="1188"/>
      <c r="BN432" s="1188"/>
      <c r="BO432" s="1240">
        <f>I432/25</f>
        <v>20</v>
      </c>
      <c r="BP432" s="1240"/>
      <c r="BQ432" s="1188"/>
      <c r="BR432" s="1236"/>
      <c r="BS432" s="1188"/>
      <c r="BT432" s="1188"/>
      <c r="BU432" s="1188"/>
      <c r="BV432" s="1240"/>
      <c r="BW432" s="1188"/>
      <c r="BX432" s="1188"/>
      <c r="BY432" s="1188"/>
      <c r="BZ432" s="1188"/>
      <c r="CA432" s="1188"/>
      <c r="CB432" s="1188"/>
      <c r="CC432" s="1188"/>
      <c r="CD432" s="1188">
        <f t="shared" si="147"/>
        <v>20</v>
      </c>
      <c r="CE432" s="1188">
        <f t="shared" si="148"/>
        <v>0</v>
      </c>
      <c r="CF432" s="1188">
        <f t="shared" si="149"/>
        <v>0</v>
      </c>
      <c r="CG432" s="1188">
        <f t="shared" si="150"/>
        <v>0</v>
      </c>
      <c r="CH432" s="1236"/>
      <c r="CI432" s="1236"/>
      <c r="CJ432" s="1236"/>
      <c r="CK432" s="1188"/>
      <c r="CL432" s="1188"/>
    </row>
    <row r="433" s="1168" customFormat="1" customHeight="1" spans="1:111">
      <c r="A433" s="1219">
        <v>46136</v>
      </c>
      <c r="B433" s="1220" t="s">
        <v>346</v>
      </c>
      <c r="C433" s="1221" t="s">
        <v>115</v>
      </c>
      <c r="D433" s="1303">
        <v>4500204122</v>
      </c>
      <c r="E433" s="1370">
        <v>7137244449</v>
      </c>
      <c r="F433" s="1222" t="s">
        <v>1905</v>
      </c>
      <c r="G433" s="1223" t="s">
        <v>1575</v>
      </c>
      <c r="H433" s="1221" t="s">
        <v>1576</v>
      </c>
      <c r="I433" s="1252">
        <v>20736</v>
      </c>
      <c r="J433" s="1234">
        <v>0</v>
      </c>
      <c r="K433" s="1221">
        <v>64</v>
      </c>
      <c r="L433" s="1224">
        <f t="shared" si="151"/>
        <v>324</v>
      </c>
      <c r="M433" s="1338">
        <v>46220</v>
      </c>
      <c r="N433" s="1338">
        <v>46220</v>
      </c>
      <c r="O433" s="1322" t="s">
        <v>736</v>
      </c>
      <c r="P433" s="1226" t="s">
        <v>1813</v>
      </c>
      <c r="Q433" s="1328" t="s">
        <v>267</v>
      </c>
      <c r="R433" s="1221"/>
      <c r="S433" s="1221"/>
      <c r="T433" s="1226">
        <v>20720</v>
      </c>
      <c r="U433" s="1233">
        <f t="shared" si="152"/>
        <v>-16</v>
      </c>
      <c r="V433" s="1226"/>
      <c r="W433" s="1238">
        <v>46136</v>
      </c>
      <c r="X433" s="1227" t="s">
        <v>95</v>
      </c>
      <c r="Y433" s="1227" t="s">
        <v>1762</v>
      </c>
      <c r="Z433" s="1220" t="s">
        <v>1577</v>
      </c>
      <c r="AA433" s="1220"/>
      <c r="AB433" s="1220"/>
      <c r="AC433" s="1358" t="s">
        <v>1906</v>
      </c>
      <c r="AD433" s="1225" t="s">
        <v>354</v>
      </c>
      <c r="AE433" s="1222">
        <v>234.1958</v>
      </c>
      <c r="AF433" s="1229">
        <f t="shared" ref="AF433:AF438" si="155">I433*AE433</f>
        <v>4856284.1088</v>
      </c>
      <c r="AG433" s="1371" t="s">
        <v>1907</v>
      </c>
      <c r="AH433" s="1221" t="s">
        <v>1580</v>
      </c>
      <c r="AI433" s="1221" t="s">
        <v>112</v>
      </c>
      <c r="AJ433" s="1234" t="s">
        <v>113</v>
      </c>
      <c r="AK433" s="1188">
        <f t="shared" si="153"/>
        <v>20736</v>
      </c>
      <c r="AL433" s="1222"/>
      <c r="AM433" s="1222"/>
      <c r="AN433" s="1188">
        <f>I433</f>
        <v>20736</v>
      </c>
      <c r="AO433" s="1188"/>
      <c r="AP433" s="1188"/>
      <c r="AQ433" s="1240"/>
      <c r="AR433" s="1188"/>
      <c r="AS433" s="1236"/>
      <c r="AT433" s="1236"/>
      <c r="AU433" s="1188">
        <f>I433</f>
        <v>20736</v>
      </c>
      <c r="AV433" s="1241">
        <f t="shared" si="154"/>
        <v>2488.32</v>
      </c>
      <c r="AW433" s="1241"/>
      <c r="AX433" s="1222"/>
      <c r="AY433" s="1222"/>
      <c r="AZ433" s="1188"/>
      <c r="BA433" s="1188"/>
      <c r="BB433" s="1222"/>
      <c r="BC433" s="1222"/>
      <c r="BD433" s="1222"/>
      <c r="BE433" s="1222"/>
      <c r="BF433" s="1222"/>
      <c r="BG433" s="1222"/>
      <c r="BH433" s="1222"/>
      <c r="BI433" s="1222"/>
      <c r="BJ433" s="1222"/>
      <c r="BK433" s="1222"/>
      <c r="BL433" s="1222"/>
      <c r="BM433" s="1222"/>
      <c r="BN433" s="1222"/>
      <c r="BO433" s="1242"/>
      <c r="BP433" s="1242"/>
      <c r="BQ433" s="1222"/>
      <c r="BR433" s="1232">
        <f>I433/16</f>
        <v>1296</v>
      </c>
      <c r="BS433" s="1232"/>
      <c r="BT433" s="1222"/>
      <c r="BU433" s="1222"/>
      <c r="BV433" s="1242"/>
      <c r="BW433" s="1222"/>
      <c r="BX433" s="1222"/>
      <c r="BY433" s="1222"/>
      <c r="BZ433" s="1222"/>
      <c r="CA433" s="1222">
        <f>I433/64</f>
        <v>324</v>
      </c>
      <c r="CB433" s="1222"/>
      <c r="CC433" s="1222"/>
      <c r="CD433" s="1188">
        <f t="shared" si="147"/>
        <v>1296</v>
      </c>
      <c r="CE433" s="1188">
        <f t="shared" si="148"/>
        <v>0</v>
      </c>
      <c r="CF433" s="1188">
        <f t="shared" si="149"/>
        <v>0</v>
      </c>
      <c r="CG433" s="1188">
        <f t="shared" si="150"/>
        <v>0</v>
      </c>
      <c r="CH433" s="1232"/>
      <c r="CI433" s="1232"/>
      <c r="CJ433" s="1232"/>
      <c r="CK433" s="1222"/>
      <c r="CL433" s="1222"/>
    </row>
    <row r="434" s="1169" customFormat="1" customHeight="1" spans="1:111">
      <c r="A434" s="1245">
        <v>46204</v>
      </c>
      <c r="B434" s="1220" t="s">
        <v>1908</v>
      </c>
      <c r="C434" s="1221" t="s">
        <v>201</v>
      </c>
      <c r="D434" s="1303">
        <v>4500214526</v>
      </c>
      <c r="E434" s="1221" t="s">
        <v>1909</v>
      </c>
      <c r="F434" s="1222" t="s">
        <v>1910</v>
      </c>
      <c r="G434" s="1223" t="s">
        <v>389</v>
      </c>
      <c r="H434" s="1234" t="s">
        <v>390</v>
      </c>
      <c r="I434" s="1252">
        <v>12</v>
      </c>
      <c r="J434" s="1221">
        <v>0</v>
      </c>
      <c r="K434" s="1221">
        <v>12</v>
      </c>
      <c r="L434" s="1246">
        <f t="shared" si="151"/>
        <v>1</v>
      </c>
      <c r="M434" s="1225">
        <v>46220</v>
      </c>
      <c r="N434" s="1320">
        <v>46219</v>
      </c>
      <c r="O434" s="1255" t="s">
        <v>1062</v>
      </c>
      <c r="P434" s="1233" t="s">
        <v>1911</v>
      </c>
      <c r="Q434" s="1233"/>
      <c r="R434" s="1234" t="s">
        <v>1657</v>
      </c>
      <c r="S434" s="1234"/>
      <c r="T434" s="1233">
        <v>12</v>
      </c>
      <c r="U434" s="1233">
        <f t="shared" si="152"/>
        <v>0</v>
      </c>
      <c r="V434" s="1234" t="s">
        <v>120</v>
      </c>
      <c r="W434" s="1256">
        <v>46139</v>
      </c>
      <c r="X434" s="1257" t="s">
        <v>107</v>
      </c>
      <c r="Y434" s="1257">
        <v>46189</v>
      </c>
      <c r="Z434" s="1247"/>
      <c r="AA434" s="1247"/>
      <c r="AB434" s="1247"/>
      <c r="AC434" s="1220" t="s">
        <v>1912</v>
      </c>
      <c r="AD434" s="1225" t="s">
        <v>563</v>
      </c>
      <c r="AE434" s="1188">
        <v>2.4945</v>
      </c>
      <c r="AF434" s="1248">
        <f t="shared" si="155"/>
        <v>29.934</v>
      </c>
      <c r="AG434" s="1258"/>
      <c r="AH434" s="1253" t="s">
        <v>389</v>
      </c>
      <c r="AI434" s="1234" t="s">
        <v>112</v>
      </c>
      <c r="AJ434" s="1234" t="s">
        <v>113</v>
      </c>
      <c r="AK434" s="1188">
        <f>I434*2</f>
        <v>24</v>
      </c>
      <c r="AL434" s="1188"/>
      <c r="AM434" s="1188"/>
      <c r="AN434" s="1188"/>
      <c r="AO434" s="1188"/>
      <c r="AP434" s="1188"/>
      <c r="AQ434" s="1240">
        <f>I434*2</f>
        <v>24</v>
      </c>
      <c r="AR434" s="1188"/>
      <c r="AS434" s="1236"/>
      <c r="AT434" s="1236"/>
      <c r="AU434" s="1188">
        <f>I434*2</f>
        <v>24</v>
      </c>
      <c r="AV434" s="1250">
        <f t="shared" si="154"/>
        <v>1.44</v>
      </c>
      <c r="AW434" s="1250"/>
      <c r="AX434" s="1188"/>
      <c r="AY434" s="1188"/>
      <c r="AZ434" s="1188"/>
      <c r="BA434" s="1188"/>
      <c r="BB434" s="1188"/>
      <c r="BC434" s="1188"/>
      <c r="BD434" s="1188"/>
      <c r="BE434" s="1188"/>
      <c r="BF434" s="1188"/>
      <c r="BG434" s="1188"/>
      <c r="BH434" s="1188"/>
      <c r="BI434" s="1188"/>
      <c r="BJ434" s="1188"/>
      <c r="BK434" s="1188"/>
      <c r="BL434" s="1188"/>
      <c r="BM434" s="1188"/>
      <c r="BN434" s="1188"/>
      <c r="BO434" s="1240"/>
      <c r="BP434" s="1240"/>
      <c r="BQ434" s="1188"/>
      <c r="BR434" s="1236"/>
      <c r="BS434" s="1236"/>
      <c r="BT434" s="1188"/>
      <c r="BU434" s="1188"/>
      <c r="BV434" s="1240"/>
      <c r="BW434" s="1188"/>
      <c r="BX434" s="1188"/>
      <c r="BY434" s="1188"/>
      <c r="BZ434" s="1188"/>
      <c r="CA434" s="1188"/>
      <c r="CB434" s="1188"/>
      <c r="CC434" s="1188"/>
      <c r="CD434" s="1188">
        <f t="shared" si="147"/>
        <v>0</v>
      </c>
      <c r="CE434" s="1188">
        <f t="shared" si="148"/>
        <v>0</v>
      </c>
      <c r="CF434" s="1188">
        <f t="shared" si="149"/>
        <v>0</v>
      </c>
      <c r="CG434" s="1188">
        <f t="shared" si="150"/>
        <v>0</v>
      </c>
      <c r="CH434" s="1236"/>
      <c r="CI434" s="1236"/>
      <c r="CJ434" s="1236">
        <f>I434</f>
        <v>12</v>
      </c>
      <c r="CK434" s="1188">
        <f>I434</f>
        <v>12</v>
      </c>
      <c r="CL434" s="1188">
        <f>I434</f>
        <v>12</v>
      </c>
      <c r="CM434" s="1168"/>
      <c r="CN434" s="1168"/>
      <c r="CO434" s="1168"/>
      <c r="CP434" s="1168"/>
      <c r="CQ434" s="1168"/>
      <c r="CR434" s="1168"/>
      <c r="CS434" s="1168"/>
      <c r="CT434" s="1168"/>
      <c r="CU434" s="1168"/>
      <c r="CV434" s="1168"/>
      <c r="CW434" s="1168"/>
      <c r="CX434" s="1168"/>
      <c r="CY434" s="1168"/>
      <c r="CZ434" s="1168"/>
      <c r="DA434" s="1168"/>
      <c r="DB434" s="1168"/>
      <c r="DC434" s="1168"/>
      <c r="DD434" s="1168"/>
      <c r="DE434" s="1168"/>
      <c r="DF434" s="1168"/>
      <c r="DG434" s="1168"/>
    </row>
    <row r="435" s="1168" customFormat="1" customHeight="1" spans="1:111">
      <c r="A435" s="1245">
        <v>46204</v>
      </c>
      <c r="B435" s="1247" t="s">
        <v>1908</v>
      </c>
      <c r="C435" s="1234" t="s">
        <v>201</v>
      </c>
      <c r="D435" s="1268">
        <v>4500214526</v>
      </c>
      <c r="E435" s="1234" t="s">
        <v>1913</v>
      </c>
      <c r="F435" s="1188" t="s">
        <v>1914</v>
      </c>
      <c r="G435" s="1253" t="s">
        <v>389</v>
      </c>
      <c r="H435" s="1234" t="s">
        <v>390</v>
      </c>
      <c r="I435" s="1254">
        <v>828</v>
      </c>
      <c r="J435" s="1234">
        <v>0</v>
      </c>
      <c r="K435" s="1234">
        <v>12</v>
      </c>
      <c r="L435" s="1246">
        <f t="shared" si="151"/>
        <v>69</v>
      </c>
      <c r="M435" s="1255">
        <v>46220</v>
      </c>
      <c r="N435" s="1320">
        <v>46219</v>
      </c>
      <c r="O435" s="1255" t="s">
        <v>1062</v>
      </c>
      <c r="P435" s="1233" t="s">
        <v>1911</v>
      </c>
      <c r="Q435" s="1233"/>
      <c r="R435" s="1234" t="s">
        <v>1657</v>
      </c>
      <c r="S435" s="1234"/>
      <c r="T435" s="1233">
        <v>828</v>
      </c>
      <c r="U435" s="1233">
        <f t="shared" si="152"/>
        <v>0</v>
      </c>
      <c r="V435" s="1234" t="s">
        <v>120</v>
      </c>
      <c r="W435" s="1238">
        <v>46139</v>
      </c>
      <c r="X435" s="1227" t="s">
        <v>107</v>
      </c>
      <c r="Y435" s="1227">
        <v>46189</v>
      </c>
      <c r="Z435" s="1247"/>
      <c r="AA435" s="1247"/>
      <c r="AB435" s="1247"/>
      <c r="AC435" s="1247" t="s">
        <v>1912</v>
      </c>
      <c r="AD435" s="1255" t="s">
        <v>563</v>
      </c>
      <c r="AE435" s="1188">
        <v>2.4945</v>
      </c>
      <c r="AF435" s="1248">
        <f t="shared" si="155"/>
        <v>2065.446</v>
      </c>
      <c r="AG435" s="1258"/>
      <c r="AH435" s="1253" t="s">
        <v>389</v>
      </c>
      <c r="AI435" s="1234" t="s">
        <v>112</v>
      </c>
      <c r="AJ435" s="1234" t="s">
        <v>113</v>
      </c>
      <c r="AK435" s="1188">
        <f>I435*2</f>
        <v>1656</v>
      </c>
      <c r="AL435" s="1188"/>
      <c r="AM435" s="1188"/>
      <c r="AN435" s="1188"/>
      <c r="AO435" s="1188"/>
      <c r="AP435" s="1188"/>
      <c r="AQ435" s="1240">
        <f>I435*2</f>
        <v>1656</v>
      </c>
      <c r="AR435" s="1188"/>
      <c r="AS435" s="1236"/>
      <c r="AT435" s="1236"/>
      <c r="AU435" s="1188">
        <f>I435*2</f>
        <v>1656</v>
      </c>
      <c r="AV435" s="1250">
        <f t="shared" si="154"/>
        <v>99.36</v>
      </c>
      <c r="AW435" s="1250"/>
      <c r="AX435" s="1188"/>
      <c r="AY435" s="1188"/>
      <c r="AZ435" s="1188"/>
      <c r="BA435" s="1188"/>
      <c r="BB435" s="1188"/>
      <c r="BC435" s="1188"/>
      <c r="BD435" s="1188"/>
      <c r="BE435" s="1188"/>
      <c r="BF435" s="1188"/>
      <c r="BG435" s="1188"/>
      <c r="BH435" s="1188"/>
      <c r="BI435" s="1188"/>
      <c r="BJ435" s="1188"/>
      <c r="BK435" s="1188"/>
      <c r="BL435" s="1188"/>
      <c r="BM435" s="1188"/>
      <c r="BN435" s="1188"/>
      <c r="BO435" s="1240"/>
      <c r="BP435" s="1240"/>
      <c r="BQ435" s="1188"/>
      <c r="BR435" s="1236"/>
      <c r="BS435" s="1188"/>
      <c r="BT435" s="1188"/>
      <c r="BU435" s="1188"/>
      <c r="BV435" s="1240"/>
      <c r="BW435" s="1188"/>
      <c r="BX435" s="1188"/>
      <c r="BY435" s="1188"/>
      <c r="BZ435" s="1188"/>
      <c r="CA435" s="1188"/>
      <c r="CB435" s="1188"/>
      <c r="CC435" s="1188"/>
      <c r="CD435" s="1188">
        <f t="shared" si="147"/>
        <v>0</v>
      </c>
      <c r="CE435" s="1188">
        <f t="shared" si="148"/>
        <v>0</v>
      </c>
      <c r="CF435" s="1188">
        <f t="shared" si="149"/>
        <v>0</v>
      </c>
      <c r="CG435" s="1188">
        <f t="shared" si="150"/>
        <v>0</v>
      </c>
      <c r="CH435" s="1236"/>
      <c r="CI435" s="1236"/>
      <c r="CJ435" s="1236">
        <f>I435</f>
        <v>828</v>
      </c>
      <c r="CK435" s="1188">
        <f>I435</f>
        <v>828</v>
      </c>
      <c r="CL435" s="1188">
        <f>I435</f>
        <v>828</v>
      </c>
    </row>
    <row r="436" s="1168" customFormat="1" customHeight="1" spans="1:111">
      <c r="A436" s="1245">
        <v>46204</v>
      </c>
      <c r="B436" s="1247" t="s">
        <v>1908</v>
      </c>
      <c r="C436" s="1234" t="s">
        <v>201</v>
      </c>
      <c r="D436" s="1268">
        <v>4500214526</v>
      </c>
      <c r="E436" s="1234" t="s">
        <v>1915</v>
      </c>
      <c r="F436" s="1188" t="s">
        <v>1916</v>
      </c>
      <c r="G436" s="1253" t="s">
        <v>389</v>
      </c>
      <c r="H436" s="1234" t="s">
        <v>390</v>
      </c>
      <c r="I436" s="1254">
        <v>372</v>
      </c>
      <c r="J436" s="1234">
        <v>0</v>
      </c>
      <c r="K436" s="1234">
        <v>12</v>
      </c>
      <c r="L436" s="1246">
        <f t="shared" si="151"/>
        <v>31</v>
      </c>
      <c r="M436" s="1255">
        <v>46220</v>
      </c>
      <c r="N436" s="1320">
        <v>46219</v>
      </c>
      <c r="O436" s="1255" t="s">
        <v>1062</v>
      </c>
      <c r="P436" s="1233" t="s">
        <v>1911</v>
      </c>
      <c r="Q436" s="1233"/>
      <c r="R436" s="1234" t="s">
        <v>1657</v>
      </c>
      <c r="S436" s="1234"/>
      <c r="T436" s="1233">
        <v>372</v>
      </c>
      <c r="U436" s="1233">
        <f t="shared" si="152"/>
        <v>0</v>
      </c>
      <c r="V436" s="1234" t="s">
        <v>120</v>
      </c>
      <c r="W436" s="1238">
        <v>46139</v>
      </c>
      <c r="X436" s="1227" t="s">
        <v>107</v>
      </c>
      <c r="Y436" s="1257">
        <v>46189</v>
      </c>
      <c r="Z436" s="1247"/>
      <c r="AA436" s="1247"/>
      <c r="AB436" s="1247"/>
      <c r="AC436" s="1247" t="s">
        <v>1912</v>
      </c>
      <c r="AD436" s="1255" t="s">
        <v>563</v>
      </c>
      <c r="AE436" s="1188">
        <v>2.4945</v>
      </c>
      <c r="AF436" s="1248">
        <f t="shared" si="155"/>
        <v>927.954</v>
      </c>
      <c r="AG436" s="1258"/>
      <c r="AH436" s="1253" t="s">
        <v>389</v>
      </c>
      <c r="AI436" s="1234" t="s">
        <v>112</v>
      </c>
      <c r="AJ436" s="1234" t="s">
        <v>113</v>
      </c>
      <c r="AK436" s="1188">
        <f>I436*2</f>
        <v>744</v>
      </c>
      <c r="AL436" s="1188"/>
      <c r="AM436" s="1188"/>
      <c r="AN436" s="1188"/>
      <c r="AO436" s="1188"/>
      <c r="AP436" s="1188"/>
      <c r="AQ436" s="1240">
        <f>I436*2</f>
        <v>744</v>
      </c>
      <c r="AR436" s="1188"/>
      <c r="AS436" s="1236"/>
      <c r="AT436" s="1236"/>
      <c r="AU436" s="1188">
        <f>I436*2</f>
        <v>744</v>
      </c>
      <c r="AV436" s="1250">
        <f t="shared" si="154"/>
        <v>44.64</v>
      </c>
      <c r="AW436" s="1250"/>
      <c r="AX436" s="1188"/>
      <c r="AY436" s="1188"/>
      <c r="AZ436" s="1188"/>
      <c r="BA436" s="1188"/>
      <c r="BB436" s="1188"/>
      <c r="BC436" s="1188"/>
      <c r="BD436" s="1188"/>
      <c r="BE436" s="1188"/>
      <c r="BF436" s="1188"/>
      <c r="BG436" s="1188"/>
      <c r="BH436" s="1188"/>
      <c r="BI436" s="1188"/>
      <c r="BJ436" s="1188"/>
      <c r="BK436" s="1188"/>
      <c r="BL436" s="1188"/>
      <c r="BM436" s="1188"/>
      <c r="BN436" s="1188"/>
      <c r="BO436" s="1240"/>
      <c r="BP436" s="1240"/>
      <c r="BQ436" s="1188"/>
      <c r="BR436" s="1236"/>
      <c r="BS436" s="1188"/>
      <c r="BT436" s="1188"/>
      <c r="BU436" s="1188"/>
      <c r="BV436" s="1240"/>
      <c r="BW436" s="1188"/>
      <c r="BX436" s="1188"/>
      <c r="BY436" s="1188"/>
      <c r="BZ436" s="1188"/>
      <c r="CA436" s="1188"/>
      <c r="CB436" s="1188"/>
      <c r="CC436" s="1188"/>
      <c r="CD436" s="1188">
        <f t="shared" si="147"/>
        <v>0</v>
      </c>
      <c r="CE436" s="1188">
        <f t="shared" si="148"/>
        <v>0</v>
      </c>
      <c r="CF436" s="1188">
        <f t="shared" si="149"/>
        <v>0</v>
      </c>
      <c r="CG436" s="1188">
        <f t="shared" si="150"/>
        <v>0</v>
      </c>
      <c r="CH436" s="1236"/>
      <c r="CI436" s="1236"/>
      <c r="CJ436" s="1236">
        <f>I436</f>
        <v>372</v>
      </c>
      <c r="CK436" s="1188">
        <f>I436</f>
        <v>372</v>
      </c>
      <c r="CL436" s="1188">
        <f>I436</f>
        <v>372</v>
      </c>
    </row>
    <row r="437" s="1168" customFormat="1" customHeight="1" spans="1:111">
      <c r="A437" s="1245">
        <v>46204</v>
      </c>
      <c r="B437" s="1247" t="s">
        <v>1908</v>
      </c>
      <c r="C437" s="1234" t="s">
        <v>201</v>
      </c>
      <c r="D437" s="1268">
        <v>4500214526</v>
      </c>
      <c r="E437" s="1234" t="s">
        <v>1917</v>
      </c>
      <c r="F437" s="1188" t="s">
        <v>1918</v>
      </c>
      <c r="G437" s="1253" t="s">
        <v>389</v>
      </c>
      <c r="H437" s="1234" t="s">
        <v>390</v>
      </c>
      <c r="I437" s="1254">
        <v>564</v>
      </c>
      <c r="J437" s="1234">
        <v>0</v>
      </c>
      <c r="K437" s="1234">
        <v>12</v>
      </c>
      <c r="L437" s="1246">
        <f t="shared" si="151"/>
        <v>47</v>
      </c>
      <c r="M437" s="1255">
        <v>46220</v>
      </c>
      <c r="N437" s="1320">
        <v>46219</v>
      </c>
      <c r="O437" s="1255" t="s">
        <v>1062</v>
      </c>
      <c r="P437" s="1233" t="s">
        <v>1911</v>
      </c>
      <c r="Q437" s="1233"/>
      <c r="R437" s="1234" t="s">
        <v>1657</v>
      </c>
      <c r="S437" s="1234"/>
      <c r="T437" s="1233">
        <v>564</v>
      </c>
      <c r="U437" s="1233">
        <f t="shared" si="152"/>
        <v>0</v>
      </c>
      <c r="V437" s="1234" t="s">
        <v>120</v>
      </c>
      <c r="W437" s="1256">
        <v>46139</v>
      </c>
      <c r="X437" s="1257" t="s">
        <v>107</v>
      </c>
      <c r="Y437" s="1227">
        <v>46189</v>
      </c>
      <c r="Z437" s="1247"/>
      <c r="AA437" s="1247"/>
      <c r="AB437" s="1247"/>
      <c r="AC437" s="1247" t="s">
        <v>1912</v>
      </c>
      <c r="AD437" s="1255" t="s">
        <v>563</v>
      </c>
      <c r="AE437" s="1188">
        <v>2.4945</v>
      </c>
      <c r="AF437" s="1248">
        <f t="shared" si="155"/>
        <v>1406.898</v>
      </c>
      <c r="AG437" s="1258"/>
      <c r="AH437" s="1253" t="s">
        <v>389</v>
      </c>
      <c r="AI437" s="1234" t="s">
        <v>112</v>
      </c>
      <c r="AJ437" s="1234" t="s">
        <v>113</v>
      </c>
      <c r="AK437" s="1188">
        <f>I437*2</f>
        <v>1128</v>
      </c>
      <c r="AL437" s="1188"/>
      <c r="AM437" s="1188"/>
      <c r="AN437" s="1188"/>
      <c r="AO437" s="1188"/>
      <c r="AP437" s="1188"/>
      <c r="AQ437" s="1240">
        <f>I437*2</f>
        <v>1128</v>
      </c>
      <c r="AR437" s="1188"/>
      <c r="AS437" s="1236"/>
      <c r="AT437" s="1236"/>
      <c r="AU437" s="1188">
        <f>I437*2</f>
        <v>1128</v>
      </c>
      <c r="AV437" s="1250">
        <f t="shared" si="154"/>
        <v>67.68</v>
      </c>
      <c r="AW437" s="1250"/>
      <c r="AX437" s="1188"/>
      <c r="AY437" s="1188"/>
      <c r="AZ437" s="1188"/>
      <c r="BA437" s="1188"/>
      <c r="BB437" s="1188"/>
      <c r="BC437" s="1188"/>
      <c r="BD437" s="1188"/>
      <c r="BE437" s="1188"/>
      <c r="BF437" s="1188"/>
      <c r="BG437" s="1188"/>
      <c r="BH437" s="1188"/>
      <c r="BI437" s="1188"/>
      <c r="BJ437" s="1188"/>
      <c r="BK437" s="1188"/>
      <c r="BL437" s="1188"/>
      <c r="BM437" s="1188"/>
      <c r="BN437" s="1188"/>
      <c r="BO437" s="1240"/>
      <c r="BP437" s="1240"/>
      <c r="BQ437" s="1188"/>
      <c r="BR437" s="1236"/>
      <c r="BS437" s="1236"/>
      <c r="BT437" s="1188"/>
      <c r="BU437" s="1188"/>
      <c r="BV437" s="1240"/>
      <c r="BW437" s="1188"/>
      <c r="BX437" s="1188"/>
      <c r="BY437" s="1188"/>
      <c r="BZ437" s="1188"/>
      <c r="CA437" s="1188"/>
      <c r="CB437" s="1188"/>
      <c r="CC437" s="1188"/>
      <c r="CD437" s="1188">
        <f t="shared" si="147"/>
        <v>0</v>
      </c>
      <c r="CE437" s="1188">
        <f t="shared" si="148"/>
        <v>0</v>
      </c>
      <c r="CF437" s="1188">
        <f t="shared" si="149"/>
        <v>0</v>
      </c>
      <c r="CG437" s="1188">
        <f t="shared" si="150"/>
        <v>0</v>
      </c>
      <c r="CH437" s="1236"/>
      <c r="CI437" s="1236"/>
      <c r="CJ437" s="1236">
        <f>I437</f>
        <v>564</v>
      </c>
      <c r="CK437" s="1188">
        <f>I437</f>
        <v>564</v>
      </c>
      <c r="CL437" s="1188">
        <f>I437</f>
        <v>564</v>
      </c>
    </row>
    <row r="438" s="1168" customFormat="1" customHeight="1" spans="1:111">
      <c r="A438" s="1245">
        <v>46204</v>
      </c>
      <c r="B438" s="1247" t="s">
        <v>1908</v>
      </c>
      <c r="C438" s="1234" t="s">
        <v>201</v>
      </c>
      <c r="D438" s="1268">
        <v>4500214526</v>
      </c>
      <c r="E438" s="1234" t="s">
        <v>1919</v>
      </c>
      <c r="F438" s="1188" t="s">
        <v>1920</v>
      </c>
      <c r="G438" s="1253" t="s">
        <v>389</v>
      </c>
      <c r="H438" s="1234" t="s">
        <v>390</v>
      </c>
      <c r="I438" s="1254">
        <v>2304</v>
      </c>
      <c r="J438" s="1234">
        <v>0</v>
      </c>
      <c r="K438" s="1234">
        <v>12</v>
      </c>
      <c r="L438" s="1246">
        <f t="shared" si="151"/>
        <v>192</v>
      </c>
      <c r="M438" s="1255">
        <v>46220</v>
      </c>
      <c r="N438" s="1320">
        <v>46219</v>
      </c>
      <c r="O438" s="1255" t="s">
        <v>1062</v>
      </c>
      <c r="P438" s="1233" t="s">
        <v>1911</v>
      </c>
      <c r="Q438" s="1233"/>
      <c r="R438" s="1234" t="s">
        <v>1657</v>
      </c>
      <c r="S438" s="1234"/>
      <c r="T438" s="1233">
        <v>2304</v>
      </c>
      <c r="U438" s="1233">
        <f t="shared" si="152"/>
        <v>0</v>
      </c>
      <c r="V438" s="1234" t="s">
        <v>120</v>
      </c>
      <c r="W438" s="1256">
        <v>46139</v>
      </c>
      <c r="X438" s="1257" t="s">
        <v>107</v>
      </c>
      <c r="Y438" s="1227">
        <v>46189</v>
      </c>
      <c r="Z438" s="1247"/>
      <c r="AA438" s="1247"/>
      <c r="AB438" s="1247"/>
      <c r="AC438" s="1247" t="s">
        <v>1912</v>
      </c>
      <c r="AD438" s="1255" t="s">
        <v>563</v>
      </c>
      <c r="AE438" s="1188">
        <v>2.5332</v>
      </c>
      <c r="AF438" s="1248">
        <f t="shared" si="155"/>
        <v>5836.4928</v>
      </c>
      <c r="AG438" s="1258"/>
      <c r="AH438" s="1253" t="s">
        <v>389</v>
      </c>
      <c r="AI438" s="1234" t="s">
        <v>112</v>
      </c>
      <c r="AJ438" s="1234" t="s">
        <v>113</v>
      </c>
      <c r="AK438" s="1188">
        <f>I438*2</f>
        <v>4608</v>
      </c>
      <c r="AL438" s="1188"/>
      <c r="AM438" s="1188"/>
      <c r="AN438" s="1188"/>
      <c r="AO438" s="1188"/>
      <c r="AP438" s="1188"/>
      <c r="AQ438" s="1240">
        <f>I438*2</f>
        <v>4608</v>
      </c>
      <c r="AR438" s="1188"/>
      <c r="AS438" s="1236"/>
      <c r="AT438" s="1236"/>
      <c r="AU438" s="1188">
        <f>I438*2</f>
        <v>4608</v>
      </c>
      <c r="AV438" s="1250">
        <f t="shared" si="154"/>
        <v>276.48</v>
      </c>
      <c r="AW438" s="1250"/>
      <c r="AX438" s="1188"/>
      <c r="AY438" s="1188"/>
      <c r="AZ438" s="1188"/>
      <c r="BA438" s="1188"/>
      <c r="BB438" s="1188"/>
      <c r="BC438" s="1188"/>
      <c r="BD438" s="1188"/>
      <c r="BE438" s="1188"/>
      <c r="BF438" s="1188"/>
      <c r="BG438" s="1188"/>
      <c r="BH438" s="1188"/>
      <c r="BI438" s="1188"/>
      <c r="BJ438" s="1188"/>
      <c r="BK438" s="1188"/>
      <c r="BL438" s="1188"/>
      <c r="BM438" s="1188"/>
      <c r="BN438" s="1188"/>
      <c r="BO438" s="1240"/>
      <c r="BP438" s="1240"/>
      <c r="BQ438" s="1188"/>
      <c r="BR438" s="1236"/>
      <c r="BS438" s="1236"/>
      <c r="BT438" s="1188"/>
      <c r="BU438" s="1188"/>
      <c r="BV438" s="1240"/>
      <c r="BW438" s="1188"/>
      <c r="BX438" s="1188"/>
      <c r="BY438" s="1188"/>
      <c r="BZ438" s="1188"/>
      <c r="CA438" s="1188"/>
      <c r="CB438" s="1188"/>
      <c r="CC438" s="1188"/>
      <c r="CD438" s="1188">
        <f t="shared" si="147"/>
        <v>0</v>
      </c>
      <c r="CE438" s="1188">
        <f t="shared" si="148"/>
        <v>0</v>
      </c>
      <c r="CF438" s="1188">
        <f t="shared" si="149"/>
        <v>0</v>
      </c>
      <c r="CG438" s="1188">
        <f t="shared" si="150"/>
        <v>0</v>
      </c>
      <c r="CH438" s="1236"/>
      <c r="CI438" s="1236"/>
      <c r="CJ438" s="1236">
        <f>I438</f>
        <v>2304</v>
      </c>
      <c r="CK438" s="1188">
        <f>I438</f>
        <v>2304</v>
      </c>
      <c r="CL438" s="1188">
        <f>I438</f>
        <v>2304</v>
      </c>
    </row>
    <row r="439" s="1168" customFormat="1" customHeight="1" spans="1:111">
      <c r="A439" s="1245">
        <v>46164</v>
      </c>
      <c r="B439" s="1247" t="s">
        <v>1921</v>
      </c>
      <c r="C439" s="1234" t="s">
        <v>291</v>
      </c>
      <c r="D439" s="1268">
        <v>4500208353</v>
      </c>
      <c r="E439" s="1264">
        <v>6050019</v>
      </c>
      <c r="F439" s="1188" t="s">
        <v>1922</v>
      </c>
      <c r="G439" s="1253" t="s">
        <v>188</v>
      </c>
      <c r="H439" s="1247" t="s">
        <v>138</v>
      </c>
      <c r="I439" s="1254">
        <v>2500</v>
      </c>
      <c r="J439" s="1234">
        <v>0</v>
      </c>
      <c r="K439" s="1234">
        <v>50</v>
      </c>
      <c r="L439" s="1246">
        <f t="shared" si="151"/>
        <v>50</v>
      </c>
      <c r="M439" s="1255">
        <v>46220</v>
      </c>
      <c r="N439" s="1320">
        <v>46230</v>
      </c>
      <c r="O439" s="1320" t="s">
        <v>1923</v>
      </c>
      <c r="P439" s="1233" t="s">
        <v>1924</v>
      </c>
      <c r="Q439" s="1233" t="s">
        <v>1410</v>
      </c>
      <c r="R439" s="1234" t="s">
        <v>1831</v>
      </c>
      <c r="S439" s="1234"/>
      <c r="T439" s="1233">
        <v>2500</v>
      </c>
      <c r="U439" s="1233">
        <f t="shared" si="152"/>
        <v>0</v>
      </c>
      <c r="V439" s="1234"/>
      <c r="W439" s="1256">
        <v>46184</v>
      </c>
      <c r="X439" s="1257" t="s">
        <v>95</v>
      </c>
      <c r="Y439" s="1257" t="s">
        <v>1925</v>
      </c>
      <c r="Z439" s="1247"/>
      <c r="AA439" s="1247"/>
      <c r="AB439" s="1247"/>
      <c r="AC439" s="1247" t="s">
        <v>1926</v>
      </c>
      <c r="AD439" s="1255" t="s">
        <v>1927</v>
      </c>
      <c r="AE439" s="1188">
        <v>1.1174</v>
      </c>
      <c r="AF439" s="1248">
        <f>AE439*I439</f>
        <v>2793.5</v>
      </c>
      <c r="AG439" s="1258"/>
      <c r="AH439" s="1234" t="s">
        <v>314</v>
      </c>
      <c r="AI439" s="1234" t="s">
        <v>112</v>
      </c>
      <c r="AJ439" s="1234" t="s">
        <v>113</v>
      </c>
      <c r="AK439" s="1188">
        <f t="shared" ref="AK439:AK449" si="156">I439</f>
        <v>2500</v>
      </c>
      <c r="AL439" s="1188"/>
      <c r="AM439" s="1188"/>
      <c r="AN439" s="1188"/>
      <c r="AO439" s="1188"/>
      <c r="AP439" s="1188">
        <f>I439</f>
        <v>2500</v>
      </c>
      <c r="AQ439" s="1240"/>
      <c r="AR439" s="1188"/>
      <c r="AS439" s="1236"/>
      <c r="AT439" s="1236"/>
      <c r="AU439" s="1188">
        <f t="shared" ref="AU439:AU449" si="157">I439</f>
        <v>2500</v>
      </c>
      <c r="AV439" s="1250">
        <f t="shared" si="154"/>
        <v>300</v>
      </c>
      <c r="AW439" s="1250"/>
      <c r="AX439" s="1188"/>
      <c r="AY439" s="1188"/>
      <c r="AZ439" s="1188"/>
      <c r="BA439" s="1188"/>
      <c r="BB439" s="1188"/>
      <c r="BC439" s="1188"/>
      <c r="BD439" s="1188"/>
      <c r="BE439" s="1188"/>
      <c r="BF439" s="1188"/>
      <c r="BG439" s="1188"/>
      <c r="BH439" s="1188"/>
      <c r="BI439" s="1188"/>
      <c r="BJ439" s="1188"/>
      <c r="BK439" s="1188"/>
      <c r="BL439" s="1188"/>
      <c r="BM439" s="1188"/>
      <c r="BN439" s="1188"/>
      <c r="BO439" s="1240">
        <f>I439/25</f>
        <v>100</v>
      </c>
      <c r="BP439" s="1240"/>
      <c r="BQ439" s="1188"/>
      <c r="BR439" s="1236"/>
      <c r="BS439" s="1188"/>
      <c r="BT439" s="1188"/>
      <c r="BU439" s="1188"/>
      <c r="BV439" s="1240"/>
      <c r="BW439" s="1188"/>
      <c r="BX439" s="1188"/>
      <c r="BY439" s="1188"/>
      <c r="BZ439" s="1188"/>
      <c r="CA439" s="1188"/>
      <c r="CB439" s="1188"/>
      <c r="CC439" s="1188"/>
      <c r="CD439" s="1188">
        <f t="shared" si="147"/>
        <v>100</v>
      </c>
      <c r="CE439" s="1188">
        <f t="shared" si="148"/>
        <v>0</v>
      </c>
      <c r="CF439" s="1188">
        <f t="shared" si="149"/>
        <v>0</v>
      </c>
      <c r="CG439" s="1188">
        <f t="shared" si="150"/>
        <v>0</v>
      </c>
      <c r="CH439" s="1236"/>
      <c r="CI439" s="1236"/>
      <c r="CJ439" s="1236"/>
      <c r="CK439" s="1188"/>
      <c r="CL439" s="1188"/>
    </row>
    <row r="440" s="1168" customFormat="1" customHeight="1" spans="1:111">
      <c r="A440" s="1245">
        <v>46171</v>
      </c>
      <c r="B440" s="1220" t="s">
        <v>1928</v>
      </c>
      <c r="C440" s="1221" t="s">
        <v>148</v>
      </c>
      <c r="D440" s="1303">
        <v>4500209965</v>
      </c>
      <c r="E440" s="1226">
        <v>5200009938</v>
      </c>
      <c r="F440" s="1222" t="s">
        <v>1929</v>
      </c>
      <c r="G440" s="1223" t="s">
        <v>193</v>
      </c>
      <c r="H440" s="1221" t="s">
        <v>194</v>
      </c>
      <c r="I440" s="1252">
        <v>5005</v>
      </c>
      <c r="J440" s="1221">
        <v>0</v>
      </c>
      <c r="K440" s="1221">
        <v>13</v>
      </c>
      <c r="L440" s="1246">
        <f t="shared" si="151"/>
        <v>385</v>
      </c>
      <c r="M440" s="1225">
        <v>46220</v>
      </c>
      <c r="N440" s="1338">
        <v>46230</v>
      </c>
      <c r="O440" s="1320" t="s">
        <v>1923</v>
      </c>
      <c r="P440" s="1233"/>
      <c r="Q440" s="1233" t="s">
        <v>1410</v>
      </c>
      <c r="R440" s="1234"/>
      <c r="S440" s="1234"/>
      <c r="T440" s="1233">
        <f>4966+39</f>
        <v>5005</v>
      </c>
      <c r="U440" s="1233">
        <f t="shared" si="152"/>
        <v>0</v>
      </c>
      <c r="V440" s="1234"/>
      <c r="W440" s="1238" t="s">
        <v>1930</v>
      </c>
      <c r="X440" s="1227" t="s">
        <v>95</v>
      </c>
      <c r="Y440" s="1227" t="s">
        <v>1931</v>
      </c>
      <c r="Z440" s="1247" t="s">
        <v>1932</v>
      </c>
      <c r="AA440" s="1247"/>
      <c r="AB440" s="1247"/>
      <c r="AC440" s="1220" t="s">
        <v>1933</v>
      </c>
      <c r="AD440" s="1225" t="s">
        <v>1492</v>
      </c>
      <c r="AE440" s="1188">
        <v>1.0578</v>
      </c>
      <c r="AF440" s="1248">
        <f>I440*AE440</f>
        <v>5294.289</v>
      </c>
      <c r="AG440" s="1258"/>
      <c r="AH440" s="1234" t="s">
        <v>199</v>
      </c>
      <c r="AI440" s="1234" t="s">
        <v>112</v>
      </c>
      <c r="AJ440" s="1234" t="s">
        <v>113</v>
      </c>
      <c r="AK440" s="1188">
        <f t="shared" si="156"/>
        <v>5005</v>
      </c>
      <c r="AL440" s="1188"/>
      <c r="AM440" s="1188"/>
      <c r="AN440" s="1188"/>
      <c r="AO440" s="1188"/>
      <c r="AP440" s="1188">
        <f>I440</f>
        <v>5005</v>
      </c>
      <c r="AQ440" s="1240"/>
      <c r="AR440" s="1188"/>
      <c r="AS440" s="1236"/>
      <c r="AT440" s="1236"/>
      <c r="AU440" s="1188">
        <f t="shared" si="157"/>
        <v>5005</v>
      </c>
      <c r="AV440" s="1250">
        <f t="shared" si="154"/>
        <v>600.6</v>
      </c>
      <c r="AW440" s="1250"/>
      <c r="AX440" s="1188"/>
      <c r="AY440" s="1188"/>
      <c r="AZ440" s="1188"/>
      <c r="BA440" s="1188"/>
      <c r="BB440" s="1188"/>
      <c r="BC440" s="1188"/>
      <c r="BD440" s="1188"/>
      <c r="BE440" s="1188"/>
      <c r="BF440" s="1188"/>
      <c r="BG440" s="1188"/>
      <c r="BH440" s="1188"/>
      <c r="BI440" s="1188"/>
      <c r="BJ440" s="1188"/>
      <c r="BK440" s="1188"/>
      <c r="BL440" s="1188">
        <f>I440/13</f>
        <v>385</v>
      </c>
      <c r="BM440" s="1188"/>
      <c r="BN440" s="1188"/>
      <c r="BO440" s="1240"/>
      <c r="BP440" s="1240"/>
      <c r="BQ440" s="1188"/>
      <c r="BR440" s="1236"/>
      <c r="BS440" s="1236"/>
      <c r="BT440" s="1188"/>
      <c r="BU440" s="1188"/>
      <c r="BV440" s="1240"/>
      <c r="BW440" s="1188"/>
      <c r="BX440" s="1188"/>
      <c r="BY440" s="1188"/>
      <c r="BZ440" s="1188"/>
      <c r="CA440" s="1188"/>
      <c r="CB440" s="1188"/>
      <c r="CC440" s="1188"/>
      <c r="CD440" s="1188">
        <f t="shared" si="147"/>
        <v>0</v>
      </c>
      <c r="CE440" s="1188">
        <f t="shared" si="148"/>
        <v>0</v>
      </c>
      <c r="CF440" s="1188">
        <f t="shared" si="149"/>
        <v>0</v>
      </c>
      <c r="CG440" s="1188">
        <f t="shared" si="150"/>
        <v>0</v>
      </c>
      <c r="CH440" s="1236"/>
      <c r="CI440" s="1236"/>
      <c r="CJ440" s="1236"/>
      <c r="CK440" s="1188"/>
      <c r="CL440" s="1188"/>
    </row>
    <row r="441" s="1168" customFormat="1" customHeight="1" spans="1:111">
      <c r="A441" s="1245">
        <v>46168</v>
      </c>
      <c r="B441" s="1247" t="s">
        <v>1934</v>
      </c>
      <c r="C441" s="1234" t="s">
        <v>291</v>
      </c>
      <c r="D441" s="1268">
        <v>4500208984</v>
      </c>
      <c r="E441" s="1233">
        <v>17395445</v>
      </c>
      <c r="F441" s="1188" t="s">
        <v>1935</v>
      </c>
      <c r="G441" s="1253" t="s">
        <v>799</v>
      </c>
      <c r="H441" s="1234" t="s">
        <v>800</v>
      </c>
      <c r="I441" s="1254">
        <v>3000</v>
      </c>
      <c r="J441" s="1234">
        <v>0</v>
      </c>
      <c r="K441" s="1234">
        <v>30</v>
      </c>
      <c r="L441" s="1246">
        <f t="shared" si="151"/>
        <v>100</v>
      </c>
      <c r="M441" s="1255">
        <v>46220</v>
      </c>
      <c r="N441" s="1320">
        <v>46230</v>
      </c>
      <c r="O441" s="1338" t="s">
        <v>1936</v>
      </c>
      <c r="P441" s="1233" t="s">
        <v>1937</v>
      </c>
      <c r="Q441" s="1233" t="s">
        <v>1410</v>
      </c>
      <c r="R441" s="1234" t="s">
        <v>1831</v>
      </c>
      <c r="S441" s="1234"/>
      <c r="T441" s="1233">
        <v>3000</v>
      </c>
      <c r="U441" s="1233">
        <f t="shared" si="152"/>
        <v>0</v>
      </c>
      <c r="V441" s="1234"/>
      <c r="W441" s="1256" t="s">
        <v>1824</v>
      </c>
      <c r="X441" s="1257" t="s">
        <v>95</v>
      </c>
      <c r="Y441" s="1257" t="s">
        <v>1938</v>
      </c>
      <c r="Z441" s="1247"/>
      <c r="AA441" s="1247"/>
      <c r="AB441" s="1247"/>
      <c r="AC441" s="1247" t="s">
        <v>1939</v>
      </c>
      <c r="AD441" s="1255" t="s">
        <v>450</v>
      </c>
      <c r="AE441" s="1188">
        <v>42.021</v>
      </c>
      <c r="AF441" s="1248">
        <f>AE441*L441</f>
        <v>4202.1</v>
      </c>
      <c r="AG441" s="1258"/>
      <c r="AH441" s="1253" t="s">
        <v>799</v>
      </c>
      <c r="AI441" s="1234" t="s">
        <v>112</v>
      </c>
      <c r="AJ441" s="1234"/>
      <c r="AK441" s="1188">
        <f t="shared" si="156"/>
        <v>3000</v>
      </c>
      <c r="AL441" s="1188"/>
      <c r="AM441" s="1188"/>
      <c r="AN441" s="1188"/>
      <c r="AO441" s="1188"/>
      <c r="AP441" s="1188">
        <f>I441</f>
        <v>3000</v>
      </c>
      <c r="AQ441" s="1240"/>
      <c r="AR441" s="1188"/>
      <c r="AS441" s="1236"/>
      <c r="AT441" s="1236"/>
      <c r="AU441" s="1188">
        <f t="shared" si="157"/>
        <v>3000</v>
      </c>
      <c r="AV441" s="1250">
        <f t="shared" si="154"/>
        <v>360</v>
      </c>
      <c r="AW441" s="1250"/>
      <c r="AX441" s="1188"/>
      <c r="AY441" s="1188"/>
      <c r="AZ441" s="1188"/>
      <c r="BA441" s="1188"/>
      <c r="BB441" s="1188"/>
      <c r="BC441" s="1188"/>
      <c r="BD441" s="1188"/>
      <c r="BE441" s="1188"/>
      <c r="BF441" s="1188"/>
      <c r="BG441" s="1188"/>
      <c r="BH441" s="1188"/>
      <c r="BI441" s="1188"/>
      <c r="BJ441" s="1188"/>
      <c r="BK441" s="1188"/>
      <c r="BL441" s="1188"/>
      <c r="BM441" s="1188"/>
      <c r="BN441" s="1188"/>
      <c r="BO441" s="1240"/>
      <c r="BP441" s="1240"/>
      <c r="BQ441" s="1188"/>
      <c r="BR441" s="1236"/>
      <c r="BS441" s="1188"/>
      <c r="BT441" s="1188"/>
      <c r="BU441" s="1188"/>
      <c r="BV441" s="1240"/>
      <c r="BW441" s="1188"/>
      <c r="BX441" s="1188"/>
      <c r="BY441" s="1188"/>
      <c r="BZ441" s="1188"/>
      <c r="CA441" s="1188"/>
      <c r="CB441" s="1188"/>
      <c r="CC441" s="1188">
        <f>I441/30</f>
        <v>100</v>
      </c>
      <c r="CD441" s="1188">
        <f t="shared" si="147"/>
        <v>0</v>
      </c>
      <c r="CE441" s="1188">
        <f t="shared" si="148"/>
        <v>0</v>
      </c>
      <c r="CF441" s="1188">
        <f t="shared" si="149"/>
        <v>100</v>
      </c>
      <c r="CG441" s="1188">
        <f t="shared" si="150"/>
        <v>0</v>
      </c>
      <c r="CH441" s="1236"/>
      <c r="CI441" s="1236"/>
      <c r="CJ441" s="1236"/>
      <c r="CK441" s="1188"/>
      <c r="CL441" s="1188"/>
    </row>
    <row r="442" s="1168" customFormat="1" customHeight="1" spans="1:111">
      <c r="A442" s="1219">
        <v>46160</v>
      </c>
      <c r="B442" s="1220" t="s">
        <v>1940</v>
      </c>
      <c r="C442" s="1221" t="s">
        <v>148</v>
      </c>
      <c r="D442" s="1303">
        <v>4500207743</v>
      </c>
      <c r="E442" s="1226">
        <v>5200009655</v>
      </c>
      <c r="F442" s="1222" t="s">
        <v>1941</v>
      </c>
      <c r="G442" s="1223" t="s">
        <v>193</v>
      </c>
      <c r="H442" s="1221" t="s">
        <v>194</v>
      </c>
      <c r="I442" s="1252">
        <v>17108</v>
      </c>
      <c r="J442" s="1221">
        <v>0</v>
      </c>
      <c r="K442" s="1221">
        <v>13</v>
      </c>
      <c r="L442" s="1224">
        <f t="shared" si="151"/>
        <v>1316</v>
      </c>
      <c r="M442" s="1225">
        <v>46221</v>
      </c>
      <c r="N442" s="1225">
        <f>M442</f>
        <v>46221</v>
      </c>
      <c r="O442" s="1225" t="s">
        <v>736</v>
      </c>
      <c r="P442" s="1226"/>
      <c r="Q442" s="1255" t="s">
        <v>106</v>
      </c>
      <c r="R442" s="1221" t="s">
        <v>1203</v>
      </c>
      <c r="S442" s="1221"/>
      <c r="T442" s="1226">
        <v>20618</v>
      </c>
      <c r="U442" s="1233">
        <f t="shared" si="152"/>
        <v>3510</v>
      </c>
      <c r="V442" s="1221"/>
      <c r="W442" s="1238">
        <v>46164</v>
      </c>
      <c r="X442" s="1227" t="s">
        <v>95</v>
      </c>
      <c r="Y442" s="1227" t="s">
        <v>1942</v>
      </c>
      <c r="Z442" s="1220" t="s">
        <v>1943</v>
      </c>
      <c r="AA442" s="1220"/>
      <c r="AB442" s="1220"/>
      <c r="AC442" s="1220" t="s">
        <v>1944</v>
      </c>
      <c r="AD442" s="1229" t="s">
        <v>1945</v>
      </c>
      <c r="AE442" s="1220">
        <v>1.0563</v>
      </c>
      <c r="AF442" s="1229">
        <f t="shared" ref="AF442:AF447" si="158">I442*AE442</f>
        <v>18071.1804</v>
      </c>
      <c r="AG442" s="1230"/>
      <c r="AH442" s="1234" t="s">
        <v>199</v>
      </c>
      <c r="AI442" s="1234" t="s">
        <v>112</v>
      </c>
      <c r="AJ442" s="1234"/>
      <c r="AK442" s="1188">
        <f t="shared" si="156"/>
        <v>17108</v>
      </c>
      <c r="AL442" s="1222"/>
      <c r="AM442" s="1222"/>
      <c r="AN442" s="1188"/>
      <c r="AO442" s="1188"/>
      <c r="AP442" s="1188">
        <f>I442</f>
        <v>17108</v>
      </c>
      <c r="AQ442" s="1240"/>
      <c r="AR442" s="1188"/>
      <c r="AS442" s="1236"/>
      <c r="AT442" s="1236"/>
      <c r="AU442" s="1188">
        <f t="shared" si="157"/>
        <v>17108</v>
      </c>
      <c r="AV442" s="1241">
        <f t="shared" si="154"/>
        <v>2052.96</v>
      </c>
      <c r="AW442" s="1241"/>
      <c r="AX442" s="1222"/>
      <c r="AY442" s="1222"/>
      <c r="AZ442" s="1188"/>
      <c r="BA442" s="1188"/>
      <c r="BB442" s="1222"/>
      <c r="BC442" s="1222"/>
      <c r="BD442" s="1222"/>
      <c r="BE442" s="1222"/>
      <c r="BF442" s="1222"/>
      <c r="BG442" s="1222"/>
      <c r="BH442" s="1222"/>
      <c r="BI442" s="1222"/>
      <c r="BJ442" s="1222"/>
      <c r="BK442" s="1222"/>
      <c r="BL442" s="1222">
        <f>I442/13</f>
        <v>1316</v>
      </c>
      <c r="BM442" s="1222"/>
      <c r="BN442" s="1222"/>
      <c r="BO442" s="1242"/>
      <c r="BP442" s="1242"/>
      <c r="BQ442" s="1222"/>
      <c r="BR442" s="1232"/>
      <c r="BS442" s="1232"/>
      <c r="BT442" s="1222"/>
      <c r="BU442" s="1222"/>
      <c r="BV442" s="1242"/>
      <c r="BW442" s="1222"/>
      <c r="BX442" s="1222"/>
      <c r="BY442" s="1222"/>
      <c r="BZ442" s="1222"/>
      <c r="CA442" s="1222"/>
      <c r="CB442" s="1222"/>
      <c r="CC442" s="1222"/>
      <c r="CD442" s="1188">
        <f t="shared" si="147"/>
        <v>0</v>
      </c>
      <c r="CE442" s="1188">
        <f t="shared" si="148"/>
        <v>0</v>
      </c>
      <c r="CF442" s="1188">
        <f t="shared" si="149"/>
        <v>0</v>
      </c>
      <c r="CG442" s="1188">
        <f t="shared" si="150"/>
        <v>0</v>
      </c>
      <c r="CH442" s="1232"/>
      <c r="CI442" s="1232"/>
      <c r="CJ442" s="1232"/>
      <c r="CK442" s="1222"/>
      <c r="CL442" s="1222"/>
    </row>
    <row r="443" s="1168" customFormat="1" customHeight="1" spans="1:111">
      <c r="A443" s="1245">
        <v>46216</v>
      </c>
      <c r="B443" s="1247" t="s">
        <v>1928</v>
      </c>
      <c r="C443" s="1234" t="s">
        <v>148</v>
      </c>
      <c r="D443" s="1268">
        <v>4500216239</v>
      </c>
      <c r="E443" s="1233">
        <v>5200010998</v>
      </c>
      <c r="F443" s="1188" t="s">
        <v>1946</v>
      </c>
      <c r="G443" s="1253" t="s">
        <v>193</v>
      </c>
      <c r="H443" s="1234" t="s">
        <v>194</v>
      </c>
      <c r="I443" s="1254">
        <v>3510</v>
      </c>
      <c r="J443" s="1234">
        <v>0</v>
      </c>
      <c r="K443" s="1234">
        <v>13</v>
      </c>
      <c r="L443" s="1246">
        <f t="shared" si="151"/>
        <v>270</v>
      </c>
      <c r="M443" s="1255">
        <v>46221</v>
      </c>
      <c r="N443" s="1255">
        <v>46217</v>
      </c>
      <c r="O443" s="1225"/>
      <c r="P443" s="1233" t="s">
        <v>1947</v>
      </c>
      <c r="Q443" s="1233" t="s">
        <v>106</v>
      </c>
      <c r="R443" s="1221" t="s">
        <v>1948</v>
      </c>
      <c r="S443" s="1234"/>
      <c r="T443" s="1233">
        <v>3510</v>
      </c>
      <c r="U443" s="1233">
        <f t="shared" si="152"/>
        <v>0</v>
      </c>
      <c r="V443" s="1234"/>
      <c r="W443" s="1238">
        <v>46164</v>
      </c>
      <c r="X443" s="1257" t="s">
        <v>95</v>
      </c>
      <c r="Y443" s="1227" t="s">
        <v>1942</v>
      </c>
      <c r="Z443" s="1247" t="s">
        <v>1943</v>
      </c>
      <c r="AA443" s="1247"/>
      <c r="AB443" s="1247"/>
      <c r="AC443" s="1247" t="s">
        <v>1949</v>
      </c>
      <c r="AD443" s="1255" t="s">
        <v>1945</v>
      </c>
      <c r="AE443" s="1188">
        <v>1.0632</v>
      </c>
      <c r="AF443" s="1248">
        <f t="shared" si="158"/>
        <v>3731.832</v>
      </c>
      <c r="AG443" s="1258"/>
      <c r="AH443" s="1234" t="s">
        <v>199</v>
      </c>
      <c r="AI443" s="1234" t="s">
        <v>112</v>
      </c>
      <c r="AJ443" s="1234" t="s">
        <v>113</v>
      </c>
      <c r="AK443" s="1188">
        <f t="shared" si="156"/>
        <v>3510</v>
      </c>
      <c r="AL443" s="1188"/>
      <c r="AM443" s="1188"/>
      <c r="AN443" s="1188"/>
      <c r="AO443" s="1188"/>
      <c r="AP443" s="1188">
        <f>I443</f>
        <v>3510</v>
      </c>
      <c r="AQ443" s="1240"/>
      <c r="AR443" s="1188"/>
      <c r="AS443" s="1236"/>
      <c r="AT443" s="1236"/>
      <c r="AU443" s="1188">
        <f t="shared" si="157"/>
        <v>3510</v>
      </c>
      <c r="AV443" s="1250">
        <f t="shared" si="154"/>
        <v>421.2</v>
      </c>
      <c r="AW443" s="1250"/>
      <c r="AX443" s="1188"/>
      <c r="AY443" s="1188"/>
      <c r="AZ443" s="1188"/>
      <c r="BA443" s="1188"/>
      <c r="BB443" s="1188"/>
      <c r="BC443" s="1188"/>
      <c r="BD443" s="1188"/>
      <c r="BE443" s="1188"/>
      <c r="BF443" s="1188"/>
      <c r="BG443" s="1188"/>
      <c r="BH443" s="1188"/>
      <c r="BI443" s="1188"/>
      <c r="BJ443" s="1188"/>
      <c r="BK443" s="1188"/>
      <c r="BL443" s="1188">
        <f>I443/13</f>
        <v>270</v>
      </c>
      <c r="BM443" s="1188"/>
      <c r="BN443" s="1188"/>
      <c r="BO443" s="1240"/>
      <c r="BP443" s="1240"/>
      <c r="BQ443" s="1188"/>
      <c r="BR443" s="1236"/>
      <c r="BS443" s="1236"/>
      <c r="BT443" s="1188"/>
      <c r="BU443" s="1188"/>
      <c r="BV443" s="1240"/>
      <c r="BW443" s="1188"/>
      <c r="BX443" s="1188"/>
      <c r="BY443" s="1188"/>
      <c r="BZ443" s="1188"/>
      <c r="CA443" s="1188"/>
      <c r="CB443" s="1188"/>
      <c r="CC443" s="1188"/>
      <c r="CD443" s="1188">
        <f t="shared" si="147"/>
        <v>0</v>
      </c>
      <c r="CE443" s="1188">
        <f t="shared" si="148"/>
        <v>0</v>
      </c>
      <c r="CF443" s="1188">
        <f t="shared" si="149"/>
        <v>0</v>
      </c>
      <c r="CG443" s="1188">
        <f t="shared" si="150"/>
        <v>0</v>
      </c>
      <c r="CH443" s="1236"/>
      <c r="CI443" s="1236"/>
      <c r="CJ443" s="1236"/>
      <c r="CK443" s="1188"/>
      <c r="CL443" s="1188"/>
      <c r="CM443" s="1169"/>
      <c r="CN443" s="1169"/>
      <c r="CO443" s="1169"/>
      <c r="CP443" s="1169"/>
      <c r="CQ443" s="1169"/>
      <c r="CR443" s="1169"/>
      <c r="CS443" s="1169"/>
      <c r="CT443" s="1169"/>
      <c r="CU443" s="1169"/>
      <c r="CV443" s="1169"/>
      <c r="CW443" s="1169"/>
      <c r="CX443" s="1169"/>
      <c r="CY443" s="1169"/>
      <c r="CZ443" s="1169"/>
      <c r="DA443" s="1169"/>
      <c r="DB443" s="1169"/>
      <c r="DC443" s="1169"/>
      <c r="DD443" s="1169"/>
      <c r="DE443" s="1169"/>
      <c r="DF443" s="1169"/>
      <c r="DG443" s="1169"/>
    </row>
    <row r="444" s="1168" customFormat="1" customHeight="1" spans="1:111">
      <c r="A444" s="1245">
        <v>46168</v>
      </c>
      <c r="B444" s="1247" t="s">
        <v>1950</v>
      </c>
      <c r="C444" s="1234" t="s">
        <v>115</v>
      </c>
      <c r="D444" s="1268">
        <v>4500209247</v>
      </c>
      <c r="E444" s="1233">
        <v>44771138</v>
      </c>
      <c r="F444" s="1188" t="s">
        <v>1951</v>
      </c>
      <c r="G444" s="1253" t="s">
        <v>146</v>
      </c>
      <c r="H444" s="1234" t="s">
        <v>104</v>
      </c>
      <c r="I444" s="1254">
        <v>4225</v>
      </c>
      <c r="J444" s="1234">
        <v>0</v>
      </c>
      <c r="K444" s="1234">
        <v>25</v>
      </c>
      <c r="L444" s="1246">
        <f t="shared" si="151"/>
        <v>169</v>
      </c>
      <c r="M444" s="1255">
        <v>46223</v>
      </c>
      <c r="N444" s="1255">
        <v>46220</v>
      </c>
      <c r="O444" s="1255" t="s">
        <v>1952</v>
      </c>
      <c r="P444" s="1233"/>
      <c r="Q444" s="1255" t="s">
        <v>106</v>
      </c>
      <c r="R444" s="1221" t="s">
        <v>1712</v>
      </c>
      <c r="S444" s="1234"/>
      <c r="T444" s="1233">
        <v>4225</v>
      </c>
      <c r="U444" s="1233">
        <f t="shared" si="152"/>
        <v>0</v>
      </c>
      <c r="V444" s="1234"/>
      <c r="W444" s="1238" t="s">
        <v>1953</v>
      </c>
      <c r="X444" s="1227" t="s">
        <v>95</v>
      </c>
      <c r="Y444" s="1227" t="s">
        <v>95</v>
      </c>
      <c r="Z444" s="1247"/>
      <c r="AA444" s="1247"/>
      <c r="AB444" s="1247"/>
      <c r="AC444" s="1247" t="s">
        <v>1954</v>
      </c>
      <c r="AD444" s="1248" t="s">
        <v>1955</v>
      </c>
      <c r="AE444" s="1247">
        <v>0.6651</v>
      </c>
      <c r="AF444" s="1248">
        <f t="shared" si="158"/>
        <v>2810.0475</v>
      </c>
      <c r="AG444" s="1249" t="s">
        <v>1956</v>
      </c>
      <c r="AH444" s="1234" t="s">
        <v>146</v>
      </c>
      <c r="AI444" s="1234" t="s">
        <v>112</v>
      </c>
      <c r="AJ444" s="1234" t="s">
        <v>113</v>
      </c>
      <c r="AK444" s="1188">
        <f t="shared" si="156"/>
        <v>4225</v>
      </c>
      <c r="AL444" s="1188"/>
      <c r="AM444" s="1188"/>
      <c r="AN444" s="1188">
        <f>I444</f>
        <v>4225</v>
      </c>
      <c r="AO444" s="1188"/>
      <c r="AP444" s="1188"/>
      <c r="AQ444" s="1240"/>
      <c r="AR444" s="1188"/>
      <c r="AS444" s="1236"/>
      <c r="AT444" s="1236"/>
      <c r="AU444" s="1188">
        <f t="shared" si="157"/>
        <v>4225</v>
      </c>
      <c r="AV444" s="1250">
        <f t="shared" si="154"/>
        <v>507</v>
      </c>
      <c r="AW444" s="1250"/>
      <c r="AX444" s="1188"/>
      <c r="AY444" s="1188"/>
      <c r="AZ444" s="1188"/>
      <c r="BA444" s="1188"/>
      <c r="BB444" s="1188"/>
      <c r="BC444" s="1188"/>
      <c r="BD444" s="1188"/>
      <c r="BE444" s="1188"/>
      <c r="BF444" s="1188"/>
      <c r="BG444" s="1188"/>
      <c r="BH444" s="1188"/>
      <c r="BI444" s="1188"/>
      <c r="BJ444" s="1188"/>
      <c r="BK444" s="1188"/>
      <c r="BL444" s="1188"/>
      <c r="BM444" s="1188"/>
      <c r="BN444" s="1188">
        <f>I444/25</f>
        <v>169</v>
      </c>
      <c r="BO444" s="1240"/>
      <c r="BP444" s="1240"/>
      <c r="BQ444" s="1188"/>
      <c r="BR444" s="1236"/>
      <c r="BS444" s="1236"/>
      <c r="BT444" s="1188"/>
      <c r="BU444" s="1188"/>
      <c r="BV444" s="1240"/>
      <c r="BW444" s="1188"/>
      <c r="BX444" s="1188"/>
      <c r="BY444" s="1188"/>
      <c r="BZ444" s="1188"/>
      <c r="CA444" s="1188"/>
      <c r="CB444" s="1188"/>
      <c r="CC444" s="1188"/>
      <c r="CD444" s="1188">
        <f t="shared" si="147"/>
        <v>169</v>
      </c>
      <c r="CE444" s="1188">
        <f t="shared" si="148"/>
        <v>0</v>
      </c>
      <c r="CF444" s="1188">
        <f t="shared" si="149"/>
        <v>0</v>
      </c>
      <c r="CG444" s="1188">
        <f t="shared" si="150"/>
        <v>0</v>
      </c>
      <c r="CH444" s="1236"/>
      <c r="CI444" s="1236"/>
      <c r="CJ444" s="1236"/>
      <c r="CK444" s="1188"/>
      <c r="CL444" s="1188"/>
    </row>
    <row r="445" s="1168" customFormat="1" customHeight="1" spans="1:111">
      <c r="A445" s="1245">
        <v>46128</v>
      </c>
      <c r="B445" s="1247" t="s">
        <v>1957</v>
      </c>
      <c r="C445" s="1234" t="s">
        <v>1895</v>
      </c>
      <c r="D445" s="1188">
        <v>4500202459</v>
      </c>
      <c r="E445" s="1234">
        <v>21215911</v>
      </c>
      <c r="F445" s="1188" t="s">
        <v>1958</v>
      </c>
      <c r="G445" s="1253" t="s">
        <v>289</v>
      </c>
      <c r="H445" s="1234" t="s">
        <v>859</v>
      </c>
      <c r="I445" s="1254">
        <v>11596</v>
      </c>
      <c r="J445" s="1234">
        <v>0</v>
      </c>
      <c r="K445" s="1234">
        <v>13</v>
      </c>
      <c r="L445" s="1246">
        <f t="shared" si="151"/>
        <v>892</v>
      </c>
      <c r="M445" s="1255">
        <v>46223</v>
      </c>
      <c r="N445" s="1255">
        <v>46220</v>
      </c>
      <c r="O445" s="1225" t="s">
        <v>736</v>
      </c>
      <c r="P445" s="1233"/>
      <c r="Q445" s="1255" t="s">
        <v>106</v>
      </c>
      <c r="R445" s="1221" t="s">
        <v>1379</v>
      </c>
      <c r="S445" s="1234"/>
      <c r="T445" s="1233">
        <v>11596</v>
      </c>
      <c r="U445" s="1233">
        <f t="shared" si="152"/>
        <v>0</v>
      </c>
      <c r="V445" s="1234"/>
      <c r="W445" s="1238" t="s">
        <v>1236</v>
      </c>
      <c r="X445" s="1257" t="s">
        <v>95</v>
      </c>
      <c r="Y445" s="1257" t="s">
        <v>1959</v>
      </c>
      <c r="Z445" s="1247" t="s">
        <v>1960</v>
      </c>
      <c r="AA445" s="1247"/>
      <c r="AB445" s="1247"/>
      <c r="AC445" s="1247" t="s">
        <v>1961</v>
      </c>
      <c r="AD445" s="1248" t="s">
        <v>872</v>
      </c>
      <c r="AE445" s="1247">
        <v>1.0662</v>
      </c>
      <c r="AF445" s="1248">
        <f t="shared" si="158"/>
        <v>12363.6552</v>
      </c>
      <c r="AG445" s="1258"/>
      <c r="AH445" s="1234" t="s">
        <v>1027</v>
      </c>
      <c r="AI445" s="1234" t="s">
        <v>112</v>
      </c>
      <c r="AJ445" s="1234"/>
      <c r="AK445" s="1188">
        <f t="shared" si="156"/>
        <v>11596</v>
      </c>
      <c r="AL445" s="1188"/>
      <c r="AM445" s="1188"/>
      <c r="AN445" s="1188"/>
      <c r="AO445" s="1188"/>
      <c r="AP445" s="1188">
        <f>I445</f>
        <v>11596</v>
      </c>
      <c r="AQ445" s="1240"/>
      <c r="AR445" s="1188"/>
      <c r="AS445" s="1236"/>
      <c r="AT445" s="1236"/>
      <c r="AU445" s="1188">
        <f t="shared" si="157"/>
        <v>11596</v>
      </c>
      <c r="AV445" s="1250">
        <f>I445*0.06</f>
        <v>695.76</v>
      </c>
      <c r="AW445" s="1250"/>
      <c r="AX445" s="1188"/>
      <c r="AY445" s="1188"/>
      <c r="AZ445" s="1188"/>
      <c r="BA445" s="1188"/>
      <c r="BB445" s="1188"/>
      <c r="BC445" s="1188"/>
      <c r="BD445" s="1188"/>
      <c r="BE445" s="1188"/>
      <c r="BF445" s="1188"/>
      <c r="BG445" s="1188"/>
      <c r="BH445" s="1188"/>
      <c r="BI445" s="1188"/>
      <c r="BJ445" s="1188"/>
      <c r="BK445" s="1188"/>
      <c r="BL445" s="1188">
        <f>I445/13</f>
        <v>892</v>
      </c>
      <c r="BM445" s="1188"/>
      <c r="BN445" s="1188"/>
      <c r="BO445" s="1240"/>
      <c r="BP445" s="1240"/>
      <c r="BQ445" s="1188"/>
      <c r="BR445" s="1236"/>
      <c r="BS445" s="1236"/>
      <c r="BT445" s="1188"/>
      <c r="BU445" s="1188"/>
      <c r="BV445" s="1240"/>
      <c r="BW445" s="1188"/>
      <c r="BX445" s="1188"/>
      <c r="BY445" s="1188"/>
      <c r="BZ445" s="1188"/>
      <c r="CA445" s="1188"/>
      <c r="CB445" s="1188"/>
      <c r="CC445" s="1188"/>
      <c r="CD445" s="1188">
        <f t="shared" si="147"/>
        <v>0</v>
      </c>
      <c r="CE445" s="1188">
        <f t="shared" si="148"/>
        <v>0</v>
      </c>
      <c r="CF445" s="1188">
        <f t="shared" si="149"/>
        <v>0</v>
      </c>
      <c r="CG445" s="1188">
        <f t="shared" si="150"/>
        <v>0</v>
      </c>
      <c r="CH445" s="1236"/>
      <c r="CI445" s="1236"/>
      <c r="CJ445" s="1236"/>
      <c r="CK445" s="1188"/>
      <c r="CL445" s="1188"/>
    </row>
    <row r="446" s="1168" customFormat="1" customHeight="1" spans="1:111">
      <c r="A446" s="1245">
        <v>46153</v>
      </c>
      <c r="B446" s="1247" t="s">
        <v>1962</v>
      </c>
      <c r="C446" s="1234" t="s">
        <v>1439</v>
      </c>
      <c r="D446" s="1268">
        <v>4500206343</v>
      </c>
      <c r="E446" s="1234" t="s">
        <v>628</v>
      </c>
      <c r="F446" s="1188" t="s">
        <v>1963</v>
      </c>
      <c r="G446" s="1253" t="s">
        <v>174</v>
      </c>
      <c r="H446" s="1234" t="s">
        <v>175</v>
      </c>
      <c r="I446" s="1254">
        <v>6032</v>
      </c>
      <c r="J446" s="1234">
        <v>0</v>
      </c>
      <c r="K446" s="1234">
        <v>52</v>
      </c>
      <c r="L446" s="1246">
        <f t="shared" si="151"/>
        <v>116</v>
      </c>
      <c r="M446" s="1255">
        <v>46223</v>
      </c>
      <c r="N446" s="1320">
        <v>46231</v>
      </c>
      <c r="O446" s="1338" t="s">
        <v>1964</v>
      </c>
      <c r="P446" s="1233" t="s">
        <v>1965</v>
      </c>
      <c r="Q446" s="1233" t="s">
        <v>106</v>
      </c>
      <c r="R446" s="1221" t="s">
        <v>1063</v>
      </c>
      <c r="S446" s="1234"/>
      <c r="T446" s="1233">
        <v>6032</v>
      </c>
      <c r="U446" s="1233">
        <f t="shared" si="152"/>
        <v>0</v>
      </c>
      <c r="V446" s="1234"/>
      <c r="W446" s="1238" t="s">
        <v>1966</v>
      </c>
      <c r="X446" s="1257" t="s">
        <v>95</v>
      </c>
      <c r="Y446" s="1227" t="s">
        <v>1967</v>
      </c>
      <c r="Z446" s="1247"/>
      <c r="AA446" s="1247"/>
      <c r="AB446" s="1247"/>
      <c r="AC446" s="1247" t="s">
        <v>1968</v>
      </c>
      <c r="AD446" s="1255" t="s">
        <v>1477</v>
      </c>
      <c r="AE446" s="1188">
        <v>1.0732</v>
      </c>
      <c r="AF446" s="1248">
        <f t="shared" si="158"/>
        <v>6473.5424</v>
      </c>
      <c r="AG446" s="1258"/>
      <c r="AH446" s="1234" t="s">
        <v>1027</v>
      </c>
      <c r="AI446" s="1234" t="s">
        <v>112</v>
      </c>
      <c r="AJ446" s="1234" t="s">
        <v>113</v>
      </c>
      <c r="AK446" s="1188">
        <f t="shared" si="156"/>
        <v>6032</v>
      </c>
      <c r="AL446" s="1188"/>
      <c r="AM446" s="1188"/>
      <c r="AN446" s="1188"/>
      <c r="AO446" s="1188"/>
      <c r="AP446" s="1188">
        <f>I446</f>
        <v>6032</v>
      </c>
      <c r="AQ446" s="1240"/>
      <c r="AR446" s="1188"/>
      <c r="AS446" s="1236"/>
      <c r="AT446" s="1236"/>
      <c r="AU446" s="1188">
        <f t="shared" si="157"/>
        <v>6032</v>
      </c>
      <c r="AV446" s="1250">
        <f>I446*0.06*2</f>
        <v>723.84</v>
      </c>
      <c r="AW446" s="1250"/>
      <c r="AX446" s="1188"/>
      <c r="AY446" s="1188"/>
      <c r="AZ446" s="1188"/>
      <c r="BA446" s="1188"/>
      <c r="BB446" s="1188"/>
      <c r="BC446" s="1188"/>
      <c r="BD446" s="1188"/>
      <c r="BE446" s="1188"/>
      <c r="BF446" s="1188"/>
      <c r="BG446" s="1188"/>
      <c r="BH446" s="1188"/>
      <c r="BI446" s="1188"/>
      <c r="BJ446" s="1188"/>
      <c r="BK446" s="1188"/>
      <c r="BL446" s="1188">
        <f>I446/13</f>
        <v>464</v>
      </c>
      <c r="BM446" s="1188"/>
      <c r="BN446" s="1188"/>
      <c r="BO446" s="1240"/>
      <c r="BP446" s="1240"/>
      <c r="BQ446" s="1188"/>
      <c r="BR446" s="1236"/>
      <c r="BS446" s="1236"/>
      <c r="BT446" s="1188"/>
      <c r="BU446" s="1188"/>
      <c r="BV446" s="1240"/>
      <c r="BW446" s="1188"/>
      <c r="BX446" s="1188"/>
      <c r="BY446" s="1188"/>
      <c r="BZ446" s="1188"/>
      <c r="CA446" s="1188"/>
      <c r="CB446" s="1188"/>
      <c r="CC446" s="1188"/>
      <c r="CD446" s="1188">
        <f t="shared" si="147"/>
        <v>0</v>
      </c>
      <c r="CE446" s="1188">
        <f t="shared" si="148"/>
        <v>0</v>
      </c>
      <c r="CF446" s="1188">
        <f t="shared" si="149"/>
        <v>0</v>
      </c>
      <c r="CG446" s="1188">
        <f t="shared" si="150"/>
        <v>0</v>
      </c>
      <c r="CH446" s="1236"/>
      <c r="CI446" s="1236"/>
      <c r="CJ446" s="1236"/>
      <c r="CK446" s="1188"/>
      <c r="CL446" s="1188"/>
    </row>
    <row r="447" s="1168" customFormat="1" customHeight="1" spans="1:111">
      <c r="A447" s="1245">
        <v>46168</v>
      </c>
      <c r="B447" s="1220" t="s">
        <v>1969</v>
      </c>
      <c r="C447" s="1221" t="s">
        <v>1439</v>
      </c>
      <c r="D447" s="1303">
        <v>4500209231</v>
      </c>
      <c r="E447" s="1221" t="s">
        <v>628</v>
      </c>
      <c r="F447" s="1222" t="s">
        <v>1970</v>
      </c>
      <c r="G447" s="1223" t="s">
        <v>289</v>
      </c>
      <c r="H447" s="1221" t="s">
        <v>194</v>
      </c>
      <c r="I447" s="1252">
        <v>4836</v>
      </c>
      <c r="J447" s="1221">
        <v>0</v>
      </c>
      <c r="K447" s="1221">
        <v>13</v>
      </c>
      <c r="L447" s="1246">
        <f t="shared" si="151"/>
        <v>372</v>
      </c>
      <c r="M447" s="1225">
        <v>46223</v>
      </c>
      <c r="N447" s="1338">
        <v>46231</v>
      </c>
      <c r="O447" s="1338" t="s">
        <v>1971</v>
      </c>
      <c r="P447" s="1233"/>
      <c r="Q447" s="1233" t="s">
        <v>106</v>
      </c>
      <c r="R447" s="1221" t="s">
        <v>1229</v>
      </c>
      <c r="S447" s="1234"/>
      <c r="T447" s="1233">
        <v>4836</v>
      </c>
      <c r="U447" s="1233">
        <f t="shared" si="152"/>
        <v>0</v>
      </c>
      <c r="V447" s="1234"/>
      <c r="W447" s="1238" t="s">
        <v>1972</v>
      </c>
      <c r="X447" s="1227" t="s">
        <v>95</v>
      </c>
      <c r="Y447" s="1227" t="s">
        <v>1973</v>
      </c>
      <c r="Z447" s="1247"/>
      <c r="AA447" s="1247"/>
      <c r="AB447" s="1247"/>
      <c r="AC447" s="1358" t="s">
        <v>1974</v>
      </c>
      <c r="AD447" s="1225" t="s">
        <v>1477</v>
      </c>
      <c r="AE447" s="1188">
        <v>1.0809</v>
      </c>
      <c r="AF447" s="1248">
        <f t="shared" si="158"/>
        <v>5227.2324</v>
      </c>
      <c r="AG447" s="1258"/>
      <c r="AH447" s="1234" t="s">
        <v>199</v>
      </c>
      <c r="AI447" s="1234" t="s">
        <v>112</v>
      </c>
      <c r="AJ447" s="1234" t="s">
        <v>113</v>
      </c>
      <c r="AK447" s="1188">
        <f t="shared" si="156"/>
        <v>4836</v>
      </c>
      <c r="AL447" s="1188"/>
      <c r="AM447" s="1188"/>
      <c r="AN447" s="1188"/>
      <c r="AO447" s="1188"/>
      <c r="AP447" s="1188">
        <f>I447</f>
        <v>4836</v>
      </c>
      <c r="AQ447" s="1240"/>
      <c r="AR447" s="1188"/>
      <c r="AS447" s="1236"/>
      <c r="AT447" s="1236"/>
      <c r="AU447" s="1188">
        <f t="shared" si="157"/>
        <v>4836</v>
      </c>
      <c r="AV447" s="1250">
        <f>I447*0.06*2</f>
        <v>580.32</v>
      </c>
      <c r="AW447" s="1250"/>
      <c r="AX447" s="1188"/>
      <c r="AY447" s="1188"/>
      <c r="AZ447" s="1188"/>
      <c r="BA447" s="1188"/>
      <c r="BB447" s="1188"/>
      <c r="BC447" s="1188"/>
      <c r="BD447" s="1188"/>
      <c r="BE447" s="1188"/>
      <c r="BF447" s="1188"/>
      <c r="BG447" s="1188"/>
      <c r="BH447" s="1188"/>
      <c r="BI447" s="1188"/>
      <c r="BJ447" s="1188"/>
      <c r="BK447" s="1188"/>
      <c r="BL447" s="1188">
        <f>I447/13</f>
        <v>372</v>
      </c>
      <c r="BM447" s="1188"/>
      <c r="BN447" s="1188"/>
      <c r="BO447" s="1240"/>
      <c r="BP447" s="1240"/>
      <c r="BQ447" s="1188"/>
      <c r="BR447" s="1236"/>
      <c r="BS447" s="1236"/>
      <c r="BT447" s="1188"/>
      <c r="BU447" s="1188"/>
      <c r="BV447" s="1240"/>
      <c r="BW447" s="1188"/>
      <c r="BX447" s="1188"/>
      <c r="BY447" s="1188"/>
      <c r="BZ447" s="1188"/>
      <c r="CA447" s="1188"/>
      <c r="CB447" s="1188"/>
      <c r="CC447" s="1188"/>
      <c r="CD447" s="1188">
        <f t="shared" si="147"/>
        <v>0</v>
      </c>
      <c r="CE447" s="1188">
        <f t="shared" si="148"/>
        <v>0</v>
      </c>
      <c r="CF447" s="1188">
        <f t="shared" si="149"/>
        <v>0</v>
      </c>
      <c r="CG447" s="1188">
        <f t="shared" si="150"/>
        <v>0</v>
      </c>
      <c r="CH447" s="1236"/>
      <c r="CI447" s="1236"/>
      <c r="CJ447" s="1236"/>
      <c r="CK447" s="1188"/>
      <c r="CL447" s="1188"/>
    </row>
    <row r="448" s="1169" customFormat="1" customHeight="1" spans="1:111">
      <c r="A448" s="1245">
        <v>46168</v>
      </c>
      <c r="B448" s="1247" t="s">
        <v>1969</v>
      </c>
      <c r="C448" s="1234" t="s">
        <v>1439</v>
      </c>
      <c r="D448" s="1268">
        <v>4500209231</v>
      </c>
      <c r="E448" s="1234" t="s">
        <v>628</v>
      </c>
      <c r="F448" s="1188" t="s">
        <v>1975</v>
      </c>
      <c r="G448" s="1253" t="s">
        <v>799</v>
      </c>
      <c r="H448" s="1234" t="s">
        <v>800</v>
      </c>
      <c r="I448" s="1254">
        <v>2880</v>
      </c>
      <c r="J448" s="1234">
        <v>0</v>
      </c>
      <c r="K448" s="1234">
        <v>30</v>
      </c>
      <c r="L448" s="1246">
        <f t="shared" si="151"/>
        <v>96</v>
      </c>
      <c r="M448" s="1255">
        <v>46223</v>
      </c>
      <c r="N448" s="1320">
        <v>46231</v>
      </c>
      <c r="O448" s="1338" t="s">
        <v>1976</v>
      </c>
      <c r="P448" s="1233" t="s">
        <v>1977</v>
      </c>
      <c r="Q448" s="1233" t="s">
        <v>106</v>
      </c>
      <c r="R448" s="1234" t="s">
        <v>1229</v>
      </c>
      <c r="S448" s="1234"/>
      <c r="T448" s="1233">
        <v>2880</v>
      </c>
      <c r="U448" s="1233">
        <f t="shared" si="152"/>
        <v>0</v>
      </c>
      <c r="V448" s="1234"/>
      <c r="W448" s="1238" t="s">
        <v>1972</v>
      </c>
      <c r="X448" s="1257" t="s">
        <v>95</v>
      </c>
      <c r="Y448" s="1227" t="s">
        <v>1973</v>
      </c>
      <c r="Z448" s="1247"/>
      <c r="AA448" s="1247"/>
      <c r="AB448" s="1247"/>
      <c r="AC448" s="1321" t="s">
        <v>1978</v>
      </c>
      <c r="AD448" s="1255" t="s">
        <v>1477</v>
      </c>
      <c r="AE448" s="1188">
        <v>42.021</v>
      </c>
      <c r="AF448" s="1248">
        <f>AE448*L448</f>
        <v>4034.016</v>
      </c>
      <c r="AG448" s="1258"/>
      <c r="AH448" s="1253" t="s">
        <v>799</v>
      </c>
      <c r="AI448" s="1234" t="s">
        <v>112</v>
      </c>
      <c r="AJ448" s="1234"/>
      <c r="AK448" s="1188">
        <f t="shared" si="156"/>
        <v>2880</v>
      </c>
      <c r="AL448" s="1188"/>
      <c r="AM448" s="1188"/>
      <c r="AN448" s="1188"/>
      <c r="AO448" s="1188"/>
      <c r="AP448" s="1188">
        <f>I448</f>
        <v>2880</v>
      </c>
      <c r="AQ448" s="1240"/>
      <c r="AR448" s="1188"/>
      <c r="AS448" s="1236"/>
      <c r="AT448" s="1236"/>
      <c r="AU448" s="1188">
        <f t="shared" si="157"/>
        <v>2880</v>
      </c>
      <c r="AV448" s="1250">
        <f>I448*0.06*2</f>
        <v>345.6</v>
      </c>
      <c r="AW448" s="1250"/>
      <c r="AX448" s="1188"/>
      <c r="AY448" s="1188"/>
      <c r="AZ448" s="1188"/>
      <c r="BA448" s="1188"/>
      <c r="BB448" s="1188"/>
      <c r="BC448" s="1188"/>
      <c r="BD448" s="1188"/>
      <c r="BE448" s="1188"/>
      <c r="BF448" s="1188"/>
      <c r="BG448" s="1188"/>
      <c r="BH448" s="1188"/>
      <c r="BI448" s="1188"/>
      <c r="BJ448" s="1188"/>
      <c r="BK448" s="1188"/>
      <c r="BL448" s="1188"/>
      <c r="BM448" s="1188"/>
      <c r="BN448" s="1188"/>
      <c r="BO448" s="1240"/>
      <c r="BP448" s="1240"/>
      <c r="BQ448" s="1188"/>
      <c r="BR448" s="1236"/>
      <c r="BS448" s="1236"/>
      <c r="BT448" s="1188"/>
      <c r="BU448" s="1188"/>
      <c r="BV448" s="1240"/>
      <c r="BW448" s="1188"/>
      <c r="BX448" s="1188"/>
      <c r="BY448" s="1188"/>
      <c r="BZ448" s="1188"/>
      <c r="CA448" s="1188"/>
      <c r="CB448" s="1188"/>
      <c r="CC448" s="1188">
        <f>I448/30</f>
        <v>96</v>
      </c>
      <c r="CD448" s="1188">
        <f t="shared" si="147"/>
        <v>0</v>
      </c>
      <c r="CE448" s="1188">
        <f t="shared" si="148"/>
        <v>0</v>
      </c>
      <c r="CF448" s="1188">
        <f t="shared" si="149"/>
        <v>96</v>
      </c>
      <c r="CG448" s="1188">
        <f t="shared" si="150"/>
        <v>0</v>
      </c>
      <c r="CH448" s="1236"/>
      <c r="CI448" s="1236"/>
      <c r="CJ448" s="1236"/>
      <c r="CK448" s="1188"/>
      <c r="CL448" s="1188"/>
      <c r="CM448" s="1168"/>
      <c r="CN448" s="1168"/>
      <c r="CO448" s="1168"/>
      <c r="CP448" s="1168"/>
      <c r="CQ448" s="1168"/>
      <c r="CR448" s="1168"/>
      <c r="CS448" s="1168"/>
      <c r="CT448" s="1168"/>
      <c r="CU448" s="1168"/>
      <c r="CV448" s="1168"/>
      <c r="CW448" s="1168"/>
      <c r="CX448" s="1168"/>
      <c r="CY448" s="1168"/>
      <c r="CZ448" s="1168"/>
      <c r="DA448" s="1168"/>
      <c r="DB448" s="1168"/>
      <c r="DC448" s="1168"/>
      <c r="DD448" s="1168"/>
      <c r="DE448" s="1168"/>
      <c r="DF448" s="1168"/>
      <c r="DG448" s="1168"/>
    </row>
    <row r="449" s="1169" customFormat="1" customHeight="1" spans="1:111">
      <c r="A449" s="1245">
        <v>46198</v>
      </c>
      <c r="B449" s="1247" t="s">
        <v>1979</v>
      </c>
      <c r="C449" s="1234" t="s">
        <v>164</v>
      </c>
      <c r="D449" s="1268">
        <v>4500197193</v>
      </c>
      <c r="E449" s="1233">
        <v>4500191729</v>
      </c>
      <c r="F449" s="1188" t="s">
        <v>1980</v>
      </c>
      <c r="G449" s="1253" t="s">
        <v>174</v>
      </c>
      <c r="H449" s="1234" t="s">
        <v>175</v>
      </c>
      <c r="I449" s="1254">
        <v>1040</v>
      </c>
      <c r="J449" s="1234">
        <v>0</v>
      </c>
      <c r="K449" s="1234">
        <v>52</v>
      </c>
      <c r="L449" s="1246">
        <f t="shared" si="151"/>
        <v>20</v>
      </c>
      <c r="M449" s="1255">
        <v>46223</v>
      </c>
      <c r="N449" s="1255">
        <v>46214</v>
      </c>
      <c r="O449" s="1337" t="s">
        <v>736</v>
      </c>
      <c r="P449" s="1233" t="s">
        <v>1981</v>
      </c>
      <c r="Q449" s="1233" t="s">
        <v>106</v>
      </c>
      <c r="R449" s="1234" t="s">
        <v>1379</v>
      </c>
      <c r="S449" s="1234"/>
      <c r="T449" s="1233">
        <v>1040</v>
      </c>
      <c r="U449" s="1233">
        <f t="shared" si="152"/>
        <v>0</v>
      </c>
      <c r="V449" s="1234"/>
      <c r="W449" s="1256">
        <v>46136</v>
      </c>
      <c r="X449" s="1227" t="s">
        <v>95</v>
      </c>
      <c r="Y449" s="1257" t="s">
        <v>1982</v>
      </c>
      <c r="Z449" s="1247" t="s">
        <v>1983</v>
      </c>
      <c r="AA449" s="1247"/>
      <c r="AB449" s="1247"/>
      <c r="AC449" s="1247" t="s">
        <v>1984</v>
      </c>
      <c r="AD449" s="1320" t="s">
        <v>1985</v>
      </c>
      <c r="AE449" s="1251">
        <v>1.0933</v>
      </c>
      <c r="AF449" s="1335">
        <f>I449*AE449</f>
        <v>1137.032</v>
      </c>
      <c r="AG449" s="1336"/>
      <c r="AH449" s="1234" t="s">
        <v>1027</v>
      </c>
      <c r="AI449" s="1234" t="s">
        <v>112</v>
      </c>
      <c r="AJ449" s="1234" t="s">
        <v>113</v>
      </c>
      <c r="AK449" s="1188">
        <f t="shared" si="156"/>
        <v>1040</v>
      </c>
      <c r="AL449" s="1188"/>
      <c r="AM449" s="1188"/>
      <c r="AN449" s="1188"/>
      <c r="AO449" s="1188"/>
      <c r="AP449" s="1188">
        <f>I449</f>
        <v>1040</v>
      </c>
      <c r="AQ449" s="1240"/>
      <c r="AR449" s="1188"/>
      <c r="AS449" s="1236"/>
      <c r="AT449" s="1236"/>
      <c r="AU449" s="1188">
        <f t="shared" si="157"/>
        <v>1040</v>
      </c>
      <c r="AV449" s="1250"/>
      <c r="AW449" s="1250"/>
      <c r="AX449" s="1188"/>
      <c r="AY449" s="1188"/>
      <c r="AZ449" s="1188"/>
      <c r="BA449" s="1188"/>
      <c r="BB449" s="1188"/>
      <c r="BC449" s="1188"/>
      <c r="BD449" s="1188"/>
      <c r="BE449" s="1188"/>
      <c r="BF449" s="1188"/>
      <c r="BG449" s="1188"/>
      <c r="BH449" s="1188"/>
      <c r="BI449" s="1188"/>
      <c r="BJ449" s="1188"/>
      <c r="BK449" s="1188"/>
      <c r="BL449" s="1188">
        <f>I449/13</f>
        <v>80</v>
      </c>
      <c r="BM449" s="1188"/>
      <c r="BN449" s="1188"/>
      <c r="BO449" s="1240"/>
      <c r="BP449" s="1240"/>
      <c r="BQ449" s="1188"/>
      <c r="BR449" s="1236"/>
      <c r="BS449" s="1236"/>
      <c r="BT449" s="1188"/>
      <c r="BU449" s="1188"/>
      <c r="BV449" s="1240"/>
      <c r="BW449" s="1188"/>
      <c r="BX449" s="1188"/>
      <c r="BY449" s="1188"/>
      <c r="BZ449" s="1188"/>
      <c r="CA449" s="1188"/>
      <c r="CB449" s="1188"/>
      <c r="CC449" s="1188"/>
      <c r="CD449" s="1188">
        <f t="shared" si="147"/>
        <v>0</v>
      </c>
      <c r="CE449" s="1188">
        <f t="shared" si="148"/>
        <v>0</v>
      </c>
      <c r="CF449" s="1188">
        <f t="shared" si="149"/>
        <v>0</v>
      </c>
      <c r="CG449" s="1188">
        <f t="shared" si="150"/>
        <v>0</v>
      </c>
      <c r="CH449" s="1236"/>
      <c r="CI449" s="1236"/>
      <c r="CJ449" s="1236"/>
      <c r="CK449" s="1188"/>
      <c r="CL449" s="1188"/>
      <c r="CM449" s="1168"/>
      <c r="CN449" s="1168"/>
      <c r="CO449" s="1168"/>
      <c r="CP449" s="1168"/>
      <c r="CQ449" s="1168"/>
      <c r="CR449" s="1168"/>
      <c r="CS449" s="1168"/>
      <c r="CT449" s="1168"/>
      <c r="CU449" s="1168"/>
      <c r="CV449" s="1168"/>
      <c r="CW449" s="1168"/>
      <c r="CX449" s="1168"/>
      <c r="CY449" s="1168"/>
      <c r="CZ449" s="1168"/>
      <c r="DA449" s="1168"/>
      <c r="DB449" s="1168"/>
      <c r="DC449" s="1168"/>
      <c r="DD449" s="1168"/>
      <c r="DE449" s="1168"/>
      <c r="DF449" s="1168"/>
      <c r="DG449" s="1168"/>
    </row>
    <row r="450" s="1168" customFormat="1" customHeight="1" spans="1:111">
      <c r="A450" s="1245">
        <v>46099</v>
      </c>
      <c r="B450" s="1247" t="s">
        <v>723</v>
      </c>
      <c r="C450" s="1234" t="s">
        <v>135</v>
      </c>
      <c r="D450" s="1188">
        <v>4500197502</v>
      </c>
      <c r="E450" s="1234" t="s">
        <v>1986</v>
      </c>
      <c r="F450" s="1188" t="s">
        <v>1987</v>
      </c>
      <c r="G450" s="1253" t="s">
        <v>726</v>
      </c>
      <c r="H450" s="1234" t="s">
        <v>483</v>
      </c>
      <c r="I450" s="1330">
        <v>4320</v>
      </c>
      <c r="J450" s="1234">
        <v>0</v>
      </c>
      <c r="K450" s="1234">
        <v>120</v>
      </c>
      <c r="L450" s="1246">
        <f t="shared" si="151"/>
        <v>36</v>
      </c>
      <c r="M450" s="1255">
        <v>46223</v>
      </c>
      <c r="N450" s="1320">
        <v>46230</v>
      </c>
      <c r="O450" s="1338" t="s">
        <v>1700</v>
      </c>
      <c r="P450" s="1233"/>
      <c r="Q450" s="1233" t="s">
        <v>1410</v>
      </c>
      <c r="R450" s="1234" t="s">
        <v>1315</v>
      </c>
      <c r="S450" s="1234"/>
      <c r="T450" s="1233">
        <v>4320</v>
      </c>
      <c r="U450" s="1233">
        <f t="shared" si="152"/>
        <v>0</v>
      </c>
      <c r="V450" s="1234"/>
      <c r="W450" s="1256">
        <v>46133</v>
      </c>
      <c r="X450" s="1227" t="s">
        <v>107</v>
      </c>
      <c r="Y450" s="1227" t="s">
        <v>95</v>
      </c>
      <c r="Z450" s="1247" t="s">
        <v>140</v>
      </c>
      <c r="AA450" s="1247"/>
      <c r="AB450" s="1247"/>
      <c r="AC450" s="1247" t="s">
        <v>1988</v>
      </c>
      <c r="AD450" s="1255" t="s">
        <v>730</v>
      </c>
      <c r="AE450" s="1267">
        <v>1118</v>
      </c>
      <c r="AF450" s="1248">
        <f>L450*AE450</f>
        <v>40248</v>
      </c>
      <c r="AG450" s="1258"/>
      <c r="AH450" s="1234" t="s">
        <v>731</v>
      </c>
      <c r="AI450" s="1234" t="s">
        <v>112</v>
      </c>
      <c r="AJ450" s="1234" t="s">
        <v>113</v>
      </c>
      <c r="AK450" s="1188"/>
      <c r="AL450" s="1188">
        <f>I450*3</f>
        <v>12960</v>
      </c>
      <c r="AM450" s="1188"/>
      <c r="AN450" s="1188"/>
      <c r="AO450" s="1188"/>
      <c r="AP450" s="1188"/>
      <c r="AQ450" s="1240"/>
      <c r="AR450" s="1188"/>
      <c r="AS450" s="1236"/>
      <c r="AT450" s="1236"/>
      <c r="AU450" s="1188"/>
      <c r="AV450" s="1250">
        <f>I450*0.06*2</f>
        <v>518.4</v>
      </c>
      <c r="AW450" s="1250"/>
      <c r="AX450" s="1188"/>
      <c r="AY450" s="1188"/>
      <c r="AZ450" s="1188"/>
      <c r="BA450" s="1188"/>
      <c r="BB450" s="1188">
        <f>I450*3</f>
        <v>12960</v>
      </c>
      <c r="BC450" s="1188">
        <f>I450*3</f>
        <v>12960</v>
      </c>
      <c r="BD450" s="1188">
        <f>I450*3</f>
        <v>12960</v>
      </c>
      <c r="BE450" s="1188">
        <f>I450</f>
        <v>4320</v>
      </c>
      <c r="BF450" s="1188">
        <f>I450/6</f>
        <v>720</v>
      </c>
      <c r="BG450" s="1188"/>
      <c r="BH450" s="1188"/>
      <c r="BI450" s="1188"/>
      <c r="BJ450" s="1188"/>
      <c r="BK450" s="1188"/>
      <c r="BL450" s="1188"/>
      <c r="BM450" s="1188"/>
      <c r="BN450" s="1188"/>
      <c r="BO450" s="1240"/>
      <c r="BP450" s="1240"/>
      <c r="BQ450" s="1188"/>
      <c r="BR450" s="1236"/>
      <c r="BS450" s="1188"/>
      <c r="BT450" s="1188"/>
      <c r="BU450" s="1188"/>
      <c r="BV450" s="1240"/>
      <c r="BW450" s="1188"/>
      <c r="BX450" s="1188"/>
      <c r="BY450" s="1188"/>
      <c r="BZ450" s="1188"/>
      <c r="CA450" s="1188"/>
      <c r="CB450" s="1188"/>
      <c r="CC450" s="1188"/>
      <c r="CD450" s="1188">
        <f t="shared" si="147"/>
        <v>0</v>
      </c>
      <c r="CE450" s="1188">
        <f t="shared" si="148"/>
        <v>0</v>
      </c>
      <c r="CF450" s="1188">
        <f t="shared" si="149"/>
        <v>0</v>
      </c>
      <c r="CG450" s="1188">
        <f t="shared" si="150"/>
        <v>0</v>
      </c>
      <c r="CH450" s="1236"/>
      <c r="CI450" s="1236"/>
      <c r="CJ450" s="1236"/>
      <c r="CK450" s="1188"/>
      <c r="CL450" s="1188"/>
    </row>
    <row r="451" s="1168" customFormat="1" customHeight="1" spans="1:111">
      <c r="A451" s="1245">
        <v>46139</v>
      </c>
      <c r="B451" s="1247" t="s">
        <v>1989</v>
      </c>
      <c r="C451" s="1234" t="s">
        <v>148</v>
      </c>
      <c r="D451" s="1268">
        <v>4500203754</v>
      </c>
      <c r="E451" s="1233">
        <v>200260287</v>
      </c>
      <c r="F451" s="1188" t="s">
        <v>1990</v>
      </c>
      <c r="G451" s="1253" t="s">
        <v>146</v>
      </c>
      <c r="H451" s="1234" t="s">
        <v>104</v>
      </c>
      <c r="I451" s="1254">
        <v>175</v>
      </c>
      <c r="J451" s="1234">
        <v>0</v>
      </c>
      <c r="K451" s="1234">
        <v>25</v>
      </c>
      <c r="L451" s="1246">
        <f t="shared" si="151"/>
        <v>7</v>
      </c>
      <c r="M451" s="1255">
        <v>46223</v>
      </c>
      <c r="N451" s="1320">
        <v>46231</v>
      </c>
      <c r="O451" s="1338" t="s">
        <v>1964</v>
      </c>
      <c r="P451" s="1233"/>
      <c r="Q451" s="1233" t="s">
        <v>1410</v>
      </c>
      <c r="R451" s="1234" t="s">
        <v>1991</v>
      </c>
      <c r="S451" s="1234"/>
      <c r="T451" s="1233">
        <v>175</v>
      </c>
      <c r="U451" s="1233">
        <f t="shared" si="152"/>
        <v>0</v>
      </c>
      <c r="V451" s="1234" t="s">
        <v>120</v>
      </c>
      <c r="W451" s="1256">
        <v>46142</v>
      </c>
      <c r="X451" s="1227" t="s">
        <v>95</v>
      </c>
      <c r="Y451" s="1227" t="s">
        <v>1992</v>
      </c>
      <c r="Z451" s="1247"/>
      <c r="AA451" s="1247"/>
      <c r="AB451" s="1247"/>
      <c r="AC451" s="1247" t="s">
        <v>1993</v>
      </c>
      <c r="AD451" s="1255" t="s">
        <v>263</v>
      </c>
      <c r="AE451" s="1188">
        <v>1.0856</v>
      </c>
      <c r="AF451" s="1248">
        <f>I451*AE451</f>
        <v>189.98</v>
      </c>
      <c r="AG451" s="1258"/>
      <c r="AH451" s="1234" t="s">
        <v>111</v>
      </c>
      <c r="AI451" s="1234" t="s">
        <v>112</v>
      </c>
      <c r="AJ451" s="1234" t="s">
        <v>113</v>
      </c>
      <c r="AK451" s="1188">
        <f t="shared" ref="AK451:AK464" si="159">I451</f>
        <v>175</v>
      </c>
      <c r="AL451" s="1188"/>
      <c r="AM451" s="1188"/>
      <c r="AN451" s="1188"/>
      <c r="AO451" s="1188"/>
      <c r="AP451" s="1188">
        <f>I451</f>
        <v>175</v>
      </c>
      <c r="AQ451" s="1240"/>
      <c r="AR451" s="1188"/>
      <c r="AS451" s="1236"/>
      <c r="AT451" s="1236"/>
      <c r="AU451" s="1188">
        <f t="shared" ref="AU451:AU464" si="160">I451</f>
        <v>175</v>
      </c>
      <c r="AV451" s="1250">
        <f>I451*0.06*2</f>
        <v>21</v>
      </c>
      <c r="AW451" s="1250"/>
      <c r="AX451" s="1188"/>
      <c r="AY451" s="1188"/>
      <c r="AZ451" s="1188"/>
      <c r="BA451" s="1188"/>
      <c r="BB451" s="1188"/>
      <c r="BC451" s="1188"/>
      <c r="BD451" s="1188"/>
      <c r="BE451" s="1188"/>
      <c r="BF451" s="1188"/>
      <c r="BG451" s="1188"/>
      <c r="BH451" s="1188"/>
      <c r="BI451" s="1188"/>
      <c r="BJ451" s="1188"/>
      <c r="BK451" s="1188"/>
      <c r="BL451" s="1188"/>
      <c r="BM451" s="1188"/>
      <c r="BN451" s="1188"/>
      <c r="BO451" s="1240">
        <f>I451/25</f>
        <v>7</v>
      </c>
      <c r="BP451" s="1240"/>
      <c r="BQ451" s="1188"/>
      <c r="BR451" s="1236"/>
      <c r="BS451" s="1236"/>
      <c r="BT451" s="1188"/>
      <c r="BU451" s="1188"/>
      <c r="BV451" s="1240"/>
      <c r="BW451" s="1188"/>
      <c r="BX451" s="1188"/>
      <c r="BY451" s="1188"/>
      <c r="BZ451" s="1188"/>
      <c r="CA451" s="1188"/>
      <c r="CB451" s="1188"/>
      <c r="CC451" s="1188"/>
      <c r="CD451" s="1188">
        <f t="shared" si="147"/>
        <v>7</v>
      </c>
      <c r="CE451" s="1188">
        <f t="shared" si="148"/>
        <v>0</v>
      </c>
      <c r="CF451" s="1188">
        <f t="shared" si="149"/>
        <v>0</v>
      </c>
      <c r="CG451" s="1188">
        <f t="shared" si="150"/>
        <v>0</v>
      </c>
      <c r="CH451" s="1236"/>
      <c r="CI451" s="1236"/>
      <c r="CJ451" s="1236"/>
      <c r="CK451" s="1188"/>
      <c r="CL451" s="1188"/>
    </row>
    <row r="452" s="1169" customFormat="1" customHeight="1" spans="1:111">
      <c r="A452" s="1245">
        <v>46205</v>
      </c>
      <c r="B452" s="1220"/>
      <c r="C452" s="1221" t="s">
        <v>597</v>
      </c>
      <c r="D452" s="1222" t="s">
        <v>1994</v>
      </c>
      <c r="E452" s="1221"/>
      <c r="F452" s="1222" t="s">
        <v>1995</v>
      </c>
      <c r="G452" s="1223" t="s">
        <v>91</v>
      </c>
      <c r="H452" s="1234" t="s">
        <v>600</v>
      </c>
      <c r="I452" s="1252">
        <v>1200</v>
      </c>
      <c r="J452" s="1221">
        <v>0</v>
      </c>
      <c r="K452" s="1221">
        <v>24</v>
      </c>
      <c r="L452" s="1246">
        <f t="shared" si="151"/>
        <v>50</v>
      </c>
      <c r="M452" s="1225">
        <v>46223</v>
      </c>
      <c r="N452" s="1225">
        <v>46219</v>
      </c>
      <c r="O452" s="1225"/>
      <c r="P452" s="1233"/>
      <c r="Q452" s="1233"/>
      <c r="R452" s="1234"/>
      <c r="S452" s="1234"/>
      <c r="T452" s="1233">
        <v>1200</v>
      </c>
      <c r="U452" s="1233">
        <f t="shared" si="152"/>
        <v>0</v>
      </c>
      <c r="V452" s="1234"/>
      <c r="W452" s="1238" t="s">
        <v>94</v>
      </c>
      <c r="X452" s="1227" t="s">
        <v>95</v>
      </c>
      <c r="Y452" s="1227" t="s">
        <v>95</v>
      </c>
      <c r="Z452" s="1247"/>
      <c r="AA452" s="1247"/>
      <c r="AB452" s="1247"/>
      <c r="AC452" s="1220" t="s">
        <v>1996</v>
      </c>
      <c r="AD452" s="1225" t="s">
        <v>272</v>
      </c>
      <c r="AE452" s="1188"/>
      <c r="AF452" s="1248"/>
      <c r="AG452" s="1258"/>
      <c r="AH452" s="1234" t="s">
        <v>91</v>
      </c>
      <c r="AI452" s="1234" t="s">
        <v>112</v>
      </c>
      <c r="AJ452" s="1234"/>
      <c r="AK452" s="1188">
        <f t="shared" si="159"/>
        <v>1200</v>
      </c>
      <c r="AL452" s="1188"/>
      <c r="AM452" s="1188"/>
      <c r="AN452" s="1188">
        <f>I452</f>
        <v>1200</v>
      </c>
      <c r="AO452" s="1188"/>
      <c r="AP452" s="1188"/>
      <c r="AQ452" s="1240"/>
      <c r="AR452" s="1188"/>
      <c r="AS452" s="1236"/>
      <c r="AT452" s="1236"/>
      <c r="AU452" s="1188">
        <f t="shared" si="160"/>
        <v>1200</v>
      </c>
      <c r="AV452" s="1250"/>
      <c r="AW452" s="1250"/>
      <c r="AX452" s="1188"/>
      <c r="AY452" s="1188"/>
      <c r="AZ452" s="1188"/>
      <c r="BA452" s="1188"/>
      <c r="BB452" s="1188"/>
      <c r="BC452" s="1188"/>
      <c r="BD452" s="1188"/>
      <c r="BE452" s="1188"/>
      <c r="BF452" s="1188"/>
      <c r="BG452" s="1188"/>
      <c r="BH452" s="1188"/>
      <c r="BI452" s="1188"/>
      <c r="BJ452" s="1188"/>
      <c r="BK452" s="1188"/>
      <c r="BL452" s="1188"/>
      <c r="BM452" s="1188"/>
      <c r="BN452" s="1188"/>
      <c r="BO452" s="1240"/>
      <c r="BP452" s="1240"/>
      <c r="BQ452" s="1188"/>
      <c r="BR452" s="1236"/>
      <c r="BS452" s="1236"/>
      <c r="BT452" s="1188"/>
      <c r="BU452" s="1188"/>
      <c r="BV452" s="1240"/>
      <c r="BW452" s="1188"/>
      <c r="BX452" s="1188"/>
      <c r="BY452" s="1188"/>
      <c r="BZ452" s="1188"/>
      <c r="CA452" s="1188"/>
      <c r="CB452" s="1188"/>
      <c r="CC452" s="1188"/>
      <c r="CD452" s="1188"/>
      <c r="CE452" s="1188"/>
      <c r="CF452" s="1188"/>
      <c r="CG452" s="1188"/>
      <c r="CH452" s="1236"/>
      <c r="CI452" s="1236"/>
      <c r="CJ452" s="1236"/>
      <c r="CK452" s="1188"/>
      <c r="CL452" s="1188"/>
      <c r="CM452" s="1168"/>
      <c r="CN452" s="1168"/>
      <c r="CO452" s="1168"/>
      <c r="CP452" s="1168"/>
      <c r="CQ452" s="1168"/>
      <c r="CR452" s="1168"/>
      <c r="CS452" s="1168"/>
      <c r="CT452" s="1168"/>
      <c r="CU452" s="1168"/>
      <c r="CV452" s="1168"/>
      <c r="CW452" s="1168"/>
      <c r="CX452" s="1168"/>
      <c r="CY452" s="1168"/>
      <c r="CZ452" s="1168"/>
      <c r="DA452" s="1168"/>
      <c r="DB452" s="1168"/>
      <c r="DC452" s="1168"/>
      <c r="DD452" s="1168"/>
      <c r="DE452" s="1168"/>
      <c r="DF452" s="1168"/>
      <c r="DG452" s="1168"/>
    </row>
    <row r="453" s="1168" customFormat="1" customHeight="1" spans="1:111">
      <c r="A453" s="1245">
        <v>46182</v>
      </c>
      <c r="B453" s="1269" t="s">
        <v>1472</v>
      </c>
      <c r="C453" s="1287" t="s">
        <v>1439</v>
      </c>
      <c r="D453" s="1270">
        <v>4500211344</v>
      </c>
      <c r="E453" s="1373" t="s">
        <v>1997</v>
      </c>
      <c r="F453" s="1270" t="s">
        <v>1998</v>
      </c>
      <c r="G453" s="1272" t="s">
        <v>188</v>
      </c>
      <c r="H453" s="1247" t="s">
        <v>138</v>
      </c>
      <c r="I453" s="1273">
        <v>7450</v>
      </c>
      <c r="J453" s="1274">
        <v>0</v>
      </c>
      <c r="K453" s="1274">
        <v>50</v>
      </c>
      <c r="L453" s="1246">
        <f t="shared" si="151"/>
        <v>149</v>
      </c>
      <c r="M453" s="1255">
        <v>46223</v>
      </c>
      <c r="N453" s="1320">
        <v>46231</v>
      </c>
      <c r="O453" s="1338" t="s">
        <v>1999</v>
      </c>
      <c r="P453" s="1233"/>
      <c r="Q453" s="1233" t="s">
        <v>1410</v>
      </c>
      <c r="R453" s="1234"/>
      <c r="S453" s="1234"/>
      <c r="T453" s="1233">
        <v>7450</v>
      </c>
      <c r="U453" s="1233">
        <f t="shared" si="152"/>
        <v>0</v>
      </c>
      <c r="V453" s="1234" t="s">
        <v>120</v>
      </c>
      <c r="W453" s="1238">
        <v>46204</v>
      </c>
      <c r="X453" s="1227" t="s">
        <v>95</v>
      </c>
      <c r="Y453" s="1257" t="s">
        <v>2000</v>
      </c>
      <c r="Z453" s="1247"/>
      <c r="AA453" s="1247"/>
      <c r="AB453" s="1247"/>
      <c r="AC453" s="1321" t="s">
        <v>2001</v>
      </c>
      <c r="AD453" s="1275" t="s">
        <v>1477</v>
      </c>
      <c r="AE453" s="1276">
        <v>1.1119</v>
      </c>
      <c r="AF453" s="1248">
        <f>AE453*I453</f>
        <v>8283.655</v>
      </c>
      <c r="AG453" s="1258"/>
      <c r="AH453" s="1234" t="s">
        <v>314</v>
      </c>
      <c r="AI453" s="1234" t="s">
        <v>112</v>
      </c>
      <c r="AJ453" s="1234" t="s">
        <v>113</v>
      </c>
      <c r="AK453" s="1188">
        <f t="shared" si="159"/>
        <v>7450</v>
      </c>
      <c r="AL453" s="1188"/>
      <c r="AM453" s="1188"/>
      <c r="AN453" s="1188"/>
      <c r="AO453" s="1188"/>
      <c r="AP453" s="1188">
        <f>I453</f>
        <v>7450</v>
      </c>
      <c r="AQ453" s="1240"/>
      <c r="AR453" s="1188"/>
      <c r="AS453" s="1236"/>
      <c r="AT453" s="1236"/>
      <c r="AU453" s="1188">
        <f t="shared" si="160"/>
        <v>7450</v>
      </c>
      <c r="AV453" s="1250"/>
      <c r="AW453" s="1250"/>
      <c r="AX453" s="1188"/>
      <c r="AY453" s="1188"/>
      <c r="AZ453" s="1188"/>
      <c r="BA453" s="1188"/>
      <c r="BB453" s="1188"/>
      <c r="BC453" s="1188"/>
      <c r="BD453" s="1188"/>
      <c r="BE453" s="1188"/>
      <c r="BF453" s="1188"/>
      <c r="BG453" s="1188"/>
      <c r="BH453" s="1188"/>
      <c r="BI453" s="1188"/>
      <c r="BJ453" s="1188"/>
      <c r="BK453" s="1188"/>
      <c r="BL453" s="1188"/>
      <c r="BM453" s="1188"/>
      <c r="BN453" s="1188"/>
      <c r="BO453" s="1240">
        <f>I453/25</f>
        <v>298</v>
      </c>
      <c r="BP453" s="1240"/>
      <c r="BQ453" s="1188"/>
      <c r="BR453" s="1236"/>
      <c r="BS453" s="1188"/>
      <c r="BT453" s="1188"/>
      <c r="BU453" s="1188"/>
      <c r="BV453" s="1240"/>
      <c r="BW453" s="1188"/>
      <c r="BX453" s="1188"/>
      <c r="BY453" s="1188"/>
      <c r="BZ453" s="1188"/>
      <c r="CA453" s="1188"/>
      <c r="CB453" s="1188"/>
      <c r="CC453" s="1188"/>
      <c r="CD453" s="1188">
        <f t="shared" ref="CD453:CD516" si="161">BN453+BO453+BQ453+BS453+BR453</f>
        <v>298</v>
      </c>
      <c r="CE453" s="1188">
        <f t="shared" ref="CE453:CE500" si="162">BU453</f>
        <v>0</v>
      </c>
      <c r="CF453" s="1188">
        <f t="shared" ref="CF453:CF516" si="163">CC453</f>
        <v>0</v>
      </c>
      <c r="CG453" s="1188">
        <f t="shared" ref="CG453:CG516" si="164">BV453+BW453+BX453</f>
        <v>0</v>
      </c>
      <c r="CH453" s="1236"/>
      <c r="CI453" s="1236"/>
      <c r="CJ453" s="1236"/>
      <c r="CK453" s="1188"/>
      <c r="CL453" s="1188"/>
    </row>
    <row r="454" s="1168" customFormat="1" customHeight="1" spans="1:111">
      <c r="A454" s="1245">
        <v>46139</v>
      </c>
      <c r="B454" s="1247" t="s">
        <v>1021</v>
      </c>
      <c r="C454" s="1234" t="s">
        <v>1022</v>
      </c>
      <c r="D454" s="1268">
        <v>4500204372</v>
      </c>
      <c r="E454" s="1234" t="s">
        <v>628</v>
      </c>
      <c r="F454" s="1188" t="s">
        <v>2002</v>
      </c>
      <c r="G454" s="1253" t="s">
        <v>174</v>
      </c>
      <c r="H454" s="1234" t="s">
        <v>175</v>
      </c>
      <c r="I454" s="1254">
        <v>4472</v>
      </c>
      <c r="J454" s="1234">
        <v>0</v>
      </c>
      <c r="K454" s="1234">
        <v>52</v>
      </c>
      <c r="L454" s="1246">
        <f t="shared" si="151"/>
        <v>86</v>
      </c>
      <c r="M454" s="1255">
        <v>46223</v>
      </c>
      <c r="N454" s="1320">
        <v>46231</v>
      </c>
      <c r="O454" s="1338" t="s">
        <v>1999</v>
      </c>
      <c r="P454" s="1233"/>
      <c r="Q454" s="1233"/>
      <c r="R454" s="1234"/>
      <c r="S454" s="1234"/>
      <c r="T454" s="1233">
        <v>4472</v>
      </c>
      <c r="U454" s="1233">
        <f t="shared" si="152"/>
        <v>0</v>
      </c>
      <c r="V454" s="1234"/>
      <c r="W454" s="1238" t="s">
        <v>2003</v>
      </c>
      <c r="X454" s="1227" t="s">
        <v>95</v>
      </c>
      <c r="Y454" s="1227" t="s">
        <v>2004</v>
      </c>
      <c r="Z454" s="1247"/>
      <c r="AA454" s="1247"/>
      <c r="AB454" s="1247"/>
      <c r="AC454" s="1247" t="s">
        <v>2005</v>
      </c>
      <c r="AD454" s="1255" t="s">
        <v>295</v>
      </c>
      <c r="AE454" s="1188">
        <v>1.0329</v>
      </c>
      <c r="AF454" s="1248">
        <f>I454*AE454</f>
        <v>4619.1288</v>
      </c>
      <c r="AG454" s="1258"/>
      <c r="AH454" s="1234" t="s">
        <v>1027</v>
      </c>
      <c r="AI454" s="1234" t="s">
        <v>112</v>
      </c>
      <c r="AJ454" s="1234" t="s">
        <v>113</v>
      </c>
      <c r="AK454" s="1188">
        <f t="shared" si="159"/>
        <v>4472</v>
      </c>
      <c r="AL454" s="1188"/>
      <c r="AM454" s="1188"/>
      <c r="AN454" s="1188"/>
      <c r="AO454" s="1188"/>
      <c r="AP454" s="1188">
        <f>I454</f>
        <v>4472</v>
      </c>
      <c r="AQ454" s="1240"/>
      <c r="AR454" s="1188"/>
      <c r="AS454" s="1236"/>
      <c r="AT454" s="1236"/>
      <c r="AU454" s="1188">
        <f t="shared" si="160"/>
        <v>4472</v>
      </c>
      <c r="AV454" s="1250">
        <f t="shared" ref="AV454:AV460" si="165">I454*0.06*2</f>
        <v>536.64</v>
      </c>
      <c r="AW454" s="1250"/>
      <c r="AX454" s="1188"/>
      <c r="AY454" s="1188"/>
      <c r="AZ454" s="1188"/>
      <c r="BA454" s="1188"/>
      <c r="BB454" s="1188"/>
      <c r="BC454" s="1188"/>
      <c r="BD454" s="1188"/>
      <c r="BE454" s="1188"/>
      <c r="BF454" s="1188"/>
      <c r="BG454" s="1188"/>
      <c r="BH454" s="1188"/>
      <c r="BI454" s="1188"/>
      <c r="BJ454" s="1188"/>
      <c r="BK454" s="1188"/>
      <c r="BL454" s="1188">
        <f>I454/13</f>
        <v>344</v>
      </c>
      <c r="BM454" s="1188"/>
      <c r="BN454" s="1188"/>
      <c r="BO454" s="1240"/>
      <c r="BP454" s="1240"/>
      <c r="BQ454" s="1188"/>
      <c r="BR454" s="1236"/>
      <c r="BS454" s="1236"/>
      <c r="BT454" s="1188"/>
      <c r="BU454" s="1188"/>
      <c r="BV454" s="1240"/>
      <c r="BW454" s="1188"/>
      <c r="BX454" s="1188"/>
      <c r="BY454" s="1188"/>
      <c r="BZ454" s="1188"/>
      <c r="CA454" s="1188"/>
      <c r="CB454" s="1188"/>
      <c r="CC454" s="1188"/>
      <c r="CD454" s="1188">
        <f t="shared" si="161"/>
        <v>0</v>
      </c>
      <c r="CE454" s="1188">
        <f t="shared" si="162"/>
        <v>0</v>
      </c>
      <c r="CF454" s="1188">
        <f t="shared" si="163"/>
        <v>0</v>
      </c>
      <c r="CG454" s="1188">
        <f t="shared" si="164"/>
        <v>0</v>
      </c>
      <c r="CH454" s="1236"/>
      <c r="CI454" s="1236"/>
      <c r="CJ454" s="1236"/>
      <c r="CK454" s="1188"/>
      <c r="CL454" s="1188"/>
    </row>
    <row r="455" s="1168" customFormat="1" customHeight="1" spans="1:111">
      <c r="A455" s="1245">
        <v>46135</v>
      </c>
      <c r="B455" s="1247" t="s">
        <v>246</v>
      </c>
      <c r="C455" s="1234" t="s">
        <v>115</v>
      </c>
      <c r="D455" s="1268">
        <v>4500203459</v>
      </c>
      <c r="E455" s="1233">
        <v>298397</v>
      </c>
      <c r="F455" s="1188" t="s">
        <v>2006</v>
      </c>
      <c r="G455" s="1253" t="s">
        <v>248</v>
      </c>
      <c r="H455" s="1234" t="s">
        <v>249</v>
      </c>
      <c r="I455" s="1254">
        <v>4002</v>
      </c>
      <c r="J455" s="1234">
        <v>0</v>
      </c>
      <c r="K455" s="1234">
        <v>6</v>
      </c>
      <c r="L455" s="1246">
        <f t="shared" si="151"/>
        <v>667</v>
      </c>
      <c r="M455" s="1255">
        <v>46223</v>
      </c>
      <c r="N455" s="1320">
        <v>46231</v>
      </c>
      <c r="O455" s="1338" t="s">
        <v>1999</v>
      </c>
      <c r="P455" s="1233"/>
      <c r="Q455" s="1233" t="s">
        <v>1410</v>
      </c>
      <c r="R455" s="1234"/>
      <c r="S455" s="1234"/>
      <c r="T455" s="1233">
        <v>4002</v>
      </c>
      <c r="U455" s="1233">
        <f t="shared" si="152"/>
        <v>0</v>
      </c>
      <c r="V455" s="1234"/>
      <c r="W455" s="1238">
        <v>46135</v>
      </c>
      <c r="X455" s="1227" t="s">
        <v>107</v>
      </c>
      <c r="Y455" s="1227" t="s">
        <v>2007</v>
      </c>
      <c r="Z455" s="1247"/>
      <c r="AA455" s="1247"/>
      <c r="AB455" s="1247"/>
      <c r="AC455" s="1247" t="s">
        <v>2008</v>
      </c>
      <c r="AD455" s="1255" t="s">
        <v>2009</v>
      </c>
      <c r="AE455" s="1188">
        <v>1.248</v>
      </c>
      <c r="AF455" s="1248">
        <f>I455*AE455</f>
        <v>4994.496</v>
      </c>
      <c r="AG455" s="1249" t="s">
        <v>2010</v>
      </c>
      <c r="AH455" s="1234" t="s">
        <v>248</v>
      </c>
      <c r="AI455" s="1234" t="s">
        <v>112</v>
      </c>
      <c r="AJ455" s="1234" t="s">
        <v>113</v>
      </c>
      <c r="AK455" s="1188">
        <f t="shared" si="159"/>
        <v>4002</v>
      </c>
      <c r="AL455" s="1188"/>
      <c r="AM455" s="1188"/>
      <c r="AN455" s="1188">
        <f>I455</f>
        <v>4002</v>
      </c>
      <c r="AO455" s="1188"/>
      <c r="AP455" s="1188"/>
      <c r="AQ455" s="1240"/>
      <c r="AR455" s="1188"/>
      <c r="AS455" s="1236"/>
      <c r="AT455" s="1236"/>
      <c r="AU455" s="1188">
        <f t="shared" si="160"/>
        <v>4002</v>
      </c>
      <c r="AV455" s="1250">
        <f t="shared" si="165"/>
        <v>480.24</v>
      </c>
      <c r="AW455" s="1250"/>
      <c r="AX455" s="1188"/>
      <c r="AY455" s="1188"/>
      <c r="AZ455" s="1188"/>
      <c r="BA455" s="1188"/>
      <c r="BB455" s="1188"/>
      <c r="BC455" s="1188"/>
      <c r="BD455" s="1188"/>
      <c r="BE455" s="1188"/>
      <c r="BF455" s="1188"/>
      <c r="BG455" s="1188"/>
      <c r="BH455" s="1188"/>
      <c r="BI455" s="1188"/>
      <c r="BJ455" s="1188"/>
      <c r="BK455" s="1188"/>
      <c r="BL455" s="1188"/>
      <c r="BM455" s="1188"/>
      <c r="BN455" s="1188"/>
      <c r="BO455" s="1240"/>
      <c r="BP455" s="1240"/>
      <c r="BQ455" s="1188"/>
      <c r="BR455" s="1236"/>
      <c r="BS455" s="1236"/>
      <c r="BT455" s="1188">
        <f>I455/6</f>
        <v>667</v>
      </c>
      <c r="BU455" s="1188"/>
      <c r="BV455" s="1240"/>
      <c r="BW455" s="1188"/>
      <c r="BX455" s="1188"/>
      <c r="BY455" s="1188"/>
      <c r="BZ455" s="1188"/>
      <c r="CA455" s="1188"/>
      <c r="CB455" s="1188"/>
      <c r="CC455" s="1188"/>
      <c r="CD455" s="1188">
        <f t="shared" si="161"/>
        <v>0</v>
      </c>
      <c r="CE455" s="1188">
        <f t="shared" si="162"/>
        <v>0</v>
      </c>
      <c r="CF455" s="1188">
        <f t="shared" si="163"/>
        <v>0</v>
      </c>
      <c r="CG455" s="1188">
        <f t="shared" si="164"/>
        <v>0</v>
      </c>
      <c r="CH455" s="1236"/>
      <c r="CI455" s="1236"/>
      <c r="CJ455" s="1236"/>
      <c r="CK455" s="1188"/>
      <c r="CL455" s="1188"/>
    </row>
    <row r="456" s="1168" customFormat="1" customHeight="1" spans="1:111">
      <c r="A456" s="1245">
        <v>46132</v>
      </c>
      <c r="B456" s="1247" t="s">
        <v>1212</v>
      </c>
      <c r="C456" s="1234" t="s">
        <v>1213</v>
      </c>
      <c r="D456" s="1268">
        <v>4500202915</v>
      </c>
      <c r="E456" s="1234" t="s">
        <v>2011</v>
      </c>
      <c r="F456" s="1188" t="s">
        <v>2012</v>
      </c>
      <c r="G456" s="1253" t="s">
        <v>188</v>
      </c>
      <c r="H456" s="1234" t="s">
        <v>138</v>
      </c>
      <c r="I456" s="1254">
        <v>15000</v>
      </c>
      <c r="J456" s="1234">
        <v>0</v>
      </c>
      <c r="K456" s="1234">
        <v>50</v>
      </c>
      <c r="L456" s="1246">
        <f t="shared" si="151"/>
        <v>300</v>
      </c>
      <c r="M456" s="1255">
        <v>46223</v>
      </c>
      <c r="N456" s="1320">
        <v>46231</v>
      </c>
      <c r="O456" s="1320" t="s">
        <v>1964</v>
      </c>
      <c r="P456" s="1233"/>
      <c r="Q456" s="1357" t="s">
        <v>1410</v>
      </c>
      <c r="R456" s="1234"/>
      <c r="S456" s="1234"/>
      <c r="T456" s="1233">
        <v>15000</v>
      </c>
      <c r="U456" s="1233">
        <f t="shared" si="152"/>
        <v>0</v>
      </c>
      <c r="V456" s="1234"/>
      <c r="W456" s="1256">
        <v>46197</v>
      </c>
      <c r="X456" s="1227" t="s">
        <v>95</v>
      </c>
      <c r="Y456" s="1227" t="s">
        <v>2013</v>
      </c>
      <c r="Z456" s="1188" t="s">
        <v>2014</v>
      </c>
      <c r="AA456" s="1188"/>
      <c r="AB456" s="1247"/>
      <c r="AC456" s="1247" t="s">
        <v>2015</v>
      </c>
      <c r="AD456" s="1255" t="s">
        <v>295</v>
      </c>
      <c r="AE456" s="1267">
        <v>1.0666</v>
      </c>
      <c r="AF456" s="1248">
        <f>AE456*I456</f>
        <v>15999</v>
      </c>
      <c r="AG456" s="1258"/>
      <c r="AH456" s="1234" t="s">
        <v>188</v>
      </c>
      <c r="AI456" s="1234" t="s">
        <v>112</v>
      </c>
      <c r="AJ456" s="1234"/>
      <c r="AK456" s="1188">
        <f t="shared" si="159"/>
        <v>15000</v>
      </c>
      <c r="AL456" s="1188"/>
      <c r="AM456" s="1188"/>
      <c r="AN456" s="1188">
        <f>I456</f>
        <v>15000</v>
      </c>
      <c r="AO456" s="1188"/>
      <c r="AP456" s="1188"/>
      <c r="AQ456" s="1240"/>
      <c r="AR456" s="1188"/>
      <c r="AS456" s="1260"/>
      <c r="AT456" s="1260"/>
      <c r="AU456" s="1188">
        <f t="shared" si="160"/>
        <v>15000</v>
      </c>
      <c r="AV456" s="1250">
        <f t="shared" si="165"/>
        <v>1800</v>
      </c>
      <c r="AW456" s="1250"/>
      <c r="AX456" s="1188"/>
      <c r="AY456" s="1188"/>
      <c r="AZ456" s="1188"/>
      <c r="BA456" s="1188"/>
      <c r="BB456" s="1188"/>
      <c r="BC456" s="1188"/>
      <c r="BD456" s="1188"/>
      <c r="BE456" s="1188"/>
      <c r="BF456" s="1188"/>
      <c r="BG456" s="1188"/>
      <c r="BH456" s="1188"/>
      <c r="BI456" s="1188"/>
      <c r="BJ456" s="1188"/>
      <c r="BK456" s="1188"/>
      <c r="BL456" s="1188"/>
      <c r="BM456" s="1188"/>
      <c r="BN456" s="1188">
        <f>I456/25</f>
        <v>600</v>
      </c>
      <c r="BO456" s="1240"/>
      <c r="BP456" s="1240"/>
      <c r="BQ456" s="1188"/>
      <c r="BR456" s="1236"/>
      <c r="BS456" s="1188"/>
      <c r="BT456" s="1188"/>
      <c r="BU456" s="1188"/>
      <c r="BV456" s="1240"/>
      <c r="BW456" s="1188"/>
      <c r="BX456" s="1188"/>
      <c r="BY456" s="1188"/>
      <c r="BZ456" s="1188"/>
      <c r="CA456" s="1188"/>
      <c r="CB456" s="1188"/>
      <c r="CC456" s="1188"/>
      <c r="CD456" s="1188">
        <f t="shared" si="161"/>
        <v>600</v>
      </c>
      <c r="CE456" s="1188">
        <f t="shared" si="162"/>
        <v>0</v>
      </c>
      <c r="CF456" s="1188">
        <f t="shared" si="163"/>
        <v>0</v>
      </c>
      <c r="CG456" s="1188">
        <f t="shared" si="164"/>
        <v>0</v>
      </c>
      <c r="CH456" s="1236"/>
      <c r="CI456" s="1236"/>
      <c r="CJ456" s="1236"/>
      <c r="CK456" s="1188"/>
      <c r="CL456" s="1188"/>
    </row>
    <row r="457" s="1168" customFormat="1" customHeight="1" spans="1:111">
      <c r="A457" s="1245">
        <v>46142</v>
      </c>
      <c r="B457" s="1220" t="s">
        <v>1212</v>
      </c>
      <c r="C457" s="1221" t="s">
        <v>1213</v>
      </c>
      <c r="D457" s="1303">
        <v>4500202915</v>
      </c>
      <c r="E457" s="1223" t="s">
        <v>2011</v>
      </c>
      <c r="F457" s="1222" t="s">
        <v>2016</v>
      </c>
      <c r="G457" s="1223" t="s">
        <v>799</v>
      </c>
      <c r="H457" s="1221" t="s">
        <v>800</v>
      </c>
      <c r="I457" s="1252">
        <v>15000</v>
      </c>
      <c r="J457" s="1221">
        <v>0</v>
      </c>
      <c r="K457" s="1221">
        <v>30</v>
      </c>
      <c r="L457" s="1246">
        <f t="shared" si="151"/>
        <v>500</v>
      </c>
      <c r="M457" s="1225">
        <v>46223</v>
      </c>
      <c r="N457" s="1320">
        <v>46231</v>
      </c>
      <c r="O457" s="1338" t="s">
        <v>2017</v>
      </c>
      <c r="P457" s="1233"/>
      <c r="Q457" s="1233" t="s">
        <v>1410</v>
      </c>
      <c r="R457" s="1234"/>
      <c r="S457" s="1234"/>
      <c r="T457" s="1233">
        <v>15000</v>
      </c>
      <c r="U457" s="1233">
        <f t="shared" si="152"/>
        <v>0</v>
      </c>
      <c r="V457" s="1234"/>
      <c r="W457" s="1238">
        <v>46197</v>
      </c>
      <c r="X457" s="1257" t="s">
        <v>95</v>
      </c>
      <c r="Y457" s="1257" t="s">
        <v>2013</v>
      </c>
      <c r="Z457" s="1247" t="s">
        <v>2014</v>
      </c>
      <c r="AA457" s="1247"/>
      <c r="AB457" s="1247"/>
      <c r="AC457" s="1220" t="s">
        <v>2015</v>
      </c>
      <c r="AD457" s="1225" t="s">
        <v>295</v>
      </c>
      <c r="AE457" s="1267">
        <v>40.947</v>
      </c>
      <c r="AF457" s="1248">
        <f>AE457*L457</f>
        <v>20473.5</v>
      </c>
      <c r="AG457" s="1258"/>
      <c r="AH457" s="1253" t="s">
        <v>799</v>
      </c>
      <c r="AI457" s="1234" t="s">
        <v>112</v>
      </c>
      <c r="AJ457" s="1234"/>
      <c r="AK457" s="1188">
        <f t="shared" si="159"/>
        <v>15000</v>
      </c>
      <c r="AL457" s="1188"/>
      <c r="AM457" s="1188"/>
      <c r="AN457" s="1188">
        <f>I457</f>
        <v>15000</v>
      </c>
      <c r="AO457" s="1188"/>
      <c r="AP457" s="1188"/>
      <c r="AQ457" s="1240"/>
      <c r="AR457" s="1188"/>
      <c r="AS457" s="1236"/>
      <c r="AT457" s="1236"/>
      <c r="AU457" s="1188">
        <f t="shared" si="160"/>
        <v>15000</v>
      </c>
      <c r="AV457" s="1250">
        <f t="shared" si="165"/>
        <v>1800</v>
      </c>
      <c r="AW457" s="1250"/>
      <c r="AX457" s="1188"/>
      <c r="AY457" s="1188"/>
      <c r="AZ457" s="1188"/>
      <c r="BA457" s="1188"/>
      <c r="BB457" s="1188"/>
      <c r="BC457" s="1188"/>
      <c r="BD457" s="1188"/>
      <c r="BE457" s="1188"/>
      <c r="BF457" s="1188"/>
      <c r="BG457" s="1188"/>
      <c r="BH457" s="1188"/>
      <c r="BI457" s="1188"/>
      <c r="BJ457" s="1188"/>
      <c r="BK457" s="1188"/>
      <c r="BL457" s="1188"/>
      <c r="BM457" s="1188"/>
      <c r="BN457" s="1188"/>
      <c r="BO457" s="1240"/>
      <c r="BP457" s="1240"/>
      <c r="BQ457" s="1188"/>
      <c r="BR457" s="1236"/>
      <c r="BS457" s="1188"/>
      <c r="BT457" s="1188"/>
      <c r="BU457" s="1188"/>
      <c r="BV457" s="1240"/>
      <c r="BW457" s="1188"/>
      <c r="BX457" s="1188"/>
      <c r="BY457" s="1188"/>
      <c r="BZ457" s="1188"/>
      <c r="CA457" s="1188"/>
      <c r="CB457" s="1188"/>
      <c r="CC457" s="1188">
        <f>I457/30</f>
        <v>500</v>
      </c>
      <c r="CD457" s="1188">
        <f t="shared" si="161"/>
        <v>0</v>
      </c>
      <c r="CE457" s="1188">
        <f t="shared" si="162"/>
        <v>0</v>
      </c>
      <c r="CF457" s="1188">
        <f t="shared" si="163"/>
        <v>500</v>
      </c>
      <c r="CG457" s="1188">
        <f t="shared" si="164"/>
        <v>0</v>
      </c>
      <c r="CH457" s="1236"/>
      <c r="CI457" s="1236"/>
      <c r="CJ457" s="1236"/>
      <c r="CK457" s="1188"/>
      <c r="CL457" s="1188"/>
    </row>
    <row r="458" s="1168" customFormat="1" customHeight="1" spans="1:111">
      <c r="A458" s="1245">
        <v>46170</v>
      </c>
      <c r="B458" s="1220" t="s">
        <v>2018</v>
      </c>
      <c r="C458" s="1221" t="s">
        <v>1439</v>
      </c>
      <c r="D458" s="1303">
        <v>4500209512</v>
      </c>
      <c r="E458" s="1221" t="s">
        <v>628</v>
      </c>
      <c r="F458" s="1222" t="s">
        <v>2019</v>
      </c>
      <c r="G458" s="1223" t="s">
        <v>799</v>
      </c>
      <c r="H458" s="1234" t="s">
        <v>800</v>
      </c>
      <c r="I458" s="1252">
        <v>600</v>
      </c>
      <c r="J458" s="1221">
        <v>0</v>
      </c>
      <c r="K458" s="1221">
        <v>30</v>
      </c>
      <c r="L458" s="1246">
        <f t="shared" si="151"/>
        <v>20</v>
      </c>
      <c r="M458" s="1225">
        <v>46223</v>
      </c>
      <c r="N458" s="1338">
        <v>46231</v>
      </c>
      <c r="O458" s="1338" t="s">
        <v>1976</v>
      </c>
      <c r="P458" s="1233"/>
      <c r="Q458" s="1233" t="s">
        <v>1410</v>
      </c>
      <c r="R458" s="1234"/>
      <c r="S458" s="1234"/>
      <c r="T458" s="1233">
        <v>600</v>
      </c>
      <c r="U458" s="1233">
        <f t="shared" si="152"/>
        <v>0</v>
      </c>
      <c r="V458" s="1234" t="s">
        <v>120</v>
      </c>
      <c r="W458" s="1238">
        <v>46190</v>
      </c>
      <c r="X458" s="1227" t="s">
        <v>95</v>
      </c>
      <c r="Y458" s="1227" t="s">
        <v>2020</v>
      </c>
      <c r="Z458" s="1247"/>
      <c r="AA458" s="1247"/>
      <c r="AB458" s="1247"/>
      <c r="AC458" s="1220" t="s">
        <v>2021</v>
      </c>
      <c r="AD458" s="1225" t="s">
        <v>1477</v>
      </c>
      <c r="AE458" s="1188">
        <v>42.183</v>
      </c>
      <c r="AF458" s="1248">
        <v>843.66</v>
      </c>
      <c r="AG458" s="1258"/>
      <c r="AH458" s="1253" t="s">
        <v>799</v>
      </c>
      <c r="AI458" s="1234" t="s">
        <v>112</v>
      </c>
      <c r="AJ458" s="1234" t="s">
        <v>113</v>
      </c>
      <c r="AK458" s="1188">
        <f t="shared" si="159"/>
        <v>600</v>
      </c>
      <c r="AL458" s="1188"/>
      <c r="AM458" s="1188"/>
      <c r="AN458" s="1188"/>
      <c r="AO458" s="1188"/>
      <c r="AP458" s="1188">
        <f>I458</f>
        <v>600</v>
      </c>
      <c r="AQ458" s="1240"/>
      <c r="AR458" s="1188"/>
      <c r="AS458" s="1236"/>
      <c r="AT458" s="1236"/>
      <c r="AU458" s="1188">
        <f t="shared" si="160"/>
        <v>600</v>
      </c>
      <c r="AV458" s="1250">
        <f t="shared" si="165"/>
        <v>72</v>
      </c>
      <c r="AW458" s="1250"/>
      <c r="AX458" s="1188"/>
      <c r="AY458" s="1188"/>
      <c r="AZ458" s="1188"/>
      <c r="BA458" s="1188"/>
      <c r="BB458" s="1188"/>
      <c r="BC458" s="1188"/>
      <c r="BD458" s="1188"/>
      <c r="BE458" s="1188"/>
      <c r="BF458" s="1188"/>
      <c r="BG458" s="1188"/>
      <c r="BH458" s="1188"/>
      <c r="BI458" s="1188"/>
      <c r="BJ458" s="1188"/>
      <c r="BK458" s="1188"/>
      <c r="BL458" s="1188"/>
      <c r="BM458" s="1188"/>
      <c r="BN458" s="1188"/>
      <c r="BO458" s="1240"/>
      <c r="BP458" s="1240"/>
      <c r="BQ458" s="1188"/>
      <c r="BR458" s="1236"/>
      <c r="BS458" s="1236"/>
      <c r="BT458" s="1188"/>
      <c r="BU458" s="1188"/>
      <c r="BV458" s="1240"/>
      <c r="BW458" s="1188"/>
      <c r="BX458" s="1188"/>
      <c r="BY458" s="1188"/>
      <c r="BZ458" s="1188"/>
      <c r="CA458" s="1188"/>
      <c r="CB458" s="1188"/>
      <c r="CC458" s="1188">
        <f>I458/30</f>
        <v>20</v>
      </c>
      <c r="CD458" s="1188">
        <f t="shared" si="161"/>
        <v>0</v>
      </c>
      <c r="CE458" s="1188">
        <f t="shared" si="162"/>
        <v>0</v>
      </c>
      <c r="CF458" s="1188">
        <f t="shared" si="163"/>
        <v>20</v>
      </c>
      <c r="CG458" s="1188">
        <f t="shared" si="164"/>
        <v>0</v>
      </c>
      <c r="CH458" s="1236"/>
      <c r="CI458" s="1236"/>
      <c r="CJ458" s="1236"/>
      <c r="CK458" s="1188"/>
      <c r="CL458" s="1188"/>
    </row>
    <row r="459" s="1168" customFormat="1" customHeight="1" spans="1:111">
      <c r="A459" s="1245">
        <v>46168</v>
      </c>
      <c r="B459" s="1247" t="s">
        <v>216</v>
      </c>
      <c r="C459" s="1234" t="s">
        <v>217</v>
      </c>
      <c r="D459" s="1268">
        <v>4500209258</v>
      </c>
      <c r="E459" s="1234" t="s">
        <v>2022</v>
      </c>
      <c r="F459" s="1188" t="s">
        <v>2023</v>
      </c>
      <c r="G459" s="1253" t="s">
        <v>174</v>
      </c>
      <c r="H459" s="1234" t="s">
        <v>175</v>
      </c>
      <c r="I459" s="1254">
        <v>6032</v>
      </c>
      <c r="J459" s="1234">
        <v>0</v>
      </c>
      <c r="K459" s="1234">
        <v>52</v>
      </c>
      <c r="L459" s="1246">
        <f t="shared" si="151"/>
        <v>116</v>
      </c>
      <c r="M459" s="1255">
        <v>46223</v>
      </c>
      <c r="N459" s="1320">
        <v>46231</v>
      </c>
      <c r="O459" s="1320" t="s">
        <v>1964</v>
      </c>
      <c r="P459" s="1233"/>
      <c r="Q459" s="1233" t="s">
        <v>1410</v>
      </c>
      <c r="R459" s="1234" t="s">
        <v>1090</v>
      </c>
      <c r="S459" s="1234"/>
      <c r="T459" s="1233">
        <v>6032</v>
      </c>
      <c r="U459" s="1233">
        <f t="shared" si="152"/>
        <v>0</v>
      </c>
      <c r="V459" s="1234" t="s">
        <v>120</v>
      </c>
      <c r="W459" s="1238">
        <v>46168</v>
      </c>
      <c r="X459" s="1227" t="s">
        <v>95</v>
      </c>
      <c r="Y459" s="1257" t="s">
        <v>2024</v>
      </c>
      <c r="Z459" s="1247"/>
      <c r="AA459" s="1247"/>
      <c r="AB459" s="1247"/>
      <c r="AC459" s="1247" t="s">
        <v>2025</v>
      </c>
      <c r="AD459" s="1255" t="s">
        <v>222</v>
      </c>
      <c r="AE459" s="1188">
        <v>1.0732</v>
      </c>
      <c r="AF459" s="1248">
        <f>I459*AE459</f>
        <v>6473.5424</v>
      </c>
      <c r="AG459" s="1258"/>
      <c r="AH459" s="1253" t="s">
        <v>174</v>
      </c>
      <c r="AI459" s="1234" t="s">
        <v>112</v>
      </c>
      <c r="AJ459" s="1234" t="s">
        <v>113</v>
      </c>
      <c r="AK459" s="1188">
        <f t="shared" si="159"/>
        <v>6032</v>
      </c>
      <c r="AL459" s="1188"/>
      <c r="AM459" s="1188"/>
      <c r="AN459" s="1188">
        <f>I459</f>
        <v>6032</v>
      </c>
      <c r="AO459" s="1188"/>
      <c r="AP459" s="1188"/>
      <c r="AQ459" s="1240"/>
      <c r="AR459" s="1188"/>
      <c r="AS459" s="1236"/>
      <c r="AT459" s="1236"/>
      <c r="AU459" s="1188">
        <f t="shared" si="160"/>
        <v>6032</v>
      </c>
      <c r="AV459" s="1250">
        <f t="shared" si="165"/>
        <v>723.84</v>
      </c>
      <c r="AW459" s="1250"/>
      <c r="AX459" s="1188"/>
      <c r="AY459" s="1188"/>
      <c r="AZ459" s="1188"/>
      <c r="BA459" s="1188"/>
      <c r="BB459" s="1188"/>
      <c r="BC459" s="1188"/>
      <c r="BD459" s="1188"/>
      <c r="BE459" s="1188"/>
      <c r="BF459" s="1188"/>
      <c r="BG459" s="1188"/>
      <c r="BH459" s="1188"/>
      <c r="BI459" s="1188"/>
      <c r="BJ459" s="1188"/>
      <c r="BK459" s="1188">
        <f>I459/13</f>
        <v>464</v>
      </c>
      <c r="BL459" s="1188"/>
      <c r="BM459" s="1188"/>
      <c r="BN459" s="1188"/>
      <c r="BO459" s="1240"/>
      <c r="BP459" s="1240"/>
      <c r="BQ459" s="1188"/>
      <c r="BR459" s="1236"/>
      <c r="BS459" s="1188"/>
      <c r="BT459" s="1188"/>
      <c r="BU459" s="1188"/>
      <c r="BV459" s="1240"/>
      <c r="BW459" s="1188"/>
      <c r="BX459" s="1188"/>
      <c r="BY459" s="1188"/>
      <c r="BZ459" s="1188"/>
      <c r="CA459" s="1188"/>
      <c r="CB459" s="1188"/>
      <c r="CC459" s="1188"/>
      <c r="CD459" s="1188">
        <f t="shared" si="161"/>
        <v>0</v>
      </c>
      <c r="CE459" s="1188">
        <f t="shared" si="162"/>
        <v>0</v>
      </c>
      <c r="CF459" s="1188">
        <f t="shared" si="163"/>
        <v>0</v>
      </c>
      <c r="CG459" s="1188">
        <f t="shared" si="164"/>
        <v>0</v>
      </c>
      <c r="CH459" s="1236"/>
      <c r="CI459" s="1236"/>
      <c r="CJ459" s="1236"/>
      <c r="CK459" s="1188"/>
      <c r="CL459" s="1188"/>
    </row>
    <row r="460" s="1168" customFormat="1" customHeight="1" spans="1:111">
      <c r="A460" s="1245">
        <v>46177</v>
      </c>
      <c r="B460" s="1247" t="s">
        <v>2026</v>
      </c>
      <c r="C460" s="1234" t="s">
        <v>2027</v>
      </c>
      <c r="D460" s="1188">
        <v>4500210745</v>
      </c>
      <c r="E460" s="1234"/>
      <c r="F460" s="1188" t="s">
        <v>2028</v>
      </c>
      <c r="G460" s="1253" t="s">
        <v>188</v>
      </c>
      <c r="H460" s="1234" t="s">
        <v>138</v>
      </c>
      <c r="I460" s="1254">
        <v>2100</v>
      </c>
      <c r="J460" s="1234">
        <v>0</v>
      </c>
      <c r="K460" s="1234">
        <v>50</v>
      </c>
      <c r="L460" s="1246">
        <f t="shared" si="151"/>
        <v>42</v>
      </c>
      <c r="M460" s="1255">
        <v>46223</v>
      </c>
      <c r="N460" s="1320">
        <v>46231</v>
      </c>
      <c r="O460" s="1320" t="s">
        <v>1971</v>
      </c>
      <c r="P460" s="1233"/>
      <c r="Q460" s="1233" t="s">
        <v>1410</v>
      </c>
      <c r="R460" s="1234"/>
      <c r="S460" s="1234"/>
      <c r="T460" s="1233">
        <v>2100</v>
      </c>
      <c r="U460" s="1233">
        <f t="shared" si="152"/>
        <v>0</v>
      </c>
      <c r="V460" s="1234" t="s">
        <v>120</v>
      </c>
      <c r="W460" s="1238">
        <v>46178</v>
      </c>
      <c r="X460" s="1227" t="s">
        <v>95</v>
      </c>
      <c r="Y460" s="1238" t="s">
        <v>2029</v>
      </c>
      <c r="Z460" s="1247"/>
      <c r="AA460" s="1247"/>
      <c r="AB460" s="1247"/>
      <c r="AC460" s="1247" t="s">
        <v>2030</v>
      </c>
      <c r="AD460" s="1255" t="s">
        <v>1252</v>
      </c>
      <c r="AE460" s="1188">
        <v>1.0979</v>
      </c>
      <c r="AF460" s="1248">
        <f>AE460*I460</f>
        <v>2305.59</v>
      </c>
      <c r="AG460" s="1258"/>
      <c r="AH460" s="1234" t="s">
        <v>314</v>
      </c>
      <c r="AI460" s="1234" t="s">
        <v>112</v>
      </c>
      <c r="AJ460" s="1234" t="s">
        <v>113</v>
      </c>
      <c r="AK460" s="1188">
        <f t="shared" si="159"/>
        <v>2100</v>
      </c>
      <c r="AL460" s="1188"/>
      <c r="AM460" s="1188"/>
      <c r="AN460" s="1188"/>
      <c r="AO460" s="1188"/>
      <c r="AP460" s="1188">
        <f>I460</f>
        <v>2100</v>
      </c>
      <c r="AQ460" s="1240"/>
      <c r="AR460" s="1188"/>
      <c r="AS460" s="1236"/>
      <c r="AT460" s="1236"/>
      <c r="AU460" s="1188">
        <f t="shared" si="160"/>
        <v>2100</v>
      </c>
      <c r="AV460" s="1250">
        <f t="shared" si="165"/>
        <v>252</v>
      </c>
      <c r="AW460" s="1250"/>
      <c r="AX460" s="1188"/>
      <c r="AY460" s="1188"/>
      <c r="AZ460" s="1188"/>
      <c r="BA460" s="1188"/>
      <c r="BB460" s="1188"/>
      <c r="BC460" s="1188"/>
      <c r="BD460" s="1188"/>
      <c r="BE460" s="1188"/>
      <c r="BF460" s="1188"/>
      <c r="BG460" s="1188"/>
      <c r="BH460" s="1188"/>
      <c r="BI460" s="1188"/>
      <c r="BJ460" s="1188"/>
      <c r="BK460" s="1188"/>
      <c r="BL460" s="1188"/>
      <c r="BM460" s="1188"/>
      <c r="BN460" s="1188"/>
      <c r="BO460" s="1240">
        <f>I460/25</f>
        <v>84</v>
      </c>
      <c r="BP460" s="1240"/>
      <c r="BQ460" s="1188"/>
      <c r="BR460" s="1236"/>
      <c r="BS460" s="1236"/>
      <c r="BT460" s="1188"/>
      <c r="BU460" s="1188"/>
      <c r="BV460" s="1240"/>
      <c r="BW460" s="1188"/>
      <c r="BX460" s="1188"/>
      <c r="BY460" s="1188"/>
      <c r="BZ460" s="1188"/>
      <c r="CA460" s="1188"/>
      <c r="CB460" s="1188"/>
      <c r="CC460" s="1188"/>
      <c r="CD460" s="1188">
        <f t="shared" si="161"/>
        <v>84</v>
      </c>
      <c r="CE460" s="1188">
        <f t="shared" si="162"/>
        <v>0</v>
      </c>
      <c r="CF460" s="1188">
        <f t="shared" si="163"/>
        <v>0</v>
      </c>
      <c r="CG460" s="1188">
        <f t="shared" si="164"/>
        <v>0</v>
      </c>
      <c r="CH460" s="1236"/>
      <c r="CI460" s="1236"/>
      <c r="CJ460" s="1236"/>
      <c r="CK460" s="1188"/>
      <c r="CL460" s="1188"/>
    </row>
    <row r="461" s="1168" customFormat="1" customHeight="1" spans="1:111">
      <c r="A461" s="1245">
        <v>46178</v>
      </c>
      <c r="B461" s="1247" t="s">
        <v>2031</v>
      </c>
      <c r="C461" s="1234" t="s">
        <v>608</v>
      </c>
      <c r="D461" s="1188">
        <v>4500207393</v>
      </c>
      <c r="E461" s="1234" t="s">
        <v>2032</v>
      </c>
      <c r="F461" s="1188" t="s">
        <v>2033</v>
      </c>
      <c r="G461" s="1253" t="s">
        <v>146</v>
      </c>
      <c r="H461" s="1234" t="s">
        <v>104</v>
      </c>
      <c r="I461" s="1254">
        <v>2500</v>
      </c>
      <c r="J461" s="1234">
        <v>0</v>
      </c>
      <c r="K461" s="1234">
        <v>25</v>
      </c>
      <c r="L461" s="1246">
        <f t="shared" si="151"/>
        <v>100</v>
      </c>
      <c r="M461" s="1255">
        <v>46223</v>
      </c>
      <c r="N461" s="1320">
        <v>46231</v>
      </c>
      <c r="O461" s="1320" t="s">
        <v>1971</v>
      </c>
      <c r="P461" s="1233" t="s">
        <v>2034</v>
      </c>
      <c r="Q461" s="1233" t="s">
        <v>1410</v>
      </c>
      <c r="R461" s="1234"/>
      <c r="S461" s="1234"/>
      <c r="T461" s="1233">
        <v>2500</v>
      </c>
      <c r="U461" s="1233">
        <f t="shared" si="152"/>
        <v>0</v>
      </c>
      <c r="V461" s="1234" t="s">
        <v>120</v>
      </c>
      <c r="W461" s="1238">
        <v>46183</v>
      </c>
      <c r="X461" s="1227" t="s">
        <v>95</v>
      </c>
      <c r="Y461" s="1227" t="s">
        <v>2035</v>
      </c>
      <c r="Z461" s="1247"/>
      <c r="AA461" s="1247"/>
      <c r="AB461" s="1247"/>
      <c r="AC461" s="1247" t="s">
        <v>2036</v>
      </c>
      <c r="AD461" s="1255" t="s">
        <v>2037</v>
      </c>
      <c r="AE461" s="1188">
        <v>1.1085</v>
      </c>
      <c r="AF461" s="1248">
        <f>I461*AE461</f>
        <v>2771.25</v>
      </c>
      <c r="AG461" s="1258"/>
      <c r="AH461" s="1234" t="s">
        <v>146</v>
      </c>
      <c r="AI461" s="1234" t="s">
        <v>112</v>
      </c>
      <c r="AJ461" s="1234" t="s">
        <v>113</v>
      </c>
      <c r="AK461" s="1188">
        <f t="shared" si="159"/>
        <v>2500</v>
      </c>
      <c r="AL461" s="1188"/>
      <c r="AM461" s="1188"/>
      <c r="AN461" s="1188">
        <f>I461</f>
        <v>2500</v>
      </c>
      <c r="AO461" s="1188"/>
      <c r="AP461" s="1188"/>
      <c r="AQ461" s="1240"/>
      <c r="AR461" s="1188"/>
      <c r="AS461" s="1236"/>
      <c r="AT461" s="1236"/>
      <c r="AU461" s="1188">
        <f t="shared" si="160"/>
        <v>2500</v>
      </c>
      <c r="AV461" s="1250"/>
      <c r="AW461" s="1250"/>
      <c r="AX461" s="1188"/>
      <c r="AY461" s="1188"/>
      <c r="AZ461" s="1188"/>
      <c r="BA461" s="1188"/>
      <c r="BB461" s="1188"/>
      <c r="BC461" s="1188"/>
      <c r="BD461" s="1188"/>
      <c r="BE461" s="1188"/>
      <c r="BF461" s="1188"/>
      <c r="BG461" s="1188"/>
      <c r="BH461" s="1188"/>
      <c r="BI461" s="1188"/>
      <c r="BJ461" s="1188"/>
      <c r="BK461" s="1188"/>
      <c r="BL461" s="1188"/>
      <c r="BM461" s="1188"/>
      <c r="BN461" s="1188">
        <f>I461/25</f>
        <v>100</v>
      </c>
      <c r="BO461" s="1240"/>
      <c r="BP461" s="1240"/>
      <c r="BQ461" s="1188"/>
      <c r="BR461" s="1236"/>
      <c r="BS461" s="1236"/>
      <c r="BT461" s="1188"/>
      <c r="BU461" s="1188"/>
      <c r="BV461" s="1240"/>
      <c r="BW461" s="1188"/>
      <c r="BX461" s="1188"/>
      <c r="BY461" s="1188"/>
      <c r="BZ461" s="1188"/>
      <c r="CA461" s="1188"/>
      <c r="CB461" s="1188"/>
      <c r="CC461" s="1188"/>
      <c r="CD461" s="1188">
        <f t="shared" si="161"/>
        <v>100</v>
      </c>
      <c r="CE461" s="1188">
        <f t="shared" si="162"/>
        <v>0</v>
      </c>
      <c r="CF461" s="1188">
        <f t="shared" si="163"/>
        <v>0</v>
      </c>
      <c r="CG461" s="1188">
        <f t="shared" si="164"/>
        <v>0</v>
      </c>
      <c r="CH461" s="1236"/>
      <c r="CI461" s="1236"/>
      <c r="CJ461" s="1236"/>
      <c r="CK461" s="1188"/>
      <c r="CL461" s="1188"/>
    </row>
    <row r="462" s="1168" customFormat="1" customHeight="1" spans="1:111">
      <c r="A462" s="1245">
        <v>46203</v>
      </c>
      <c r="B462" s="1247" t="s">
        <v>346</v>
      </c>
      <c r="C462" s="1234" t="s">
        <v>115</v>
      </c>
      <c r="D462" s="1268">
        <v>4500214404</v>
      </c>
      <c r="E462" s="1890" t="s">
        <v>2038</v>
      </c>
      <c r="F462" s="1188" t="s">
        <v>2039</v>
      </c>
      <c r="G462" s="1253" t="s">
        <v>380</v>
      </c>
      <c r="H462" s="1234" t="s">
        <v>381</v>
      </c>
      <c r="I462" s="1254">
        <v>37200</v>
      </c>
      <c r="J462" s="1234">
        <v>0</v>
      </c>
      <c r="K462" s="1234">
        <v>16</v>
      </c>
      <c r="L462" s="1246">
        <f t="shared" si="151"/>
        <v>2325</v>
      </c>
      <c r="M462" s="1255">
        <v>46224</v>
      </c>
      <c r="N462" s="1255">
        <v>46224</v>
      </c>
      <c r="O462" s="1255" t="s">
        <v>1495</v>
      </c>
      <c r="P462" s="1233" t="s">
        <v>2040</v>
      </c>
      <c r="Q462" s="1255" t="s">
        <v>106</v>
      </c>
      <c r="R462" s="1234"/>
      <c r="S462" s="1234"/>
      <c r="T462" s="1233">
        <f>31424+5776</f>
        <v>37200</v>
      </c>
      <c r="U462" s="1233">
        <f t="shared" si="152"/>
        <v>0</v>
      </c>
      <c r="V462" s="1234"/>
      <c r="W462" s="1238" t="s">
        <v>1572</v>
      </c>
      <c r="X462" s="1227" t="s">
        <v>95</v>
      </c>
      <c r="Y462" s="1227" t="s">
        <v>2041</v>
      </c>
      <c r="Z462" s="1247"/>
      <c r="AA462" s="1247"/>
      <c r="AB462" s="1247"/>
      <c r="AC462" s="1247" t="s">
        <v>1814</v>
      </c>
      <c r="AD462" s="1248" t="s">
        <v>354</v>
      </c>
      <c r="AE462" s="1247">
        <v>0.664</v>
      </c>
      <c r="AF462" s="1248">
        <f>AE462*I462</f>
        <v>24700.8</v>
      </c>
      <c r="AG462" s="1249" t="s">
        <v>2042</v>
      </c>
      <c r="AH462" s="1234" t="s">
        <v>380</v>
      </c>
      <c r="AI462" s="1234" t="s">
        <v>112</v>
      </c>
      <c r="AJ462" s="1234" t="s">
        <v>113</v>
      </c>
      <c r="AK462" s="1188">
        <f t="shared" si="159"/>
        <v>37200</v>
      </c>
      <c r="AL462" s="1188"/>
      <c r="AM462" s="1188"/>
      <c r="AN462" s="1188">
        <f>I462</f>
        <v>37200</v>
      </c>
      <c r="AO462" s="1188"/>
      <c r="AP462" s="1188"/>
      <c r="AQ462" s="1240"/>
      <c r="AR462" s="1188"/>
      <c r="AS462" s="1236"/>
      <c r="AT462" s="1236"/>
      <c r="AU462" s="1188">
        <f t="shared" si="160"/>
        <v>37200</v>
      </c>
      <c r="AV462" s="1250"/>
      <c r="AW462" s="1250"/>
      <c r="AX462" s="1188"/>
      <c r="AY462" s="1188"/>
      <c r="AZ462" s="1188"/>
      <c r="BA462" s="1188"/>
      <c r="BB462" s="1188"/>
      <c r="BC462" s="1188"/>
      <c r="BD462" s="1188"/>
      <c r="BE462" s="1188"/>
      <c r="BF462" s="1188"/>
      <c r="BG462" s="1188"/>
      <c r="BH462" s="1188"/>
      <c r="BI462" s="1188"/>
      <c r="BJ462" s="1188"/>
      <c r="BK462" s="1188"/>
      <c r="BL462" s="1188"/>
      <c r="BM462" s="1188"/>
      <c r="BN462" s="1188"/>
      <c r="BO462" s="1240"/>
      <c r="BP462" s="1240"/>
      <c r="BQ462" s="1188"/>
      <c r="BR462" s="1236">
        <f>I462/16</f>
        <v>2325</v>
      </c>
      <c r="BS462" s="1236"/>
      <c r="BT462" s="1188"/>
      <c r="BU462" s="1188"/>
      <c r="BV462" s="1240"/>
      <c r="BW462" s="1188"/>
      <c r="BX462" s="1188"/>
      <c r="BY462" s="1188"/>
      <c r="BZ462" s="1188"/>
      <c r="CA462" s="1188"/>
      <c r="CB462" s="1188"/>
      <c r="CC462" s="1188"/>
      <c r="CD462" s="1188">
        <f t="shared" si="161"/>
        <v>2325</v>
      </c>
      <c r="CE462" s="1188">
        <f t="shared" si="162"/>
        <v>0</v>
      </c>
      <c r="CF462" s="1188">
        <f t="shared" si="163"/>
        <v>0</v>
      </c>
      <c r="CG462" s="1188">
        <f t="shared" si="164"/>
        <v>0</v>
      </c>
      <c r="CH462" s="1236"/>
      <c r="CI462" s="1236"/>
      <c r="CJ462" s="1236"/>
      <c r="CK462" s="1188"/>
      <c r="CL462" s="1188"/>
    </row>
    <row r="463" s="1168" customFormat="1" customHeight="1" spans="1:111">
      <c r="A463" s="1245">
        <v>46203</v>
      </c>
      <c r="B463" s="1247" t="s">
        <v>346</v>
      </c>
      <c r="C463" s="1234" t="s">
        <v>115</v>
      </c>
      <c r="D463" s="1268">
        <v>4500214405</v>
      </c>
      <c r="E463" s="1890" t="s">
        <v>2043</v>
      </c>
      <c r="F463" s="1188" t="s">
        <v>2044</v>
      </c>
      <c r="G463" s="1253" t="s">
        <v>380</v>
      </c>
      <c r="H463" s="1234" t="s">
        <v>381</v>
      </c>
      <c r="I463" s="1254">
        <v>31712</v>
      </c>
      <c r="J463" s="1234">
        <v>0</v>
      </c>
      <c r="K463" s="1234">
        <v>16</v>
      </c>
      <c r="L463" s="1246">
        <f t="shared" si="151"/>
        <v>1982</v>
      </c>
      <c r="M463" s="1255">
        <v>46224</v>
      </c>
      <c r="N463" s="1255">
        <v>46224</v>
      </c>
      <c r="O463" s="1225" t="s">
        <v>1503</v>
      </c>
      <c r="P463" s="1233" t="s">
        <v>2040</v>
      </c>
      <c r="Q463" s="1255" t="s">
        <v>106</v>
      </c>
      <c r="R463" s="1234"/>
      <c r="S463" s="1234"/>
      <c r="T463" s="1233">
        <v>31712</v>
      </c>
      <c r="U463" s="1233">
        <f t="shared" si="152"/>
        <v>0</v>
      </c>
      <c r="V463" s="1234"/>
      <c r="W463" s="1256" t="s">
        <v>1572</v>
      </c>
      <c r="X463" s="1227" t="s">
        <v>95</v>
      </c>
      <c r="Y463" s="1227" t="s">
        <v>2041</v>
      </c>
      <c r="Z463" s="1247"/>
      <c r="AA463" s="1247"/>
      <c r="AB463" s="1247"/>
      <c r="AC463" s="1247" t="s">
        <v>1814</v>
      </c>
      <c r="AD463" s="1248" t="s">
        <v>354</v>
      </c>
      <c r="AE463" s="1247">
        <v>0.664</v>
      </c>
      <c r="AF463" s="1248">
        <f>AE463*I463</f>
        <v>21056.768</v>
      </c>
      <c r="AG463" s="1249" t="s">
        <v>2045</v>
      </c>
      <c r="AH463" s="1234" t="s">
        <v>380</v>
      </c>
      <c r="AI463" s="1234" t="s">
        <v>112</v>
      </c>
      <c r="AJ463" s="1234" t="s">
        <v>113</v>
      </c>
      <c r="AK463" s="1188">
        <f t="shared" si="159"/>
        <v>31712</v>
      </c>
      <c r="AL463" s="1188"/>
      <c r="AM463" s="1188"/>
      <c r="AN463" s="1188">
        <f>I463</f>
        <v>31712</v>
      </c>
      <c r="AO463" s="1188"/>
      <c r="AP463" s="1188"/>
      <c r="AQ463" s="1240"/>
      <c r="AR463" s="1188"/>
      <c r="AS463" s="1236"/>
      <c r="AT463" s="1236"/>
      <c r="AU463" s="1188">
        <f t="shared" si="160"/>
        <v>31712</v>
      </c>
      <c r="AV463" s="1250"/>
      <c r="AW463" s="1250"/>
      <c r="AX463" s="1188"/>
      <c r="AY463" s="1188"/>
      <c r="AZ463" s="1188"/>
      <c r="BA463" s="1188"/>
      <c r="BB463" s="1188"/>
      <c r="BC463" s="1188"/>
      <c r="BD463" s="1188"/>
      <c r="BE463" s="1188"/>
      <c r="BF463" s="1188"/>
      <c r="BG463" s="1188"/>
      <c r="BH463" s="1188"/>
      <c r="BI463" s="1188"/>
      <c r="BJ463" s="1188"/>
      <c r="BK463" s="1188"/>
      <c r="BL463" s="1188"/>
      <c r="BM463" s="1188"/>
      <c r="BN463" s="1188"/>
      <c r="BO463" s="1240"/>
      <c r="BP463" s="1240"/>
      <c r="BQ463" s="1188"/>
      <c r="BR463" s="1236">
        <f>I463/16</f>
        <v>1982</v>
      </c>
      <c r="BS463" s="1188"/>
      <c r="BT463" s="1188"/>
      <c r="BU463" s="1188"/>
      <c r="BV463" s="1240"/>
      <c r="BW463" s="1188"/>
      <c r="BX463" s="1188"/>
      <c r="BY463" s="1188"/>
      <c r="BZ463" s="1188"/>
      <c r="CA463" s="1188"/>
      <c r="CB463" s="1188"/>
      <c r="CC463" s="1188"/>
      <c r="CD463" s="1188">
        <f t="shared" si="161"/>
        <v>1982</v>
      </c>
      <c r="CE463" s="1188">
        <f t="shared" si="162"/>
        <v>0</v>
      </c>
      <c r="CF463" s="1188">
        <f t="shared" si="163"/>
        <v>0</v>
      </c>
      <c r="CG463" s="1188">
        <f t="shared" si="164"/>
        <v>0</v>
      </c>
      <c r="CH463" s="1236"/>
      <c r="CI463" s="1236"/>
      <c r="CJ463" s="1236"/>
      <c r="CK463" s="1188"/>
      <c r="CL463" s="1188"/>
    </row>
    <row r="464" s="1168" customFormat="1" customHeight="1" spans="1:111">
      <c r="A464" s="1245">
        <v>46142</v>
      </c>
      <c r="B464" s="1269" t="s">
        <v>378</v>
      </c>
      <c r="C464" s="1287" t="s">
        <v>201</v>
      </c>
      <c r="D464" s="1270">
        <v>4500204873</v>
      </c>
      <c r="E464" s="1363">
        <v>2551020365</v>
      </c>
      <c r="F464" s="1270" t="s">
        <v>2046</v>
      </c>
      <c r="G464" s="1272" t="s">
        <v>2047</v>
      </c>
      <c r="H464" s="1321" t="s">
        <v>2048</v>
      </c>
      <c r="I464" s="1273">
        <v>22592</v>
      </c>
      <c r="J464" s="1274">
        <v>0</v>
      </c>
      <c r="K464" s="1274">
        <v>64</v>
      </c>
      <c r="L464" s="1246">
        <f t="shared" si="151"/>
        <v>353</v>
      </c>
      <c r="M464" s="1320">
        <v>46224</v>
      </c>
      <c r="N464" s="1320">
        <v>46220</v>
      </c>
      <c r="O464" s="1320" t="s">
        <v>2049</v>
      </c>
      <c r="P464" s="1233" t="s">
        <v>2050</v>
      </c>
      <c r="Q464" s="1233" t="s">
        <v>106</v>
      </c>
      <c r="R464" s="1234"/>
      <c r="S464" s="1234"/>
      <c r="T464" s="1233">
        <v>22592</v>
      </c>
      <c r="U464" s="1233">
        <f t="shared" si="152"/>
        <v>0</v>
      </c>
      <c r="V464" s="1234"/>
      <c r="W464" s="1256">
        <v>46171</v>
      </c>
      <c r="X464" s="1257" t="s">
        <v>95</v>
      </c>
      <c r="Y464" s="1257" t="s">
        <v>95</v>
      </c>
      <c r="Z464" s="1247"/>
      <c r="AA464" s="1247"/>
      <c r="AB464" s="1247"/>
      <c r="AC464" s="1321" t="s">
        <v>2051</v>
      </c>
      <c r="AD464" s="1275" t="s">
        <v>384</v>
      </c>
      <c r="AE464" s="1276">
        <v>326.2176</v>
      </c>
      <c r="AF464" s="1248">
        <f>L464*AE464</f>
        <v>115154.8128</v>
      </c>
      <c r="AG464" s="1258"/>
      <c r="AH464" s="1234" t="s">
        <v>2052</v>
      </c>
      <c r="AI464" s="1234" t="s">
        <v>112</v>
      </c>
      <c r="AJ464" s="1234" t="s">
        <v>113</v>
      </c>
      <c r="AK464" s="1188">
        <f t="shared" si="159"/>
        <v>22592</v>
      </c>
      <c r="AL464" s="1188"/>
      <c r="AM464" s="1188"/>
      <c r="AN464" s="1188"/>
      <c r="AO464" s="1188"/>
      <c r="AP464" s="1188">
        <f>I464</f>
        <v>22592</v>
      </c>
      <c r="AQ464" s="1240"/>
      <c r="AR464" s="1188"/>
      <c r="AS464" s="1236"/>
      <c r="AT464" s="1236"/>
      <c r="AU464" s="1188">
        <f t="shared" si="160"/>
        <v>22592</v>
      </c>
      <c r="AV464" s="1250">
        <f>I464*0.06</f>
        <v>1355.52</v>
      </c>
      <c r="AW464" s="1250"/>
      <c r="AX464" s="1188"/>
      <c r="AY464" s="1188"/>
      <c r="AZ464" s="1188"/>
      <c r="BA464" s="1188"/>
      <c r="BB464" s="1188"/>
      <c r="BC464" s="1188"/>
      <c r="BD464" s="1188"/>
      <c r="BE464" s="1188"/>
      <c r="BF464" s="1188"/>
      <c r="BG464" s="1188"/>
      <c r="BH464" s="1188"/>
      <c r="BI464" s="1188"/>
      <c r="BJ464" s="1188"/>
      <c r="BK464" s="1188"/>
      <c r="BL464" s="1188"/>
      <c r="BM464" s="1188"/>
      <c r="BN464" s="1188"/>
      <c r="BO464" s="1240"/>
      <c r="BP464" s="1240"/>
      <c r="BQ464" s="1188"/>
      <c r="BR464" s="1236"/>
      <c r="BS464" s="1188">
        <f>I464/16</f>
        <v>1412</v>
      </c>
      <c r="BT464" s="1188"/>
      <c r="BU464" s="1188"/>
      <c r="BV464" s="1240"/>
      <c r="BW464" s="1188"/>
      <c r="BX464" s="1188"/>
      <c r="BY464" s="1188"/>
      <c r="BZ464" s="1188">
        <f>I464/64</f>
        <v>353</v>
      </c>
      <c r="CA464" s="1188"/>
      <c r="CB464" s="1188"/>
      <c r="CC464" s="1188"/>
      <c r="CD464" s="1188">
        <f t="shared" si="161"/>
        <v>1412</v>
      </c>
      <c r="CE464" s="1188">
        <f t="shared" si="162"/>
        <v>0</v>
      </c>
      <c r="CF464" s="1188">
        <f t="shared" si="163"/>
        <v>0</v>
      </c>
      <c r="CG464" s="1188">
        <f t="shared" si="164"/>
        <v>0</v>
      </c>
      <c r="CH464" s="1236"/>
      <c r="CI464" s="1236"/>
      <c r="CJ464" s="1236"/>
      <c r="CK464" s="1188"/>
      <c r="CL464" s="1188"/>
    </row>
    <row r="465" s="1168" customFormat="1" customHeight="1" spans="1:111">
      <c r="A465" s="1245">
        <v>46156</v>
      </c>
      <c r="B465" s="1247" t="s">
        <v>935</v>
      </c>
      <c r="C465" s="1234" t="s">
        <v>115</v>
      </c>
      <c r="D465" s="1268">
        <v>4500206878</v>
      </c>
      <c r="E465" s="1233">
        <v>13540512237</v>
      </c>
      <c r="F465" s="1188" t="s">
        <v>2053</v>
      </c>
      <c r="G465" s="1253" t="s">
        <v>482</v>
      </c>
      <c r="H465" s="1234" t="s">
        <v>483</v>
      </c>
      <c r="I465" s="1254">
        <v>4320</v>
      </c>
      <c r="J465" s="1234">
        <v>0</v>
      </c>
      <c r="K465" s="1234">
        <v>120</v>
      </c>
      <c r="L465" s="1246">
        <f t="shared" si="151"/>
        <v>36</v>
      </c>
      <c r="M465" s="1320">
        <v>46224</v>
      </c>
      <c r="N465" s="1320">
        <v>46231</v>
      </c>
      <c r="O465" s="1322" t="s">
        <v>2054</v>
      </c>
      <c r="P465" s="1233"/>
      <c r="Q465" s="1233" t="s">
        <v>106</v>
      </c>
      <c r="R465" s="1234" t="s">
        <v>2055</v>
      </c>
      <c r="S465" s="1234"/>
      <c r="T465" s="1233">
        <v>4320</v>
      </c>
      <c r="U465" s="1233">
        <f t="shared" si="152"/>
        <v>0</v>
      </c>
      <c r="V465" s="1188" t="s">
        <v>95</v>
      </c>
      <c r="W465" s="1238">
        <v>46155</v>
      </c>
      <c r="X465" s="1227" t="s">
        <v>107</v>
      </c>
      <c r="Y465" s="1227" t="s">
        <v>95</v>
      </c>
      <c r="Z465" s="1247"/>
      <c r="AA465" s="1247"/>
      <c r="AB465" s="1247"/>
      <c r="AC465" s="1247" t="s">
        <v>937</v>
      </c>
      <c r="AD465" s="1255" t="s">
        <v>488</v>
      </c>
      <c r="AE465" s="1188">
        <v>642</v>
      </c>
      <c r="AF465" s="1248">
        <f>L465*AE465</f>
        <v>23112</v>
      </c>
      <c r="AG465" s="1258"/>
      <c r="AH465" s="1234" t="s">
        <v>490</v>
      </c>
      <c r="AI465" s="1234" t="s">
        <v>112</v>
      </c>
      <c r="AJ465" s="1234" t="s">
        <v>113</v>
      </c>
      <c r="AK465" s="1188"/>
      <c r="AL465" s="1188">
        <f>I465*3</f>
        <v>12960</v>
      </c>
      <c r="AM465" s="1188"/>
      <c r="AN465" s="1188"/>
      <c r="AO465" s="1188"/>
      <c r="AP465" s="1188"/>
      <c r="AQ465" s="1240"/>
      <c r="AR465" s="1188"/>
      <c r="AS465" s="1236"/>
      <c r="AT465" s="1236"/>
      <c r="AU465" s="1188"/>
      <c r="AV465" s="1250">
        <f>I465*0.06*2</f>
        <v>518.4</v>
      </c>
      <c r="AW465" s="1250"/>
      <c r="AX465" s="1188"/>
      <c r="AY465" s="1188"/>
      <c r="AZ465" s="1188"/>
      <c r="BA465" s="1188"/>
      <c r="BB465" s="1188">
        <f>I465*3</f>
        <v>12960</v>
      </c>
      <c r="BC465" s="1188">
        <f>I465*3</f>
        <v>12960</v>
      </c>
      <c r="BD465" s="1188">
        <f>I465*3</f>
        <v>12960</v>
      </c>
      <c r="BE465" s="1188">
        <f>I465</f>
        <v>4320</v>
      </c>
      <c r="BF465" s="1188">
        <f>I465/6</f>
        <v>720</v>
      </c>
      <c r="BG465" s="1188"/>
      <c r="BH465" s="1188"/>
      <c r="BI465" s="1188"/>
      <c r="BJ465" s="1188"/>
      <c r="BK465" s="1188"/>
      <c r="BL465" s="1188"/>
      <c r="BM465" s="1188"/>
      <c r="BN465" s="1188"/>
      <c r="BO465" s="1240"/>
      <c r="BP465" s="1240"/>
      <c r="BQ465" s="1188"/>
      <c r="BR465" s="1236"/>
      <c r="BS465" s="1236"/>
      <c r="BT465" s="1188"/>
      <c r="BU465" s="1188"/>
      <c r="BV465" s="1240"/>
      <c r="BW465" s="1188"/>
      <c r="BX465" s="1188"/>
      <c r="BY465" s="1188"/>
      <c r="BZ465" s="1188"/>
      <c r="CA465" s="1188"/>
      <c r="CB465" s="1188"/>
      <c r="CC465" s="1188"/>
      <c r="CD465" s="1188">
        <f t="shared" si="161"/>
        <v>0</v>
      </c>
      <c r="CE465" s="1188">
        <f t="shared" si="162"/>
        <v>0</v>
      </c>
      <c r="CF465" s="1188">
        <f t="shared" si="163"/>
        <v>0</v>
      </c>
      <c r="CG465" s="1188">
        <f t="shared" si="164"/>
        <v>0</v>
      </c>
      <c r="CH465" s="1236"/>
      <c r="CI465" s="1236"/>
      <c r="CJ465" s="1236"/>
      <c r="CK465" s="1188"/>
      <c r="CL465" s="1188"/>
    </row>
    <row r="466" s="1169" customFormat="1" customHeight="1" spans="1:111">
      <c r="A466" s="1245">
        <v>46155</v>
      </c>
      <c r="B466" s="1247" t="s">
        <v>770</v>
      </c>
      <c r="C466" s="1234" t="s">
        <v>771</v>
      </c>
      <c r="D466" s="1268">
        <v>4500206706</v>
      </c>
      <c r="E466" s="1233">
        <v>160887</v>
      </c>
      <c r="F466" s="1188" t="s">
        <v>2056</v>
      </c>
      <c r="G466" s="1253" t="s">
        <v>146</v>
      </c>
      <c r="H466" s="1234" t="s">
        <v>104</v>
      </c>
      <c r="I466" s="1254">
        <v>3300</v>
      </c>
      <c r="J466" s="1234">
        <v>0</v>
      </c>
      <c r="K466" s="1234">
        <v>25</v>
      </c>
      <c r="L466" s="1246">
        <f t="shared" si="151"/>
        <v>132</v>
      </c>
      <c r="M466" s="1255">
        <v>46225</v>
      </c>
      <c r="N466" s="1255">
        <v>46225</v>
      </c>
      <c r="O466" s="1255" t="s">
        <v>1503</v>
      </c>
      <c r="P466" s="1233"/>
      <c r="Q466" s="1255" t="s">
        <v>106</v>
      </c>
      <c r="R466" s="1342" t="s">
        <v>2057</v>
      </c>
      <c r="S466" s="1234"/>
      <c r="T466" s="1233">
        <v>3300</v>
      </c>
      <c r="U466" s="1233">
        <f t="shared" si="152"/>
        <v>0</v>
      </c>
      <c r="V466" s="1342"/>
      <c r="W466" s="1256">
        <v>46171</v>
      </c>
      <c r="X466" s="1257" t="s">
        <v>95</v>
      </c>
      <c r="Y466" s="1257" t="s">
        <v>2058</v>
      </c>
      <c r="Z466" s="1247"/>
      <c r="AA466" s="1247"/>
      <c r="AB466" s="1247"/>
      <c r="AC466" s="1247" t="s">
        <v>2059</v>
      </c>
      <c r="AD466" s="1248" t="s">
        <v>2060</v>
      </c>
      <c r="AE466" s="1247">
        <v>1.0803</v>
      </c>
      <c r="AF466" s="1248">
        <f>I466*AE466</f>
        <v>3564.99</v>
      </c>
      <c r="AG466" s="1258"/>
      <c r="AH466" s="1234" t="s">
        <v>111</v>
      </c>
      <c r="AI466" s="1234" t="s">
        <v>112</v>
      </c>
      <c r="AJ466" s="1234" t="s">
        <v>113</v>
      </c>
      <c r="AK466" s="1188">
        <f>I466</f>
        <v>3300</v>
      </c>
      <c r="AL466" s="1188"/>
      <c r="AM466" s="1188"/>
      <c r="AN466" s="1188"/>
      <c r="AO466" s="1188"/>
      <c r="AP466" s="1188">
        <f>I466</f>
        <v>3300</v>
      </c>
      <c r="AQ466" s="1240"/>
      <c r="AR466" s="1188"/>
      <c r="AS466" s="1236"/>
      <c r="AT466" s="1236"/>
      <c r="AU466" s="1188">
        <f>I466</f>
        <v>3300</v>
      </c>
      <c r="AV466" s="1250">
        <f>I466*0.06*2</f>
        <v>396</v>
      </c>
      <c r="AW466" s="1250"/>
      <c r="AX466" s="1188"/>
      <c r="AY466" s="1188"/>
      <c r="AZ466" s="1188"/>
      <c r="BA466" s="1188"/>
      <c r="BB466" s="1188"/>
      <c r="BC466" s="1188"/>
      <c r="BD466" s="1188"/>
      <c r="BE466" s="1188"/>
      <c r="BF466" s="1188"/>
      <c r="BG466" s="1188"/>
      <c r="BH466" s="1188"/>
      <c r="BI466" s="1188"/>
      <c r="BJ466" s="1188"/>
      <c r="BK466" s="1188"/>
      <c r="BL466" s="1188"/>
      <c r="BM466" s="1188"/>
      <c r="BN466" s="1188"/>
      <c r="BO466" s="1240">
        <f>I466/25</f>
        <v>132</v>
      </c>
      <c r="BP466" s="1240"/>
      <c r="BQ466" s="1188"/>
      <c r="BR466" s="1236"/>
      <c r="BS466" s="1188"/>
      <c r="BT466" s="1188"/>
      <c r="BU466" s="1188"/>
      <c r="BV466" s="1240"/>
      <c r="BW466" s="1188"/>
      <c r="BX466" s="1188"/>
      <c r="BY466" s="1188"/>
      <c r="BZ466" s="1188"/>
      <c r="CA466" s="1188"/>
      <c r="CB466" s="1188"/>
      <c r="CC466" s="1188"/>
      <c r="CD466" s="1188">
        <f t="shared" si="161"/>
        <v>132</v>
      </c>
      <c r="CE466" s="1188">
        <f t="shared" si="162"/>
        <v>0</v>
      </c>
      <c r="CF466" s="1188">
        <f t="shared" si="163"/>
        <v>0</v>
      </c>
      <c r="CG466" s="1188">
        <f t="shared" si="164"/>
        <v>0</v>
      </c>
      <c r="CH466" s="1236"/>
      <c r="CI466" s="1236"/>
      <c r="CJ466" s="1236"/>
      <c r="CK466" s="1188"/>
      <c r="CL466" s="1188"/>
      <c r="CM466" s="1168"/>
      <c r="CN466" s="1168"/>
      <c r="CO466" s="1168"/>
      <c r="CP466" s="1168"/>
      <c r="CQ466" s="1168"/>
      <c r="CR466" s="1168"/>
      <c r="CS466" s="1168"/>
      <c r="CT466" s="1168"/>
      <c r="CU466" s="1168"/>
      <c r="CV466" s="1168"/>
      <c r="CW466" s="1168"/>
      <c r="CX466" s="1168"/>
      <c r="CY466" s="1168"/>
      <c r="CZ466" s="1168"/>
      <c r="DA466" s="1168"/>
      <c r="DB466" s="1168"/>
      <c r="DC466" s="1168"/>
      <c r="DD466" s="1168"/>
      <c r="DE466" s="1168"/>
      <c r="DF466" s="1168"/>
      <c r="DG466" s="1168"/>
    </row>
    <row r="467" s="1168" customFormat="1" customHeight="1" spans="1:111">
      <c r="A467" s="1245">
        <v>46203</v>
      </c>
      <c r="B467" s="1247" t="s">
        <v>438</v>
      </c>
      <c r="C467" s="1234" t="s">
        <v>115</v>
      </c>
      <c r="D467" s="1268">
        <v>4500214199</v>
      </c>
      <c r="E467" s="1234" t="s">
        <v>2061</v>
      </c>
      <c r="F467" s="1188" t="s">
        <v>2062</v>
      </c>
      <c r="G467" s="1253" t="s">
        <v>118</v>
      </c>
      <c r="H467" s="1234" t="s">
        <v>104</v>
      </c>
      <c r="I467" s="1254">
        <v>16775</v>
      </c>
      <c r="J467" s="1234">
        <v>0</v>
      </c>
      <c r="K467" s="1234">
        <v>25</v>
      </c>
      <c r="L467" s="1246">
        <f t="shared" si="151"/>
        <v>671</v>
      </c>
      <c r="M467" s="1255">
        <v>46225</v>
      </c>
      <c r="N467" s="1255">
        <v>46225</v>
      </c>
      <c r="O467" s="1255" t="s">
        <v>1503</v>
      </c>
      <c r="P467" s="1233" t="s">
        <v>2063</v>
      </c>
      <c r="Q467" s="1255" t="s">
        <v>106</v>
      </c>
      <c r="R467" s="1342" t="s">
        <v>2064</v>
      </c>
      <c r="S467" s="1234"/>
      <c r="T467" s="1233">
        <v>16775</v>
      </c>
      <c r="U467" s="1233">
        <f t="shared" si="152"/>
        <v>0</v>
      </c>
      <c r="V467" s="1342"/>
      <c r="W467" s="1256" t="s">
        <v>1416</v>
      </c>
      <c r="X467" s="1257" t="s">
        <v>107</v>
      </c>
      <c r="Y467" s="1257" t="s">
        <v>1417</v>
      </c>
      <c r="Z467" s="1247"/>
      <c r="AA467" s="1247"/>
      <c r="AB467" s="1247"/>
      <c r="AC467" s="1247" t="s">
        <v>2065</v>
      </c>
      <c r="AD467" s="1248" t="s">
        <v>443</v>
      </c>
      <c r="AE467" s="1247">
        <v>0.6478</v>
      </c>
      <c r="AF467" s="1248">
        <f>I467*AE467</f>
        <v>10866.845</v>
      </c>
      <c r="AG467" s="1249" t="s">
        <v>2066</v>
      </c>
      <c r="AH467" s="1234" t="s">
        <v>118</v>
      </c>
      <c r="AI467" s="1234" t="s">
        <v>112</v>
      </c>
      <c r="AJ467" s="1234" t="s">
        <v>113</v>
      </c>
      <c r="AK467" s="1188"/>
      <c r="AL467" s="1188"/>
      <c r="AM467" s="1188">
        <f>I467</f>
        <v>16775</v>
      </c>
      <c r="AN467" s="1188">
        <f>I467</f>
        <v>16775</v>
      </c>
      <c r="AO467" s="1188"/>
      <c r="AP467" s="1188"/>
      <c r="AQ467" s="1240"/>
      <c r="AR467" s="1188"/>
      <c r="AS467" s="1236"/>
      <c r="AT467" s="1236"/>
      <c r="AU467" s="1188">
        <f>I467</f>
        <v>16775</v>
      </c>
      <c r="AV467" s="1250">
        <f>I467*0.06</f>
        <v>1006.5</v>
      </c>
      <c r="AW467" s="1250"/>
      <c r="AX467" s="1188"/>
      <c r="AY467" s="1188"/>
      <c r="AZ467" s="1188"/>
      <c r="BA467" s="1188"/>
      <c r="BB467" s="1188"/>
      <c r="BC467" s="1188"/>
      <c r="BD467" s="1188"/>
      <c r="BE467" s="1188"/>
      <c r="BF467" s="1188"/>
      <c r="BG467" s="1188"/>
      <c r="BH467" s="1188"/>
      <c r="BI467" s="1188"/>
      <c r="BJ467" s="1188"/>
      <c r="BK467" s="1188"/>
      <c r="BL467" s="1188"/>
      <c r="BM467" s="1188"/>
      <c r="BN467" s="1188"/>
      <c r="BO467" s="1240"/>
      <c r="BP467" s="1240"/>
      <c r="BQ467" s="1188"/>
      <c r="BR467" s="1236"/>
      <c r="BS467" s="1236"/>
      <c r="BT467" s="1188"/>
      <c r="BU467" s="1188">
        <f>I467/25</f>
        <v>671</v>
      </c>
      <c r="BV467" s="1240"/>
      <c r="BW467" s="1188"/>
      <c r="BX467" s="1188"/>
      <c r="BY467" s="1188"/>
      <c r="BZ467" s="1188"/>
      <c r="CA467" s="1188"/>
      <c r="CB467" s="1188"/>
      <c r="CC467" s="1188"/>
      <c r="CD467" s="1188">
        <f t="shared" si="161"/>
        <v>0</v>
      </c>
      <c r="CE467" s="1188">
        <f t="shared" si="162"/>
        <v>671</v>
      </c>
      <c r="CF467" s="1188">
        <f t="shared" si="163"/>
        <v>0</v>
      </c>
      <c r="CG467" s="1188">
        <f t="shared" si="164"/>
        <v>0</v>
      </c>
      <c r="CH467" s="1236"/>
      <c r="CI467" s="1236"/>
      <c r="CJ467" s="1236"/>
      <c r="CK467" s="1188"/>
      <c r="CL467" s="1188"/>
    </row>
    <row r="468" s="1168" customFormat="1" customHeight="1" spans="1:111">
      <c r="A468" s="1245">
        <v>46168</v>
      </c>
      <c r="B468" s="1247" t="s">
        <v>2067</v>
      </c>
      <c r="C468" s="1234" t="s">
        <v>115</v>
      </c>
      <c r="D468" s="1268">
        <v>4500209005</v>
      </c>
      <c r="E468" s="1233">
        <v>725922</v>
      </c>
      <c r="F468" s="1188" t="s">
        <v>2068</v>
      </c>
      <c r="G468" s="1253" t="s">
        <v>188</v>
      </c>
      <c r="H468" s="1234" t="s">
        <v>138</v>
      </c>
      <c r="I468" s="1254">
        <v>1300</v>
      </c>
      <c r="J468" s="1234">
        <v>0</v>
      </c>
      <c r="K468" s="1234">
        <v>50</v>
      </c>
      <c r="L468" s="1246">
        <f t="shared" si="151"/>
        <v>26</v>
      </c>
      <c r="M468" s="1255">
        <v>46225</v>
      </c>
      <c r="N468" s="1255">
        <v>46225</v>
      </c>
      <c r="O468" s="1255" t="s">
        <v>1594</v>
      </c>
      <c r="P468" s="1233"/>
      <c r="Q468" s="1255" t="s">
        <v>106</v>
      </c>
      <c r="R468" s="1342" t="s">
        <v>1889</v>
      </c>
      <c r="S468" s="1234"/>
      <c r="T468" s="1233">
        <v>1300</v>
      </c>
      <c r="U468" s="1233">
        <f t="shared" si="152"/>
        <v>0</v>
      </c>
      <c r="V468" s="1342" t="s">
        <v>120</v>
      </c>
      <c r="W468" s="1256">
        <v>46171</v>
      </c>
      <c r="X468" s="1257" t="s">
        <v>107</v>
      </c>
      <c r="Y468" s="1257" t="s">
        <v>2069</v>
      </c>
      <c r="Z468" s="1247"/>
      <c r="AA468" s="1247"/>
      <c r="AB468" s="1247"/>
      <c r="AC468" s="1247" t="s">
        <v>2070</v>
      </c>
      <c r="AD468" s="1248" t="s">
        <v>2071</v>
      </c>
      <c r="AE468" s="1247">
        <v>0.6587</v>
      </c>
      <c r="AF468" s="1248">
        <f>AE468*I468</f>
        <v>856.31</v>
      </c>
      <c r="AG468" s="1249" t="s">
        <v>2072</v>
      </c>
      <c r="AH468" s="1234" t="s">
        <v>188</v>
      </c>
      <c r="AI468" s="1234" t="s">
        <v>112</v>
      </c>
      <c r="AJ468" s="1234" t="s">
        <v>113</v>
      </c>
      <c r="AK468" s="1188">
        <f>I468</f>
        <v>1300</v>
      </c>
      <c r="AL468" s="1188"/>
      <c r="AM468" s="1188"/>
      <c r="AN468" s="1188">
        <f>I468</f>
        <v>1300</v>
      </c>
      <c r="AO468" s="1188"/>
      <c r="AP468" s="1188"/>
      <c r="AQ468" s="1240"/>
      <c r="AR468" s="1188"/>
      <c r="AS468" s="1236"/>
      <c r="AT468" s="1236"/>
      <c r="AU468" s="1188">
        <f>I468</f>
        <v>1300</v>
      </c>
      <c r="AV468" s="1250">
        <f t="shared" ref="AV468:AV475" si="166">I468*0.06*2</f>
        <v>156</v>
      </c>
      <c r="AW468" s="1250"/>
      <c r="AX468" s="1188"/>
      <c r="AY468" s="1188"/>
      <c r="AZ468" s="1188"/>
      <c r="BA468" s="1188"/>
      <c r="BB468" s="1188"/>
      <c r="BC468" s="1188"/>
      <c r="BD468" s="1188"/>
      <c r="BE468" s="1188"/>
      <c r="BF468" s="1188"/>
      <c r="BG468" s="1188"/>
      <c r="BH468" s="1188"/>
      <c r="BI468" s="1188"/>
      <c r="BJ468" s="1188"/>
      <c r="BK468" s="1188"/>
      <c r="BL468" s="1188"/>
      <c r="BM468" s="1188"/>
      <c r="BN468" s="1188">
        <f>I468/25</f>
        <v>52</v>
      </c>
      <c r="BO468" s="1240"/>
      <c r="BP468" s="1240"/>
      <c r="BQ468" s="1188"/>
      <c r="BR468" s="1236"/>
      <c r="BS468" s="1236"/>
      <c r="BT468" s="1188"/>
      <c r="BU468" s="1188"/>
      <c r="BV468" s="1240"/>
      <c r="BW468" s="1188"/>
      <c r="BX468" s="1188"/>
      <c r="BY468" s="1188"/>
      <c r="BZ468" s="1188"/>
      <c r="CA468" s="1188"/>
      <c r="CB468" s="1188"/>
      <c r="CC468" s="1188"/>
      <c r="CD468" s="1188">
        <f t="shared" si="161"/>
        <v>52</v>
      </c>
      <c r="CE468" s="1188">
        <f t="shared" si="162"/>
        <v>0</v>
      </c>
      <c r="CF468" s="1188">
        <f t="shared" si="163"/>
        <v>0</v>
      </c>
      <c r="CG468" s="1188">
        <f t="shared" si="164"/>
        <v>0</v>
      </c>
      <c r="CH468" s="1236"/>
      <c r="CI468" s="1236"/>
      <c r="CJ468" s="1236"/>
      <c r="CK468" s="1188"/>
      <c r="CL468" s="1188"/>
    </row>
    <row r="469" s="1168" customFormat="1" customHeight="1" spans="1:111">
      <c r="A469" s="1245">
        <v>46155</v>
      </c>
      <c r="B469" s="1247" t="s">
        <v>607</v>
      </c>
      <c r="C469" s="1234" t="s">
        <v>608</v>
      </c>
      <c r="D469" s="1268">
        <v>4500206833</v>
      </c>
      <c r="E469" s="1233">
        <v>5200009850</v>
      </c>
      <c r="F469" s="1188" t="s">
        <v>2073</v>
      </c>
      <c r="G469" s="1253" t="s">
        <v>193</v>
      </c>
      <c r="H469" s="1234" t="s">
        <v>194</v>
      </c>
      <c r="I469" s="1254">
        <v>3601</v>
      </c>
      <c r="J469" s="1234">
        <v>0</v>
      </c>
      <c r="K469" s="1234">
        <v>13</v>
      </c>
      <c r="L469" s="1246">
        <f t="shared" si="151"/>
        <v>277</v>
      </c>
      <c r="M469" s="1255">
        <v>46225</v>
      </c>
      <c r="N469" s="1255">
        <v>46225</v>
      </c>
      <c r="O469" s="1255" t="s">
        <v>1503</v>
      </c>
      <c r="P469" s="1233"/>
      <c r="Q469" s="1255" t="s">
        <v>106</v>
      </c>
      <c r="R469" s="1234"/>
      <c r="S469" s="1234"/>
      <c r="T469" s="1233">
        <v>3601</v>
      </c>
      <c r="U469" s="1233">
        <f t="shared" si="152"/>
        <v>0</v>
      </c>
      <c r="V469" s="1234"/>
      <c r="W469" s="1238">
        <v>46181</v>
      </c>
      <c r="X469" s="1227" t="s">
        <v>95</v>
      </c>
      <c r="Y469" s="1227" t="s">
        <v>822</v>
      </c>
      <c r="Z469" s="1247" t="s">
        <v>2074</v>
      </c>
      <c r="AA469" s="1247"/>
      <c r="AB469" s="1247"/>
      <c r="AC469" s="1247" t="s">
        <v>2075</v>
      </c>
      <c r="AD469" s="1248" t="s">
        <v>895</v>
      </c>
      <c r="AE469" s="1247">
        <v>1.2</v>
      </c>
      <c r="AF469" s="1248">
        <f>I469*AE469</f>
        <v>4321.2</v>
      </c>
      <c r="AG469" s="1258"/>
      <c r="AH469" s="1234" t="s">
        <v>199</v>
      </c>
      <c r="AI469" s="1234" t="s">
        <v>112</v>
      </c>
      <c r="AJ469" s="1234" t="s">
        <v>113</v>
      </c>
      <c r="AK469" s="1188">
        <f>I469</f>
        <v>3601</v>
      </c>
      <c r="AL469" s="1188"/>
      <c r="AM469" s="1188"/>
      <c r="AN469" s="1188"/>
      <c r="AO469" s="1188"/>
      <c r="AP469" s="1188">
        <f>I469</f>
        <v>3601</v>
      </c>
      <c r="AQ469" s="1240"/>
      <c r="AR469" s="1188"/>
      <c r="AS469" s="1236"/>
      <c r="AT469" s="1236"/>
      <c r="AU469" s="1188">
        <f>I469</f>
        <v>3601</v>
      </c>
      <c r="AV469" s="1250">
        <f t="shared" si="166"/>
        <v>432.12</v>
      </c>
      <c r="AW469" s="1250"/>
      <c r="AX469" s="1188"/>
      <c r="AY469" s="1188"/>
      <c r="AZ469" s="1188"/>
      <c r="BA469" s="1188"/>
      <c r="BB469" s="1188"/>
      <c r="BC469" s="1188"/>
      <c r="BD469" s="1188"/>
      <c r="BE469" s="1188"/>
      <c r="BF469" s="1188"/>
      <c r="BG469" s="1188"/>
      <c r="BH469" s="1188"/>
      <c r="BI469" s="1188"/>
      <c r="BJ469" s="1188"/>
      <c r="BK469" s="1188"/>
      <c r="BL469" s="1188">
        <f>I469/13</f>
        <v>277</v>
      </c>
      <c r="BM469" s="1188"/>
      <c r="BN469" s="1188"/>
      <c r="BO469" s="1240"/>
      <c r="BP469" s="1240"/>
      <c r="BQ469" s="1188"/>
      <c r="BR469" s="1236"/>
      <c r="BS469" s="1236"/>
      <c r="BT469" s="1188"/>
      <c r="BU469" s="1188"/>
      <c r="BV469" s="1240"/>
      <c r="BW469" s="1188"/>
      <c r="BX469" s="1188"/>
      <c r="BY469" s="1188"/>
      <c r="BZ469" s="1188"/>
      <c r="CA469" s="1188"/>
      <c r="CB469" s="1188"/>
      <c r="CC469" s="1188"/>
      <c r="CD469" s="1188">
        <f t="shared" si="161"/>
        <v>0</v>
      </c>
      <c r="CE469" s="1188">
        <f t="shared" si="162"/>
        <v>0</v>
      </c>
      <c r="CF469" s="1188">
        <f t="shared" si="163"/>
        <v>0</v>
      </c>
      <c r="CG469" s="1188">
        <f t="shared" si="164"/>
        <v>0</v>
      </c>
      <c r="CH469" s="1236"/>
      <c r="CI469" s="1236"/>
      <c r="CJ469" s="1236"/>
      <c r="CK469" s="1188"/>
      <c r="CL469" s="1188"/>
    </row>
    <row r="470" s="1168" customFormat="1" customHeight="1" spans="1:111">
      <c r="A470" s="1245">
        <v>46136</v>
      </c>
      <c r="B470" s="1269" t="s">
        <v>583</v>
      </c>
      <c r="C470" s="1287" t="s">
        <v>135</v>
      </c>
      <c r="D470" s="1270">
        <v>4500204111</v>
      </c>
      <c r="E470" s="1269">
        <v>2950868468</v>
      </c>
      <c r="F470" s="1270" t="s">
        <v>2076</v>
      </c>
      <c r="G470" s="1374" t="s">
        <v>1201</v>
      </c>
      <c r="H470" s="1247" t="s">
        <v>350</v>
      </c>
      <c r="I470" s="1273">
        <v>14560</v>
      </c>
      <c r="J470" s="1274">
        <v>0</v>
      </c>
      <c r="K470" s="1274">
        <v>1040</v>
      </c>
      <c r="L470" s="1246">
        <f t="shared" si="151"/>
        <v>14</v>
      </c>
      <c r="M470" s="1320">
        <v>46225</v>
      </c>
      <c r="N470" s="1320">
        <v>46221</v>
      </c>
      <c r="O470" s="1320" t="s">
        <v>1594</v>
      </c>
      <c r="P470" s="1233"/>
      <c r="Q470" s="1233" t="s">
        <v>106</v>
      </c>
      <c r="R470" s="1234" t="s">
        <v>2077</v>
      </c>
      <c r="S470" s="1234"/>
      <c r="T470" s="1233">
        <v>14560</v>
      </c>
      <c r="U470" s="1233">
        <f t="shared" si="152"/>
        <v>0</v>
      </c>
      <c r="V470" s="1234"/>
      <c r="W470" s="1238" t="s">
        <v>2078</v>
      </c>
      <c r="X470" s="1227" t="s">
        <v>95</v>
      </c>
      <c r="Y470" s="1227" t="s">
        <v>2079</v>
      </c>
      <c r="Z470" s="1247" t="s">
        <v>140</v>
      </c>
      <c r="AA470" s="1247"/>
      <c r="AB470" s="1247"/>
      <c r="AC470" s="1334" t="s">
        <v>2080</v>
      </c>
      <c r="AD470" s="1275" t="s">
        <v>1207</v>
      </c>
      <c r="AE470" s="1276">
        <v>1182.4614</v>
      </c>
      <c r="AF470" s="1248">
        <f>I470*AE470</f>
        <v>17216637.984</v>
      </c>
      <c r="AG470" s="1258"/>
      <c r="AH470" s="1234" t="s">
        <v>585</v>
      </c>
      <c r="AI470" s="1234" t="s">
        <v>112</v>
      </c>
      <c r="AJ470" s="1234" t="s">
        <v>113</v>
      </c>
      <c r="AK470" s="1188">
        <f>I470</f>
        <v>14560</v>
      </c>
      <c r="AL470" s="1188"/>
      <c r="AM470" s="1188"/>
      <c r="AN470" s="1188">
        <f>I470</f>
        <v>14560</v>
      </c>
      <c r="AO470" s="1188"/>
      <c r="AP470" s="1188"/>
      <c r="AQ470" s="1240"/>
      <c r="AR470" s="1188"/>
      <c r="AS470" s="1236"/>
      <c r="AT470" s="1236"/>
      <c r="AU470" s="1188"/>
      <c r="AV470" s="1250">
        <f t="shared" si="166"/>
        <v>1747.2</v>
      </c>
      <c r="AW470" s="1250">
        <f>I470</f>
        <v>14560</v>
      </c>
      <c r="AX470" s="1188"/>
      <c r="AY470" s="1188"/>
      <c r="AZ470" s="1188"/>
      <c r="BA470" s="1188"/>
      <c r="BB470" s="1188"/>
      <c r="BC470" s="1188"/>
      <c r="BD470" s="1188"/>
      <c r="BE470" s="1188"/>
      <c r="BF470" s="1188"/>
      <c r="BG470" s="1188"/>
      <c r="BH470" s="1188"/>
      <c r="BI470" s="1188"/>
      <c r="BJ470" s="1188"/>
      <c r="BK470" s="1188"/>
      <c r="BL470" s="1188"/>
      <c r="BM470" s="1188"/>
      <c r="BN470" s="1188"/>
      <c r="BO470" s="1240"/>
      <c r="BP470" s="1240"/>
      <c r="BQ470" s="1188"/>
      <c r="BR470" s="1236">
        <f>I470/16</f>
        <v>910</v>
      </c>
      <c r="BS470" s="1236"/>
      <c r="BT470" s="1188"/>
      <c r="BU470" s="1188"/>
      <c r="BV470" s="1240"/>
      <c r="BW470" s="1188"/>
      <c r="BX470" s="1188"/>
      <c r="BY470" s="1188"/>
      <c r="BZ470" s="1188"/>
      <c r="CA470" s="1188"/>
      <c r="CB470" s="1188"/>
      <c r="CC470" s="1188"/>
      <c r="CD470" s="1188">
        <f t="shared" si="161"/>
        <v>910</v>
      </c>
      <c r="CE470" s="1188">
        <f t="shared" si="162"/>
        <v>0</v>
      </c>
      <c r="CF470" s="1188">
        <f t="shared" si="163"/>
        <v>0</v>
      </c>
      <c r="CG470" s="1188">
        <f t="shared" si="164"/>
        <v>0</v>
      </c>
      <c r="CH470" s="1236"/>
      <c r="CI470" s="1236"/>
      <c r="CJ470" s="1236"/>
      <c r="CK470" s="1188"/>
      <c r="CL470" s="1188"/>
    </row>
    <row r="471" s="1168" customFormat="1" customHeight="1" spans="1:111">
      <c r="A471" s="1245">
        <v>46155</v>
      </c>
      <c r="B471" s="1247" t="s">
        <v>770</v>
      </c>
      <c r="C471" s="1234" t="s">
        <v>771</v>
      </c>
      <c r="D471" s="1268">
        <v>4500206706</v>
      </c>
      <c r="E471" s="1233">
        <v>160887</v>
      </c>
      <c r="F471" s="1188" t="s">
        <v>2081</v>
      </c>
      <c r="G471" s="1253" t="s">
        <v>799</v>
      </c>
      <c r="H471" s="1234" t="s">
        <v>800</v>
      </c>
      <c r="I471" s="1254">
        <v>510</v>
      </c>
      <c r="J471" s="1234">
        <v>0</v>
      </c>
      <c r="K471" s="1234">
        <v>30</v>
      </c>
      <c r="L471" s="1246">
        <f t="shared" si="151"/>
        <v>17</v>
      </c>
      <c r="M471" s="1338">
        <v>46225</v>
      </c>
      <c r="N471" s="1320">
        <v>46225</v>
      </c>
      <c r="O471" s="1337" t="s">
        <v>736</v>
      </c>
      <c r="P471" s="1233"/>
      <c r="Q471" s="1233" t="s">
        <v>106</v>
      </c>
      <c r="R471" s="1234" t="s">
        <v>2057</v>
      </c>
      <c r="S471" s="1234"/>
      <c r="T471" s="1233">
        <f>42*10+60+14+16</f>
        <v>510</v>
      </c>
      <c r="U471" s="1233">
        <f t="shared" si="152"/>
        <v>0</v>
      </c>
      <c r="V471" s="1234"/>
      <c r="W471" s="1238">
        <v>46171</v>
      </c>
      <c r="X471" s="1227" t="s">
        <v>95</v>
      </c>
      <c r="Y471" s="1227" t="s">
        <v>2058</v>
      </c>
      <c r="Z471" s="1247"/>
      <c r="AA471" s="1247"/>
      <c r="AB471" s="1247"/>
      <c r="AC471" s="1247" t="s">
        <v>2082</v>
      </c>
      <c r="AD471" s="1255" t="s">
        <v>2060</v>
      </c>
      <c r="AE471" s="1267">
        <v>42.183</v>
      </c>
      <c r="AF471" s="1248">
        <f>AE471*L471</f>
        <v>717.111</v>
      </c>
      <c r="AG471" s="1258"/>
      <c r="AH471" s="1253" t="s">
        <v>799</v>
      </c>
      <c r="AI471" s="1234" t="s">
        <v>112</v>
      </c>
      <c r="AJ471" s="1234"/>
      <c r="AK471" s="1188">
        <f>I471</f>
        <v>510</v>
      </c>
      <c r="AL471" s="1188"/>
      <c r="AM471" s="1188"/>
      <c r="AN471" s="1188"/>
      <c r="AO471" s="1188"/>
      <c r="AP471" s="1188">
        <f>I471</f>
        <v>510</v>
      </c>
      <c r="AQ471" s="1240"/>
      <c r="AR471" s="1188"/>
      <c r="AS471" s="1236"/>
      <c r="AT471" s="1236"/>
      <c r="AU471" s="1188">
        <f>I471</f>
        <v>510</v>
      </c>
      <c r="AV471" s="1250">
        <f t="shared" si="166"/>
        <v>61.2</v>
      </c>
      <c r="AW471" s="1250"/>
      <c r="AX471" s="1188"/>
      <c r="AY471" s="1188"/>
      <c r="AZ471" s="1188"/>
      <c r="BA471" s="1188"/>
      <c r="BB471" s="1188"/>
      <c r="BC471" s="1188"/>
      <c r="BD471" s="1188"/>
      <c r="BE471" s="1188"/>
      <c r="BF471" s="1188"/>
      <c r="BG471" s="1188"/>
      <c r="BH471" s="1188"/>
      <c r="BI471" s="1188"/>
      <c r="BJ471" s="1188"/>
      <c r="BK471" s="1188"/>
      <c r="BL471" s="1188"/>
      <c r="BM471" s="1188"/>
      <c r="BN471" s="1188"/>
      <c r="BO471" s="1240"/>
      <c r="BP471" s="1240"/>
      <c r="BQ471" s="1188"/>
      <c r="BR471" s="1236"/>
      <c r="BS471" s="1236"/>
      <c r="BT471" s="1188"/>
      <c r="BU471" s="1188"/>
      <c r="BV471" s="1240"/>
      <c r="BW471" s="1188"/>
      <c r="BX471" s="1188"/>
      <c r="BY471" s="1188"/>
      <c r="BZ471" s="1188"/>
      <c r="CA471" s="1188"/>
      <c r="CB471" s="1188"/>
      <c r="CC471" s="1188">
        <f>L471</f>
        <v>17</v>
      </c>
      <c r="CD471" s="1188">
        <f t="shared" si="161"/>
        <v>0</v>
      </c>
      <c r="CE471" s="1188">
        <f t="shared" si="162"/>
        <v>0</v>
      </c>
      <c r="CF471" s="1188">
        <f t="shared" si="163"/>
        <v>17</v>
      </c>
      <c r="CG471" s="1188">
        <f t="shared" si="164"/>
        <v>0</v>
      </c>
      <c r="CH471" s="1236"/>
      <c r="CI471" s="1236"/>
      <c r="CJ471" s="1236"/>
      <c r="CK471" s="1188"/>
      <c r="CL471" s="1188"/>
    </row>
    <row r="472" s="1169" customFormat="1" customHeight="1" spans="1:111">
      <c r="A472" s="1245">
        <v>46156</v>
      </c>
      <c r="B472" s="1269" t="s">
        <v>2083</v>
      </c>
      <c r="C472" s="1287" t="s">
        <v>891</v>
      </c>
      <c r="D472" s="1270">
        <v>4500207039</v>
      </c>
      <c r="E472" s="1363">
        <v>4045803992</v>
      </c>
      <c r="F472" s="1270" t="s">
        <v>2084</v>
      </c>
      <c r="G472" s="1272" t="s">
        <v>146</v>
      </c>
      <c r="H472" s="1247" t="s">
        <v>104</v>
      </c>
      <c r="I472" s="1273">
        <v>3000</v>
      </c>
      <c r="J472" s="1274">
        <v>0</v>
      </c>
      <c r="K472" s="1274">
        <v>25</v>
      </c>
      <c r="L472" s="1246">
        <f t="shared" si="151"/>
        <v>120</v>
      </c>
      <c r="M472" s="1320">
        <v>46225</v>
      </c>
      <c r="N472" s="1320">
        <v>46225</v>
      </c>
      <c r="O472" s="1322" t="s">
        <v>1503</v>
      </c>
      <c r="P472" s="1233"/>
      <c r="Q472" s="1233" t="s">
        <v>106</v>
      </c>
      <c r="R472" s="1234" t="s">
        <v>2085</v>
      </c>
      <c r="S472" s="1256">
        <v>46217</v>
      </c>
      <c r="T472" s="1233">
        <v>3000</v>
      </c>
      <c r="U472" s="1233">
        <f t="shared" si="152"/>
        <v>0</v>
      </c>
      <c r="V472" s="1234"/>
      <c r="W472" s="1256">
        <v>46167</v>
      </c>
      <c r="X472" s="1257" t="s">
        <v>95</v>
      </c>
      <c r="Y472" s="1257" t="s">
        <v>2058</v>
      </c>
      <c r="Z472" s="1247"/>
      <c r="AA472" s="1247"/>
      <c r="AB472" s="1247"/>
      <c r="AC472" s="1247" t="s">
        <v>2086</v>
      </c>
      <c r="AD472" s="1275" t="s">
        <v>775</v>
      </c>
      <c r="AE472" s="1276">
        <v>1.0803</v>
      </c>
      <c r="AF472" s="1248">
        <f t="shared" ref="AF472:AF477" si="167">I472*AE472</f>
        <v>3240.9</v>
      </c>
      <c r="AG472" s="1258"/>
      <c r="AH472" s="1234" t="s">
        <v>111</v>
      </c>
      <c r="AI472" s="1234" t="s">
        <v>112</v>
      </c>
      <c r="AJ472" s="1234" t="s">
        <v>113</v>
      </c>
      <c r="AK472" s="1188">
        <f>I472</f>
        <v>3000</v>
      </c>
      <c r="AL472" s="1188"/>
      <c r="AM472" s="1188"/>
      <c r="AN472" s="1188"/>
      <c r="AO472" s="1188"/>
      <c r="AP472" s="1188">
        <f>I472</f>
        <v>3000</v>
      </c>
      <c r="AQ472" s="1240"/>
      <c r="AR472" s="1188"/>
      <c r="AS472" s="1236"/>
      <c r="AT472" s="1236"/>
      <c r="AU472" s="1188">
        <f>I472</f>
        <v>3000</v>
      </c>
      <c r="AV472" s="1250">
        <f t="shared" si="166"/>
        <v>360</v>
      </c>
      <c r="AW472" s="1250"/>
      <c r="AX472" s="1188"/>
      <c r="AY472" s="1188"/>
      <c r="AZ472" s="1188"/>
      <c r="BA472" s="1188"/>
      <c r="BB472" s="1188"/>
      <c r="BC472" s="1188"/>
      <c r="BD472" s="1188"/>
      <c r="BE472" s="1188"/>
      <c r="BF472" s="1188"/>
      <c r="BG472" s="1188"/>
      <c r="BH472" s="1188"/>
      <c r="BI472" s="1188"/>
      <c r="BJ472" s="1188"/>
      <c r="BK472" s="1188"/>
      <c r="BL472" s="1188"/>
      <c r="BM472" s="1188"/>
      <c r="BN472" s="1188"/>
      <c r="BO472" s="1240">
        <f>I472/25</f>
        <v>120</v>
      </c>
      <c r="BP472" s="1240"/>
      <c r="BQ472" s="1188"/>
      <c r="BR472" s="1236"/>
      <c r="BS472" s="1236"/>
      <c r="BT472" s="1188"/>
      <c r="BU472" s="1188"/>
      <c r="BV472" s="1240"/>
      <c r="BW472" s="1188"/>
      <c r="BX472" s="1188"/>
      <c r="BY472" s="1188"/>
      <c r="BZ472" s="1188"/>
      <c r="CA472" s="1188"/>
      <c r="CB472" s="1188"/>
      <c r="CC472" s="1188"/>
      <c r="CD472" s="1188">
        <f t="shared" si="161"/>
        <v>120</v>
      </c>
      <c r="CE472" s="1188">
        <f t="shared" si="162"/>
        <v>0</v>
      </c>
      <c r="CF472" s="1188">
        <f t="shared" si="163"/>
        <v>0</v>
      </c>
      <c r="CG472" s="1188">
        <f t="shared" si="164"/>
        <v>0</v>
      </c>
      <c r="CH472" s="1236"/>
      <c r="CI472" s="1236"/>
      <c r="CJ472" s="1236"/>
      <c r="CK472" s="1188"/>
      <c r="CL472" s="1188"/>
      <c r="CM472" s="1168"/>
      <c r="CN472" s="1168"/>
      <c r="CO472" s="1168"/>
      <c r="CP472" s="1168"/>
      <c r="CQ472" s="1168"/>
      <c r="CR472" s="1168"/>
      <c r="CS472" s="1168"/>
      <c r="CT472" s="1168"/>
      <c r="CU472" s="1168"/>
      <c r="CV472" s="1168"/>
      <c r="CW472" s="1168"/>
      <c r="CX472" s="1168"/>
      <c r="CY472" s="1168"/>
      <c r="CZ472" s="1168"/>
      <c r="DA472" s="1168"/>
      <c r="DB472" s="1168"/>
      <c r="DC472" s="1168"/>
      <c r="DD472" s="1168"/>
      <c r="DE472" s="1168"/>
      <c r="DF472" s="1168"/>
      <c r="DG472" s="1168"/>
    </row>
    <row r="473" s="1168" customFormat="1" customHeight="1" spans="1:111">
      <c r="A473" s="1245">
        <v>46127</v>
      </c>
      <c r="B473" s="1220" t="s">
        <v>2087</v>
      </c>
      <c r="C473" s="1221" t="s">
        <v>164</v>
      </c>
      <c r="D473" s="1222">
        <v>4500202230</v>
      </c>
      <c r="E473" s="1226">
        <v>22010000274052</v>
      </c>
      <c r="F473" s="1222" t="s">
        <v>2088</v>
      </c>
      <c r="G473" s="1223" t="s">
        <v>389</v>
      </c>
      <c r="H473" s="1234" t="s">
        <v>390</v>
      </c>
      <c r="I473" s="1252">
        <v>504</v>
      </c>
      <c r="J473" s="1221">
        <v>0</v>
      </c>
      <c r="K473" s="1221">
        <v>12</v>
      </c>
      <c r="L473" s="1246">
        <f t="shared" si="151"/>
        <v>42</v>
      </c>
      <c r="M473" s="1338">
        <v>46225</v>
      </c>
      <c r="N473" s="1338">
        <v>46225</v>
      </c>
      <c r="O473" s="1320" t="s">
        <v>1884</v>
      </c>
      <c r="P473" s="1233"/>
      <c r="Q473" s="1233" t="s">
        <v>106</v>
      </c>
      <c r="R473" s="1234" t="s">
        <v>1519</v>
      </c>
      <c r="S473" s="1234"/>
      <c r="T473" s="1233">
        <v>504</v>
      </c>
      <c r="U473" s="1233">
        <f t="shared" si="152"/>
        <v>0</v>
      </c>
      <c r="V473" s="1234"/>
      <c r="W473" s="1238" t="s">
        <v>2089</v>
      </c>
      <c r="X473" s="1227" t="s">
        <v>95</v>
      </c>
      <c r="Y473" s="1227" t="s">
        <v>2090</v>
      </c>
      <c r="Z473" s="1247"/>
      <c r="AA473" s="1247"/>
      <c r="AB473" s="1247"/>
      <c r="AC473" s="1220" t="s">
        <v>2091</v>
      </c>
      <c r="AD473" s="1225" t="s">
        <v>1985</v>
      </c>
      <c r="AE473" s="1188">
        <v>2.29</v>
      </c>
      <c r="AF473" s="1248">
        <f t="shared" si="167"/>
        <v>1154.16</v>
      </c>
      <c r="AG473" s="1258"/>
      <c r="AH473" s="1234" t="s">
        <v>389</v>
      </c>
      <c r="AI473" s="1234" t="s">
        <v>112</v>
      </c>
      <c r="AJ473" s="1234" t="s">
        <v>113</v>
      </c>
      <c r="AK473" s="1188">
        <f>I473*2</f>
        <v>1008</v>
      </c>
      <c r="AL473" s="1188"/>
      <c r="AM473" s="1188"/>
      <c r="AN473" s="1188"/>
      <c r="AO473" s="1188"/>
      <c r="AP473" s="1188"/>
      <c r="AQ473" s="1240"/>
      <c r="AR473" s="1188">
        <f>I473*2</f>
        <v>1008</v>
      </c>
      <c r="AS473" s="1236"/>
      <c r="AT473" s="1236"/>
      <c r="AU473" s="1188">
        <f>I473*2</f>
        <v>1008</v>
      </c>
      <c r="AV473" s="1250">
        <f t="shared" si="166"/>
        <v>60.48</v>
      </c>
      <c r="AW473" s="1250"/>
      <c r="AX473" s="1188"/>
      <c r="AY473" s="1188"/>
      <c r="AZ473" s="1188"/>
      <c r="BA473" s="1188"/>
      <c r="BB473" s="1188"/>
      <c r="BC473" s="1188"/>
      <c r="BD473" s="1188"/>
      <c r="BE473" s="1188"/>
      <c r="BF473" s="1188"/>
      <c r="BG473" s="1188"/>
      <c r="BH473" s="1188"/>
      <c r="BI473" s="1188"/>
      <c r="BJ473" s="1188"/>
      <c r="BK473" s="1188"/>
      <c r="BL473" s="1188"/>
      <c r="BM473" s="1188"/>
      <c r="BN473" s="1188"/>
      <c r="BO473" s="1240"/>
      <c r="BP473" s="1240"/>
      <c r="BQ473" s="1188"/>
      <c r="BR473" s="1236"/>
      <c r="BS473" s="1236"/>
      <c r="BT473" s="1188"/>
      <c r="BU473" s="1188"/>
      <c r="BV473" s="1240"/>
      <c r="BW473" s="1188"/>
      <c r="BX473" s="1188"/>
      <c r="BY473" s="1188"/>
      <c r="BZ473" s="1188"/>
      <c r="CA473" s="1188"/>
      <c r="CB473" s="1188"/>
      <c r="CC473" s="1188"/>
      <c r="CD473" s="1188">
        <f t="shared" si="161"/>
        <v>0</v>
      </c>
      <c r="CE473" s="1188">
        <f t="shared" si="162"/>
        <v>0</v>
      </c>
      <c r="CF473" s="1188">
        <f t="shared" si="163"/>
        <v>0</v>
      </c>
      <c r="CG473" s="1188">
        <f t="shared" si="164"/>
        <v>0</v>
      </c>
      <c r="CH473" s="1236"/>
      <c r="CI473" s="1236"/>
      <c r="CJ473" s="1236">
        <f>I473</f>
        <v>504</v>
      </c>
      <c r="CK473" s="1188">
        <f>I473</f>
        <v>504</v>
      </c>
      <c r="CL473" s="1188">
        <f>I473</f>
        <v>504</v>
      </c>
    </row>
    <row r="474" s="1168" customFormat="1" customHeight="1" spans="1:111">
      <c r="A474" s="1245">
        <v>46161</v>
      </c>
      <c r="B474" s="1269" t="s">
        <v>890</v>
      </c>
      <c r="C474" s="1287" t="s">
        <v>891</v>
      </c>
      <c r="D474" s="1270">
        <v>4500207960</v>
      </c>
      <c r="E474" s="1269">
        <v>5200009899</v>
      </c>
      <c r="F474" s="1270" t="s">
        <v>2092</v>
      </c>
      <c r="G474" s="1272" t="s">
        <v>193</v>
      </c>
      <c r="H474" s="1234" t="s">
        <v>194</v>
      </c>
      <c r="I474" s="1273">
        <v>390</v>
      </c>
      <c r="J474" s="1274">
        <v>0</v>
      </c>
      <c r="K474" s="1274">
        <v>13</v>
      </c>
      <c r="L474" s="1246">
        <f t="shared" si="151"/>
        <v>30</v>
      </c>
      <c r="M474" s="1320">
        <v>46225</v>
      </c>
      <c r="N474" s="1320">
        <v>46225</v>
      </c>
      <c r="O474" s="1322" t="s">
        <v>1503</v>
      </c>
      <c r="P474" s="1233"/>
      <c r="Q474" s="1233" t="s">
        <v>106</v>
      </c>
      <c r="R474" s="1234" t="s">
        <v>1773</v>
      </c>
      <c r="S474" s="1234"/>
      <c r="T474" s="1233">
        <v>390</v>
      </c>
      <c r="U474" s="1233">
        <f t="shared" si="152"/>
        <v>0</v>
      </c>
      <c r="V474" s="1234"/>
      <c r="W474" s="1256">
        <v>46181</v>
      </c>
      <c r="X474" s="1257" t="s">
        <v>95</v>
      </c>
      <c r="Y474" s="1257" t="s">
        <v>2093</v>
      </c>
      <c r="Z474" s="1247"/>
      <c r="AA474" s="1247"/>
      <c r="AB474" s="1247"/>
      <c r="AC474" s="1247" t="s">
        <v>2094</v>
      </c>
      <c r="AD474" s="1275" t="s">
        <v>895</v>
      </c>
      <c r="AE474" s="1276">
        <v>1.0864</v>
      </c>
      <c r="AF474" s="1248">
        <f t="shared" si="167"/>
        <v>423.696</v>
      </c>
      <c r="AG474" s="1258"/>
      <c r="AH474" s="1234" t="s">
        <v>199</v>
      </c>
      <c r="AI474" s="1234" t="s">
        <v>112</v>
      </c>
      <c r="AJ474" s="1234" t="s">
        <v>113</v>
      </c>
      <c r="AK474" s="1188">
        <f t="shared" ref="AK474:AK490" si="168">I474</f>
        <v>390</v>
      </c>
      <c r="AL474" s="1188"/>
      <c r="AM474" s="1188"/>
      <c r="AN474" s="1188"/>
      <c r="AO474" s="1188"/>
      <c r="AP474" s="1188">
        <f>I474</f>
        <v>390</v>
      </c>
      <c r="AQ474" s="1240"/>
      <c r="AR474" s="1188"/>
      <c r="AS474" s="1260"/>
      <c r="AT474" s="1260"/>
      <c r="AU474" s="1188">
        <f t="shared" ref="AU474:AU479" si="169">I474</f>
        <v>390</v>
      </c>
      <c r="AV474" s="1250">
        <f t="shared" si="166"/>
        <v>46.8</v>
      </c>
      <c r="AW474" s="1250"/>
      <c r="AX474" s="1188"/>
      <c r="AY474" s="1188"/>
      <c r="AZ474" s="1188"/>
      <c r="BA474" s="1188"/>
      <c r="BB474" s="1188"/>
      <c r="BC474" s="1188"/>
      <c r="BD474" s="1188"/>
      <c r="BE474" s="1188"/>
      <c r="BF474" s="1188"/>
      <c r="BG474" s="1188"/>
      <c r="BH474" s="1188"/>
      <c r="BI474" s="1188"/>
      <c r="BJ474" s="1188"/>
      <c r="BK474" s="1188"/>
      <c r="BL474" s="1188">
        <f>I474/13</f>
        <v>30</v>
      </c>
      <c r="BM474" s="1188"/>
      <c r="BN474" s="1188"/>
      <c r="BO474" s="1240"/>
      <c r="BP474" s="1240"/>
      <c r="BQ474" s="1188"/>
      <c r="BR474" s="1236"/>
      <c r="BS474" s="1188"/>
      <c r="BT474" s="1188"/>
      <c r="BU474" s="1188"/>
      <c r="BV474" s="1240"/>
      <c r="BW474" s="1188"/>
      <c r="BX474" s="1188"/>
      <c r="BY474" s="1188"/>
      <c r="BZ474" s="1188"/>
      <c r="CA474" s="1188"/>
      <c r="CB474" s="1188"/>
      <c r="CC474" s="1188"/>
      <c r="CD474" s="1188">
        <f t="shared" si="161"/>
        <v>0</v>
      </c>
      <c r="CE474" s="1188">
        <f t="shared" si="162"/>
        <v>0</v>
      </c>
      <c r="CF474" s="1188">
        <f t="shared" si="163"/>
        <v>0</v>
      </c>
      <c r="CG474" s="1188">
        <f t="shared" si="164"/>
        <v>0</v>
      </c>
      <c r="CH474" s="1236"/>
      <c r="CI474" s="1236"/>
      <c r="CJ474" s="1236"/>
      <c r="CK474" s="1188"/>
      <c r="CL474" s="1188"/>
      <c r="CM474" s="1375"/>
      <c r="CN474" s="1375"/>
      <c r="CO474" s="1375"/>
      <c r="CP474" s="1375"/>
      <c r="CQ474" s="1375"/>
      <c r="CR474" s="1375"/>
      <c r="CS474" s="1375"/>
      <c r="CT474" s="1375"/>
      <c r="CU474" s="1375"/>
      <c r="CV474" s="1375"/>
      <c r="CW474" s="1375"/>
      <c r="CX474" s="1375"/>
      <c r="CY474" s="1375"/>
      <c r="CZ474" s="1375"/>
      <c r="DA474" s="1375"/>
      <c r="DB474" s="1375"/>
      <c r="DC474" s="1375"/>
      <c r="DD474" s="1375"/>
      <c r="DE474" s="1375"/>
      <c r="DF474" s="1375"/>
      <c r="DG474" s="1375"/>
    </row>
    <row r="475" s="1168" customFormat="1" ht="29.45" customHeight="1" spans="1:111">
      <c r="A475" s="1219">
        <v>46161</v>
      </c>
      <c r="B475" s="1220" t="s">
        <v>890</v>
      </c>
      <c r="C475" s="1221" t="s">
        <v>891</v>
      </c>
      <c r="D475" s="1303">
        <v>4500207960</v>
      </c>
      <c r="E475" s="1226">
        <v>5200009899</v>
      </c>
      <c r="F475" s="1222" t="s">
        <v>2095</v>
      </c>
      <c r="G475" s="1223" t="s">
        <v>821</v>
      </c>
      <c r="H475" s="1221" t="s">
        <v>800</v>
      </c>
      <c r="I475" s="1252">
        <v>1200</v>
      </c>
      <c r="J475" s="1221">
        <v>0</v>
      </c>
      <c r="K475" s="1221">
        <v>30</v>
      </c>
      <c r="L475" s="1224">
        <f t="shared" si="151"/>
        <v>40</v>
      </c>
      <c r="M475" s="1338">
        <v>46225</v>
      </c>
      <c r="N475" s="1338">
        <v>46225</v>
      </c>
      <c r="O475" s="1337" t="s">
        <v>2096</v>
      </c>
      <c r="P475" s="1226"/>
      <c r="Q475" s="1233" t="s">
        <v>106</v>
      </c>
      <c r="R475" s="1234" t="s">
        <v>1773</v>
      </c>
      <c r="S475" s="1234"/>
      <c r="T475" s="1226">
        <v>1200</v>
      </c>
      <c r="U475" s="1233">
        <f t="shared" si="152"/>
        <v>0</v>
      </c>
      <c r="V475" s="1221"/>
      <c r="W475" s="1238">
        <v>46181</v>
      </c>
      <c r="X475" s="1227" t="s">
        <v>95</v>
      </c>
      <c r="Y475" s="1227" t="s">
        <v>2093</v>
      </c>
      <c r="Z475" s="1220"/>
      <c r="AA475" s="1220"/>
      <c r="AB475" s="1220"/>
      <c r="AC475" s="1220" t="s">
        <v>2094</v>
      </c>
      <c r="AD475" s="1225" t="s">
        <v>895</v>
      </c>
      <c r="AE475" s="1222">
        <v>42.021</v>
      </c>
      <c r="AF475" s="1229">
        <f t="shared" si="167"/>
        <v>50425.2</v>
      </c>
      <c r="AG475" s="1230"/>
      <c r="AH475" s="1253" t="s">
        <v>799</v>
      </c>
      <c r="AI475" s="1221" t="s">
        <v>112</v>
      </c>
      <c r="AJ475" s="1234"/>
      <c r="AK475" s="1188">
        <f t="shared" si="168"/>
        <v>1200</v>
      </c>
      <c r="AL475" s="1222"/>
      <c r="AM475" s="1222"/>
      <c r="AN475" s="1222"/>
      <c r="AO475" s="1222"/>
      <c r="AP475" s="1222">
        <f>I475</f>
        <v>1200</v>
      </c>
      <c r="AQ475" s="1242"/>
      <c r="AR475" s="1222"/>
      <c r="AS475" s="1232"/>
      <c r="AT475" s="1232"/>
      <c r="AU475" s="1222">
        <f t="shared" si="169"/>
        <v>1200</v>
      </c>
      <c r="AV475" s="1241">
        <f t="shared" si="166"/>
        <v>144</v>
      </c>
      <c r="AW475" s="1241"/>
      <c r="AX475" s="1222"/>
      <c r="AY475" s="1222"/>
      <c r="AZ475" s="1222"/>
      <c r="BA475" s="1222"/>
      <c r="BB475" s="1222"/>
      <c r="BC475" s="1222"/>
      <c r="BD475" s="1222"/>
      <c r="BE475" s="1222"/>
      <c r="BF475" s="1222"/>
      <c r="BG475" s="1222"/>
      <c r="BH475" s="1222"/>
      <c r="BI475" s="1222"/>
      <c r="BJ475" s="1222"/>
      <c r="BK475" s="1222"/>
      <c r="BL475" s="1222"/>
      <c r="BM475" s="1222"/>
      <c r="BN475" s="1222"/>
      <c r="BO475" s="1242"/>
      <c r="BP475" s="1242"/>
      <c r="BQ475" s="1222"/>
      <c r="BR475" s="1232"/>
      <c r="BS475" s="1232"/>
      <c r="BT475" s="1222"/>
      <c r="BU475" s="1222"/>
      <c r="BV475" s="1242"/>
      <c r="BW475" s="1222"/>
      <c r="BX475" s="1222"/>
      <c r="BY475" s="1222"/>
      <c r="BZ475" s="1222"/>
      <c r="CA475" s="1222"/>
      <c r="CB475" s="1222"/>
      <c r="CC475" s="1222">
        <f>I475/30</f>
        <v>40</v>
      </c>
      <c r="CD475" s="1188">
        <f t="shared" si="161"/>
        <v>0</v>
      </c>
      <c r="CE475" s="1188">
        <f t="shared" si="162"/>
        <v>0</v>
      </c>
      <c r="CF475" s="1188">
        <f t="shared" si="163"/>
        <v>40</v>
      </c>
      <c r="CG475" s="1188">
        <f t="shared" si="164"/>
        <v>0</v>
      </c>
      <c r="CH475" s="1232"/>
      <c r="CI475" s="1232"/>
      <c r="CJ475" s="1232"/>
      <c r="CK475" s="1222"/>
      <c r="CL475" s="1222"/>
      <c r="CM475" s="1169"/>
      <c r="CN475" s="1169"/>
      <c r="CO475" s="1169"/>
      <c r="CP475" s="1169"/>
      <c r="CQ475" s="1169"/>
      <c r="CR475" s="1169"/>
      <c r="CS475" s="1169"/>
      <c r="CT475" s="1169"/>
      <c r="CU475" s="1169"/>
      <c r="CV475" s="1169"/>
      <c r="CW475" s="1169"/>
      <c r="CX475" s="1169"/>
      <c r="CY475" s="1169"/>
      <c r="CZ475" s="1169"/>
      <c r="DA475" s="1169"/>
      <c r="DB475" s="1169"/>
      <c r="DC475" s="1169"/>
      <c r="DD475" s="1169"/>
      <c r="DE475" s="1169"/>
      <c r="DF475" s="1169"/>
      <c r="DG475" s="1169"/>
    </row>
    <row r="476" s="1168" customFormat="1" customHeight="1" spans="1:111">
      <c r="A476" s="1245">
        <v>46197</v>
      </c>
      <c r="B476" s="1220" t="s">
        <v>2097</v>
      </c>
      <c r="C476" s="1221" t="s">
        <v>115</v>
      </c>
      <c r="D476" s="1303">
        <v>4500213471</v>
      </c>
      <c r="E476" s="1226">
        <v>4365829456</v>
      </c>
      <c r="F476" s="1222" t="s">
        <v>2098</v>
      </c>
      <c r="G476" s="1223" t="s">
        <v>146</v>
      </c>
      <c r="H476" s="1221" t="s">
        <v>104</v>
      </c>
      <c r="I476" s="1252">
        <v>7900</v>
      </c>
      <c r="J476" s="1221">
        <v>0</v>
      </c>
      <c r="K476" s="1221">
        <v>25</v>
      </c>
      <c r="L476" s="1246">
        <f t="shared" si="151"/>
        <v>316</v>
      </c>
      <c r="M476" s="1225">
        <v>46225</v>
      </c>
      <c r="N476" s="1255">
        <v>46225</v>
      </c>
      <c r="O476" s="1320" t="s">
        <v>1594</v>
      </c>
      <c r="P476" s="1233" t="s">
        <v>2099</v>
      </c>
      <c r="Q476" s="1233" t="s">
        <v>106</v>
      </c>
      <c r="R476" s="1234" t="s">
        <v>1536</v>
      </c>
      <c r="S476" s="1234"/>
      <c r="T476" s="1233">
        <v>7900</v>
      </c>
      <c r="U476" s="1233">
        <f t="shared" si="152"/>
        <v>0</v>
      </c>
      <c r="V476" s="1234"/>
      <c r="W476" s="1238">
        <v>46181</v>
      </c>
      <c r="X476" s="1257" t="s">
        <v>95</v>
      </c>
      <c r="Y476" s="1257" t="s">
        <v>2100</v>
      </c>
      <c r="Z476" s="1247"/>
      <c r="AA476" s="1247"/>
      <c r="AB476" s="1247"/>
      <c r="AC476" s="1220" t="s">
        <v>2101</v>
      </c>
      <c r="AD476" s="1338" t="s">
        <v>2102</v>
      </c>
      <c r="AE476" s="1251">
        <v>0.6511</v>
      </c>
      <c r="AF476" s="1335">
        <f t="shared" si="167"/>
        <v>5143.69</v>
      </c>
      <c r="AG476" s="1249" t="s">
        <v>2103</v>
      </c>
      <c r="AH476" s="1234" t="s">
        <v>146</v>
      </c>
      <c r="AI476" s="1234" t="s">
        <v>112</v>
      </c>
      <c r="AJ476" s="1234" t="s">
        <v>113</v>
      </c>
      <c r="AK476" s="1188">
        <f t="shared" si="168"/>
        <v>7900</v>
      </c>
      <c r="AL476" s="1188"/>
      <c r="AM476" s="1188"/>
      <c r="AN476" s="1188">
        <f>I476</f>
        <v>7900</v>
      </c>
      <c r="AO476" s="1188"/>
      <c r="AP476" s="1188"/>
      <c r="AQ476" s="1240"/>
      <c r="AR476" s="1188"/>
      <c r="AS476" s="1236"/>
      <c r="AT476" s="1236"/>
      <c r="AU476" s="1188">
        <f t="shared" si="169"/>
        <v>7900</v>
      </c>
      <c r="AV476" s="1250"/>
      <c r="AW476" s="1250"/>
      <c r="AX476" s="1188"/>
      <c r="AY476" s="1188"/>
      <c r="AZ476" s="1188"/>
      <c r="BA476" s="1188"/>
      <c r="BB476" s="1188"/>
      <c r="BC476" s="1188"/>
      <c r="BD476" s="1188"/>
      <c r="BE476" s="1188"/>
      <c r="BF476" s="1188"/>
      <c r="BG476" s="1188"/>
      <c r="BH476" s="1188"/>
      <c r="BI476" s="1188"/>
      <c r="BJ476" s="1188"/>
      <c r="BK476" s="1188"/>
      <c r="BL476" s="1188"/>
      <c r="BM476" s="1188"/>
      <c r="BN476" s="1188">
        <f>I476/25</f>
        <v>316</v>
      </c>
      <c r="BO476" s="1240"/>
      <c r="BP476" s="1240"/>
      <c r="BQ476" s="1188"/>
      <c r="BR476" s="1236"/>
      <c r="BS476" s="1236"/>
      <c r="BT476" s="1188"/>
      <c r="BU476" s="1188"/>
      <c r="BV476" s="1240"/>
      <c r="BW476" s="1188"/>
      <c r="BX476" s="1188"/>
      <c r="BY476" s="1188"/>
      <c r="BZ476" s="1188"/>
      <c r="CA476" s="1188"/>
      <c r="CB476" s="1188"/>
      <c r="CC476" s="1188"/>
      <c r="CD476" s="1188">
        <f t="shared" si="161"/>
        <v>316</v>
      </c>
      <c r="CE476" s="1188">
        <f t="shared" si="162"/>
        <v>0</v>
      </c>
      <c r="CF476" s="1188">
        <f t="shared" si="163"/>
        <v>0</v>
      </c>
      <c r="CG476" s="1188">
        <f t="shared" si="164"/>
        <v>0</v>
      </c>
      <c r="CH476" s="1236"/>
      <c r="CI476" s="1236"/>
      <c r="CJ476" s="1236"/>
      <c r="CK476" s="1188"/>
      <c r="CL476" s="1188"/>
    </row>
    <row r="477" s="1168" customFormat="1" customHeight="1" spans="1:111">
      <c r="A477" s="1219">
        <v>46197</v>
      </c>
      <c r="B477" s="1220" t="s">
        <v>2097</v>
      </c>
      <c r="C477" s="1221" t="s">
        <v>115</v>
      </c>
      <c r="D477" s="1303">
        <v>4500213478</v>
      </c>
      <c r="E477" s="1226">
        <v>4365916939</v>
      </c>
      <c r="F477" s="1222" t="s">
        <v>2104</v>
      </c>
      <c r="G477" s="1223" t="s">
        <v>146</v>
      </c>
      <c r="H477" s="1221" t="s">
        <v>104</v>
      </c>
      <c r="I477" s="1252">
        <v>9650</v>
      </c>
      <c r="J477" s="1221">
        <v>0</v>
      </c>
      <c r="K477" s="1221">
        <v>25</v>
      </c>
      <c r="L477" s="1224">
        <f t="shared" si="151"/>
        <v>386</v>
      </c>
      <c r="M477" s="1225">
        <v>46225</v>
      </c>
      <c r="N477" s="1225">
        <v>46225</v>
      </c>
      <c r="O477" s="1338" t="s">
        <v>1594</v>
      </c>
      <c r="P477" s="1226" t="s">
        <v>2105</v>
      </c>
      <c r="Q477" s="1226" t="s">
        <v>106</v>
      </c>
      <c r="R477" s="1234" t="s">
        <v>1536</v>
      </c>
      <c r="S477" s="1221"/>
      <c r="T477" s="1226">
        <v>9650</v>
      </c>
      <c r="U477" s="1233">
        <f t="shared" si="152"/>
        <v>0</v>
      </c>
      <c r="V477" s="1221"/>
      <c r="W477" s="1238">
        <v>46181</v>
      </c>
      <c r="X477" s="1227" t="s">
        <v>95</v>
      </c>
      <c r="Y477" s="1227" t="s">
        <v>2100</v>
      </c>
      <c r="Z477" s="1220"/>
      <c r="AA477" s="1220"/>
      <c r="AB477" s="1220"/>
      <c r="AC477" s="1220" t="s">
        <v>2106</v>
      </c>
      <c r="AD477" s="1338" t="s">
        <v>2102</v>
      </c>
      <c r="AE477" s="1243">
        <v>0.6703</v>
      </c>
      <c r="AF477" s="1376">
        <f t="shared" si="167"/>
        <v>6468.395</v>
      </c>
      <c r="AG477" s="1239" t="s">
        <v>2107</v>
      </c>
      <c r="AH477" s="1234" t="s">
        <v>146</v>
      </c>
      <c r="AI477" s="1234" t="s">
        <v>112</v>
      </c>
      <c r="AJ477" s="1234" t="s">
        <v>113</v>
      </c>
      <c r="AK477" s="1188">
        <f t="shared" si="168"/>
        <v>9650</v>
      </c>
      <c r="AL477" s="1222"/>
      <c r="AM477" s="1222"/>
      <c r="AN477" s="1188">
        <f>I477</f>
        <v>9650</v>
      </c>
      <c r="AO477" s="1188"/>
      <c r="AP477" s="1188"/>
      <c r="AQ477" s="1240"/>
      <c r="AR477" s="1188"/>
      <c r="AS477" s="1236"/>
      <c r="AT477" s="1236"/>
      <c r="AU477" s="1188">
        <f t="shared" si="169"/>
        <v>9650</v>
      </c>
      <c r="AV477" s="1241"/>
      <c r="AW477" s="1241"/>
      <c r="AX477" s="1222"/>
      <c r="AY477" s="1222"/>
      <c r="AZ477" s="1188"/>
      <c r="BA477" s="1188"/>
      <c r="BB477" s="1222"/>
      <c r="BC477" s="1222"/>
      <c r="BD477" s="1222"/>
      <c r="BE477" s="1222"/>
      <c r="BF477" s="1222"/>
      <c r="BG477" s="1222"/>
      <c r="BH477" s="1222"/>
      <c r="BI477" s="1222"/>
      <c r="BJ477" s="1222"/>
      <c r="BK477" s="1222"/>
      <c r="BL477" s="1222"/>
      <c r="BM477" s="1222"/>
      <c r="BN477" s="1222">
        <f>I477/25</f>
        <v>386</v>
      </c>
      <c r="BO477" s="1242"/>
      <c r="BP477" s="1242"/>
      <c r="BQ477" s="1222"/>
      <c r="BR477" s="1232"/>
      <c r="BS477" s="1232"/>
      <c r="BT477" s="1222"/>
      <c r="BU477" s="1222"/>
      <c r="BV477" s="1242"/>
      <c r="BW477" s="1222"/>
      <c r="BX477" s="1222"/>
      <c r="BY477" s="1222"/>
      <c r="BZ477" s="1222"/>
      <c r="CA477" s="1222"/>
      <c r="CB477" s="1222"/>
      <c r="CC477" s="1222"/>
      <c r="CD477" s="1188">
        <f t="shared" si="161"/>
        <v>386</v>
      </c>
      <c r="CE477" s="1188">
        <f t="shared" si="162"/>
        <v>0</v>
      </c>
      <c r="CF477" s="1188">
        <f t="shared" si="163"/>
        <v>0</v>
      </c>
      <c r="CG477" s="1188">
        <f t="shared" si="164"/>
        <v>0</v>
      </c>
      <c r="CH477" s="1232"/>
      <c r="CI477" s="1232"/>
      <c r="CJ477" s="1232"/>
      <c r="CK477" s="1222"/>
      <c r="CL477" s="1222"/>
    </row>
    <row r="478" s="1168" customFormat="1" customHeight="1" spans="1:111">
      <c r="A478" s="1245">
        <v>46161</v>
      </c>
      <c r="B478" s="1269" t="s">
        <v>2108</v>
      </c>
      <c r="C478" s="1287" t="s">
        <v>291</v>
      </c>
      <c r="D478" s="1270">
        <v>4500207643</v>
      </c>
      <c r="E478" s="1269" t="str">
        <f>_xlfn.DISPIMG("ID_5C636C62678E46B8A9808CB07A823E5A",1)</f>
        <v>=DISPIMG("ID_5C636C62678E46B8A9808CB07A823E5A",1)</v>
      </c>
      <c r="F478" s="1270" t="s">
        <v>2109</v>
      </c>
      <c r="G478" s="1272" t="s">
        <v>188</v>
      </c>
      <c r="H478" s="1247" t="s">
        <v>138</v>
      </c>
      <c r="I478" s="1273">
        <v>1250</v>
      </c>
      <c r="J478" s="1274">
        <v>0</v>
      </c>
      <c r="K478" s="1274">
        <v>50</v>
      </c>
      <c r="L478" s="1246">
        <f t="shared" si="151"/>
        <v>25</v>
      </c>
      <c r="M478" s="1320">
        <v>46226</v>
      </c>
      <c r="N478" s="1320">
        <v>46223</v>
      </c>
      <c r="O478" s="1337" t="s">
        <v>2110</v>
      </c>
      <c r="P478" s="1233" t="s">
        <v>1924</v>
      </c>
      <c r="Q478" s="1357" t="s">
        <v>106</v>
      </c>
      <c r="R478" s="1234" t="s">
        <v>2085</v>
      </c>
      <c r="S478" s="1234"/>
      <c r="T478" s="1233">
        <v>1250</v>
      </c>
      <c r="U478" s="1233">
        <f t="shared" si="152"/>
        <v>0</v>
      </c>
      <c r="V478" s="1234"/>
      <c r="W478" s="1256" t="s">
        <v>1824</v>
      </c>
      <c r="X478" s="1257" t="s">
        <v>95</v>
      </c>
      <c r="Y478" s="1257" t="s">
        <v>2111</v>
      </c>
      <c r="Z478" s="1247"/>
      <c r="AA478" s="1247"/>
      <c r="AB478" s="1247"/>
      <c r="AC478" s="1247" t="s">
        <v>2112</v>
      </c>
      <c r="AD478" s="1275" t="s">
        <v>450</v>
      </c>
      <c r="AE478" s="1276">
        <v>1.1174</v>
      </c>
      <c r="AF478" s="1248">
        <f>AE478*I478</f>
        <v>1396.75</v>
      </c>
      <c r="AG478" s="1258"/>
      <c r="AH478" s="1234" t="s">
        <v>314</v>
      </c>
      <c r="AI478" s="1234" t="s">
        <v>112</v>
      </c>
      <c r="AJ478" s="1234" t="s">
        <v>113</v>
      </c>
      <c r="AK478" s="1188">
        <f t="shared" si="168"/>
        <v>1250</v>
      </c>
      <c r="AL478" s="1188"/>
      <c r="AM478" s="1188"/>
      <c r="AN478" s="1188"/>
      <c r="AO478" s="1188"/>
      <c r="AP478" s="1188">
        <f>I478</f>
        <v>1250</v>
      </c>
      <c r="AQ478" s="1240"/>
      <c r="AR478" s="1188"/>
      <c r="AS478" s="1236"/>
      <c r="AT478" s="1236"/>
      <c r="AU478" s="1188">
        <f t="shared" si="169"/>
        <v>1250</v>
      </c>
      <c r="AV478" s="1250">
        <f>I478*0.06*2</f>
        <v>150</v>
      </c>
      <c r="AW478" s="1250"/>
      <c r="AX478" s="1188"/>
      <c r="AY478" s="1188"/>
      <c r="AZ478" s="1188"/>
      <c r="BA478" s="1188"/>
      <c r="BB478" s="1188"/>
      <c r="BC478" s="1188"/>
      <c r="BD478" s="1188"/>
      <c r="BE478" s="1188"/>
      <c r="BF478" s="1188"/>
      <c r="BG478" s="1188"/>
      <c r="BH478" s="1188"/>
      <c r="BI478" s="1188"/>
      <c r="BJ478" s="1188"/>
      <c r="BK478" s="1188"/>
      <c r="BL478" s="1188"/>
      <c r="BM478" s="1188"/>
      <c r="BN478" s="1188"/>
      <c r="BO478" s="1240">
        <f>I478/25</f>
        <v>50</v>
      </c>
      <c r="BP478" s="1240"/>
      <c r="BQ478" s="1188"/>
      <c r="BR478" s="1236"/>
      <c r="BS478" s="1236"/>
      <c r="BT478" s="1188"/>
      <c r="BU478" s="1188"/>
      <c r="BV478" s="1240"/>
      <c r="BW478" s="1188"/>
      <c r="BX478" s="1188"/>
      <c r="BY478" s="1188"/>
      <c r="BZ478" s="1188"/>
      <c r="CA478" s="1188"/>
      <c r="CB478" s="1188"/>
      <c r="CC478" s="1188"/>
      <c r="CD478" s="1188">
        <f t="shared" si="161"/>
        <v>50</v>
      </c>
      <c r="CE478" s="1188">
        <f t="shared" si="162"/>
        <v>0</v>
      </c>
      <c r="CF478" s="1188">
        <f t="shared" si="163"/>
        <v>0</v>
      </c>
      <c r="CG478" s="1188">
        <f t="shared" si="164"/>
        <v>0</v>
      </c>
      <c r="CH478" s="1236"/>
      <c r="CI478" s="1236"/>
      <c r="CJ478" s="1236"/>
      <c r="CK478" s="1188"/>
      <c r="CL478" s="1188"/>
    </row>
    <row r="479" s="1168" customFormat="1" customHeight="1" spans="1:111">
      <c r="A479" s="1245">
        <v>46203</v>
      </c>
      <c r="B479" s="1220" t="s">
        <v>346</v>
      </c>
      <c r="C479" s="1221" t="s">
        <v>115</v>
      </c>
      <c r="D479" s="1303">
        <v>4500214407</v>
      </c>
      <c r="E479" s="1892" t="s">
        <v>2113</v>
      </c>
      <c r="F479" s="1222" t="s">
        <v>2114</v>
      </c>
      <c r="G479" s="1223" t="s">
        <v>380</v>
      </c>
      <c r="H479" s="1221" t="s">
        <v>381</v>
      </c>
      <c r="I479" s="1252">
        <v>26768</v>
      </c>
      <c r="J479" s="1221">
        <v>0</v>
      </c>
      <c r="K479" s="1221">
        <v>16</v>
      </c>
      <c r="L479" s="1246">
        <f t="shared" si="151"/>
        <v>1673</v>
      </c>
      <c r="M479" s="1225">
        <v>46226</v>
      </c>
      <c r="N479" s="1338">
        <v>46230</v>
      </c>
      <c r="O479" s="1337" t="s">
        <v>2110</v>
      </c>
      <c r="P479" s="1302" t="s">
        <v>2115</v>
      </c>
      <c r="Q479" s="1233" t="s">
        <v>1612</v>
      </c>
      <c r="R479" s="1234" t="s">
        <v>1773</v>
      </c>
      <c r="S479" s="1234"/>
      <c r="T479" s="1233">
        <f>26752+16</f>
        <v>26768</v>
      </c>
      <c r="U479" s="1233">
        <f t="shared" si="152"/>
        <v>0</v>
      </c>
      <c r="V479" s="1234"/>
      <c r="W479" s="1256" t="s">
        <v>1572</v>
      </c>
      <c r="X479" s="1257" t="s">
        <v>95</v>
      </c>
      <c r="Y479" s="1257" t="s">
        <v>2041</v>
      </c>
      <c r="Z479" s="1247"/>
      <c r="AA479" s="1247"/>
      <c r="AB479" s="1247"/>
      <c r="AC479" s="1220" t="s">
        <v>1814</v>
      </c>
      <c r="AD479" s="1225" t="s">
        <v>354</v>
      </c>
      <c r="AE479" s="1188">
        <v>0.6798</v>
      </c>
      <c r="AF479" s="1248">
        <f>AE479*I479</f>
        <v>18196.8864</v>
      </c>
      <c r="AG479" s="1249" t="s">
        <v>2116</v>
      </c>
      <c r="AH479" s="1234" t="s">
        <v>380</v>
      </c>
      <c r="AI479" s="1234" t="s">
        <v>112</v>
      </c>
      <c r="AJ479" s="1234" t="s">
        <v>113</v>
      </c>
      <c r="AK479" s="1188">
        <f t="shared" si="168"/>
        <v>26768</v>
      </c>
      <c r="AL479" s="1188"/>
      <c r="AM479" s="1188"/>
      <c r="AN479" s="1188">
        <f>I479</f>
        <v>26768</v>
      </c>
      <c r="AO479" s="1188"/>
      <c r="AP479" s="1188"/>
      <c r="AQ479" s="1240"/>
      <c r="AR479" s="1188"/>
      <c r="AS479" s="1236"/>
      <c r="AT479" s="1236"/>
      <c r="AU479" s="1188">
        <f t="shared" si="169"/>
        <v>26768</v>
      </c>
      <c r="AV479" s="1250"/>
      <c r="AW479" s="1250"/>
      <c r="AX479" s="1188"/>
      <c r="AY479" s="1188"/>
      <c r="AZ479" s="1188"/>
      <c r="BA479" s="1188"/>
      <c r="BB479" s="1188"/>
      <c r="BC479" s="1188"/>
      <c r="BD479" s="1188"/>
      <c r="BE479" s="1188"/>
      <c r="BF479" s="1188"/>
      <c r="BG479" s="1188"/>
      <c r="BH479" s="1188"/>
      <c r="BI479" s="1188"/>
      <c r="BJ479" s="1188"/>
      <c r="BK479" s="1188"/>
      <c r="BL479" s="1188"/>
      <c r="BM479" s="1188"/>
      <c r="BN479" s="1188"/>
      <c r="BO479" s="1240"/>
      <c r="BP479" s="1240"/>
      <c r="BQ479" s="1188"/>
      <c r="BR479" s="1236">
        <f>I479/16</f>
        <v>1673</v>
      </c>
      <c r="BS479" s="1236"/>
      <c r="BT479" s="1188"/>
      <c r="BU479" s="1188"/>
      <c r="BV479" s="1240"/>
      <c r="BW479" s="1188"/>
      <c r="BX479" s="1188"/>
      <c r="BY479" s="1188"/>
      <c r="BZ479" s="1188"/>
      <c r="CA479" s="1188"/>
      <c r="CB479" s="1188"/>
      <c r="CC479" s="1188"/>
      <c r="CD479" s="1188">
        <f t="shared" si="161"/>
        <v>1673</v>
      </c>
      <c r="CE479" s="1188">
        <f t="shared" si="162"/>
        <v>0</v>
      </c>
      <c r="CF479" s="1188">
        <f t="shared" si="163"/>
        <v>0</v>
      </c>
      <c r="CG479" s="1188">
        <f t="shared" si="164"/>
        <v>0</v>
      </c>
      <c r="CH479" s="1236"/>
      <c r="CI479" s="1236"/>
      <c r="CJ479" s="1236"/>
      <c r="CK479" s="1188"/>
      <c r="CL479" s="1188"/>
    </row>
    <row r="480" s="1168" customFormat="1" customHeight="1" spans="1:111">
      <c r="A480" s="1245">
        <v>46131</v>
      </c>
      <c r="B480" s="1247" t="s">
        <v>525</v>
      </c>
      <c r="C480" s="1234" t="s">
        <v>508</v>
      </c>
      <c r="D480" s="1268">
        <v>4500202800</v>
      </c>
      <c r="E480" s="1302">
        <v>21946795</v>
      </c>
      <c r="F480" s="1188" t="s">
        <v>2117</v>
      </c>
      <c r="G480" s="1253" t="s">
        <v>510</v>
      </c>
      <c r="H480" s="1234" t="s">
        <v>194</v>
      </c>
      <c r="I480" s="1254">
        <v>6097</v>
      </c>
      <c r="J480" s="1234">
        <v>0</v>
      </c>
      <c r="K480" s="1234">
        <v>13</v>
      </c>
      <c r="L480" s="1246">
        <f t="shared" si="151"/>
        <v>469</v>
      </c>
      <c r="M480" s="1255">
        <v>46227</v>
      </c>
      <c r="N480" s="1320">
        <v>46223</v>
      </c>
      <c r="O480" s="1338" t="s">
        <v>1678</v>
      </c>
      <c r="P480" s="1233"/>
      <c r="Q480" s="1233" t="s">
        <v>106</v>
      </c>
      <c r="R480" s="1234" t="s">
        <v>2118</v>
      </c>
      <c r="S480" s="1234"/>
      <c r="T480" s="1233">
        <v>6097</v>
      </c>
      <c r="U480" s="1233">
        <f t="shared" si="152"/>
        <v>0</v>
      </c>
      <c r="V480" s="1234"/>
      <c r="W480" s="1256">
        <v>46183</v>
      </c>
      <c r="X480" s="1257" t="s">
        <v>107</v>
      </c>
      <c r="Y480" s="1257" t="s">
        <v>2119</v>
      </c>
      <c r="Z480" s="1247" t="s">
        <v>360</v>
      </c>
      <c r="AA480" s="1247"/>
      <c r="AB480" s="1247"/>
      <c r="AC480" s="1247" t="s">
        <v>2120</v>
      </c>
      <c r="AD480" s="1255" t="s">
        <v>362</v>
      </c>
      <c r="AE480" s="1188">
        <v>1.2</v>
      </c>
      <c r="AF480" s="1248">
        <f>AE480*I480</f>
        <v>7316.4</v>
      </c>
      <c r="AG480" s="1258"/>
      <c r="AH480" s="1253" t="s">
        <v>510</v>
      </c>
      <c r="AI480" s="1234" t="s">
        <v>112</v>
      </c>
      <c r="AJ480" s="1234" t="s">
        <v>113</v>
      </c>
      <c r="AK480" s="1188">
        <f t="shared" si="168"/>
        <v>6097</v>
      </c>
      <c r="AL480" s="1188"/>
      <c r="AM480" s="1188"/>
      <c r="AN480" s="1188">
        <f>I480</f>
        <v>6097</v>
      </c>
      <c r="AO480" s="1188"/>
      <c r="AP480" s="1188"/>
      <c r="AQ480" s="1240"/>
      <c r="AR480" s="1188"/>
      <c r="AS480" s="1236"/>
      <c r="AT480" s="1236"/>
      <c r="AU480" s="1188"/>
      <c r="AV480" s="1250">
        <f>I480*0.06</f>
        <v>365.82</v>
      </c>
      <c r="AW480" s="1250"/>
      <c r="AX480" s="1188">
        <f>I480</f>
        <v>6097</v>
      </c>
      <c r="AY480" s="1188"/>
      <c r="AZ480" s="1188"/>
      <c r="BA480" s="1188"/>
      <c r="BB480" s="1188"/>
      <c r="BC480" s="1188"/>
      <c r="BD480" s="1188"/>
      <c r="BE480" s="1188"/>
      <c r="BF480" s="1188"/>
      <c r="BG480" s="1188"/>
      <c r="BH480" s="1188"/>
      <c r="BI480" s="1188"/>
      <c r="BJ480" s="1188"/>
      <c r="BK480" s="1188"/>
      <c r="BL480" s="1188"/>
      <c r="BM480" s="1188"/>
      <c r="BN480" s="1188"/>
      <c r="BO480" s="1240"/>
      <c r="BP480" s="1240"/>
      <c r="BQ480" s="1188">
        <f>I480/13</f>
        <v>469</v>
      </c>
      <c r="BR480" s="1236"/>
      <c r="BS480" s="1188"/>
      <c r="BT480" s="1188"/>
      <c r="BU480" s="1188"/>
      <c r="BV480" s="1240"/>
      <c r="BW480" s="1188"/>
      <c r="BX480" s="1188"/>
      <c r="BY480" s="1188"/>
      <c r="BZ480" s="1188"/>
      <c r="CA480" s="1188"/>
      <c r="CB480" s="1188"/>
      <c r="CC480" s="1188"/>
      <c r="CD480" s="1188">
        <f t="shared" si="161"/>
        <v>469</v>
      </c>
      <c r="CE480" s="1188">
        <f t="shared" si="162"/>
        <v>0</v>
      </c>
      <c r="CF480" s="1188">
        <f t="shared" si="163"/>
        <v>0</v>
      </c>
      <c r="CG480" s="1188">
        <f t="shared" si="164"/>
        <v>0</v>
      </c>
      <c r="CH480" s="1236"/>
      <c r="CI480" s="1236"/>
      <c r="CJ480" s="1236"/>
      <c r="CK480" s="1188"/>
      <c r="CL480" s="1188"/>
    </row>
    <row r="481" s="1168" customFormat="1" customHeight="1" spans="1:111">
      <c r="A481" s="1245">
        <v>46131</v>
      </c>
      <c r="B481" s="1247" t="s">
        <v>521</v>
      </c>
      <c r="C481" s="1234" t="s">
        <v>101</v>
      </c>
      <c r="D481" s="1268">
        <v>4500202801</v>
      </c>
      <c r="E481" s="1302">
        <v>21946796</v>
      </c>
      <c r="F481" s="1188" t="s">
        <v>2121</v>
      </c>
      <c r="G481" s="1253" t="s">
        <v>510</v>
      </c>
      <c r="H481" s="1234" t="s">
        <v>194</v>
      </c>
      <c r="I481" s="1254">
        <v>403</v>
      </c>
      <c r="J481" s="1234">
        <v>0</v>
      </c>
      <c r="K481" s="1234">
        <v>13</v>
      </c>
      <c r="L481" s="1246">
        <f t="shared" si="151"/>
        <v>31</v>
      </c>
      <c r="M481" s="1255">
        <v>46227</v>
      </c>
      <c r="N481" s="1320">
        <v>46223</v>
      </c>
      <c r="O481" s="1338" t="s">
        <v>1678</v>
      </c>
      <c r="P481" s="1233"/>
      <c r="Q481" s="1233" t="s">
        <v>106</v>
      </c>
      <c r="R481" s="1234" t="s">
        <v>2118</v>
      </c>
      <c r="S481" s="1234"/>
      <c r="T481" s="1233">
        <v>403</v>
      </c>
      <c r="U481" s="1233">
        <f t="shared" si="152"/>
        <v>0</v>
      </c>
      <c r="V481" s="1234"/>
      <c r="W481" s="1238">
        <v>46183</v>
      </c>
      <c r="X481" s="1227" t="s">
        <v>107</v>
      </c>
      <c r="Y481" s="1227" t="s">
        <v>2119</v>
      </c>
      <c r="Z481" s="1247" t="s">
        <v>360</v>
      </c>
      <c r="AA481" s="1247"/>
      <c r="AB481" s="1247"/>
      <c r="AC481" s="1247" t="s">
        <v>2122</v>
      </c>
      <c r="AD481" s="1255" t="s">
        <v>362</v>
      </c>
      <c r="AE481" s="1188">
        <v>1.2</v>
      </c>
      <c r="AF481" s="1248">
        <f>AE481*I481</f>
        <v>483.6</v>
      </c>
      <c r="AG481" s="1258"/>
      <c r="AH481" s="1253" t="s">
        <v>510</v>
      </c>
      <c r="AI481" s="1234" t="s">
        <v>112</v>
      </c>
      <c r="AJ481" s="1234" t="s">
        <v>113</v>
      </c>
      <c r="AK481" s="1188">
        <f t="shared" si="168"/>
        <v>403</v>
      </c>
      <c r="AL481" s="1188"/>
      <c r="AM481" s="1188"/>
      <c r="AN481" s="1188">
        <f>I481</f>
        <v>403</v>
      </c>
      <c r="AO481" s="1188"/>
      <c r="AP481" s="1188"/>
      <c r="AQ481" s="1240"/>
      <c r="AR481" s="1188"/>
      <c r="AS481" s="1236"/>
      <c r="AT481" s="1236"/>
      <c r="AU481" s="1188"/>
      <c r="AV481" s="1250">
        <f>I481*0.06</f>
        <v>24.18</v>
      </c>
      <c r="AW481" s="1250"/>
      <c r="AX481" s="1188">
        <f>I481</f>
        <v>403</v>
      </c>
      <c r="AY481" s="1188"/>
      <c r="AZ481" s="1188"/>
      <c r="BA481" s="1188"/>
      <c r="BB481" s="1188"/>
      <c r="BC481" s="1188"/>
      <c r="BD481" s="1188"/>
      <c r="BE481" s="1188"/>
      <c r="BF481" s="1188"/>
      <c r="BG481" s="1188"/>
      <c r="BH481" s="1188"/>
      <c r="BI481" s="1188"/>
      <c r="BJ481" s="1188"/>
      <c r="BK481" s="1188"/>
      <c r="BL481" s="1188"/>
      <c r="BM481" s="1188"/>
      <c r="BN481" s="1188"/>
      <c r="BO481" s="1240"/>
      <c r="BP481" s="1240"/>
      <c r="BQ481" s="1188">
        <f>I481/13</f>
        <v>31</v>
      </c>
      <c r="BR481" s="1236"/>
      <c r="BS481" s="1236"/>
      <c r="BT481" s="1188"/>
      <c r="BU481" s="1188"/>
      <c r="BV481" s="1240"/>
      <c r="BW481" s="1188"/>
      <c r="BX481" s="1188"/>
      <c r="BY481" s="1188"/>
      <c r="BZ481" s="1188"/>
      <c r="CA481" s="1188"/>
      <c r="CB481" s="1188"/>
      <c r="CC481" s="1188"/>
      <c r="CD481" s="1188">
        <f t="shared" si="161"/>
        <v>31</v>
      </c>
      <c r="CE481" s="1188">
        <f t="shared" si="162"/>
        <v>0</v>
      </c>
      <c r="CF481" s="1188">
        <f t="shared" si="163"/>
        <v>0</v>
      </c>
      <c r="CG481" s="1188">
        <f t="shared" si="164"/>
        <v>0</v>
      </c>
      <c r="CH481" s="1236"/>
      <c r="CI481" s="1236"/>
      <c r="CJ481" s="1236"/>
      <c r="CK481" s="1188"/>
      <c r="CL481" s="1188"/>
    </row>
    <row r="482" s="1168" customFormat="1" customHeight="1" spans="1:111">
      <c r="A482" s="1245">
        <v>46127</v>
      </c>
      <c r="B482" s="1247" t="s">
        <v>2123</v>
      </c>
      <c r="C482" s="1234" t="s">
        <v>2124</v>
      </c>
      <c r="D482" s="1268">
        <v>4500202236</v>
      </c>
      <c r="E482" s="1234" t="s">
        <v>628</v>
      </c>
      <c r="F482" s="1188" t="s">
        <v>2125</v>
      </c>
      <c r="G482" s="1253" t="s">
        <v>188</v>
      </c>
      <c r="H482" s="1234" t="s">
        <v>138</v>
      </c>
      <c r="I482" s="1254">
        <v>4800</v>
      </c>
      <c r="J482" s="1234">
        <v>0</v>
      </c>
      <c r="K482" s="1234">
        <v>50</v>
      </c>
      <c r="L482" s="1246">
        <f t="shared" si="151"/>
        <v>96</v>
      </c>
      <c r="M482" s="1255">
        <v>46227</v>
      </c>
      <c r="N482" s="1320">
        <f>M482-4</f>
        <v>46223</v>
      </c>
      <c r="O482" s="1320" t="s">
        <v>1884</v>
      </c>
      <c r="P482" s="1233" t="s">
        <v>2126</v>
      </c>
      <c r="Q482" s="1233" t="s">
        <v>106</v>
      </c>
      <c r="R482" s="1234" t="s">
        <v>2127</v>
      </c>
      <c r="S482" s="1234"/>
      <c r="T482" s="1233">
        <v>4800</v>
      </c>
      <c r="U482" s="1233">
        <f t="shared" si="152"/>
        <v>0</v>
      </c>
      <c r="V482" s="1234"/>
      <c r="W482" s="1256" t="s">
        <v>987</v>
      </c>
      <c r="X482" s="1257" t="s">
        <v>95</v>
      </c>
      <c r="Y482" s="1257" t="s">
        <v>95</v>
      </c>
      <c r="Z482" s="1247"/>
      <c r="AA482" s="1247"/>
      <c r="AB482" s="1247"/>
      <c r="AC482" s="1321" t="s">
        <v>2128</v>
      </c>
      <c r="AD482" s="1255" t="s">
        <v>222</v>
      </c>
      <c r="AE482" s="1188">
        <v>1.089</v>
      </c>
      <c r="AF482" s="1248">
        <f>AE482*I482</f>
        <v>5227.2</v>
      </c>
      <c r="AG482" s="1258"/>
      <c r="AH482" s="1234" t="s">
        <v>314</v>
      </c>
      <c r="AI482" s="1234" t="s">
        <v>112</v>
      </c>
      <c r="AJ482" s="1234" t="s">
        <v>113</v>
      </c>
      <c r="AK482" s="1188">
        <f t="shared" si="168"/>
        <v>4800</v>
      </c>
      <c r="AL482" s="1188"/>
      <c r="AM482" s="1188"/>
      <c r="AN482" s="1188"/>
      <c r="AO482" s="1188"/>
      <c r="AP482" s="1188">
        <f t="shared" ref="AP482:AP487" si="170">I482</f>
        <v>4800</v>
      </c>
      <c r="AQ482" s="1240"/>
      <c r="AR482" s="1188"/>
      <c r="AS482" s="1236"/>
      <c r="AT482" s="1236"/>
      <c r="AU482" s="1188">
        <f t="shared" ref="AU482:AU490" si="171">I482</f>
        <v>4800</v>
      </c>
      <c r="AV482" s="1250">
        <f>I482*0.06*2</f>
        <v>576</v>
      </c>
      <c r="AW482" s="1250"/>
      <c r="AX482" s="1188"/>
      <c r="AY482" s="1188"/>
      <c r="AZ482" s="1188"/>
      <c r="BA482" s="1188"/>
      <c r="BB482" s="1188"/>
      <c r="BC482" s="1188"/>
      <c r="BD482" s="1188"/>
      <c r="BE482" s="1188"/>
      <c r="BF482" s="1188"/>
      <c r="BG482" s="1188"/>
      <c r="BH482" s="1188"/>
      <c r="BI482" s="1188"/>
      <c r="BJ482" s="1188"/>
      <c r="BK482" s="1188"/>
      <c r="BL482" s="1188"/>
      <c r="BM482" s="1188"/>
      <c r="BN482" s="1188"/>
      <c r="BO482" s="1240">
        <f>I482/25</f>
        <v>192</v>
      </c>
      <c r="BP482" s="1240"/>
      <c r="BQ482" s="1188"/>
      <c r="BR482" s="1236"/>
      <c r="BS482" s="1236"/>
      <c r="BT482" s="1188"/>
      <c r="BU482" s="1188"/>
      <c r="BV482" s="1240"/>
      <c r="BW482" s="1188"/>
      <c r="BX482" s="1188"/>
      <c r="BY482" s="1188"/>
      <c r="BZ482" s="1188"/>
      <c r="CA482" s="1188"/>
      <c r="CB482" s="1188"/>
      <c r="CC482" s="1188"/>
      <c r="CD482" s="1188">
        <f t="shared" si="161"/>
        <v>192</v>
      </c>
      <c r="CE482" s="1188">
        <f t="shared" si="162"/>
        <v>0</v>
      </c>
      <c r="CF482" s="1188">
        <f t="shared" si="163"/>
        <v>0</v>
      </c>
      <c r="CG482" s="1188">
        <f t="shared" si="164"/>
        <v>0</v>
      </c>
      <c r="CH482" s="1236"/>
      <c r="CI482" s="1236"/>
      <c r="CJ482" s="1236"/>
      <c r="CK482" s="1188"/>
      <c r="CL482" s="1188"/>
    </row>
    <row r="483" s="1168" customFormat="1" customHeight="1" spans="1:111">
      <c r="A483" s="1245">
        <v>46162</v>
      </c>
      <c r="B483" s="1247" t="s">
        <v>770</v>
      </c>
      <c r="C483" s="1234" t="s">
        <v>771</v>
      </c>
      <c r="D483" s="1268">
        <v>4500207054</v>
      </c>
      <c r="E483" s="1233">
        <v>166405</v>
      </c>
      <c r="F483" s="1188" t="s">
        <v>2129</v>
      </c>
      <c r="G483" s="1253" t="s">
        <v>146</v>
      </c>
      <c r="H483" s="1234" t="s">
        <v>104</v>
      </c>
      <c r="I483" s="1254">
        <v>1000</v>
      </c>
      <c r="J483" s="1234">
        <v>0</v>
      </c>
      <c r="K483" s="1234">
        <v>25</v>
      </c>
      <c r="L483" s="1246">
        <f t="shared" si="151"/>
        <v>40</v>
      </c>
      <c r="M483" s="1320">
        <v>46227</v>
      </c>
      <c r="N483" s="1320">
        <v>46223</v>
      </c>
      <c r="O483" s="1322" t="s">
        <v>2110</v>
      </c>
      <c r="P483" s="1233"/>
      <c r="Q483" s="1233" t="s">
        <v>106</v>
      </c>
      <c r="R483" s="1234" t="s">
        <v>2130</v>
      </c>
      <c r="S483" s="1234"/>
      <c r="T483" s="1233">
        <v>1000</v>
      </c>
      <c r="U483" s="1233">
        <f t="shared" si="152"/>
        <v>0</v>
      </c>
      <c r="V483" s="1234"/>
      <c r="W483" s="1256" t="s">
        <v>2131</v>
      </c>
      <c r="X483" s="1227" t="s">
        <v>95</v>
      </c>
      <c r="Y483" s="1227" t="s">
        <v>2058</v>
      </c>
      <c r="Z483" s="1247"/>
      <c r="AA483" s="1247"/>
      <c r="AB483" s="1247"/>
      <c r="AC483" s="1247" t="s">
        <v>2132</v>
      </c>
      <c r="AD483" s="1255" t="s">
        <v>2060</v>
      </c>
      <c r="AE483" s="1188">
        <v>1.0628</v>
      </c>
      <c r="AF483" s="1248">
        <f>I483*AE483</f>
        <v>1062.8</v>
      </c>
      <c r="AG483" s="1258"/>
      <c r="AH483" s="1234" t="s">
        <v>111</v>
      </c>
      <c r="AI483" s="1234" t="s">
        <v>112</v>
      </c>
      <c r="AJ483" s="1234" t="s">
        <v>113</v>
      </c>
      <c r="AK483" s="1188">
        <f t="shared" si="168"/>
        <v>1000</v>
      </c>
      <c r="AL483" s="1188"/>
      <c r="AM483" s="1188"/>
      <c r="AN483" s="1188"/>
      <c r="AO483" s="1188"/>
      <c r="AP483" s="1188">
        <f t="shared" si="170"/>
        <v>1000</v>
      </c>
      <c r="AQ483" s="1240"/>
      <c r="AR483" s="1188"/>
      <c r="AS483" s="1236"/>
      <c r="AT483" s="1236"/>
      <c r="AU483" s="1188">
        <f t="shared" si="171"/>
        <v>1000</v>
      </c>
      <c r="AV483" s="1250">
        <f>I483*0.06*2</f>
        <v>120</v>
      </c>
      <c r="AW483" s="1250"/>
      <c r="AX483" s="1188"/>
      <c r="AY483" s="1188"/>
      <c r="AZ483" s="1188"/>
      <c r="BA483" s="1188"/>
      <c r="BB483" s="1188"/>
      <c r="BC483" s="1188"/>
      <c r="BD483" s="1188"/>
      <c r="BE483" s="1188"/>
      <c r="BF483" s="1188"/>
      <c r="BG483" s="1188"/>
      <c r="BH483" s="1188"/>
      <c r="BI483" s="1188"/>
      <c r="BJ483" s="1188"/>
      <c r="BK483" s="1188"/>
      <c r="BL483" s="1188"/>
      <c r="BM483" s="1188"/>
      <c r="BN483" s="1188"/>
      <c r="BO483" s="1240">
        <f>I483/25</f>
        <v>40</v>
      </c>
      <c r="BP483" s="1240"/>
      <c r="BQ483" s="1188"/>
      <c r="BR483" s="1236"/>
      <c r="BS483" s="1236"/>
      <c r="BT483" s="1188"/>
      <c r="BU483" s="1188"/>
      <c r="BV483" s="1240"/>
      <c r="BW483" s="1188"/>
      <c r="BX483" s="1188"/>
      <c r="BY483" s="1188"/>
      <c r="BZ483" s="1188"/>
      <c r="CA483" s="1188"/>
      <c r="CB483" s="1188"/>
      <c r="CC483" s="1188"/>
      <c r="CD483" s="1188">
        <f t="shared" si="161"/>
        <v>40</v>
      </c>
      <c r="CE483" s="1188">
        <f t="shared" si="162"/>
        <v>0</v>
      </c>
      <c r="CF483" s="1188">
        <f t="shared" si="163"/>
        <v>0</v>
      </c>
      <c r="CG483" s="1188">
        <f t="shared" si="164"/>
        <v>0</v>
      </c>
      <c r="CH483" s="1236"/>
      <c r="CI483" s="1236"/>
      <c r="CJ483" s="1236"/>
      <c r="CK483" s="1188"/>
      <c r="CL483" s="1188"/>
      <c r="CM483" s="1169"/>
      <c r="CN483" s="1169"/>
      <c r="CO483" s="1169"/>
      <c r="CP483" s="1169"/>
      <c r="CQ483" s="1169"/>
      <c r="CR483" s="1169"/>
      <c r="CS483" s="1169"/>
      <c r="CT483" s="1169"/>
      <c r="CU483" s="1169"/>
      <c r="CV483" s="1169"/>
      <c r="CW483" s="1169"/>
      <c r="CX483" s="1169"/>
      <c r="CY483" s="1169"/>
      <c r="CZ483" s="1169"/>
      <c r="DA483" s="1169"/>
      <c r="DB483" s="1169"/>
      <c r="DC483" s="1169"/>
      <c r="DD483" s="1169"/>
      <c r="DE483" s="1169"/>
      <c r="DF483" s="1169"/>
      <c r="DG483" s="1169"/>
    </row>
    <row r="484" s="1168" customFormat="1" customHeight="1" spans="1:111">
      <c r="A484" s="1245">
        <v>46128</v>
      </c>
      <c r="B484" s="1220" t="s">
        <v>191</v>
      </c>
      <c r="C484" s="1221" t="s">
        <v>164</v>
      </c>
      <c r="D484" s="1222">
        <v>4500201886</v>
      </c>
      <c r="E484" s="1221">
        <v>5200009228</v>
      </c>
      <c r="F484" s="1222" t="s">
        <v>2133</v>
      </c>
      <c r="G484" s="1223" t="s">
        <v>740</v>
      </c>
      <c r="H484" s="1221" t="s">
        <v>151</v>
      </c>
      <c r="I484" s="1252">
        <v>1800</v>
      </c>
      <c r="J484" s="1221">
        <v>0</v>
      </c>
      <c r="K484" s="1221">
        <v>36</v>
      </c>
      <c r="L484" s="1246">
        <f t="shared" si="151"/>
        <v>50</v>
      </c>
      <c r="M484" s="1338">
        <v>46227</v>
      </c>
      <c r="N484" s="1338">
        <v>46223</v>
      </c>
      <c r="O484" s="1337" t="s">
        <v>1527</v>
      </c>
      <c r="P484" s="1233"/>
      <c r="Q484" s="1233" t="s">
        <v>106</v>
      </c>
      <c r="R484" s="1234" t="s">
        <v>2134</v>
      </c>
      <c r="S484" s="1234"/>
      <c r="T484" s="1233">
        <v>1800</v>
      </c>
      <c r="U484" s="1233">
        <f t="shared" si="152"/>
        <v>0</v>
      </c>
      <c r="V484" s="1234"/>
      <c r="W484" s="1238">
        <v>46128</v>
      </c>
      <c r="X484" s="1257" t="s">
        <v>95</v>
      </c>
      <c r="Y484" s="1257" t="s">
        <v>2135</v>
      </c>
      <c r="Z484" s="1247"/>
      <c r="AA484" s="1247"/>
      <c r="AB484" s="1247"/>
      <c r="AC484" s="1358" t="s">
        <v>2136</v>
      </c>
      <c r="AD484" s="1225" t="s">
        <v>922</v>
      </c>
      <c r="AE484" s="1188">
        <v>105.7584</v>
      </c>
      <c r="AF484" s="1248">
        <f>AE484*L484</f>
        <v>5287.92</v>
      </c>
      <c r="AG484" s="1258"/>
      <c r="AH484" s="1234" t="s">
        <v>873</v>
      </c>
      <c r="AI484" s="1234" t="s">
        <v>112</v>
      </c>
      <c r="AJ484" s="1234" t="s">
        <v>113</v>
      </c>
      <c r="AK484" s="1188">
        <f t="shared" si="168"/>
        <v>1800</v>
      </c>
      <c r="AL484" s="1188"/>
      <c r="AM484" s="1188"/>
      <c r="AN484" s="1188"/>
      <c r="AO484" s="1188"/>
      <c r="AP484" s="1188">
        <f t="shared" si="170"/>
        <v>1800</v>
      </c>
      <c r="AQ484" s="1240"/>
      <c r="AR484" s="1188"/>
      <c r="AS484" s="1236"/>
      <c r="AT484" s="1236"/>
      <c r="AU484" s="1188">
        <f t="shared" si="171"/>
        <v>1800</v>
      </c>
      <c r="AV484" s="1250">
        <f>I484*0.06</f>
        <v>108</v>
      </c>
      <c r="AW484" s="1250"/>
      <c r="AX484" s="1188"/>
      <c r="AY484" s="1188"/>
      <c r="AZ484" s="1188"/>
      <c r="BA484" s="1188"/>
      <c r="BB484" s="1188"/>
      <c r="BC484" s="1188"/>
      <c r="BD484" s="1188"/>
      <c r="BE484" s="1188"/>
      <c r="BF484" s="1188"/>
      <c r="BG484" s="1188"/>
      <c r="BH484" s="1188"/>
      <c r="BI484" s="1188"/>
      <c r="BJ484" s="1188"/>
      <c r="BK484" s="1188"/>
      <c r="BL484" s="1188"/>
      <c r="BM484" s="1188"/>
      <c r="BN484" s="1188"/>
      <c r="BO484" s="1240"/>
      <c r="BP484" s="1240"/>
      <c r="BQ484" s="1188"/>
      <c r="BR484" s="1236"/>
      <c r="BS484" s="1236"/>
      <c r="BT484" s="1188"/>
      <c r="BU484" s="1188"/>
      <c r="BV484" s="1240"/>
      <c r="BW484" s="1188">
        <f>I484/36</f>
        <v>50</v>
      </c>
      <c r="BX484" s="1188"/>
      <c r="BY484" s="1188"/>
      <c r="BZ484" s="1188"/>
      <c r="CA484" s="1188"/>
      <c r="CB484" s="1188"/>
      <c r="CC484" s="1188"/>
      <c r="CD484" s="1188">
        <f t="shared" si="161"/>
        <v>0</v>
      </c>
      <c r="CE484" s="1188">
        <f t="shared" si="162"/>
        <v>0</v>
      </c>
      <c r="CF484" s="1188">
        <f t="shared" si="163"/>
        <v>0</v>
      </c>
      <c r="CG484" s="1188">
        <f t="shared" si="164"/>
        <v>50</v>
      </c>
      <c r="CH484" s="1236"/>
      <c r="CI484" s="1236"/>
      <c r="CJ484" s="1236"/>
      <c r="CK484" s="1188"/>
      <c r="CL484" s="1188"/>
    </row>
    <row r="485" s="1168" customFormat="1" customHeight="1" spans="1:111">
      <c r="A485" s="1245">
        <v>46189</v>
      </c>
      <c r="B485" s="1247" t="s">
        <v>2137</v>
      </c>
      <c r="C485" s="1234" t="s">
        <v>2138</v>
      </c>
      <c r="D485" s="1268">
        <v>4500212499</v>
      </c>
      <c r="E485" s="1234" t="s">
        <v>628</v>
      </c>
      <c r="F485" s="1188" t="s">
        <v>2139</v>
      </c>
      <c r="G485" s="1253" t="s">
        <v>702</v>
      </c>
      <c r="H485" s="1234" t="s">
        <v>151</v>
      </c>
      <c r="I485" s="1254">
        <v>1680</v>
      </c>
      <c r="J485" s="1234">
        <v>0</v>
      </c>
      <c r="K485" s="1234">
        <v>84</v>
      </c>
      <c r="L485" s="1246">
        <f t="shared" si="151"/>
        <v>20</v>
      </c>
      <c r="M485" s="1255">
        <v>46227</v>
      </c>
      <c r="N485" s="1320">
        <v>46223</v>
      </c>
      <c r="O485" s="1337" t="s">
        <v>1527</v>
      </c>
      <c r="P485" s="1233" t="s">
        <v>2140</v>
      </c>
      <c r="Q485" s="1233" t="s">
        <v>106</v>
      </c>
      <c r="R485" s="1234"/>
      <c r="S485" s="1234"/>
      <c r="T485" s="1233">
        <v>1680</v>
      </c>
      <c r="U485" s="1233">
        <f t="shared" si="152"/>
        <v>0</v>
      </c>
      <c r="V485" s="1234"/>
      <c r="W485" s="1256">
        <v>46199</v>
      </c>
      <c r="X485" s="1257" t="s">
        <v>95</v>
      </c>
      <c r="Y485" s="1257" t="s">
        <v>2141</v>
      </c>
      <c r="Z485" s="1247"/>
      <c r="AA485" s="1247"/>
      <c r="AB485" s="1247"/>
      <c r="AC485" s="1334" t="s">
        <v>2142</v>
      </c>
      <c r="AD485" s="1255" t="s">
        <v>1477</v>
      </c>
      <c r="AE485" s="1362">
        <v>241.0717</v>
      </c>
      <c r="AF485" s="1248">
        <f>L485*AE485</f>
        <v>4821.434</v>
      </c>
      <c r="AG485" s="1258"/>
      <c r="AH485" s="1234" t="s">
        <v>1688</v>
      </c>
      <c r="AI485" s="1234" t="s">
        <v>112</v>
      </c>
      <c r="AJ485" s="1234"/>
      <c r="AK485" s="1188">
        <f t="shared" si="168"/>
        <v>1680</v>
      </c>
      <c r="AL485" s="1188"/>
      <c r="AM485" s="1188"/>
      <c r="AN485" s="1188"/>
      <c r="AO485" s="1188"/>
      <c r="AP485" s="1188">
        <f t="shared" si="170"/>
        <v>1680</v>
      </c>
      <c r="AQ485" s="1240"/>
      <c r="AR485" s="1188"/>
      <c r="AS485" s="1236"/>
      <c r="AT485" s="1236"/>
      <c r="AU485" s="1188">
        <f t="shared" si="171"/>
        <v>1680</v>
      </c>
      <c r="AV485" s="1250"/>
      <c r="AW485" s="1250"/>
      <c r="AX485" s="1188"/>
      <c r="AY485" s="1188"/>
      <c r="AZ485" s="1188"/>
      <c r="BA485" s="1188"/>
      <c r="BB485" s="1188"/>
      <c r="BC485" s="1188"/>
      <c r="BD485" s="1188"/>
      <c r="BE485" s="1188"/>
      <c r="BF485" s="1188"/>
      <c r="BG485" s="1188"/>
      <c r="BH485" s="1188"/>
      <c r="BI485" s="1188"/>
      <c r="BJ485" s="1188"/>
      <c r="BK485" s="1188"/>
      <c r="BL485" s="1188"/>
      <c r="BM485" s="1188"/>
      <c r="BN485" s="1188"/>
      <c r="BO485" s="1240"/>
      <c r="BP485" s="1240"/>
      <c r="BQ485" s="1188"/>
      <c r="BR485" s="1236"/>
      <c r="BS485" s="1236"/>
      <c r="BT485" s="1188"/>
      <c r="BU485" s="1188"/>
      <c r="BV485" s="1240"/>
      <c r="BW485" s="1188"/>
      <c r="BX485" s="1188">
        <f>I485/84</f>
        <v>20</v>
      </c>
      <c r="BY485" s="1188"/>
      <c r="BZ485" s="1188"/>
      <c r="CA485" s="1188"/>
      <c r="CB485" s="1188"/>
      <c r="CC485" s="1188"/>
      <c r="CD485" s="1188">
        <f t="shared" si="161"/>
        <v>0</v>
      </c>
      <c r="CE485" s="1188">
        <f t="shared" si="162"/>
        <v>0</v>
      </c>
      <c r="CF485" s="1188">
        <f t="shared" si="163"/>
        <v>0</v>
      </c>
      <c r="CG485" s="1188">
        <f t="shared" si="164"/>
        <v>20</v>
      </c>
      <c r="CH485" s="1236"/>
      <c r="CI485" s="1236"/>
      <c r="CJ485" s="1236"/>
      <c r="CK485" s="1188"/>
      <c r="CL485" s="1188"/>
    </row>
    <row r="486" s="1169" customFormat="1" customHeight="1" spans="1:111">
      <c r="A486" s="1245">
        <v>46189</v>
      </c>
      <c r="B486" s="1247" t="s">
        <v>2137</v>
      </c>
      <c r="C486" s="1234" t="s">
        <v>2138</v>
      </c>
      <c r="D486" s="1268">
        <v>4500212499</v>
      </c>
      <c r="E486" s="1234" t="s">
        <v>628</v>
      </c>
      <c r="F486" s="1188" t="s">
        <v>2143</v>
      </c>
      <c r="G486" s="1253" t="s">
        <v>146</v>
      </c>
      <c r="H486" s="1234" t="s">
        <v>104</v>
      </c>
      <c r="I486" s="1254">
        <v>2100</v>
      </c>
      <c r="J486" s="1234">
        <v>0</v>
      </c>
      <c r="K486" s="1234">
        <v>25</v>
      </c>
      <c r="L486" s="1246">
        <f t="shared" ref="L486:L499" si="172">I486/K486</f>
        <v>84</v>
      </c>
      <c r="M486" s="1255">
        <v>46227</v>
      </c>
      <c r="N486" s="1320">
        <v>46228</v>
      </c>
      <c r="O486" s="1255" t="s">
        <v>2110</v>
      </c>
      <c r="P486" s="1233" t="s">
        <v>2144</v>
      </c>
      <c r="Q486" s="1233" t="s">
        <v>106</v>
      </c>
      <c r="R486" s="1234" t="s">
        <v>2145</v>
      </c>
      <c r="S486" s="1234"/>
      <c r="T486" s="1233">
        <v>2100</v>
      </c>
      <c r="U486" s="1233">
        <f t="shared" ref="U486:U549" si="173">T486-I486</f>
        <v>0</v>
      </c>
      <c r="V486" s="1234"/>
      <c r="W486" s="1238">
        <v>46199</v>
      </c>
      <c r="X486" s="1257" t="s">
        <v>95</v>
      </c>
      <c r="Y486" s="1227" t="s">
        <v>2146</v>
      </c>
      <c r="Z486" s="1247"/>
      <c r="AA486" s="1247"/>
      <c r="AB486" s="1247"/>
      <c r="AC486" s="1334" t="s">
        <v>2147</v>
      </c>
      <c r="AD486" s="1255" t="s">
        <v>1477</v>
      </c>
      <c r="AE486" s="1188">
        <v>1.1085</v>
      </c>
      <c r="AF486" s="1248">
        <f>I486*AE486</f>
        <v>2327.85</v>
      </c>
      <c r="AG486" s="1258"/>
      <c r="AH486" s="1234" t="s">
        <v>111</v>
      </c>
      <c r="AI486" s="1234" t="s">
        <v>112</v>
      </c>
      <c r="AJ486" s="1234" t="s">
        <v>113</v>
      </c>
      <c r="AK486" s="1188">
        <f t="shared" si="168"/>
        <v>2100</v>
      </c>
      <c r="AL486" s="1188"/>
      <c r="AM486" s="1188"/>
      <c r="AN486" s="1188"/>
      <c r="AO486" s="1188"/>
      <c r="AP486" s="1188">
        <f t="shared" si="170"/>
        <v>2100</v>
      </c>
      <c r="AQ486" s="1240"/>
      <c r="AR486" s="1188"/>
      <c r="AS486" s="1236"/>
      <c r="AT486" s="1236"/>
      <c r="AU486" s="1188">
        <f t="shared" si="171"/>
        <v>2100</v>
      </c>
      <c r="AV486" s="1250"/>
      <c r="AW486" s="1250"/>
      <c r="AX486" s="1188"/>
      <c r="AY486" s="1188"/>
      <c r="AZ486" s="1188"/>
      <c r="BA486" s="1188"/>
      <c r="BB486" s="1188"/>
      <c r="BC486" s="1188"/>
      <c r="BD486" s="1188"/>
      <c r="BE486" s="1188"/>
      <c r="BF486" s="1188"/>
      <c r="BG486" s="1188"/>
      <c r="BH486" s="1188"/>
      <c r="BI486" s="1188"/>
      <c r="BJ486" s="1188"/>
      <c r="BK486" s="1188"/>
      <c r="BL486" s="1188"/>
      <c r="BM486" s="1188"/>
      <c r="BN486" s="1188"/>
      <c r="BO486" s="1240">
        <f>I486/25</f>
        <v>84</v>
      </c>
      <c r="BP486" s="1240"/>
      <c r="BQ486" s="1188"/>
      <c r="BR486" s="1236"/>
      <c r="BS486" s="1236"/>
      <c r="BT486" s="1188"/>
      <c r="BU486" s="1188"/>
      <c r="BV486" s="1240"/>
      <c r="BW486" s="1188"/>
      <c r="BX486" s="1188"/>
      <c r="BY486" s="1188"/>
      <c r="BZ486" s="1188"/>
      <c r="CA486" s="1188"/>
      <c r="CB486" s="1188"/>
      <c r="CC486" s="1188"/>
      <c r="CD486" s="1188">
        <f t="shared" si="161"/>
        <v>84</v>
      </c>
      <c r="CE486" s="1188">
        <f t="shared" si="162"/>
        <v>0</v>
      </c>
      <c r="CF486" s="1188">
        <f t="shared" si="163"/>
        <v>0</v>
      </c>
      <c r="CG486" s="1188">
        <f t="shared" si="164"/>
        <v>0</v>
      </c>
      <c r="CH486" s="1236"/>
      <c r="CI486" s="1236"/>
      <c r="CJ486" s="1236"/>
      <c r="CK486" s="1188"/>
      <c r="CL486" s="1188"/>
      <c r="CM486" s="1168"/>
      <c r="CN486" s="1168"/>
      <c r="CO486" s="1168"/>
      <c r="CP486" s="1168"/>
      <c r="CQ486" s="1168"/>
      <c r="CR486" s="1168"/>
      <c r="CS486" s="1168"/>
      <c r="CT486" s="1168"/>
      <c r="CU486" s="1168"/>
      <c r="CV486" s="1168"/>
      <c r="CW486" s="1168"/>
      <c r="CX486" s="1168"/>
      <c r="CY486" s="1168"/>
      <c r="CZ486" s="1168"/>
      <c r="DA486" s="1168"/>
      <c r="DB486" s="1168"/>
      <c r="DC486" s="1168"/>
      <c r="DD486" s="1168"/>
      <c r="DE486" s="1168"/>
      <c r="DF486" s="1168"/>
      <c r="DG486" s="1168"/>
    </row>
    <row r="487" s="1171" customFormat="1" customHeight="1" spans="1:111">
      <c r="A487" s="1245">
        <v>46174</v>
      </c>
      <c r="B487" s="1247" t="s">
        <v>2148</v>
      </c>
      <c r="C487" s="1234" t="s">
        <v>2149</v>
      </c>
      <c r="D487" s="1268">
        <v>4500209865</v>
      </c>
      <c r="E487" s="1234"/>
      <c r="F487" s="1188" t="s">
        <v>2150</v>
      </c>
      <c r="G487" s="1253" t="s">
        <v>289</v>
      </c>
      <c r="H487" s="1234" t="s">
        <v>194</v>
      </c>
      <c r="I487" s="1330">
        <v>1027</v>
      </c>
      <c r="J487" s="1234">
        <v>0</v>
      </c>
      <c r="K487" s="1234">
        <v>13</v>
      </c>
      <c r="L487" s="1377">
        <f t="shared" si="172"/>
        <v>79</v>
      </c>
      <c r="M487" s="1320">
        <v>46227</v>
      </c>
      <c r="N487" s="1320">
        <v>46232</v>
      </c>
      <c r="O487" s="1320" t="s">
        <v>2151</v>
      </c>
      <c r="P487" s="1233"/>
      <c r="Q487" s="1233" t="s">
        <v>1410</v>
      </c>
      <c r="R487" s="1234" t="s">
        <v>1831</v>
      </c>
      <c r="S487" s="1234"/>
      <c r="T487" s="1233">
        <v>1027</v>
      </c>
      <c r="U487" s="1233">
        <f t="shared" si="173"/>
        <v>0</v>
      </c>
      <c r="V487" s="1234"/>
      <c r="W487" s="1238">
        <v>46174</v>
      </c>
      <c r="X487" s="1227" t="s">
        <v>95</v>
      </c>
      <c r="Y487" s="1227" t="s">
        <v>2152</v>
      </c>
      <c r="Z487" s="1247"/>
      <c r="AA487" s="1247"/>
      <c r="AB487" s="1247"/>
      <c r="AC487" s="1247" t="s">
        <v>2153</v>
      </c>
      <c r="AD487" s="1255" t="s">
        <v>236</v>
      </c>
      <c r="AE487" s="1188">
        <v>1.0864</v>
      </c>
      <c r="AF487" s="1248">
        <f>I487*AE487</f>
        <v>1115.7328</v>
      </c>
      <c r="AG487" s="1258"/>
      <c r="AH487" s="1234" t="s">
        <v>199</v>
      </c>
      <c r="AI487" s="1234" t="s">
        <v>112</v>
      </c>
      <c r="AJ487" s="1234"/>
      <c r="AK487" s="1188">
        <f t="shared" si="168"/>
        <v>1027</v>
      </c>
      <c r="AL487" s="1188"/>
      <c r="AM487" s="1188"/>
      <c r="AN487" s="1188"/>
      <c r="AO487" s="1188"/>
      <c r="AP487" s="1188">
        <f t="shared" si="170"/>
        <v>1027</v>
      </c>
      <c r="AQ487" s="1240"/>
      <c r="AR487" s="1188"/>
      <c r="AS487" s="1236"/>
      <c r="AT487" s="1236"/>
      <c r="AU487" s="1188">
        <f t="shared" si="171"/>
        <v>1027</v>
      </c>
      <c r="AV487" s="1250">
        <f t="shared" ref="AV487:AV495" si="174">I487*0.06*2</f>
        <v>123.24</v>
      </c>
      <c r="AW487" s="1250"/>
      <c r="AX487" s="1188"/>
      <c r="AY487" s="1188"/>
      <c r="AZ487" s="1188"/>
      <c r="BA487" s="1188"/>
      <c r="BB487" s="1188"/>
      <c r="BC487" s="1188"/>
      <c r="BD487" s="1188"/>
      <c r="BE487" s="1188"/>
      <c r="BF487" s="1188"/>
      <c r="BG487" s="1188"/>
      <c r="BH487" s="1188"/>
      <c r="BI487" s="1188"/>
      <c r="BJ487" s="1188"/>
      <c r="BK487" s="1188"/>
      <c r="BL487" s="1188">
        <f>I487/13</f>
        <v>79</v>
      </c>
      <c r="BM487" s="1188"/>
      <c r="BN487" s="1188"/>
      <c r="BO487" s="1240"/>
      <c r="BP487" s="1240"/>
      <c r="BQ487" s="1188"/>
      <c r="BR487" s="1236"/>
      <c r="BS487" s="1236"/>
      <c r="BT487" s="1188"/>
      <c r="BU487" s="1188"/>
      <c r="BV487" s="1240"/>
      <c r="BW487" s="1188"/>
      <c r="BX487" s="1188"/>
      <c r="BY487" s="1188"/>
      <c r="BZ487" s="1188"/>
      <c r="CA487" s="1188"/>
      <c r="CB487" s="1188"/>
      <c r="CC487" s="1188"/>
      <c r="CD487" s="1188">
        <f t="shared" si="161"/>
        <v>0</v>
      </c>
      <c r="CE487" s="1188">
        <f t="shared" si="162"/>
        <v>0</v>
      </c>
      <c r="CF487" s="1188">
        <f t="shared" si="163"/>
        <v>0</v>
      </c>
      <c r="CG487" s="1188">
        <f t="shared" si="164"/>
        <v>0</v>
      </c>
      <c r="CH487" s="1236"/>
      <c r="CI487" s="1236"/>
      <c r="CJ487" s="1236"/>
      <c r="CK487" s="1188"/>
      <c r="CL487" s="1188"/>
      <c r="CM487" s="1168"/>
      <c r="CN487" s="1168"/>
      <c r="CO487" s="1168"/>
      <c r="CP487" s="1168"/>
      <c r="CQ487" s="1168"/>
      <c r="CR487" s="1168"/>
      <c r="CS487" s="1168"/>
      <c r="CT487" s="1168"/>
      <c r="CU487" s="1168"/>
      <c r="CV487" s="1168"/>
      <c r="CW487" s="1168"/>
      <c r="CX487" s="1168"/>
      <c r="CY487" s="1168"/>
      <c r="CZ487" s="1168"/>
      <c r="DA487" s="1168"/>
      <c r="DB487" s="1168"/>
      <c r="DC487" s="1168"/>
      <c r="DD487" s="1168"/>
      <c r="DE487" s="1168"/>
      <c r="DF487" s="1168"/>
      <c r="DG487" s="1168"/>
    </row>
    <row r="488" s="1171" customFormat="1" customHeight="1" spans="1:111">
      <c r="A488" s="1245">
        <v>46132</v>
      </c>
      <c r="B488" s="1247" t="s">
        <v>2154</v>
      </c>
      <c r="C488" s="1234" t="s">
        <v>115</v>
      </c>
      <c r="D488" s="1268">
        <v>4500202935</v>
      </c>
      <c r="E488" s="1234" t="s">
        <v>2155</v>
      </c>
      <c r="F488" s="1188" t="s">
        <v>2156</v>
      </c>
      <c r="G488" s="1253" t="s">
        <v>289</v>
      </c>
      <c r="H488" s="1234" t="s">
        <v>194</v>
      </c>
      <c r="I488" s="1254">
        <v>1118</v>
      </c>
      <c r="J488" s="1234">
        <v>0</v>
      </c>
      <c r="K488" s="1234">
        <v>13</v>
      </c>
      <c r="L488" s="1246">
        <f t="shared" si="172"/>
        <v>86</v>
      </c>
      <c r="M488" s="1255">
        <v>46227</v>
      </c>
      <c r="N488" s="1320">
        <v>46233</v>
      </c>
      <c r="O488" s="1320" t="s">
        <v>2151</v>
      </c>
      <c r="P488" s="1233"/>
      <c r="Q488" s="1233" t="s">
        <v>1410</v>
      </c>
      <c r="R488" s="1234" t="s">
        <v>2157</v>
      </c>
      <c r="S488" s="1234"/>
      <c r="T488" s="1233">
        <v>1118</v>
      </c>
      <c r="U488" s="1233">
        <f t="shared" si="173"/>
        <v>0</v>
      </c>
      <c r="V488" s="1234"/>
      <c r="W488" s="1238" t="s">
        <v>2158</v>
      </c>
      <c r="X488" s="1227" t="s">
        <v>95</v>
      </c>
      <c r="Y488" s="1227" t="s">
        <v>95</v>
      </c>
      <c r="Z488" s="1247"/>
      <c r="AA488" s="1247"/>
      <c r="AB488" s="1247"/>
      <c r="AC488" s="1247" t="s">
        <v>2159</v>
      </c>
      <c r="AD488" s="1255" t="s">
        <v>421</v>
      </c>
      <c r="AE488" s="1188">
        <v>0.6321</v>
      </c>
      <c r="AF488" s="1248">
        <f>I488*AE488</f>
        <v>706.6878</v>
      </c>
      <c r="AG488" s="1249" t="s">
        <v>2160</v>
      </c>
      <c r="AH488" s="1234" t="s">
        <v>289</v>
      </c>
      <c r="AI488" s="1234" t="s">
        <v>112</v>
      </c>
      <c r="AJ488" s="1234" t="s">
        <v>113</v>
      </c>
      <c r="AK488" s="1188">
        <f t="shared" si="168"/>
        <v>1118</v>
      </c>
      <c r="AL488" s="1188"/>
      <c r="AM488" s="1188"/>
      <c r="AN488" s="1188">
        <f>I488</f>
        <v>1118</v>
      </c>
      <c r="AO488" s="1188"/>
      <c r="AP488" s="1188"/>
      <c r="AQ488" s="1240"/>
      <c r="AR488" s="1188"/>
      <c r="AS488" s="1236"/>
      <c r="AT488" s="1236"/>
      <c r="AU488" s="1188">
        <f t="shared" si="171"/>
        <v>1118</v>
      </c>
      <c r="AV488" s="1250">
        <f t="shared" si="174"/>
        <v>134.16</v>
      </c>
      <c r="AW488" s="1250"/>
      <c r="AX488" s="1188"/>
      <c r="AY488" s="1188"/>
      <c r="AZ488" s="1188"/>
      <c r="BA488" s="1188"/>
      <c r="BB488" s="1188"/>
      <c r="BC488" s="1188"/>
      <c r="BD488" s="1188"/>
      <c r="BE488" s="1188"/>
      <c r="BF488" s="1188"/>
      <c r="BG488" s="1188"/>
      <c r="BH488" s="1188"/>
      <c r="BI488" s="1188"/>
      <c r="BJ488" s="1188"/>
      <c r="BK488" s="1188">
        <f>I488/13</f>
        <v>86</v>
      </c>
      <c r="BL488" s="1188"/>
      <c r="BM488" s="1188"/>
      <c r="BN488" s="1188"/>
      <c r="BO488" s="1240"/>
      <c r="BP488" s="1240"/>
      <c r="BQ488" s="1188"/>
      <c r="BR488" s="1236"/>
      <c r="BS488" s="1236"/>
      <c r="BT488" s="1188"/>
      <c r="BU488" s="1188"/>
      <c r="BV488" s="1240"/>
      <c r="BW488" s="1188"/>
      <c r="BX488" s="1188"/>
      <c r="BY488" s="1188"/>
      <c r="BZ488" s="1188"/>
      <c r="CA488" s="1188"/>
      <c r="CB488" s="1188"/>
      <c r="CC488" s="1188"/>
      <c r="CD488" s="1188">
        <f t="shared" si="161"/>
        <v>0</v>
      </c>
      <c r="CE488" s="1188">
        <f t="shared" si="162"/>
        <v>0</v>
      </c>
      <c r="CF488" s="1188">
        <f t="shared" si="163"/>
        <v>0</v>
      </c>
      <c r="CG488" s="1188">
        <f t="shared" si="164"/>
        <v>0</v>
      </c>
      <c r="CH488" s="1236"/>
      <c r="CI488" s="1236"/>
      <c r="CJ488" s="1236"/>
      <c r="CK488" s="1188"/>
      <c r="CL488" s="1188"/>
      <c r="CM488" s="1168"/>
      <c r="CN488" s="1168"/>
      <c r="CO488" s="1168"/>
      <c r="CP488" s="1168"/>
      <c r="CQ488" s="1168"/>
      <c r="CR488" s="1168"/>
      <c r="CS488" s="1168"/>
      <c r="CT488" s="1168"/>
      <c r="CU488" s="1168"/>
      <c r="CV488" s="1168"/>
      <c r="CW488" s="1168"/>
      <c r="CX488" s="1168"/>
      <c r="CY488" s="1168"/>
      <c r="CZ488" s="1168"/>
      <c r="DA488" s="1168"/>
      <c r="DB488" s="1168"/>
      <c r="DC488" s="1168"/>
      <c r="DD488" s="1168"/>
      <c r="DE488" s="1168"/>
      <c r="DF488" s="1168"/>
      <c r="DG488" s="1168"/>
    </row>
    <row r="489" s="1168" customFormat="1" customHeight="1" spans="1:111">
      <c r="A489" s="1245">
        <v>46163</v>
      </c>
      <c r="B489" s="1247" t="s">
        <v>2161</v>
      </c>
      <c r="C489" s="1234" t="s">
        <v>291</v>
      </c>
      <c r="D489" s="1268">
        <v>4500208339</v>
      </c>
      <c r="E489" s="1233">
        <v>62116844</v>
      </c>
      <c r="F489" s="1188" t="s">
        <v>2162</v>
      </c>
      <c r="G489" s="1253" t="s">
        <v>188</v>
      </c>
      <c r="H489" s="1234" t="s">
        <v>138</v>
      </c>
      <c r="I489" s="1254">
        <v>2500</v>
      </c>
      <c r="J489" s="1234">
        <v>0</v>
      </c>
      <c r="K489" s="1234">
        <v>50</v>
      </c>
      <c r="L489" s="1246">
        <f t="shared" si="172"/>
        <v>50</v>
      </c>
      <c r="M489" s="1255">
        <v>46227</v>
      </c>
      <c r="N489" s="1320">
        <v>46232</v>
      </c>
      <c r="O489" s="1322" t="s">
        <v>2151</v>
      </c>
      <c r="P489" s="1233"/>
      <c r="Q489" s="1233" t="s">
        <v>1410</v>
      </c>
      <c r="R489" s="1234" t="s">
        <v>2163</v>
      </c>
      <c r="S489" s="1234"/>
      <c r="T489" s="1233">
        <v>2500</v>
      </c>
      <c r="U489" s="1233">
        <f t="shared" si="173"/>
        <v>0</v>
      </c>
      <c r="V489" s="1234"/>
      <c r="W489" s="1238">
        <v>46171</v>
      </c>
      <c r="X489" s="1227" t="s">
        <v>95</v>
      </c>
      <c r="Y489" s="1227" t="s">
        <v>2164</v>
      </c>
      <c r="Z489" s="1247"/>
      <c r="AA489" s="1247"/>
      <c r="AB489" s="1247"/>
      <c r="AC489" s="1247" t="s">
        <v>2165</v>
      </c>
      <c r="AD489" s="1255" t="s">
        <v>1252</v>
      </c>
      <c r="AE489" s="1188">
        <v>1.0979</v>
      </c>
      <c r="AF489" s="1248">
        <f>AE489*I489</f>
        <v>2744.75</v>
      </c>
      <c r="AG489" s="1258"/>
      <c r="AH489" s="1234" t="s">
        <v>314</v>
      </c>
      <c r="AI489" s="1234" t="s">
        <v>112</v>
      </c>
      <c r="AJ489" s="1234" t="s">
        <v>113</v>
      </c>
      <c r="AK489" s="1188">
        <f t="shared" si="168"/>
        <v>2500</v>
      </c>
      <c r="AL489" s="1188"/>
      <c r="AM489" s="1188"/>
      <c r="AN489" s="1188"/>
      <c r="AO489" s="1188"/>
      <c r="AP489" s="1188">
        <f>I489</f>
        <v>2500</v>
      </c>
      <c r="AQ489" s="1240"/>
      <c r="AR489" s="1188"/>
      <c r="AS489" s="1236"/>
      <c r="AT489" s="1236"/>
      <c r="AU489" s="1188">
        <f t="shared" si="171"/>
        <v>2500</v>
      </c>
      <c r="AV489" s="1250">
        <f t="shared" si="174"/>
        <v>300</v>
      </c>
      <c r="AW489" s="1250"/>
      <c r="AX489" s="1188"/>
      <c r="AY489" s="1188"/>
      <c r="AZ489" s="1188"/>
      <c r="BA489" s="1188"/>
      <c r="BB489" s="1188"/>
      <c r="BC489" s="1188"/>
      <c r="BD489" s="1188"/>
      <c r="BE489" s="1188"/>
      <c r="BF489" s="1188"/>
      <c r="BG489" s="1188"/>
      <c r="BH489" s="1188"/>
      <c r="BI489" s="1188"/>
      <c r="BJ489" s="1188"/>
      <c r="BK489" s="1188"/>
      <c r="BL489" s="1188"/>
      <c r="BM489" s="1188"/>
      <c r="BN489" s="1188"/>
      <c r="BO489" s="1240">
        <f>I489/25</f>
        <v>100</v>
      </c>
      <c r="BP489" s="1240"/>
      <c r="BQ489" s="1188"/>
      <c r="BR489" s="1236"/>
      <c r="BS489" s="1236"/>
      <c r="BT489" s="1188"/>
      <c r="BU489" s="1188"/>
      <c r="BV489" s="1240"/>
      <c r="BW489" s="1188"/>
      <c r="BX489" s="1188"/>
      <c r="BY489" s="1188"/>
      <c r="BZ489" s="1188"/>
      <c r="CA489" s="1188"/>
      <c r="CB489" s="1188"/>
      <c r="CC489" s="1188"/>
      <c r="CD489" s="1188">
        <f t="shared" si="161"/>
        <v>100</v>
      </c>
      <c r="CE489" s="1188">
        <f t="shared" si="162"/>
        <v>0</v>
      </c>
      <c r="CF489" s="1188">
        <f t="shared" si="163"/>
        <v>0</v>
      </c>
      <c r="CG489" s="1188">
        <f t="shared" si="164"/>
        <v>0</v>
      </c>
      <c r="CH489" s="1236"/>
      <c r="CI489" s="1236"/>
      <c r="CJ489" s="1236"/>
      <c r="CK489" s="1188"/>
      <c r="CL489" s="1188"/>
    </row>
    <row r="490" s="1168" customFormat="1" customHeight="1" spans="1:111">
      <c r="A490" s="1245">
        <v>46151</v>
      </c>
      <c r="B490" s="1220" t="s">
        <v>2166</v>
      </c>
      <c r="C490" s="1221" t="s">
        <v>1828</v>
      </c>
      <c r="D490" s="1303">
        <v>4500206123</v>
      </c>
      <c r="E490" s="1370" t="s">
        <v>2167</v>
      </c>
      <c r="F490" s="1222" t="s">
        <v>2168</v>
      </c>
      <c r="G490" s="1223" t="s">
        <v>188</v>
      </c>
      <c r="H490" s="1221" t="s">
        <v>138</v>
      </c>
      <c r="I490" s="1221">
        <v>650</v>
      </c>
      <c r="J490" s="1221">
        <v>0</v>
      </c>
      <c r="K490" s="1221">
        <v>50</v>
      </c>
      <c r="L490" s="1246">
        <f t="shared" si="172"/>
        <v>13</v>
      </c>
      <c r="M490" s="1225">
        <v>46227</v>
      </c>
      <c r="N490" s="1320">
        <v>46232</v>
      </c>
      <c r="O490" s="1320" t="s">
        <v>2151</v>
      </c>
      <c r="P490" s="1233"/>
      <c r="Q490" s="1378" t="s">
        <v>1410</v>
      </c>
      <c r="R490" s="1234"/>
      <c r="S490" s="1234"/>
      <c r="T490" s="1233">
        <v>650</v>
      </c>
      <c r="U490" s="1233">
        <f t="shared" si="173"/>
        <v>0</v>
      </c>
      <c r="V490" s="1234" t="s">
        <v>120</v>
      </c>
      <c r="W490" s="1227">
        <v>46183</v>
      </c>
      <c r="X490" s="1227" t="s">
        <v>95</v>
      </c>
      <c r="Y490" s="1227" t="s">
        <v>2169</v>
      </c>
      <c r="Z490" s="1188"/>
      <c r="AA490" s="1188"/>
      <c r="AB490" s="1247"/>
      <c r="AC490" s="1358" t="s">
        <v>2170</v>
      </c>
      <c r="AD490" s="1225" t="s">
        <v>2171</v>
      </c>
      <c r="AE490" s="1379">
        <v>1.0942</v>
      </c>
      <c r="AF490" s="1248">
        <f>AE490*I490</f>
        <v>711.23</v>
      </c>
      <c r="AG490" s="1258"/>
      <c r="AH490" s="1234" t="s">
        <v>314</v>
      </c>
      <c r="AI490" s="1234" t="s">
        <v>112</v>
      </c>
      <c r="AJ490" s="1234" t="s">
        <v>113</v>
      </c>
      <c r="AK490" s="1188">
        <f t="shared" si="168"/>
        <v>650</v>
      </c>
      <c r="AL490" s="1234"/>
      <c r="AM490" s="1188"/>
      <c r="AN490" s="1234"/>
      <c r="AO490" s="1188"/>
      <c r="AP490" s="1188">
        <f>I490</f>
        <v>650</v>
      </c>
      <c r="AQ490" s="1240"/>
      <c r="AR490" s="1188"/>
      <c r="AS490" s="1236"/>
      <c r="AT490" s="1236"/>
      <c r="AU490" s="1188">
        <f t="shared" si="171"/>
        <v>650</v>
      </c>
      <c r="AV490" s="1250">
        <f t="shared" si="174"/>
        <v>78</v>
      </c>
      <c r="AW490" s="1250"/>
      <c r="AX490" s="1234"/>
      <c r="AY490" s="1234"/>
      <c r="AZ490" s="1234"/>
      <c r="BA490" s="1234"/>
      <c r="BB490" s="1234"/>
      <c r="BC490" s="1234"/>
      <c r="BD490" s="1234"/>
      <c r="BE490" s="1188"/>
      <c r="BF490" s="1188"/>
      <c r="BG490" s="1188"/>
      <c r="BH490" s="1188"/>
      <c r="BI490" s="1188"/>
      <c r="BJ490" s="1188"/>
      <c r="BK490" s="1188"/>
      <c r="BL490" s="1188"/>
      <c r="BM490" s="1188"/>
      <c r="BN490" s="1188"/>
      <c r="BO490" s="1240">
        <f>I490/25</f>
        <v>26</v>
      </c>
      <c r="BP490" s="1240"/>
      <c r="BQ490" s="1188"/>
      <c r="BR490" s="1236"/>
      <c r="BS490" s="1236"/>
      <c r="BT490" s="1188"/>
      <c r="BU490" s="1188"/>
      <c r="BV490" s="1240"/>
      <c r="BW490" s="1188"/>
      <c r="BX490" s="1188"/>
      <c r="BY490" s="1188"/>
      <c r="BZ490" s="1188"/>
      <c r="CA490" s="1188"/>
      <c r="CB490" s="1188"/>
      <c r="CC490" s="1188"/>
      <c r="CD490" s="1188">
        <f t="shared" si="161"/>
        <v>26</v>
      </c>
      <c r="CE490" s="1188">
        <f t="shared" si="162"/>
        <v>0</v>
      </c>
      <c r="CF490" s="1188">
        <f t="shared" si="163"/>
        <v>0</v>
      </c>
      <c r="CG490" s="1188">
        <f t="shared" si="164"/>
        <v>0</v>
      </c>
      <c r="CH490" s="1236"/>
      <c r="CI490" s="1236"/>
      <c r="CJ490" s="1236"/>
      <c r="CK490" s="1188"/>
      <c r="CL490" s="1188"/>
    </row>
    <row r="491" s="1168" customFormat="1" customHeight="1" spans="1:111">
      <c r="A491" s="1245">
        <v>46156</v>
      </c>
      <c r="B491" s="1220" t="s">
        <v>935</v>
      </c>
      <c r="C491" s="1221" t="s">
        <v>115</v>
      </c>
      <c r="D491" s="1303">
        <v>4500206881</v>
      </c>
      <c r="E491" s="1226">
        <v>9600512468</v>
      </c>
      <c r="F491" s="1222" t="s">
        <v>2172</v>
      </c>
      <c r="G491" s="1223" t="s">
        <v>482</v>
      </c>
      <c r="H491" s="1221" t="s">
        <v>483</v>
      </c>
      <c r="I491" s="1252">
        <v>4320</v>
      </c>
      <c r="J491" s="1221">
        <v>0</v>
      </c>
      <c r="K491" s="1221">
        <v>120</v>
      </c>
      <c r="L491" s="1246">
        <f t="shared" si="172"/>
        <v>36</v>
      </c>
      <c r="M491" s="1225">
        <v>46227</v>
      </c>
      <c r="N491" s="1338">
        <v>46233</v>
      </c>
      <c r="O491" s="1337" t="s">
        <v>2173</v>
      </c>
      <c r="P491" s="1320"/>
      <c r="Q491" s="1233" t="s">
        <v>1410</v>
      </c>
      <c r="R491" s="1234"/>
      <c r="S491" s="1234"/>
      <c r="T491" s="1233">
        <v>4320</v>
      </c>
      <c r="U491" s="1233">
        <f t="shared" si="173"/>
        <v>0</v>
      </c>
      <c r="V491" s="1234"/>
      <c r="W491" s="1256">
        <v>46155</v>
      </c>
      <c r="X491" s="1227" t="s">
        <v>107</v>
      </c>
      <c r="Y491" s="1257" t="s">
        <v>95</v>
      </c>
      <c r="Z491" s="1247"/>
      <c r="AA491" s="1247"/>
      <c r="AB491" s="1247"/>
      <c r="AC491" s="1220" t="s">
        <v>937</v>
      </c>
      <c r="AD491" s="1225" t="s">
        <v>488</v>
      </c>
      <c r="AE491" s="1188">
        <v>642</v>
      </c>
      <c r="AF491" s="1248">
        <f>L491*AE491</f>
        <v>23112</v>
      </c>
      <c r="AG491" s="1249" t="s">
        <v>2174</v>
      </c>
      <c r="AH491" s="1234" t="s">
        <v>490</v>
      </c>
      <c r="AI491" s="1234" t="s">
        <v>112</v>
      </c>
      <c r="AJ491" s="1234" t="s">
        <v>113</v>
      </c>
      <c r="AK491" s="1188"/>
      <c r="AL491" s="1188">
        <f>I491*3</f>
        <v>12960</v>
      </c>
      <c r="AM491" s="1188"/>
      <c r="AN491" s="1188"/>
      <c r="AO491" s="1188"/>
      <c r="AP491" s="1188"/>
      <c r="AQ491" s="1240"/>
      <c r="AR491" s="1188"/>
      <c r="AS491" s="1236"/>
      <c r="AT491" s="1236"/>
      <c r="AU491" s="1188"/>
      <c r="AV491" s="1250">
        <f t="shared" si="174"/>
        <v>518.4</v>
      </c>
      <c r="AW491" s="1250"/>
      <c r="AX491" s="1188"/>
      <c r="AY491" s="1188"/>
      <c r="AZ491" s="1188"/>
      <c r="BA491" s="1188"/>
      <c r="BB491" s="1188">
        <f>I491*3</f>
        <v>12960</v>
      </c>
      <c r="BC491" s="1188">
        <f>I491*3</f>
        <v>12960</v>
      </c>
      <c r="BD491" s="1188">
        <f>I491*3</f>
        <v>12960</v>
      </c>
      <c r="BE491" s="1188">
        <f>I491</f>
        <v>4320</v>
      </c>
      <c r="BF491" s="1188">
        <f>I491/6</f>
        <v>720</v>
      </c>
      <c r="BG491" s="1188"/>
      <c r="BH491" s="1188"/>
      <c r="BI491" s="1188"/>
      <c r="BJ491" s="1188"/>
      <c r="BK491" s="1188"/>
      <c r="BL491" s="1188"/>
      <c r="BM491" s="1188"/>
      <c r="BN491" s="1188"/>
      <c r="BO491" s="1240"/>
      <c r="BP491" s="1240"/>
      <c r="BQ491" s="1188"/>
      <c r="BR491" s="1236"/>
      <c r="BS491" s="1236"/>
      <c r="BT491" s="1188"/>
      <c r="BU491" s="1188"/>
      <c r="BV491" s="1240"/>
      <c r="BW491" s="1188"/>
      <c r="BX491" s="1188"/>
      <c r="BY491" s="1188"/>
      <c r="BZ491" s="1188"/>
      <c r="CA491" s="1188"/>
      <c r="CB491" s="1188"/>
      <c r="CC491" s="1188"/>
      <c r="CD491" s="1188">
        <f t="shared" si="161"/>
        <v>0</v>
      </c>
      <c r="CE491" s="1188">
        <f t="shared" si="162"/>
        <v>0</v>
      </c>
      <c r="CF491" s="1188">
        <f t="shared" si="163"/>
        <v>0</v>
      </c>
      <c r="CG491" s="1188">
        <f t="shared" si="164"/>
        <v>0</v>
      </c>
      <c r="CH491" s="1236"/>
      <c r="CI491" s="1236"/>
      <c r="CJ491" s="1236"/>
      <c r="CK491" s="1188"/>
      <c r="CL491" s="1188"/>
    </row>
    <row r="492" s="1168" customFormat="1" customHeight="1" spans="1:111">
      <c r="A492" s="1245">
        <v>46156</v>
      </c>
      <c r="B492" s="1247" t="s">
        <v>935</v>
      </c>
      <c r="C492" s="1234" t="s">
        <v>115</v>
      </c>
      <c r="D492" s="1268">
        <v>4500206880</v>
      </c>
      <c r="E492" s="1233">
        <v>10520512306</v>
      </c>
      <c r="F492" s="1188" t="s">
        <v>2175</v>
      </c>
      <c r="G492" s="1253" t="s">
        <v>482</v>
      </c>
      <c r="H492" s="1234" t="s">
        <v>483</v>
      </c>
      <c r="I492" s="1254">
        <v>4320</v>
      </c>
      <c r="J492" s="1234">
        <v>0</v>
      </c>
      <c r="K492" s="1234">
        <v>120</v>
      </c>
      <c r="L492" s="1246">
        <f t="shared" si="172"/>
        <v>36</v>
      </c>
      <c r="M492" s="1225">
        <v>46227</v>
      </c>
      <c r="N492" s="1320">
        <v>46233</v>
      </c>
      <c r="O492" s="1337" t="s">
        <v>2173</v>
      </c>
      <c r="P492" s="1320"/>
      <c r="Q492" s="1233" t="s">
        <v>1410</v>
      </c>
      <c r="R492" s="1234"/>
      <c r="S492" s="1234"/>
      <c r="T492" s="1233">
        <v>4320</v>
      </c>
      <c r="U492" s="1233">
        <f t="shared" si="173"/>
        <v>0</v>
      </c>
      <c r="V492" s="1234"/>
      <c r="W492" s="1256">
        <v>46155</v>
      </c>
      <c r="X492" s="1257" t="s">
        <v>107</v>
      </c>
      <c r="Y492" s="1257" t="s">
        <v>95</v>
      </c>
      <c r="Z492" s="1247"/>
      <c r="AA492" s="1247"/>
      <c r="AB492" s="1247"/>
      <c r="AC492" s="1247" t="s">
        <v>937</v>
      </c>
      <c r="AD492" s="1255" t="s">
        <v>488</v>
      </c>
      <c r="AE492" s="1188">
        <v>642</v>
      </c>
      <c r="AF492" s="1248">
        <f>L492*AE492</f>
        <v>23112</v>
      </c>
      <c r="AG492" s="1258"/>
      <c r="AH492" s="1234" t="s">
        <v>490</v>
      </c>
      <c r="AI492" s="1234" t="s">
        <v>112</v>
      </c>
      <c r="AJ492" s="1234" t="s">
        <v>113</v>
      </c>
      <c r="AK492" s="1188"/>
      <c r="AL492" s="1188">
        <f>I492*3</f>
        <v>12960</v>
      </c>
      <c r="AM492" s="1188"/>
      <c r="AN492" s="1188"/>
      <c r="AO492" s="1188"/>
      <c r="AP492" s="1188"/>
      <c r="AQ492" s="1240"/>
      <c r="AR492" s="1188"/>
      <c r="AS492" s="1236"/>
      <c r="AT492" s="1236"/>
      <c r="AU492" s="1188"/>
      <c r="AV492" s="1250">
        <f t="shared" si="174"/>
        <v>518.4</v>
      </c>
      <c r="AW492" s="1250"/>
      <c r="AX492" s="1188"/>
      <c r="AY492" s="1188"/>
      <c r="AZ492" s="1188"/>
      <c r="BA492" s="1188"/>
      <c r="BB492" s="1188">
        <f>I492*3</f>
        <v>12960</v>
      </c>
      <c r="BC492" s="1188">
        <f>I492*3</f>
        <v>12960</v>
      </c>
      <c r="BD492" s="1188">
        <f>I492*3</f>
        <v>12960</v>
      </c>
      <c r="BE492" s="1188">
        <f>I492</f>
        <v>4320</v>
      </c>
      <c r="BF492" s="1188">
        <f>I492/6</f>
        <v>720</v>
      </c>
      <c r="BG492" s="1188"/>
      <c r="BH492" s="1188"/>
      <c r="BI492" s="1188"/>
      <c r="BJ492" s="1188"/>
      <c r="BK492" s="1188"/>
      <c r="BL492" s="1188"/>
      <c r="BM492" s="1188"/>
      <c r="BN492" s="1188"/>
      <c r="BO492" s="1240"/>
      <c r="BP492" s="1240"/>
      <c r="BQ492" s="1188"/>
      <c r="BR492" s="1236"/>
      <c r="BS492" s="1188"/>
      <c r="BT492" s="1188"/>
      <c r="BU492" s="1188"/>
      <c r="BV492" s="1240"/>
      <c r="BW492" s="1188"/>
      <c r="BX492" s="1188"/>
      <c r="BY492" s="1188"/>
      <c r="BZ492" s="1188"/>
      <c r="CA492" s="1188"/>
      <c r="CB492" s="1188"/>
      <c r="CC492" s="1188"/>
      <c r="CD492" s="1188">
        <f t="shared" si="161"/>
        <v>0</v>
      </c>
      <c r="CE492" s="1188">
        <f t="shared" si="162"/>
        <v>0</v>
      </c>
      <c r="CF492" s="1188">
        <f t="shared" si="163"/>
        <v>0</v>
      </c>
      <c r="CG492" s="1188">
        <f t="shared" si="164"/>
        <v>0</v>
      </c>
      <c r="CH492" s="1236"/>
      <c r="CI492" s="1236"/>
      <c r="CJ492" s="1236"/>
      <c r="CK492" s="1188"/>
      <c r="CL492" s="1188"/>
    </row>
    <row r="493" s="1169" customFormat="1" customHeight="1" spans="1:111">
      <c r="A493" s="1245">
        <v>46156</v>
      </c>
      <c r="B493" s="1247" t="s">
        <v>935</v>
      </c>
      <c r="C493" s="1234" t="s">
        <v>115</v>
      </c>
      <c r="D493" s="1268">
        <v>4500206882</v>
      </c>
      <c r="E493" s="1233">
        <v>1790512273</v>
      </c>
      <c r="F493" s="1188" t="s">
        <v>2176</v>
      </c>
      <c r="G493" s="1253" t="s">
        <v>482</v>
      </c>
      <c r="H493" s="1234" t="s">
        <v>483</v>
      </c>
      <c r="I493" s="1254">
        <v>4320</v>
      </c>
      <c r="J493" s="1234">
        <v>0</v>
      </c>
      <c r="K493" s="1234">
        <v>120</v>
      </c>
      <c r="L493" s="1246">
        <f t="shared" si="172"/>
        <v>36</v>
      </c>
      <c r="M493" s="1225">
        <v>46227</v>
      </c>
      <c r="N493" s="1320">
        <v>46233</v>
      </c>
      <c r="O493" s="1322" t="s">
        <v>2177</v>
      </c>
      <c r="P493" s="1320"/>
      <c r="Q493" s="1233" t="s">
        <v>1410</v>
      </c>
      <c r="R493" s="1234"/>
      <c r="S493" s="1234"/>
      <c r="T493" s="1233">
        <v>4320</v>
      </c>
      <c r="U493" s="1233">
        <f t="shared" si="173"/>
        <v>0</v>
      </c>
      <c r="V493" s="1234"/>
      <c r="W493" s="1238">
        <v>46155</v>
      </c>
      <c r="X493" s="1227" t="s">
        <v>107</v>
      </c>
      <c r="Y493" s="1227" t="s">
        <v>95</v>
      </c>
      <c r="Z493" s="1247"/>
      <c r="AA493" s="1247"/>
      <c r="AB493" s="1247"/>
      <c r="AC493" s="1247" t="s">
        <v>937</v>
      </c>
      <c r="AD493" s="1255" t="s">
        <v>488</v>
      </c>
      <c r="AE493" s="1188">
        <v>642</v>
      </c>
      <c r="AF493" s="1248">
        <f>L493*AE493</f>
        <v>23112</v>
      </c>
      <c r="AG493" s="1249" t="s">
        <v>2178</v>
      </c>
      <c r="AH493" s="1234" t="s">
        <v>490</v>
      </c>
      <c r="AI493" s="1234" t="s">
        <v>112</v>
      </c>
      <c r="AJ493" s="1234" t="s">
        <v>113</v>
      </c>
      <c r="AK493" s="1188"/>
      <c r="AL493" s="1188">
        <f>I493*3</f>
        <v>12960</v>
      </c>
      <c r="AM493" s="1188"/>
      <c r="AN493" s="1188"/>
      <c r="AO493" s="1188"/>
      <c r="AP493" s="1188"/>
      <c r="AQ493" s="1240"/>
      <c r="AR493" s="1188"/>
      <c r="AS493" s="1236"/>
      <c r="AT493" s="1236"/>
      <c r="AU493" s="1188"/>
      <c r="AV493" s="1250">
        <f t="shared" si="174"/>
        <v>518.4</v>
      </c>
      <c r="AW493" s="1250"/>
      <c r="AX493" s="1188"/>
      <c r="AY493" s="1188"/>
      <c r="AZ493" s="1188"/>
      <c r="BA493" s="1188"/>
      <c r="BB493" s="1188">
        <f>I493*3</f>
        <v>12960</v>
      </c>
      <c r="BC493" s="1188">
        <f>I493*3</f>
        <v>12960</v>
      </c>
      <c r="BD493" s="1188">
        <f>I493*3</f>
        <v>12960</v>
      </c>
      <c r="BE493" s="1188">
        <f>I493</f>
        <v>4320</v>
      </c>
      <c r="BF493" s="1188">
        <f>I493/6</f>
        <v>720</v>
      </c>
      <c r="BG493" s="1188"/>
      <c r="BH493" s="1188"/>
      <c r="BI493" s="1188"/>
      <c r="BJ493" s="1188"/>
      <c r="BK493" s="1188"/>
      <c r="BL493" s="1188"/>
      <c r="BM493" s="1188"/>
      <c r="BN493" s="1188"/>
      <c r="BO493" s="1240"/>
      <c r="BP493" s="1240"/>
      <c r="BQ493" s="1188"/>
      <c r="BR493" s="1236"/>
      <c r="BS493" s="1236"/>
      <c r="BT493" s="1188"/>
      <c r="BU493" s="1188"/>
      <c r="BV493" s="1240"/>
      <c r="BW493" s="1188"/>
      <c r="BX493" s="1188"/>
      <c r="BY493" s="1188"/>
      <c r="BZ493" s="1188"/>
      <c r="CA493" s="1188"/>
      <c r="CB493" s="1188"/>
      <c r="CC493" s="1188"/>
      <c r="CD493" s="1188">
        <f t="shared" si="161"/>
        <v>0</v>
      </c>
      <c r="CE493" s="1188">
        <f t="shared" si="162"/>
        <v>0</v>
      </c>
      <c r="CF493" s="1188">
        <f t="shared" si="163"/>
        <v>0</v>
      </c>
      <c r="CG493" s="1188">
        <f t="shared" si="164"/>
        <v>0</v>
      </c>
      <c r="CH493" s="1236"/>
      <c r="CI493" s="1236"/>
      <c r="CJ493" s="1236"/>
      <c r="CK493" s="1188"/>
      <c r="CL493" s="1188"/>
      <c r="CM493" s="1168"/>
      <c r="CN493" s="1168"/>
      <c r="CO493" s="1168"/>
      <c r="CP493" s="1168"/>
      <c r="CQ493" s="1168"/>
      <c r="CR493" s="1168"/>
      <c r="CS493" s="1168"/>
      <c r="CT493" s="1168"/>
      <c r="CU493" s="1168"/>
      <c r="CV493" s="1168"/>
      <c r="CW493" s="1168"/>
      <c r="CX493" s="1168"/>
      <c r="CY493" s="1168"/>
      <c r="CZ493" s="1168"/>
      <c r="DA493" s="1168"/>
      <c r="DB493" s="1168"/>
      <c r="DC493" s="1168"/>
      <c r="DD493" s="1168"/>
      <c r="DE493" s="1168"/>
      <c r="DF493" s="1168"/>
      <c r="DG493" s="1168"/>
    </row>
    <row r="494" s="1168" customFormat="1" customHeight="1" spans="1:111">
      <c r="A494" s="1245">
        <v>46141</v>
      </c>
      <c r="B494" s="1247" t="s">
        <v>1532</v>
      </c>
      <c r="C494" s="1234" t="s">
        <v>1533</v>
      </c>
      <c r="D494" s="1268">
        <v>4500203228</v>
      </c>
      <c r="E494" s="1234" t="s">
        <v>2179</v>
      </c>
      <c r="F494" s="1188" t="s">
        <v>2180</v>
      </c>
      <c r="G494" s="1253" t="s">
        <v>188</v>
      </c>
      <c r="H494" s="1234" t="s">
        <v>138</v>
      </c>
      <c r="I494" s="1254">
        <v>1300</v>
      </c>
      <c r="J494" s="1234">
        <v>0</v>
      </c>
      <c r="K494" s="1234">
        <v>50</v>
      </c>
      <c r="L494" s="1246">
        <f t="shared" si="172"/>
        <v>26</v>
      </c>
      <c r="M494" s="1255">
        <v>46227</v>
      </c>
      <c r="N494" s="1320">
        <v>46234</v>
      </c>
      <c r="O494" s="1320" t="s">
        <v>2151</v>
      </c>
      <c r="P494" s="1233"/>
      <c r="Q494" s="1233" t="s">
        <v>1410</v>
      </c>
      <c r="R494" s="1234" t="s">
        <v>2181</v>
      </c>
      <c r="S494" s="1234"/>
      <c r="T494" s="1233">
        <v>1300</v>
      </c>
      <c r="U494" s="1233">
        <f t="shared" si="173"/>
        <v>0</v>
      </c>
      <c r="V494" s="1234" t="s">
        <v>120</v>
      </c>
      <c r="W494" s="1238" t="s">
        <v>2182</v>
      </c>
      <c r="X494" s="1227" t="s">
        <v>95</v>
      </c>
      <c r="Y494" s="1227" t="s">
        <v>2183</v>
      </c>
      <c r="Z494" s="1247"/>
      <c r="AA494" s="1247"/>
      <c r="AB494" s="1247"/>
      <c r="AC494" s="1321" t="s">
        <v>2184</v>
      </c>
      <c r="AD494" s="1255" t="s">
        <v>1169</v>
      </c>
      <c r="AE494" s="1188">
        <v>1.089</v>
      </c>
      <c r="AF494" s="1248">
        <f>AE494*I494</f>
        <v>1415.7</v>
      </c>
      <c r="AG494" s="1258"/>
      <c r="AH494" s="1234" t="s">
        <v>314</v>
      </c>
      <c r="AI494" s="1234" t="s">
        <v>112</v>
      </c>
      <c r="AJ494" s="1234" t="s">
        <v>113</v>
      </c>
      <c r="AK494" s="1188">
        <f>I494</f>
        <v>1300</v>
      </c>
      <c r="AL494" s="1188"/>
      <c r="AM494" s="1188"/>
      <c r="AN494" s="1188"/>
      <c r="AO494" s="1188"/>
      <c r="AP494" s="1188">
        <f>I494</f>
        <v>1300</v>
      </c>
      <c r="AQ494" s="1240"/>
      <c r="AR494" s="1188"/>
      <c r="AS494" s="1236"/>
      <c r="AT494" s="1236"/>
      <c r="AU494" s="1188">
        <f>I494</f>
        <v>1300</v>
      </c>
      <c r="AV494" s="1250">
        <f t="shared" si="174"/>
        <v>156</v>
      </c>
      <c r="AW494" s="1250"/>
      <c r="AX494" s="1188"/>
      <c r="AY494" s="1188"/>
      <c r="AZ494" s="1188"/>
      <c r="BA494" s="1188"/>
      <c r="BB494" s="1188"/>
      <c r="BC494" s="1188"/>
      <c r="BD494" s="1188"/>
      <c r="BE494" s="1188"/>
      <c r="BF494" s="1188"/>
      <c r="BG494" s="1188"/>
      <c r="BH494" s="1188"/>
      <c r="BI494" s="1188"/>
      <c r="BJ494" s="1188"/>
      <c r="BK494" s="1188"/>
      <c r="BL494" s="1188"/>
      <c r="BM494" s="1188"/>
      <c r="BN494" s="1188"/>
      <c r="BO494" s="1240">
        <f>I494/25</f>
        <v>52</v>
      </c>
      <c r="BP494" s="1240"/>
      <c r="BQ494" s="1188"/>
      <c r="BR494" s="1236"/>
      <c r="BS494" s="1236"/>
      <c r="BT494" s="1188"/>
      <c r="BU494" s="1188"/>
      <c r="BV494" s="1240"/>
      <c r="BW494" s="1188"/>
      <c r="BX494" s="1188"/>
      <c r="BY494" s="1188"/>
      <c r="BZ494" s="1188"/>
      <c r="CA494" s="1188"/>
      <c r="CB494" s="1188"/>
      <c r="CC494" s="1188"/>
      <c r="CD494" s="1188">
        <f t="shared" si="161"/>
        <v>52</v>
      </c>
      <c r="CE494" s="1188">
        <f t="shared" si="162"/>
        <v>0</v>
      </c>
      <c r="CF494" s="1188">
        <f t="shared" si="163"/>
        <v>0</v>
      </c>
      <c r="CG494" s="1188">
        <f t="shared" si="164"/>
        <v>0</v>
      </c>
      <c r="CH494" s="1236"/>
      <c r="CI494" s="1236"/>
      <c r="CJ494" s="1236"/>
      <c r="CK494" s="1188"/>
      <c r="CL494" s="1188"/>
    </row>
    <row r="495" s="1169" customFormat="1" customHeight="1" spans="1:111">
      <c r="A495" s="1245">
        <v>46156</v>
      </c>
      <c r="B495" s="1247" t="s">
        <v>935</v>
      </c>
      <c r="C495" s="1234" t="s">
        <v>115</v>
      </c>
      <c r="D495" s="1268">
        <v>4500206887</v>
      </c>
      <c r="E495" s="1233">
        <v>2620512312</v>
      </c>
      <c r="F495" s="1188" t="s">
        <v>2185</v>
      </c>
      <c r="G495" s="1253" t="s">
        <v>482</v>
      </c>
      <c r="H495" s="1234" t="s">
        <v>483</v>
      </c>
      <c r="I495" s="1254">
        <v>4320</v>
      </c>
      <c r="J495" s="1234">
        <v>0</v>
      </c>
      <c r="K495" s="1234">
        <v>120</v>
      </c>
      <c r="L495" s="1246">
        <f t="shared" si="172"/>
        <v>36</v>
      </c>
      <c r="M495" s="1255">
        <v>46227</v>
      </c>
      <c r="N495" s="1320">
        <v>46234</v>
      </c>
      <c r="O495" s="1322" t="s">
        <v>2186</v>
      </c>
      <c r="P495" s="1233"/>
      <c r="Q495" s="1233" t="s">
        <v>1410</v>
      </c>
      <c r="R495" s="1234"/>
      <c r="S495" s="1234"/>
      <c r="T495" s="1233">
        <v>4320</v>
      </c>
      <c r="U495" s="1233">
        <f t="shared" si="173"/>
        <v>0</v>
      </c>
      <c r="V495" s="1234"/>
      <c r="W495" s="1256">
        <v>46155</v>
      </c>
      <c r="X495" s="1257" t="s">
        <v>107</v>
      </c>
      <c r="Y495" s="1257" t="s">
        <v>95</v>
      </c>
      <c r="Z495" s="1247"/>
      <c r="AA495" s="1247"/>
      <c r="AB495" s="1247"/>
      <c r="AC495" s="1247" t="s">
        <v>937</v>
      </c>
      <c r="AD495" s="1255" t="s">
        <v>488</v>
      </c>
      <c r="AE495" s="1188">
        <v>642</v>
      </c>
      <c r="AF495" s="1248">
        <f>L495*AE495</f>
        <v>23112</v>
      </c>
      <c r="AG495" s="1258"/>
      <c r="AH495" s="1234" t="s">
        <v>490</v>
      </c>
      <c r="AI495" s="1234" t="s">
        <v>112</v>
      </c>
      <c r="AJ495" s="1234" t="s">
        <v>113</v>
      </c>
      <c r="AK495" s="1188"/>
      <c r="AL495" s="1188">
        <f>I495*3</f>
        <v>12960</v>
      </c>
      <c r="AM495" s="1188"/>
      <c r="AN495" s="1188"/>
      <c r="AO495" s="1188"/>
      <c r="AP495" s="1188"/>
      <c r="AQ495" s="1240"/>
      <c r="AR495" s="1188"/>
      <c r="AS495" s="1236"/>
      <c r="AT495" s="1236"/>
      <c r="AU495" s="1188"/>
      <c r="AV495" s="1250">
        <f t="shared" si="174"/>
        <v>518.4</v>
      </c>
      <c r="AW495" s="1250"/>
      <c r="AX495" s="1188"/>
      <c r="AY495" s="1188"/>
      <c r="AZ495" s="1188"/>
      <c r="BA495" s="1188"/>
      <c r="BB495" s="1188">
        <f>I495*3</f>
        <v>12960</v>
      </c>
      <c r="BC495" s="1188">
        <f>I495*3</f>
        <v>12960</v>
      </c>
      <c r="BD495" s="1188">
        <f>I495*3</f>
        <v>12960</v>
      </c>
      <c r="BE495" s="1188">
        <f>I495</f>
        <v>4320</v>
      </c>
      <c r="BF495" s="1188">
        <f>I495/6</f>
        <v>720</v>
      </c>
      <c r="BG495" s="1188"/>
      <c r="BH495" s="1188"/>
      <c r="BI495" s="1188"/>
      <c r="BJ495" s="1188"/>
      <c r="BK495" s="1188"/>
      <c r="BL495" s="1188"/>
      <c r="BM495" s="1188"/>
      <c r="BN495" s="1188"/>
      <c r="BO495" s="1240"/>
      <c r="BP495" s="1240"/>
      <c r="BQ495" s="1188"/>
      <c r="BR495" s="1236"/>
      <c r="BS495" s="1236"/>
      <c r="BT495" s="1188"/>
      <c r="BU495" s="1188"/>
      <c r="BV495" s="1240"/>
      <c r="BW495" s="1188"/>
      <c r="BX495" s="1188"/>
      <c r="BY495" s="1188"/>
      <c r="BZ495" s="1188"/>
      <c r="CA495" s="1188"/>
      <c r="CB495" s="1188"/>
      <c r="CC495" s="1188"/>
      <c r="CD495" s="1188">
        <f t="shared" si="161"/>
        <v>0</v>
      </c>
      <c r="CE495" s="1188">
        <f t="shared" si="162"/>
        <v>0</v>
      </c>
      <c r="CF495" s="1188">
        <f t="shared" si="163"/>
        <v>0</v>
      </c>
      <c r="CG495" s="1188">
        <f t="shared" si="164"/>
        <v>0</v>
      </c>
      <c r="CH495" s="1236"/>
      <c r="CI495" s="1236"/>
      <c r="CJ495" s="1236"/>
      <c r="CK495" s="1188"/>
      <c r="CL495" s="1188"/>
      <c r="CM495" s="1168"/>
      <c r="CN495" s="1168"/>
      <c r="CO495" s="1168"/>
      <c r="CP495" s="1168"/>
      <c r="CQ495" s="1168"/>
      <c r="CR495" s="1168"/>
      <c r="CS495" s="1168"/>
      <c r="CT495" s="1168"/>
      <c r="CU495" s="1168"/>
      <c r="CV495" s="1168"/>
      <c r="CW495" s="1168"/>
      <c r="CX495" s="1168"/>
      <c r="CY495" s="1168"/>
      <c r="CZ495" s="1168"/>
      <c r="DA495" s="1168"/>
      <c r="DB495" s="1168"/>
      <c r="DC495" s="1168"/>
      <c r="DD495" s="1168"/>
      <c r="DE495" s="1168"/>
      <c r="DF495" s="1168"/>
      <c r="DG495" s="1168"/>
    </row>
    <row r="496" s="1168" customFormat="1" customHeight="1" spans="1:111">
      <c r="A496" s="1245">
        <v>46182</v>
      </c>
      <c r="B496" s="1247" t="s">
        <v>147</v>
      </c>
      <c r="C496" s="1234" t="s">
        <v>148</v>
      </c>
      <c r="D496" s="1268">
        <v>4500211229</v>
      </c>
      <c r="E496" s="1233">
        <v>4400555633</v>
      </c>
      <c r="F496" s="1188" t="s">
        <v>2187</v>
      </c>
      <c r="G496" s="1253" t="s">
        <v>270</v>
      </c>
      <c r="H496" s="1234" t="s">
        <v>104</v>
      </c>
      <c r="I496" s="1254">
        <v>1200</v>
      </c>
      <c r="J496" s="1234">
        <v>0</v>
      </c>
      <c r="K496" s="1234">
        <v>25</v>
      </c>
      <c r="L496" s="1246">
        <f t="shared" si="172"/>
        <v>48</v>
      </c>
      <c r="M496" s="1255">
        <v>46227</v>
      </c>
      <c r="N496" s="1320">
        <v>46234</v>
      </c>
      <c r="O496" s="1320" t="s">
        <v>2188</v>
      </c>
      <c r="P496" s="1233"/>
      <c r="Q496" s="1233" t="s">
        <v>1410</v>
      </c>
      <c r="R496" s="1234"/>
      <c r="S496" s="1234"/>
      <c r="T496" s="1233">
        <v>1200</v>
      </c>
      <c r="U496" s="1233">
        <f t="shared" si="173"/>
        <v>0</v>
      </c>
      <c r="V496" s="1234"/>
      <c r="W496" s="1238">
        <v>46182</v>
      </c>
      <c r="X496" s="1227" t="s">
        <v>95</v>
      </c>
      <c r="Y496" s="1227" t="s">
        <v>1794</v>
      </c>
      <c r="Z496" s="1247" t="s">
        <v>140</v>
      </c>
      <c r="AA496" s="1247"/>
      <c r="AB496" s="1247" t="s">
        <v>2189</v>
      </c>
      <c r="AC496" s="1321" t="s">
        <v>2190</v>
      </c>
      <c r="AD496" s="1255" t="s">
        <v>1142</v>
      </c>
      <c r="AE496" s="1188">
        <v>1.1085</v>
      </c>
      <c r="AF496" s="1248">
        <f>I496*AE496</f>
        <v>1330.2</v>
      </c>
      <c r="AG496" s="1258"/>
      <c r="AH496" s="1253" t="s">
        <v>270</v>
      </c>
      <c r="AI496" s="1234" t="s">
        <v>112</v>
      </c>
      <c r="AJ496" s="1234" t="s">
        <v>113</v>
      </c>
      <c r="AK496" s="1188">
        <f>I496</f>
        <v>1200</v>
      </c>
      <c r="AL496" s="1188"/>
      <c r="AM496" s="1188"/>
      <c r="AN496" s="1188"/>
      <c r="AO496" s="1188"/>
      <c r="AP496" s="1188"/>
      <c r="AQ496" s="1240"/>
      <c r="AR496" s="1188"/>
      <c r="AS496" s="1236"/>
      <c r="AT496" s="1236"/>
      <c r="AU496" s="1188"/>
      <c r="AV496" s="1250">
        <f>I496*0.06</f>
        <v>72</v>
      </c>
      <c r="AW496" s="1250">
        <f>I496</f>
        <v>1200</v>
      </c>
      <c r="AX496" s="1188"/>
      <c r="AY496" s="1188"/>
      <c r="AZ496" s="1188"/>
      <c r="BA496" s="1188"/>
      <c r="BB496" s="1188"/>
      <c r="BC496" s="1188"/>
      <c r="BD496" s="1188"/>
      <c r="BE496" s="1188"/>
      <c r="BF496" s="1188"/>
      <c r="BG496" s="1188">
        <f>I496</f>
        <v>1200</v>
      </c>
      <c r="BH496" s="1188"/>
      <c r="BI496" s="1188"/>
      <c r="BJ496" s="1188"/>
      <c r="BK496" s="1188"/>
      <c r="BL496" s="1188"/>
      <c r="BM496" s="1188"/>
      <c r="BN496" s="1188"/>
      <c r="BO496" s="1240">
        <f>I496/25</f>
        <v>48</v>
      </c>
      <c r="BP496" s="1240"/>
      <c r="BQ496" s="1188"/>
      <c r="BR496" s="1236"/>
      <c r="BS496" s="1236"/>
      <c r="BT496" s="1188"/>
      <c r="BU496" s="1188"/>
      <c r="BV496" s="1240"/>
      <c r="BW496" s="1188"/>
      <c r="BX496" s="1188"/>
      <c r="BY496" s="1188"/>
      <c r="BZ496" s="1188"/>
      <c r="CA496" s="1188"/>
      <c r="CB496" s="1188"/>
      <c r="CC496" s="1188"/>
      <c r="CD496" s="1188">
        <f t="shared" si="161"/>
        <v>48</v>
      </c>
      <c r="CE496" s="1188">
        <f t="shared" si="162"/>
        <v>0</v>
      </c>
      <c r="CF496" s="1188">
        <f t="shared" si="163"/>
        <v>0</v>
      </c>
      <c r="CG496" s="1188">
        <f t="shared" si="164"/>
        <v>0</v>
      </c>
      <c r="CH496" s="1236"/>
      <c r="CI496" s="1236"/>
      <c r="CJ496" s="1236"/>
      <c r="CK496" s="1188"/>
      <c r="CL496" s="1188"/>
    </row>
    <row r="497" s="1168" customFormat="1" customHeight="1" spans="1:111">
      <c r="A497" s="1245">
        <v>46182</v>
      </c>
      <c r="B497" s="1247" t="s">
        <v>147</v>
      </c>
      <c r="C497" s="1234" t="s">
        <v>148</v>
      </c>
      <c r="D497" s="1268">
        <v>4500211229</v>
      </c>
      <c r="E497" s="1233">
        <v>4400555634</v>
      </c>
      <c r="F497" s="1188" t="s">
        <v>2191</v>
      </c>
      <c r="G497" s="1253" t="s">
        <v>270</v>
      </c>
      <c r="H497" s="1234" t="s">
        <v>104</v>
      </c>
      <c r="I497" s="1254">
        <v>2800</v>
      </c>
      <c r="J497" s="1234">
        <v>0</v>
      </c>
      <c r="K497" s="1234">
        <v>25</v>
      </c>
      <c r="L497" s="1246">
        <f t="shared" si="172"/>
        <v>112</v>
      </c>
      <c r="M497" s="1255">
        <v>46227</v>
      </c>
      <c r="N497" s="1320">
        <v>46234</v>
      </c>
      <c r="O497" s="1320" t="s">
        <v>2188</v>
      </c>
      <c r="P497" s="1233"/>
      <c r="Q497" s="1233" t="s">
        <v>1410</v>
      </c>
      <c r="R497" s="1234"/>
      <c r="S497" s="1234"/>
      <c r="T497" s="1233">
        <v>2800</v>
      </c>
      <c r="U497" s="1233">
        <f t="shared" si="173"/>
        <v>0</v>
      </c>
      <c r="V497" s="1234"/>
      <c r="W497" s="1238">
        <v>46182</v>
      </c>
      <c r="X497" s="1227" t="s">
        <v>95</v>
      </c>
      <c r="Y497" s="1227" t="s">
        <v>1794</v>
      </c>
      <c r="Z497" s="1247" t="s">
        <v>140</v>
      </c>
      <c r="AA497" s="1247"/>
      <c r="AB497" s="1247" t="s">
        <v>2189</v>
      </c>
      <c r="AC497" s="1321" t="s">
        <v>2190</v>
      </c>
      <c r="AD497" s="1255" t="s">
        <v>1142</v>
      </c>
      <c r="AE497" s="1188">
        <v>1.1085</v>
      </c>
      <c r="AF497" s="1248">
        <f>I497*AE497</f>
        <v>3103.8</v>
      </c>
      <c r="AG497" s="1258"/>
      <c r="AH497" s="1253" t="s">
        <v>270</v>
      </c>
      <c r="AI497" s="1234" t="s">
        <v>112</v>
      </c>
      <c r="AJ497" s="1234" t="s">
        <v>113</v>
      </c>
      <c r="AK497" s="1188">
        <f>I497</f>
        <v>2800</v>
      </c>
      <c r="AL497" s="1188"/>
      <c r="AM497" s="1188"/>
      <c r="AN497" s="1188"/>
      <c r="AO497" s="1188"/>
      <c r="AP497" s="1188"/>
      <c r="AQ497" s="1240"/>
      <c r="AR497" s="1188"/>
      <c r="AS497" s="1236"/>
      <c r="AT497" s="1236"/>
      <c r="AU497" s="1188"/>
      <c r="AV497" s="1250">
        <f>I497*0.06</f>
        <v>168</v>
      </c>
      <c r="AW497" s="1250">
        <f>I497</f>
        <v>2800</v>
      </c>
      <c r="AX497" s="1188"/>
      <c r="AY497" s="1188"/>
      <c r="AZ497" s="1188"/>
      <c r="BA497" s="1188"/>
      <c r="BB497" s="1188"/>
      <c r="BC497" s="1188"/>
      <c r="BD497" s="1188"/>
      <c r="BE497" s="1188"/>
      <c r="BF497" s="1188"/>
      <c r="BG497" s="1188">
        <f>I497</f>
        <v>2800</v>
      </c>
      <c r="BH497" s="1188"/>
      <c r="BI497" s="1188"/>
      <c r="BJ497" s="1188"/>
      <c r="BK497" s="1188"/>
      <c r="BL497" s="1188"/>
      <c r="BM497" s="1188"/>
      <c r="BN497" s="1188"/>
      <c r="BO497" s="1240">
        <f>I497/25</f>
        <v>112</v>
      </c>
      <c r="BP497" s="1240"/>
      <c r="BQ497" s="1188"/>
      <c r="BR497" s="1236"/>
      <c r="BS497" s="1236"/>
      <c r="BT497" s="1188"/>
      <c r="BU497" s="1188"/>
      <c r="BV497" s="1240"/>
      <c r="BW497" s="1188"/>
      <c r="BX497" s="1188"/>
      <c r="BY497" s="1188"/>
      <c r="BZ497" s="1188"/>
      <c r="CA497" s="1188"/>
      <c r="CB497" s="1188"/>
      <c r="CC497" s="1188"/>
      <c r="CD497" s="1188">
        <f t="shared" si="161"/>
        <v>112</v>
      </c>
      <c r="CE497" s="1188">
        <f t="shared" si="162"/>
        <v>0</v>
      </c>
      <c r="CF497" s="1188">
        <f t="shared" si="163"/>
        <v>0</v>
      </c>
      <c r="CG497" s="1188">
        <f t="shared" si="164"/>
        <v>0</v>
      </c>
      <c r="CH497" s="1236"/>
      <c r="CI497" s="1236"/>
      <c r="CJ497" s="1236"/>
      <c r="CK497" s="1188"/>
      <c r="CL497" s="1188"/>
    </row>
    <row r="498" s="1169" customFormat="1" customHeight="1" spans="1:111">
      <c r="A498" s="1245">
        <v>46142</v>
      </c>
      <c r="B498" s="1247" t="s">
        <v>1532</v>
      </c>
      <c r="C498" s="1234" t="s">
        <v>1533</v>
      </c>
      <c r="D498" s="1268">
        <v>4500203225</v>
      </c>
      <c r="E498" s="1234" t="s">
        <v>628</v>
      </c>
      <c r="F498" s="1188" t="s">
        <v>2192</v>
      </c>
      <c r="G498" s="1253" t="s">
        <v>188</v>
      </c>
      <c r="H498" s="1234" t="s">
        <v>138</v>
      </c>
      <c r="I498" s="1254">
        <v>10450</v>
      </c>
      <c r="J498" s="1234">
        <v>0</v>
      </c>
      <c r="K498" s="1234">
        <v>50</v>
      </c>
      <c r="L498" s="1246">
        <f t="shared" si="172"/>
        <v>209</v>
      </c>
      <c r="M498" s="1255">
        <v>46227</v>
      </c>
      <c r="N498" s="1320">
        <v>46239</v>
      </c>
      <c r="O498" s="1322" t="s">
        <v>2151</v>
      </c>
      <c r="P498" s="1233"/>
      <c r="Q498" s="1233" t="s">
        <v>1410</v>
      </c>
      <c r="R498" s="1234" t="s">
        <v>1241</v>
      </c>
      <c r="S498" s="1234"/>
      <c r="T498" s="1233">
        <v>10450</v>
      </c>
      <c r="U498" s="1233">
        <f t="shared" si="173"/>
        <v>0</v>
      </c>
      <c r="V498" s="1234"/>
      <c r="W498" s="1238" t="s">
        <v>2193</v>
      </c>
      <c r="X498" s="1227" t="s">
        <v>95</v>
      </c>
      <c r="Y498" s="1227" t="s">
        <v>1537</v>
      </c>
      <c r="Z498" s="1247"/>
      <c r="AA498" s="1247"/>
      <c r="AB498" s="1247"/>
      <c r="AC498" s="1321" t="s">
        <v>2194</v>
      </c>
      <c r="AD498" s="1255" t="s">
        <v>1169</v>
      </c>
      <c r="AE498" s="1188">
        <v>1.0784</v>
      </c>
      <c r="AF498" s="1248">
        <f>AE498*I498</f>
        <v>11269.28</v>
      </c>
      <c r="AG498" s="1258"/>
      <c r="AH498" s="1234" t="s">
        <v>314</v>
      </c>
      <c r="AI498" s="1234" t="s">
        <v>112</v>
      </c>
      <c r="AJ498" s="1234" t="s">
        <v>113</v>
      </c>
      <c r="AK498" s="1188">
        <f>I498</f>
        <v>10450</v>
      </c>
      <c r="AL498" s="1188"/>
      <c r="AM498" s="1188"/>
      <c r="AN498" s="1188"/>
      <c r="AO498" s="1188"/>
      <c r="AP498" s="1188">
        <f>I498</f>
        <v>10450</v>
      </c>
      <c r="AQ498" s="1240"/>
      <c r="AR498" s="1188"/>
      <c r="AS498" s="1236"/>
      <c r="AT498" s="1236"/>
      <c r="AU498" s="1188">
        <f>I498</f>
        <v>10450</v>
      </c>
      <c r="AV498" s="1250">
        <f>I498*0.06*2</f>
        <v>1254</v>
      </c>
      <c r="AW498" s="1250"/>
      <c r="AX498" s="1188"/>
      <c r="AY498" s="1188"/>
      <c r="AZ498" s="1188"/>
      <c r="BA498" s="1188"/>
      <c r="BB498" s="1188"/>
      <c r="BC498" s="1188"/>
      <c r="BD498" s="1188"/>
      <c r="BE498" s="1188"/>
      <c r="BF498" s="1188"/>
      <c r="BG498" s="1188"/>
      <c r="BH498" s="1188"/>
      <c r="BI498" s="1188"/>
      <c r="BJ498" s="1188"/>
      <c r="BK498" s="1188"/>
      <c r="BL498" s="1188"/>
      <c r="BM498" s="1188"/>
      <c r="BN498" s="1188"/>
      <c r="BO498" s="1240">
        <f>I498/25</f>
        <v>418</v>
      </c>
      <c r="BP498" s="1240"/>
      <c r="BQ498" s="1188"/>
      <c r="BR498" s="1236"/>
      <c r="BS498" s="1236"/>
      <c r="BT498" s="1188"/>
      <c r="BU498" s="1188"/>
      <c r="BV498" s="1240"/>
      <c r="BW498" s="1188"/>
      <c r="BX498" s="1188"/>
      <c r="BY498" s="1188"/>
      <c r="BZ498" s="1188"/>
      <c r="CA498" s="1188"/>
      <c r="CB498" s="1188"/>
      <c r="CC498" s="1188"/>
      <c r="CD498" s="1188">
        <f t="shared" si="161"/>
        <v>418</v>
      </c>
      <c r="CE498" s="1188">
        <f t="shared" si="162"/>
        <v>0</v>
      </c>
      <c r="CF498" s="1188">
        <f t="shared" si="163"/>
        <v>0</v>
      </c>
      <c r="CG498" s="1188">
        <f t="shared" si="164"/>
        <v>0</v>
      </c>
      <c r="CH498" s="1236"/>
      <c r="CI498" s="1236"/>
      <c r="CJ498" s="1236"/>
      <c r="CK498" s="1188"/>
      <c r="CL498" s="1188"/>
      <c r="CM498" s="1168"/>
      <c r="CN498" s="1168"/>
      <c r="CO498" s="1168"/>
      <c r="CP498" s="1168"/>
      <c r="CQ498" s="1168"/>
      <c r="CR498" s="1168"/>
      <c r="CS498" s="1168"/>
      <c r="CT498" s="1168"/>
      <c r="CU498" s="1168"/>
      <c r="CV498" s="1168"/>
      <c r="CW498" s="1168"/>
      <c r="CX498" s="1168"/>
      <c r="CY498" s="1168"/>
      <c r="CZ498" s="1168"/>
      <c r="DA498" s="1168"/>
      <c r="DB498" s="1168"/>
      <c r="DC498" s="1168"/>
      <c r="DD498" s="1168"/>
      <c r="DE498" s="1168"/>
      <c r="DF498" s="1168"/>
      <c r="DG498" s="1168"/>
    </row>
    <row r="499" s="1168" customFormat="1" customHeight="1" spans="1:111">
      <c r="A499" s="1245">
        <v>46160</v>
      </c>
      <c r="B499" s="1269" t="s">
        <v>1532</v>
      </c>
      <c r="C499" s="1287" t="s">
        <v>1533</v>
      </c>
      <c r="D499" s="1270">
        <v>4500203233</v>
      </c>
      <c r="E499" s="1271" t="s">
        <v>2195</v>
      </c>
      <c r="F499" s="1270" t="s">
        <v>2196</v>
      </c>
      <c r="G499" s="1272" t="s">
        <v>188</v>
      </c>
      <c r="H499" s="1247" t="s">
        <v>138</v>
      </c>
      <c r="I499" s="1273">
        <v>400</v>
      </c>
      <c r="J499" s="1274">
        <v>0</v>
      </c>
      <c r="K499" s="1274">
        <v>50</v>
      </c>
      <c r="L499" s="1246">
        <f t="shared" si="172"/>
        <v>8</v>
      </c>
      <c r="M499" s="1255">
        <v>46227</v>
      </c>
      <c r="N499" s="1320">
        <v>46239</v>
      </c>
      <c r="O499" s="1322" t="s">
        <v>2151</v>
      </c>
      <c r="P499" s="1233"/>
      <c r="Q499" s="1233" t="s">
        <v>1410</v>
      </c>
      <c r="R499" s="1234"/>
      <c r="S499" s="1234"/>
      <c r="T499" s="1233">
        <v>400</v>
      </c>
      <c r="U499" s="1233">
        <f t="shared" si="173"/>
        <v>0</v>
      </c>
      <c r="V499" s="1234" t="s">
        <v>120</v>
      </c>
      <c r="W499" s="1256">
        <v>46196</v>
      </c>
      <c r="X499" s="1257" t="s">
        <v>95</v>
      </c>
      <c r="Y499" s="1257" t="s">
        <v>2197</v>
      </c>
      <c r="Z499" s="1247"/>
      <c r="AA499" s="1247"/>
      <c r="AB499" s="1247"/>
      <c r="AC499" s="1247" t="s">
        <v>2198</v>
      </c>
      <c r="AD499" s="1275" t="s">
        <v>1169</v>
      </c>
      <c r="AE499" s="1276">
        <v>1.1228</v>
      </c>
      <c r="AF499" s="1248">
        <f>AE499*I499</f>
        <v>449.12</v>
      </c>
      <c r="AG499" s="1258"/>
      <c r="AH499" s="1234" t="s">
        <v>314</v>
      </c>
      <c r="AI499" s="1234" t="s">
        <v>112</v>
      </c>
      <c r="AJ499" s="1234" t="s">
        <v>113</v>
      </c>
      <c r="AK499" s="1188">
        <f>I499</f>
        <v>400</v>
      </c>
      <c r="AL499" s="1188"/>
      <c r="AM499" s="1188"/>
      <c r="AN499" s="1188"/>
      <c r="AO499" s="1188"/>
      <c r="AP499" s="1188">
        <f>I499</f>
        <v>400</v>
      </c>
      <c r="AQ499" s="1240"/>
      <c r="AR499" s="1188"/>
      <c r="AS499" s="1236"/>
      <c r="AT499" s="1236"/>
      <c r="AU499" s="1188">
        <f>I499</f>
        <v>400</v>
      </c>
      <c r="AV499" s="1250">
        <f>I499*0.06*2</f>
        <v>48</v>
      </c>
      <c r="AW499" s="1250"/>
      <c r="AX499" s="1188"/>
      <c r="AY499" s="1188"/>
      <c r="AZ499" s="1188"/>
      <c r="BA499" s="1188"/>
      <c r="BB499" s="1188"/>
      <c r="BC499" s="1188"/>
      <c r="BD499" s="1188"/>
      <c r="BE499" s="1188"/>
      <c r="BF499" s="1188"/>
      <c r="BG499" s="1188"/>
      <c r="BH499" s="1188"/>
      <c r="BI499" s="1188"/>
      <c r="BJ499" s="1188"/>
      <c r="BK499" s="1188"/>
      <c r="BL499" s="1188"/>
      <c r="BM499" s="1188"/>
      <c r="BN499" s="1188"/>
      <c r="BO499" s="1240">
        <f>I499/25</f>
        <v>16</v>
      </c>
      <c r="BP499" s="1240"/>
      <c r="BQ499" s="1188"/>
      <c r="BR499" s="1236"/>
      <c r="BS499" s="1236"/>
      <c r="BT499" s="1188"/>
      <c r="BU499" s="1188"/>
      <c r="BV499" s="1240"/>
      <c r="BW499" s="1188"/>
      <c r="BX499" s="1188"/>
      <c r="BY499" s="1188"/>
      <c r="BZ499" s="1188"/>
      <c r="CA499" s="1188"/>
      <c r="CB499" s="1188"/>
      <c r="CC499" s="1188"/>
      <c r="CD499" s="1188">
        <f t="shared" si="161"/>
        <v>16</v>
      </c>
      <c r="CE499" s="1188">
        <f t="shared" si="162"/>
        <v>0</v>
      </c>
      <c r="CF499" s="1188">
        <f t="shared" si="163"/>
        <v>0</v>
      </c>
      <c r="CG499" s="1188">
        <f t="shared" si="164"/>
        <v>0</v>
      </c>
      <c r="CH499" s="1236"/>
      <c r="CI499" s="1236"/>
      <c r="CJ499" s="1236"/>
      <c r="CK499" s="1188"/>
      <c r="CL499" s="1188"/>
    </row>
    <row r="500" s="1168" customFormat="1" customHeight="1" spans="1:111">
      <c r="A500" s="1245">
        <v>46198</v>
      </c>
      <c r="B500" s="1247" t="s">
        <v>378</v>
      </c>
      <c r="C500" s="1234" t="s">
        <v>201</v>
      </c>
      <c r="D500" s="1268">
        <v>4500213635</v>
      </c>
      <c r="E500" s="1264">
        <v>2551020514</v>
      </c>
      <c r="F500" s="1188" t="s">
        <v>2199</v>
      </c>
      <c r="G500" s="1253" t="s">
        <v>380</v>
      </c>
      <c r="H500" s="1234" t="s">
        <v>381</v>
      </c>
      <c r="I500" s="1254">
        <v>12064</v>
      </c>
      <c r="J500" s="1234">
        <v>0</v>
      </c>
      <c r="K500" s="1234">
        <v>16</v>
      </c>
      <c r="L500" s="1246">
        <f>IF(K500=0,"",I500/K500)</f>
        <v>754</v>
      </c>
      <c r="M500" s="1255">
        <v>46228</v>
      </c>
      <c r="N500" s="1255">
        <v>46227</v>
      </c>
      <c r="O500" s="1320" t="s">
        <v>1772</v>
      </c>
      <c r="P500" s="1233" t="s">
        <v>2040</v>
      </c>
      <c r="Q500" s="1233" t="s">
        <v>106</v>
      </c>
      <c r="R500" s="1234" t="s">
        <v>2200</v>
      </c>
      <c r="S500" s="1234"/>
      <c r="T500" s="1233">
        <f>32+11968+64</f>
        <v>12064</v>
      </c>
      <c r="U500" s="1233">
        <f t="shared" si="173"/>
        <v>0</v>
      </c>
      <c r="V500" s="1234"/>
      <c r="W500" s="1238">
        <v>46203</v>
      </c>
      <c r="X500" s="1257" t="s">
        <v>95</v>
      </c>
      <c r="Y500" s="1227" t="s">
        <v>1542</v>
      </c>
      <c r="Z500" s="1247"/>
      <c r="AA500" s="1247"/>
      <c r="AB500" s="1247"/>
      <c r="AC500" s="1247" t="s">
        <v>2201</v>
      </c>
      <c r="AD500" s="1320" t="s">
        <v>384</v>
      </c>
      <c r="AE500" s="1251">
        <v>1.1511</v>
      </c>
      <c r="AF500" s="1335">
        <f>AE500*I500</f>
        <v>13886.8704</v>
      </c>
      <c r="AG500" s="1336"/>
      <c r="AH500" s="1234" t="s">
        <v>1544</v>
      </c>
      <c r="AI500" s="1234" t="s">
        <v>112</v>
      </c>
      <c r="AJ500" s="1234" t="s">
        <v>113</v>
      </c>
      <c r="AK500" s="1188">
        <f>I500</f>
        <v>12064</v>
      </c>
      <c r="AL500" s="1188"/>
      <c r="AM500" s="1188"/>
      <c r="AN500" s="1188"/>
      <c r="AO500" s="1188"/>
      <c r="AP500" s="1188">
        <f>I500</f>
        <v>12064</v>
      </c>
      <c r="AQ500" s="1240"/>
      <c r="AR500" s="1188"/>
      <c r="AS500" s="1236"/>
      <c r="AT500" s="1236"/>
      <c r="AU500" s="1188">
        <f>I500</f>
        <v>12064</v>
      </c>
      <c r="AV500" s="1250"/>
      <c r="AW500" s="1250"/>
      <c r="AX500" s="1188"/>
      <c r="AY500" s="1188"/>
      <c r="AZ500" s="1188"/>
      <c r="BA500" s="1188"/>
      <c r="BB500" s="1188"/>
      <c r="BC500" s="1188"/>
      <c r="BD500" s="1188"/>
      <c r="BE500" s="1188"/>
      <c r="BF500" s="1188"/>
      <c r="BG500" s="1188"/>
      <c r="BH500" s="1188"/>
      <c r="BI500" s="1188"/>
      <c r="BJ500" s="1188"/>
      <c r="BK500" s="1188"/>
      <c r="BL500" s="1188"/>
      <c r="BM500" s="1188"/>
      <c r="BN500" s="1188"/>
      <c r="BO500" s="1240"/>
      <c r="BP500" s="1240"/>
      <c r="BQ500" s="1188"/>
      <c r="BR500" s="1236"/>
      <c r="BS500" s="1188">
        <f>I500/16</f>
        <v>754</v>
      </c>
      <c r="BT500" s="1188"/>
      <c r="BU500" s="1188"/>
      <c r="BV500" s="1240"/>
      <c r="BW500" s="1188"/>
      <c r="BX500" s="1188"/>
      <c r="BY500" s="1188"/>
      <c r="BZ500" s="1188"/>
      <c r="CA500" s="1188"/>
      <c r="CB500" s="1188"/>
      <c r="CC500" s="1188"/>
      <c r="CD500" s="1188">
        <f t="shared" si="161"/>
        <v>754</v>
      </c>
      <c r="CE500" s="1188">
        <f t="shared" si="162"/>
        <v>0</v>
      </c>
      <c r="CF500" s="1188">
        <f t="shared" si="163"/>
        <v>0</v>
      </c>
      <c r="CG500" s="1188">
        <f t="shared" si="164"/>
        <v>0</v>
      </c>
      <c r="CH500" s="1236"/>
      <c r="CI500" s="1236"/>
      <c r="CJ500" s="1236"/>
      <c r="CK500" s="1188"/>
      <c r="CL500" s="1188"/>
    </row>
    <row r="501" s="1168" customFormat="1" customHeight="1" spans="1:111">
      <c r="A501" s="1245">
        <v>46157</v>
      </c>
      <c r="B501" s="1247" t="s">
        <v>2202</v>
      </c>
      <c r="C501" s="1234" t="s">
        <v>201</v>
      </c>
      <c r="D501" s="1268">
        <v>4500207370</v>
      </c>
      <c r="E501" s="1380">
        <v>5200011153</v>
      </c>
      <c r="F501" s="1362" t="s">
        <v>2203</v>
      </c>
      <c r="G501" s="1253" t="s">
        <v>553</v>
      </c>
      <c r="H501" s="1234" t="s">
        <v>390</v>
      </c>
      <c r="I501" s="1254">
        <v>492</v>
      </c>
      <c r="J501" s="1234">
        <v>0</v>
      </c>
      <c r="K501" s="1234">
        <v>12</v>
      </c>
      <c r="L501" s="1246">
        <f t="shared" ref="L501:L558" si="175">I501/K501</f>
        <v>41</v>
      </c>
      <c r="M501" s="1255">
        <v>46228</v>
      </c>
      <c r="N501" s="1255">
        <v>46224</v>
      </c>
      <c r="O501" s="1320" t="s">
        <v>2110</v>
      </c>
      <c r="P501" s="1233"/>
      <c r="Q501" s="1233" t="s">
        <v>106</v>
      </c>
      <c r="R501" s="1234"/>
      <c r="S501" s="1234"/>
      <c r="T501" s="1233">
        <v>492</v>
      </c>
      <c r="U501" s="1233">
        <f t="shared" si="173"/>
        <v>0</v>
      </c>
      <c r="V501" s="1234"/>
      <c r="W501" s="1256">
        <v>46160</v>
      </c>
      <c r="X501" s="1257" t="s">
        <v>95</v>
      </c>
      <c r="Y501" s="1227" t="s">
        <v>2204</v>
      </c>
      <c r="Z501" s="1247" t="s">
        <v>2205</v>
      </c>
      <c r="AA501" s="1247"/>
      <c r="AB501" s="1247"/>
      <c r="AC501" s="1334" t="s">
        <v>2206</v>
      </c>
      <c r="AD501" s="1255" t="s">
        <v>2207</v>
      </c>
      <c r="AE501" s="1188">
        <v>2.29</v>
      </c>
      <c r="AF501" s="1248">
        <f>I501*AE501</f>
        <v>1126.68</v>
      </c>
      <c r="AG501" s="1258"/>
      <c r="AH501" s="1234" t="s">
        <v>2208</v>
      </c>
      <c r="AI501" s="1234" t="s">
        <v>112</v>
      </c>
      <c r="AJ501" s="1234"/>
      <c r="AK501" s="1188">
        <f>I501*2</f>
        <v>984</v>
      </c>
      <c r="AL501" s="1188"/>
      <c r="AM501" s="1188"/>
      <c r="AN501" s="1188"/>
      <c r="AO501" s="1188"/>
      <c r="AP501" s="1188"/>
      <c r="AQ501" s="1240">
        <f>I501*2</f>
        <v>984</v>
      </c>
      <c r="AR501" s="1188"/>
      <c r="AS501" s="1236"/>
      <c r="AT501" s="1236"/>
      <c r="AU501" s="1188">
        <f>I501*2</f>
        <v>984</v>
      </c>
      <c r="AV501" s="1250">
        <f>I501*0.06*2</f>
        <v>59.04</v>
      </c>
      <c r="AW501" s="1250"/>
      <c r="AX501" s="1188"/>
      <c r="AY501" s="1188"/>
      <c r="AZ501" s="1188"/>
      <c r="BA501" s="1188"/>
      <c r="BB501" s="1188"/>
      <c r="BC501" s="1188"/>
      <c r="BD501" s="1188"/>
      <c r="BE501" s="1188"/>
      <c r="BF501" s="1188"/>
      <c r="BG501" s="1188"/>
      <c r="BH501" s="1188"/>
      <c r="BI501" s="1188"/>
      <c r="BJ501" s="1188"/>
      <c r="BK501" s="1188"/>
      <c r="BL501" s="1188"/>
      <c r="BM501" s="1188"/>
      <c r="BN501" s="1188"/>
      <c r="BO501" s="1240"/>
      <c r="BP501" s="1240"/>
      <c r="BQ501" s="1188"/>
      <c r="BR501" s="1236"/>
      <c r="BS501" s="1188"/>
      <c r="BT501" s="1188"/>
      <c r="BU501" s="1188"/>
      <c r="BV501" s="1240"/>
      <c r="BW501" s="1188"/>
      <c r="BX501" s="1188"/>
      <c r="BY501" s="1188"/>
      <c r="BZ501" s="1188"/>
      <c r="CA501" s="1188"/>
      <c r="CB501" s="1188"/>
      <c r="CC501" s="1188"/>
      <c r="CD501" s="1188">
        <f t="shared" si="161"/>
        <v>0</v>
      </c>
      <c r="CE501" s="1188"/>
      <c r="CF501" s="1188">
        <f t="shared" si="163"/>
        <v>0</v>
      </c>
      <c r="CG501" s="1188">
        <f t="shared" si="164"/>
        <v>0</v>
      </c>
      <c r="CH501" s="1236"/>
      <c r="CI501" s="1236"/>
      <c r="CJ501" s="1236">
        <f>I501</f>
        <v>492</v>
      </c>
      <c r="CK501" s="1188">
        <f>I501</f>
        <v>492</v>
      </c>
      <c r="CL501" s="1188">
        <f>I501</f>
        <v>492</v>
      </c>
    </row>
    <row r="502" s="1168" customFormat="1" customHeight="1" spans="1:111">
      <c r="A502" s="1219">
        <v>46162</v>
      </c>
      <c r="B502" s="1220" t="s">
        <v>2209</v>
      </c>
      <c r="C502" s="1221" t="s">
        <v>115</v>
      </c>
      <c r="D502" s="1303">
        <v>4500208194</v>
      </c>
      <c r="E502" s="1221" t="s">
        <v>2210</v>
      </c>
      <c r="F502" s="1222" t="s">
        <v>2211</v>
      </c>
      <c r="G502" s="1223" t="s">
        <v>146</v>
      </c>
      <c r="H502" s="1221" t="s">
        <v>104</v>
      </c>
      <c r="I502" s="1252">
        <v>2125</v>
      </c>
      <c r="J502" s="1221">
        <v>0</v>
      </c>
      <c r="K502" s="1221">
        <v>25</v>
      </c>
      <c r="L502" s="1224">
        <f t="shared" si="175"/>
        <v>85</v>
      </c>
      <c r="M502" s="1338">
        <v>46228</v>
      </c>
      <c r="N502" s="1338">
        <v>46224</v>
      </c>
      <c r="O502" s="1338" t="s">
        <v>1884</v>
      </c>
      <c r="P502" s="1233"/>
      <c r="Q502" s="1233" t="s">
        <v>106</v>
      </c>
      <c r="R502" s="1221" t="s">
        <v>2077</v>
      </c>
      <c r="S502" s="1234"/>
      <c r="T502" s="1226">
        <v>2125</v>
      </c>
      <c r="U502" s="1233">
        <f t="shared" si="173"/>
        <v>0</v>
      </c>
      <c r="V502" s="1221"/>
      <c r="W502" s="1256">
        <v>46163</v>
      </c>
      <c r="X502" s="1227" t="s">
        <v>95</v>
      </c>
      <c r="Y502" s="1227" t="s">
        <v>95</v>
      </c>
      <c r="Z502" s="1220"/>
      <c r="AA502" s="1220"/>
      <c r="AB502" s="1220"/>
      <c r="AC502" s="1220" t="s">
        <v>2212</v>
      </c>
      <c r="AD502" s="1225" t="s">
        <v>1955</v>
      </c>
      <c r="AE502" s="1222">
        <v>0.6651</v>
      </c>
      <c r="AF502" s="1248">
        <f>I502*AE502</f>
        <v>1413.3375</v>
      </c>
      <c r="AG502" s="1239" t="s">
        <v>2213</v>
      </c>
      <c r="AH502" s="1234" t="s">
        <v>146</v>
      </c>
      <c r="AI502" s="1234" t="s">
        <v>112</v>
      </c>
      <c r="AJ502" s="1234" t="s">
        <v>113</v>
      </c>
      <c r="AK502" s="1188">
        <f t="shared" ref="AK502:AK508" si="176">I502</f>
        <v>2125</v>
      </c>
      <c r="AL502" s="1222"/>
      <c r="AM502" s="1222"/>
      <c r="AN502" s="1188">
        <f t="shared" ref="AN502:AN507" si="177">I502</f>
        <v>2125</v>
      </c>
      <c r="AO502" s="1222"/>
      <c r="AP502" s="1222"/>
      <c r="AQ502" s="1242"/>
      <c r="AR502" s="1222"/>
      <c r="AS502" s="1232"/>
      <c r="AT502" s="1232"/>
      <c r="AU502" s="1188">
        <f t="shared" ref="AU502:AU509" si="178">I502</f>
        <v>2125</v>
      </c>
      <c r="AV502" s="1241">
        <f>I502*0.06*2</f>
        <v>255</v>
      </c>
      <c r="AW502" s="1241"/>
      <c r="AX502" s="1222"/>
      <c r="AY502" s="1222"/>
      <c r="AZ502" s="1222"/>
      <c r="BA502" s="1222"/>
      <c r="BB502" s="1222"/>
      <c r="BC502" s="1222"/>
      <c r="BD502" s="1222"/>
      <c r="BE502" s="1222"/>
      <c r="BF502" s="1222"/>
      <c r="BG502" s="1222"/>
      <c r="BH502" s="1222"/>
      <c r="BI502" s="1222"/>
      <c r="BJ502" s="1222"/>
      <c r="BK502" s="1222"/>
      <c r="BL502" s="1222"/>
      <c r="BM502" s="1222"/>
      <c r="BN502" s="1222">
        <f>I502/25</f>
        <v>85</v>
      </c>
      <c r="BO502" s="1242"/>
      <c r="BP502" s="1242"/>
      <c r="BQ502" s="1188"/>
      <c r="BR502" s="1236"/>
      <c r="BS502" s="1232"/>
      <c r="BT502" s="1222"/>
      <c r="BU502" s="1222"/>
      <c r="BV502" s="1242"/>
      <c r="BW502" s="1222"/>
      <c r="BX502" s="1222"/>
      <c r="BY502" s="1222"/>
      <c r="BZ502" s="1188"/>
      <c r="CA502" s="1188"/>
      <c r="CB502" s="1188"/>
      <c r="CC502" s="1188"/>
      <c r="CD502" s="1188">
        <f t="shared" si="161"/>
        <v>85</v>
      </c>
      <c r="CE502" s="1188">
        <f t="shared" ref="CE502:CE565" si="179">BU502</f>
        <v>0</v>
      </c>
      <c r="CF502" s="1188">
        <f t="shared" si="163"/>
        <v>0</v>
      </c>
      <c r="CG502" s="1188">
        <f t="shared" si="164"/>
        <v>0</v>
      </c>
      <c r="CH502" s="1232"/>
      <c r="CI502" s="1232"/>
      <c r="CJ502" s="1232"/>
      <c r="CK502" s="1222"/>
      <c r="CL502" s="1222"/>
      <c r="CM502" s="1169"/>
      <c r="CN502" s="1169"/>
      <c r="CO502" s="1169"/>
      <c r="CP502" s="1169"/>
      <c r="CQ502" s="1169"/>
      <c r="CR502" s="1169"/>
      <c r="CS502" s="1169"/>
      <c r="CT502" s="1169"/>
      <c r="CU502" s="1169"/>
      <c r="CV502" s="1169"/>
      <c r="CW502" s="1169"/>
      <c r="CX502" s="1169"/>
      <c r="CY502" s="1169"/>
      <c r="CZ502" s="1169"/>
      <c r="DA502" s="1169"/>
      <c r="DB502" s="1169"/>
      <c r="DC502" s="1169"/>
      <c r="DD502" s="1169"/>
      <c r="DE502" s="1169"/>
      <c r="DF502" s="1169"/>
      <c r="DG502" s="1169"/>
    </row>
    <row r="503" s="1168" customFormat="1" customHeight="1" spans="1:111">
      <c r="A503" s="1219">
        <v>46162</v>
      </c>
      <c r="B503" s="1220" t="s">
        <v>2209</v>
      </c>
      <c r="C503" s="1221" t="s">
        <v>115</v>
      </c>
      <c r="D503" s="1303">
        <v>4500208194</v>
      </c>
      <c r="E503" s="1221" t="s">
        <v>2214</v>
      </c>
      <c r="F503" s="1222" t="s">
        <v>2215</v>
      </c>
      <c r="G503" s="1223" t="s">
        <v>146</v>
      </c>
      <c r="H503" s="1221" t="s">
        <v>104</v>
      </c>
      <c r="I503" s="1252">
        <v>1000</v>
      </c>
      <c r="J503" s="1221">
        <v>0</v>
      </c>
      <c r="K503" s="1221">
        <v>25</v>
      </c>
      <c r="L503" s="1224">
        <f t="shared" si="175"/>
        <v>40</v>
      </c>
      <c r="M503" s="1338">
        <v>46228</v>
      </c>
      <c r="N503" s="1338">
        <v>46224</v>
      </c>
      <c r="O503" s="1338" t="s">
        <v>1884</v>
      </c>
      <c r="P503" s="1226"/>
      <c r="Q503" s="1226" t="s">
        <v>106</v>
      </c>
      <c r="R503" s="1221" t="s">
        <v>2077</v>
      </c>
      <c r="S503" s="1221"/>
      <c r="T503" s="1226">
        <v>1000</v>
      </c>
      <c r="U503" s="1233">
        <f t="shared" si="173"/>
        <v>0</v>
      </c>
      <c r="V503" s="1221"/>
      <c r="W503" s="1238">
        <v>46163</v>
      </c>
      <c r="X503" s="1227" t="s">
        <v>95</v>
      </c>
      <c r="Y503" s="1227" t="s">
        <v>95</v>
      </c>
      <c r="Z503" s="1220"/>
      <c r="AA503" s="1220"/>
      <c r="AB503" s="1220"/>
      <c r="AC503" s="1220" t="s">
        <v>2212</v>
      </c>
      <c r="AD503" s="1225" t="s">
        <v>1955</v>
      </c>
      <c r="AE503" s="1222">
        <v>0.6651</v>
      </c>
      <c r="AF503" s="1229">
        <f>I503*AE503</f>
        <v>665.1</v>
      </c>
      <c r="AG503" s="1239" t="s">
        <v>2213</v>
      </c>
      <c r="AH503" s="1234" t="s">
        <v>146</v>
      </c>
      <c r="AI503" s="1234" t="s">
        <v>112</v>
      </c>
      <c r="AJ503" s="1234" t="s">
        <v>113</v>
      </c>
      <c r="AK503" s="1188">
        <f t="shared" si="176"/>
        <v>1000</v>
      </c>
      <c r="AL503" s="1222"/>
      <c r="AM503" s="1222"/>
      <c r="AN503" s="1188">
        <f t="shared" si="177"/>
        <v>1000</v>
      </c>
      <c r="AO503" s="1188"/>
      <c r="AP503" s="1188"/>
      <c r="AQ503" s="1240"/>
      <c r="AR503" s="1188"/>
      <c r="AS503" s="1236"/>
      <c r="AT503" s="1236"/>
      <c r="AU503" s="1188">
        <f t="shared" si="178"/>
        <v>1000</v>
      </c>
      <c r="AV503" s="1241">
        <f>I503*0.06*2</f>
        <v>120</v>
      </c>
      <c r="AW503" s="1241"/>
      <c r="AX503" s="1222"/>
      <c r="AY503" s="1222"/>
      <c r="AZ503" s="1188"/>
      <c r="BA503" s="1188"/>
      <c r="BB503" s="1222"/>
      <c r="BC503" s="1222"/>
      <c r="BD503" s="1222"/>
      <c r="BE503" s="1222"/>
      <c r="BF503" s="1222"/>
      <c r="BG503" s="1222"/>
      <c r="BH503" s="1222"/>
      <c r="BI503" s="1222"/>
      <c r="BJ503" s="1222"/>
      <c r="BK503" s="1222"/>
      <c r="BL503" s="1222"/>
      <c r="BM503" s="1222"/>
      <c r="BN503" s="1222">
        <f>I503/25</f>
        <v>40</v>
      </c>
      <c r="BO503" s="1242"/>
      <c r="BP503" s="1242"/>
      <c r="BQ503" s="1222"/>
      <c r="BR503" s="1232"/>
      <c r="BS503" s="1232"/>
      <c r="BT503" s="1222"/>
      <c r="BU503" s="1222"/>
      <c r="BV503" s="1242"/>
      <c r="BW503" s="1222"/>
      <c r="BX503" s="1222"/>
      <c r="BY503" s="1222"/>
      <c r="BZ503" s="1222"/>
      <c r="CA503" s="1222"/>
      <c r="CB503" s="1222"/>
      <c r="CC503" s="1222"/>
      <c r="CD503" s="1188">
        <f t="shared" si="161"/>
        <v>40</v>
      </c>
      <c r="CE503" s="1188">
        <f t="shared" si="179"/>
        <v>0</v>
      </c>
      <c r="CF503" s="1188">
        <f t="shared" si="163"/>
        <v>0</v>
      </c>
      <c r="CG503" s="1188">
        <f t="shared" si="164"/>
        <v>0</v>
      </c>
      <c r="CH503" s="1232"/>
      <c r="CI503" s="1232"/>
      <c r="CJ503" s="1232"/>
      <c r="CK503" s="1222"/>
      <c r="CL503" s="1222"/>
      <c r="CM503" s="1169"/>
      <c r="CN503" s="1169"/>
      <c r="CO503" s="1169"/>
      <c r="CP503" s="1169"/>
      <c r="CQ503" s="1169"/>
      <c r="CR503" s="1169"/>
      <c r="CS503" s="1169"/>
      <c r="CT503" s="1169"/>
      <c r="CU503" s="1169"/>
      <c r="CV503" s="1169"/>
      <c r="CW503" s="1169"/>
      <c r="CX503" s="1169"/>
      <c r="CY503" s="1169"/>
      <c r="CZ503" s="1169"/>
      <c r="DA503" s="1169"/>
      <c r="DB503" s="1169"/>
      <c r="DC503" s="1169"/>
      <c r="DD503" s="1169"/>
      <c r="DE503" s="1169"/>
      <c r="DF503" s="1169"/>
      <c r="DG503" s="1169"/>
    </row>
    <row r="504" s="1168" customFormat="1" customHeight="1" spans="1:111">
      <c r="A504" s="1245">
        <v>46162</v>
      </c>
      <c r="B504" s="1247" t="s">
        <v>2209</v>
      </c>
      <c r="C504" s="1234" t="s">
        <v>115</v>
      </c>
      <c r="D504" s="1188">
        <v>4500208194</v>
      </c>
      <c r="E504" s="1234" t="s">
        <v>2216</v>
      </c>
      <c r="F504" s="1188" t="s">
        <v>2217</v>
      </c>
      <c r="G504" s="1253" t="s">
        <v>146</v>
      </c>
      <c r="H504" s="1234" t="s">
        <v>104</v>
      </c>
      <c r="I504" s="1254">
        <v>2400</v>
      </c>
      <c r="J504" s="1234">
        <v>0</v>
      </c>
      <c r="K504" s="1234">
        <v>25</v>
      </c>
      <c r="L504" s="1246">
        <f t="shared" si="175"/>
        <v>96</v>
      </c>
      <c r="M504" s="1320">
        <v>46228</v>
      </c>
      <c r="N504" s="1320">
        <v>46224</v>
      </c>
      <c r="O504" s="1338" t="s">
        <v>1884</v>
      </c>
      <c r="P504" s="1233"/>
      <c r="Q504" s="1233" t="s">
        <v>106</v>
      </c>
      <c r="R504" s="1234" t="s">
        <v>2077</v>
      </c>
      <c r="S504" s="1234"/>
      <c r="T504" s="1233">
        <v>2400</v>
      </c>
      <c r="U504" s="1233">
        <f t="shared" si="173"/>
        <v>0</v>
      </c>
      <c r="V504" s="1234"/>
      <c r="W504" s="1256">
        <v>46163</v>
      </c>
      <c r="X504" s="1257" t="s">
        <v>95</v>
      </c>
      <c r="Y504" s="1257" t="s">
        <v>95</v>
      </c>
      <c r="Z504" s="1247"/>
      <c r="AA504" s="1247"/>
      <c r="AB504" s="1247"/>
      <c r="AC504" s="1247" t="s">
        <v>2212</v>
      </c>
      <c r="AD504" s="1255" t="s">
        <v>1955</v>
      </c>
      <c r="AE504" s="1188">
        <v>0.6543</v>
      </c>
      <c r="AF504" s="1248">
        <f>I504*AE504</f>
        <v>1570.32</v>
      </c>
      <c r="AG504" s="1249" t="s">
        <v>2213</v>
      </c>
      <c r="AH504" s="1234" t="s">
        <v>146</v>
      </c>
      <c r="AI504" s="1234" t="s">
        <v>112</v>
      </c>
      <c r="AJ504" s="1234" t="s">
        <v>113</v>
      </c>
      <c r="AK504" s="1188">
        <f t="shared" si="176"/>
        <v>2400</v>
      </c>
      <c r="AL504" s="1188"/>
      <c r="AM504" s="1188"/>
      <c r="AN504" s="1188">
        <f t="shared" si="177"/>
        <v>2400</v>
      </c>
      <c r="AO504" s="1188"/>
      <c r="AP504" s="1188"/>
      <c r="AQ504" s="1240"/>
      <c r="AR504" s="1188"/>
      <c r="AS504" s="1236"/>
      <c r="AT504" s="1236"/>
      <c r="AU504" s="1188">
        <f t="shared" si="178"/>
        <v>2400</v>
      </c>
      <c r="AV504" s="1250">
        <f>I504*0.06*2</f>
        <v>288</v>
      </c>
      <c r="AW504" s="1250"/>
      <c r="AX504" s="1188"/>
      <c r="AY504" s="1188"/>
      <c r="AZ504" s="1188"/>
      <c r="BA504" s="1188"/>
      <c r="BB504" s="1188"/>
      <c r="BC504" s="1188"/>
      <c r="BD504" s="1188"/>
      <c r="BE504" s="1188"/>
      <c r="BF504" s="1188"/>
      <c r="BG504" s="1188"/>
      <c r="BH504" s="1188"/>
      <c r="BI504" s="1188"/>
      <c r="BJ504" s="1188"/>
      <c r="BK504" s="1188"/>
      <c r="BL504" s="1188"/>
      <c r="BM504" s="1188"/>
      <c r="BN504" s="1188">
        <f>I504/25</f>
        <v>96</v>
      </c>
      <c r="BO504" s="1240"/>
      <c r="BP504" s="1240"/>
      <c r="BQ504" s="1188"/>
      <c r="BR504" s="1236"/>
      <c r="BS504" s="1188"/>
      <c r="BT504" s="1188"/>
      <c r="BU504" s="1188"/>
      <c r="BV504" s="1240"/>
      <c r="BW504" s="1188"/>
      <c r="BX504" s="1188"/>
      <c r="BY504" s="1188"/>
      <c r="BZ504" s="1188"/>
      <c r="CA504" s="1188"/>
      <c r="CB504" s="1188"/>
      <c r="CC504" s="1188"/>
      <c r="CD504" s="1188">
        <f t="shared" si="161"/>
        <v>96</v>
      </c>
      <c r="CE504" s="1188">
        <f t="shared" si="179"/>
        <v>0</v>
      </c>
      <c r="CF504" s="1188">
        <f t="shared" si="163"/>
        <v>0</v>
      </c>
      <c r="CG504" s="1188">
        <f t="shared" si="164"/>
        <v>0</v>
      </c>
      <c r="CH504" s="1236"/>
      <c r="CI504" s="1236"/>
      <c r="CJ504" s="1236"/>
      <c r="CK504" s="1188"/>
      <c r="CL504" s="1188"/>
      <c r="CM504" s="1169"/>
      <c r="CN504" s="1169"/>
      <c r="CO504" s="1169"/>
      <c r="CP504" s="1169"/>
      <c r="CQ504" s="1169"/>
      <c r="CR504" s="1169"/>
      <c r="CS504" s="1169"/>
      <c r="CT504" s="1169"/>
      <c r="CU504" s="1169"/>
      <c r="CV504" s="1169"/>
      <c r="CW504" s="1169"/>
      <c r="CX504" s="1169"/>
      <c r="CY504" s="1169"/>
      <c r="CZ504" s="1169"/>
      <c r="DA504" s="1169"/>
      <c r="DB504" s="1169"/>
      <c r="DC504" s="1169"/>
      <c r="DD504" s="1169"/>
      <c r="DE504" s="1169"/>
      <c r="DF504" s="1169"/>
      <c r="DG504" s="1169"/>
    </row>
    <row r="505" s="1168" customFormat="1" customHeight="1" spans="1:111">
      <c r="A505" s="1340">
        <v>46203</v>
      </c>
      <c r="B505" s="1341" t="s">
        <v>346</v>
      </c>
      <c r="C505" s="1342" t="s">
        <v>115</v>
      </c>
      <c r="D505" s="1343">
        <v>4500214408</v>
      </c>
      <c r="E505" s="1895" t="s">
        <v>2218</v>
      </c>
      <c r="F505" s="1375" t="s">
        <v>2219</v>
      </c>
      <c r="G505" s="1381" t="s">
        <v>380</v>
      </c>
      <c r="H505" s="1342" t="s">
        <v>350</v>
      </c>
      <c r="I505" s="1382">
        <v>24144</v>
      </c>
      <c r="J505" s="1342">
        <v>0</v>
      </c>
      <c r="K505" s="1383">
        <v>16</v>
      </c>
      <c r="L505" s="1384">
        <f t="shared" si="175"/>
        <v>1509</v>
      </c>
      <c r="M505" s="1286">
        <v>46228</v>
      </c>
      <c r="N505" s="1361">
        <v>46230</v>
      </c>
      <c r="O505" s="1322" t="s">
        <v>1884</v>
      </c>
      <c r="P505" s="1385" t="s">
        <v>2115</v>
      </c>
      <c r="Q505" s="1357" t="s">
        <v>1612</v>
      </c>
      <c r="R505" s="1342" t="s">
        <v>2220</v>
      </c>
      <c r="S505" s="1342"/>
      <c r="T505" s="1357">
        <f>24000+144</f>
        <v>24144</v>
      </c>
      <c r="U505" s="1233">
        <f t="shared" si="173"/>
        <v>0</v>
      </c>
      <c r="V505" s="1342"/>
      <c r="W505" s="1238" t="s">
        <v>1572</v>
      </c>
      <c r="X505" s="1257" t="s">
        <v>95</v>
      </c>
      <c r="Y505" s="1257" t="s">
        <v>2041</v>
      </c>
      <c r="Z505" s="1247"/>
      <c r="AA505" s="1247"/>
      <c r="AB505" s="1247"/>
      <c r="AC505" s="1386" t="s">
        <v>2221</v>
      </c>
      <c r="AD505" s="1286" t="s">
        <v>354</v>
      </c>
      <c r="AE505" s="1172">
        <v>0.6798</v>
      </c>
      <c r="AF505" s="1360">
        <f>AE505*I505</f>
        <v>16413.0912</v>
      </c>
      <c r="AG505" s="1249" t="s">
        <v>2222</v>
      </c>
      <c r="AH505" s="1253" t="s">
        <v>356</v>
      </c>
      <c r="AI505" s="1234" t="s">
        <v>112</v>
      </c>
      <c r="AJ505" s="1342"/>
      <c r="AK505" s="1188">
        <f t="shared" si="176"/>
        <v>24144</v>
      </c>
      <c r="AL505" s="1172"/>
      <c r="AM505" s="1172"/>
      <c r="AN505" s="1172">
        <f t="shared" si="177"/>
        <v>24144</v>
      </c>
      <c r="AO505" s="1172"/>
      <c r="AP505" s="1172"/>
      <c r="AQ505" s="1172"/>
      <c r="AR505" s="1172"/>
      <c r="AS505" s="1172"/>
      <c r="AT505" s="1172"/>
      <c r="AU505" s="1172">
        <f t="shared" si="178"/>
        <v>24144</v>
      </c>
      <c r="AV505" s="1250"/>
      <c r="AW505" s="1250"/>
      <c r="AX505" s="1188"/>
      <c r="AY505" s="1172"/>
      <c r="AZ505" s="1172"/>
      <c r="BA505" s="1172"/>
      <c r="BB505" s="1172"/>
      <c r="BC505" s="1172"/>
      <c r="BD505" s="1172"/>
      <c r="BE505" s="1172"/>
      <c r="BF505" s="1172"/>
      <c r="BG505" s="1188"/>
      <c r="BH505" s="1188"/>
      <c r="BI505" s="1172"/>
      <c r="BJ505" s="1172"/>
      <c r="BK505" s="1172"/>
      <c r="BL505" s="1172"/>
      <c r="BM505" s="1172"/>
      <c r="BN505" s="1172"/>
      <c r="BO505" s="1240"/>
      <c r="BP505" s="1172"/>
      <c r="BQ505" s="1172"/>
      <c r="BR505" s="1172">
        <f>I505/16</f>
        <v>1509</v>
      </c>
      <c r="BS505" s="1172"/>
      <c r="BT505" s="1172"/>
      <c r="BU505" s="1172"/>
      <c r="BV505" s="1172"/>
      <c r="BW505" s="1172"/>
      <c r="BX505" s="1172"/>
      <c r="BY505" s="1172"/>
      <c r="BZ505" s="1172"/>
      <c r="CA505" s="1172"/>
      <c r="CB505" s="1172"/>
      <c r="CC505" s="1172"/>
      <c r="CD505" s="1188">
        <f t="shared" si="161"/>
        <v>1509</v>
      </c>
      <c r="CE505" s="1188">
        <f t="shared" si="179"/>
        <v>0</v>
      </c>
      <c r="CF505" s="1188">
        <f t="shared" si="163"/>
        <v>0</v>
      </c>
      <c r="CG505" s="1188">
        <f t="shared" si="164"/>
        <v>0</v>
      </c>
      <c r="CH505" s="1188"/>
      <c r="CI505" s="1188"/>
      <c r="CJ505" s="1172"/>
      <c r="CK505" s="1172"/>
      <c r="CL505" s="1172"/>
    </row>
    <row r="506" s="1168" customFormat="1" ht="27.2" customHeight="1" spans="1:111">
      <c r="A506" s="1340">
        <v>46203</v>
      </c>
      <c r="B506" s="1341" t="s">
        <v>346</v>
      </c>
      <c r="C506" s="1342" t="s">
        <v>115</v>
      </c>
      <c r="D506" s="1343">
        <v>4500214409</v>
      </c>
      <c r="E506" s="1895" t="s">
        <v>2223</v>
      </c>
      <c r="F506" s="1172" t="s">
        <v>2224</v>
      </c>
      <c r="G506" s="1359" t="s">
        <v>380</v>
      </c>
      <c r="H506" s="1342" t="s">
        <v>381</v>
      </c>
      <c r="I506" s="1344">
        <v>22960</v>
      </c>
      <c r="J506" s="1342">
        <v>0</v>
      </c>
      <c r="K506" s="1342">
        <v>16</v>
      </c>
      <c r="L506" s="1345">
        <f t="shared" si="175"/>
        <v>1435</v>
      </c>
      <c r="M506" s="1286">
        <v>46228</v>
      </c>
      <c r="N506" s="1361">
        <v>46230</v>
      </c>
      <c r="O506" s="1322" t="s">
        <v>1594</v>
      </c>
      <c r="P506" s="1385" t="s">
        <v>2115</v>
      </c>
      <c r="Q506" s="1357" t="s">
        <v>1612</v>
      </c>
      <c r="R506" s="1342" t="s">
        <v>1773</v>
      </c>
      <c r="S506" s="1342"/>
      <c r="T506" s="1357">
        <f>4480+18480</f>
        <v>22960</v>
      </c>
      <c r="U506" s="1233">
        <f t="shared" si="173"/>
        <v>0</v>
      </c>
      <c r="V506" s="1342"/>
      <c r="W506" s="1238" t="s">
        <v>1572</v>
      </c>
      <c r="X506" s="1257" t="s">
        <v>95</v>
      </c>
      <c r="Y506" s="1257" t="s">
        <v>2041</v>
      </c>
      <c r="Z506" s="1247"/>
      <c r="AA506" s="1247"/>
      <c r="AB506" s="1247"/>
      <c r="AC506" s="1341" t="s">
        <v>2225</v>
      </c>
      <c r="AD506" s="1286" t="s">
        <v>354</v>
      </c>
      <c r="AE506" s="1172">
        <v>0.6798</v>
      </c>
      <c r="AF506" s="1360">
        <f>AE506*I506</f>
        <v>15608.208</v>
      </c>
      <c r="AG506" s="1249" t="s">
        <v>2226</v>
      </c>
      <c r="AH506" s="1234" t="s">
        <v>380</v>
      </c>
      <c r="AI506" s="1234" t="s">
        <v>112</v>
      </c>
      <c r="AJ506" s="1234" t="s">
        <v>113</v>
      </c>
      <c r="AK506" s="1188">
        <f t="shared" si="176"/>
        <v>22960</v>
      </c>
      <c r="AL506" s="1172"/>
      <c r="AM506" s="1172"/>
      <c r="AN506" s="1172">
        <f t="shared" si="177"/>
        <v>22960</v>
      </c>
      <c r="AO506" s="1172"/>
      <c r="AP506" s="1172"/>
      <c r="AQ506" s="1172"/>
      <c r="AR506" s="1172"/>
      <c r="AS506" s="1172"/>
      <c r="AT506" s="1172"/>
      <c r="AU506" s="1172">
        <f t="shared" si="178"/>
        <v>22960</v>
      </c>
      <c r="AV506" s="1250"/>
      <c r="AW506" s="1250"/>
      <c r="AX506" s="1188"/>
      <c r="AY506" s="1172"/>
      <c r="AZ506" s="1172"/>
      <c r="BA506" s="1172"/>
      <c r="BB506" s="1172"/>
      <c r="BC506" s="1172"/>
      <c r="BD506" s="1172"/>
      <c r="BE506" s="1172"/>
      <c r="BF506" s="1172"/>
      <c r="BG506" s="1188"/>
      <c r="BH506" s="1188"/>
      <c r="BI506" s="1172"/>
      <c r="BJ506" s="1172"/>
      <c r="BK506" s="1172"/>
      <c r="BL506" s="1172"/>
      <c r="BM506" s="1172"/>
      <c r="BN506" s="1172"/>
      <c r="BO506" s="1240"/>
      <c r="BP506" s="1172"/>
      <c r="BQ506" s="1172"/>
      <c r="BR506" s="1172">
        <f>I506/16</f>
        <v>1435</v>
      </c>
      <c r="BS506" s="1172"/>
      <c r="BT506" s="1172"/>
      <c r="BU506" s="1172"/>
      <c r="BV506" s="1172"/>
      <c r="BW506" s="1172"/>
      <c r="BX506" s="1172"/>
      <c r="BY506" s="1172"/>
      <c r="BZ506" s="1172"/>
      <c r="CA506" s="1172"/>
      <c r="CB506" s="1172"/>
      <c r="CC506" s="1172"/>
      <c r="CD506" s="1188">
        <f t="shared" si="161"/>
        <v>1435</v>
      </c>
      <c r="CE506" s="1188">
        <f t="shared" si="179"/>
        <v>0</v>
      </c>
      <c r="CF506" s="1188">
        <f t="shared" si="163"/>
        <v>0</v>
      </c>
      <c r="CG506" s="1188">
        <f t="shared" si="164"/>
        <v>0</v>
      </c>
      <c r="CH506" s="1188"/>
      <c r="CI506" s="1188"/>
      <c r="CJ506" s="1172"/>
      <c r="CK506" s="1172"/>
      <c r="CL506" s="1172"/>
    </row>
    <row r="507" s="1168" customFormat="1" customHeight="1" spans="1:111">
      <c r="A507" s="1245">
        <v>46168</v>
      </c>
      <c r="B507" s="1247" t="s">
        <v>223</v>
      </c>
      <c r="C507" s="1234" t="s">
        <v>319</v>
      </c>
      <c r="D507" s="1268">
        <v>4500209026</v>
      </c>
      <c r="E507" s="1234" t="s">
        <v>2227</v>
      </c>
      <c r="F507" s="1188" t="s">
        <v>2228</v>
      </c>
      <c r="G507" s="1253" t="s">
        <v>174</v>
      </c>
      <c r="H507" s="1234" t="s">
        <v>175</v>
      </c>
      <c r="I507" s="1254">
        <v>1820</v>
      </c>
      <c r="J507" s="1234">
        <v>0</v>
      </c>
      <c r="K507" s="1234">
        <v>52</v>
      </c>
      <c r="L507" s="1246">
        <f t="shared" si="175"/>
        <v>35</v>
      </c>
      <c r="M507" s="1255">
        <v>46228</v>
      </c>
      <c r="N507" s="1320">
        <v>46234</v>
      </c>
      <c r="O507" s="1320" t="s">
        <v>2188</v>
      </c>
      <c r="P507" s="1233"/>
      <c r="Q507" s="1233" t="s">
        <v>1410</v>
      </c>
      <c r="R507" s="1234" t="s">
        <v>2229</v>
      </c>
      <c r="S507" s="1234"/>
      <c r="T507" s="1233">
        <v>1820</v>
      </c>
      <c r="U507" s="1233">
        <f t="shared" si="173"/>
        <v>0</v>
      </c>
      <c r="V507" s="1234" t="s">
        <v>120</v>
      </c>
      <c r="W507" s="1256">
        <v>46168</v>
      </c>
      <c r="X507" s="1227" t="s">
        <v>95</v>
      </c>
      <c r="Y507" s="1227" t="s">
        <v>2230</v>
      </c>
      <c r="Z507" s="1247"/>
      <c r="AA507" s="1247"/>
      <c r="AB507" s="1247"/>
      <c r="AC507" s="1247" t="s">
        <v>1272</v>
      </c>
      <c r="AD507" s="1255" t="s">
        <v>222</v>
      </c>
      <c r="AE507" s="1188">
        <v>1.0598</v>
      </c>
      <c r="AF507" s="1248">
        <f>I507*AE507</f>
        <v>1928.836</v>
      </c>
      <c r="AG507" s="1258"/>
      <c r="AH507" s="1253" t="s">
        <v>174</v>
      </c>
      <c r="AI507" s="1234" t="s">
        <v>112</v>
      </c>
      <c r="AJ507" s="1234" t="s">
        <v>113</v>
      </c>
      <c r="AK507" s="1188">
        <f t="shared" si="176"/>
        <v>1820</v>
      </c>
      <c r="AL507" s="1188"/>
      <c r="AM507" s="1188"/>
      <c r="AN507" s="1188">
        <f t="shared" si="177"/>
        <v>1820</v>
      </c>
      <c r="AO507" s="1188"/>
      <c r="AP507" s="1188"/>
      <c r="AQ507" s="1240"/>
      <c r="AR507" s="1188"/>
      <c r="AS507" s="1236"/>
      <c r="AT507" s="1236"/>
      <c r="AU507" s="1188">
        <f t="shared" si="178"/>
        <v>1820</v>
      </c>
      <c r="AV507" s="1250">
        <f>I507*0.06*2</f>
        <v>218.4</v>
      </c>
      <c r="AW507" s="1250"/>
      <c r="AX507" s="1188"/>
      <c r="AY507" s="1188"/>
      <c r="AZ507" s="1188"/>
      <c r="BA507" s="1188"/>
      <c r="BB507" s="1188"/>
      <c r="BC507" s="1188"/>
      <c r="BD507" s="1188"/>
      <c r="BE507" s="1188"/>
      <c r="BF507" s="1188"/>
      <c r="BG507" s="1188"/>
      <c r="BH507" s="1188"/>
      <c r="BI507" s="1188"/>
      <c r="BJ507" s="1188"/>
      <c r="BK507" s="1188">
        <f>I507/13</f>
        <v>140</v>
      </c>
      <c r="BL507" s="1188"/>
      <c r="BM507" s="1188"/>
      <c r="BN507" s="1188"/>
      <c r="BO507" s="1240"/>
      <c r="BP507" s="1240"/>
      <c r="BQ507" s="1188"/>
      <c r="BR507" s="1236"/>
      <c r="BS507" s="1236"/>
      <c r="BT507" s="1188"/>
      <c r="BU507" s="1188"/>
      <c r="BV507" s="1240"/>
      <c r="BW507" s="1188"/>
      <c r="BX507" s="1188"/>
      <c r="BY507" s="1188"/>
      <c r="BZ507" s="1188"/>
      <c r="CA507" s="1188"/>
      <c r="CB507" s="1188"/>
      <c r="CC507" s="1188"/>
      <c r="CD507" s="1188">
        <f t="shared" si="161"/>
        <v>0</v>
      </c>
      <c r="CE507" s="1188">
        <f t="shared" si="179"/>
        <v>0</v>
      </c>
      <c r="CF507" s="1188">
        <f t="shared" si="163"/>
        <v>0</v>
      </c>
      <c r="CG507" s="1188">
        <f t="shared" si="164"/>
        <v>0</v>
      </c>
      <c r="CH507" s="1236"/>
      <c r="CI507" s="1236"/>
      <c r="CJ507" s="1236"/>
      <c r="CK507" s="1188"/>
      <c r="CL507" s="1188"/>
    </row>
    <row r="508" s="1168" customFormat="1" customHeight="1" spans="1:111">
      <c r="A508" s="1245">
        <v>46185</v>
      </c>
      <c r="B508" s="1247" t="s">
        <v>2231</v>
      </c>
      <c r="C508" s="1234" t="s">
        <v>148</v>
      </c>
      <c r="D508" s="1268">
        <v>4500210632</v>
      </c>
      <c r="E508" s="1234"/>
      <c r="F508" s="1188" t="s">
        <v>2232</v>
      </c>
      <c r="G508" s="1253" t="s">
        <v>174</v>
      </c>
      <c r="H508" s="1234" t="s">
        <v>175</v>
      </c>
      <c r="I508" s="1254">
        <v>468</v>
      </c>
      <c r="J508" s="1234">
        <v>0</v>
      </c>
      <c r="K508" s="1234">
        <v>52</v>
      </c>
      <c r="L508" s="1246">
        <f t="shared" si="175"/>
        <v>9</v>
      </c>
      <c r="M508" s="1255">
        <v>46228</v>
      </c>
      <c r="N508" s="1320">
        <v>46234</v>
      </c>
      <c r="O508" s="1320" t="s">
        <v>2188</v>
      </c>
      <c r="P508" s="1233" t="s">
        <v>2233</v>
      </c>
      <c r="Q508" s="1233" t="s">
        <v>1410</v>
      </c>
      <c r="R508" s="1234"/>
      <c r="S508" s="1234"/>
      <c r="T508" s="1233">
        <v>468</v>
      </c>
      <c r="U508" s="1233">
        <f t="shared" si="173"/>
        <v>0</v>
      </c>
      <c r="V508" s="1234"/>
      <c r="W508" s="1238">
        <v>46185</v>
      </c>
      <c r="X508" s="1227" t="s">
        <v>95</v>
      </c>
      <c r="Y508" s="1257" t="s">
        <v>2234</v>
      </c>
      <c r="Z508" s="1247"/>
      <c r="AA508" s="1247"/>
      <c r="AB508" s="1247"/>
      <c r="AC508" s="1247" t="s">
        <v>2235</v>
      </c>
      <c r="AD508" s="1255" t="s">
        <v>2037</v>
      </c>
      <c r="AE508" s="1188">
        <v>1.084</v>
      </c>
      <c r="AF508" s="1248">
        <f>I508*AE508</f>
        <v>507.312</v>
      </c>
      <c r="AG508" s="1258"/>
      <c r="AH508" s="1234" t="s">
        <v>1027</v>
      </c>
      <c r="AI508" s="1234" t="s">
        <v>112</v>
      </c>
      <c r="AJ508" s="1234" t="s">
        <v>113</v>
      </c>
      <c r="AK508" s="1188">
        <f t="shared" si="176"/>
        <v>468</v>
      </c>
      <c r="AL508" s="1188"/>
      <c r="AM508" s="1188"/>
      <c r="AN508" s="1188"/>
      <c r="AO508" s="1188"/>
      <c r="AP508" s="1188">
        <f>I508</f>
        <v>468</v>
      </c>
      <c r="AQ508" s="1240"/>
      <c r="AR508" s="1188"/>
      <c r="AS508" s="1236"/>
      <c r="AT508" s="1236"/>
      <c r="AU508" s="1188">
        <f t="shared" si="178"/>
        <v>468</v>
      </c>
      <c r="AV508" s="1250"/>
      <c r="AW508" s="1250"/>
      <c r="AX508" s="1188"/>
      <c r="AY508" s="1188"/>
      <c r="AZ508" s="1188"/>
      <c r="BA508" s="1188"/>
      <c r="BB508" s="1188"/>
      <c r="BC508" s="1188"/>
      <c r="BD508" s="1188"/>
      <c r="BE508" s="1188"/>
      <c r="BF508" s="1188"/>
      <c r="BG508" s="1188"/>
      <c r="BH508" s="1188"/>
      <c r="BI508" s="1188"/>
      <c r="BJ508" s="1188"/>
      <c r="BK508" s="1188"/>
      <c r="BL508" s="1188">
        <f>I508/13</f>
        <v>36</v>
      </c>
      <c r="BM508" s="1188"/>
      <c r="BN508" s="1188"/>
      <c r="BO508" s="1240"/>
      <c r="BP508" s="1240"/>
      <c r="BQ508" s="1188"/>
      <c r="BR508" s="1236"/>
      <c r="BS508" s="1188"/>
      <c r="BT508" s="1188"/>
      <c r="BU508" s="1188"/>
      <c r="BV508" s="1240"/>
      <c r="BW508" s="1188"/>
      <c r="BX508" s="1188"/>
      <c r="BY508" s="1188"/>
      <c r="BZ508" s="1188"/>
      <c r="CA508" s="1188"/>
      <c r="CB508" s="1188"/>
      <c r="CC508" s="1188"/>
      <c r="CD508" s="1188">
        <f t="shared" si="161"/>
        <v>0</v>
      </c>
      <c r="CE508" s="1188">
        <f t="shared" si="179"/>
        <v>0</v>
      </c>
      <c r="CF508" s="1188">
        <f t="shared" si="163"/>
        <v>0</v>
      </c>
      <c r="CG508" s="1188">
        <f t="shared" si="164"/>
        <v>0</v>
      </c>
      <c r="CH508" s="1236"/>
      <c r="CI508" s="1236"/>
      <c r="CJ508" s="1236"/>
      <c r="CK508" s="1188"/>
      <c r="CL508" s="1188"/>
      <c r="CM508" s="1260"/>
      <c r="CN508" s="1260"/>
      <c r="CO508" s="1260"/>
      <c r="CP508" s="1260"/>
      <c r="CQ508" s="1260"/>
      <c r="CR508" s="1260"/>
      <c r="CS508" s="1260"/>
      <c r="CT508" s="1260"/>
      <c r="CU508" s="1260"/>
      <c r="CV508" s="1260"/>
      <c r="CW508" s="1260"/>
      <c r="CX508" s="1260"/>
      <c r="CY508" s="1260"/>
      <c r="CZ508" s="1260"/>
      <c r="DA508" s="1260"/>
      <c r="DB508" s="1260"/>
      <c r="DC508" s="1260"/>
      <c r="DD508" s="1260"/>
      <c r="DE508" s="1260"/>
      <c r="DF508" s="1260"/>
      <c r="DG508" s="1260"/>
    </row>
    <row r="509" s="1168" customFormat="1" customHeight="1" spans="1:111">
      <c r="A509" s="1245">
        <v>46203</v>
      </c>
      <c r="B509" s="1247" t="s">
        <v>438</v>
      </c>
      <c r="C509" s="1234" t="s">
        <v>115</v>
      </c>
      <c r="D509" s="1268">
        <v>4500214215</v>
      </c>
      <c r="E509" s="1234" t="s">
        <v>2236</v>
      </c>
      <c r="F509" s="1188" t="s">
        <v>2237</v>
      </c>
      <c r="G509" s="1253" t="s">
        <v>118</v>
      </c>
      <c r="H509" s="1234" t="s">
        <v>104</v>
      </c>
      <c r="I509" s="1254">
        <v>40575</v>
      </c>
      <c r="J509" s="1234">
        <v>0</v>
      </c>
      <c r="K509" s="1234">
        <v>25</v>
      </c>
      <c r="L509" s="1246">
        <f t="shared" si="175"/>
        <v>1623</v>
      </c>
      <c r="M509" s="1255">
        <v>46230</v>
      </c>
      <c r="N509" s="1255">
        <v>46226</v>
      </c>
      <c r="O509" s="1320" t="s">
        <v>1678</v>
      </c>
      <c r="P509" s="1233" t="s">
        <v>2238</v>
      </c>
      <c r="Q509" s="1233" t="s">
        <v>106</v>
      </c>
      <c r="R509" s="1234" t="s">
        <v>2239</v>
      </c>
      <c r="S509" s="1234"/>
      <c r="T509" s="1233">
        <v>40575</v>
      </c>
      <c r="U509" s="1233">
        <f t="shared" si="173"/>
        <v>0</v>
      </c>
      <c r="V509" s="1234"/>
      <c r="W509" s="1256" t="s">
        <v>1416</v>
      </c>
      <c r="X509" s="1257" t="s">
        <v>107</v>
      </c>
      <c r="Y509" s="1257" t="s">
        <v>1417</v>
      </c>
      <c r="Z509" s="1247"/>
      <c r="AA509" s="1247"/>
      <c r="AB509" s="1247"/>
      <c r="AC509" s="1247" t="s">
        <v>2240</v>
      </c>
      <c r="AD509" s="1255" t="s">
        <v>443</v>
      </c>
      <c r="AE509" s="1188">
        <v>0.6406</v>
      </c>
      <c r="AF509" s="1248">
        <f>I509*AE509</f>
        <v>25992.345</v>
      </c>
      <c r="AG509" s="1249" t="s">
        <v>2241</v>
      </c>
      <c r="AH509" s="1234" t="s">
        <v>118</v>
      </c>
      <c r="AI509" s="1234" t="s">
        <v>112</v>
      </c>
      <c r="AJ509" s="1234" t="s">
        <v>113</v>
      </c>
      <c r="AK509" s="1188"/>
      <c r="AL509" s="1188"/>
      <c r="AM509" s="1188">
        <f>I509</f>
        <v>40575</v>
      </c>
      <c r="AN509" s="1188"/>
      <c r="AO509" s="1188"/>
      <c r="AP509" s="1188"/>
      <c r="AQ509" s="1240"/>
      <c r="AR509" s="1188"/>
      <c r="AS509" s="1236"/>
      <c r="AT509" s="1236">
        <f>I509</f>
        <v>40575</v>
      </c>
      <c r="AU509" s="1188">
        <f t="shared" si="178"/>
        <v>40575</v>
      </c>
      <c r="AV509" s="1250">
        <f>I509*0.06</f>
        <v>2434.5</v>
      </c>
      <c r="AW509" s="1250"/>
      <c r="AX509" s="1188"/>
      <c r="AY509" s="1188"/>
      <c r="AZ509" s="1188"/>
      <c r="BA509" s="1188"/>
      <c r="BB509" s="1188"/>
      <c r="BC509" s="1188"/>
      <c r="BD509" s="1188"/>
      <c r="BE509" s="1188"/>
      <c r="BF509" s="1188"/>
      <c r="BG509" s="1188"/>
      <c r="BH509" s="1188"/>
      <c r="BI509" s="1188"/>
      <c r="BJ509" s="1188"/>
      <c r="BK509" s="1188"/>
      <c r="BL509" s="1188"/>
      <c r="BM509" s="1188"/>
      <c r="BN509" s="1188"/>
      <c r="BO509" s="1240"/>
      <c r="BP509" s="1240"/>
      <c r="BQ509" s="1188"/>
      <c r="BR509" s="1236"/>
      <c r="BS509" s="1188"/>
      <c r="BT509" s="1188"/>
      <c r="BU509" s="1188">
        <f>I509/25</f>
        <v>1623</v>
      </c>
      <c r="BV509" s="1240"/>
      <c r="BW509" s="1188"/>
      <c r="BX509" s="1188"/>
      <c r="BY509" s="1188"/>
      <c r="BZ509" s="1188"/>
      <c r="CA509" s="1188"/>
      <c r="CB509" s="1188"/>
      <c r="CC509" s="1188"/>
      <c r="CD509" s="1188">
        <f t="shared" si="161"/>
        <v>0</v>
      </c>
      <c r="CE509" s="1188">
        <f t="shared" si="179"/>
        <v>1623</v>
      </c>
      <c r="CF509" s="1188">
        <f t="shared" si="163"/>
        <v>0</v>
      </c>
      <c r="CG509" s="1188">
        <f t="shared" si="164"/>
        <v>0</v>
      </c>
      <c r="CH509" s="1236"/>
      <c r="CI509" s="1236"/>
      <c r="CJ509" s="1236"/>
      <c r="CK509" s="1188"/>
      <c r="CL509" s="1188"/>
    </row>
    <row r="510" s="1168" customFormat="1" customHeight="1" spans="1:111">
      <c r="A510" s="1245">
        <v>46217</v>
      </c>
      <c r="B510" s="1247" t="s">
        <v>264</v>
      </c>
      <c r="C510" s="1234" t="s">
        <v>265</v>
      </c>
      <c r="D510" s="1268">
        <v>4500216435</v>
      </c>
      <c r="E510" s="1233">
        <v>4400561411</v>
      </c>
      <c r="F510" s="1188" t="s">
        <v>2242</v>
      </c>
      <c r="G510" s="1253" t="s">
        <v>270</v>
      </c>
      <c r="H510" s="1234" t="s">
        <v>104</v>
      </c>
      <c r="I510" s="1254">
        <v>4000</v>
      </c>
      <c r="J510" s="1234">
        <v>0</v>
      </c>
      <c r="K510" s="1234">
        <v>25</v>
      </c>
      <c r="L510" s="1246">
        <f t="shared" si="175"/>
        <v>160</v>
      </c>
      <c r="M510" s="1255">
        <v>46230</v>
      </c>
      <c r="N510" s="1255">
        <v>46226</v>
      </c>
      <c r="O510" s="1255"/>
      <c r="P510" s="1233" t="s">
        <v>2243</v>
      </c>
      <c r="Q510" s="1233" t="s">
        <v>106</v>
      </c>
      <c r="R510" s="1234" t="s">
        <v>1368</v>
      </c>
      <c r="S510" s="1234"/>
      <c r="T510" s="1233">
        <v>4000</v>
      </c>
      <c r="U510" s="1233">
        <f t="shared" si="173"/>
        <v>0</v>
      </c>
      <c r="V510" s="1234"/>
      <c r="W510" s="1238" t="s">
        <v>2244</v>
      </c>
      <c r="X510" s="1257" t="s">
        <v>107</v>
      </c>
      <c r="Y510" s="1227" t="s">
        <v>1794</v>
      </c>
      <c r="Z510" s="1247" t="s">
        <v>140</v>
      </c>
      <c r="AA510" s="1247"/>
      <c r="AB510" s="1247" t="s">
        <v>2189</v>
      </c>
      <c r="AC510" s="1247" t="s">
        <v>2245</v>
      </c>
      <c r="AD510" s="1255" t="s">
        <v>142</v>
      </c>
      <c r="AE510" s="1188">
        <v>1.1085</v>
      </c>
      <c r="AF510" s="1248">
        <f>I510*AE510</f>
        <v>4434</v>
      </c>
      <c r="AG510" s="1258"/>
      <c r="AH510" s="1234" t="s">
        <v>270</v>
      </c>
      <c r="AI510" s="1234" t="s">
        <v>112</v>
      </c>
      <c r="AJ510" s="1234"/>
      <c r="AK510" s="1188">
        <f t="shared" ref="AK510:AK515" si="180">I510</f>
        <v>4000</v>
      </c>
      <c r="AL510" s="1188"/>
      <c r="AM510" s="1188"/>
      <c r="AN510" s="1188"/>
      <c r="AO510" s="1188"/>
      <c r="AP510" s="1188"/>
      <c r="AQ510" s="1240"/>
      <c r="AR510" s="1188"/>
      <c r="AS510" s="1236"/>
      <c r="AT510" s="1236"/>
      <c r="AU510" s="1188"/>
      <c r="AV510" s="1250">
        <f>I510*0.06</f>
        <v>240</v>
      </c>
      <c r="AW510" s="1250"/>
      <c r="AX510" s="1188"/>
      <c r="AY510" s="1188"/>
      <c r="AZ510" s="1188"/>
      <c r="BA510" s="1188"/>
      <c r="BB510" s="1188"/>
      <c r="BC510" s="1188"/>
      <c r="BD510" s="1188"/>
      <c r="BE510" s="1188"/>
      <c r="BF510" s="1188"/>
      <c r="BG510" s="1188">
        <f>I510</f>
        <v>4000</v>
      </c>
      <c r="BH510" s="1188">
        <f>I510</f>
        <v>4000</v>
      </c>
      <c r="BI510" s="1188"/>
      <c r="BJ510" s="1188"/>
      <c r="BK510" s="1188"/>
      <c r="BL510" s="1188"/>
      <c r="BM510" s="1188"/>
      <c r="BN510" s="1188"/>
      <c r="BO510" s="1235">
        <f>I510/25</f>
        <v>160</v>
      </c>
      <c r="BP510" s="1240"/>
      <c r="BQ510" s="1188"/>
      <c r="BR510" s="1236"/>
      <c r="BS510" s="1236"/>
      <c r="BT510" s="1188"/>
      <c r="BU510" s="1188"/>
      <c r="BV510" s="1240"/>
      <c r="BW510" s="1188"/>
      <c r="BX510" s="1188"/>
      <c r="BY510" s="1188"/>
      <c r="BZ510" s="1188"/>
      <c r="CA510" s="1188"/>
      <c r="CB510" s="1188"/>
      <c r="CC510" s="1188"/>
      <c r="CD510" s="1188">
        <f t="shared" si="161"/>
        <v>160</v>
      </c>
      <c r="CE510" s="1188">
        <f t="shared" si="179"/>
        <v>0</v>
      </c>
      <c r="CF510" s="1188">
        <f t="shared" si="163"/>
        <v>0</v>
      </c>
      <c r="CG510" s="1188">
        <f t="shared" si="164"/>
        <v>0</v>
      </c>
      <c r="CH510" s="1236"/>
      <c r="CI510" s="1236"/>
      <c r="CJ510" s="1236"/>
      <c r="CK510" s="1188"/>
      <c r="CL510" s="1188"/>
      <c r="CM510" s="1169"/>
      <c r="CN510" s="1169"/>
      <c r="CO510" s="1169"/>
      <c r="CP510" s="1169"/>
      <c r="CQ510" s="1169"/>
      <c r="CR510" s="1169"/>
      <c r="CS510" s="1169"/>
      <c r="CT510" s="1169"/>
      <c r="CU510" s="1169"/>
      <c r="CV510" s="1169"/>
      <c r="CW510" s="1169"/>
      <c r="CX510" s="1169"/>
      <c r="CY510" s="1169"/>
      <c r="CZ510" s="1169"/>
      <c r="DA510" s="1169"/>
      <c r="DB510" s="1169"/>
      <c r="DC510" s="1169"/>
      <c r="DD510" s="1169"/>
      <c r="DE510" s="1169"/>
      <c r="DF510" s="1169"/>
      <c r="DG510" s="1169"/>
    </row>
    <row r="511" s="1168" customFormat="1" customHeight="1" spans="1:111">
      <c r="A511" s="1245">
        <v>46162</v>
      </c>
      <c r="B511" s="1247" t="s">
        <v>1934</v>
      </c>
      <c r="C511" s="1234" t="s">
        <v>291</v>
      </c>
      <c r="D511" s="1268">
        <v>4500207499</v>
      </c>
      <c r="E511" s="1302">
        <v>17410859</v>
      </c>
      <c r="F511" s="1188" t="s">
        <v>2246</v>
      </c>
      <c r="G511" s="1253" t="s">
        <v>799</v>
      </c>
      <c r="H511" s="1234" t="s">
        <v>800</v>
      </c>
      <c r="I511" s="1254">
        <v>2160</v>
      </c>
      <c r="J511" s="1234">
        <v>0</v>
      </c>
      <c r="K511" s="1234">
        <v>30</v>
      </c>
      <c r="L511" s="1246">
        <f t="shared" si="175"/>
        <v>72</v>
      </c>
      <c r="M511" s="1320">
        <v>46230</v>
      </c>
      <c r="N511" s="1320">
        <v>46226</v>
      </c>
      <c r="O511" s="1322" t="s">
        <v>1675</v>
      </c>
      <c r="P511" s="1233" t="s">
        <v>1924</v>
      </c>
      <c r="Q511" s="1233" t="s">
        <v>1410</v>
      </c>
      <c r="R511" s="1234" t="s">
        <v>1831</v>
      </c>
      <c r="S511" s="1234"/>
      <c r="T511" s="1233">
        <v>2160</v>
      </c>
      <c r="U511" s="1233">
        <f t="shared" si="173"/>
        <v>0</v>
      </c>
      <c r="V511" s="1234"/>
      <c r="W511" s="1256" t="s">
        <v>1824</v>
      </c>
      <c r="X511" s="1257" t="s">
        <v>95</v>
      </c>
      <c r="Y511" s="1257" t="s">
        <v>2111</v>
      </c>
      <c r="Z511" s="1247"/>
      <c r="AA511" s="1247"/>
      <c r="AB511" s="1247"/>
      <c r="AC511" s="1247" t="s">
        <v>2247</v>
      </c>
      <c r="AD511" s="1255" t="s">
        <v>450</v>
      </c>
      <c r="AE511" s="1267">
        <v>42.021</v>
      </c>
      <c r="AF511" s="1248">
        <f>AE511*L511</f>
        <v>3025.512</v>
      </c>
      <c r="AG511" s="1258"/>
      <c r="AH511" s="1253" t="s">
        <v>799</v>
      </c>
      <c r="AI511" s="1234" t="s">
        <v>112</v>
      </c>
      <c r="AJ511" s="1234"/>
      <c r="AK511" s="1188">
        <f t="shared" si="180"/>
        <v>2160</v>
      </c>
      <c r="AL511" s="1188"/>
      <c r="AM511" s="1188"/>
      <c r="AN511" s="1188"/>
      <c r="AO511" s="1188"/>
      <c r="AP511" s="1188">
        <f>I511</f>
        <v>2160</v>
      </c>
      <c r="AQ511" s="1240"/>
      <c r="AR511" s="1188"/>
      <c r="AS511" s="1236"/>
      <c r="AT511" s="1236"/>
      <c r="AU511" s="1188">
        <f t="shared" ref="AU511:AU516" si="181">I511</f>
        <v>2160</v>
      </c>
      <c r="AV511" s="1250">
        <f>I511*0.06*2</f>
        <v>259.2</v>
      </c>
      <c r="AW511" s="1250"/>
      <c r="AX511" s="1188"/>
      <c r="AY511" s="1188"/>
      <c r="AZ511" s="1188"/>
      <c r="BA511" s="1188"/>
      <c r="BB511" s="1188"/>
      <c r="BC511" s="1188"/>
      <c r="BD511" s="1188"/>
      <c r="BE511" s="1188"/>
      <c r="BF511" s="1188"/>
      <c r="BG511" s="1188"/>
      <c r="BH511" s="1188"/>
      <c r="BI511" s="1188"/>
      <c r="BJ511" s="1188"/>
      <c r="BK511" s="1188"/>
      <c r="BL511" s="1188"/>
      <c r="BM511" s="1188"/>
      <c r="BN511" s="1188"/>
      <c r="BO511" s="1240"/>
      <c r="BP511" s="1240"/>
      <c r="BQ511" s="1188"/>
      <c r="BR511" s="1236"/>
      <c r="BS511" s="1236"/>
      <c r="BT511" s="1188"/>
      <c r="BU511" s="1188"/>
      <c r="BV511" s="1240"/>
      <c r="BW511" s="1188"/>
      <c r="BX511" s="1188"/>
      <c r="BY511" s="1188"/>
      <c r="BZ511" s="1188"/>
      <c r="CA511" s="1188"/>
      <c r="CB511" s="1188"/>
      <c r="CC511" s="1188">
        <f>I511/30</f>
        <v>72</v>
      </c>
      <c r="CD511" s="1188">
        <f t="shared" si="161"/>
        <v>0</v>
      </c>
      <c r="CE511" s="1188">
        <f t="shared" si="179"/>
        <v>0</v>
      </c>
      <c r="CF511" s="1188">
        <f t="shared" si="163"/>
        <v>72</v>
      </c>
      <c r="CG511" s="1188">
        <f t="shared" si="164"/>
        <v>0</v>
      </c>
      <c r="CH511" s="1236"/>
      <c r="CI511" s="1236"/>
      <c r="CJ511" s="1236"/>
      <c r="CK511" s="1188"/>
      <c r="CL511" s="1188"/>
      <c r="CM511" s="1169"/>
      <c r="CN511" s="1169"/>
      <c r="CO511" s="1169"/>
      <c r="CP511" s="1169"/>
      <c r="CQ511" s="1169"/>
      <c r="CR511" s="1169"/>
      <c r="CS511" s="1169"/>
      <c r="CT511" s="1169"/>
      <c r="CU511" s="1169"/>
      <c r="CV511" s="1169"/>
      <c r="CW511" s="1169"/>
      <c r="CX511" s="1169"/>
      <c r="CY511" s="1169"/>
      <c r="CZ511" s="1169"/>
      <c r="DA511" s="1169"/>
      <c r="DB511" s="1169"/>
      <c r="DC511" s="1169"/>
      <c r="DD511" s="1169"/>
      <c r="DE511" s="1169"/>
      <c r="DF511" s="1169"/>
      <c r="DG511" s="1169"/>
    </row>
    <row r="512" s="1168" customFormat="1" customHeight="1" spans="1:111">
      <c r="A512" s="1245">
        <v>46164</v>
      </c>
      <c r="B512" s="1247" t="s">
        <v>378</v>
      </c>
      <c r="C512" s="1234" t="s">
        <v>201</v>
      </c>
      <c r="D512" s="1268">
        <v>4500208673</v>
      </c>
      <c r="E512" s="1264">
        <v>2551020507</v>
      </c>
      <c r="F512" s="1188" t="s">
        <v>2248</v>
      </c>
      <c r="G512" s="1253" t="s">
        <v>380</v>
      </c>
      <c r="H512" s="1234" t="s">
        <v>381</v>
      </c>
      <c r="I512" s="1254">
        <v>6032</v>
      </c>
      <c r="J512" s="1234">
        <v>0</v>
      </c>
      <c r="K512" s="1234">
        <v>16</v>
      </c>
      <c r="L512" s="1246">
        <f t="shared" si="175"/>
        <v>377</v>
      </c>
      <c r="M512" s="1320">
        <v>46230</v>
      </c>
      <c r="N512" s="1320">
        <v>46232</v>
      </c>
      <c r="O512" s="1320" t="s">
        <v>1923</v>
      </c>
      <c r="P512" s="1233" t="s">
        <v>2249</v>
      </c>
      <c r="Q512" s="1233" t="s">
        <v>1410</v>
      </c>
      <c r="R512" s="1234"/>
      <c r="S512" s="1234"/>
      <c r="T512" s="1233">
        <v>6032</v>
      </c>
      <c r="U512" s="1233">
        <f t="shared" si="173"/>
        <v>0</v>
      </c>
      <c r="V512" s="1234"/>
      <c r="W512" s="1238" t="s">
        <v>2250</v>
      </c>
      <c r="X512" s="1227" t="s">
        <v>95</v>
      </c>
      <c r="Y512" s="1227" t="s">
        <v>2251</v>
      </c>
      <c r="Z512" s="1247"/>
      <c r="AA512" s="1247"/>
      <c r="AB512" s="1247"/>
      <c r="AC512" s="1321" t="s">
        <v>2252</v>
      </c>
      <c r="AD512" s="1255" t="s">
        <v>384</v>
      </c>
      <c r="AE512" s="1188">
        <v>1.3</v>
      </c>
      <c r="AF512" s="1248">
        <f>AE512*I512</f>
        <v>7841.6</v>
      </c>
      <c r="AG512" s="1258"/>
      <c r="AH512" s="1387" t="s">
        <v>385</v>
      </c>
      <c r="AI512" s="1234" t="s">
        <v>112</v>
      </c>
      <c r="AJ512" s="1234" t="s">
        <v>113</v>
      </c>
      <c r="AK512" s="1188">
        <f t="shared" si="180"/>
        <v>6032</v>
      </c>
      <c r="AL512" s="1188"/>
      <c r="AM512" s="1188"/>
      <c r="AN512" s="1188"/>
      <c r="AO512" s="1188"/>
      <c r="AP512" s="1188">
        <f>I512</f>
        <v>6032</v>
      </c>
      <c r="AQ512" s="1240"/>
      <c r="AR512" s="1188"/>
      <c r="AS512" s="1236"/>
      <c r="AT512" s="1236"/>
      <c r="AU512" s="1188">
        <f t="shared" si="181"/>
        <v>6032</v>
      </c>
      <c r="AV512" s="1250">
        <f>I512*0.06*2</f>
        <v>723.84</v>
      </c>
      <c r="AW512" s="1250"/>
      <c r="AX512" s="1188"/>
      <c r="AY512" s="1188"/>
      <c r="AZ512" s="1188"/>
      <c r="BA512" s="1188"/>
      <c r="BB512" s="1188"/>
      <c r="BC512" s="1188"/>
      <c r="BD512" s="1188"/>
      <c r="BE512" s="1188"/>
      <c r="BF512" s="1188"/>
      <c r="BG512" s="1188"/>
      <c r="BH512" s="1188"/>
      <c r="BI512" s="1188"/>
      <c r="BJ512" s="1188"/>
      <c r="BK512" s="1188"/>
      <c r="BL512" s="1188"/>
      <c r="BM512" s="1188"/>
      <c r="BN512" s="1188"/>
      <c r="BO512" s="1240"/>
      <c r="BP512" s="1240"/>
      <c r="BQ512" s="1188"/>
      <c r="BR512" s="1236"/>
      <c r="BS512" s="1188">
        <f>I512/16</f>
        <v>377</v>
      </c>
      <c r="BT512" s="1188"/>
      <c r="BU512" s="1188"/>
      <c r="BV512" s="1240"/>
      <c r="BW512" s="1188"/>
      <c r="BX512" s="1188"/>
      <c r="BY512" s="1188"/>
      <c r="BZ512" s="1188"/>
      <c r="CA512" s="1188"/>
      <c r="CB512" s="1188"/>
      <c r="CC512" s="1188"/>
      <c r="CD512" s="1188">
        <f t="shared" si="161"/>
        <v>377</v>
      </c>
      <c r="CE512" s="1188">
        <f t="shared" si="179"/>
        <v>0</v>
      </c>
      <c r="CF512" s="1188">
        <f t="shared" si="163"/>
        <v>0</v>
      </c>
      <c r="CG512" s="1188">
        <f t="shared" si="164"/>
        <v>0</v>
      </c>
      <c r="CH512" s="1236"/>
      <c r="CI512" s="1236"/>
      <c r="CJ512" s="1236"/>
      <c r="CK512" s="1188"/>
      <c r="CL512" s="1188"/>
    </row>
    <row r="513" s="1168" customFormat="1" customHeight="1" spans="1:111">
      <c r="A513" s="1340">
        <v>46184</v>
      </c>
      <c r="B513" s="1341" t="s">
        <v>626</v>
      </c>
      <c r="C513" s="1342" t="s">
        <v>627</v>
      </c>
      <c r="D513" s="1343">
        <v>4500211792</v>
      </c>
      <c r="E513" s="1342"/>
      <c r="F513" s="1172" t="s">
        <v>2253</v>
      </c>
      <c r="G513" s="1359" t="s">
        <v>188</v>
      </c>
      <c r="H513" s="1342" t="s">
        <v>138</v>
      </c>
      <c r="I513" s="1344">
        <v>3000</v>
      </c>
      <c r="J513" s="1342">
        <v>0</v>
      </c>
      <c r="K513" s="1342">
        <v>50</v>
      </c>
      <c r="L513" s="1345">
        <f t="shared" si="175"/>
        <v>60</v>
      </c>
      <c r="M513" s="1286">
        <v>46230</v>
      </c>
      <c r="N513" s="1361">
        <v>46231</v>
      </c>
      <c r="O513" s="1255"/>
      <c r="P513" s="1357"/>
      <c r="Q513" s="1357" t="s">
        <v>1410</v>
      </c>
      <c r="R513" s="1342" t="s">
        <v>2254</v>
      </c>
      <c r="S513" s="1342"/>
      <c r="T513" s="1357">
        <v>3000</v>
      </c>
      <c r="U513" s="1233">
        <f t="shared" si="173"/>
        <v>0</v>
      </c>
      <c r="V513" s="1342"/>
      <c r="W513" s="1238">
        <v>46198</v>
      </c>
      <c r="X513" s="1257" t="s">
        <v>95</v>
      </c>
      <c r="Y513" s="1257" t="s">
        <v>2255</v>
      </c>
      <c r="Z513" s="1247"/>
      <c r="AA513" s="1247"/>
      <c r="AB513" s="1247"/>
      <c r="AC513" s="1341" t="s">
        <v>2256</v>
      </c>
      <c r="AD513" s="1286" t="s">
        <v>295</v>
      </c>
      <c r="AE513" s="1172">
        <v>1.1174</v>
      </c>
      <c r="AF513" s="1360">
        <f>AE513*I513</f>
        <v>3352.2</v>
      </c>
      <c r="AG513" s="1258"/>
      <c r="AH513" s="1234" t="s">
        <v>314</v>
      </c>
      <c r="AI513" s="1234" t="s">
        <v>112</v>
      </c>
      <c r="AJ513" s="1234"/>
      <c r="AK513" s="1188">
        <f t="shared" si="180"/>
        <v>3000</v>
      </c>
      <c r="AL513" s="1172"/>
      <c r="AM513" s="1172"/>
      <c r="AN513" s="1172"/>
      <c r="AO513" s="1172"/>
      <c r="AP513" s="1172">
        <f>I513</f>
        <v>3000</v>
      </c>
      <c r="AQ513" s="1172"/>
      <c r="AR513" s="1172"/>
      <c r="AS513" s="1172"/>
      <c r="AT513" s="1172"/>
      <c r="AU513" s="1172">
        <f t="shared" si="181"/>
        <v>3000</v>
      </c>
      <c r="AV513" s="1250"/>
      <c r="AW513" s="1250"/>
      <c r="AX513" s="1172"/>
      <c r="AY513" s="1172"/>
      <c r="AZ513" s="1172"/>
      <c r="BA513" s="1172"/>
      <c r="BB513" s="1172"/>
      <c r="BC513" s="1172"/>
      <c r="BD513" s="1172"/>
      <c r="BE513" s="1172"/>
      <c r="BF513" s="1172"/>
      <c r="BG513" s="1188"/>
      <c r="BH513" s="1188"/>
      <c r="BI513" s="1172"/>
      <c r="BJ513" s="1172"/>
      <c r="BK513" s="1172"/>
      <c r="BL513" s="1172"/>
      <c r="BM513" s="1172"/>
      <c r="BN513" s="1172"/>
      <c r="BO513" s="1240">
        <f>I513/25</f>
        <v>120</v>
      </c>
      <c r="BP513" s="1172"/>
      <c r="BQ513" s="1172"/>
      <c r="BR513" s="1172"/>
      <c r="BS513" s="1172"/>
      <c r="BT513" s="1172"/>
      <c r="BU513" s="1172"/>
      <c r="BV513" s="1172"/>
      <c r="BW513" s="1172"/>
      <c r="BX513" s="1172"/>
      <c r="BY513" s="1172"/>
      <c r="BZ513" s="1172"/>
      <c r="CA513" s="1172"/>
      <c r="CB513" s="1172"/>
      <c r="CC513" s="1172"/>
      <c r="CD513" s="1188">
        <f t="shared" si="161"/>
        <v>120</v>
      </c>
      <c r="CE513" s="1188">
        <f t="shared" si="179"/>
        <v>0</v>
      </c>
      <c r="CF513" s="1188">
        <f t="shared" si="163"/>
        <v>0</v>
      </c>
      <c r="CG513" s="1188">
        <f t="shared" si="164"/>
        <v>0</v>
      </c>
      <c r="CH513" s="1188"/>
      <c r="CI513" s="1188"/>
      <c r="CJ513" s="1172"/>
      <c r="CK513" s="1172"/>
      <c r="CL513" s="1172"/>
    </row>
    <row r="514" s="1168" customFormat="1" customHeight="1" spans="1:111">
      <c r="A514" s="1245">
        <v>46156</v>
      </c>
      <c r="B514" s="1269" t="s">
        <v>2257</v>
      </c>
      <c r="C514" s="1287" t="s">
        <v>810</v>
      </c>
      <c r="D514" s="1270">
        <v>4500207257</v>
      </c>
      <c r="E514" s="1271" t="s">
        <v>628</v>
      </c>
      <c r="F514" s="1270" t="s">
        <v>2258</v>
      </c>
      <c r="G514" s="1272" t="s">
        <v>188</v>
      </c>
      <c r="H514" s="1247" t="s">
        <v>138</v>
      </c>
      <c r="I514" s="1273">
        <v>2000</v>
      </c>
      <c r="J514" s="1274">
        <v>0</v>
      </c>
      <c r="K514" s="1274">
        <v>50</v>
      </c>
      <c r="L514" s="1246">
        <f t="shared" si="175"/>
        <v>40</v>
      </c>
      <c r="M514" s="1255">
        <v>46230</v>
      </c>
      <c r="N514" s="1320">
        <v>46235</v>
      </c>
      <c r="O514" s="1255"/>
      <c r="P514" s="1233"/>
      <c r="Q514" s="1233" t="s">
        <v>1410</v>
      </c>
      <c r="R514" s="1234" t="s">
        <v>2259</v>
      </c>
      <c r="S514" s="1234"/>
      <c r="T514" s="1233">
        <v>2000</v>
      </c>
      <c r="U514" s="1233">
        <f t="shared" si="173"/>
        <v>0</v>
      </c>
      <c r="V514" s="1234"/>
      <c r="W514" s="1238">
        <v>46197</v>
      </c>
      <c r="X514" s="1227" t="s">
        <v>95</v>
      </c>
      <c r="Y514" s="1257" t="s">
        <v>2260</v>
      </c>
      <c r="Z514" s="1247"/>
      <c r="AA514" s="1247"/>
      <c r="AB514" s="1247"/>
      <c r="AC514" s="1247" t="s">
        <v>2261</v>
      </c>
      <c r="AD514" s="1275" t="s">
        <v>1945</v>
      </c>
      <c r="AE514" s="1276">
        <v>1.1174</v>
      </c>
      <c r="AF514" s="1248">
        <f>AE514*I514</f>
        <v>2234.8</v>
      </c>
      <c r="AG514" s="1258"/>
      <c r="AH514" s="1234" t="s">
        <v>314</v>
      </c>
      <c r="AI514" s="1234" t="s">
        <v>112</v>
      </c>
      <c r="AJ514" s="1234"/>
      <c r="AK514" s="1188">
        <f t="shared" si="180"/>
        <v>2000</v>
      </c>
      <c r="AL514" s="1188"/>
      <c r="AM514" s="1188"/>
      <c r="AN514" s="1188"/>
      <c r="AO514" s="1188"/>
      <c r="AP514" s="1188">
        <f>I514</f>
        <v>2000</v>
      </c>
      <c r="AQ514" s="1240"/>
      <c r="AR514" s="1188"/>
      <c r="AS514" s="1236"/>
      <c r="AT514" s="1236"/>
      <c r="AU514" s="1188">
        <f t="shared" si="181"/>
        <v>2000</v>
      </c>
      <c r="AV514" s="1250">
        <f>I514*0.06*2</f>
        <v>240</v>
      </c>
      <c r="AW514" s="1250"/>
      <c r="AX514" s="1188"/>
      <c r="AY514" s="1188"/>
      <c r="AZ514" s="1188"/>
      <c r="BA514" s="1188"/>
      <c r="BB514" s="1188"/>
      <c r="BC514" s="1188"/>
      <c r="BD514" s="1188"/>
      <c r="BE514" s="1188"/>
      <c r="BF514" s="1188"/>
      <c r="BG514" s="1188"/>
      <c r="BH514" s="1188"/>
      <c r="BI514" s="1188"/>
      <c r="BJ514" s="1188"/>
      <c r="BK514" s="1188"/>
      <c r="BL514" s="1188"/>
      <c r="BM514" s="1188"/>
      <c r="BN514" s="1188"/>
      <c r="BO514" s="1240">
        <f>I514/25</f>
        <v>80</v>
      </c>
      <c r="BP514" s="1240"/>
      <c r="BQ514" s="1188"/>
      <c r="BR514" s="1236"/>
      <c r="BS514" s="1236"/>
      <c r="BT514" s="1188"/>
      <c r="BU514" s="1188"/>
      <c r="BV514" s="1240"/>
      <c r="BW514" s="1188"/>
      <c r="BX514" s="1188"/>
      <c r="BY514" s="1188"/>
      <c r="BZ514" s="1188"/>
      <c r="CA514" s="1188"/>
      <c r="CB514" s="1188"/>
      <c r="CC514" s="1188"/>
      <c r="CD514" s="1188">
        <f t="shared" si="161"/>
        <v>80</v>
      </c>
      <c r="CE514" s="1188">
        <f t="shared" si="179"/>
        <v>0</v>
      </c>
      <c r="CF514" s="1188">
        <f t="shared" si="163"/>
        <v>0</v>
      </c>
      <c r="CG514" s="1188">
        <f t="shared" si="164"/>
        <v>0</v>
      </c>
      <c r="CH514" s="1236"/>
      <c r="CI514" s="1236"/>
      <c r="CJ514" s="1236"/>
      <c r="CK514" s="1188"/>
      <c r="CL514" s="1188"/>
    </row>
    <row r="515" s="1168" customFormat="1" customHeight="1" spans="1:111">
      <c r="A515" s="1245">
        <v>46140</v>
      </c>
      <c r="B515" s="1247" t="s">
        <v>2262</v>
      </c>
      <c r="C515" s="1234" t="s">
        <v>2263</v>
      </c>
      <c r="D515" s="1268">
        <v>4500204227</v>
      </c>
      <c r="E515" s="1302">
        <v>85060</v>
      </c>
      <c r="F515" s="1188" t="s">
        <v>2264</v>
      </c>
      <c r="G515" s="1253" t="s">
        <v>188</v>
      </c>
      <c r="H515" s="1247" t="s">
        <v>138</v>
      </c>
      <c r="I515" s="1254">
        <v>5000</v>
      </c>
      <c r="J515" s="1234">
        <v>0</v>
      </c>
      <c r="K515" s="1234">
        <v>50</v>
      </c>
      <c r="L515" s="1246">
        <f t="shared" si="175"/>
        <v>100</v>
      </c>
      <c r="M515" s="1320">
        <v>46230</v>
      </c>
      <c r="N515" s="1320">
        <v>46238</v>
      </c>
      <c r="O515" s="1320" t="s">
        <v>1923</v>
      </c>
      <c r="P515" s="1233" t="s">
        <v>2265</v>
      </c>
      <c r="Q515" s="1233" t="s">
        <v>1410</v>
      </c>
      <c r="R515" s="1388" t="s">
        <v>1195</v>
      </c>
      <c r="S515" s="1234"/>
      <c r="T515" s="1233">
        <v>5000</v>
      </c>
      <c r="U515" s="1233">
        <f t="shared" si="173"/>
        <v>0</v>
      </c>
      <c r="V515" s="1234"/>
      <c r="W515" s="1238">
        <v>46156</v>
      </c>
      <c r="X515" s="1227" t="s">
        <v>95</v>
      </c>
      <c r="Y515" s="1257" t="s">
        <v>2266</v>
      </c>
      <c r="Z515" s="1247" t="s">
        <v>2267</v>
      </c>
      <c r="AA515" s="1247"/>
      <c r="AB515" s="1247"/>
      <c r="AC515" s="1321" t="s">
        <v>2268</v>
      </c>
      <c r="AD515" s="1255" t="s">
        <v>2269</v>
      </c>
      <c r="AE515" s="1188">
        <v>1.0647</v>
      </c>
      <c r="AF515" s="1248">
        <f>AE515*I515</f>
        <v>5323.5</v>
      </c>
      <c r="AG515" s="1258"/>
      <c r="AH515" s="1234" t="s">
        <v>188</v>
      </c>
      <c r="AI515" s="1234" t="s">
        <v>112</v>
      </c>
      <c r="AJ515" s="1234" t="s">
        <v>113</v>
      </c>
      <c r="AK515" s="1188">
        <f t="shared" si="180"/>
        <v>5000</v>
      </c>
      <c r="AL515" s="1188"/>
      <c r="AM515" s="1188"/>
      <c r="AN515" s="1188">
        <f>I515</f>
        <v>5000</v>
      </c>
      <c r="AO515" s="1188"/>
      <c r="AP515" s="1188"/>
      <c r="AQ515" s="1240"/>
      <c r="AR515" s="1188"/>
      <c r="AS515" s="1236"/>
      <c r="AT515" s="1236"/>
      <c r="AU515" s="1188">
        <f t="shared" si="181"/>
        <v>5000</v>
      </c>
      <c r="AV515" s="1250">
        <f>I515*0.06*2</f>
        <v>600</v>
      </c>
      <c r="AW515" s="1250"/>
      <c r="AX515" s="1188"/>
      <c r="AY515" s="1188"/>
      <c r="AZ515" s="1188"/>
      <c r="BA515" s="1188"/>
      <c r="BB515" s="1188"/>
      <c r="BC515" s="1188"/>
      <c r="BD515" s="1188"/>
      <c r="BE515" s="1188"/>
      <c r="BF515" s="1188"/>
      <c r="BG515" s="1188"/>
      <c r="BH515" s="1188"/>
      <c r="BI515" s="1188"/>
      <c r="BJ515" s="1188"/>
      <c r="BK515" s="1188"/>
      <c r="BL515" s="1188"/>
      <c r="BM515" s="1188"/>
      <c r="BN515" s="1188">
        <f>I515/25</f>
        <v>200</v>
      </c>
      <c r="BO515" s="1240"/>
      <c r="BP515" s="1240"/>
      <c r="BQ515" s="1188"/>
      <c r="BR515" s="1236"/>
      <c r="BS515" s="1188"/>
      <c r="BT515" s="1188"/>
      <c r="BU515" s="1188"/>
      <c r="BV515" s="1240"/>
      <c r="BW515" s="1188"/>
      <c r="BX515" s="1188"/>
      <c r="BY515" s="1188"/>
      <c r="BZ515" s="1188"/>
      <c r="CA515" s="1188"/>
      <c r="CB515" s="1188"/>
      <c r="CC515" s="1188"/>
      <c r="CD515" s="1188">
        <f t="shared" si="161"/>
        <v>200</v>
      </c>
      <c r="CE515" s="1188">
        <f t="shared" si="179"/>
        <v>0</v>
      </c>
      <c r="CF515" s="1188">
        <f t="shared" si="163"/>
        <v>0</v>
      </c>
      <c r="CG515" s="1188">
        <f t="shared" si="164"/>
        <v>0</v>
      </c>
      <c r="CH515" s="1236"/>
      <c r="CI515" s="1236"/>
      <c r="CJ515" s="1236"/>
      <c r="CK515" s="1188"/>
      <c r="CL515" s="1188"/>
    </row>
    <row r="516" s="1168" customFormat="1" customHeight="1" spans="1:111">
      <c r="A516" s="1245">
        <v>46203</v>
      </c>
      <c r="B516" s="1220" t="s">
        <v>438</v>
      </c>
      <c r="C516" s="1221" t="s">
        <v>115</v>
      </c>
      <c r="D516" s="1221">
        <v>4500214216</v>
      </c>
      <c r="E516" s="1221" t="s">
        <v>2270</v>
      </c>
      <c r="F516" s="1222" t="s">
        <v>2271</v>
      </c>
      <c r="G516" s="1223" t="s">
        <v>118</v>
      </c>
      <c r="H516" s="1221" t="s">
        <v>104</v>
      </c>
      <c r="I516" s="1252">
        <v>37900</v>
      </c>
      <c r="J516" s="1221">
        <v>0</v>
      </c>
      <c r="K516" s="1221">
        <v>25</v>
      </c>
      <c r="L516" s="1246">
        <f t="shared" si="175"/>
        <v>1516</v>
      </c>
      <c r="M516" s="1225">
        <v>46231</v>
      </c>
      <c r="N516" s="1225">
        <v>46227</v>
      </c>
      <c r="O516" s="1255" t="s">
        <v>2272</v>
      </c>
      <c r="P516" s="1233" t="s">
        <v>2273</v>
      </c>
      <c r="Q516" s="1233" t="s">
        <v>106</v>
      </c>
      <c r="R516" s="1234" t="s">
        <v>2274</v>
      </c>
      <c r="S516" s="1234"/>
      <c r="T516" s="1233">
        <v>37900</v>
      </c>
      <c r="U516" s="1233">
        <f t="shared" si="173"/>
        <v>0</v>
      </c>
      <c r="V516" s="1234" t="s">
        <v>120</v>
      </c>
      <c r="W516" s="1238" t="s">
        <v>1416</v>
      </c>
      <c r="X516" s="1227" t="s">
        <v>107</v>
      </c>
      <c r="Y516" s="1227" t="s">
        <v>2275</v>
      </c>
      <c r="Z516" s="1247"/>
      <c r="AA516" s="1247"/>
      <c r="AB516" s="1247"/>
      <c r="AC516" s="1220" t="s">
        <v>2276</v>
      </c>
      <c r="AD516" s="1225" t="s">
        <v>443</v>
      </c>
      <c r="AE516" s="1188">
        <v>0.6406</v>
      </c>
      <c r="AF516" s="1248">
        <f>I516*AE516</f>
        <v>24278.74</v>
      </c>
      <c r="AG516" s="1249" t="s">
        <v>2277</v>
      </c>
      <c r="AH516" s="1234" t="s">
        <v>118</v>
      </c>
      <c r="AI516" s="1234" t="s">
        <v>112</v>
      </c>
      <c r="AJ516" s="1234" t="s">
        <v>113</v>
      </c>
      <c r="AK516" s="1188"/>
      <c r="AL516" s="1188"/>
      <c r="AM516" s="1188">
        <f>I516</f>
        <v>37900</v>
      </c>
      <c r="AN516" s="1188"/>
      <c r="AO516" s="1188"/>
      <c r="AP516" s="1188"/>
      <c r="AQ516" s="1240"/>
      <c r="AR516" s="1188"/>
      <c r="AS516" s="1236"/>
      <c r="AT516" s="1236">
        <f>I516</f>
        <v>37900</v>
      </c>
      <c r="AU516" s="1188">
        <f t="shared" si="181"/>
        <v>37900</v>
      </c>
      <c r="AV516" s="1250">
        <f>I516*0.06</f>
        <v>2274</v>
      </c>
      <c r="AW516" s="1250"/>
      <c r="AX516" s="1188"/>
      <c r="AY516" s="1188"/>
      <c r="AZ516" s="1188"/>
      <c r="BA516" s="1188"/>
      <c r="BB516" s="1188"/>
      <c r="BC516" s="1188"/>
      <c r="BD516" s="1188"/>
      <c r="BE516" s="1188"/>
      <c r="BF516" s="1188"/>
      <c r="BG516" s="1188"/>
      <c r="BH516" s="1188"/>
      <c r="BI516" s="1188"/>
      <c r="BJ516" s="1188"/>
      <c r="BK516" s="1188"/>
      <c r="BL516" s="1188"/>
      <c r="BM516" s="1188"/>
      <c r="BN516" s="1188"/>
      <c r="BO516" s="1240"/>
      <c r="BP516" s="1240"/>
      <c r="BQ516" s="1188"/>
      <c r="BR516" s="1236"/>
      <c r="BS516" s="1236"/>
      <c r="BT516" s="1188"/>
      <c r="BU516" s="1188">
        <f>I516/25</f>
        <v>1516</v>
      </c>
      <c r="BV516" s="1240"/>
      <c r="BW516" s="1188"/>
      <c r="BX516" s="1188"/>
      <c r="BY516" s="1188"/>
      <c r="BZ516" s="1188"/>
      <c r="CA516" s="1188"/>
      <c r="CB516" s="1188"/>
      <c r="CC516" s="1188"/>
      <c r="CD516" s="1188">
        <f t="shared" si="161"/>
        <v>0</v>
      </c>
      <c r="CE516" s="1188">
        <f t="shared" si="179"/>
        <v>1516</v>
      </c>
      <c r="CF516" s="1188">
        <f t="shared" si="163"/>
        <v>0</v>
      </c>
      <c r="CG516" s="1188">
        <f t="shared" si="164"/>
        <v>0</v>
      </c>
      <c r="CH516" s="1236"/>
      <c r="CI516" s="1236"/>
      <c r="CJ516" s="1236"/>
      <c r="CK516" s="1188"/>
      <c r="CL516" s="1188"/>
    </row>
    <row r="517" s="1168" customFormat="1" customHeight="1" spans="1:111">
      <c r="A517" s="1245">
        <v>46168</v>
      </c>
      <c r="B517" s="1247" t="s">
        <v>583</v>
      </c>
      <c r="C517" s="1234" t="s">
        <v>135</v>
      </c>
      <c r="D517" s="1268">
        <v>4500209236</v>
      </c>
      <c r="E517" s="1233">
        <v>2950868324</v>
      </c>
      <c r="F517" s="1188" t="s">
        <v>2278</v>
      </c>
      <c r="G517" s="1253" t="s">
        <v>1201</v>
      </c>
      <c r="H517" s="1234" t="s">
        <v>586</v>
      </c>
      <c r="I517" s="1254">
        <v>3120</v>
      </c>
      <c r="J517" s="1234">
        <v>0</v>
      </c>
      <c r="K517" s="1234">
        <v>1040</v>
      </c>
      <c r="L517" s="1246">
        <f t="shared" si="175"/>
        <v>3</v>
      </c>
      <c r="M517" s="1320">
        <v>46231</v>
      </c>
      <c r="N517" s="1320">
        <v>46227</v>
      </c>
      <c r="O517" s="1338" t="s">
        <v>1964</v>
      </c>
      <c r="P517" s="1233"/>
      <c r="Q517" s="1233" t="s">
        <v>1410</v>
      </c>
      <c r="R517" s="1234"/>
      <c r="S517" s="1234"/>
      <c r="T517" s="1233">
        <v>3120</v>
      </c>
      <c r="U517" s="1233">
        <f t="shared" si="173"/>
        <v>0</v>
      </c>
      <c r="V517" s="1234"/>
      <c r="W517" s="1256">
        <v>46169</v>
      </c>
      <c r="X517" s="1227" t="s">
        <v>95</v>
      </c>
      <c r="Y517" s="1227" t="s">
        <v>587</v>
      </c>
      <c r="Z517" s="1247" t="s">
        <v>2279</v>
      </c>
      <c r="AA517" s="1247"/>
      <c r="AB517" s="1247"/>
      <c r="AC517" s="1334" t="s">
        <v>2280</v>
      </c>
      <c r="AD517" s="1255" t="s">
        <v>288</v>
      </c>
      <c r="AE517" s="1188">
        <v>1182.4614</v>
      </c>
      <c r="AF517" s="1248">
        <f>AE517*L517</f>
        <v>3547.3842</v>
      </c>
      <c r="AG517" s="1258"/>
      <c r="AH517" s="1253" t="s">
        <v>1201</v>
      </c>
      <c r="AI517" s="1234" t="s">
        <v>112</v>
      </c>
      <c r="AJ517" s="1234" t="s">
        <v>113</v>
      </c>
      <c r="AK517" s="1188">
        <f t="shared" ref="AK517:AK524" si="182">I517</f>
        <v>3120</v>
      </c>
      <c r="AL517" s="1188"/>
      <c r="AM517" s="1188"/>
      <c r="AN517" s="1188">
        <f>I517</f>
        <v>3120</v>
      </c>
      <c r="AO517" s="1188"/>
      <c r="AP517" s="1188"/>
      <c r="AQ517" s="1240"/>
      <c r="AR517" s="1188"/>
      <c r="AS517" s="1236"/>
      <c r="AT517" s="1236"/>
      <c r="AU517" s="1188"/>
      <c r="AV517" s="1250">
        <f t="shared" ref="AV517:AV524" si="183">I517*0.06*2</f>
        <v>374.4</v>
      </c>
      <c r="AW517" s="1250">
        <f>I517</f>
        <v>3120</v>
      </c>
      <c r="AX517" s="1188"/>
      <c r="AY517" s="1188"/>
      <c r="AZ517" s="1188"/>
      <c r="BA517" s="1188"/>
      <c r="BB517" s="1188"/>
      <c r="BC517" s="1188"/>
      <c r="BD517" s="1188"/>
      <c r="BE517" s="1188"/>
      <c r="BF517" s="1188"/>
      <c r="BG517" s="1188"/>
      <c r="BH517" s="1188"/>
      <c r="BI517" s="1188"/>
      <c r="BJ517" s="1188"/>
      <c r="BK517" s="1188">
        <f>I517/13</f>
        <v>240</v>
      </c>
      <c r="BL517" s="1188"/>
      <c r="BM517" s="1188"/>
      <c r="BN517" s="1188"/>
      <c r="BO517" s="1240"/>
      <c r="BP517" s="1240"/>
      <c r="BQ517" s="1188"/>
      <c r="BR517" s="1236"/>
      <c r="BS517" s="1236"/>
      <c r="BT517" s="1188"/>
      <c r="BU517" s="1188"/>
      <c r="BV517" s="1240"/>
      <c r="BW517" s="1188"/>
      <c r="BX517" s="1188"/>
      <c r="BY517" s="1188"/>
      <c r="BZ517" s="1188"/>
      <c r="CA517" s="1188"/>
      <c r="CB517" s="1188"/>
      <c r="CC517" s="1188"/>
      <c r="CD517" s="1188">
        <f t="shared" ref="CD517:CD580" si="184">BN517+BO517+BQ517+BS517+BR517</f>
        <v>0</v>
      </c>
      <c r="CE517" s="1188">
        <f t="shared" si="179"/>
        <v>0</v>
      </c>
      <c r="CF517" s="1188">
        <f t="shared" ref="CF517:CF580" si="185">CC517</f>
        <v>0</v>
      </c>
      <c r="CG517" s="1188">
        <f t="shared" ref="CG517:CG580" si="186">BV517+BW517+BX517</f>
        <v>0</v>
      </c>
      <c r="CH517" s="1236"/>
      <c r="CI517" s="1236"/>
      <c r="CJ517" s="1236"/>
      <c r="CK517" s="1188"/>
      <c r="CL517" s="1188"/>
    </row>
    <row r="518" s="1168" customFormat="1" customHeight="1" spans="1:111">
      <c r="A518" s="1245">
        <v>46111</v>
      </c>
      <c r="B518" s="1247" t="s">
        <v>2281</v>
      </c>
      <c r="C518" s="1234" t="s">
        <v>201</v>
      </c>
      <c r="D518" s="1268">
        <v>4500199159</v>
      </c>
      <c r="E518" s="1234" t="s">
        <v>2282</v>
      </c>
      <c r="F518" s="1188" t="s">
        <v>2283</v>
      </c>
      <c r="G518" s="1253" t="s">
        <v>289</v>
      </c>
      <c r="H518" s="1234" t="s">
        <v>194</v>
      </c>
      <c r="I518" s="1254">
        <v>780</v>
      </c>
      <c r="J518" s="1234">
        <v>0</v>
      </c>
      <c r="K518" s="1234">
        <v>13</v>
      </c>
      <c r="L518" s="1246">
        <f t="shared" si="175"/>
        <v>60</v>
      </c>
      <c r="M518" s="1320">
        <v>46231</v>
      </c>
      <c r="N518" s="1320">
        <v>46231</v>
      </c>
      <c r="O518" s="1338" t="s">
        <v>1971</v>
      </c>
      <c r="P518" s="1233"/>
      <c r="Q518" s="1233" t="s">
        <v>1410</v>
      </c>
      <c r="R518" s="1388" t="s">
        <v>2284</v>
      </c>
      <c r="S518" s="1234"/>
      <c r="T518" s="1233">
        <v>780</v>
      </c>
      <c r="U518" s="1233">
        <f t="shared" si="173"/>
        <v>0</v>
      </c>
      <c r="V518" s="1234" t="s">
        <v>120</v>
      </c>
      <c r="W518" s="1256">
        <v>46183</v>
      </c>
      <c r="X518" s="1227" t="s">
        <v>95</v>
      </c>
      <c r="Y518" s="1227" t="s">
        <v>709</v>
      </c>
      <c r="Z518" s="1247"/>
      <c r="AA518" s="1247"/>
      <c r="AB518" s="1247"/>
      <c r="AC518" s="1247" t="s">
        <v>2285</v>
      </c>
      <c r="AD518" s="1255" t="s">
        <v>711</v>
      </c>
      <c r="AE518" s="1188">
        <v>1.2</v>
      </c>
      <c r="AF518" s="1248">
        <f t="shared" ref="AF518:AF526" si="187">I518*AE518</f>
        <v>936</v>
      </c>
      <c r="AG518" s="1258"/>
      <c r="AH518" s="1234" t="s">
        <v>199</v>
      </c>
      <c r="AI518" s="1234" t="s">
        <v>112</v>
      </c>
      <c r="AJ518" s="1234" t="s">
        <v>113</v>
      </c>
      <c r="AK518" s="1188">
        <f t="shared" si="182"/>
        <v>780</v>
      </c>
      <c r="AL518" s="1188"/>
      <c r="AM518" s="1188"/>
      <c r="AN518" s="1188"/>
      <c r="AO518" s="1188"/>
      <c r="AP518" s="1188">
        <f>I518</f>
        <v>780</v>
      </c>
      <c r="AQ518" s="1240"/>
      <c r="AR518" s="1188"/>
      <c r="AS518" s="1236"/>
      <c r="AT518" s="1236"/>
      <c r="AU518" s="1188">
        <f t="shared" ref="AU518:AU533" si="188">I518</f>
        <v>780</v>
      </c>
      <c r="AV518" s="1250">
        <f t="shared" si="183"/>
        <v>93.6</v>
      </c>
      <c r="AW518" s="1250"/>
      <c r="AX518" s="1188"/>
      <c r="AY518" s="1188"/>
      <c r="AZ518" s="1188"/>
      <c r="BA518" s="1188"/>
      <c r="BB518" s="1188"/>
      <c r="BC518" s="1188"/>
      <c r="BD518" s="1188"/>
      <c r="BE518" s="1188"/>
      <c r="BF518" s="1188"/>
      <c r="BG518" s="1188"/>
      <c r="BH518" s="1188"/>
      <c r="BI518" s="1188"/>
      <c r="BJ518" s="1188"/>
      <c r="BK518" s="1188"/>
      <c r="BL518" s="1188">
        <f>I518/13</f>
        <v>60</v>
      </c>
      <c r="BM518" s="1188"/>
      <c r="BN518" s="1188"/>
      <c r="BO518" s="1240"/>
      <c r="BP518" s="1240"/>
      <c r="BQ518" s="1188"/>
      <c r="BR518" s="1236"/>
      <c r="BS518" s="1188"/>
      <c r="BT518" s="1188"/>
      <c r="BU518" s="1188"/>
      <c r="BV518" s="1240"/>
      <c r="BW518" s="1188"/>
      <c r="BX518" s="1188"/>
      <c r="BY518" s="1188"/>
      <c r="BZ518" s="1188"/>
      <c r="CA518" s="1188"/>
      <c r="CB518" s="1188"/>
      <c r="CC518" s="1188"/>
      <c r="CD518" s="1188">
        <f t="shared" si="184"/>
        <v>0</v>
      </c>
      <c r="CE518" s="1188">
        <f t="shared" si="179"/>
        <v>0</v>
      </c>
      <c r="CF518" s="1188">
        <f t="shared" si="185"/>
        <v>0</v>
      </c>
      <c r="CG518" s="1188">
        <f t="shared" si="186"/>
        <v>0</v>
      </c>
      <c r="CH518" s="1236"/>
      <c r="CI518" s="1236"/>
      <c r="CJ518" s="1236"/>
      <c r="CK518" s="1188"/>
      <c r="CL518" s="1188"/>
    </row>
    <row r="519" s="1168" customFormat="1" customHeight="1" spans="1:111">
      <c r="A519" s="1245">
        <v>46155</v>
      </c>
      <c r="B519" s="1247" t="s">
        <v>2286</v>
      </c>
      <c r="C519" s="1234" t="s">
        <v>115</v>
      </c>
      <c r="D519" s="1268">
        <v>4500207002</v>
      </c>
      <c r="E519" s="1233">
        <v>11647</v>
      </c>
      <c r="F519" s="1188" t="s">
        <v>2287</v>
      </c>
      <c r="G519" s="1253" t="s">
        <v>146</v>
      </c>
      <c r="H519" s="1234" t="s">
        <v>104</v>
      </c>
      <c r="I519" s="1254">
        <v>375</v>
      </c>
      <c r="J519" s="1234">
        <v>0</v>
      </c>
      <c r="K519" s="1234">
        <v>25</v>
      </c>
      <c r="L519" s="1246">
        <f t="shared" si="175"/>
        <v>15</v>
      </c>
      <c r="M519" s="1320">
        <v>46231</v>
      </c>
      <c r="N519" s="1320">
        <v>46231</v>
      </c>
      <c r="O519" s="1320" t="s">
        <v>1971</v>
      </c>
      <c r="P519" s="1302" t="s">
        <v>2288</v>
      </c>
      <c r="Q519" s="1233" t="s">
        <v>1410</v>
      </c>
      <c r="R519" s="1234"/>
      <c r="S519" s="1234"/>
      <c r="T519" s="1233">
        <v>375</v>
      </c>
      <c r="U519" s="1233">
        <f t="shared" si="173"/>
        <v>0</v>
      </c>
      <c r="V519" s="1234"/>
      <c r="W519" s="1238">
        <v>46155</v>
      </c>
      <c r="X519" s="1227" t="s">
        <v>95</v>
      </c>
      <c r="Y519" s="1227" t="s">
        <v>95</v>
      </c>
      <c r="Z519" s="1247"/>
      <c r="AA519" s="1247"/>
      <c r="AB519" s="1247"/>
      <c r="AC519" s="1321" t="s">
        <v>2289</v>
      </c>
      <c r="AD519" s="1255" t="s">
        <v>1955</v>
      </c>
      <c r="AE519" s="1188">
        <v>0.6409</v>
      </c>
      <c r="AF519" s="1248">
        <f t="shared" si="187"/>
        <v>240.3375</v>
      </c>
      <c r="AG519" s="1258"/>
      <c r="AH519" s="1234" t="s">
        <v>146</v>
      </c>
      <c r="AI519" s="1234" t="s">
        <v>112</v>
      </c>
      <c r="AJ519" s="1234" t="s">
        <v>113</v>
      </c>
      <c r="AK519" s="1188">
        <f t="shared" si="182"/>
        <v>375</v>
      </c>
      <c r="AL519" s="1188"/>
      <c r="AM519" s="1188"/>
      <c r="AN519" s="1188">
        <f t="shared" ref="AN519:AN524" si="189">I519</f>
        <v>375</v>
      </c>
      <c r="AO519" s="1188"/>
      <c r="AP519" s="1188"/>
      <c r="AQ519" s="1240"/>
      <c r="AR519" s="1188"/>
      <c r="AS519" s="1236"/>
      <c r="AT519" s="1236"/>
      <c r="AU519" s="1188">
        <f t="shared" si="188"/>
        <v>375</v>
      </c>
      <c r="AV519" s="1250">
        <f t="shared" si="183"/>
        <v>45</v>
      </c>
      <c r="AW519" s="1250"/>
      <c r="AX519" s="1188"/>
      <c r="AY519" s="1188"/>
      <c r="AZ519" s="1188"/>
      <c r="BA519" s="1188"/>
      <c r="BB519" s="1188"/>
      <c r="BC519" s="1188"/>
      <c r="BD519" s="1188"/>
      <c r="BE519" s="1188"/>
      <c r="BF519" s="1188"/>
      <c r="BG519" s="1188"/>
      <c r="BH519" s="1188"/>
      <c r="BI519" s="1188"/>
      <c r="BJ519" s="1188"/>
      <c r="BK519" s="1188"/>
      <c r="BL519" s="1188"/>
      <c r="BM519" s="1188"/>
      <c r="BN519" s="1188">
        <f>I519/25</f>
        <v>15</v>
      </c>
      <c r="BO519" s="1240"/>
      <c r="BP519" s="1240"/>
      <c r="BQ519" s="1188"/>
      <c r="BR519" s="1236"/>
      <c r="BS519" s="1236"/>
      <c r="BT519" s="1188"/>
      <c r="BU519" s="1188"/>
      <c r="BV519" s="1240"/>
      <c r="BW519" s="1188"/>
      <c r="BX519" s="1188"/>
      <c r="BY519" s="1188"/>
      <c r="BZ519" s="1188"/>
      <c r="CA519" s="1188"/>
      <c r="CB519" s="1188"/>
      <c r="CC519" s="1188"/>
      <c r="CD519" s="1188">
        <f t="shared" si="184"/>
        <v>15</v>
      </c>
      <c r="CE519" s="1188">
        <f t="shared" si="179"/>
        <v>0</v>
      </c>
      <c r="CF519" s="1188">
        <f t="shared" si="185"/>
        <v>0</v>
      </c>
      <c r="CG519" s="1188">
        <f t="shared" si="186"/>
        <v>0</v>
      </c>
      <c r="CH519" s="1236"/>
      <c r="CI519" s="1236"/>
      <c r="CJ519" s="1236"/>
      <c r="CK519" s="1188"/>
      <c r="CL519" s="1188"/>
    </row>
    <row r="520" s="1168" customFormat="1" ht="27.85" customHeight="1" spans="1:111">
      <c r="A520" s="1245">
        <v>46155</v>
      </c>
      <c r="B520" s="1247" t="s">
        <v>2286</v>
      </c>
      <c r="C520" s="1234" t="s">
        <v>115</v>
      </c>
      <c r="D520" s="1268">
        <v>4500207002</v>
      </c>
      <c r="E520" s="1233">
        <v>418396</v>
      </c>
      <c r="F520" s="1188" t="s">
        <v>2290</v>
      </c>
      <c r="G520" s="1253" t="s">
        <v>146</v>
      </c>
      <c r="H520" s="1234" t="s">
        <v>104</v>
      </c>
      <c r="I520" s="1254">
        <v>1175</v>
      </c>
      <c r="J520" s="1234">
        <v>0</v>
      </c>
      <c r="K520" s="1234">
        <v>25</v>
      </c>
      <c r="L520" s="1246">
        <f t="shared" si="175"/>
        <v>47</v>
      </c>
      <c r="M520" s="1320">
        <v>46231</v>
      </c>
      <c r="N520" s="1320">
        <v>46231</v>
      </c>
      <c r="O520" s="1320" t="s">
        <v>1971</v>
      </c>
      <c r="P520" s="1302" t="s">
        <v>2288</v>
      </c>
      <c r="Q520" s="1233" t="s">
        <v>1410</v>
      </c>
      <c r="R520" s="1234"/>
      <c r="S520" s="1234"/>
      <c r="T520" s="1233">
        <v>1175</v>
      </c>
      <c r="U520" s="1233">
        <f t="shared" si="173"/>
        <v>0</v>
      </c>
      <c r="V520" s="1234"/>
      <c r="W520" s="1238">
        <v>46155</v>
      </c>
      <c r="X520" s="1227" t="s">
        <v>95</v>
      </c>
      <c r="Y520" s="1227" t="s">
        <v>95</v>
      </c>
      <c r="Z520" s="1247"/>
      <c r="AA520" s="1247"/>
      <c r="AB520" s="1247"/>
      <c r="AC520" s="1321" t="s">
        <v>2289</v>
      </c>
      <c r="AD520" s="1255" t="s">
        <v>1955</v>
      </c>
      <c r="AE520" s="1188">
        <v>0.6377</v>
      </c>
      <c r="AF520" s="1248">
        <f t="shared" si="187"/>
        <v>749.2975</v>
      </c>
      <c r="AG520" s="1258"/>
      <c r="AH520" s="1234" t="s">
        <v>146</v>
      </c>
      <c r="AI520" s="1234" t="s">
        <v>112</v>
      </c>
      <c r="AJ520" s="1234" t="s">
        <v>113</v>
      </c>
      <c r="AK520" s="1188">
        <f t="shared" si="182"/>
        <v>1175</v>
      </c>
      <c r="AL520" s="1188"/>
      <c r="AM520" s="1188"/>
      <c r="AN520" s="1188">
        <f t="shared" si="189"/>
        <v>1175</v>
      </c>
      <c r="AO520" s="1188"/>
      <c r="AP520" s="1188"/>
      <c r="AQ520" s="1240"/>
      <c r="AR520" s="1188"/>
      <c r="AS520" s="1236"/>
      <c r="AT520" s="1236"/>
      <c r="AU520" s="1188">
        <f t="shared" si="188"/>
        <v>1175</v>
      </c>
      <c r="AV520" s="1250">
        <f t="shared" si="183"/>
        <v>141</v>
      </c>
      <c r="AW520" s="1250"/>
      <c r="AX520" s="1188"/>
      <c r="AY520" s="1188"/>
      <c r="AZ520" s="1188"/>
      <c r="BA520" s="1188"/>
      <c r="BB520" s="1188"/>
      <c r="BC520" s="1188"/>
      <c r="BD520" s="1188"/>
      <c r="BE520" s="1188"/>
      <c r="BF520" s="1188"/>
      <c r="BG520" s="1188"/>
      <c r="BH520" s="1188"/>
      <c r="BI520" s="1188"/>
      <c r="BJ520" s="1188"/>
      <c r="BK520" s="1188"/>
      <c r="BL520" s="1188"/>
      <c r="BM520" s="1188"/>
      <c r="BN520" s="1188">
        <f>I520/25</f>
        <v>47</v>
      </c>
      <c r="BO520" s="1240"/>
      <c r="BP520" s="1240"/>
      <c r="BQ520" s="1188"/>
      <c r="BR520" s="1236"/>
      <c r="BS520" s="1236"/>
      <c r="BT520" s="1188"/>
      <c r="BU520" s="1188"/>
      <c r="BV520" s="1240"/>
      <c r="BW520" s="1188"/>
      <c r="BX520" s="1188"/>
      <c r="BY520" s="1188"/>
      <c r="BZ520" s="1188"/>
      <c r="CA520" s="1188"/>
      <c r="CB520" s="1188"/>
      <c r="CC520" s="1188"/>
      <c r="CD520" s="1188">
        <f t="shared" si="184"/>
        <v>47</v>
      </c>
      <c r="CE520" s="1188">
        <f t="shared" si="179"/>
        <v>0</v>
      </c>
      <c r="CF520" s="1188">
        <f t="shared" si="185"/>
        <v>0</v>
      </c>
      <c r="CG520" s="1188">
        <f t="shared" si="186"/>
        <v>0</v>
      </c>
      <c r="CH520" s="1236"/>
      <c r="CI520" s="1236"/>
      <c r="CJ520" s="1236"/>
      <c r="CK520" s="1188"/>
      <c r="CL520" s="1188"/>
    </row>
    <row r="521" s="1169" customFormat="1" customHeight="1" spans="1:111">
      <c r="A521" s="1245">
        <v>46155</v>
      </c>
      <c r="B521" s="1220" t="s">
        <v>2286</v>
      </c>
      <c r="C521" s="1221" t="s">
        <v>115</v>
      </c>
      <c r="D521" s="1303">
        <v>4500207002</v>
      </c>
      <c r="E521" s="1226">
        <v>476151</v>
      </c>
      <c r="F521" s="1222" t="s">
        <v>2291</v>
      </c>
      <c r="G521" s="1223" t="s">
        <v>146</v>
      </c>
      <c r="H521" s="1234" t="s">
        <v>104</v>
      </c>
      <c r="I521" s="1252">
        <v>375</v>
      </c>
      <c r="J521" s="1221">
        <v>0</v>
      </c>
      <c r="K521" s="1221">
        <v>25</v>
      </c>
      <c r="L521" s="1246">
        <f t="shared" si="175"/>
        <v>15</v>
      </c>
      <c r="M521" s="1338">
        <v>46231</v>
      </c>
      <c r="N521" s="1338">
        <v>46231</v>
      </c>
      <c r="O521" s="1338" t="s">
        <v>1971</v>
      </c>
      <c r="P521" s="1302" t="s">
        <v>2288</v>
      </c>
      <c r="Q521" s="1233" t="s">
        <v>1410</v>
      </c>
      <c r="R521" s="1234"/>
      <c r="S521" s="1234"/>
      <c r="T521" s="1233">
        <v>375</v>
      </c>
      <c r="U521" s="1233">
        <f t="shared" si="173"/>
        <v>0</v>
      </c>
      <c r="V521" s="1234"/>
      <c r="W521" s="1238">
        <v>46155</v>
      </c>
      <c r="X521" s="1257" t="s">
        <v>95</v>
      </c>
      <c r="Y521" s="1227" t="s">
        <v>95</v>
      </c>
      <c r="Z521" s="1247"/>
      <c r="AA521" s="1247"/>
      <c r="AB521" s="1247"/>
      <c r="AC521" s="1358" t="s">
        <v>2289</v>
      </c>
      <c r="AD521" s="1225" t="s">
        <v>1955</v>
      </c>
      <c r="AE521" s="1188">
        <v>0.6737</v>
      </c>
      <c r="AF521" s="1248">
        <f t="shared" si="187"/>
        <v>252.6375</v>
      </c>
      <c r="AG521" s="1258"/>
      <c r="AH521" s="1342" t="s">
        <v>146</v>
      </c>
      <c r="AI521" s="1234" t="s">
        <v>112</v>
      </c>
      <c r="AJ521" s="1234" t="s">
        <v>113</v>
      </c>
      <c r="AK521" s="1188">
        <f t="shared" si="182"/>
        <v>375</v>
      </c>
      <c r="AL521" s="1188"/>
      <c r="AM521" s="1188"/>
      <c r="AN521" s="1188">
        <f t="shared" si="189"/>
        <v>375</v>
      </c>
      <c r="AO521" s="1188"/>
      <c r="AP521" s="1188"/>
      <c r="AQ521" s="1240"/>
      <c r="AR521" s="1188"/>
      <c r="AS521" s="1236"/>
      <c r="AT521" s="1236"/>
      <c r="AU521" s="1188">
        <f t="shared" si="188"/>
        <v>375</v>
      </c>
      <c r="AV521" s="1250">
        <f t="shared" si="183"/>
        <v>45</v>
      </c>
      <c r="AW521" s="1250"/>
      <c r="AX521" s="1188"/>
      <c r="AY521" s="1188"/>
      <c r="AZ521" s="1188"/>
      <c r="BA521" s="1188"/>
      <c r="BB521" s="1188"/>
      <c r="BC521" s="1188"/>
      <c r="BD521" s="1188"/>
      <c r="BE521" s="1188"/>
      <c r="BF521" s="1188"/>
      <c r="BG521" s="1188"/>
      <c r="BH521" s="1188"/>
      <c r="BI521" s="1188"/>
      <c r="BJ521" s="1188"/>
      <c r="BK521" s="1188"/>
      <c r="BL521" s="1188"/>
      <c r="BM521" s="1188"/>
      <c r="BN521" s="1188">
        <f>I521/25</f>
        <v>15</v>
      </c>
      <c r="BO521" s="1240"/>
      <c r="BP521" s="1240"/>
      <c r="BQ521" s="1188"/>
      <c r="BR521" s="1236"/>
      <c r="BS521" s="1236"/>
      <c r="BT521" s="1188"/>
      <c r="BU521" s="1188"/>
      <c r="BV521" s="1240"/>
      <c r="BW521" s="1188"/>
      <c r="BX521" s="1188"/>
      <c r="BY521" s="1188"/>
      <c r="BZ521" s="1188"/>
      <c r="CA521" s="1188"/>
      <c r="CB521" s="1188"/>
      <c r="CC521" s="1188"/>
      <c r="CD521" s="1188">
        <f t="shared" si="184"/>
        <v>15</v>
      </c>
      <c r="CE521" s="1188">
        <f t="shared" si="179"/>
        <v>0</v>
      </c>
      <c r="CF521" s="1188">
        <f t="shared" si="185"/>
        <v>0</v>
      </c>
      <c r="CG521" s="1188">
        <f t="shared" si="186"/>
        <v>0</v>
      </c>
      <c r="CH521" s="1236"/>
      <c r="CI521" s="1236"/>
      <c r="CJ521" s="1236"/>
      <c r="CK521" s="1188"/>
      <c r="CL521" s="1188"/>
      <c r="CM521" s="1168"/>
      <c r="CN521" s="1168"/>
      <c r="CO521" s="1168"/>
      <c r="CP521" s="1168"/>
      <c r="CQ521" s="1168"/>
      <c r="CR521" s="1168"/>
      <c r="CS521" s="1168"/>
      <c r="CT521" s="1168"/>
      <c r="CU521" s="1168"/>
      <c r="CV521" s="1168"/>
      <c r="CW521" s="1168"/>
      <c r="CX521" s="1168"/>
      <c r="CY521" s="1168"/>
      <c r="CZ521" s="1168"/>
      <c r="DA521" s="1168"/>
      <c r="DB521" s="1168"/>
      <c r="DC521" s="1168"/>
      <c r="DD521" s="1168"/>
      <c r="DE521" s="1168"/>
      <c r="DF521" s="1168"/>
      <c r="DG521" s="1168"/>
    </row>
    <row r="522" s="1168" customFormat="1" customHeight="1" spans="1:111">
      <c r="A522" s="1245">
        <v>46155</v>
      </c>
      <c r="B522" s="1247" t="s">
        <v>2286</v>
      </c>
      <c r="C522" s="1234" t="s">
        <v>115</v>
      </c>
      <c r="D522" s="1268">
        <v>4500207002</v>
      </c>
      <c r="E522" s="1233">
        <v>667277</v>
      </c>
      <c r="F522" s="1188" t="s">
        <v>2292</v>
      </c>
      <c r="G522" s="1253" t="s">
        <v>146</v>
      </c>
      <c r="H522" s="1234" t="s">
        <v>104</v>
      </c>
      <c r="I522" s="1254">
        <v>675</v>
      </c>
      <c r="J522" s="1234">
        <v>0</v>
      </c>
      <c r="K522" s="1234">
        <v>25</v>
      </c>
      <c r="L522" s="1246">
        <f t="shared" si="175"/>
        <v>27</v>
      </c>
      <c r="M522" s="1320">
        <v>46231</v>
      </c>
      <c r="N522" s="1320">
        <v>46231</v>
      </c>
      <c r="O522" s="1320" t="s">
        <v>1971</v>
      </c>
      <c r="P522" s="1302" t="s">
        <v>2288</v>
      </c>
      <c r="Q522" s="1233" t="s">
        <v>1410</v>
      </c>
      <c r="R522" s="1234"/>
      <c r="S522" s="1234"/>
      <c r="T522" s="1233">
        <v>675</v>
      </c>
      <c r="U522" s="1233">
        <f t="shared" si="173"/>
        <v>0</v>
      </c>
      <c r="V522" s="1234"/>
      <c r="W522" s="1238">
        <v>46155</v>
      </c>
      <c r="X522" s="1227" t="s">
        <v>95</v>
      </c>
      <c r="Y522" s="1227" t="s">
        <v>95</v>
      </c>
      <c r="Z522" s="1247"/>
      <c r="AA522" s="1247"/>
      <c r="AB522" s="1247"/>
      <c r="AC522" s="1321" t="s">
        <v>2289</v>
      </c>
      <c r="AD522" s="1255" t="s">
        <v>1955</v>
      </c>
      <c r="AE522" s="1188">
        <v>0.6737</v>
      </c>
      <c r="AF522" s="1248">
        <f t="shared" si="187"/>
        <v>454.7475</v>
      </c>
      <c r="AG522" s="1258"/>
      <c r="AH522" s="1234" t="s">
        <v>146</v>
      </c>
      <c r="AI522" s="1234" t="s">
        <v>112</v>
      </c>
      <c r="AJ522" s="1234" t="s">
        <v>113</v>
      </c>
      <c r="AK522" s="1188">
        <f t="shared" si="182"/>
        <v>675</v>
      </c>
      <c r="AL522" s="1188"/>
      <c r="AM522" s="1188"/>
      <c r="AN522" s="1188">
        <f t="shared" si="189"/>
        <v>675</v>
      </c>
      <c r="AO522" s="1188"/>
      <c r="AP522" s="1188"/>
      <c r="AQ522" s="1240"/>
      <c r="AR522" s="1188"/>
      <c r="AS522" s="1236"/>
      <c r="AT522" s="1236"/>
      <c r="AU522" s="1188">
        <f t="shared" si="188"/>
        <v>675</v>
      </c>
      <c r="AV522" s="1250">
        <f t="shared" si="183"/>
        <v>81</v>
      </c>
      <c r="AW522" s="1250"/>
      <c r="AX522" s="1188"/>
      <c r="AY522" s="1188"/>
      <c r="AZ522" s="1188"/>
      <c r="BA522" s="1188"/>
      <c r="BB522" s="1188"/>
      <c r="BC522" s="1188"/>
      <c r="BD522" s="1188"/>
      <c r="BE522" s="1188"/>
      <c r="BF522" s="1188"/>
      <c r="BG522" s="1188"/>
      <c r="BH522" s="1188"/>
      <c r="BI522" s="1188"/>
      <c r="BJ522" s="1188"/>
      <c r="BK522" s="1188"/>
      <c r="BL522" s="1188"/>
      <c r="BM522" s="1188"/>
      <c r="BN522" s="1188">
        <f>I522/25</f>
        <v>27</v>
      </c>
      <c r="BO522" s="1240"/>
      <c r="BP522" s="1240"/>
      <c r="BQ522" s="1188"/>
      <c r="BR522" s="1236"/>
      <c r="BS522" s="1236"/>
      <c r="BT522" s="1188"/>
      <c r="BU522" s="1188"/>
      <c r="BV522" s="1240"/>
      <c r="BW522" s="1188"/>
      <c r="BX522" s="1188"/>
      <c r="BY522" s="1188"/>
      <c r="BZ522" s="1188"/>
      <c r="CA522" s="1188"/>
      <c r="CB522" s="1188"/>
      <c r="CC522" s="1188"/>
      <c r="CD522" s="1188">
        <f t="shared" si="184"/>
        <v>27</v>
      </c>
      <c r="CE522" s="1188">
        <f t="shared" si="179"/>
        <v>0</v>
      </c>
      <c r="CF522" s="1188">
        <f t="shared" si="185"/>
        <v>0</v>
      </c>
      <c r="CG522" s="1188">
        <f t="shared" si="186"/>
        <v>0</v>
      </c>
      <c r="CH522" s="1236"/>
      <c r="CI522" s="1236"/>
      <c r="CJ522" s="1236"/>
      <c r="CK522" s="1188"/>
      <c r="CL522" s="1188"/>
    </row>
    <row r="523" s="1168" customFormat="1" customHeight="1" spans="1:111">
      <c r="A523" s="1245">
        <v>46155</v>
      </c>
      <c r="B523" s="1247" t="s">
        <v>2286</v>
      </c>
      <c r="C523" s="1234" t="s">
        <v>115</v>
      </c>
      <c r="D523" s="1268">
        <v>4500207002</v>
      </c>
      <c r="E523" s="1233">
        <v>802221</v>
      </c>
      <c r="F523" s="1188" t="s">
        <v>2293</v>
      </c>
      <c r="G523" s="1253" t="s">
        <v>146</v>
      </c>
      <c r="H523" s="1234" t="s">
        <v>104</v>
      </c>
      <c r="I523" s="1254">
        <v>1425</v>
      </c>
      <c r="J523" s="1234">
        <v>0</v>
      </c>
      <c r="K523" s="1234">
        <v>25</v>
      </c>
      <c r="L523" s="1246">
        <f t="shared" si="175"/>
        <v>57</v>
      </c>
      <c r="M523" s="1320">
        <v>46231</v>
      </c>
      <c r="N523" s="1320">
        <v>46231</v>
      </c>
      <c r="O523" s="1320" t="s">
        <v>1971</v>
      </c>
      <c r="P523" s="1302" t="s">
        <v>2288</v>
      </c>
      <c r="Q523" s="1233" t="s">
        <v>1410</v>
      </c>
      <c r="R523" s="1234"/>
      <c r="S523" s="1234"/>
      <c r="T523" s="1233">
        <v>1425</v>
      </c>
      <c r="U523" s="1233">
        <f t="shared" si="173"/>
        <v>0</v>
      </c>
      <c r="V523" s="1234"/>
      <c r="W523" s="1238">
        <v>46155</v>
      </c>
      <c r="X523" s="1227" t="s">
        <v>95</v>
      </c>
      <c r="Y523" s="1227" t="s">
        <v>95</v>
      </c>
      <c r="Z523" s="1247"/>
      <c r="AA523" s="1247"/>
      <c r="AB523" s="1247"/>
      <c r="AC523" s="1321" t="s">
        <v>2289</v>
      </c>
      <c r="AD523" s="1255" t="s">
        <v>1955</v>
      </c>
      <c r="AE523" s="1188">
        <v>0.6706</v>
      </c>
      <c r="AF523" s="1248">
        <f t="shared" si="187"/>
        <v>955.605</v>
      </c>
      <c r="AG523" s="1258"/>
      <c r="AH523" s="1234" t="s">
        <v>146</v>
      </c>
      <c r="AI523" s="1234" t="s">
        <v>112</v>
      </c>
      <c r="AJ523" s="1234" t="s">
        <v>113</v>
      </c>
      <c r="AK523" s="1188">
        <f t="shared" si="182"/>
        <v>1425</v>
      </c>
      <c r="AL523" s="1188"/>
      <c r="AM523" s="1188"/>
      <c r="AN523" s="1188">
        <f t="shared" si="189"/>
        <v>1425</v>
      </c>
      <c r="AO523" s="1188"/>
      <c r="AP523" s="1188"/>
      <c r="AQ523" s="1240"/>
      <c r="AR523" s="1188"/>
      <c r="AS523" s="1236"/>
      <c r="AT523" s="1236"/>
      <c r="AU523" s="1188">
        <f t="shared" si="188"/>
        <v>1425</v>
      </c>
      <c r="AV523" s="1250">
        <f t="shared" si="183"/>
        <v>171</v>
      </c>
      <c r="AW523" s="1250"/>
      <c r="AX523" s="1188"/>
      <c r="AY523" s="1188"/>
      <c r="AZ523" s="1188"/>
      <c r="BA523" s="1188"/>
      <c r="BB523" s="1188"/>
      <c r="BC523" s="1188"/>
      <c r="BD523" s="1188"/>
      <c r="BE523" s="1188"/>
      <c r="BF523" s="1188"/>
      <c r="BG523" s="1188"/>
      <c r="BH523" s="1188"/>
      <c r="BI523" s="1188"/>
      <c r="BJ523" s="1188"/>
      <c r="BK523" s="1188"/>
      <c r="BL523" s="1188"/>
      <c r="BM523" s="1188"/>
      <c r="BN523" s="1188">
        <f>I523/25</f>
        <v>57</v>
      </c>
      <c r="BO523" s="1240"/>
      <c r="BP523" s="1240"/>
      <c r="BQ523" s="1188"/>
      <c r="BR523" s="1236"/>
      <c r="BS523" s="1236"/>
      <c r="BT523" s="1188"/>
      <c r="BU523" s="1188"/>
      <c r="BV523" s="1240"/>
      <c r="BW523" s="1188"/>
      <c r="BX523" s="1188"/>
      <c r="BY523" s="1188"/>
      <c r="BZ523" s="1188"/>
      <c r="CA523" s="1188"/>
      <c r="CB523" s="1188"/>
      <c r="CC523" s="1188"/>
      <c r="CD523" s="1188">
        <f t="shared" si="184"/>
        <v>57</v>
      </c>
      <c r="CE523" s="1188">
        <f t="shared" si="179"/>
        <v>0</v>
      </c>
      <c r="CF523" s="1188">
        <f t="shared" si="185"/>
        <v>0</v>
      </c>
      <c r="CG523" s="1188">
        <f t="shared" si="186"/>
        <v>0</v>
      </c>
      <c r="CH523" s="1236"/>
      <c r="CI523" s="1236"/>
      <c r="CJ523" s="1236"/>
      <c r="CK523" s="1188"/>
      <c r="CL523" s="1188"/>
    </row>
    <row r="524" s="1168" customFormat="1" customHeight="1" spans="1:111">
      <c r="A524" s="1245">
        <v>46153</v>
      </c>
      <c r="B524" s="1247" t="s">
        <v>2294</v>
      </c>
      <c r="C524" s="1234" t="s">
        <v>115</v>
      </c>
      <c r="D524" s="1268">
        <v>4500206279</v>
      </c>
      <c r="E524" s="1233">
        <v>4500056450</v>
      </c>
      <c r="F524" s="1188" t="s">
        <v>2295</v>
      </c>
      <c r="G524" s="1253" t="s">
        <v>174</v>
      </c>
      <c r="H524" s="1234" t="s">
        <v>175</v>
      </c>
      <c r="I524" s="1254">
        <v>8060</v>
      </c>
      <c r="J524" s="1234">
        <v>0</v>
      </c>
      <c r="K524" s="1234">
        <v>52</v>
      </c>
      <c r="L524" s="1246">
        <f t="shared" si="175"/>
        <v>155</v>
      </c>
      <c r="M524" s="1255">
        <v>46231</v>
      </c>
      <c r="N524" s="1320">
        <v>46239</v>
      </c>
      <c r="O524" s="1255"/>
      <c r="P524" s="1233"/>
      <c r="Q524" s="1233" t="s">
        <v>1410</v>
      </c>
      <c r="R524" s="1234"/>
      <c r="S524" s="1234"/>
      <c r="T524" s="1233">
        <v>8060</v>
      </c>
      <c r="U524" s="1233">
        <f t="shared" si="173"/>
        <v>0</v>
      </c>
      <c r="V524" s="1234"/>
      <c r="W524" s="1238">
        <v>46184</v>
      </c>
      <c r="X524" s="1227" t="s">
        <v>95</v>
      </c>
      <c r="Y524" s="1227" t="s">
        <v>95</v>
      </c>
      <c r="Z524" s="1247"/>
      <c r="AA524" s="1247"/>
      <c r="AB524" s="1247"/>
      <c r="AC524" s="1247" t="s">
        <v>2296</v>
      </c>
      <c r="AD524" s="1255" t="s">
        <v>2297</v>
      </c>
      <c r="AE524" s="1188">
        <v>0.6439</v>
      </c>
      <c r="AF524" s="1248">
        <f t="shared" si="187"/>
        <v>5189.834</v>
      </c>
      <c r="AG524" s="1258"/>
      <c r="AH524" s="1253" t="s">
        <v>174</v>
      </c>
      <c r="AI524" s="1234" t="s">
        <v>112</v>
      </c>
      <c r="AJ524" s="1234" t="s">
        <v>113</v>
      </c>
      <c r="AK524" s="1188">
        <f t="shared" si="182"/>
        <v>8060</v>
      </c>
      <c r="AL524" s="1188"/>
      <c r="AM524" s="1188"/>
      <c r="AN524" s="1188">
        <f t="shared" si="189"/>
        <v>8060</v>
      </c>
      <c r="AO524" s="1188"/>
      <c r="AP524" s="1188"/>
      <c r="AQ524" s="1240"/>
      <c r="AR524" s="1188"/>
      <c r="AS524" s="1236"/>
      <c r="AT524" s="1236"/>
      <c r="AU524" s="1188">
        <f t="shared" si="188"/>
        <v>8060</v>
      </c>
      <c r="AV524" s="1250">
        <f t="shared" si="183"/>
        <v>967.2</v>
      </c>
      <c r="AW524" s="1250"/>
      <c r="AX524" s="1188"/>
      <c r="AY524" s="1188"/>
      <c r="AZ524" s="1188"/>
      <c r="BA524" s="1188"/>
      <c r="BB524" s="1188"/>
      <c r="BC524" s="1188"/>
      <c r="BD524" s="1188"/>
      <c r="BE524" s="1188"/>
      <c r="BF524" s="1188"/>
      <c r="BG524" s="1188"/>
      <c r="BH524" s="1188"/>
      <c r="BI524" s="1188"/>
      <c r="BJ524" s="1188"/>
      <c r="BK524" s="1188">
        <f>I524/13</f>
        <v>620</v>
      </c>
      <c r="BL524" s="1188"/>
      <c r="BM524" s="1188"/>
      <c r="BN524" s="1188"/>
      <c r="BO524" s="1240"/>
      <c r="BP524" s="1240"/>
      <c r="BQ524" s="1188"/>
      <c r="BR524" s="1236"/>
      <c r="BS524" s="1236"/>
      <c r="BT524" s="1188"/>
      <c r="BU524" s="1188"/>
      <c r="BV524" s="1240"/>
      <c r="BW524" s="1188"/>
      <c r="BX524" s="1188"/>
      <c r="BY524" s="1188"/>
      <c r="BZ524" s="1188"/>
      <c r="CA524" s="1188"/>
      <c r="CB524" s="1188"/>
      <c r="CC524" s="1188"/>
      <c r="CD524" s="1188">
        <f t="shared" si="184"/>
        <v>0</v>
      </c>
      <c r="CE524" s="1188">
        <f t="shared" si="179"/>
        <v>0</v>
      </c>
      <c r="CF524" s="1188">
        <f t="shared" si="185"/>
        <v>0</v>
      </c>
      <c r="CG524" s="1188">
        <f t="shared" si="186"/>
        <v>0</v>
      </c>
      <c r="CH524" s="1236"/>
      <c r="CI524" s="1236"/>
      <c r="CJ524" s="1236"/>
      <c r="CK524" s="1188"/>
      <c r="CL524" s="1188"/>
      <c r="CM524" s="1260"/>
      <c r="CN524" s="1260"/>
      <c r="CO524" s="1260"/>
      <c r="CP524" s="1260"/>
      <c r="CQ524" s="1260"/>
      <c r="CR524" s="1260"/>
      <c r="CS524" s="1260"/>
      <c r="CT524" s="1260"/>
      <c r="CU524" s="1260"/>
      <c r="CV524" s="1260"/>
      <c r="CW524" s="1260"/>
      <c r="CX524" s="1260"/>
      <c r="CY524" s="1260"/>
      <c r="CZ524" s="1260"/>
      <c r="DA524" s="1260"/>
      <c r="DB524" s="1260"/>
      <c r="DC524" s="1260"/>
      <c r="DD524" s="1260"/>
      <c r="DE524" s="1260"/>
      <c r="DF524" s="1260"/>
      <c r="DG524" s="1260"/>
    </row>
    <row r="525" s="1168" customFormat="1" customHeight="1" spans="1:111">
      <c r="A525" s="1245">
        <v>46203</v>
      </c>
      <c r="B525" s="1247" t="s">
        <v>438</v>
      </c>
      <c r="C525" s="1234" t="s">
        <v>115</v>
      </c>
      <c r="D525" s="1268">
        <v>4500214218</v>
      </c>
      <c r="E525" s="1234" t="s">
        <v>2298</v>
      </c>
      <c r="F525" s="1188" t="s">
        <v>2299</v>
      </c>
      <c r="G525" s="1253" t="s">
        <v>118</v>
      </c>
      <c r="H525" s="1234" t="s">
        <v>104</v>
      </c>
      <c r="I525" s="1254">
        <v>23800</v>
      </c>
      <c r="J525" s="1234">
        <v>0</v>
      </c>
      <c r="K525" s="1234">
        <v>25</v>
      </c>
      <c r="L525" s="1246">
        <f t="shared" si="175"/>
        <v>952</v>
      </c>
      <c r="M525" s="1255">
        <v>46232</v>
      </c>
      <c r="N525" s="1255">
        <v>46228</v>
      </c>
      <c r="O525" s="1320" t="s">
        <v>1845</v>
      </c>
      <c r="P525" s="1233" t="s">
        <v>2300</v>
      </c>
      <c r="Q525" s="1233" t="s">
        <v>106</v>
      </c>
      <c r="R525" s="1234" t="s">
        <v>2301</v>
      </c>
      <c r="S525" s="1234"/>
      <c r="T525" s="1233">
        <f>23750+50</f>
        <v>23800</v>
      </c>
      <c r="U525" s="1233">
        <f t="shared" si="173"/>
        <v>0</v>
      </c>
      <c r="V525" s="1234" t="s">
        <v>120</v>
      </c>
      <c r="W525" s="1238" t="s">
        <v>1416</v>
      </c>
      <c r="X525" s="1227" t="s">
        <v>107</v>
      </c>
      <c r="Y525" s="1227" t="s">
        <v>1417</v>
      </c>
      <c r="Z525" s="1247"/>
      <c r="AA525" s="1247"/>
      <c r="AB525" s="1247"/>
      <c r="AC525" s="1247" t="s">
        <v>2302</v>
      </c>
      <c r="AD525" s="1255" t="s">
        <v>443</v>
      </c>
      <c r="AE525" s="1188">
        <v>0.6406</v>
      </c>
      <c r="AF525" s="1248">
        <f t="shared" si="187"/>
        <v>15246.28</v>
      </c>
      <c r="AG525" s="1249" t="s">
        <v>2303</v>
      </c>
      <c r="AH525" s="1234" t="s">
        <v>118</v>
      </c>
      <c r="AI525" s="1234" t="s">
        <v>112</v>
      </c>
      <c r="AJ525" s="1234" t="s">
        <v>113</v>
      </c>
      <c r="AK525" s="1188"/>
      <c r="AL525" s="1188"/>
      <c r="AM525" s="1188">
        <f>I525</f>
        <v>23800</v>
      </c>
      <c r="AN525" s="1188"/>
      <c r="AO525" s="1188"/>
      <c r="AP525" s="1188"/>
      <c r="AQ525" s="1240"/>
      <c r="AR525" s="1188"/>
      <c r="AS525" s="1236"/>
      <c r="AT525" s="1236">
        <f>I525</f>
        <v>23800</v>
      </c>
      <c r="AU525" s="1188">
        <f t="shared" si="188"/>
        <v>23800</v>
      </c>
      <c r="AV525" s="1250">
        <f>I525*0.06</f>
        <v>1428</v>
      </c>
      <c r="AW525" s="1250"/>
      <c r="AX525" s="1188"/>
      <c r="AY525" s="1188"/>
      <c r="AZ525" s="1188"/>
      <c r="BA525" s="1188"/>
      <c r="BB525" s="1188"/>
      <c r="BC525" s="1188"/>
      <c r="BD525" s="1188"/>
      <c r="BE525" s="1188"/>
      <c r="BF525" s="1188"/>
      <c r="BG525" s="1188"/>
      <c r="BH525" s="1188"/>
      <c r="BI525" s="1188"/>
      <c r="BJ525" s="1188"/>
      <c r="BK525" s="1188"/>
      <c r="BL525" s="1188"/>
      <c r="BM525" s="1188"/>
      <c r="BN525" s="1188"/>
      <c r="BO525" s="1240"/>
      <c r="BP525" s="1240"/>
      <c r="BQ525" s="1188"/>
      <c r="BR525" s="1236"/>
      <c r="BS525" s="1236"/>
      <c r="BT525" s="1188"/>
      <c r="BU525" s="1188">
        <f>I525/25</f>
        <v>952</v>
      </c>
      <c r="BV525" s="1240"/>
      <c r="BW525" s="1188"/>
      <c r="BX525" s="1188"/>
      <c r="BY525" s="1188"/>
      <c r="BZ525" s="1188"/>
      <c r="CA525" s="1188"/>
      <c r="CB525" s="1188"/>
      <c r="CC525" s="1188"/>
      <c r="CD525" s="1188">
        <f t="shared" si="184"/>
        <v>0</v>
      </c>
      <c r="CE525" s="1188">
        <f t="shared" si="179"/>
        <v>952</v>
      </c>
      <c r="CF525" s="1188">
        <f t="shared" si="185"/>
        <v>0</v>
      </c>
      <c r="CG525" s="1188">
        <f t="shared" si="186"/>
        <v>0</v>
      </c>
      <c r="CH525" s="1236"/>
      <c r="CI525" s="1236"/>
      <c r="CJ525" s="1236"/>
      <c r="CK525" s="1188"/>
      <c r="CL525" s="1188"/>
    </row>
    <row r="526" s="1169" customFormat="1" customHeight="1" spans="1:111">
      <c r="A526" s="1245">
        <v>46139</v>
      </c>
      <c r="B526" s="1247" t="s">
        <v>2304</v>
      </c>
      <c r="C526" s="1234" t="s">
        <v>115</v>
      </c>
      <c r="D526" s="1268">
        <v>4500204310</v>
      </c>
      <c r="E526" s="1233">
        <v>804369</v>
      </c>
      <c r="F526" s="1188" t="s">
        <v>2305</v>
      </c>
      <c r="G526" s="1253" t="s">
        <v>289</v>
      </c>
      <c r="H526" s="1234" t="s">
        <v>194</v>
      </c>
      <c r="I526" s="1254">
        <v>11999</v>
      </c>
      <c r="J526" s="1234">
        <v>0</v>
      </c>
      <c r="K526" s="1234">
        <v>13</v>
      </c>
      <c r="L526" s="1246">
        <f t="shared" si="175"/>
        <v>923</v>
      </c>
      <c r="M526" s="1320">
        <v>46232</v>
      </c>
      <c r="N526" s="1320">
        <f>M526-4</f>
        <v>46228</v>
      </c>
      <c r="O526" s="1320" t="s">
        <v>1845</v>
      </c>
      <c r="P526" s="1233" t="s">
        <v>2306</v>
      </c>
      <c r="Q526" s="1233" t="s">
        <v>106</v>
      </c>
      <c r="R526" s="1234"/>
      <c r="S526" s="1234"/>
      <c r="T526" s="1233">
        <f>11973+26</f>
        <v>11999</v>
      </c>
      <c r="U526" s="1233">
        <f t="shared" si="173"/>
        <v>0</v>
      </c>
      <c r="V526" s="1234"/>
      <c r="W526" s="1238" t="s">
        <v>2193</v>
      </c>
      <c r="X526" s="1227" t="s">
        <v>95</v>
      </c>
      <c r="Y526" s="1257" t="s">
        <v>2307</v>
      </c>
      <c r="Z526" s="1247"/>
      <c r="AA526" s="1247"/>
      <c r="AB526" s="1247"/>
      <c r="AC526" s="1247" t="s">
        <v>2308</v>
      </c>
      <c r="AD526" s="1255" t="s">
        <v>299</v>
      </c>
      <c r="AE526" s="1188">
        <v>0.6455</v>
      </c>
      <c r="AF526" s="1248">
        <f t="shared" si="187"/>
        <v>7745.3545</v>
      </c>
      <c r="AG526" s="1249" t="s">
        <v>2309</v>
      </c>
      <c r="AH526" s="1234" t="s">
        <v>289</v>
      </c>
      <c r="AI526" s="1234" t="s">
        <v>112</v>
      </c>
      <c r="AJ526" s="1234" t="s">
        <v>113</v>
      </c>
      <c r="AK526" s="1188">
        <f t="shared" ref="AK526:AK542" si="190">I526</f>
        <v>11999</v>
      </c>
      <c r="AL526" s="1188"/>
      <c r="AM526" s="1188"/>
      <c r="AN526" s="1188"/>
      <c r="AO526" s="1188"/>
      <c r="AP526" s="1188">
        <f>I526</f>
        <v>11999</v>
      </c>
      <c r="AQ526" s="1240"/>
      <c r="AR526" s="1188"/>
      <c r="AS526" s="1236"/>
      <c r="AT526" s="1236"/>
      <c r="AU526" s="1188">
        <f t="shared" si="188"/>
        <v>11999</v>
      </c>
      <c r="AV526" s="1250">
        <f>I526*0.06*2</f>
        <v>1439.88</v>
      </c>
      <c r="AW526" s="1250"/>
      <c r="AX526" s="1188"/>
      <c r="AY526" s="1188"/>
      <c r="AZ526" s="1188"/>
      <c r="BA526" s="1188"/>
      <c r="BB526" s="1188"/>
      <c r="BC526" s="1188"/>
      <c r="BD526" s="1188"/>
      <c r="BE526" s="1188"/>
      <c r="BF526" s="1188"/>
      <c r="BG526" s="1188"/>
      <c r="BH526" s="1188"/>
      <c r="BI526" s="1188"/>
      <c r="BJ526" s="1188"/>
      <c r="BK526" s="1188"/>
      <c r="BL526" s="1188">
        <f>I526/13</f>
        <v>923</v>
      </c>
      <c r="BM526" s="1188"/>
      <c r="BN526" s="1188"/>
      <c r="BO526" s="1240"/>
      <c r="BP526" s="1240"/>
      <c r="BQ526" s="1188"/>
      <c r="BR526" s="1236"/>
      <c r="BS526" s="1236"/>
      <c r="BT526" s="1188"/>
      <c r="BU526" s="1188"/>
      <c r="BV526" s="1240"/>
      <c r="BW526" s="1188"/>
      <c r="BX526" s="1188"/>
      <c r="BY526" s="1188"/>
      <c r="BZ526" s="1188"/>
      <c r="CA526" s="1188"/>
      <c r="CB526" s="1188"/>
      <c r="CC526" s="1188"/>
      <c r="CD526" s="1188">
        <f t="shared" si="184"/>
        <v>0</v>
      </c>
      <c r="CE526" s="1188">
        <f t="shared" si="179"/>
        <v>0</v>
      </c>
      <c r="CF526" s="1188">
        <f t="shared" si="185"/>
        <v>0</v>
      </c>
      <c r="CG526" s="1188">
        <f t="shared" si="186"/>
        <v>0</v>
      </c>
      <c r="CH526" s="1236"/>
      <c r="CI526" s="1236"/>
      <c r="CJ526" s="1236"/>
      <c r="CK526" s="1188"/>
      <c r="CL526" s="1188"/>
      <c r="CM526" s="1168"/>
      <c r="CN526" s="1168"/>
      <c r="CO526" s="1168"/>
      <c r="CP526" s="1168"/>
      <c r="CQ526" s="1168"/>
      <c r="CR526" s="1168"/>
      <c r="CS526" s="1168"/>
      <c r="CT526" s="1168"/>
      <c r="CU526" s="1168"/>
      <c r="CV526" s="1168"/>
      <c r="CW526" s="1168"/>
      <c r="CX526" s="1168"/>
      <c r="CY526" s="1168"/>
      <c r="CZ526" s="1168"/>
      <c r="DA526" s="1168"/>
      <c r="DB526" s="1168"/>
      <c r="DC526" s="1168"/>
      <c r="DD526" s="1168"/>
      <c r="DE526" s="1168"/>
      <c r="DF526" s="1168"/>
      <c r="DG526" s="1168"/>
    </row>
    <row r="527" s="1168" customFormat="1" customHeight="1" spans="1:111">
      <c r="A527" s="1245">
        <v>46133</v>
      </c>
      <c r="B527" s="1247" t="s">
        <v>706</v>
      </c>
      <c r="C527" s="1234" t="s">
        <v>201</v>
      </c>
      <c r="D527" s="1268">
        <v>4500203173</v>
      </c>
      <c r="E527" s="1264" t="s">
        <v>2310</v>
      </c>
      <c r="F527" s="1188" t="s">
        <v>2311</v>
      </c>
      <c r="G527" s="1253" t="s">
        <v>740</v>
      </c>
      <c r="H527" s="1234" t="s">
        <v>151</v>
      </c>
      <c r="I527" s="1330">
        <v>5328</v>
      </c>
      <c r="J527" s="1234">
        <v>0</v>
      </c>
      <c r="K527" s="1234">
        <v>36</v>
      </c>
      <c r="L527" s="1246">
        <f t="shared" si="175"/>
        <v>148</v>
      </c>
      <c r="M527" s="1320">
        <v>46232</v>
      </c>
      <c r="N527" s="1320">
        <v>46228</v>
      </c>
      <c r="O527" s="1320" t="s">
        <v>2312</v>
      </c>
      <c r="P527" s="1233"/>
      <c r="Q527" s="1233" t="s">
        <v>1410</v>
      </c>
      <c r="R527" s="1234"/>
      <c r="S527" s="1234"/>
      <c r="T527" s="1233">
        <v>5328</v>
      </c>
      <c r="U527" s="1233">
        <f t="shared" si="173"/>
        <v>0</v>
      </c>
      <c r="V527" s="1234"/>
      <c r="W527" s="1238">
        <v>46195</v>
      </c>
      <c r="X527" s="1257" t="s">
        <v>95</v>
      </c>
      <c r="Y527" s="1227" t="s">
        <v>709</v>
      </c>
      <c r="Z527" s="1247"/>
      <c r="AA527" s="1247"/>
      <c r="AB527" s="1247"/>
      <c r="AC527" s="1257" t="s">
        <v>2313</v>
      </c>
      <c r="AD527" s="1255" t="s">
        <v>711</v>
      </c>
      <c r="AE527" s="1267">
        <v>105.444</v>
      </c>
      <c r="AF527" s="1248">
        <f>AE527*L527</f>
        <v>15605.712</v>
      </c>
      <c r="AG527" s="1258"/>
      <c r="AH527" s="1234" t="s">
        <v>873</v>
      </c>
      <c r="AI527" s="1234" t="s">
        <v>112</v>
      </c>
      <c r="AJ527" s="1234"/>
      <c r="AK527" s="1188">
        <f t="shared" si="190"/>
        <v>5328</v>
      </c>
      <c r="AL527" s="1188"/>
      <c r="AM527" s="1188"/>
      <c r="AN527" s="1188"/>
      <c r="AO527" s="1188"/>
      <c r="AP527" s="1188">
        <f>I527</f>
        <v>5328</v>
      </c>
      <c r="AQ527" s="1240"/>
      <c r="AR527" s="1188"/>
      <c r="AS527" s="1236"/>
      <c r="AT527" s="1236"/>
      <c r="AU527" s="1188">
        <f t="shared" si="188"/>
        <v>5328</v>
      </c>
      <c r="AV527" s="1250">
        <f>I527*0.06*2</f>
        <v>639.36</v>
      </c>
      <c r="AW527" s="1250"/>
      <c r="AX527" s="1188"/>
      <c r="AY527" s="1188"/>
      <c r="AZ527" s="1188"/>
      <c r="BA527" s="1188"/>
      <c r="BB527" s="1188"/>
      <c r="BC527" s="1188"/>
      <c r="BD527" s="1188"/>
      <c r="BE527" s="1188"/>
      <c r="BF527" s="1188"/>
      <c r="BG527" s="1188"/>
      <c r="BH527" s="1188"/>
      <c r="BI527" s="1188"/>
      <c r="BJ527" s="1188"/>
      <c r="BK527" s="1188"/>
      <c r="BL527" s="1188"/>
      <c r="BM527" s="1188"/>
      <c r="BN527" s="1188"/>
      <c r="BO527" s="1240"/>
      <c r="BP527" s="1240"/>
      <c r="BQ527" s="1188"/>
      <c r="BR527" s="1236"/>
      <c r="BS527" s="1236"/>
      <c r="BT527" s="1188"/>
      <c r="BU527" s="1188"/>
      <c r="BV527" s="1240"/>
      <c r="BW527" s="1188">
        <f>I527/K527</f>
        <v>148</v>
      </c>
      <c r="BX527" s="1188"/>
      <c r="BY527" s="1188"/>
      <c r="BZ527" s="1188"/>
      <c r="CA527" s="1188"/>
      <c r="CB527" s="1188"/>
      <c r="CC527" s="1188"/>
      <c r="CD527" s="1188">
        <f t="shared" si="184"/>
        <v>0</v>
      </c>
      <c r="CE527" s="1188">
        <f t="shared" si="179"/>
        <v>0</v>
      </c>
      <c r="CF527" s="1188">
        <f t="shared" si="185"/>
        <v>0</v>
      </c>
      <c r="CG527" s="1188">
        <f t="shared" si="186"/>
        <v>148</v>
      </c>
      <c r="CH527" s="1236"/>
      <c r="CI527" s="1236"/>
      <c r="CJ527" s="1236"/>
      <c r="CK527" s="1188"/>
      <c r="CL527" s="1188"/>
    </row>
    <row r="528" s="1169" customFormat="1" customHeight="1" spans="1:111">
      <c r="A528" s="1219">
        <v>46203</v>
      </c>
      <c r="B528" s="1220" t="s">
        <v>346</v>
      </c>
      <c r="C528" s="1221" t="s">
        <v>115</v>
      </c>
      <c r="D528" s="1303">
        <v>4500214410</v>
      </c>
      <c r="E528" s="1892" t="s">
        <v>2314</v>
      </c>
      <c r="F528" s="1222" t="s">
        <v>2315</v>
      </c>
      <c r="G528" s="1223" t="s">
        <v>380</v>
      </c>
      <c r="H528" s="1221" t="s">
        <v>381</v>
      </c>
      <c r="I528" s="1252">
        <v>25216</v>
      </c>
      <c r="J528" s="1221">
        <v>0</v>
      </c>
      <c r="K528" s="1221">
        <v>16</v>
      </c>
      <c r="L528" s="1224">
        <f t="shared" si="175"/>
        <v>1576</v>
      </c>
      <c r="M528" s="1225">
        <v>46233</v>
      </c>
      <c r="N528" s="1320">
        <v>46237</v>
      </c>
      <c r="O528" s="1322" t="s">
        <v>1999</v>
      </c>
      <c r="P528" s="1226" t="s">
        <v>2316</v>
      </c>
      <c r="Q528" s="1233" t="s">
        <v>1410</v>
      </c>
      <c r="R528" s="1234"/>
      <c r="S528" s="1221"/>
      <c r="T528" s="1226">
        <v>25216</v>
      </c>
      <c r="U528" s="1233">
        <f t="shared" si="173"/>
        <v>0</v>
      </c>
      <c r="V528" s="1221"/>
      <c r="W528" s="1238" t="s">
        <v>1572</v>
      </c>
      <c r="X528" s="1227" t="s">
        <v>95</v>
      </c>
      <c r="Y528" s="1227" t="s">
        <v>2041</v>
      </c>
      <c r="Z528" s="1220"/>
      <c r="AA528" s="1220"/>
      <c r="AB528" s="1220"/>
      <c r="AC528" s="1220" t="s">
        <v>2317</v>
      </c>
      <c r="AD528" s="1225" t="s">
        <v>354</v>
      </c>
      <c r="AE528" s="1222">
        <v>0.6798</v>
      </c>
      <c r="AF528" s="1229">
        <f>AE528*I528</f>
        <v>17141.8368</v>
      </c>
      <c r="AG528" s="1230"/>
      <c r="AH528" s="1234" t="s">
        <v>380</v>
      </c>
      <c r="AI528" s="1234" t="s">
        <v>112</v>
      </c>
      <c r="AJ528" s="1234"/>
      <c r="AK528" s="1222">
        <f t="shared" si="190"/>
        <v>25216</v>
      </c>
      <c r="AL528" s="1222"/>
      <c r="AM528" s="1222"/>
      <c r="AN528" s="1222"/>
      <c r="AO528" s="1222"/>
      <c r="AP528" s="1222"/>
      <c r="AQ528" s="1242"/>
      <c r="AR528" s="1222"/>
      <c r="AS528" s="1232"/>
      <c r="AT528" s="1232">
        <f>I528</f>
        <v>25216</v>
      </c>
      <c r="AU528" s="1222">
        <f t="shared" si="188"/>
        <v>25216</v>
      </c>
      <c r="AV528" s="1241"/>
      <c r="AW528" s="1241"/>
      <c r="AX528" s="1222"/>
      <c r="AY528" s="1222"/>
      <c r="AZ528" s="1222"/>
      <c r="BA528" s="1222"/>
      <c r="BB528" s="1222"/>
      <c r="BC528" s="1222"/>
      <c r="BD528" s="1222"/>
      <c r="BE528" s="1222"/>
      <c r="BF528" s="1222"/>
      <c r="BG528" s="1222"/>
      <c r="BH528" s="1222"/>
      <c r="BI528" s="1222"/>
      <c r="BJ528" s="1222"/>
      <c r="BK528" s="1222"/>
      <c r="BL528" s="1222"/>
      <c r="BM528" s="1222"/>
      <c r="BN528" s="1222"/>
      <c r="BO528" s="1242"/>
      <c r="BP528" s="1242"/>
      <c r="BQ528" s="1222"/>
      <c r="BR528" s="1232">
        <f>I528/16</f>
        <v>1576</v>
      </c>
      <c r="BS528" s="1232"/>
      <c r="BT528" s="1222"/>
      <c r="BU528" s="1222"/>
      <c r="BV528" s="1242"/>
      <c r="BW528" s="1222"/>
      <c r="BX528" s="1222"/>
      <c r="BY528" s="1222"/>
      <c r="BZ528" s="1222"/>
      <c r="CA528" s="1222"/>
      <c r="CB528" s="1222"/>
      <c r="CC528" s="1222"/>
      <c r="CD528" s="1222">
        <f t="shared" si="184"/>
        <v>1576</v>
      </c>
      <c r="CE528" s="1222">
        <f t="shared" si="179"/>
        <v>0</v>
      </c>
      <c r="CF528" s="1222">
        <f t="shared" si="185"/>
        <v>0</v>
      </c>
      <c r="CG528" s="1222">
        <f t="shared" si="186"/>
        <v>0</v>
      </c>
      <c r="CH528" s="1232"/>
      <c r="CI528" s="1232"/>
      <c r="CJ528" s="1232"/>
      <c r="CK528" s="1222"/>
      <c r="CL528" s="1222"/>
      <c r="CM528" s="1168"/>
      <c r="CN528" s="1168"/>
      <c r="CO528" s="1168"/>
      <c r="CP528" s="1168"/>
      <c r="CQ528" s="1168"/>
      <c r="CR528" s="1168"/>
      <c r="CS528" s="1168"/>
      <c r="CT528" s="1168"/>
      <c r="CU528" s="1168"/>
      <c r="CV528" s="1168"/>
      <c r="CW528" s="1168"/>
      <c r="CX528" s="1168"/>
      <c r="CY528" s="1168"/>
      <c r="CZ528" s="1168"/>
      <c r="DA528" s="1168"/>
      <c r="DB528" s="1168"/>
      <c r="DC528" s="1168"/>
      <c r="DD528" s="1168"/>
      <c r="DE528" s="1168"/>
      <c r="DF528" s="1168"/>
      <c r="DG528" s="1168"/>
    </row>
    <row r="529" s="1168" customFormat="1" customHeight="1" spans="1:111">
      <c r="A529" s="1245">
        <v>46156</v>
      </c>
      <c r="B529" s="1269" t="s">
        <v>1295</v>
      </c>
      <c r="C529" s="1287" t="s">
        <v>201</v>
      </c>
      <c r="D529" s="1270">
        <v>4500207265</v>
      </c>
      <c r="E529" s="1271" t="s">
        <v>2318</v>
      </c>
      <c r="F529" s="1270" t="s">
        <v>2319</v>
      </c>
      <c r="G529" s="1272" t="s">
        <v>289</v>
      </c>
      <c r="H529" s="1234" t="s">
        <v>194</v>
      </c>
      <c r="I529" s="1273">
        <v>1989</v>
      </c>
      <c r="J529" s="1274">
        <v>0</v>
      </c>
      <c r="K529" s="1274">
        <v>13</v>
      </c>
      <c r="L529" s="1246">
        <f t="shared" si="175"/>
        <v>153</v>
      </c>
      <c r="M529" s="1255">
        <v>46233</v>
      </c>
      <c r="N529" s="1320">
        <v>46231</v>
      </c>
      <c r="O529" s="1255"/>
      <c r="P529" s="1233"/>
      <c r="Q529" s="1233" t="s">
        <v>1410</v>
      </c>
      <c r="R529" s="1388" t="s">
        <v>1773</v>
      </c>
      <c r="S529" s="1234"/>
      <c r="T529" s="1233">
        <v>1989</v>
      </c>
      <c r="U529" s="1233">
        <f t="shared" si="173"/>
        <v>0</v>
      </c>
      <c r="V529" s="1234" t="s">
        <v>120</v>
      </c>
      <c r="W529" s="1238" t="s">
        <v>2320</v>
      </c>
      <c r="X529" s="1227" t="s">
        <v>95</v>
      </c>
      <c r="Y529" s="1257" t="s">
        <v>2321</v>
      </c>
      <c r="Z529" s="1247"/>
      <c r="AA529" s="1247"/>
      <c r="AB529" s="1247"/>
      <c r="AC529" s="1247" t="s">
        <v>2322</v>
      </c>
      <c r="AD529" s="1275" t="s">
        <v>204</v>
      </c>
      <c r="AE529" s="1276">
        <v>1.0535</v>
      </c>
      <c r="AF529" s="1248">
        <f>I529*AE529</f>
        <v>2095.4115</v>
      </c>
      <c r="AG529" s="1258"/>
      <c r="AH529" s="1234" t="s">
        <v>199</v>
      </c>
      <c r="AI529" s="1234" t="s">
        <v>112</v>
      </c>
      <c r="AJ529" s="1234"/>
      <c r="AK529" s="1188">
        <f t="shared" si="190"/>
        <v>1989</v>
      </c>
      <c r="AL529" s="1188"/>
      <c r="AM529" s="1188"/>
      <c r="AN529" s="1188"/>
      <c r="AO529" s="1188"/>
      <c r="AP529" s="1188">
        <f>I529</f>
        <v>1989</v>
      </c>
      <c r="AQ529" s="1240"/>
      <c r="AR529" s="1188"/>
      <c r="AS529" s="1236"/>
      <c r="AT529" s="1236"/>
      <c r="AU529" s="1188">
        <f t="shared" si="188"/>
        <v>1989</v>
      </c>
      <c r="AV529" s="1250">
        <f>I529*0.06*2</f>
        <v>238.68</v>
      </c>
      <c r="AW529" s="1250"/>
      <c r="AX529" s="1188"/>
      <c r="AY529" s="1188"/>
      <c r="AZ529" s="1188"/>
      <c r="BA529" s="1188"/>
      <c r="BB529" s="1188"/>
      <c r="BC529" s="1188"/>
      <c r="BD529" s="1188"/>
      <c r="BE529" s="1188"/>
      <c r="BF529" s="1188"/>
      <c r="BG529" s="1188"/>
      <c r="BH529" s="1188"/>
      <c r="BI529" s="1188"/>
      <c r="BJ529" s="1188"/>
      <c r="BK529" s="1188"/>
      <c r="BL529" s="1188">
        <f>I529/13</f>
        <v>153</v>
      </c>
      <c r="BM529" s="1188"/>
      <c r="BN529" s="1188"/>
      <c r="BO529" s="1240"/>
      <c r="BP529" s="1240"/>
      <c r="BQ529" s="1188"/>
      <c r="BR529" s="1236"/>
      <c r="BS529" s="1236"/>
      <c r="BT529" s="1188"/>
      <c r="BU529" s="1188"/>
      <c r="BV529" s="1240"/>
      <c r="BW529" s="1188"/>
      <c r="BX529" s="1188"/>
      <c r="BY529" s="1188"/>
      <c r="BZ529" s="1188"/>
      <c r="CA529" s="1188"/>
      <c r="CB529" s="1188"/>
      <c r="CC529" s="1188"/>
      <c r="CD529" s="1188">
        <f t="shared" si="184"/>
        <v>0</v>
      </c>
      <c r="CE529" s="1188">
        <f t="shared" si="179"/>
        <v>0</v>
      </c>
      <c r="CF529" s="1188">
        <f t="shared" si="185"/>
        <v>0</v>
      </c>
      <c r="CG529" s="1188">
        <f t="shared" si="186"/>
        <v>0</v>
      </c>
      <c r="CH529" s="1236"/>
      <c r="CI529" s="1236"/>
      <c r="CJ529" s="1236"/>
      <c r="CK529" s="1188"/>
      <c r="CL529" s="1188"/>
      <c r="CM529" s="1260"/>
      <c r="CN529" s="1260"/>
      <c r="CO529" s="1260"/>
      <c r="CP529" s="1260"/>
      <c r="CQ529" s="1260"/>
      <c r="CR529" s="1260"/>
      <c r="CS529" s="1260"/>
      <c r="CT529" s="1260"/>
      <c r="CU529" s="1260"/>
      <c r="CV529" s="1260"/>
      <c r="CW529" s="1260"/>
      <c r="CX529" s="1260"/>
      <c r="CY529" s="1260"/>
      <c r="CZ529" s="1260"/>
      <c r="DA529" s="1260"/>
      <c r="DB529" s="1260"/>
      <c r="DC529" s="1260"/>
      <c r="DD529" s="1260"/>
      <c r="DE529" s="1260"/>
      <c r="DF529" s="1260"/>
      <c r="DG529" s="1260"/>
    </row>
    <row r="530" s="1168" customFormat="1" customHeight="1" spans="1:111">
      <c r="A530" s="1245">
        <v>46203</v>
      </c>
      <c r="B530" s="1247" t="s">
        <v>346</v>
      </c>
      <c r="C530" s="1234" t="s">
        <v>115</v>
      </c>
      <c r="D530" s="1268">
        <v>4500214410</v>
      </c>
      <c r="E530" s="1890" t="s">
        <v>2323</v>
      </c>
      <c r="F530" s="1188" t="s">
        <v>2324</v>
      </c>
      <c r="G530" s="1253" t="s">
        <v>380</v>
      </c>
      <c r="H530" s="1234" t="s">
        <v>381</v>
      </c>
      <c r="I530" s="1254">
        <v>23968</v>
      </c>
      <c r="J530" s="1234">
        <v>0</v>
      </c>
      <c r="K530" s="1234">
        <v>16</v>
      </c>
      <c r="L530" s="1246">
        <f t="shared" si="175"/>
        <v>1498</v>
      </c>
      <c r="M530" s="1255">
        <v>46233</v>
      </c>
      <c r="N530" s="1320">
        <v>46237</v>
      </c>
      <c r="O530" s="1322" t="s">
        <v>1964</v>
      </c>
      <c r="P530" s="1233" t="s">
        <v>2325</v>
      </c>
      <c r="Q530" s="1233" t="s">
        <v>1410</v>
      </c>
      <c r="R530" s="1234"/>
      <c r="S530" s="1234"/>
      <c r="T530" s="1233">
        <v>23968</v>
      </c>
      <c r="U530" s="1233">
        <f t="shared" si="173"/>
        <v>0</v>
      </c>
      <c r="V530" s="1342"/>
      <c r="W530" s="1238" t="s">
        <v>1572</v>
      </c>
      <c r="X530" s="1227" t="s">
        <v>95</v>
      </c>
      <c r="Y530" s="1227" t="s">
        <v>2041</v>
      </c>
      <c r="Z530" s="1247"/>
      <c r="AA530" s="1247"/>
      <c r="AB530" s="1247"/>
      <c r="AC530" s="1247" t="s">
        <v>2317</v>
      </c>
      <c r="AD530" s="1255" t="s">
        <v>354</v>
      </c>
      <c r="AE530" s="1188">
        <v>0.6798</v>
      </c>
      <c r="AF530" s="1248">
        <f>AE530*I530</f>
        <v>16293.4464</v>
      </c>
      <c r="AG530" s="1258"/>
      <c r="AH530" s="1234" t="s">
        <v>380</v>
      </c>
      <c r="AI530" s="1234" t="s">
        <v>112</v>
      </c>
      <c r="AJ530" s="1234" t="s">
        <v>113</v>
      </c>
      <c r="AK530" s="1188">
        <f t="shared" si="190"/>
        <v>23968</v>
      </c>
      <c r="AL530" s="1188"/>
      <c r="AM530" s="1188"/>
      <c r="AN530" s="1188"/>
      <c r="AO530" s="1188"/>
      <c r="AP530" s="1188"/>
      <c r="AQ530" s="1240"/>
      <c r="AR530" s="1188"/>
      <c r="AS530" s="1236"/>
      <c r="AT530" s="1236">
        <f>I530</f>
        <v>23968</v>
      </c>
      <c r="AU530" s="1188">
        <f t="shared" si="188"/>
        <v>23968</v>
      </c>
      <c r="AV530" s="1250"/>
      <c r="AW530" s="1250"/>
      <c r="AX530" s="1188"/>
      <c r="AY530" s="1188"/>
      <c r="AZ530" s="1188"/>
      <c r="BA530" s="1188"/>
      <c r="BB530" s="1188"/>
      <c r="BC530" s="1188"/>
      <c r="BD530" s="1188"/>
      <c r="BE530" s="1188"/>
      <c r="BF530" s="1188"/>
      <c r="BG530" s="1188"/>
      <c r="BH530" s="1188"/>
      <c r="BI530" s="1188"/>
      <c r="BJ530" s="1188"/>
      <c r="BK530" s="1188"/>
      <c r="BL530" s="1188"/>
      <c r="BM530" s="1188"/>
      <c r="BN530" s="1188"/>
      <c r="BO530" s="1240"/>
      <c r="BP530" s="1240"/>
      <c r="BQ530" s="1188"/>
      <c r="BR530" s="1236">
        <f>I530/16</f>
        <v>1498</v>
      </c>
      <c r="BS530" s="1236"/>
      <c r="BT530" s="1188"/>
      <c r="BU530" s="1188"/>
      <c r="BV530" s="1240"/>
      <c r="BW530" s="1188"/>
      <c r="BX530" s="1188"/>
      <c r="BY530" s="1188"/>
      <c r="BZ530" s="1188"/>
      <c r="CA530" s="1188"/>
      <c r="CB530" s="1188"/>
      <c r="CC530" s="1188"/>
      <c r="CD530" s="1188">
        <f t="shared" si="184"/>
        <v>1498</v>
      </c>
      <c r="CE530" s="1188">
        <f t="shared" si="179"/>
        <v>0</v>
      </c>
      <c r="CF530" s="1188">
        <f t="shared" si="185"/>
        <v>0</v>
      </c>
      <c r="CG530" s="1188">
        <f t="shared" si="186"/>
        <v>0</v>
      </c>
      <c r="CH530" s="1236"/>
      <c r="CI530" s="1236"/>
      <c r="CJ530" s="1236"/>
      <c r="CK530" s="1188"/>
      <c r="CL530" s="1188"/>
    </row>
    <row r="531" s="1169" customFormat="1" customHeight="1" spans="1:111">
      <c r="A531" s="1245">
        <v>46177</v>
      </c>
      <c r="B531" s="1247" t="s">
        <v>2326</v>
      </c>
      <c r="C531" s="1234" t="s">
        <v>319</v>
      </c>
      <c r="D531" s="1188">
        <v>4500210772</v>
      </c>
      <c r="E531" s="1234" t="s">
        <v>2327</v>
      </c>
      <c r="F531" s="1188" t="s">
        <v>2328</v>
      </c>
      <c r="G531" s="1253" t="s">
        <v>174</v>
      </c>
      <c r="H531" s="1234" t="s">
        <v>175</v>
      </c>
      <c r="I531" s="1254">
        <v>2496</v>
      </c>
      <c r="J531" s="1234">
        <v>0</v>
      </c>
      <c r="K531" s="1234">
        <v>52</v>
      </c>
      <c r="L531" s="1234">
        <f t="shared" si="175"/>
        <v>48</v>
      </c>
      <c r="M531" s="1255">
        <v>46233</v>
      </c>
      <c r="N531" s="1320">
        <v>46238</v>
      </c>
      <c r="O531" s="1255"/>
      <c r="P531" s="1233"/>
      <c r="Q531" s="1233" t="s">
        <v>1410</v>
      </c>
      <c r="R531" s="1233" t="s">
        <v>2329</v>
      </c>
      <c r="S531" s="1234"/>
      <c r="T531" s="1233">
        <v>2496</v>
      </c>
      <c r="U531" s="1233">
        <f t="shared" si="173"/>
        <v>0</v>
      </c>
      <c r="V531" s="1234"/>
      <c r="W531" s="1238">
        <v>46178</v>
      </c>
      <c r="X531" s="1227" t="s">
        <v>95</v>
      </c>
      <c r="Y531" s="1227" t="s">
        <v>2330</v>
      </c>
      <c r="Z531" s="1247"/>
      <c r="AA531" s="1247"/>
      <c r="AB531" s="1247"/>
      <c r="AC531" s="1389" t="s">
        <v>2331</v>
      </c>
      <c r="AD531" s="1286" t="s">
        <v>2332</v>
      </c>
      <c r="AE531" s="1390">
        <v>1.0598</v>
      </c>
      <c r="AF531" s="1248">
        <f>I531*AE531</f>
        <v>2645.2608</v>
      </c>
      <c r="AG531" s="1258"/>
      <c r="AH531" s="1253" t="s">
        <v>174</v>
      </c>
      <c r="AI531" s="1234" t="s">
        <v>112</v>
      </c>
      <c r="AJ531" s="1234" t="s">
        <v>113</v>
      </c>
      <c r="AK531" s="1188">
        <f t="shared" si="190"/>
        <v>2496</v>
      </c>
      <c r="AL531" s="1188"/>
      <c r="AM531" s="1188"/>
      <c r="AN531" s="1188">
        <f t="shared" ref="AN531:AN542" si="191">I531</f>
        <v>2496</v>
      </c>
      <c r="AO531" s="1188"/>
      <c r="AP531" s="1188"/>
      <c r="AQ531" s="1240"/>
      <c r="AR531" s="1188"/>
      <c r="AS531" s="1236"/>
      <c r="AT531" s="1236"/>
      <c r="AU531" s="1188">
        <f t="shared" si="188"/>
        <v>2496</v>
      </c>
      <c r="AV531" s="1250"/>
      <c r="AW531" s="1250"/>
      <c r="AX531" s="1188"/>
      <c r="AY531" s="1188"/>
      <c r="AZ531" s="1188"/>
      <c r="BA531" s="1188"/>
      <c r="BB531" s="1188"/>
      <c r="BC531" s="1188"/>
      <c r="BD531" s="1188"/>
      <c r="BE531" s="1188"/>
      <c r="BF531" s="1188"/>
      <c r="BG531" s="1188"/>
      <c r="BH531" s="1188"/>
      <c r="BI531" s="1188"/>
      <c r="BJ531" s="1188"/>
      <c r="BK531" s="1188">
        <f>I531/13</f>
        <v>192</v>
      </c>
      <c r="BL531" s="1188"/>
      <c r="BM531" s="1188"/>
      <c r="BN531" s="1188"/>
      <c r="BO531" s="1240"/>
      <c r="BP531" s="1240"/>
      <c r="BQ531" s="1188"/>
      <c r="BR531" s="1236"/>
      <c r="BS531" s="1236"/>
      <c r="BT531" s="1188"/>
      <c r="BU531" s="1188"/>
      <c r="BV531" s="1240"/>
      <c r="BW531" s="1188"/>
      <c r="BX531" s="1188"/>
      <c r="BY531" s="1188"/>
      <c r="BZ531" s="1188"/>
      <c r="CA531" s="1188"/>
      <c r="CB531" s="1188"/>
      <c r="CC531" s="1188"/>
      <c r="CD531" s="1188">
        <f t="shared" si="184"/>
        <v>0</v>
      </c>
      <c r="CE531" s="1188">
        <f t="shared" si="179"/>
        <v>0</v>
      </c>
      <c r="CF531" s="1188">
        <f t="shared" si="185"/>
        <v>0</v>
      </c>
      <c r="CG531" s="1188">
        <f t="shared" si="186"/>
        <v>0</v>
      </c>
      <c r="CH531" s="1236"/>
      <c r="CI531" s="1236"/>
      <c r="CJ531" s="1236"/>
      <c r="CK531" s="1188"/>
      <c r="CL531" s="1188"/>
      <c r="CM531" s="1168"/>
      <c r="CN531" s="1168"/>
      <c r="CO531" s="1168"/>
      <c r="CP531" s="1168"/>
      <c r="CQ531" s="1168"/>
      <c r="CR531" s="1168"/>
      <c r="CS531" s="1168"/>
      <c r="CT531" s="1168"/>
      <c r="CU531" s="1168"/>
      <c r="CV531" s="1168"/>
      <c r="CW531" s="1168"/>
      <c r="CX531" s="1168"/>
      <c r="CY531" s="1168"/>
      <c r="CZ531" s="1168"/>
      <c r="DA531" s="1168"/>
      <c r="DB531" s="1168"/>
      <c r="DC531" s="1168"/>
      <c r="DD531" s="1168"/>
      <c r="DE531" s="1168"/>
      <c r="DF531" s="1168"/>
      <c r="DG531" s="1168"/>
    </row>
    <row r="532" s="1168" customFormat="1" customHeight="1" spans="1:111">
      <c r="A532" s="1340">
        <v>46163</v>
      </c>
      <c r="B532" s="1341" t="s">
        <v>2333</v>
      </c>
      <c r="C532" s="1342" t="s">
        <v>115</v>
      </c>
      <c r="D532" s="1343">
        <v>4500208215</v>
      </c>
      <c r="E532" s="1357">
        <v>16464361</v>
      </c>
      <c r="F532" s="1375" t="s">
        <v>2334</v>
      </c>
      <c r="G532" s="1381" t="s">
        <v>2335</v>
      </c>
      <c r="H532" s="1342" t="s">
        <v>104</v>
      </c>
      <c r="I532" s="1382">
        <v>312</v>
      </c>
      <c r="J532" s="1342">
        <v>0</v>
      </c>
      <c r="K532" s="1383">
        <v>24</v>
      </c>
      <c r="L532" s="1345">
        <f t="shared" si="175"/>
        <v>13</v>
      </c>
      <c r="M532" s="1286">
        <v>46237</v>
      </c>
      <c r="N532" s="1361">
        <v>46235</v>
      </c>
      <c r="O532" s="1320" t="s">
        <v>2336</v>
      </c>
      <c r="P532" s="1357" t="s">
        <v>2337</v>
      </c>
      <c r="Q532" s="1357" t="s">
        <v>1410</v>
      </c>
      <c r="R532" s="1342" t="s">
        <v>2338</v>
      </c>
      <c r="S532" s="1342"/>
      <c r="T532" s="1357">
        <v>312</v>
      </c>
      <c r="U532" s="1233">
        <f t="shared" si="173"/>
        <v>0</v>
      </c>
      <c r="V532" s="1342"/>
      <c r="W532" s="1238" t="s">
        <v>2339</v>
      </c>
      <c r="X532" s="1257" t="s">
        <v>107</v>
      </c>
      <c r="Y532" s="1257" t="s">
        <v>2340</v>
      </c>
      <c r="Z532" s="1247"/>
      <c r="AA532" s="1247"/>
      <c r="AB532" s="1247"/>
      <c r="AC532" s="1341" t="s">
        <v>2341</v>
      </c>
      <c r="AD532" s="1286" t="s">
        <v>2342</v>
      </c>
      <c r="AE532" s="1172">
        <v>0.6689</v>
      </c>
      <c r="AF532" s="1360">
        <f>I532*AE532</f>
        <v>208.6968</v>
      </c>
      <c r="AG532" s="1258"/>
      <c r="AH532" s="1234" t="s">
        <v>146</v>
      </c>
      <c r="AI532" s="1234" t="s">
        <v>112</v>
      </c>
      <c r="AJ532" s="1342" t="s">
        <v>113</v>
      </c>
      <c r="AK532" s="1188">
        <f t="shared" si="190"/>
        <v>312</v>
      </c>
      <c r="AL532" s="1172"/>
      <c r="AM532" s="1172"/>
      <c r="AN532" s="1172">
        <f t="shared" si="191"/>
        <v>312</v>
      </c>
      <c r="AO532" s="1172"/>
      <c r="AP532" s="1172"/>
      <c r="AQ532" s="1172"/>
      <c r="AR532" s="1172"/>
      <c r="AS532" s="1172"/>
      <c r="AT532" s="1172"/>
      <c r="AU532" s="1172">
        <f t="shared" si="188"/>
        <v>312</v>
      </c>
      <c r="AV532" s="1241">
        <f>I532*0.06*2</f>
        <v>37.44</v>
      </c>
      <c r="AW532" s="1250"/>
      <c r="AX532" s="1188"/>
      <c r="AY532" s="1172"/>
      <c r="AZ532" s="1172"/>
      <c r="BA532" s="1172"/>
      <c r="BB532" s="1172"/>
      <c r="BC532" s="1172"/>
      <c r="BD532" s="1172"/>
      <c r="BE532" s="1172"/>
      <c r="BF532" s="1172"/>
      <c r="BG532" s="1188"/>
      <c r="BH532" s="1188"/>
      <c r="BI532" s="1172"/>
      <c r="BJ532" s="1172"/>
      <c r="BK532" s="1172"/>
      <c r="BL532" s="1172"/>
      <c r="BM532" s="1172"/>
      <c r="BN532" s="1172">
        <f>I532/24</f>
        <v>13</v>
      </c>
      <c r="BO532" s="1240"/>
      <c r="BP532" s="1172"/>
      <c r="BQ532" s="1172"/>
      <c r="BR532" s="1172"/>
      <c r="BS532" s="1172"/>
      <c r="BT532" s="1172"/>
      <c r="BU532" s="1172"/>
      <c r="BV532" s="1172"/>
      <c r="BW532" s="1172"/>
      <c r="BX532" s="1172"/>
      <c r="BY532" s="1172"/>
      <c r="BZ532" s="1172"/>
      <c r="CA532" s="1172"/>
      <c r="CB532" s="1172"/>
      <c r="CC532" s="1172"/>
      <c r="CD532" s="1188">
        <f t="shared" si="184"/>
        <v>13</v>
      </c>
      <c r="CE532" s="1188">
        <f t="shared" si="179"/>
        <v>0</v>
      </c>
      <c r="CF532" s="1188">
        <f t="shared" si="185"/>
        <v>0</v>
      </c>
      <c r="CG532" s="1188">
        <f t="shared" si="186"/>
        <v>0</v>
      </c>
      <c r="CH532" s="1188"/>
      <c r="CI532" s="1188"/>
      <c r="CJ532" s="1172"/>
      <c r="CK532" s="1172"/>
      <c r="CL532" s="1172"/>
    </row>
    <row r="533" s="1168" customFormat="1" customHeight="1" spans="1:111">
      <c r="A533" s="1219">
        <v>46163</v>
      </c>
      <c r="B533" s="1220" t="s">
        <v>2333</v>
      </c>
      <c r="C533" s="1221" t="s">
        <v>115</v>
      </c>
      <c r="D533" s="1303">
        <v>4500208214</v>
      </c>
      <c r="E533" s="1226">
        <v>16464350</v>
      </c>
      <c r="F533" s="1243" t="s">
        <v>2343</v>
      </c>
      <c r="G533" s="1391" t="s">
        <v>2335</v>
      </c>
      <c r="H533" s="1221" t="s">
        <v>104</v>
      </c>
      <c r="I533" s="1392">
        <v>27624</v>
      </c>
      <c r="J533" s="1221">
        <v>0</v>
      </c>
      <c r="K533" s="1370">
        <v>24</v>
      </c>
      <c r="L533" s="1224">
        <f t="shared" si="175"/>
        <v>1151</v>
      </c>
      <c r="M533" s="1225">
        <v>46237</v>
      </c>
      <c r="N533" s="1338">
        <v>46235</v>
      </c>
      <c r="O533" s="1320" t="s">
        <v>2336</v>
      </c>
      <c r="P533" s="1226" t="s">
        <v>2337</v>
      </c>
      <c r="Q533" s="1226" t="s">
        <v>1410</v>
      </c>
      <c r="R533" s="1221" t="s">
        <v>2338</v>
      </c>
      <c r="S533" s="1221"/>
      <c r="T533" s="1226">
        <v>27624</v>
      </c>
      <c r="U533" s="1233">
        <f t="shared" si="173"/>
        <v>0</v>
      </c>
      <c r="V533" s="1221"/>
      <c r="W533" s="1256" t="s">
        <v>2339</v>
      </c>
      <c r="X533" s="1227" t="s">
        <v>107</v>
      </c>
      <c r="Y533" s="1227" t="s">
        <v>2344</v>
      </c>
      <c r="Z533" s="1220"/>
      <c r="AA533" s="1220"/>
      <c r="AB533" s="1220"/>
      <c r="AC533" s="1220" t="s">
        <v>2345</v>
      </c>
      <c r="AD533" s="1225" t="s">
        <v>2342</v>
      </c>
      <c r="AE533" s="1222">
        <v>0.6518</v>
      </c>
      <c r="AF533" s="1229">
        <f>I533*AE533</f>
        <v>18005.3232</v>
      </c>
      <c r="AG533" s="1230"/>
      <c r="AH533" s="1234" t="s">
        <v>146</v>
      </c>
      <c r="AI533" s="1221" t="s">
        <v>112</v>
      </c>
      <c r="AJ533" s="1234" t="s">
        <v>113</v>
      </c>
      <c r="AK533" s="1222">
        <f t="shared" si="190"/>
        <v>27624</v>
      </c>
      <c r="AL533" s="1222"/>
      <c r="AM533" s="1222"/>
      <c r="AN533" s="1222">
        <f t="shared" si="191"/>
        <v>27624</v>
      </c>
      <c r="AO533" s="1222"/>
      <c r="AP533" s="1188"/>
      <c r="AQ533" s="1240"/>
      <c r="AR533" s="1188"/>
      <c r="AS533" s="1236"/>
      <c r="AT533" s="1236"/>
      <c r="AU533" s="1188">
        <f t="shared" si="188"/>
        <v>27624</v>
      </c>
      <c r="AV533" s="1241">
        <f>I533*0.06*2</f>
        <v>3314.88</v>
      </c>
      <c r="AW533" s="1241"/>
      <c r="AX533" s="1222"/>
      <c r="AY533" s="1222"/>
      <c r="AZ533" s="1222"/>
      <c r="BA533" s="1222"/>
      <c r="BB533" s="1222"/>
      <c r="BC533" s="1222"/>
      <c r="BD533" s="1222"/>
      <c r="BE533" s="1222"/>
      <c r="BF533" s="1222"/>
      <c r="BG533" s="1222"/>
      <c r="BH533" s="1222"/>
      <c r="BI533" s="1222"/>
      <c r="BJ533" s="1222"/>
      <c r="BK533" s="1222"/>
      <c r="BL533" s="1222"/>
      <c r="BM533" s="1222"/>
      <c r="BN533" s="1222">
        <f>I533/24</f>
        <v>1151</v>
      </c>
      <c r="BO533" s="1242"/>
      <c r="BP533" s="1242"/>
      <c r="BQ533" s="1222"/>
      <c r="BR533" s="1232"/>
      <c r="BS533" s="1232"/>
      <c r="BT533" s="1222"/>
      <c r="BU533" s="1222"/>
      <c r="BV533" s="1242"/>
      <c r="BW533" s="1222"/>
      <c r="BX533" s="1222"/>
      <c r="BY533" s="1222"/>
      <c r="BZ533" s="1222"/>
      <c r="CA533" s="1222"/>
      <c r="CB533" s="1222"/>
      <c r="CC533" s="1222"/>
      <c r="CD533" s="1188">
        <f t="shared" si="184"/>
        <v>1151</v>
      </c>
      <c r="CE533" s="1188">
        <f t="shared" si="179"/>
        <v>0</v>
      </c>
      <c r="CF533" s="1188">
        <f t="shared" si="185"/>
        <v>0</v>
      </c>
      <c r="CG533" s="1188">
        <f t="shared" si="186"/>
        <v>0</v>
      </c>
      <c r="CH533" s="1232"/>
      <c r="CI533" s="1232"/>
      <c r="CJ533" s="1232"/>
      <c r="CK533" s="1222"/>
      <c r="CL533" s="1222"/>
    </row>
    <row r="534" s="1168" customFormat="1" customHeight="1" spans="1:111">
      <c r="A534" s="1245">
        <v>46168</v>
      </c>
      <c r="B534" s="1247" t="s">
        <v>602</v>
      </c>
      <c r="C534" s="1234" t="s">
        <v>508</v>
      </c>
      <c r="D534" s="1268">
        <v>4500209239</v>
      </c>
      <c r="E534" s="1233">
        <v>86543</v>
      </c>
      <c r="F534" s="1188" t="s">
        <v>2346</v>
      </c>
      <c r="G534" s="1253" t="s">
        <v>604</v>
      </c>
      <c r="H534" s="1234" t="s">
        <v>893</v>
      </c>
      <c r="I534" s="1254">
        <v>27500</v>
      </c>
      <c r="J534" s="1234">
        <v>0</v>
      </c>
      <c r="K534" s="1234">
        <v>25</v>
      </c>
      <c r="L534" s="1246">
        <f t="shared" si="175"/>
        <v>1100</v>
      </c>
      <c r="M534" s="1255">
        <v>46237</v>
      </c>
      <c r="N534" s="1320">
        <v>46235</v>
      </c>
      <c r="O534" s="1320" t="s">
        <v>2347</v>
      </c>
      <c r="P534" s="1233"/>
      <c r="Q534" s="1233" t="s">
        <v>1410</v>
      </c>
      <c r="R534" s="1234"/>
      <c r="S534" s="1234"/>
      <c r="T534" s="1233">
        <v>27500</v>
      </c>
      <c r="U534" s="1233">
        <f t="shared" si="173"/>
        <v>0</v>
      </c>
      <c r="V534" s="1234" t="s">
        <v>120</v>
      </c>
      <c r="W534" s="1238">
        <v>46169</v>
      </c>
      <c r="X534" s="1227" t="s">
        <v>95</v>
      </c>
      <c r="Y534" s="1227" t="s">
        <v>1886</v>
      </c>
      <c r="Z534" s="1247" t="s">
        <v>360</v>
      </c>
      <c r="AA534" s="1247"/>
      <c r="AB534" s="1247"/>
      <c r="AC534" s="1321" t="s">
        <v>2348</v>
      </c>
      <c r="AD534" s="1255" t="s">
        <v>362</v>
      </c>
      <c r="AE534" s="1188">
        <v>1.1238</v>
      </c>
      <c r="AF534" s="1248">
        <f>I534*AE534</f>
        <v>30904.5</v>
      </c>
      <c r="AG534" s="1258"/>
      <c r="AH534" s="1234" t="s">
        <v>1304</v>
      </c>
      <c r="AI534" s="1234" t="s">
        <v>112</v>
      </c>
      <c r="AJ534" s="1234" t="s">
        <v>113</v>
      </c>
      <c r="AK534" s="1188">
        <f t="shared" si="190"/>
        <v>27500</v>
      </c>
      <c r="AL534" s="1188"/>
      <c r="AM534" s="1188"/>
      <c r="AN534" s="1188">
        <f t="shared" si="191"/>
        <v>27500</v>
      </c>
      <c r="AO534" s="1188"/>
      <c r="AP534" s="1188"/>
      <c r="AQ534" s="1240"/>
      <c r="AR534" s="1188"/>
      <c r="AS534" s="1236"/>
      <c r="AT534" s="1236"/>
      <c r="AU534" s="1188"/>
      <c r="AV534" s="1250">
        <f>I534*0.06</f>
        <v>1650</v>
      </c>
      <c r="AW534" s="1250"/>
      <c r="AX534" s="1188">
        <f>I534</f>
        <v>27500</v>
      </c>
      <c r="AY534" s="1188"/>
      <c r="AZ534" s="1188"/>
      <c r="BA534" s="1188"/>
      <c r="BB534" s="1188"/>
      <c r="BC534" s="1188"/>
      <c r="BD534" s="1188"/>
      <c r="BE534" s="1188"/>
      <c r="BF534" s="1188"/>
      <c r="BG534" s="1188"/>
      <c r="BH534" s="1188"/>
      <c r="BI534" s="1188"/>
      <c r="BJ534" s="1188"/>
      <c r="BK534" s="1188"/>
      <c r="BL534" s="1188"/>
      <c r="BM534" s="1188"/>
      <c r="BN534" s="1188"/>
      <c r="BO534" s="1240"/>
      <c r="BP534" s="1240"/>
      <c r="BQ534" s="1188">
        <f>I534/25</f>
        <v>1100</v>
      </c>
      <c r="BR534" s="1236"/>
      <c r="BS534" s="1236"/>
      <c r="BT534" s="1188"/>
      <c r="BU534" s="1188"/>
      <c r="BV534" s="1240"/>
      <c r="BW534" s="1188"/>
      <c r="BX534" s="1188"/>
      <c r="BY534" s="1188"/>
      <c r="BZ534" s="1188"/>
      <c r="CA534" s="1188"/>
      <c r="CB534" s="1188"/>
      <c r="CC534" s="1188"/>
      <c r="CD534" s="1188">
        <f t="shared" si="184"/>
        <v>1100</v>
      </c>
      <c r="CE534" s="1188">
        <f t="shared" si="179"/>
        <v>0</v>
      </c>
      <c r="CF534" s="1188">
        <f t="shared" si="185"/>
        <v>0</v>
      </c>
      <c r="CG534" s="1188">
        <f t="shared" si="186"/>
        <v>0</v>
      </c>
      <c r="CH534" s="1236"/>
      <c r="CI534" s="1236"/>
      <c r="CJ534" s="1236"/>
      <c r="CK534" s="1188"/>
      <c r="CL534" s="1188"/>
    </row>
    <row r="535" s="1168" customFormat="1" customHeight="1" spans="1:111">
      <c r="A535" s="1245">
        <v>46176</v>
      </c>
      <c r="B535" s="1247" t="s">
        <v>507</v>
      </c>
      <c r="C535" s="1234" t="s">
        <v>508</v>
      </c>
      <c r="D535" s="1268">
        <v>4500210567</v>
      </c>
      <c r="E535" s="1233">
        <v>2635321</v>
      </c>
      <c r="F535" s="1188" t="s">
        <v>2349</v>
      </c>
      <c r="G535" s="1253" t="s">
        <v>510</v>
      </c>
      <c r="H535" s="1234" t="s">
        <v>194</v>
      </c>
      <c r="I535" s="1254">
        <v>3198</v>
      </c>
      <c r="J535" s="1234">
        <v>0</v>
      </c>
      <c r="K535" s="1234">
        <v>13</v>
      </c>
      <c r="L535" s="1246">
        <f t="shared" si="175"/>
        <v>246</v>
      </c>
      <c r="M535" s="1255">
        <v>46237</v>
      </c>
      <c r="N535" s="1320">
        <v>46235</v>
      </c>
      <c r="O535" s="1320" t="s">
        <v>2347</v>
      </c>
      <c r="P535" s="1233"/>
      <c r="Q535" s="1233" t="s">
        <v>1410</v>
      </c>
      <c r="R535" s="1234"/>
      <c r="S535" s="1234"/>
      <c r="T535" s="1233">
        <v>3198</v>
      </c>
      <c r="U535" s="1233">
        <f t="shared" si="173"/>
        <v>0</v>
      </c>
      <c r="V535" s="1234"/>
      <c r="W535" s="1256">
        <v>46176</v>
      </c>
      <c r="X535" s="1257" t="s">
        <v>107</v>
      </c>
      <c r="Y535" s="1257" t="s">
        <v>2350</v>
      </c>
      <c r="Z535" s="1247" t="s">
        <v>2351</v>
      </c>
      <c r="AA535" s="1247"/>
      <c r="AB535" s="1247"/>
      <c r="AC535" s="1247" t="s">
        <v>2352</v>
      </c>
      <c r="AD535" s="1255" t="s">
        <v>513</v>
      </c>
      <c r="AE535" s="1188">
        <v>1.1186</v>
      </c>
      <c r="AF535" s="1248">
        <f>AE535*I535</f>
        <v>3577.2828</v>
      </c>
      <c r="AG535" s="1258"/>
      <c r="AH535" s="1234" t="s">
        <v>2353</v>
      </c>
      <c r="AI535" s="1234" t="s">
        <v>112</v>
      </c>
      <c r="AJ535" s="1234" t="s">
        <v>113</v>
      </c>
      <c r="AK535" s="1188">
        <f t="shared" si="190"/>
        <v>3198</v>
      </c>
      <c r="AL535" s="1188"/>
      <c r="AM535" s="1188"/>
      <c r="AN535" s="1188">
        <f t="shared" si="191"/>
        <v>3198</v>
      </c>
      <c r="AO535" s="1188"/>
      <c r="AP535" s="1188"/>
      <c r="AQ535" s="1240"/>
      <c r="AR535" s="1188"/>
      <c r="AS535" s="1236"/>
      <c r="AT535" s="1236"/>
      <c r="AU535" s="1188"/>
      <c r="AV535" s="1250">
        <f>I535*0.06*2</f>
        <v>383.76</v>
      </c>
      <c r="AW535" s="1250"/>
      <c r="AX535" s="1188">
        <f>I535</f>
        <v>3198</v>
      </c>
      <c r="AY535" s="1188"/>
      <c r="AZ535" s="1188"/>
      <c r="BA535" s="1188"/>
      <c r="BB535" s="1188"/>
      <c r="BC535" s="1188"/>
      <c r="BD535" s="1188"/>
      <c r="BE535" s="1188"/>
      <c r="BF535" s="1188"/>
      <c r="BG535" s="1188"/>
      <c r="BH535" s="1188"/>
      <c r="BI535" s="1188"/>
      <c r="BJ535" s="1188"/>
      <c r="BK535" s="1188"/>
      <c r="BL535" s="1188"/>
      <c r="BM535" s="1188"/>
      <c r="BN535" s="1188"/>
      <c r="BO535" s="1240"/>
      <c r="BP535" s="1240">
        <f>I535/13</f>
        <v>246</v>
      </c>
      <c r="BQ535" s="1188"/>
      <c r="BR535" s="1236"/>
      <c r="BS535" s="1236"/>
      <c r="BT535" s="1188"/>
      <c r="BU535" s="1188"/>
      <c r="BV535" s="1240"/>
      <c r="BW535" s="1188"/>
      <c r="BX535" s="1188"/>
      <c r="BY535" s="1188"/>
      <c r="BZ535" s="1188"/>
      <c r="CA535" s="1188"/>
      <c r="CB535" s="1188"/>
      <c r="CC535" s="1188"/>
      <c r="CD535" s="1188">
        <f t="shared" si="184"/>
        <v>0</v>
      </c>
      <c r="CE535" s="1188">
        <f t="shared" si="179"/>
        <v>0</v>
      </c>
      <c r="CF535" s="1188">
        <f t="shared" si="185"/>
        <v>0</v>
      </c>
      <c r="CG535" s="1188">
        <f t="shared" si="186"/>
        <v>0</v>
      </c>
      <c r="CH535" s="1236"/>
      <c r="CI535" s="1236"/>
      <c r="CJ535" s="1236"/>
      <c r="CK535" s="1188"/>
      <c r="CL535" s="1188"/>
    </row>
    <row r="536" s="1172" customFormat="1" customHeight="1" spans="1:111">
      <c r="A536" s="1245">
        <v>46188</v>
      </c>
      <c r="B536" s="1220" t="s">
        <v>507</v>
      </c>
      <c r="C536" s="1221" t="s">
        <v>508</v>
      </c>
      <c r="D536" s="1303">
        <v>4500212222</v>
      </c>
      <c r="E536" s="1226">
        <v>2639017</v>
      </c>
      <c r="F536" s="1222" t="s">
        <v>2354</v>
      </c>
      <c r="G536" s="1223" t="s">
        <v>510</v>
      </c>
      <c r="H536" s="1234" t="s">
        <v>194</v>
      </c>
      <c r="I536" s="1252">
        <v>4030</v>
      </c>
      <c r="J536" s="1221">
        <v>0</v>
      </c>
      <c r="K536" s="1221">
        <v>13</v>
      </c>
      <c r="L536" s="1246">
        <f t="shared" si="175"/>
        <v>310</v>
      </c>
      <c r="M536" s="1338">
        <v>46237</v>
      </c>
      <c r="N536" s="1338">
        <v>46235</v>
      </c>
      <c r="O536" s="1255"/>
      <c r="P536" s="1233"/>
      <c r="Q536" s="1233" t="s">
        <v>1410</v>
      </c>
      <c r="R536" s="1234"/>
      <c r="S536" s="1234"/>
      <c r="T536" s="1233">
        <v>4030</v>
      </c>
      <c r="U536" s="1233">
        <f t="shared" si="173"/>
        <v>0</v>
      </c>
      <c r="V536" s="1234"/>
      <c r="W536" s="1256">
        <v>46188</v>
      </c>
      <c r="X536" s="1257" t="s">
        <v>107</v>
      </c>
      <c r="Y536" s="1257" t="s">
        <v>2355</v>
      </c>
      <c r="Z536" s="1247" t="s">
        <v>360</v>
      </c>
      <c r="AA536" s="1247"/>
      <c r="AB536" s="1247" t="s">
        <v>2356</v>
      </c>
      <c r="AC536" s="1220" t="s">
        <v>2357</v>
      </c>
      <c r="AD536" s="1225" t="s">
        <v>513</v>
      </c>
      <c r="AE536" s="1188">
        <v>1.1186</v>
      </c>
      <c r="AF536" s="1248">
        <f>AE536*I536</f>
        <v>4507.958</v>
      </c>
      <c r="AG536" s="1258"/>
      <c r="AH536" s="1253" t="s">
        <v>510</v>
      </c>
      <c r="AI536" s="1234" t="s">
        <v>112</v>
      </c>
      <c r="AJ536" s="1234" t="s">
        <v>113</v>
      </c>
      <c r="AK536" s="1188">
        <f t="shared" si="190"/>
        <v>4030</v>
      </c>
      <c r="AL536" s="1188"/>
      <c r="AM536" s="1188"/>
      <c r="AN536" s="1188">
        <f t="shared" si="191"/>
        <v>4030</v>
      </c>
      <c r="AO536" s="1188"/>
      <c r="AP536" s="1188"/>
      <c r="AQ536" s="1240"/>
      <c r="AR536" s="1188"/>
      <c r="AS536" s="1236"/>
      <c r="AT536" s="1236"/>
      <c r="AU536" s="1188"/>
      <c r="AV536" s="1250">
        <f>I536*0.06</f>
        <v>241.8</v>
      </c>
      <c r="AW536" s="1250"/>
      <c r="AX536" s="1188">
        <f>I536</f>
        <v>4030</v>
      </c>
      <c r="AY536" s="1188"/>
      <c r="AZ536" s="1188"/>
      <c r="BA536" s="1188"/>
      <c r="BB536" s="1188"/>
      <c r="BC536" s="1188"/>
      <c r="BD536" s="1188"/>
      <c r="BE536" s="1188"/>
      <c r="BF536" s="1188"/>
      <c r="BG536" s="1188"/>
      <c r="BH536" s="1188"/>
      <c r="BI536" s="1188"/>
      <c r="BJ536" s="1188"/>
      <c r="BK536" s="1188"/>
      <c r="BL536" s="1188"/>
      <c r="BM536" s="1188"/>
      <c r="BN536" s="1188"/>
      <c r="BO536" s="1240"/>
      <c r="BP536" s="1240">
        <f>I536/13</f>
        <v>310</v>
      </c>
      <c r="BQ536" s="1188"/>
      <c r="BR536" s="1236"/>
      <c r="BS536" s="1236"/>
      <c r="BT536" s="1188"/>
      <c r="BU536" s="1188"/>
      <c r="BV536" s="1240"/>
      <c r="BW536" s="1188"/>
      <c r="BX536" s="1188"/>
      <c r="BY536" s="1188"/>
      <c r="BZ536" s="1188"/>
      <c r="CA536" s="1188"/>
      <c r="CB536" s="1188"/>
      <c r="CC536" s="1188"/>
      <c r="CD536" s="1188">
        <f t="shared" si="184"/>
        <v>0</v>
      </c>
      <c r="CE536" s="1188">
        <f t="shared" si="179"/>
        <v>0</v>
      </c>
      <c r="CF536" s="1188">
        <f t="shared" si="185"/>
        <v>0</v>
      </c>
      <c r="CG536" s="1188">
        <f t="shared" si="186"/>
        <v>0</v>
      </c>
      <c r="CH536" s="1236"/>
      <c r="CI536" s="1236"/>
      <c r="CJ536" s="1236"/>
      <c r="CK536" s="1188"/>
      <c r="CL536" s="1188"/>
    </row>
    <row r="537" s="1168" customFormat="1" customHeight="1" spans="1:111">
      <c r="A537" s="1245">
        <v>46161</v>
      </c>
      <c r="B537" s="1269" t="s">
        <v>296</v>
      </c>
      <c r="C537" s="1287" t="s">
        <v>115</v>
      </c>
      <c r="D537" s="1270">
        <v>4500207828</v>
      </c>
      <c r="E537" s="1363">
        <v>219602796</v>
      </c>
      <c r="F537" s="1393" t="s">
        <v>2358</v>
      </c>
      <c r="G537" s="1272" t="s">
        <v>289</v>
      </c>
      <c r="H537" s="1234" t="s">
        <v>194</v>
      </c>
      <c r="I537" s="1273">
        <v>9750</v>
      </c>
      <c r="J537" s="1274">
        <v>0</v>
      </c>
      <c r="K537" s="1274">
        <v>13</v>
      </c>
      <c r="L537" s="1246">
        <f t="shared" si="175"/>
        <v>750</v>
      </c>
      <c r="M537" s="1320">
        <v>46237</v>
      </c>
      <c r="N537" s="1320">
        <v>46235</v>
      </c>
      <c r="O537" s="1320" t="s">
        <v>2359</v>
      </c>
      <c r="P537" s="1233"/>
      <c r="Q537" s="1233" t="s">
        <v>1410</v>
      </c>
      <c r="R537" s="1234" t="s">
        <v>2360</v>
      </c>
      <c r="S537" s="1234"/>
      <c r="T537" s="1233">
        <v>9750</v>
      </c>
      <c r="U537" s="1233">
        <f t="shared" si="173"/>
        <v>0</v>
      </c>
      <c r="V537" s="1234"/>
      <c r="W537" s="1238" t="s">
        <v>2361</v>
      </c>
      <c r="X537" s="1227" t="s">
        <v>95</v>
      </c>
      <c r="Y537" s="1257" t="s">
        <v>2362</v>
      </c>
      <c r="Z537" s="1247"/>
      <c r="AA537" s="1247"/>
      <c r="AB537" s="1247"/>
      <c r="AC537" s="1321" t="s">
        <v>2363</v>
      </c>
      <c r="AD537" s="1275" t="s">
        <v>299</v>
      </c>
      <c r="AE537" s="1276">
        <v>0.6347</v>
      </c>
      <c r="AF537" s="1248">
        <f>I537*AE537</f>
        <v>6188.325</v>
      </c>
      <c r="AG537" s="1249" t="s">
        <v>2364</v>
      </c>
      <c r="AH537" s="1234" t="s">
        <v>289</v>
      </c>
      <c r="AI537" s="1234" t="s">
        <v>112</v>
      </c>
      <c r="AJ537" s="1234" t="s">
        <v>113</v>
      </c>
      <c r="AK537" s="1188">
        <f t="shared" si="190"/>
        <v>9750</v>
      </c>
      <c r="AL537" s="1188"/>
      <c r="AM537" s="1188"/>
      <c r="AN537" s="1188">
        <f t="shared" si="191"/>
        <v>9750</v>
      </c>
      <c r="AO537" s="1188"/>
      <c r="AP537" s="1188"/>
      <c r="AQ537" s="1240"/>
      <c r="AR537" s="1188"/>
      <c r="AS537" s="1236"/>
      <c r="AT537" s="1236"/>
      <c r="AU537" s="1188">
        <f>I537</f>
        <v>9750</v>
      </c>
      <c r="AV537" s="1250">
        <f>I537*0.06*2</f>
        <v>1170</v>
      </c>
      <c r="AW537" s="1250"/>
      <c r="AX537" s="1188"/>
      <c r="AY537" s="1188"/>
      <c r="AZ537" s="1188"/>
      <c r="BA537" s="1188"/>
      <c r="BB537" s="1188"/>
      <c r="BC537" s="1188"/>
      <c r="BD537" s="1188"/>
      <c r="BE537" s="1188"/>
      <c r="BF537" s="1188"/>
      <c r="BG537" s="1188"/>
      <c r="BH537" s="1188"/>
      <c r="BI537" s="1188"/>
      <c r="BJ537" s="1188"/>
      <c r="BK537" s="1188">
        <f>I537/13</f>
        <v>750</v>
      </c>
      <c r="BL537" s="1188"/>
      <c r="BM537" s="1188"/>
      <c r="BN537" s="1188"/>
      <c r="BO537" s="1240"/>
      <c r="BP537" s="1240"/>
      <c r="BQ537" s="1188"/>
      <c r="BR537" s="1236"/>
      <c r="BS537" s="1236"/>
      <c r="BT537" s="1188"/>
      <c r="BU537" s="1188"/>
      <c r="BV537" s="1240"/>
      <c r="BW537" s="1188"/>
      <c r="BX537" s="1188"/>
      <c r="BY537" s="1188"/>
      <c r="BZ537" s="1188"/>
      <c r="CA537" s="1188"/>
      <c r="CB537" s="1188"/>
      <c r="CC537" s="1188"/>
      <c r="CD537" s="1188">
        <f t="shared" si="184"/>
        <v>0</v>
      </c>
      <c r="CE537" s="1188">
        <f t="shared" si="179"/>
        <v>0</v>
      </c>
      <c r="CF537" s="1188">
        <f t="shared" si="185"/>
        <v>0</v>
      </c>
      <c r="CG537" s="1188">
        <f t="shared" si="186"/>
        <v>0</v>
      </c>
      <c r="CH537" s="1236"/>
      <c r="CI537" s="1236"/>
      <c r="CJ537" s="1236"/>
      <c r="CK537" s="1188"/>
      <c r="CL537" s="1188"/>
      <c r="CM537" s="1169"/>
      <c r="CN537" s="1169"/>
      <c r="CO537" s="1169"/>
      <c r="CP537" s="1169"/>
      <c r="CQ537" s="1169"/>
      <c r="CR537" s="1169"/>
      <c r="CS537" s="1169"/>
      <c r="CT537" s="1169"/>
      <c r="CU537" s="1169"/>
      <c r="CV537" s="1169"/>
      <c r="CW537" s="1169"/>
      <c r="CX537" s="1169"/>
      <c r="CY537" s="1169"/>
      <c r="CZ537" s="1169"/>
      <c r="DA537" s="1169"/>
      <c r="DB537" s="1169"/>
      <c r="DC537" s="1169"/>
      <c r="DD537" s="1169"/>
      <c r="DE537" s="1169"/>
      <c r="DF537" s="1169"/>
      <c r="DG537" s="1169"/>
    </row>
    <row r="538" s="1168" customFormat="1" customHeight="1" spans="1:111">
      <c r="A538" s="1245">
        <v>46161</v>
      </c>
      <c r="B538" s="1269" t="s">
        <v>296</v>
      </c>
      <c r="C538" s="1287" t="s">
        <v>115</v>
      </c>
      <c r="D538" s="1270">
        <v>4500207828</v>
      </c>
      <c r="E538" s="1363">
        <v>219602799</v>
      </c>
      <c r="F538" s="1393" t="s">
        <v>2365</v>
      </c>
      <c r="G538" s="1272" t="s">
        <v>289</v>
      </c>
      <c r="H538" s="1234" t="s">
        <v>194</v>
      </c>
      <c r="I538" s="1273">
        <v>5252</v>
      </c>
      <c r="J538" s="1274">
        <v>0</v>
      </c>
      <c r="K538" s="1274">
        <v>13</v>
      </c>
      <c r="L538" s="1246">
        <f t="shared" si="175"/>
        <v>404</v>
      </c>
      <c r="M538" s="1320">
        <v>46237</v>
      </c>
      <c r="N538" s="1320">
        <v>46235</v>
      </c>
      <c r="O538" s="1320" t="s">
        <v>2359</v>
      </c>
      <c r="P538" s="1233"/>
      <c r="Q538" s="1233" t="s">
        <v>1410</v>
      </c>
      <c r="R538" s="1234" t="s">
        <v>2360</v>
      </c>
      <c r="S538" s="1234"/>
      <c r="T538" s="1233">
        <v>5252</v>
      </c>
      <c r="U538" s="1233">
        <f t="shared" si="173"/>
        <v>0</v>
      </c>
      <c r="V538" s="1234"/>
      <c r="W538" s="1256" t="s">
        <v>2361</v>
      </c>
      <c r="X538" s="1257" t="s">
        <v>95</v>
      </c>
      <c r="Y538" s="1257" t="s">
        <v>2362</v>
      </c>
      <c r="Z538" s="1247"/>
      <c r="AA538" s="1247"/>
      <c r="AB538" s="1247"/>
      <c r="AC538" s="1321" t="s">
        <v>2363</v>
      </c>
      <c r="AD538" s="1275" t="s">
        <v>299</v>
      </c>
      <c r="AE538" s="1276">
        <v>0.6453</v>
      </c>
      <c r="AF538" s="1248">
        <f>I538*AE538</f>
        <v>3389.1156</v>
      </c>
      <c r="AG538" s="1249" t="s">
        <v>2366</v>
      </c>
      <c r="AH538" s="1234" t="s">
        <v>289</v>
      </c>
      <c r="AI538" s="1234" t="s">
        <v>112</v>
      </c>
      <c r="AJ538" s="1234" t="s">
        <v>113</v>
      </c>
      <c r="AK538" s="1188">
        <f t="shared" si="190"/>
        <v>5252</v>
      </c>
      <c r="AL538" s="1188"/>
      <c r="AM538" s="1188"/>
      <c r="AN538" s="1188">
        <f t="shared" si="191"/>
        <v>5252</v>
      </c>
      <c r="AO538" s="1188"/>
      <c r="AP538" s="1188"/>
      <c r="AQ538" s="1240"/>
      <c r="AR538" s="1188"/>
      <c r="AS538" s="1236"/>
      <c r="AT538" s="1236"/>
      <c r="AU538" s="1188">
        <f>I538</f>
        <v>5252</v>
      </c>
      <c r="AV538" s="1250">
        <f>I538*0.06*2</f>
        <v>630.24</v>
      </c>
      <c r="AW538" s="1250"/>
      <c r="AX538" s="1188"/>
      <c r="AY538" s="1188"/>
      <c r="AZ538" s="1188"/>
      <c r="BA538" s="1188"/>
      <c r="BB538" s="1188"/>
      <c r="BC538" s="1188"/>
      <c r="BD538" s="1188"/>
      <c r="BE538" s="1188"/>
      <c r="BF538" s="1188"/>
      <c r="BG538" s="1188"/>
      <c r="BH538" s="1188"/>
      <c r="BI538" s="1188"/>
      <c r="BJ538" s="1188"/>
      <c r="BK538" s="1188">
        <f>I538/13</f>
        <v>404</v>
      </c>
      <c r="BL538" s="1188"/>
      <c r="BM538" s="1188"/>
      <c r="BN538" s="1188"/>
      <c r="BO538" s="1240"/>
      <c r="BP538" s="1240"/>
      <c r="BQ538" s="1188"/>
      <c r="BR538" s="1236"/>
      <c r="BS538" s="1188"/>
      <c r="BT538" s="1188"/>
      <c r="BU538" s="1188"/>
      <c r="BV538" s="1240"/>
      <c r="BW538" s="1188"/>
      <c r="BX538" s="1188"/>
      <c r="BY538" s="1188"/>
      <c r="BZ538" s="1188"/>
      <c r="CA538" s="1188"/>
      <c r="CB538" s="1188"/>
      <c r="CC538" s="1188"/>
      <c r="CD538" s="1188">
        <f t="shared" si="184"/>
        <v>0</v>
      </c>
      <c r="CE538" s="1188">
        <f t="shared" si="179"/>
        <v>0</v>
      </c>
      <c r="CF538" s="1188">
        <f t="shared" si="185"/>
        <v>0</v>
      </c>
      <c r="CG538" s="1188">
        <f t="shared" si="186"/>
        <v>0</v>
      </c>
      <c r="CH538" s="1236"/>
      <c r="CI538" s="1236"/>
      <c r="CJ538" s="1236"/>
      <c r="CK538" s="1188"/>
      <c r="CL538" s="1188"/>
      <c r="CM538" s="1169"/>
      <c r="CN538" s="1169"/>
      <c r="CO538" s="1169"/>
      <c r="CP538" s="1169"/>
      <c r="CQ538" s="1169"/>
      <c r="CR538" s="1169"/>
      <c r="CS538" s="1169"/>
      <c r="CT538" s="1169"/>
      <c r="CU538" s="1169"/>
      <c r="CV538" s="1169"/>
      <c r="CW538" s="1169"/>
      <c r="CX538" s="1169"/>
      <c r="CY538" s="1169"/>
      <c r="CZ538" s="1169"/>
      <c r="DA538" s="1169"/>
      <c r="DB538" s="1169"/>
      <c r="DC538" s="1169"/>
      <c r="DD538" s="1169"/>
      <c r="DE538" s="1169"/>
      <c r="DF538" s="1169"/>
      <c r="DG538" s="1169"/>
    </row>
    <row r="539" s="1168" customFormat="1" customHeight="1" spans="1:111">
      <c r="A539" s="1245">
        <v>46131</v>
      </c>
      <c r="B539" s="1247" t="s">
        <v>521</v>
      </c>
      <c r="C539" s="1234" t="s">
        <v>101</v>
      </c>
      <c r="D539" s="1268">
        <v>4500202803</v>
      </c>
      <c r="E539" s="1302">
        <v>21946800</v>
      </c>
      <c r="F539" s="1188" t="s">
        <v>2367</v>
      </c>
      <c r="G539" s="1253" t="s">
        <v>510</v>
      </c>
      <c r="H539" s="1234" t="s">
        <v>194</v>
      </c>
      <c r="I539" s="1254">
        <v>403</v>
      </c>
      <c r="J539" s="1234">
        <v>0</v>
      </c>
      <c r="K539" s="1234">
        <v>13</v>
      </c>
      <c r="L539" s="1246">
        <f t="shared" si="175"/>
        <v>31</v>
      </c>
      <c r="M539" s="1320">
        <v>46237</v>
      </c>
      <c r="N539" s="1320">
        <v>46238</v>
      </c>
      <c r="O539" s="1255"/>
      <c r="P539" s="1233"/>
      <c r="Q539" s="1233" t="s">
        <v>1410</v>
      </c>
      <c r="R539" s="1234"/>
      <c r="S539" s="1234"/>
      <c r="T539" s="1233">
        <v>403</v>
      </c>
      <c r="U539" s="1233">
        <f t="shared" si="173"/>
        <v>0</v>
      </c>
      <c r="V539" s="1234"/>
      <c r="W539" s="1256">
        <v>46195</v>
      </c>
      <c r="X539" s="1227" t="s">
        <v>107</v>
      </c>
      <c r="Y539" s="1257" t="s">
        <v>2368</v>
      </c>
      <c r="Z539" s="1247" t="s">
        <v>360</v>
      </c>
      <c r="AA539" s="1247"/>
      <c r="AB539" s="1247" t="s">
        <v>2369</v>
      </c>
      <c r="AC539" s="1321" t="s">
        <v>2370</v>
      </c>
      <c r="AD539" s="1255" t="s">
        <v>362</v>
      </c>
      <c r="AE539" s="1188">
        <v>1.2</v>
      </c>
      <c r="AF539" s="1248">
        <f>AE539*I539</f>
        <v>483.6</v>
      </c>
      <c r="AG539" s="1258"/>
      <c r="AH539" s="1253" t="s">
        <v>510</v>
      </c>
      <c r="AI539" s="1234" t="s">
        <v>112</v>
      </c>
      <c r="AJ539" s="1234" t="s">
        <v>113</v>
      </c>
      <c r="AK539" s="1188">
        <f t="shared" si="190"/>
        <v>403</v>
      </c>
      <c r="AL539" s="1188"/>
      <c r="AM539" s="1188"/>
      <c r="AN539" s="1188">
        <f t="shared" si="191"/>
        <v>403</v>
      </c>
      <c r="AO539" s="1188"/>
      <c r="AP539" s="1188"/>
      <c r="AQ539" s="1240"/>
      <c r="AR539" s="1188"/>
      <c r="AS539" s="1236"/>
      <c r="AT539" s="1236"/>
      <c r="AU539" s="1188"/>
      <c r="AV539" s="1250">
        <f>I539*0.06*2</f>
        <v>48.36</v>
      </c>
      <c r="AW539" s="1250"/>
      <c r="AX539" s="1188">
        <f>I539</f>
        <v>403</v>
      </c>
      <c r="AY539" s="1188"/>
      <c r="AZ539" s="1188"/>
      <c r="BA539" s="1188"/>
      <c r="BB539" s="1188"/>
      <c r="BC539" s="1188"/>
      <c r="BD539" s="1188"/>
      <c r="BE539" s="1188"/>
      <c r="BF539" s="1188"/>
      <c r="BG539" s="1188"/>
      <c r="BH539" s="1188"/>
      <c r="BI539" s="1188"/>
      <c r="BJ539" s="1188"/>
      <c r="BK539" s="1188"/>
      <c r="BL539" s="1188"/>
      <c r="BM539" s="1188"/>
      <c r="BN539" s="1188"/>
      <c r="BO539" s="1240"/>
      <c r="BP539" s="1240">
        <f>I539/13</f>
        <v>31</v>
      </c>
      <c r="BQ539" s="1188"/>
      <c r="BR539" s="1236"/>
      <c r="BS539" s="1236"/>
      <c r="BT539" s="1188"/>
      <c r="BU539" s="1188"/>
      <c r="BV539" s="1240"/>
      <c r="BW539" s="1188"/>
      <c r="BX539" s="1188"/>
      <c r="BY539" s="1188"/>
      <c r="BZ539" s="1188"/>
      <c r="CA539" s="1188"/>
      <c r="CB539" s="1188"/>
      <c r="CC539" s="1188"/>
      <c r="CD539" s="1188">
        <f t="shared" si="184"/>
        <v>0</v>
      </c>
      <c r="CE539" s="1188">
        <f t="shared" si="179"/>
        <v>0</v>
      </c>
      <c r="CF539" s="1188">
        <f t="shared" si="185"/>
        <v>0</v>
      </c>
      <c r="CG539" s="1188">
        <f t="shared" si="186"/>
        <v>0</v>
      </c>
      <c r="CH539" s="1236"/>
      <c r="CI539" s="1236"/>
      <c r="CJ539" s="1236"/>
      <c r="CK539" s="1188"/>
      <c r="CL539" s="1188"/>
    </row>
    <row r="540" s="1169" customFormat="1" customHeight="1" spans="1:111">
      <c r="A540" s="1245">
        <v>46131</v>
      </c>
      <c r="B540" s="1247" t="s">
        <v>525</v>
      </c>
      <c r="C540" s="1234" t="s">
        <v>508</v>
      </c>
      <c r="D540" s="1268">
        <v>4500202802</v>
      </c>
      <c r="E540" s="1302">
        <v>21946797</v>
      </c>
      <c r="F540" s="1188" t="s">
        <v>2371</v>
      </c>
      <c r="G540" s="1253" t="s">
        <v>510</v>
      </c>
      <c r="H540" s="1234" t="s">
        <v>194</v>
      </c>
      <c r="I540" s="1254">
        <v>6097</v>
      </c>
      <c r="J540" s="1234">
        <v>0</v>
      </c>
      <c r="K540" s="1234">
        <v>13</v>
      </c>
      <c r="L540" s="1246">
        <f t="shared" si="175"/>
        <v>469</v>
      </c>
      <c r="M540" s="1320">
        <v>46237</v>
      </c>
      <c r="N540" s="1320">
        <v>46238</v>
      </c>
      <c r="O540" s="1255"/>
      <c r="P540" s="1233"/>
      <c r="Q540" s="1233" t="s">
        <v>1410</v>
      </c>
      <c r="R540" s="1234"/>
      <c r="S540" s="1234"/>
      <c r="T540" s="1233">
        <v>6097</v>
      </c>
      <c r="U540" s="1233">
        <f t="shared" si="173"/>
        <v>0</v>
      </c>
      <c r="V540" s="1234"/>
      <c r="W540" s="1256">
        <v>46195</v>
      </c>
      <c r="X540" s="1227" t="s">
        <v>107</v>
      </c>
      <c r="Y540" s="1257" t="s">
        <v>2368</v>
      </c>
      <c r="Z540" s="1247" t="s">
        <v>360</v>
      </c>
      <c r="AA540" s="1247"/>
      <c r="AB540" s="1247" t="s">
        <v>2369</v>
      </c>
      <c r="AC540" s="1321" t="s">
        <v>2372</v>
      </c>
      <c r="AD540" s="1255" t="s">
        <v>362</v>
      </c>
      <c r="AE540" s="1188">
        <v>1.2</v>
      </c>
      <c r="AF540" s="1248">
        <f>AE540*I540</f>
        <v>7316.4</v>
      </c>
      <c r="AG540" s="1258"/>
      <c r="AH540" s="1253" t="s">
        <v>510</v>
      </c>
      <c r="AI540" s="1234" t="s">
        <v>112</v>
      </c>
      <c r="AJ540" s="1234" t="s">
        <v>113</v>
      </c>
      <c r="AK540" s="1188">
        <f t="shared" si="190"/>
        <v>6097</v>
      </c>
      <c r="AL540" s="1188"/>
      <c r="AM540" s="1188"/>
      <c r="AN540" s="1188">
        <f t="shared" si="191"/>
        <v>6097</v>
      </c>
      <c r="AO540" s="1188"/>
      <c r="AP540" s="1188"/>
      <c r="AQ540" s="1240"/>
      <c r="AR540" s="1188"/>
      <c r="AS540" s="1236"/>
      <c r="AT540" s="1236"/>
      <c r="AU540" s="1188"/>
      <c r="AV540" s="1250">
        <f>I540*0.06</f>
        <v>365.82</v>
      </c>
      <c r="AW540" s="1250"/>
      <c r="AX540" s="1188">
        <f>I540</f>
        <v>6097</v>
      </c>
      <c r="AY540" s="1188"/>
      <c r="AZ540" s="1188"/>
      <c r="BA540" s="1188"/>
      <c r="BB540" s="1188"/>
      <c r="BC540" s="1188"/>
      <c r="BD540" s="1188"/>
      <c r="BE540" s="1188"/>
      <c r="BF540" s="1188"/>
      <c r="BG540" s="1188"/>
      <c r="BH540" s="1188"/>
      <c r="BI540" s="1188"/>
      <c r="BJ540" s="1188"/>
      <c r="BK540" s="1188"/>
      <c r="BL540" s="1188"/>
      <c r="BM540" s="1188"/>
      <c r="BN540" s="1188"/>
      <c r="BO540" s="1240"/>
      <c r="BP540" s="1240">
        <f>I540/13</f>
        <v>469</v>
      </c>
      <c r="BQ540" s="1188"/>
      <c r="BR540" s="1236"/>
      <c r="BS540" s="1236"/>
      <c r="BT540" s="1188"/>
      <c r="BU540" s="1188"/>
      <c r="BV540" s="1240"/>
      <c r="BW540" s="1188"/>
      <c r="BX540" s="1188"/>
      <c r="BY540" s="1188"/>
      <c r="BZ540" s="1188"/>
      <c r="CA540" s="1188"/>
      <c r="CB540" s="1188"/>
      <c r="CC540" s="1188"/>
      <c r="CD540" s="1188">
        <f t="shared" si="184"/>
        <v>0</v>
      </c>
      <c r="CE540" s="1188">
        <f t="shared" si="179"/>
        <v>0</v>
      </c>
      <c r="CF540" s="1188">
        <f t="shared" si="185"/>
        <v>0</v>
      </c>
      <c r="CG540" s="1188">
        <f t="shared" si="186"/>
        <v>0</v>
      </c>
      <c r="CH540" s="1236"/>
      <c r="CI540" s="1236"/>
      <c r="CJ540" s="1236"/>
      <c r="CK540" s="1188"/>
      <c r="CL540" s="1188"/>
      <c r="CM540" s="1168"/>
      <c r="CN540" s="1168"/>
      <c r="CO540" s="1168"/>
      <c r="CP540" s="1168"/>
      <c r="CQ540" s="1168"/>
      <c r="CR540" s="1168"/>
      <c r="CS540" s="1168"/>
      <c r="CT540" s="1168"/>
      <c r="CU540" s="1168"/>
      <c r="CV540" s="1168"/>
      <c r="CW540" s="1168"/>
      <c r="CX540" s="1168"/>
      <c r="CY540" s="1168"/>
      <c r="CZ540" s="1168"/>
      <c r="DA540" s="1168"/>
      <c r="DB540" s="1168"/>
      <c r="DC540" s="1168"/>
      <c r="DD540" s="1168"/>
      <c r="DE540" s="1168"/>
      <c r="DF540" s="1168"/>
      <c r="DG540" s="1168"/>
    </row>
    <row r="541" s="1171" customFormat="1" customHeight="1" spans="1:111">
      <c r="A541" s="1340">
        <v>46171</v>
      </c>
      <c r="B541" s="1341" t="s">
        <v>2373</v>
      </c>
      <c r="C541" s="1342" t="s">
        <v>101</v>
      </c>
      <c r="D541" s="1343">
        <v>4500209731</v>
      </c>
      <c r="E541" s="1357">
        <v>21802511</v>
      </c>
      <c r="F541" s="1172" t="s">
        <v>2374</v>
      </c>
      <c r="G541" s="1359" t="s">
        <v>510</v>
      </c>
      <c r="H541" s="1342" t="s">
        <v>194</v>
      </c>
      <c r="I541" s="1344">
        <v>221</v>
      </c>
      <c r="J541" s="1342">
        <v>0</v>
      </c>
      <c r="K541" s="1342">
        <v>13</v>
      </c>
      <c r="L541" s="1345">
        <f t="shared" si="175"/>
        <v>17</v>
      </c>
      <c r="M541" s="1286">
        <v>46237</v>
      </c>
      <c r="N541" s="1361">
        <v>46238</v>
      </c>
      <c r="O541" s="1361" t="s">
        <v>2336</v>
      </c>
      <c r="P541" s="1357"/>
      <c r="Q541" s="1357" t="s">
        <v>1410</v>
      </c>
      <c r="R541" s="1342"/>
      <c r="S541" s="1342"/>
      <c r="T541" s="1357">
        <v>221</v>
      </c>
      <c r="U541" s="1233">
        <f t="shared" si="173"/>
        <v>0</v>
      </c>
      <c r="V541" s="1234"/>
      <c r="W541" s="1238">
        <v>46204</v>
      </c>
      <c r="X541" s="1257" t="s">
        <v>107</v>
      </c>
      <c r="Y541" s="1257" t="s">
        <v>2375</v>
      </c>
      <c r="Z541" s="1247" t="s">
        <v>360</v>
      </c>
      <c r="AA541" s="1247"/>
      <c r="AB541" s="1247" t="s">
        <v>2376</v>
      </c>
      <c r="AC541" s="1350" t="s">
        <v>2377</v>
      </c>
      <c r="AD541" s="1286" t="s">
        <v>2378</v>
      </c>
      <c r="AE541" s="1172">
        <v>1.124</v>
      </c>
      <c r="AF541" s="1360">
        <f>AE541*I541</f>
        <v>248.404</v>
      </c>
      <c r="AG541" s="1258"/>
      <c r="AH541" s="1253" t="s">
        <v>510</v>
      </c>
      <c r="AI541" s="1234" t="s">
        <v>112</v>
      </c>
      <c r="AJ541" s="1234" t="s">
        <v>113</v>
      </c>
      <c r="AK541" s="1188">
        <f t="shared" si="190"/>
        <v>221</v>
      </c>
      <c r="AL541" s="1172"/>
      <c r="AM541" s="1172"/>
      <c r="AN541" s="1172">
        <f t="shared" si="191"/>
        <v>221</v>
      </c>
      <c r="AO541" s="1172"/>
      <c r="AP541" s="1172"/>
      <c r="AQ541" s="1172"/>
      <c r="AR541" s="1172"/>
      <c r="AS541" s="1172"/>
      <c r="AT541" s="1172"/>
      <c r="AU541" s="1172"/>
      <c r="AV541" s="1250">
        <f>I541*0.06*2</f>
        <v>26.52</v>
      </c>
      <c r="AW541" s="1250"/>
      <c r="AX541" s="1172">
        <f>I541</f>
        <v>221</v>
      </c>
      <c r="AY541" s="1172"/>
      <c r="AZ541" s="1172"/>
      <c r="BA541" s="1172"/>
      <c r="BB541" s="1172"/>
      <c r="BC541" s="1172"/>
      <c r="BD541" s="1172"/>
      <c r="BE541" s="1172"/>
      <c r="BF541" s="1172"/>
      <c r="BG541" s="1188"/>
      <c r="BH541" s="1188"/>
      <c r="BI541" s="1172"/>
      <c r="BJ541" s="1172"/>
      <c r="BK541" s="1172"/>
      <c r="BL541" s="1172"/>
      <c r="BM541" s="1172"/>
      <c r="BN541" s="1172"/>
      <c r="BO541" s="1240"/>
      <c r="BP541" s="1172">
        <f>I541/13</f>
        <v>17</v>
      </c>
      <c r="BQ541" s="1172"/>
      <c r="BR541" s="1172"/>
      <c r="BS541" s="1172"/>
      <c r="BT541" s="1172"/>
      <c r="BU541" s="1172"/>
      <c r="BV541" s="1172"/>
      <c r="BW541" s="1172"/>
      <c r="BX541" s="1172"/>
      <c r="BY541" s="1172"/>
      <c r="BZ541" s="1172"/>
      <c r="CA541" s="1172"/>
      <c r="CB541" s="1172"/>
      <c r="CC541" s="1172"/>
      <c r="CD541" s="1188">
        <f t="shared" si="184"/>
        <v>0</v>
      </c>
      <c r="CE541" s="1188">
        <f t="shared" si="179"/>
        <v>0</v>
      </c>
      <c r="CF541" s="1188">
        <f t="shared" si="185"/>
        <v>0</v>
      </c>
      <c r="CG541" s="1188">
        <f t="shared" si="186"/>
        <v>0</v>
      </c>
      <c r="CH541" s="1188"/>
      <c r="CI541" s="1188"/>
      <c r="CJ541" s="1172"/>
      <c r="CK541" s="1172"/>
      <c r="CL541" s="1172"/>
      <c r="CM541" s="1168"/>
      <c r="CN541" s="1168"/>
      <c r="CO541" s="1168"/>
      <c r="CP541" s="1168"/>
      <c r="CQ541" s="1168"/>
      <c r="CR541" s="1168"/>
      <c r="CS541" s="1168"/>
      <c r="CT541" s="1168"/>
      <c r="CU541" s="1168"/>
      <c r="CV541" s="1168"/>
      <c r="CW541" s="1168"/>
      <c r="CX541" s="1168"/>
      <c r="CY541" s="1168"/>
      <c r="CZ541" s="1168"/>
      <c r="DA541" s="1168"/>
      <c r="DB541" s="1168"/>
      <c r="DC541" s="1168"/>
      <c r="DD541" s="1168"/>
      <c r="DE541" s="1168"/>
      <c r="DF541" s="1168"/>
      <c r="DG541" s="1168"/>
    </row>
    <row r="542" s="1168" customFormat="1" customHeight="1" spans="1:111">
      <c r="A542" s="1245">
        <v>46171</v>
      </c>
      <c r="B542" s="1247" t="s">
        <v>2379</v>
      </c>
      <c r="C542" s="1234" t="s">
        <v>508</v>
      </c>
      <c r="D542" s="1268">
        <v>4500209728</v>
      </c>
      <c r="E542" s="1233">
        <v>21802502</v>
      </c>
      <c r="F542" s="1188" t="s">
        <v>2380</v>
      </c>
      <c r="G542" s="1253" t="s">
        <v>510</v>
      </c>
      <c r="H542" s="1234" t="s">
        <v>194</v>
      </c>
      <c r="I542" s="1254">
        <v>2782</v>
      </c>
      <c r="J542" s="1234">
        <v>0</v>
      </c>
      <c r="K542" s="1234">
        <v>13</v>
      </c>
      <c r="L542" s="1246">
        <f t="shared" si="175"/>
        <v>214</v>
      </c>
      <c r="M542" s="1255">
        <v>46237</v>
      </c>
      <c r="N542" s="1320">
        <v>46238</v>
      </c>
      <c r="O542" s="1338" t="s">
        <v>2336</v>
      </c>
      <c r="P542" s="1233"/>
      <c r="Q542" s="1233" t="s">
        <v>1410</v>
      </c>
      <c r="R542" s="1234"/>
      <c r="S542" s="1234"/>
      <c r="T542" s="1233">
        <v>2782</v>
      </c>
      <c r="U542" s="1233">
        <f t="shared" si="173"/>
        <v>0</v>
      </c>
      <c r="V542" s="1234"/>
      <c r="W542" s="1238">
        <v>46204</v>
      </c>
      <c r="X542" s="1227" t="s">
        <v>107</v>
      </c>
      <c r="Y542" s="1227" t="s">
        <v>2375</v>
      </c>
      <c r="Z542" s="1247" t="s">
        <v>360</v>
      </c>
      <c r="AA542" s="1247"/>
      <c r="AB542" s="1247" t="s">
        <v>2376</v>
      </c>
      <c r="AC542" s="1321" t="s">
        <v>2381</v>
      </c>
      <c r="AD542" s="1255" t="s">
        <v>2378</v>
      </c>
      <c r="AE542" s="1188">
        <v>1.1186</v>
      </c>
      <c r="AF542" s="1248">
        <f>AE542*I542</f>
        <v>3111.9452</v>
      </c>
      <c r="AG542" s="1258"/>
      <c r="AH542" s="1253" t="s">
        <v>510</v>
      </c>
      <c r="AI542" s="1234" t="s">
        <v>112</v>
      </c>
      <c r="AJ542" s="1234" t="s">
        <v>113</v>
      </c>
      <c r="AK542" s="1188">
        <f t="shared" si="190"/>
        <v>2782</v>
      </c>
      <c r="AL542" s="1188"/>
      <c r="AM542" s="1188"/>
      <c r="AN542" s="1188">
        <f t="shared" si="191"/>
        <v>2782</v>
      </c>
      <c r="AO542" s="1188"/>
      <c r="AP542" s="1188"/>
      <c r="AQ542" s="1240"/>
      <c r="AR542" s="1188"/>
      <c r="AS542" s="1236"/>
      <c r="AT542" s="1236"/>
      <c r="AU542" s="1188"/>
      <c r="AV542" s="1250">
        <f>I542*0.06*2</f>
        <v>333.84</v>
      </c>
      <c r="AW542" s="1250"/>
      <c r="AX542" s="1188">
        <f>I542</f>
        <v>2782</v>
      </c>
      <c r="AY542" s="1188"/>
      <c r="AZ542" s="1188"/>
      <c r="BA542" s="1188"/>
      <c r="BB542" s="1188"/>
      <c r="BC542" s="1188"/>
      <c r="BD542" s="1188"/>
      <c r="BE542" s="1188"/>
      <c r="BF542" s="1188"/>
      <c r="BG542" s="1188"/>
      <c r="BH542" s="1188"/>
      <c r="BI542" s="1188"/>
      <c r="BJ542" s="1188"/>
      <c r="BK542" s="1188"/>
      <c r="BL542" s="1188"/>
      <c r="BM542" s="1188"/>
      <c r="BN542" s="1188"/>
      <c r="BO542" s="1240"/>
      <c r="BP542" s="1240">
        <f>I542/13</f>
        <v>214</v>
      </c>
      <c r="BQ542" s="1188"/>
      <c r="BR542" s="1236"/>
      <c r="BS542" s="1236"/>
      <c r="BT542" s="1188"/>
      <c r="BU542" s="1188"/>
      <c r="BV542" s="1240"/>
      <c r="BW542" s="1188"/>
      <c r="BX542" s="1188"/>
      <c r="BY542" s="1188"/>
      <c r="BZ542" s="1188"/>
      <c r="CA542" s="1188"/>
      <c r="CB542" s="1188"/>
      <c r="CC542" s="1188"/>
      <c r="CD542" s="1188">
        <f t="shared" si="184"/>
        <v>0</v>
      </c>
      <c r="CE542" s="1188">
        <f t="shared" si="179"/>
        <v>0</v>
      </c>
      <c r="CF542" s="1188">
        <f t="shared" si="185"/>
        <v>0</v>
      </c>
      <c r="CG542" s="1188">
        <f t="shared" si="186"/>
        <v>0</v>
      </c>
      <c r="CH542" s="1236"/>
      <c r="CI542" s="1236"/>
      <c r="CJ542" s="1236"/>
      <c r="CK542" s="1188"/>
      <c r="CL542" s="1188"/>
    </row>
    <row r="543" s="1168" customFormat="1" customHeight="1" spans="1:111">
      <c r="A543" s="1245">
        <v>46115</v>
      </c>
      <c r="B543" s="1247" t="s">
        <v>2382</v>
      </c>
      <c r="C543" s="1234" t="s">
        <v>201</v>
      </c>
      <c r="D543" s="1188">
        <v>4500200043</v>
      </c>
      <c r="E543" s="1233">
        <v>5730331535</v>
      </c>
      <c r="F543" s="1188" t="s">
        <v>2383</v>
      </c>
      <c r="G543" s="1253" t="s">
        <v>482</v>
      </c>
      <c r="H543" s="1234" t="s">
        <v>483</v>
      </c>
      <c r="I543" s="1254">
        <v>4320</v>
      </c>
      <c r="J543" s="1234">
        <v>0</v>
      </c>
      <c r="K543" s="1234">
        <v>120</v>
      </c>
      <c r="L543" s="1246">
        <f t="shared" si="175"/>
        <v>36</v>
      </c>
      <c r="M543" s="1255">
        <v>46238</v>
      </c>
      <c r="N543" s="1320">
        <v>46232</v>
      </c>
      <c r="O543" s="1322" t="s">
        <v>2384</v>
      </c>
      <c r="P543" s="1233" t="s">
        <v>2385</v>
      </c>
      <c r="Q543" s="1233" t="s">
        <v>1410</v>
      </c>
      <c r="R543" s="1234"/>
      <c r="S543" s="1234"/>
      <c r="T543" s="1233">
        <v>4320</v>
      </c>
      <c r="U543" s="1233">
        <f t="shared" si="173"/>
        <v>0</v>
      </c>
      <c r="V543" s="1234"/>
      <c r="W543" s="1238">
        <v>46197</v>
      </c>
      <c r="X543" s="1257" t="s">
        <v>107</v>
      </c>
      <c r="Y543" s="1257" t="s">
        <v>95</v>
      </c>
      <c r="Z543" s="1247"/>
      <c r="AA543" s="1247"/>
      <c r="AB543" s="1247"/>
      <c r="AC543" s="1247" t="s">
        <v>2386</v>
      </c>
      <c r="AD543" s="1255" t="s">
        <v>488</v>
      </c>
      <c r="AE543" s="1188">
        <v>1070</v>
      </c>
      <c r="AF543" s="1248">
        <f>I543*AE543</f>
        <v>4622400</v>
      </c>
      <c r="AG543" s="1258"/>
      <c r="AH543" s="1234" t="s">
        <v>490</v>
      </c>
      <c r="AI543" s="1234" t="s">
        <v>112</v>
      </c>
      <c r="AJ543" s="1234" t="s">
        <v>113</v>
      </c>
      <c r="AK543" s="1188"/>
      <c r="AL543" s="1188">
        <f>I543*3</f>
        <v>12960</v>
      </c>
      <c r="AM543" s="1188"/>
      <c r="AN543" s="1188"/>
      <c r="AO543" s="1188"/>
      <c r="AP543" s="1188"/>
      <c r="AQ543" s="1240"/>
      <c r="AR543" s="1188"/>
      <c r="AS543" s="1236"/>
      <c r="AT543" s="1236"/>
      <c r="AU543" s="1188"/>
      <c r="AV543" s="1250">
        <f>I543*0.06*2</f>
        <v>518.4</v>
      </c>
      <c r="AW543" s="1250"/>
      <c r="AX543" s="1188"/>
      <c r="AY543" s="1188"/>
      <c r="AZ543" s="1188"/>
      <c r="BA543" s="1188"/>
      <c r="BB543" s="1188">
        <f>I543*3</f>
        <v>12960</v>
      </c>
      <c r="BC543" s="1188">
        <f>I543*3</f>
        <v>12960</v>
      </c>
      <c r="BD543" s="1188">
        <f>I543*3</f>
        <v>12960</v>
      </c>
      <c r="BE543" s="1188">
        <f>I543</f>
        <v>4320</v>
      </c>
      <c r="BF543" s="1188">
        <f>I543/6</f>
        <v>720</v>
      </c>
      <c r="BG543" s="1188"/>
      <c r="BH543" s="1188"/>
      <c r="BI543" s="1188"/>
      <c r="BJ543" s="1188"/>
      <c r="BK543" s="1188"/>
      <c r="BL543" s="1188"/>
      <c r="BM543" s="1188"/>
      <c r="BN543" s="1188"/>
      <c r="BO543" s="1240"/>
      <c r="BP543" s="1240"/>
      <c r="BQ543" s="1188"/>
      <c r="BR543" s="1236"/>
      <c r="BS543" s="1188"/>
      <c r="BT543" s="1188"/>
      <c r="BU543" s="1188"/>
      <c r="BV543" s="1240"/>
      <c r="BW543" s="1188"/>
      <c r="BX543" s="1188"/>
      <c r="BY543" s="1188"/>
      <c r="BZ543" s="1188"/>
      <c r="CA543" s="1188"/>
      <c r="CB543" s="1188"/>
      <c r="CC543" s="1188"/>
      <c r="CD543" s="1188">
        <f t="shared" si="184"/>
        <v>0</v>
      </c>
      <c r="CE543" s="1188">
        <f t="shared" si="179"/>
        <v>0</v>
      </c>
      <c r="CF543" s="1188">
        <f t="shared" si="185"/>
        <v>0</v>
      </c>
      <c r="CG543" s="1188">
        <f t="shared" si="186"/>
        <v>0</v>
      </c>
      <c r="CH543" s="1236"/>
      <c r="CI543" s="1236"/>
      <c r="CJ543" s="1236"/>
      <c r="CK543" s="1188"/>
      <c r="CL543" s="1188"/>
    </row>
    <row r="544" s="1168" customFormat="1" customHeight="1" spans="1:111">
      <c r="A544" s="1245">
        <v>46185</v>
      </c>
      <c r="B544" s="1220" t="s">
        <v>2387</v>
      </c>
      <c r="C544" s="1221" t="s">
        <v>810</v>
      </c>
      <c r="D544" s="1303">
        <v>4500212105</v>
      </c>
      <c r="E544" s="1226">
        <v>9470</v>
      </c>
      <c r="F544" s="1222" t="s">
        <v>2388</v>
      </c>
      <c r="G544" s="1223" t="s">
        <v>188</v>
      </c>
      <c r="H544" s="1221" t="s">
        <v>138</v>
      </c>
      <c r="I544" s="1252">
        <v>500</v>
      </c>
      <c r="J544" s="1221">
        <v>0</v>
      </c>
      <c r="K544" s="1221">
        <v>50</v>
      </c>
      <c r="L544" s="1246">
        <f t="shared" si="175"/>
        <v>10</v>
      </c>
      <c r="M544" s="1225">
        <v>46238</v>
      </c>
      <c r="N544" s="1338">
        <v>46236</v>
      </c>
      <c r="O544" s="1320" t="s">
        <v>2359</v>
      </c>
      <c r="P544" s="1233"/>
      <c r="Q544" s="1233" t="s">
        <v>1410</v>
      </c>
      <c r="R544" s="1234" t="s">
        <v>2254</v>
      </c>
      <c r="S544" s="1234"/>
      <c r="T544" s="1233">
        <v>500</v>
      </c>
      <c r="U544" s="1233">
        <f t="shared" si="173"/>
        <v>0</v>
      </c>
      <c r="V544" s="1234"/>
      <c r="W544" s="1238">
        <v>46205</v>
      </c>
      <c r="X544" s="1227" t="s">
        <v>95</v>
      </c>
      <c r="Y544" s="1227" t="s">
        <v>2389</v>
      </c>
      <c r="Z544" s="1247"/>
      <c r="AA544" s="1247"/>
      <c r="AB544" s="1247"/>
      <c r="AC544" s="1220" t="s">
        <v>2390</v>
      </c>
      <c r="AD544" s="1225" t="s">
        <v>2391</v>
      </c>
      <c r="AE544" s="1188">
        <v>1.1228</v>
      </c>
      <c r="AF544" s="1248">
        <f>AE544*I544</f>
        <v>561.4</v>
      </c>
      <c r="AG544" s="1258"/>
      <c r="AH544" s="1234" t="s">
        <v>314</v>
      </c>
      <c r="AI544" s="1221" t="s">
        <v>112</v>
      </c>
      <c r="AJ544" s="1234" t="s">
        <v>113</v>
      </c>
      <c r="AK544" s="1188">
        <f>I544</f>
        <v>500</v>
      </c>
      <c r="AL544" s="1188"/>
      <c r="AM544" s="1188"/>
      <c r="AN544" s="1188"/>
      <c r="AO544" s="1188"/>
      <c r="AP544" s="1188">
        <f>I544</f>
        <v>500</v>
      </c>
      <c r="AQ544" s="1240"/>
      <c r="AR544" s="1188"/>
      <c r="AS544" s="1236"/>
      <c r="AT544" s="1236"/>
      <c r="AU544" s="1188">
        <f>I544</f>
        <v>500</v>
      </c>
      <c r="AV544" s="1250"/>
      <c r="AW544" s="1250"/>
      <c r="AX544" s="1188"/>
      <c r="AY544" s="1188"/>
      <c r="AZ544" s="1188"/>
      <c r="BA544" s="1188"/>
      <c r="BB544" s="1188"/>
      <c r="BC544" s="1188"/>
      <c r="BD544" s="1188"/>
      <c r="BE544" s="1188"/>
      <c r="BF544" s="1188"/>
      <c r="BG544" s="1188"/>
      <c r="BH544" s="1188"/>
      <c r="BI544" s="1188"/>
      <c r="BJ544" s="1188"/>
      <c r="BK544" s="1188"/>
      <c r="BL544" s="1188"/>
      <c r="BM544" s="1188"/>
      <c r="BN544" s="1222"/>
      <c r="BO544" s="1240">
        <f>I544/25</f>
        <v>20</v>
      </c>
      <c r="BP544" s="1240"/>
      <c r="BQ544" s="1188"/>
      <c r="BR544" s="1236"/>
      <c r="BS544" s="1236"/>
      <c r="BT544" s="1188"/>
      <c r="BU544" s="1188"/>
      <c r="BV544" s="1240"/>
      <c r="BW544" s="1188"/>
      <c r="BX544" s="1188"/>
      <c r="BY544" s="1188"/>
      <c r="BZ544" s="1188"/>
      <c r="CA544" s="1188"/>
      <c r="CB544" s="1188"/>
      <c r="CC544" s="1188"/>
      <c r="CD544" s="1188">
        <f t="shared" si="184"/>
        <v>20</v>
      </c>
      <c r="CE544" s="1188">
        <f t="shared" si="179"/>
        <v>0</v>
      </c>
      <c r="CF544" s="1188">
        <f t="shared" si="185"/>
        <v>0</v>
      </c>
      <c r="CG544" s="1188">
        <f t="shared" si="186"/>
        <v>0</v>
      </c>
      <c r="CH544" s="1236"/>
      <c r="CI544" s="1236"/>
      <c r="CJ544" s="1236"/>
      <c r="CK544" s="1188"/>
      <c r="CL544" s="1188"/>
      <c r="CM544" s="1260"/>
      <c r="CN544" s="1260"/>
      <c r="CO544" s="1260"/>
      <c r="CP544" s="1260"/>
      <c r="CQ544" s="1260"/>
      <c r="CR544" s="1260"/>
      <c r="CS544" s="1260"/>
      <c r="CT544" s="1260"/>
      <c r="CU544" s="1260"/>
      <c r="CV544" s="1260"/>
      <c r="CW544" s="1260"/>
      <c r="CX544" s="1260"/>
      <c r="CY544" s="1260"/>
      <c r="CZ544" s="1260"/>
      <c r="DA544" s="1260"/>
      <c r="DB544" s="1260"/>
      <c r="DC544" s="1260"/>
      <c r="DD544" s="1260"/>
      <c r="DE544" s="1260"/>
      <c r="DF544" s="1260"/>
      <c r="DG544" s="1260"/>
    </row>
    <row r="545" s="1171" customFormat="1" customHeight="1" spans="1:111">
      <c r="A545" s="1245">
        <v>46205</v>
      </c>
      <c r="B545" s="1247" t="s">
        <v>346</v>
      </c>
      <c r="C545" s="1234" t="s">
        <v>115</v>
      </c>
      <c r="D545" s="1268">
        <v>4500214817</v>
      </c>
      <c r="E545" s="1890" t="s">
        <v>2392</v>
      </c>
      <c r="F545" s="1251" t="s">
        <v>2393</v>
      </c>
      <c r="G545" s="1329" t="s">
        <v>380</v>
      </c>
      <c r="H545" s="1234" t="s">
        <v>350</v>
      </c>
      <c r="I545" s="1254">
        <v>13440</v>
      </c>
      <c r="J545" s="1234">
        <v>0</v>
      </c>
      <c r="K545" s="1264">
        <v>16</v>
      </c>
      <c r="L545" s="1377">
        <f t="shared" si="175"/>
        <v>840</v>
      </c>
      <c r="M545" s="1255">
        <v>46240</v>
      </c>
      <c r="N545" s="1320">
        <v>46244</v>
      </c>
      <c r="O545" s="1233" t="s">
        <v>2394</v>
      </c>
      <c r="P545" s="1233" t="s">
        <v>2395</v>
      </c>
      <c r="Q545" s="1233" t="s">
        <v>1410</v>
      </c>
      <c r="R545" s="1234"/>
      <c r="S545" s="1234"/>
      <c r="T545" s="1233">
        <v>13440</v>
      </c>
      <c r="U545" s="1233">
        <f t="shared" si="173"/>
        <v>0</v>
      </c>
      <c r="V545" s="1234"/>
      <c r="W545" s="1238" t="s">
        <v>1572</v>
      </c>
      <c r="X545" s="1227" t="s">
        <v>95</v>
      </c>
      <c r="Y545" s="1227" t="s">
        <v>2041</v>
      </c>
      <c r="Z545" s="1247"/>
      <c r="AA545" s="1247"/>
      <c r="AB545" s="1247"/>
      <c r="AC545" s="1247" t="s">
        <v>2396</v>
      </c>
      <c r="AD545" s="1255" t="s">
        <v>354</v>
      </c>
      <c r="AE545" s="1188">
        <v>0.6907</v>
      </c>
      <c r="AF545" s="1248">
        <f>AE545*I545</f>
        <v>9283.008</v>
      </c>
      <c r="AG545" s="1258"/>
      <c r="AH545" s="1253" t="s">
        <v>356</v>
      </c>
      <c r="AI545" s="1234" t="s">
        <v>112</v>
      </c>
      <c r="AJ545" s="1234" t="s">
        <v>113</v>
      </c>
      <c r="AK545" s="1188">
        <f>I545</f>
        <v>13440</v>
      </c>
      <c r="AL545" s="1188"/>
      <c r="AM545" s="1188"/>
      <c r="AN545" s="1188"/>
      <c r="AO545" s="1188"/>
      <c r="AP545" s="1188"/>
      <c r="AQ545" s="1240"/>
      <c r="AR545" s="1188"/>
      <c r="AS545" s="1236"/>
      <c r="AT545" s="1236">
        <f>I545</f>
        <v>13440</v>
      </c>
      <c r="AU545" s="1188">
        <f>I545</f>
        <v>13440</v>
      </c>
      <c r="AV545" s="1250"/>
      <c r="AW545" s="1250"/>
      <c r="AX545" s="1188"/>
      <c r="AY545" s="1188"/>
      <c r="AZ545" s="1188"/>
      <c r="BA545" s="1188"/>
      <c r="BB545" s="1188"/>
      <c r="BC545" s="1188"/>
      <c r="BD545" s="1188"/>
      <c r="BE545" s="1188"/>
      <c r="BF545" s="1188"/>
      <c r="BG545" s="1188"/>
      <c r="BH545" s="1188"/>
      <c r="BI545" s="1188"/>
      <c r="BJ545" s="1188"/>
      <c r="BK545" s="1188"/>
      <c r="BL545" s="1188"/>
      <c r="BM545" s="1188"/>
      <c r="BN545" s="1188"/>
      <c r="BO545" s="1240"/>
      <c r="BP545" s="1240"/>
      <c r="BQ545" s="1188"/>
      <c r="BR545" s="1236">
        <f>I545/16</f>
        <v>840</v>
      </c>
      <c r="BS545" s="1236"/>
      <c r="BT545" s="1188"/>
      <c r="BU545" s="1188"/>
      <c r="BV545" s="1240"/>
      <c r="BW545" s="1188"/>
      <c r="BX545" s="1188"/>
      <c r="BY545" s="1188"/>
      <c r="BZ545" s="1188"/>
      <c r="CA545" s="1188"/>
      <c r="CB545" s="1188"/>
      <c r="CC545" s="1188"/>
      <c r="CD545" s="1188">
        <f t="shared" si="184"/>
        <v>840</v>
      </c>
      <c r="CE545" s="1188">
        <f t="shared" si="179"/>
        <v>0</v>
      </c>
      <c r="CF545" s="1188">
        <f t="shared" si="185"/>
        <v>0</v>
      </c>
      <c r="CG545" s="1188">
        <f t="shared" si="186"/>
        <v>0</v>
      </c>
      <c r="CH545" s="1236"/>
      <c r="CI545" s="1236"/>
      <c r="CJ545" s="1236"/>
      <c r="CK545" s="1188"/>
      <c r="CL545" s="1188"/>
      <c r="CM545" s="1168"/>
      <c r="CN545" s="1168"/>
      <c r="CO545" s="1168"/>
      <c r="CP545" s="1168"/>
      <c r="CQ545" s="1168"/>
      <c r="CR545" s="1168"/>
      <c r="CS545" s="1168"/>
      <c r="CT545" s="1168"/>
      <c r="CU545" s="1168"/>
      <c r="CV545" s="1168"/>
      <c r="CW545" s="1168"/>
      <c r="CX545" s="1168"/>
      <c r="CY545" s="1168"/>
      <c r="CZ545" s="1168"/>
      <c r="DA545" s="1168"/>
      <c r="DB545" s="1168"/>
      <c r="DC545" s="1168"/>
      <c r="DD545" s="1168"/>
      <c r="DE545" s="1168"/>
      <c r="DF545" s="1168"/>
      <c r="DG545" s="1168"/>
    </row>
    <row r="546" s="1168" customFormat="1" customHeight="1" spans="1:111">
      <c r="A546" s="1245">
        <v>46205</v>
      </c>
      <c r="B546" s="1247" t="s">
        <v>346</v>
      </c>
      <c r="C546" s="1234" t="s">
        <v>115</v>
      </c>
      <c r="D546" s="1268">
        <v>4500214817</v>
      </c>
      <c r="E546" s="1890" t="s">
        <v>2397</v>
      </c>
      <c r="F546" s="1251" t="s">
        <v>2398</v>
      </c>
      <c r="G546" s="1329" t="s">
        <v>380</v>
      </c>
      <c r="H546" s="1234" t="s">
        <v>350</v>
      </c>
      <c r="I546" s="1254">
        <v>11520</v>
      </c>
      <c r="J546" s="1234">
        <v>0</v>
      </c>
      <c r="K546" s="1264">
        <v>16</v>
      </c>
      <c r="L546" s="1377">
        <f t="shared" si="175"/>
        <v>720</v>
      </c>
      <c r="M546" s="1255">
        <v>46240</v>
      </c>
      <c r="N546" s="1320">
        <v>46244</v>
      </c>
      <c r="O546" s="1233" t="s">
        <v>2394</v>
      </c>
      <c r="P546" s="1233" t="s">
        <v>2395</v>
      </c>
      <c r="Q546" s="1233" t="s">
        <v>1410</v>
      </c>
      <c r="R546" s="1234"/>
      <c r="S546" s="1234"/>
      <c r="T546" s="1233">
        <v>11520</v>
      </c>
      <c r="U546" s="1233">
        <f t="shared" si="173"/>
        <v>0</v>
      </c>
      <c r="V546" s="1234"/>
      <c r="W546" s="1238" t="s">
        <v>1572</v>
      </c>
      <c r="X546" s="1227" t="s">
        <v>95</v>
      </c>
      <c r="Y546" s="1227" t="s">
        <v>2041</v>
      </c>
      <c r="Z546" s="1247"/>
      <c r="AA546" s="1247"/>
      <c r="AB546" s="1247"/>
      <c r="AC546" s="1247" t="s">
        <v>2396</v>
      </c>
      <c r="AD546" s="1255" t="s">
        <v>354</v>
      </c>
      <c r="AE546" s="1188">
        <v>0.6907</v>
      </c>
      <c r="AF546" s="1248">
        <f>AE546*I546</f>
        <v>7956.864</v>
      </c>
      <c r="AG546" s="1258"/>
      <c r="AH546" s="1359" t="s">
        <v>356</v>
      </c>
      <c r="AI546" s="1234" t="s">
        <v>112</v>
      </c>
      <c r="AJ546" s="1234" t="s">
        <v>113</v>
      </c>
      <c r="AK546" s="1188">
        <f>I546</f>
        <v>11520</v>
      </c>
      <c r="AL546" s="1188"/>
      <c r="AM546" s="1188"/>
      <c r="AN546" s="1188"/>
      <c r="AO546" s="1188"/>
      <c r="AP546" s="1188"/>
      <c r="AQ546" s="1240"/>
      <c r="AR546" s="1188"/>
      <c r="AS546" s="1236"/>
      <c r="AT546" s="1236">
        <f>I546</f>
        <v>11520</v>
      </c>
      <c r="AU546" s="1188">
        <f>I546</f>
        <v>11520</v>
      </c>
      <c r="AV546" s="1250"/>
      <c r="AW546" s="1250"/>
      <c r="AX546" s="1188"/>
      <c r="AY546" s="1188"/>
      <c r="AZ546" s="1188"/>
      <c r="BA546" s="1188"/>
      <c r="BB546" s="1188"/>
      <c r="BC546" s="1188"/>
      <c r="BD546" s="1188"/>
      <c r="BE546" s="1188"/>
      <c r="BF546" s="1188"/>
      <c r="BG546" s="1188"/>
      <c r="BH546" s="1188"/>
      <c r="BI546" s="1188"/>
      <c r="BJ546" s="1188"/>
      <c r="BK546" s="1188"/>
      <c r="BL546" s="1188"/>
      <c r="BM546" s="1188"/>
      <c r="BN546" s="1188"/>
      <c r="BO546" s="1240"/>
      <c r="BP546" s="1240"/>
      <c r="BQ546" s="1188"/>
      <c r="BR546" s="1236">
        <f>I546/16</f>
        <v>720</v>
      </c>
      <c r="BS546" s="1236"/>
      <c r="BT546" s="1188"/>
      <c r="BU546" s="1188"/>
      <c r="BV546" s="1240"/>
      <c r="BW546" s="1188"/>
      <c r="BX546" s="1188"/>
      <c r="BY546" s="1188"/>
      <c r="BZ546" s="1188"/>
      <c r="CA546" s="1188"/>
      <c r="CB546" s="1188"/>
      <c r="CC546" s="1188"/>
      <c r="CD546" s="1188">
        <f t="shared" si="184"/>
        <v>720</v>
      </c>
      <c r="CE546" s="1188">
        <f t="shared" si="179"/>
        <v>0</v>
      </c>
      <c r="CF546" s="1188">
        <f t="shared" si="185"/>
        <v>0</v>
      </c>
      <c r="CG546" s="1188">
        <f t="shared" si="186"/>
        <v>0</v>
      </c>
      <c r="CH546" s="1236"/>
      <c r="CI546" s="1236"/>
      <c r="CJ546" s="1236"/>
      <c r="CK546" s="1188"/>
      <c r="CL546" s="1188"/>
    </row>
    <row r="547" s="1168" customFormat="1" customHeight="1" spans="1:111">
      <c r="A547" s="1245">
        <v>46205</v>
      </c>
      <c r="B547" s="1247" t="s">
        <v>346</v>
      </c>
      <c r="C547" s="1234" t="s">
        <v>115</v>
      </c>
      <c r="D547" s="1268">
        <v>4500214817</v>
      </c>
      <c r="E547" s="1890" t="s">
        <v>2399</v>
      </c>
      <c r="F547" s="1251" t="s">
        <v>2400</v>
      </c>
      <c r="G547" s="1329" t="s">
        <v>380</v>
      </c>
      <c r="H547" s="1234" t="s">
        <v>350</v>
      </c>
      <c r="I547" s="1254">
        <v>12480</v>
      </c>
      <c r="J547" s="1234">
        <v>0</v>
      </c>
      <c r="K547" s="1264">
        <v>16</v>
      </c>
      <c r="L547" s="1377">
        <f t="shared" si="175"/>
        <v>780</v>
      </c>
      <c r="M547" s="1255">
        <v>46240</v>
      </c>
      <c r="N547" s="1320">
        <v>46244</v>
      </c>
      <c r="O547" s="1233" t="s">
        <v>2394</v>
      </c>
      <c r="P547" s="1233" t="s">
        <v>2395</v>
      </c>
      <c r="Q547" s="1233" t="s">
        <v>1410</v>
      </c>
      <c r="R547" s="1234"/>
      <c r="S547" s="1234"/>
      <c r="T547" s="1233">
        <v>12480</v>
      </c>
      <c r="U547" s="1233">
        <f t="shared" si="173"/>
        <v>0</v>
      </c>
      <c r="V547" s="1234"/>
      <c r="W547" s="1238" t="s">
        <v>1572</v>
      </c>
      <c r="X547" s="1227" t="s">
        <v>95</v>
      </c>
      <c r="Y547" s="1227" t="s">
        <v>2041</v>
      </c>
      <c r="Z547" s="1247"/>
      <c r="AA547" s="1247"/>
      <c r="AB547" s="1247"/>
      <c r="AC547" s="1247" t="s">
        <v>2396</v>
      </c>
      <c r="AD547" s="1255" t="s">
        <v>354</v>
      </c>
      <c r="AE547" s="1188">
        <v>0.6907</v>
      </c>
      <c r="AF547" s="1248">
        <f>AE547*I547</f>
        <v>8619.936</v>
      </c>
      <c r="AG547" s="1258"/>
      <c r="AH547" s="1253" t="s">
        <v>356</v>
      </c>
      <c r="AI547" s="1234" t="s">
        <v>112</v>
      </c>
      <c r="AJ547" s="1234" t="s">
        <v>113</v>
      </c>
      <c r="AK547" s="1188">
        <f>I547</f>
        <v>12480</v>
      </c>
      <c r="AL547" s="1188"/>
      <c r="AM547" s="1188"/>
      <c r="AN547" s="1188"/>
      <c r="AO547" s="1188"/>
      <c r="AP547" s="1188"/>
      <c r="AQ547" s="1240"/>
      <c r="AR547" s="1188"/>
      <c r="AS547" s="1236"/>
      <c r="AT547" s="1236">
        <f>I547</f>
        <v>12480</v>
      </c>
      <c r="AU547" s="1188">
        <f>I547</f>
        <v>12480</v>
      </c>
      <c r="AV547" s="1250"/>
      <c r="AW547" s="1250"/>
      <c r="AX547" s="1188"/>
      <c r="AY547" s="1188"/>
      <c r="AZ547" s="1188"/>
      <c r="BA547" s="1188"/>
      <c r="BB547" s="1188"/>
      <c r="BC547" s="1188"/>
      <c r="BD547" s="1188"/>
      <c r="BE547" s="1188"/>
      <c r="BF547" s="1188"/>
      <c r="BG547" s="1188"/>
      <c r="BH547" s="1188"/>
      <c r="BI547" s="1188"/>
      <c r="BJ547" s="1188"/>
      <c r="BK547" s="1188"/>
      <c r="BL547" s="1188"/>
      <c r="BM547" s="1188"/>
      <c r="BN547" s="1188"/>
      <c r="BO547" s="1240"/>
      <c r="BP547" s="1240"/>
      <c r="BQ547" s="1188"/>
      <c r="BR547" s="1236">
        <f>I547/16</f>
        <v>780</v>
      </c>
      <c r="BS547" s="1236"/>
      <c r="BT547" s="1188"/>
      <c r="BU547" s="1188"/>
      <c r="BV547" s="1240"/>
      <c r="BW547" s="1188"/>
      <c r="BX547" s="1188"/>
      <c r="BY547" s="1188"/>
      <c r="BZ547" s="1188"/>
      <c r="CA547" s="1188"/>
      <c r="CB547" s="1188"/>
      <c r="CC547" s="1188"/>
      <c r="CD547" s="1188">
        <f t="shared" si="184"/>
        <v>780</v>
      </c>
      <c r="CE547" s="1188">
        <f t="shared" si="179"/>
        <v>0</v>
      </c>
      <c r="CF547" s="1188">
        <f t="shared" si="185"/>
        <v>0</v>
      </c>
      <c r="CG547" s="1188">
        <f t="shared" si="186"/>
        <v>0</v>
      </c>
      <c r="CH547" s="1236"/>
      <c r="CI547" s="1236"/>
      <c r="CJ547" s="1236"/>
      <c r="CK547" s="1188"/>
      <c r="CL547" s="1188"/>
    </row>
    <row r="548" s="1168" customFormat="1" customHeight="1" spans="1:111">
      <c r="A548" s="1245">
        <v>46205</v>
      </c>
      <c r="B548" s="1220" t="s">
        <v>346</v>
      </c>
      <c r="C548" s="1221" t="s">
        <v>115</v>
      </c>
      <c r="D548" s="1303">
        <v>4500214817</v>
      </c>
      <c r="E548" s="1892" t="s">
        <v>2401</v>
      </c>
      <c r="F548" s="1243" t="s">
        <v>2402</v>
      </c>
      <c r="G548" s="1329" t="s">
        <v>380</v>
      </c>
      <c r="H548" s="1234" t="s">
        <v>350</v>
      </c>
      <c r="I548" s="1252">
        <v>8640</v>
      </c>
      <c r="J548" s="1221">
        <v>0</v>
      </c>
      <c r="K548" s="1370">
        <v>16</v>
      </c>
      <c r="L548" s="1377">
        <f t="shared" si="175"/>
        <v>540</v>
      </c>
      <c r="M548" s="1255">
        <v>46240</v>
      </c>
      <c r="N548" s="1320">
        <v>46244</v>
      </c>
      <c r="O548" s="1233" t="s">
        <v>2394</v>
      </c>
      <c r="P548" s="1233" t="s">
        <v>2395</v>
      </c>
      <c r="Q548" s="1233" t="s">
        <v>1410</v>
      </c>
      <c r="R548" s="1234"/>
      <c r="S548" s="1234"/>
      <c r="T548" s="1233">
        <v>8640</v>
      </c>
      <c r="U548" s="1233">
        <f t="shared" si="173"/>
        <v>0</v>
      </c>
      <c r="V548" s="1234"/>
      <c r="W548" s="1256" t="s">
        <v>1572</v>
      </c>
      <c r="X548" s="1257" t="s">
        <v>95</v>
      </c>
      <c r="Y548" s="1257" t="s">
        <v>2041</v>
      </c>
      <c r="Z548" s="1247"/>
      <c r="AA548" s="1247"/>
      <c r="AB548" s="1247"/>
      <c r="AC548" s="1247" t="s">
        <v>2396</v>
      </c>
      <c r="AD548" s="1225" t="s">
        <v>354</v>
      </c>
      <c r="AE548" s="1188">
        <v>0.694</v>
      </c>
      <c r="AF548" s="1248">
        <f>AE548*I548</f>
        <v>5996.16</v>
      </c>
      <c r="AG548" s="1258"/>
      <c r="AH548" s="1253" t="s">
        <v>356</v>
      </c>
      <c r="AI548" s="1234" t="s">
        <v>112</v>
      </c>
      <c r="AJ548" s="1234" t="s">
        <v>113</v>
      </c>
      <c r="AK548" s="1188">
        <f>I548</f>
        <v>8640</v>
      </c>
      <c r="AL548" s="1188"/>
      <c r="AM548" s="1188"/>
      <c r="AN548" s="1188"/>
      <c r="AO548" s="1188"/>
      <c r="AP548" s="1188"/>
      <c r="AQ548" s="1240"/>
      <c r="AR548" s="1188"/>
      <c r="AS548" s="1236"/>
      <c r="AT548" s="1236">
        <f>I548</f>
        <v>8640</v>
      </c>
      <c r="AU548" s="1188">
        <f>I548</f>
        <v>8640</v>
      </c>
      <c r="AV548" s="1250"/>
      <c r="AW548" s="1250"/>
      <c r="AX548" s="1188"/>
      <c r="AY548" s="1188"/>
      <c r="AZ548" s="1188"/>
      <c r="BA548" s="1188"/>
      <c r="BB548" s="1188"/>
      <c r="BC548" s="1188"/>
      <c r="BD548" s="1188"/>
      <c r="BE548" s="1188"/>
      <c r="BF548" s="1188"/>
      <c r="BG548" s="1188"/>
      <c r="BH548" s="1188"/>
      <c r="BI548" s="1188"/>
      <c r="BJ548" s="1188"/>
      <c r="BK548" s="1188"/>
      <c r="BL548" s="1188"/>
      <c r="BM548" s="1188"/>
      <c r="BN548" s="1188"/>
      <c r="BO548" s="1240"/>
      <c r="BP548" s="1240"/>
      <c r="BQ548" s="1188"/>
      <c r="BR548" s="1236">
        <f>I548/16</f>
        <v>540</v>
      </c>
      <c r="BS548" s="1236"/>
      <c r="BT548" s="1188"/>
      <c r="BU548" s="1188"/>
      <c r="BV548" s="1240"/>
      <c r="BW548" s="1188"/>
      <c r="BX548" s="1188"/>
      <c r="BY548" s="1188"/>
      <c r="BZ548" s="1188"/>
      <c r="CA548" s="1188"/>
      <c r="CB548" s="1188"/>
      <c r="CC548" s="1188"/>
      <c r="CD548" s="1188">
        <f t="shared" si="184"/>
        <v>540</v>
      </c>
      <c r="CE548" s="1188">
        <f t="shared" si="179"/>
        <v>0</v>
      </c>
      <c r="CF548" s="1188">
        <f t="shared" si="185"/>
        <v>0</v>
      </c>
      <c r="CG548" s="1188">
        <f t="shared" si="186"/>
        <v>0</v>
      </c>
      <c r="CH548" s="1236"/>
      <c r="CI548" s="1236"/>
      <c r="CJ548" s="1236"/>
      <c r="CK548" s="1188"/>
      <c r="CL548" s="1188"/>
    </row>
    <row r="549" s="1168" customFormat="1" customHeight="1" spans="1:111">
      <c r="A549" s="1219">
        <v>46115</v>
      </c>
      <c r="B549" s="1220" t="s">
        <v>2382</v>
      </c>
      <c r="C549" s="1221" t="s">
        <v>201</v>
      </c>
      <c r="D549" s="1222">
        <v>4500200090</v>
      </c>
      <c r="E549" s="1226">
        <v>5730331536</v>
      </c>
      <c r="F549" s="1222" t="s">
        <v>2403</v>
      </c>
      <c r="G549" s="1223" t="s">
        <v>482</v>
      </c>
      <c r="H549" s="1234" t="s">
        <v>483</v>
      </c>
      <c r="I549" s="1252">
        <v>4320</v>
      </c>
      <c r="J549" s="1221">
        <v>0</v>
      </c>
      <c r="K549" s="1221">
        <v>120</v>
      </c>
      <c r="L549" s="1224">
        <f t="shared" si="175"/>
        <v>36</v>
      </c>
      <c r="M549" s="1338">
        <v>46241</v>
      </c>
      <c r="N549" s="1338">
        <v>46239</v>
      </c>
      <c r="O549" s="1225"/>
      <c r="P549" s="1226"/>
      <c r="Q549" s="1226" t="s">
        <v>1410</v>
      </c>
      <c r="R549" s="1221"/>
      <c r="S549" s="1221"/>
      <c r="T549" s="1226">
        <v>4320</v>
      </c>
      <c r="U549" s="1233">
        <f t="shared" si="173"/>
        <v>0</v>
      </c>
      <c r="V549" s="1221"/>
      <c r="W549" s="1238">
        <v>46197</v>
      </c>
      <c r="X549" s="1227" t="s">
        <v>107</v>
      </c>
      <c r="Y549" s="1227" t="s">
        <v>95</v>
      </c>
      <c r="Z549" s="1220"/>
      <c r="AA549" s="1220"/>
      <c r="AB549" s="1220"/>
      <c r="AC549" s="1220" t="s">
        <v>636</v>
      </c>
      <c r="AD549" s="1225" t="s">
        <v>488</v>
      </c>
      <c r="AE549" s="1222">
        <v>1070</v>
      </c>
      <c r="AF549" s="1229">
        <f>I549*AE549</f>
        <v>4622400</v>
      </c>
      <c r="AG549" s="1230"/>
      <c r="AH549" s="1221" t="s">
        <v>490</v>
      </c>
      <c r="AI549" s="1234" t="s">
        <v>112</v>
      </c>
      <c r="AJ549" s="1234" t="s">
        <v>113</v>
      </c>
      <c r="AK549" s="1222"/>
      <c r="AL549" s="1222">
        <f>I549*3</f>
        <v>12960</v>
      </c>
      <c r="AM549" s="1222"/>
      <c r="AN549" s="1222"/>
      <c r="AO549" s="1222"/>
      <c r="AP549" s="1222"/>
      <c r="AQ549" s="1242"/>
      <c r="AR549" s="1222"/>
      <c r="AS549" s="1232"/>
      <c r="AT549" s="1232"/>
      <c r="AU549" s="1222"/>
      <c r="AV549" s="1241">
        <f>I549*0.06*2</f>
        <v>518.4</v>
      </c>
      <c r="AW549" s="1241"/>
      <c r="AX549" s="1222"/>
      <c r="AY549" s="1222"/>
      <c r="AZ549" s="1222"/>
      <c r="BA549" s="1222"/>
      <c r="BB549" s="1222">
        <f>I549*3</f>
        <v>12960</v>
      </c>
      <c r="BC549" s="1222">
        <f>I549*3</f>
        <v>12960</v>
      </c>
      <c r="BD549" s="1222">
        <f>I549*3</f>
        <v>12960</v>
      </c>
      <c r="BE549" s="1222">
        <f>I549</f>
        <v>4320</v>
      </c>
      <c r="BF549" s="1222">
        <f>I549/6</f>
        <v>720</v>
      </c>
      <c r="BG549" s="1222"/>
      <c r="BH549" s="1188"/>
      <c r="BI549" s="1222"/>
      <c r="BJ549" s="1222"/>
      <c r="BK549" s="1222"/>
      <c r="BL549" s="1222"/>
      <c r="BM549" s="1222"/>
      <c r="BN549" s="1222"/>
      <c r="BO549" s="1242"/>
      <c r="BP549" s="1242"/>
      <c r="BQ549" s="1222"/>
      <c r="BR549" s="1232"/>
      <c r="BS549" s="1232"/>
      <c r="BT549" s="1222"/>
      <c r="BU549" s="1222"/>
      <c r="BV549" s="1242"/>
      <c r="BW549" s="1222"/>
      <c r="BX549" s="1222"/>
      <c r="BY549" s="1222"/>
      <c r="BZ549" s="1222"/>
      <c r="CA549" s="1222"/>
      <c r="CB549" s="1222"/>
      <c r="CC549" s="1222"/>
      <c r="CD549" s="1188">
        <f t="shared" si="184"/>
        <v>0</v>
      </c>
      <c r="CE549" s="1188">
        <f t="shared" si="179"/>
        <v>0</v>
      </c>
      <c r="CF549" s="1188">
        <f t="shared" si="185"/>
        <v>0</v>
      </c>
      <c r="CG549" s="1188">
        <f t="shared" si="186"/>
        <v>0</v>
      </c>
      <c r="CH549" s="1232"/>
      <c r="CI549" s="1232"/>
      <c r="CJ549" s="1232"/>
      <c r="CK549" s="1222"/>
      <c r="CL549" s="1222"/>
    </row>
    <row r="550" s="1169" customFormat="1" customHeight="1" spans="1:111">
      <c r="A550" s="1245">
        <v>46164</v>
      </c>
      <c r="B550" s="1247" t="s">
        <v>296</v>
      </c>
      <c r="C550" s="1234" t="s">
        <v>115</v>
      </c>
      <c r="D550" s="1268">
        <v>4500208745</v>
      </c>
      <c r="E550" s="1264">
        <v>219602801</v>
      </c>
      <c r="F550" s="1251" t="s">
        <v>2404</v>
      </c>
      <c r="G550" s="1253" t="s">
        <v>740</v>
      </c>
      <c r="H550" s="1234" t="s">
        <v>2405</v>
      </c>
      <c r="I550" s="1254">
        <v>3600</v>
      </c>
      <c r="J550" s="1234">
        <v>0</v>
      </c>
      <c r="K550" s="1234">
        <v>36</v>
      </c>
      <c r="L550" s="1234">
        <f t="shared" si="175"/>
        <v>100</v>
      </c>
      <c r="M550" s="1320">
        <v>46241</v>
      </c>
      <c r="N550" s="1320">
        <f>M550-2</f>
        <v>46239</v>
      </c>
      <c r="O550" s="1255"/>
      <c r="P550" s="1233"/>
      <c r="Q550" s="1233" t="s">
        <v>1410</v>
      </c>
      <c r="R550" s="1234" t="s">
        <v>2406</v>
      </c>
      <c r="S550" s="1234"/>
      <c r="T550" s="1233">
        <v>3600</v>
      </c>
      <c r="U550" s="1233">
        <f t="shared" ref="U550:U612" si="192">T550-I550</f>
        <v>0</v>
      </c>
      <c r="V550" s="1234"/>
      <c r="W550" s="1256">
        <v>46205</v>
      </c>
      <c r="X550" s="1257" t="s">
        <v>107</v>
      </c>
      <c r="Y550" s="1257" t="s">
        <v>2407</v>
      </c>
      <c r="Z550" s="1247"/>
      <c r="AA550" s="1247"/>
      <c r="AB550" s="1247"/>
      <c r="AC550" s="1394" t="s">
        <v>2408</v>
      </c>
      <c r="AD550" s="1255" t="s">
        <v>299</v>
      </c>
      <c r="AE550" s="1332">
        <v>64.7525</v>
      </c>
      <c r="AF550" s="1188">
        <f>AE550*L550</f>
        <v>6475.25</v>
      </c>
      <c r="AG550" s="1258"/>
      <c r="AH550" s="1234" t="s">
        <v>740</v>
      </c>
      <c r="AI550" s="1234" t="s">
        <v>112</v>
      </c>
      <c r="AJ550" s="1234" t="s">
        <v>113</v>
      </c>
      <c r="AK550" s="1188">
        <f t="shared" ref="AK550:AK556" si="193">I550</f>
        <v>3600</v>
      </c>
      <c r="AL550" s="1188"/>
      <c r="AM550" s="1188"/>
      <c r="AN550" s="1188">
        <f>I550</f>
        <v>3600</v>
      </c>
      <c r="AO550" s="1188"/>
      <c r="AP550" s="1188"/>
      <c r="AQ550" s="1240"/>
      <c r="AR550" s="1188"/>
      <c r="AS550" s="1236"/>
      <c r="AT550" s="1236"/>
      <c r="AU550" s="1188">
        <f t="shared" ref="AU550:AU556" si="194">I550</f>
        <v>3600</v>
      </c>
      <c r="AV550" s="1250">
        <f>I550*0.06*2</f>
        <v>432</v>
      </c>
      <c r="AW550" s="1250"/>
      <c r="AX550" s="1188"/>
      <c r="AY550" s="1188"/>
      <c r="AZ550" s="1188"/>
      <c r="BA550" s="1188"/>
      <c r="BB550" s="1188"/>
      <c r="BC550" s="1188"/>
      <c r="BD550" s="1188"/>
      <c r="BE550" s="1188"/>
      <c r="BF550" s="1188"/>
      <c r="BG550" s="1188"/>
      <c r="BH550" s="1188"/>
      <c r="BI550" s="1188"/>
      <c r="BJ550" s="1188"/>
      <c r="BK550" s="1188"/>
      <c r="BL550" s="1188"/>
      <c r="BM550" s="1188"/>
      <c r="BN550" s="1188"/>
      <c r="BO550" s="1240"/>
      <c r="BP550" s="1240"/>
      <c r="BQ550" s="1188"/>
      <c r="BR550" s="1236"/>
      <c r="BS550" s="1236"/>
      <c r="BT550" s="1188"/>
      <c r="BU550" s="1188"/>
      <c r="BV550" s="1240"/>
      <c r="BW550" s="1188">
        <f>L550</f>
        <v>100</v>
      </c>
      <c r="BX550" s="1188"/>
      <c r="BY550" s="1188"/>
      <c r="BZ550" s="1188"/>
      <c r="CA550" s="1188"/>
      <c r="CB550" s="1188"/>
      <c r="CC550" s="1188"/>
      <c r="CD550" s="1188">
        <f t="shared" si="184"/>
        <v>0</v>
      </c>
      <c r="CE550" s="1188">
        <f t="shared" si="179"/>
        <v>0</v>
      </c>
      <c r="CF550" s="1188">
        <f t="shared" si="185"/>
        <v>0</v>
      </c>
      <c r="CG550" s="1188">
        <f t="shared" si="186"/>
        <v>100</v>
      </c>
      <c r="CH550" s="1236"/>
      <c r="CI550" s="1236"/>
      <c r="CJ550" s="1236"/>
      <c r="CK550" s="1188"/>
      <c r="CL550" s="1188"/>
      <c r="CM550" s="1168"/>
      <c r="CN550" s="1168"/>
      <c r="CO550" s="1168"/>
      <c r="CP550" s="1168"/>
      <c r="CQ550" s="1168"/>
      <c r="CR550" s="1168"/>
      <c r="CS550" s="1168"/>
      <c r="CT550" s="1168"/>
      <c r="CU550" s="1168"/>
      <c r="CV550" s="1168"/>
      <c r="CW550" s="1168"/>
      <c r="CX550" s="1168"/>
      <c r="CY550" s="1168"/>
      <c r="CZ550" s="1168"/>
      <c r="DA550" s="1168"/>
      <c r="DB550" s="1168"/>
      <c r="DC550" s="1168"/>
      <c r="DD550" s="1168"/>
      <c r="DE550" s="1168"/>
      <c r="DF550" s="1168"/>
      <c r="DG550" s="1168"/>
    </row>
    <row r="551" s="1168" customFormat="1" customHeight="1" spans="1:111">
      <c r="A551" s="1245">
        <v>46205</v>
      </c>
      <c r="B551" s="1247" t="s">
        <v>346</v>
      </c>
      <c r="C551" s="1234" t="s">
        <v>115</v>
      </c>
      <c r="D551" s="1268">
        <v>4500214828</v>
      </c>
      <c r="E551" s="1890" t="s">
        <v>2409</v>
      </c>
      <c r="F551" s="1188" t="s">
        <v>2410</v>
      </c>
      <c r="G551" s="1329" t="s">
        <v>1016</v>
      </c>
      <c r="H551" s="1234" t="s">
        <v>350</v>
      </c>
      <c r="I551" s="1254">
        <v>13440</v>
      </c>
      <c r="J551" s="1234">
        <v>0</v>
      </c>
      <c r="K551" s="1234">
        <v>960</v>
      </c>
      <c r="L551" s="1246">
        <f t="shared" si="175"/>
        <v>14</v>
      </c>
      <c r="M551" s="1255">
        <v>46241</v>
      </c>
      <c r="N551" s="1320">
        <v>46239</v>
      </c>
      <c r="O551" s="1255"/>
      <c r="P551" s="1233" t="s">
        <v>2411</v>
      </c>
      <c r="Q551" s="1233" t="s">
        <v>1410</v>
      </c>
      <c r="R551" s="1234" t="s">
        <v>1241</v>
      </c>
      <c r="S551" s="1234"/>
      <c r="T551" s="1233">
        <v>13440</v>
      </c>
      <c r="U551" s="1233">
        <f t="shared" si="192"/>
        <v>0</v>
      </c>
      <c r="V551" s="1234" t="s">
        <v>120</v>
      </c>
      <c r="W551" s="1256" t="s">
        <v>1572</v>
      </c>
      <c r="X551" s="1227" t="s">
        <v>95</v>
      </c>
      <c r="Y551" s="1227" t="s">
        <v>2041</v>
      </c>
      <c r="Z551" s="1247"/>
      <c r="AA551" s="1247"/>
      <c r="AB551" s="1247"/>
      <c r="AC551" s="1334" t="s">
        <v>2412</v>
      </c>
      <c r="AD551" s="1255" t="s">
        <v>354</v>
      </c>
      <c r="AE551" s="1188">
        <v>665.145</v>
      </c>
      <c r="AF551" s="1248">
        <f>AE551*L551</f>
        <v>9312.03</v>
      </c>
      <c r="AG551" s="1249" t="s">
        <v>2413</v>
      </c>
      <c r="AH551" s="1253" t="s">
        <v>356</v>
      </c>
      <c r="AI551" s="1234" t="s">
        <v>112</v>
      </c>
      <c r="AJ551" s="1234" t="s">
        <v>113</v>
      </c>
      <c r="AK551" s="1188">
        <f t="shared" si="193"/>
        <v>13440</v>
      </c>
      <c r="AL551" s="1188"/>
      <c r="AM551" s="1188"/>
      <c r="AN551" s="1188"/>
      <c r="AO551" s="1188"/>
      <c r="AP551" s="1188"/>
      <c r="AQ551" s="1240"/>
      <c r="AR551" s="1188"/>
      <c r="AS551" s="1236"/>
      <c r="AT551" s="1236">
        <f>I551</f>
        <v>13440</v>
      </c>
      <c r="AU551" s="1188">
        <f t="shared" si="194"/>
        <v>13440</v>
      </c>
      <c r="AV551" s="1250"/>
      <c r="AW551" s="1250"/>
      <c r="AX551" s="1188"/>
      <c r="AY551" s="1188"/>
      <c r="AZ551" s="1188"/>
      <c r="BA551" s="1188"/>
      <c r="BB551" s="1188"/>
      <c r="BC551" s="1188"/>
      <c r="BD551" s="1188"/>
      <c r="BE551" s="1188"/>
      <c r="BF551" s="1188"/>
      <c r="BG551" s="1188"/>
      <c r="BH551" s="1188"/>
      <c r="BI551" s="1188"/>
      <c r="BJ551" s="1188"/>
      <c r="BK551" s="1188"/>
      <c r="BL551" s="1188"/>
      <c r="BM551" s="1188"/>
      <c r="BN551" s="1188"/>
      <c r="BO551" s="1240"/>
      <c r="BP551" s="1240"/>
      <c r="BQ551" s="1188"/>
      <c r="BR551" s="1236">
        <f>I551/16</f>
        <v>840</v>
      </c>
      <c r="BS551" s="1236"/>
      <c r="BT551" s="1188"/>
      <c r="BU551" s="1188"/>
      <c r="BV551" s="1240"/>
      <c r="BW551" s="1188"/>
      <c r="BX551" s="1188"/>
      <c r="BY551" s="1188"/>
      <c r="BZ551" s="1188"/>
      <c r="CA551" s="1188"/>
      <c r="CB551" s="1188"/>
      <c r="CC551" s="1188"/>
      <c r="CD551" s="1188">
        <f t="shared" si="184"/>
        <v>840</v>
      </c>
      <c r="CE551" s="1188">
        <f t="shared" si="179"/>
        <v>0</v>
      </c>
      <c r="CF551" s="1188">
        <f t="shared" si="185"/>
        <v>0</v>
      </c>
      <c r="CG551" s="1188">
        <f t="shared" si="186"/>
        <v>0</v>
      </c>
      <c r="CH551" s="1236"/>
      <c r="CI551" s="1236"/>
      <c r="CJ551" s="1236"/>
      <c r="CK551" s="1188"/>
      <c r="CL551" s="1188"/>
    </row>
    <row r="552" s="1168" customFormat="1" customHeight="1" spans="1:111">
      <c r="A552" s="1245">
        <v>46205</v>
      </c>
      <c r="B552" s="1247" t="s">
        <v>346</v>
      </c>
      <c r="C552" s="1234" t="s">
        <v>115</v>
      </c>
      <c r="D552" s="1268">
        <v>4500214828</v>
      </c>
      <c r="E552" s="1890" t="s">
        <v>2414</v>
      </c>
      <c r="F552" s="1188" t="s">
        <v>2415</v>
      </c>
      <c r="G552" s="1329" t="s">
        <v>1016</v>
      </c>
      <c r="H552" s="1234" t="s">
        <v>350</v>
      </c>
      <c r="I552" s="1254">
        <v>13440</v>
      </c>
      <c r="J552" s="1234">
        <v>0</v>
      </c>
      <c r="K552" s="1234">
        <v>960</v>
      </c>
      <c r="L552" s="1246">
        <f t="shared" si="175"/>
        <v>14</v>
      </c>
      <c r="M552" s="1255">
        <v>46241</v>
      </c>
      <c r="N552" s="1320">
        <v>46239</v>
      </c>
      <c r="O552" s="1255"/>
      <c r="P552" s="1233" t="s">
        <v>2395</v>
      </c>
      <c r="Q552" s="1233" t="s">
        <v>1410</v>
      </c>
      <c r="R552" s="1234" t="s">
        <v>1663</v>
      </c>
      <c r="S552" s="1234"/>
      <c r="T552" s="1233">
        <v>13440</v>
      </c>
      <c r="U552" s="1233">
        <f t="shared" si="192"/>
        <v>0</v>
      </c>
      <c r="V552" s="1234" t="s">
        <v>120</v>
      </c>
      <c r="W552" s="1256" t="s">
        <v>1572</v>
      </c>
      <c r="X552" s="1227" t="s">
        <v>95</v>
      </c>
      <c r="Y552" s="1227" t="s">
        <v>2041</v>
      </c>
      <c r="Z552" s="1247"/>
      <c r="AA552" s="1247"/>
      <c r="AB552" s="1247"/>
      <c r="AC552" s="1334" t="s">
        <v>2412</v>
      </c>
      <c r="AD552" s="1255" t="s">
        <v>354</v>
      </c>
      <c r="AE552" s="1188">
        <v>665.145</v>
      </c>
      <c r="AF552" s="1248">
        <f>AE552*L552</f>
        <v>9312.03</v>
      </c>
      <c r="AG552" s="1249" t="s">
        <v>2413</v>
      </c>
      <c r="AH552" s="1253" t="s">
        <v>356</v>
      </c>
      <c r="AI552" s="1234" t="s">
        <v>112</v>
      </c>
      <c r="AJ552" s="1234" t="s">
        <v>113</v>
      </c>
      <c r="AK552" s="1188">
        <f t="shared" si="193"/>
        <v>13440</v>
      </c>
      <c r="AL552" s="1188"/>
      <c r="AM552" s="1188"/>
      <c r="AN552" s="1188"/>
      <c r="AO552" s="1188"/>
      <c r="AP552" s="1188"/>
      <c r="AQ552" s="1240"/>
      <c r="AR552" s="1188"/>
      <c r="AS552" s="1236"/>
      <c r="AT552" s="1236">
        <f>I552</f>
        <v>13440</v>
      </c>
      <c r="AU552" s="1188">
        <f t="shared" si="194"/>
        <v>13440</v>
      </c>
      <c r="AV552" s="1250"/>
      <c r="AW552" s="1250"/>
      <c r="AX552" s="1188"/>
      <c r="AY552" s="1188"/>
      <c r="AZ552" s="1188"/>
      <c r="BA552" s="1188"/>
      <c r="BB552" s="1188"/>
      <c r="BC552" s="1188"/>
      <c r="BD552" s="1188"/>
      <c r="BE552" s="1188"/>
      <c r="BF552" s="1188"/>
      <c r="BG552" s="1188"/>
      <c r="BH552" s="1188"/>
      <c r="BI552" s="1188"/>
      <c r="BJ552" s="1188"/>
      <c r="BK552" s="1188"/>
      <c r="BL552" s="1188"/>
      <c r="BM552" s="1188"/>
      <c r="BN552" s="1188"/>
      <c r="BO552" s="1240"/>
      <c r="BP552" s="1240"/>
      <c r="BQ552" s="1188"/>
      <c r="BR552" s="1236">
        <f>I552/16</f>
        <v>840</v>
      </c>
      <c r="BS552" s="1236"/>
      <c r="BT552" s="1188"/>
      <c r="BU552" s="1188"/>
      <c r="BV552" s="1240"/>
      <c r="BW552" s="1188"/>
      <c r="BX552" s="1188"/>
      <c r="BY552" s="1188"/>
      <c r="BZ552" s="1188"/>
      <c r="CA552" s="1188"/>
      <c r="CB552" s="1188"/>
      <c r="CC552" s="1188"/>
      <c r="CD552" s="1188">
        <f t="shared" si="184"/>
        <v>840</v>
      </c>
      <c r="CE552" s="1188">
        <f t="shared" si="179"/>
        <v>0</v>
      </c>
      <c r="CF552" s="1188">
        <f t="shared" si="185"/>
        <v>0</v>
      </c>
      <c r="CG552" s="1188">
        <f t="shared" si="186"/>
        <v>0</v>
      </c>
      <c r="CH552" s="1236"/>
      <c r="CI552" s="1236"/>
      <c r="CJ552" s="1236"/>
      <c r="CK552" s="1188"/>
      <c r="CL552" s="1188"/>
    </row>
    <row r="553" s="1169" customFormat="1" customHeight="1" spans="1:111">
      <c r="A553" s="1245">
        <v>46129</v>
      </c>
      <c r="B553" s="1247" t="s">
        <v>257</v>
      </c>
      <c r="C553" s="1234" t="s">
        <v>148</v>
      </c>
      <c r="D553" s="1268">
        <v>4500201519</v>
      </c>
      <c r="E553" s="1233">
        <v>26000057</v>
      </c>
      <c r="F553" s="1188" t="s">
        <v>2416</v>
      </c>
      <c r="G553" s="1253" t="s">
        <v>188</v>
      </c>
      <c r="H553" s="1234" t="s">
        <v>138</v>
      </c>
      <c r="I553" s="1330">
        <v>4350</v>
      </c>
      <c r="J553" s="1234">
        <v>0</v>
      </c>
      <c r="K553" s="1234">
        <v>50</v>
      </c>
      <c r="L553" s="1377">
        <f t="shared" si="175"/>
        <v>87</v>
      </c>
      <c r="M553" s="1320">
        <v>46247</v>
      </c>
      <c r="N553" s="1320">
        <v>46244</v>
      </c>
      <c r="O553" s="1255"/>
      <c r="P553" s="1233"/>
      <c r="Q553" s="1233" t="s">
        <v>1410</v>
      </c>
      <c r="R553" s="1234"/>
      <c r="S553" s="1234"/>
      <c r="T553" s="1233">
        <v>4350</v>
      </c>
      <c r="U553" s="1233">
        <f t="shared" si="192"/>
        <v>0</v>
      </c>
      <c r="V553" s="1234"/>
      <c r="W553" s="1256" t="s">
        <v>2417</v>
      </c>
      <c r="X553" s="1257" t="s">
        <v>95</v>
      </c>
      <c r="Y553" s="1257" t="s">
        <v>2418</v>
      </c>
      <c r="Z553" s="1188" t="s">
        <v>2419</v>
      </c>
      <c r="AA553" s="1188"/>
      <c r="AB553" s="1247"/>
      <c r="AC553" s="1334" t="s">
        <v>2420</v>
      </c>
      <c r="AD553" s="1255" t="s">
        <v>263</v>
      </c>
      <c r="AE553" s="1267">
        <v>1.0647</v>
      </c>
      <c r="AF553" s="1248">
        <f>AE553*I553</f>
        <v>4631.445</v>
      </c>
      <c r="AG553" s="1258"/>
      <c r="AH553" s="1234" t="s">
        <v>314</v>
      </c>
      <c r="AI553" s="1234" t="s">
        <v>112</v>
      </c>
      <c r="AJ553" s="1234" t="s">
        <v>113</v>
      </c>
      <c r="AK553" s="1188">
        <f t="shared" si="193"/>
        <v>4350</v>
      </c>
      <c r="AL553" s="1188"/>
      <c r="AM553" s="1188"/>
      <c r="AN553" s="1188"/>
      <c r="AO553" s="1188"/>
      <c r="AP553" s="1188">
        <f>I553</f>
        <v>4350</v>
      </c>
      <c r="AQ553" s="1240"/>
      <c r="AR553" s="1188"/>
      <c r="AS553" s="1236"/>
      <c r="AT553" s="1236"/>
      <c r="AU553" s="1188">
        <f t="shared" si="194"/>
        <v>4350</v>
      </c>
      <c r="AV553" s="1250">
        <f t="shared" ref="AV553:AV558" si="195">I553*0.06*2</f>
        <v>522</v>
      </c>
      <c r="AW553" s="1250"/>
      <c r="AX553" s="1188"/>
      <c r="AY553" s="1188"/>
      <c r="AZ553" s="1188"/>
      <c r="BA553" s="1188"/>
      <c r="BB553" s="1188"/>
      <c r="BC553" s="1188"/>
      <c r="BD553" s="1188"/>
      <c r="BE553" s="1188"/>
      <c r="BF553" s="1188"/>
      <c r="BG553" s="1188"/>
      <c r="BH553" s="1188"/>
      <c r="BI553" s="1188"/>
      <c r="BJ553" s="1188"/>
      <c r="BK553" s="1188"/>
      <c r="BL553" s="1188"/>
      <c r="BM553" s="1188"/>
      <c r="BN553" s="1188"/>
      <c r="BO553" s="1240">
        <f>I553/25</f>
        <v>174</v>
      </c>
      <c r="BP553" s="1240"/>
      <c r="BQ553" s="1188"/>
      <c r="BR553" s="1236"/>
      <c r="BS553" s="1236"/>
      <c r="BT553" s="1188"/>
      <c r="BU553" s="1188"/>
      <c r="BV553" s="1240"/>
      <c r="BW553" s="1188"/>
      <c r="BX553" s="1188"/>
      <c r="BY553" s="1188"/>
      <c r="BZ553" s="1188"/>
      <c r="CA553" s="1188"/>
      <c r="CB553" s="1188"/>
      <c r="CC553" s="1188"/>
      <c r="CD553" s="1188">
        <f t="shared" si="184"/>
        <v>174</v>
      </c>
      <c r="CE553" s="1188">
        <f t="shared" si="179"/>
        <v>0</v>
      </c>
      <c r="CF553" s="1188">
        <f t="shared" si="185"/>
        <v>0</v>
      </c>
      <c r="CG553" s="1188">
        <f t="shared" si="186"/>
        <v>0</v>
      </c>
      <c r="CH553" s="1236"/>
      <c r="CI553" s="1236"/>
      <c r="CJ553" s="1236"/>
      <c r="CK553" s="1188"/>
      <c r="CL553" s="1188"/>
      <c r="CM553" s="1168"/>
      <c r="CN553" s="1168"/>
      <c r="CO553" s="1168"/>
      <c r="CP553" s="1168"/>
      <c r="CQ553" s="1168"/>
      <c r="CR553" s="1168"/>
      <c r="CS553" s="1168"/>
      <c r="CT553" s="1168"/>
      <c r="CU553" s="1168"/>
      <c r="CV553" s="1168"/>
      <c r="CW553" s="1168"/>
      <c r="CX553" s="1168"/>
      <c r="CY553" s="1168"/>
      <c r="CZ553" s="1168"/>
      <c r="DA553" s="1168"/>
      <c r="DB553" s="1168"/>
      <c r="DC553" s="1168"/>
      <c r="DD553" s="1168"/>
      <c r="DE553" s="1168"/>
      <c r="DF553" s="1168"/>
      <c r="DG553" s="1168"/>
    </row>
    <row r="554" s="1168" customFormat="1" ht="31" customHeight="1" spans="1:111">
      <c r="A554" s="1245">
        <v>46154</v>
      </c>
      <c r="B554" s="1269" t="s">
        <v>1532</v>
      </c>
      <c r="C554" s="1287" t="s">
        <v>1533</v>
      </c>
      <c r="D554" s="1270">
        <v>4500203219</v>
      </c>
      <c r="E554" s="1271" t="s">
        <v>2421</v>
      </c>
      <c r="F554" s="1270" t="s">
        <v>2422</v>
      </c>
      <c r="G554" s="1272" t="s">
        <v>188</v>
      </c>
      <c r="H554" s="1247" t="s">
        <v>138</v>
      </c>
      <c r="I554" s="1273">
        <v>650</v>
      </c>
      <c r="J554" s="1274">
        <v>0</v>
      </c>
      <c r="K554" s="1274">
        <v>50</v>
      </c>
      <c r="L554" s="1246">
        <f t="shared" si="175"/>
        <v>13</v>
      </c>
      <c r="M554" s="1255">
        <v>46223</v>
      </c>
      <c r="N554" s="1320">
        <v>46237</v>
      </c>
      <c r="O554" s="1337" t="s">
        <v>1964</v>
      </c>
      <c r="P554" s="1233"/>
      <c r="Q554" s="1233" t="s">
        <v>1410</v>
      </c>
      <c r="R554" s="1234"/>
      <c r="S554" s="1234"/>
      <c r="T554" s="1233">
        <v>650</v>
      </c>
      <c r="U554" s="1233">
        <f t="shared" si="192"/>
        <v>0</v>
      </c>
      <c r="V554" s="1234"/>
      <c r="W554" s="1238">
        <v>46189</v>
      </c>
      <c r="X554" s="1227" t="s">
        <v>95</v>
      </c>
      <c r="Y554" s="1227" t="s">
        <v>2423</v>
      </c>
      <c r="Z554" s="1247"/>
      <c r="AA554" s="1247"/>
      <c r="AB554" s="1247"/>
      <c r="AC554" s="1247" t="s">
        <v>2424</v>
      </c>
      <c r="AD554" s="1275" t="s">
        <v>1169</v>
      </c>
      <c r="AE554" s="1276">
        <v>1.1228</v>
      </c>
      <c r="AF554" s="1248">
        <f>AE554*I554</f>
        <v>729.82</v>
      </c>
      <c r="AG554" s="1258"/>
      <c r="AH554" s="1234" t="s">
        <v>314</v>
      </c>
      <c r="AI554" s="1234" t="s">
        <v>112</v>
      </c>
      <c r="AJ554" s="1234" t="s">
        <v>113</v>
      </c>
      <c r="AK554" s="1188">
        <f t="shared" si="193"/>
        <v>650</v>
      </c>
      <c r="AL554" s="1188"/>
      <c r="AM554" s="1188"/>
      <c r="AN554" s="1188"/>
      <c r="AO554" s="1188"/>
      <c r="AP554" s="1188">
        <f>I554</f>
        <v>650</v>
      </c>
      <c r="AQ554" s="1240"/>
      <c r="AR554" s="1188"/>
      <c r="AS554" s="1236"/>
      <c r="AT554" s="1236"/>
      <c r="AU554" s="1188">
        <f t="shared" si="194"/>
        <v>650</v>
      </c>
      <c r="AV554" s="1250">
        <f t="shared" si="195"/>
        <v>78</v>
      </c>
      <c r="AW554" s="1250"/>
      <c r="AX554" s="1188"/>
      <c r="AY554" s="1188"/>
      <c r="AZ554" s="1188"/>
      <c r="BA554" s="1188"/>
      <c r="BB554" s="1188"/>
      <c r="BC554" s="1188"/>
      <c r="BD554" s="1188"/>
      <c r="BE554" s="1188"/>
      <c r="BF554" s="1188"/>
      <c r="BG554" s="1188"/>
      <c r="BH554" s="1188"/>
      <c r="BI554" s="1188"/>
      <c r="BJ554" s="1188"/>
      <c r="BK554" s="1188"/>
      <c r="BL554" s="1188"/>
      <c r="BM554" s="1188"/>
      <c r="BN554" s="1188"/>
      <c r="BO554" s="1240">
        <f>I554/25</f>
        <v>26</v>
      </c>
      <c r="BP554" s="1240"/>
      <c r="BQ554" s="1188"/>
      <c r="BR554" s="1236"/>
      <c r="BS554" s="1236"/>
      <c r="BT554" s="1188"/>
      <c r="BU554" s="1188"/>
      <c r="BV554" s="1240"/>
      <c r="BW554" s="1188"/>
      <c r="BX554" s="1188"/>
      <c r="BY554" s="1188"/>
      <c r="BZ554" s="1188"/>
      <c r="CA554" s="1188"/>
      <c r="CB554" s="1188"/>
      <c r="CC554" s="1188"/>
      <c r="CD554" s="1188">
        <f t="shared" si="184"/>
        <v>26</v>
      </c>
      <c r="CE554" s="1188">
        <f t="shared" si="179"/>
        <v>0</v>
      </c>
      <c r="CF554" s="1188">
        <f t="shared" si="185"/>
        <v>0</v>
      </c>
      <c r="CG554" s="1188">
        <f t="shared" si="186"/>
        <v>0</v>
      </c>
      <c r="CH554" s="1236"/>
      <c r="CI554" s="1236"/>
      <c r="CJ554" s="1236"/>
      <c r="CK554" s="1188"/>
      <c r="CL554" s="1188"/>
    </row>
    <row r="555" s="1168" customFormat="1" customHeight="1" spans="1:111">
      <c r="A555" s="1245">
        <v>46168</v>
      </c>
      <c r="B555" s="1247" t="s">
        <v>1532</v>
      </c>
      <c r="C555" s="1234" t="s">
        <v>1533</v>
      </c>
      <c r="D555" s="1268">
        <v>4500203225</v>
      </c>
      <c r="E555" s="1234" t="s">
        <v>628</v>
      </c>
      <c r="F555" s="1188" t="s">
        <v>2425</v>
      </c>
      <c r="G555" s="1253" t="s">
        <v>702</v>
      </c>
      <c r="H555" s="1234" t="s">
        <v>151</v>
      </c>
      <c r="I555" s="1254">
        <v>1260</v>
      </c>
      <c r="J555" s="1234">
        <v>0</v>
      </c>
      <c r="K555" s="1234">
        <v>84</v>
      </c>
      <c r="L555" s="1246">
        <f t="shared" si="175"/>
        <v>15</v>
      </c>
      <c r="M555" s="1255">
        <v>46212</v>
      </c>
      <c r="N555" s="1320">
        <v>46241</v>
      </c>
      <c r="O555" s="1322" t="s">
        <v>2426</v>
      </c>
      <c r="P555" s="1233"/>
      <c r="Q555" s="1233" t="s">
        <v>1410</v>
      </c>
      <c r="R555" s="1234" t="s">
        <v>1241</v>
      </c>
      <c r="S555" s="1234"/>
      <c r="T555" s="1233"/>
      <c r="U555" s="1233">
        <f t="shared" si="192"/>
        <v>-1260</v>
      </c>
      <c r="V555" s="1234"/>
      <c r="W555" s="1238">
        <v>46178</v>
      </c>
      <c r="X555" s="1227" t="s">
        <v>95</v>
      </c>
      <c r="Y555" s="1227" t="s">
        <v>2427</v>
      </c>
      <c r="Z555" s="1247"/>
      <c r="AA555" s="1247"/>
      <c r="AB555" s="1247"/>
      <c r="AC555" s="1247" t="s">
        <v>2428</v>
      </c>
      <c r="AD555" s="1255" t="s">
        <v>1169</v>
      </c>
      <c r="AE555" s="1188">
        <v>214.994</v>
      </c>
      <c r="AF555" s="1248">
        <f>L555*AE555</f>
        <v>3224.91</v>
      </c>
      <c r="AG555" s="1258"/>
      <c r="AH555" s="1234" t="s">
        <v>1688</v>
      </c>
      <c r="AI555" s="1234" t="s">
        <v>112</v>
      </c>
      <c r="AJ555" s="1234" t="s">
        <v>113</v>
      </c>
      <c r="AK555" s="1188">
        <f t="shared" si="193"/>
        <v>1260</v>
      </c>
      <c r="AL555" s="1188"/>
      <c r="AM555" s="1188"/>
      <c r="AN555" s="1188"/>
      <c r="AO555" s="1188"/>
      <c r="AP555" s="1188">
        <f>I555</f>
        <v>1260</v>
      </c>
      <c r="AQ555" s="1240"/>
      <c r="AR555" s="1188"/>
      <c r="AS555" s="1236"/>
      <c r="AT555" s="1236"/>
      <c r="AU555" s="1188">
        <f t="shared" si="194"/>
        <v>1260</v>
      </c>
      <c r="AV555" s="1250">
        <f t="shared" si="195"/>
        <v>151.2</v>
      </c>
      <c r="AW555" s="1250"/>
      <c r="AX555" s="1188"/>
      <c r="AY555" s="1188"/>
      <c r="AZ555" s="1188"/>
      <c r="BA555" s="1188"/>
      <c r="BB555" s="1188"/>
      <c r="BC555" s="1188"/>
      <c r="BD555" s="1188"/>
      <c r="BE555" s="1188"/>
      <c r="BF555" s="1188"/>
      <c r="BG555" s="1188"/>
      <c r="BH555" s="1188"/>
      <c r="BI555" s="1188"/>
      <c r="BJ555" s="1188"/>
      <c r="BK555" s="1188"/>
      <c r="BL555" s="1188"/>
      <c r="BM555" s="1188"/>
      <c r="BN555" s="1188"/>
      <c r="BO555" s="1240"/>
      <c r="BP555" s="1240"/>
      <c r="BQ555" s="1188"/>
      <c r="BR555" s="1236"/>
      <c r="BS555" s="1236"/>
      <c r="BT555" s="1188"/>
      <c r="BU555" s="1188"/>
      <c r="BV555" s="1240"/>
      <c r="BW555" s="1188"/>
      <c r="BX555" s="1188">
        <f>I555/84</f>
        <v>15</v>
      </c>
      <c r="BY555" s="1188"/>
      <c r="BZ555" s="1188"/>
      <c r="CA555" s="1188"/>
      <c r="CB555" s="1188"/>
      <c r="CC555" s="1188"/>
      <c r="CD555" s="1188">
        <f t="shared" si="184"/>
        <v>0</v>
      </c>
      <c r="CE555" s="1188">
        <f t="shared" si="179"/>
        <v>0</v>
      </c>
      <c r="CF555" s="1188">
        <f t="shared" si="185"/>
        <v>0</v>
      </c>
      <c r="CG555" s="1188">
        <f t="shared" si="186"/>
        <v>15</v>
      </c>
      <c r="CH555" s="1236"/>
      <c r="CI555" s="1236"/>
      <c r="CJ555" s="1236"/>
      <c r="CK555" s="1188"/>
      <c r="CL555" s="1188"/>
    </row>
    <row r="556" s="1168" customFormat="1" customHeight="1" spans="1:111">
      <c r="A556" s="1245">
        <v>46134</v>
      </c>
      <c r="B556" s="1247" t="s">
        <v>1532</v>
      </c>
      <c r="C556" s="1234" t="s">
        <v>1533</v>
      </c>
      <c r="D556" s="1268">
        <v>4500203222</v>
      </c>
      <c r="E556" s="1234" t="s">
        <v>2429</v>
      </c>
      <c r="F556" s="1188" t="s">
        <v>2430</v>
      </c>
      <c r="G556" s="1253" t="s">
        <v>702</v>
      </c>
      <c r="H556" s="1234" t="s">
        <v>151</v>
      </c>
      <c r="I556" s="1330">
        <v>1092</v>
      </c>
      <c r="J556" s="1234">
        <v>0</v>
      </c>
      <c r="K556" s="1234">
        <v>84</v>
      </c>
      <c r="L556" s="1246">
        <f t="shared" si="175"/>
        <v>13</v>
      </c>
      <c r="M556" s="1255">
        <v>46223</v>
      </c>
      <c r="N556" s="1320">
        <v>46239</v>
      </c>
      <c r="O556" s="1322" t="s">
        <v>2017</v>
      </c>
      <c r="P556" s="1233"/>
      <c r="Q556" s="1233" t="s">
        <v>1410</v>
      </c>
      <c r="R556" s="1234" t="s">
        <v>2431</v>
      </c>
      <c r="S556" s="1234"/>
      <c r="T556" s="1233"/>
      <c r="U556" s="1233">
        <f t="shared" si="192"/>
        <v>-1092</v>
      </c>
      <c r="V556" s="1233"/>
      <c r="W556" s="1256">
        <v>46189</v>
      </c>
      <c r="X556" s="1257" t="s">
        <v>95</v>
      </c>
      <c r="Y556" s="1257" t="s">
        <v>1537</v>
      </c>
      <c r="Z556" s="1247"/>
      <c r="AA556" s="1247"/>
      <c r="AB556" s="1247"/>
      <c r="AC556" s="1321" t="s">
        <v>2432</v>
      </c>
      <c r="AD556" s="1255" t="s">
        <v>1169</v>
      </c>
      <c r="AE556" s="1362">
        <v>214.994</v>
      </c>
      <c r="AF556" s="1248">
        <f>L556*AE556</f>
        <v>2794.922</v>
      </c>
      <c r="AG556" s="1258"/>
      <c r="AH556" s="1234" t="s">
        <v>1688</v>
      </c>
      <c r="AI556" s="1234" t="s">
        <v>112</v>
      </c>
      <c r="AJ556" s="1234" t="s">
        <v>113</v>
      </c>
      <c r="AK556" s="1188">
        <f t="shared" si="193"/>
        <v>1092</v>
      </c>
      <c r="AL556" s="1188"/>
      <c r="AM556" s="1188"/>
      <c r="AN556" s="1188"/>
      <c r="AO556" s="1188"/>
      <c r="AP556" s="1188">
        <f>I556</f>
        <v>1092</v>
      </c>
      <c r="AQ556" s="1240"/>
      <c r="AR556" s="1188"/>
      <c r="AS556" s="1236"/>
      <c r="AT556" s="1236"/>
      <c r="AU556" s="1188">
        <f t="shared" si="194"/>
        <v>1092</v>
      </c>
      <c r="AV556" s="1250">
        <f t="shared" si="195"/>
        <v>131.04</v>
      </c>
      <c r="AW556" s="1250"/>
      <c r="AX556" s="1188"/>
      <c r="AY556" s="1188"/>
      <c r="AZ556" s="1188"/>
      <c r="BA556" s="1188"/>
      <c r="BB556" s="1188"/>
      <c r="BC556" s="1188"/>
      <c r="BD556" s="1188"/>
      <c r="BE556" s="1188"/>
      <c r="BF556" s="1188"/>
      <c r="BG556" s="1188"/>
      <c r="BH556" s="1188"/>
      <c r="BI556" s="1188"/>
      <c r="BJ556" s="1188"/>
      <c r="BK556" s="1188"/>
      <c r="BL556" s="1188"/>
      <c r="BM556" s="1188"/>
      <c r="BN556" s="1188"/>
      <c r="BO556" s="1240"/>
      <c r="BP556" s="1240"/>
      <c r="BQ556" s="1188"/>
      <c r="BR556" s="1236"/>
      <c r="BS556" s="1188"/>
      <c r="BT556" s="1188"/>
      <c r="BU556" s="1188"/>
      <c r="BV556" s="1240"/>
      <c r="BW556" s="1188"/>
      <c r="BX556" s="1188">
        <f>I556/K556</f>
        <v>13</v>
      </c>
      <c r="BY556" s="1188"/>
      <c r="BZ556" s="1188"/>
      <c r="CA556" s="1188"/>
      <c r="CB556" s="1188"/>
      <c r="CC556" s="1188"/>
      <c r="CD556" s="1188">
        <f t="shared" si="184"/>
        <v>0</v>
      </c>
      <c r="CE556" s="1188">
        <f t="shared" si="179"/>
        <v>0</v>
      </c>
      <c r="CF556" s="1188">
        <f t="shared" si="185"/>
        <v>0</v>
      </c>
      <c r="CG556" s="1188">
        <f t="shared" si="186"/>
        <v>13</v>
      </c>
      <c r="CH556" s="1236"/>
      <c r="CI556" s="1236"/>
      <c r="CJ556" s="1236"/>
      <c r="CK556" s="1188"/>
      <c r="CL556" s="1188"/>
    </row>
    <row r="557" s="1168" customFormat="1" customHeight="1" spans="1:111">
      <c r="A557" s="1245">
        <v>46148</v>
      </c>
      <c r="B557" s="1247" t="s">
        <v>1149</v>
      </c>
      <c r="C557" s="1234" t="s">
        <v>291</v>
      </c>
      <c r="D557" s="1268">
        <v>4500205047</v>
      </c>
      <c r="E557" s="1233">
        <v>62109803</v>
      </c>
      <c r="F557" s="1188" t="s">
        <v>2433</v>
      </c>
      <c r="G557" s="1253" t="s">
        <v>803</v>
      </c>
      <c r="H557" s="1234" t="s">
        <v>804</v>
      </c>
      <c r="I557" s="1254">
        <v>2004</v>
      </c>
      <c r="J557" s="1234">
        <v>0</v>
      </c>
      <c r="K557" s="1234">
        <v>6</v>
      </c>
      <c r="L557" s="1246">
        <f t="shared" si="175"/>
        <v>334</v>
      </c>
      <c r="M557" s="1255">
        <v>46223</v>
      </c>
      <c r="N557" s="1320">
        <v>46244</v>
      </c>
      <c r="O557" s="1320" t="s">
        <v>1964</v>
      </c>
      <c r="P557" s="1233" t="s">
        <v>2434</v>
      </c>
      <c r="Q557" s="1233" t="s">
        <v>1410</v>
      </c>
      <c r="R557" s="1234"/>
      <c r="S557" s="1234"/>
      <c r="T557" s="1233">
        <v>2004</v>
      </c>
      <c r="U557" s="1233">
        <f t="shared" si="192"/>
        <v>0</v>
      </c>
      <c r="V557" s="1234"/>
      <c r="W557" s="1238">
        <v>46199</v>
      </c>
      <c r="X557" s="1227" t="s">
        <v>95</v>
      </c>
      <c r="Y557" s="1227" t="s">
        <v>2435</v>
      </c>
      <c r="Z557" s="1247"/>
      <c r="AA557" s="1247"/>
      <c r="AB557" s="1247"/>
      <c r="AC557" s="1247" t="s">
        <v>2436</v>
      </c>
      <c r="AD557" s="1255" t="s">
        <v>295</v>
      </c>
      <c r="AE557" s="1188">
        <v>8.15</v>
      </c>
      <c r="AF557" s="1248">
        <f>AE557*I557</f>
        <v>16332.6</v>
      </c>
      <c r="AG557" s="1258"/>
      <c r="AH557" s="1234" t="s">
        <v>952</v>
      </c>
      <c r="AI557" s="1234" t="s">
        <v>112</v>
      </c>
      <c r="AJ557" s="1234"/>
      <c r="AK557" s="1188">
        <f>I557*2</f>
        <v>4008</v>
      </c>
      <c r="AL557" s="1188"/>
      <c r="AM557" s="1188"/>
      <c r="AN557" s="1188"/>
      <c r="AO557" s="1188"/>
      <c r="AP557" s="1188">
        <f>I557*2</f>
        <v>4008</v>
      </c>
      <c r="AQ557" s="1240"/>
      <c r="AR557" s="1188"/>
      <c r="AS557" s="1236"/>
      <c r="AT557" s="1236"/>
      <c r="AU557" s="1188">
        <f>I557*2</f>
        <v>4008</v>
      </c>
      <c r="AV557" s="1250">
        <f t="shared" si="195"/>
        <v>240.48</v>
      </c>
      <c r="AW557" s="1250"/>
      <c r="AX557" s="1188"/>
      <c r="AY557" s="1188"/>
      <c r="AZ557" s="1188"/>
      <c r="BA557" s="1188"/>
      <c r="BB557" s="1188"/>
      <c r="BC557" s="1188"/>
      <c r="BD557" s="1188"/>
      <c r="BE557" s="1188"/>
      <c r="BF557" s="1188"/>
      <c r="BG557" s="1188"/>
      <c r="BH557" s="1188"/>
      <c r="BI557" s="1188"/>
      <c r="BJ557" s="1188"/>
      <c r="BK557" s="1188"/>
      <c r="BL557" s="1188"/>
      <c r="BM557" s="1188"/>
      <c r="BN557" s="1188"/>
      <c r="BO557" s="1240"/>
      <c r="BP557" s="1240"/>
      <c r="BQ557" s="1188"/>
      <c r="BR557" s="1236"/>
      <c r="BS557" s="1236"/>
      <c r="BT557" s="1188"/>
      <c r="BU557" s="1188"/>
      <c r="BV557" s="1240"/>
      <c r="BW557" s="1188"/>
      <c r="BX557" s="1188"/>
      <c r="BY557" s="1188"/>
      <c r="BZ557" s="1188"/>
      <c r="CA557" s="1188"/>
      <c r="CB557" s="1188"/>
      <c r="CC557" s="1188"/>
      <c r="CD557" s="1188">
        <f t="shared" si="184"/>
        <v>0</v>
      </c>
      <c r="CE557" s="1188">
        <f t="shared" si="179"/>
        <v>0</v>
      </c>
      <c r="CF557" s="1188">
        <f t="shared" si="185"/>
        <v>0</v>
      </c>
      <c r="CG557" s="1188">
        <f t="shared" si="186"/>
        <v>0</v>
      </c>
      <c r="CH557" s="1236"/>
      <c r="CI557" s="1236"/>
      <c r="CJ557" s="1236"/>
      <c r="CK557" s="1188"/>
      <c r="CL557" s="1188"/>
    </row>
    <row r="558" s="1168" customFormat="1" customHeight="1" spans="1:111">
      <c r="A558" s="1245">
        <v>46177</v>
      </c>
      <c r="B558" s="1220" t="s">
        <v>2437</v>
      </c>
      <c r="C558" s="1221" t="s">
        <v>1388</v>
      </c>
      <c r="D558" s="1222">
        <v>4500210679</v>
      </c>
      <c r="E558" s="1221" t="s">
        <v>2438</v>
      </c>
      <c r="F558" s="1222" t="s">
        <v>2439</v>
      </c>
      <c r="G558" s="1223" t="s">
        <v>188</v>
      </c>
      <c r="H558" s="1221" t="s">
        <v>138</v>
      </c>
      <c r="I558" s="1252">
        <v>3600</v>
      </c>
      <c r="J558" s="1221">
        <v>0</v>
      </c>
      <c r="K558" s="1221">
        <v>50</v>
      </c>
      <c r="L558" s="1246">
        <f t="shared" si="175"/>
        <v>72</v>
      </c>
      <c r="M558" s="1225">
        <v>46224</v>
      </c>
      <c r="N558" s="1338">
        <v>46231</v>
      </c>
      <c r="O558" s="1338" t="s">
        <v>1971</v>
      </c>
      <c r="P558" s="1233"/>
      <c r="Q558" s="1233" t="s">
        <v>1410</v>
      </c>
      <c r="R558" s="1234"/>
      <c r="S558" s="1234"/>
      <c r="T558" s="1233">
        <v>3600</v>
      </c>
      <c r="U558" s="1233">
        <f t="shared" si="192"/>
        <v>0</v>
      </c>
      <c r="V558" s="1234" t="s">
        <v>120</v>
      </c>
      <c r="W558" s="1256">
        <v>46198</v>
      </c>
      <c r="X558" s="1257" t="s">
        <v>95</v>
      </c>
      <c r="Y558" s="1257" t="s">
        <v>2440</v>
      </c>
      <c r="Z558" s="1247"/>
      <c r="AA558" s="1247"/>
      <c r="AB558" s="1247"/>
      <c r="AC558" s="1220" t="s">
        <v>2441</v>
      </c>
      <c r="AD558" s="1225" t="s">
        <v>1252</v>
      </c>
      <c r="AE558" s="1188">
        <v>1.1174</v>
      </c>
      <c r="AF558" s="1248">
        <f>AE558*I558</f>
        <v>4022.64</v>
      </c>
      <c r="AG558" s="1258"/>
      <c r="AH558" s="1234" t="s">
        <v>314</v>
      </c>
      <c r="AI558" s="1234" t="s">
        <v>112</v>
      </c>
      <c r="AJ558" s="1234" t="s">
        <v>113</v>
      </c>
      <c r="AK558" s="1188">
        <f>I558</f>
        <v>3600</v>
      </c>
      <c r="AL558" s="1188"/>
      <c r="AM558" s="1188"/>
      <c r="AN558" s="1188"/>
      <c r="AO558" s="1188"/>
      <c r="AP558" s="1188">
        <f>I558</f>
        <v>3600</v>
      </c>
      <c r="AQ558" s="1240"/>
      <c r="AR558" s="1188"/>
      <c r="AS558" s="1236"/>
      <c r="AT558" s="1236"/>
      <c r="AU558" s="1188">
        <f>I558</f>
        <v>3600</v>
      </c>
      <c r="AV558" s="1250">
        <f t="shared" si="195"/>
        <v>432</v>
      </c>
      <c r="AW558" s="1250"/>
      <c r="AX558" s="1188"/>
      <c r="AY558" s="1188"/>
      <c r="AZ558" s="1188"/>
      <c r="BA558" s="1188"/>
      <c r="BB558" s="1188"/>
      <c r="BC558" s="1188"/>
      <c r="BD558" s="1188"/>
      <c r="BE558" s="1188"/>
      <c r="BF558" s="1188"/>
      <c r="BG558" s="1188"/>
      <c r="BH558" s="1188"/>
      <c r="BI558" s="1188"/>
      <c r="BJ558" s="1188"/>
      <c r="BK558" s="1188"/>
      <c r="BL558" s="1188"/>
      <c r="BM558" s="1188"/>
      <c r="BN558" s="1188"/>
      <c r="BO558" s="1240">
        <f>I558/25</f>
        <v>144</v>
      </c>
      <c r="BP558" s="1240"/>
      <c r="BQ558" s="1188"/>
      <c r="BR558" s="1236"/>
      <c r="BS558" s="1236"/>
      <c r="BT558" s="1188"/>
      <c r="BU558" s="1188"/>
      <c r="BV558" s="1240"/>
      <c r="BW558" s="1188"/>
      <c r="BX558" s="1188"/>
      <c r="BY558" s="1188"/>
      <c r="BZ558" s="1188"/>
      <c r="CA558" s="1188"/>
      <c r="CB558" s="1188"/>
      <c r="CC558" s="1188"/>
      <c r="CD558" s="1188">
        <f t="shared" si="184"/>
        <v>144</v>
      </c>
      <c r="CE558" s="1188">
        <f t="shared" si="179"/>
        <v>0</v>
      </c>
      <c r="CF558" s="1188">
        <f t="shared" si="185"/>
        <v>0</v>
      </c>
      <c r="CG558" s="1188">
        <f t="shared" si="186"/>
        <v>0</v>
      </c>
      <c r="CH558" s="1236"/>
      <c r="CI558" s="1236"/>
      <c r="CJ558" s="1236"/>
      <c r="CK558" s="1188"/>
      <c r="CL558" s="1188"/>
    </row>
    <row r="559" s="1168" customFormat="1" customHeight="1" spans="1:111">
      <c r="A559" s="1340">
        <v>46220</v>
      </c>
      <c r="B559" s="1341"/>
      <c r="C559" s="1342" t="s">
        <v>597</v>
      </c>
      <c r="D559" s="1172" t="s">
        <v>2442</v>
      </c>
      <c r="E559" s="1342"/>
      <c r="F559" s="1172" t="s">
        <v>2443</v>
      </c>
      <c r="G559" s="1359" t="s">
        <v>91</v>
      </c>
      <c r="H559" s="1342" t="s">
        <v>600</v>
      </c>
      <c r="I559" s="1344" t="s">
        <v>2444</v>
      </c>
      <c r="J559" s="1342"/>
      <c r="K559" s="1342"/>
      <c r="L559" s="1224"/>
      <c r="M559" s="1286">
        <v>46224</v>
      </c>
      <c r="N559" s="1286">
        <v>46220</v>
      </c>
      <c r="O559" s="1255"/>
      <c r="P559" s="1357"/>
      <c r="Q559" s="1233" t="s">
        <v>1410</v>
      </c>
      <c r="R559" s="1342"/>
      <c r="S559" s="1342"/>
      <c r="T559" s="1357"/>
      <c r="U559" s="1233" t="e">
        <f t="shared" si="192"/>
        <v>#VALUE!</v>
      </c>
      <c r="V559" s="1172" t="s">
        <v>95</v>
      </c>
      <c r="W559" s="1256" t="s">
        <v>94</v>
      </c>
      <c r="X559" s="1257" t="s">
        <v>95</v>
      </c>
      <c r="Y559" s="1257" t="s">
        <v>95</v>
      </c>
      <c r="Z559" s="1341"/>
      <c r="AA559" s="1341"/>
      <c r="AB559" s="1341"/>
      <c r="AC559" s="1341" t="s">
        <v>2445</v>
      </c>
      <c r="AD559" s="1286" t="s">
        <v>1191</v>
      </c>
      <c r="AE559" s="1172"/>
      <c r="AF559" s="1360"/>
      <c r="AG559" s="1258"/>
      <c r="AH559" s="1342" t="s">
        <v>99</v>
      </c>
      <c r="AI559" s="1342" t="s">
        <v>99</v>
      </c>
      <c r="AJ559" s="1234"/>
      <c r="AK559" s="1188"/>
      <c r="AL559" s="1172"/>
      <c r="AM559" s="1172"/>
      <c r="AN559" s="1172"/>
      <c r="AO559" s="1172"/>
      <c r="AP559" s="1172"/>
      <c r="AQ559" s="1172"/>
      <c r="AR559" s="1172"/>
      <c r="AS559" s="1172"/>
      <c r="AT559" s="1172"/>
      <c r="AU559" s="1172"/>
      <c r="AV559" s="1395"/>
      <c r="AW559" s="1395"/>
      <c r="AX559" s="1172"/>
      <c r="AY559" s="1172"/>
      <c r="AZ559" s="1172"/>
      <c r="BA559" s="1172"/>
      <c r="BB559" s="1172"/>
      <c r="BC559" s="1172"/>
      <c r="BD559" s="1172"/>
      <c r="BE559" s="1172"/>
      <c r="BF559" s="1172"/>
      <c r="BG559" s="1172"/>
      <c r="BH559" s="1172"/>
      <c r="BI559" s="1172"/>
      <c r="BJ559" s="1172"/>
      <c r="BK559" s="1172"/>
      <c r="BL559" s="1172"/>
      <c r="BM559" s="1172"/>
      <c r="BN559" s="1172"/>
      <c r="BO559" s="1172"/>
      <c r="BP559" s="1172"/>
      <c r="BQ559" s="1172"/>
      <c r="BR559" s="1172"/>
      <c r="BS559" s="1172"/>
      <c r="BT559" s="1172"/>
      <c r="BU559" s="1172"/>
      <c r="BV559" s="1172"/>
      <c r="BW559" s="1172"/>
      <c r="BX559" s="1172"/>
      <c r="BY559" s="1172"/>
      <c r="BZ559" s="1172"/>
      <c r="CA559" s="1172"/>
      <c r="CB559" s="1172"/>
      <c r="CC559" s="1172"/>
      <c r="CD559" s="1188">
        <f t="shared" si="184"/>
        <v>0</v>
      </c>
      <c r="CE559" s="1188">
        <f t="shared" si="179"/>
        <v>0</v>
      </c>
      <c r="CF559" s="1188">
        <f t="shared" si="185"/>
        <v>0</v>
      </c>
      <c r="CG559" s="1188">
        <f t="shared" si="186"/>
        <v>0</v>
      </c>
      <c r="CH559" s="1188"/>
      <c r="CI559" s="1188"/>
      <c r="CJ559" s="1172"/>
      <c r="CK559" s="1172"/>
      <c r="CL559" s="1172"/>
      <c r="CM559" s="1169"/>
      <c r="CN559" s="1169"/>
      <c r="CO559" s="1169"/>
      <c r="CP559" s="1169"/>
      <c r="CQ559" s="1169"/>
      <c r="CR559" s="1169"/>
      <c r="CS559" s="1169"/>
      <c r="CT559" s="1169"/>
      <c r="CU559" s="1169"/>
      <c r="CV559" s="1169"/>
      <c r="CW559" s="1169"/>
      <c r="CX559" s="1169"/>
      <c r="CY559" s="1169"/>
      <c r="CZ559" s="1169"/>
      <c r="DA559" s="1169"/>
      <c r="DB559" s="1169"/>
      <c r="DC559" s="1169"/>
      <c r="DD559" s="1169"/>
      <c r="DE559" s="1169"/>
      <c r="DF559" s="1169"/>
      <c r="DG559" s="1169"/>
    </row>
    <row r="560" s="1170" customFormat="1" customHeight="1" spans="1:111">
      <c r="A560" s="1396">
        <v>46156</v>
      </c>
      <c r="B560" s="1397" t="s">
        <v>935</v>
      </c>
      <c r="C560" s="498" t="s">
        <v>115</v>
      </c>
      <c r="D560" s="1398">
        <v>4500206879</v>
      </c>
      <c r="E560" s="500">
        <v>13760512287</v>
      </c>
      <c r="F560" s="496" t="s">
        <v>2446</v>
      </c>
      <c r="G560" s="499" t="s">
        <v>482</v>
      </c>
      <c r="H560" s="498" t="s">
        <v>483</v>
      </c>
      <c r="I560" s="1399">
        <v>4320</v>
      </c>
      <c r="J560" s="498">
        <v>0</v>
      </c>
      <c r="K560" s="498">
        <v>120</v>
      </c>
      <c r="L560" s="1400">
        <f>I560/K560</f>
        <v>36</v>
      </c>
      <c r="M560" s="495">
        <v>46224</v>
      </c>
      <c r="N560" s="1401">
        <v>46233</v>
      </c>
      <c r="O560" s="1402" t="s">
        <v>2173</v>
      </c>
      <c r="P560" s="1401"/>
      <c r="Q560" s="500"/>
      <c r="R560" s="1403"/>
      <c r="S560" s="498"/>
      <c r="T560" s="500">
        <v>4320</v>
      </c>
      <c r="U560" s="500">
        <f t="shared" si="192"/>
        <v>0</v>
      </c>
      <c r="V560" s="1403"/>
      <c r="W560" s="1404">
        <v>46155</v>
      </c>
      <c r="X560" s="1405" t="s">
        <v>107</v>
      </c>
      <c r="Y560" s="1405" t="s">
        <v>95</v>
      </c>
      <c r="Z560" s="1397"/>
      <c r="AA560" s="1397"/>
      <c r="AB560" s="1397"/>
      <c r="AC560" s="1397" t="s">
        <v>937</v>
      </c>
      <c r="AD560" s="495" t="s">
        <v>488</v>
      </c>
      <c r="AE560" s="496">
        <v>642</v>
      </c>
      <c r="AF560" s="497">
        <f>L560*AE560</f>
        <v>23112</v>
      </c>
      <c r="AG560" s="1406"/>
      <c r="AH560" s="498" t="s">
        <v>490</v>
      </c>
      <c r="AI560" s="498" t="s">
        <v>112</v>
      </c>
      <c r="AJ560" s="498" t="s">
        <v>113</v>
      </c>
      <c r="AK560" s="496"/>
      <c r="AL560" s="496">
        <f>I560*3</f>
        <v>12960</v>
      </c>
      <c r="AM560" s="496"/>
      <c r="AN560" s="496"/>
      <c r="AO560" s="496"/>
      <c r="AP560" s="496"/>
      <c r="AQ560" s="1407"/>
      <c r="AR560" s="496"/>
      <c r="AS560" s="1408"/>
      <c r="AT560" s="1408"/>
      <c r="AU560" s="496"/>
      <c r="AV560" s="1409">
        <f>I560*0.06*2</f>
        <v>518.4</v>
      </c>
      <c r="AW560" s="1409"/>
      <c r="AX560" s="496"/>
      <c r="AY560" s="496"/>
      <c r="AZ560" s="496"/>
      <c r="BA560" s="496"/>
      <c r="BB560" s="496">
        <f>I560*3</f>
        <v>12960</v>
      </c>
      <c r="BC560" s="496">
        <f>I560*3</f>
        <v>12960</v>
      </c>
      <c r="BD560" s="496">
        <f>I560*3</f>
        <v>12960</v>
      </c>
      <c r="BE560" s="496">
        <f>I560</f>
        <v>4320</v>
      </c>
      <c r="BF560" s="496">
        <f>I560/6</f>
        <v>720</v>
      </c>
      <c r="BG560" s="496"/>
      <c r="BH560" s="496"/>
      <c r="BI560" s="496"/>
      <c r="BJ560" s="496"/>
      <c r="BK560" s="496"/>
      <c r="BL560" s="496"/>
      <c r="BM560" s="496"/>
      <c r="BN560" s="496"/>
      <c r="BO560" s="1407"/>
      <c r="BP560" s="1407"/>
      <c r="BQ560" s="496"/>
      <c r="BR560" s="1408"/>
      <c r="BS560" s="1408"/>
      <c r="BT560" s="496"/>
      <c r="BU560" s="496"/>
      <c r="BV560" s="1407"/>
      <c r="BW560" s="496"/>
      <c r="BX560" s="496"/>
      <c r="BY560" s="496"/>
      <c r="BZ560" s="496"/>
      <c r="CA560" s="496"/>
      <c r="CB560" s="496"/>
      <c r="CC560" s="496"/>
      <c r="CD560" s="496">
        <f t="shared" si="184"/>
        <v>0</v>
      </c>
      <c r="CE560" s="496">
        <f t="shared" si="179"/>
        <v>0</v>
      </c>
      <c r="CF560" s="496">
        <f t="shared" si="185"/>
        <v>0</v>
      </c>
      <c r="CG560" s="496">
        <f t="shared" si="186"/>
        <v>0</v>
      </c>
      <c r="CH560" s="1408"/>
      <c r="CI560" s="1408"/>
      <c r="CJ560" s="1408"/>
      <c r="CK560" s="496"/>
      <c r="CL560" s="496"/>
    </row>
    <row r="561" s="1168" customFormat="1" customHeight="1" spans="1:111">
      <c r="A561" s="1245">
        <v>46185</v>
      </c>
      <c r="B561" s="1247"/>
      <c r="C561" s="1234" t="s">
        <v>597</v>
      </c>
      <c r="D561" s="1188" t="s">
        <v>2447</v>
      </c>
      <c r="E561" s="1234"/>
      <c r="F561" s="1188" t="s">
        <v>2448</v>
      </c>
      <c r="G561" s="1253" t="s">
        <v>490</v>
      </c>
      <c r="H561" s="1234"/>
      <c r="I561" s="1254">
        <v>40</v>
      </c>
      <c r="J561" s="1234">
        <v>0</v>
      </c>
      <c r="K561" s="1234">
        <v>120</v>
      </c>
      <c r="L561" s="1246"/>
      <c r="M561" s="1255">
        <v>46226</v>
      </c>
      <c r="N561" s="1320">
        <v>46223</v>
      </c>
      <c r="O561" s="1320"/>
      <c r="P561" s="1233"/>
      <c r="Q561" s="1233" t="s">
        <v>1410</v>
      </c>
      <c r="R561" s="1234"/>
      <c r="S561" s="1234"/>
      <c r="T561" s="1233"/>
      <c r="U561" s="1233">
        <f t="shared" si="192"/>
        <v>-40</v>
      </c>
      <c r="V561" s="1234"/>
      <c r="W561" s="1234" t="s">
        <v>94</v>
      </c>
      <c r="X561" s="1257" t="s">
        <v>95</v>
      </c>
      <c r="Y561" s="1257" t="s">
        <v>95</v>
      </c>
      <c r="Z561" s="1247"/>
      <c r="AA561" s="1247"/>
      <c r="AB561" s="1247"/>
      <c r="AC561" s="1247" t="s">
        <v>2449</v>
      </c>
      <c r="AD561" s="1255" t="s">
        <v>2450</v>
      </c>
      <c r="AE561" s="1188"/>
      <c r="AF561" s="1248"/>
      <c r="AG561" s="1258"/>
      <c r="AH561" s="1234" t="s">
        <v>99</v>
      </c>
      <c r="AI561" s="1234" t="s">
        <v>99</v>
      </c>
      <c r="AJ561" s="1234"/>
      <c r="AK561" s="1188">
        <f>I561*2</f>
        <v>80</v>
      </c>
      <c r="AL561" s="1188"/>
      <c r="AM561" s="1188"/>
      <c r="AN561" s="1188"/>
      <c r="AO561" s="1188"/>
      <c r="AP561" s="1188"/>
      <c r="AQ561" s="1240"/>
      <c r="AR561" s="1188"/>
      <c r="AS561" s="1236"/>
      <c r="AT561" s="1236"/>
      <c r="AU561" s="1188"/>
      <c r="AV561" s="1250"/>
      <c r="AW561" s="1250"/>
      <c r="AX561" s="1188"/>
      <c r="AY561" s="1188"/>
      <c r="AZ561" s="1188"/>
      <c r="BA561" s="1188"/>
      <c r="BB561" s="1188">
        <f>I561*3</f>
        <v>120</v>
      </c>
      <c r="BC561" s="1188">
        <f>I561*3</f>
        <v>120</v>
      </c>
      <c r="BD561" s="1188">
        <f>I561*3</f>
        <v>120</v>
      </c>
      <c r="BE561" s="1188">
        <f>I561</f>
        <v>40</v>
      </c>
      <c r="BF561" s="1188"/>
      <c r="BG561" s="1188"/>
      <c r="BH561" s="1188"/>
      <c r="BI561" s="1188"/>
      <c r="BJ561" s="1188"/>
      <c r="BK561" s="1188"/>
      <c r="BL561" s="1188"/>
      <c r="BM561" s="1188"/>
      <c r="BN561" s="1188"/>
      <c r="BO561" s="1240"/>
      <c r="BP561" s="1240"/>
      <c r="BQ561" s="1188"/>
      <c r="BR561" s="1236"/>
      <c r="BS561" s="1188"/>
      <c r="BT561" s="1188"/>
      <c r="BU561" s="1188"/>
      <c r="BV561" s="1240"/>
      <c r="BW561" s="1188"/>
      <c r="BX561" s="1188"/>
      <c r="BY561" s="1188"/>
      <c r="BZ561" s="1188"/>
      <c r="CA561" s="1188"/>
      <c r="CB561" s="1188"/>
      <c r="CC561" s="1188"/>
      <c r="CD561" s="1188">
        <f t="shared" si="184"/>
        <v>0</v>
      </c>
      <c r="CE561" s="1188">
        <f t="shared" si="179"/>
        <v>0</v>
      </c>
      <c r="CF561" s="1188">
        <f t="shared" si="185"/>
        <v>0</v>
      </c>
      <c r="CG561" s="1188">
        <f t="shared" si="186"/>
        <v>0</v>
      </c>
      <c r="CH561" s="1236"/>
      <c r="CI561" s="1236"/>
      <c r="CJ561" s="1236"/>
      <c r="CK561" s="1188"/>
      <c r="CL561" s="1188"/>
    </row>
    <row r="562" s="1168" customFormat="1" customHeight="1" spans="1:111">
      <c r="A562" s="1245">
        <v>46171</v>
      </c>
      <c r="B562" s="1247" t="s">
        <v>2451</v>
      </c>
      <c r="C562" s="1234" t="s">
        <v>291</v>
      </c>
      <c r="D562" s="1268">
        <v>4500209903</v>
      </c>
      <c r="E562" s="1234"/>
      <c r="F562" s="1188" t="s">
        <v>2452</v>
      </c>
      <c r="G562" s="1253" t="s">
        <v>188</v>
      </c>
      <c r="H562" s="1234" t="s">
        <v>138</v>
      </c>
      <c r="I562" s="1254">
        <v>1250</v>
      </c>
      <c r="J562" s="1234">
        <v>0</v>
      </c>
      <c r="K562" s="1234">
        <v>50</v>
      </c>
      <c r="L562" s="1246">
        <f t="shared" ref="L562:L586" si="196">I562/K562</f>
        <v>25</v>
      </c>
      <c r="M562" s="1255">
        <v>46226</v>
      </c>
      <c r="N562" s="1320">
        <v>46232</v>
      </c>
      <c r="O562" s="1338" t="s">
        <v>2151</v>
      </c>
      <c r="P562" s="1233" t="s">
        <v>2453</v>
      </c>
      <c r="Q562" s="1233" t="s">
        <v>1410</v>
      </c>
      <c r="R562" s="1234" t="s">
        <v>2454</v>
      </c>
      <c r="S562" s="1234"/>
      <c r="T562" s="1233">
        <v>1250</v>
      </c>
      <c r="U562" s="1233">
        <f t="shared" si="192"/>
        <v>0</v>
      </c>
      <c r="V562" s="1234" t="s">
        <v>120</v>
      </c>
      <c r="W562" s="1256" t="s">
        <v>1930</v>
      </c>
      <c r="X562" s="1257" t="s">
        <v>95</v>
      </c>
      <c r="Y562" s="1227" t="s">
        <v>2455</v>
      </c>
      <c r="Z562" s="1247"/>
      <c r="AA562" s="1247"/>
      <c r="AB562" s="1247"/>
      <c r="AC562" s="1321" t="s">
        <v>2456</v>
      </c>
      <c r="AD562" s="1255" t="s">
        <v>1927</v>
      </c>
      <c r="AE562" s="1188">
        <v>1.1174</v>
      </c>
      <c r="AF562" s="1248">
        <f>AE562*I562</f>
        <v>1396.75</v>
      </c>
      <c r="AG562" s="1258"/>
      <c r="AH562" s="1234" t="s">
        <v>314</v>
      </c>
      <c r="AI562" s="1234" t="s">
        <v>112</v>
      </c>
      <c r="AJ562" s="1234" t="s">
        <v>113</v>
      </c>
      <c r="AK562" s="1188">
        <f>I562</f>
        <v>1250</v>
      </c>
      <c r="AL562" s="1188"/>
      <c r="AM562" s="1188"/>
      <c r="AN562" s="1188"/>
      <c r="AO562" s="1188"/>
      <c r="AP562" s="1188">
        <f>I562</f>
        <v>1250</v>
      </c>
      <c r="AQ562" s="1240"/>
      <c r="AR562" s="1188"/>
      <c r="AS562" s="1236"/>
      <c r="AT562" s="1236"/>
      <c r="AU562" s="1188">
        <f>I562</f>
        <v>1250</v>
      </c>
      <c r="AV562" s="1250">
        <f>I562*0.06*2</f>
        <v>150</v>
      </c>
      <c r="AW562" s="1250"/>
      <c r="AX562" s="1188"/>
      <c r="AY562" s="1188"/>
      <c r="AZ562" s="1188"/>
      <c r="BA562" s="1188"/>
      <c r="BB562" s="1188"/>
      <c r="BC562" s="1188"/>
      <c r="BD562" s="1188"/>
      <c r="BE562" s="1188"/>
      <c r="BF562" s="1188"/>
      <c r="BG562" s="1188"/>
      <c r="BH562" s="1188"/>
      <c r="BI562" s="1188"/>
      <c r="BJ562" s="1188"/>
      <c r="BK562" s="1188"/>
      <c r="BL562" s="1188"/>
      <c r="BM562" s="1188"/>
      <c r="BN562" s="1188"/>
      <c r="BO562" s="1240">
        <f>I562/25</f>
        <v>50</v>
      </c>
      <c r="BP562" s="1240"/>
      <c r="BQ562" s="1188"/>
      <c r="BR562" s="1236"/>
      <c r="BS562" s="1236"/>
      <c r="BT562" s="1188"/>
      <c r="BU562" s="1188"/>
      <c r="BV562" s="1240"/>
      <c r="BW562" s="1188"/>
      <c r="BX562" s="1188"/>
      <c r="BY562" s="1188"/>
      <c r="BZ562" s="1188"/>
      <c r="CA562" s="1188"/>
      <c r="CB562" s="1188"/>
      <c r="CC562" s="1188"/>
      <c r="CD562" s="1188">
        <f t="shared" si="184"/>
        <v>50</v>
      </c>
      <c r="CE562" s="1188">
        <f t="shared" si="179"/>
        <v>0</v>
      </c>
      <c r="CF562" s="1188">
        <f t="shared" si="185"/>
        <v>0</v>
      </c>
      <c r="CG562" s="1188">
        <f t="shared" si="186"/>
        <v>0</v>
      </c>
      <c r="CH562" s="1236"/>
      <c r="CI562" s="1236"/>
      <c r="CJ562" s="1236"/>
      <c r="CK562" s="1188"/>
      <c r="CL562" s="1188"/>
    </row>
    <row r="563" s="1169" customFormat="1" customHeight="1" spans="1:111">
      <c r="A563" s="1289">
        <v>46151</v>
      </c>
      <c r="B563" s="1410" t="s">
        <v>2457</v>
      </c>
      <c r="C563" s="1411" t="s">
        <v>2458</v>
      </c>
      <c r="D563" s="1412">
        <v>4500206065</v>
      </c>
      <c r="E563" s="1410">
        <v>5000002205</v>
      </c>
      <c r="F563" s="1412" t="s">
        <v>2459</v>
      </c>
      <c r="G563" s="1413" t="s">
        <v>2460</v>
      </c>
      <c r="H563" s="544" t="s">
        <v>2461</v>
      </c>
      <c r="I563" s="1414">
        <v>15002</v>
      </c>
      <c r="J563" s="1415">
        <v>0</v>
      </c>
      <c r="K563" s="1415">
        <v>13</v>
      </c>
      <c r="L563" s="1291">
        <f t="shared" si="196"/>
        <v>1154</v>
      </c>
      <c r="M563" s="507">
        <v>46227</v>
      </c>
      <c r="N563" s="1416" t="s">
        <v>2462</v>
      </c>
      <c r="O563" s="434" t="s">
        <v>2463</v>
      </c>
      <c r="P563" s="506"/>
      <c r="Q563" s="506"/>
      <c r="R563" s="504"/>
      <c r="S563" s="504"/>
      <c r="T563" s="506"/>
      <c r="U563" s="500">
        <f t="shared" si="192"/>
        <v>-15002</v>
      </c>
      <c r="V563" s="504"/>
      <c r="W563" s="1293" t="s">
        <v>2464</v>
      </c>
      <c r="X563" s="1308" t="s">
        <v>95</v>
      </c>
      <c r="Y563" s="1308" t="s">
        <v>2465</v>
      </c>
      <c r="Z563" s="543"/>
      <c r="AA563" s="543"/>
      <c r="AB563" s="543"/>
      <c r="AC563" s="1417" t="s">
        <v>2466</v>
      </c>
      <c r="AD563" s="547" t="s">
        <v>2467</v>
      </c>
      <c r="AE563" s="548">
        <v>0.9996</v>
      </c>
      <c r="AF563" s="503">
        <f>I563*AE563</f>
        <v>14995.9992</v>
      </c>
      <c r="AG563" s="1295"/>
      <c r="AH563" s="488" t="s">
        <v>2468</v>
      </c>
      <c r="AI563" s="488" t="s">
        <v>112</v>
      </c>
      <c r="AJ563" s="504"/>
      <c r="AK563" s="502">
        <f>I563</f>
        <v>15002</v>
      </c>
      <c r="AL563" s="502"/>
      <c r="AM563" s="502"/>
      <c r="AN563" s="1418">
        <f>I563</f>
        <v>15002</v>
      </c>
      <c r="AO563" s="502"/>
      <c r="AP563" s="502"/>
      <c r="AQ563" s="1296"/>
      <c r="AR563" s="502"/>
      <c r="AS563" s="1297"/>
      <c r="AT563" s="1297"/>
      <c r="AU563" s="502"/>
      <c r="AV563" s="1298"/>
      <c r="AW563" s="1298"/>
      <c r="AX563" s="502"/>
      <c r="AY563" s="502"/>
      <c r="AZ563" s="502">
        <f>I563</f>
        <v>15002</v>
      </c>
      <c r="BA563" s="1419">
        <f>I563/36</f>
        <v>416.722222222222</v>
      </c>
      <c r="BB563" s="502"/>
      <c r="BC563" s="502"/>
      <c r="BD563" s="502"/>
      <c r="BE563" s="502"/>
      <c r="BF563" s="502"/>
      <c r="BG563" s="502"/>
      <c r="BH563" s="502"/>
      <c r="BI563" s="502"/>
      <c r="BJ563" s="502"/>
      <c r="BK563" s="1420">
        <f>I563/13</f>
        <v>1154</v>
      </c>
      <c r="BL563" s="502"/>
      <c r="BM563" s="502"/>
      <c r="BN563" s="502"/>
      <c r="BO563" s="1296"/>
      <c r="BP563" s="1296"/>
      <c r="BQ563" s="502"/>
      <c r="BR563" s="1297"/>
      <c r="BS563" s="1297"/>
      <c r="BT563" s="502"/>
      <c r="BU563" s="502"/>
      <c r="BV563" s="1296"/>
      <c r="BW563" s="502"/>
      <c r="BX563" s="502"/>
      <c r="BY563" s="502"/>
      <c r="BZ563" s="502"/>
      <c r="CA563" s="502"/>
      <c r="CB563" s="502"/>
      <c r="CC563" s="1218"/>
      <c r="CD563" s="1218">
        <f t="shared" si="184"/>
        <v>0</v>
      </c>
      <c r="CE563" s="1218">
        <f t="shared" si="179"/>
        <v>0</v>
      </c>
      <c r="CF563" s="502">
        <f t="shared" si="185"/>
        <v>0</v>
      </c>
      <c r="CG563" s="1218">
        <f t="shared" si="186"/>
        <v>0</v>
      </c>
      <c r="CH563" s="1299"/>
      <c r="CI563" s="1299"/>
      <c r="CJ563" s="1297"/>
      <c r="CK563" s="502"/>
      <c r="CL563" s="502"/>
      <c r="CM563" s="293"/>
      <c r="CN563" s="293"/>
      <c r="CO563" s="293"/>
      <c r="CP563" s="293"/>
      <c r="CQ563" s="293"/>
      <c r="CR563" s="293"/>
      <c r="CS563" s="293"/>
      <c r="CT563" s="293"/>
      <c r="CU563" s="293"/>
      <c r="CV563" s="293"/>
      <c r="CW563" s="293"/>
      <c r="CX563" s="293"/>
      <c r="CY563" s="293"/>
      <c r="CZ563" s="293"/>
      <c r="DA563" s="293"/>
      <c r="DB563" s="293"/>
      <c r="DC563" s="293"/>
      <c r="DD563" s="293"/>
      <c r="DE563" s="293"/>
      <c r="DF563" s="293"/>
      <c r="DG563" s="293"/>
    </row>
    <row r="564" s="1168" customFormat="1" customHeight="1" spans="1:111">
      <c r="A564" s="1289">
        <v>46151</v>
      </c>
      <c r="B564" s="1421" t="s">
        <v>2457</v>
      </c>
      <c r="C564" s="1422" t="s">
        <v>2458</v>
      </c>
      <c r="D564" s="1423">
        <v>4500206065</v>
      </c>
      <c r="E564" s="1421">
        <v>5000002205</v>
      </c>
      <c r="F564" s="1423" t="s">
        <v>2469</v>
      </c>
      <c r="G564" s="1424" t="s">
        <v>2460</v>
      </c>
      <c r="H564" s="544" t="s">
        <v>2461</v>
      </c>
      <c r="I564" s="1425">
        <v>1560</v>
      </c>
      <c r="J564" s="1426">
        <v>0</v>
      </c>
      <c r="K564" s="1426">
        <v>13</v>
      </c>
      <c r="L564" s="1291">
        <f t="shared" si="196"/>
        <v>120</v>
      </c>
      <c r="M564" s="501">
        <v>46227</v>
      </c>
      <c r="N564" s="1323" t="s">
        <v>2462</v>
      </c>
      <c r="O564" s="434" t="s">
        <v>2463</v>
      </c>
      <c r="P564" s="506"/>
      <c r="Q564" s="506"/>
      <c r="R564" s="504"/>
      <c r="S564" s="504"/>
      <c r="T564" s="506"/>
      <c r="U564" s="500">
        <f t="shared" si="192"/>
        <v>-1560</v>
      </c>
      <c r="V564" s="504"/>
      <c r="W564" s="1293" t="s">
        <v>2464</v>
      </c>
      <c r="X564" s="1325" t="s">
        <v>95</v>
      </c>
      <c r="Y564" s="1325" t="s">
        <v>2465</v>
      </c>
      <c r="Z564" s="543"/>
      <c r="AA564" s="543"/>
      <c r="AB564" s="543"/>
      <c r="AC564" s="543" t="s">
        <v>2466</v>
      </c>
      <c r="AD564" s="1427" t="s">
        <v>2467</v>
      </c>
      <c r="AE564" s="548">
        <v>0.9996</v>
      </c>
      <c r="AF564" s="503">
        <f>I564*AE564</f>
        <v>1559.376</v>
      </c>
      <c r="AG564" s="1295"/>
      <c r="AH564" s="488" t="s">
        <v>2468</v>
      </c>
      <c r="AI564" s="488" t="s">
        <v>112</v>
      </c>
      <c r="AJ564" s="504"/>
      <c r="AK564" s="502">
        <f>I564</f>
        <v>1560</v>
      </c>
      <c r="AL564" s="502"/>
      <c r="AM564" s="502"/>
      <c r="AN564" s="1418">
        <f>I564</f>
        <v>1560</v>
      </c>
      <c r="AO564" s="502"/>
      <c r="AP564" s="502"/>
      <c r="AQ564" s="1296"/>
      <c r="AR564" s="502"/>
      <c r="AS564" s="1297"/>
      <c r="AT564" s="1297"/>
      <c r="AU564" s="502"/>
      <c r="AV564" s="1298"/>
      <c r="AW564" s="1298"/>
      <c r="AX564" s="502"/>
      <c r="AY564" s="502"/>
      <c r="AZ564" s="502">
        <f>I564</f>
        <v>1560</v>
      </c>
      <c r="BA564" s="1419">
        <f>I564/36</f>
        <v>43.3333333333333</v>
      </c>
      <c r="BB564" s="502"/>
      <c r="BC564" s="502"/>
      <c r="BD564" s="502"/>
      <c r="BE564" s="502"/>
      <c r="BF564" s="502"/>
      <c r="BG564" s="502"/>
      <c r="BH564" s="502"/>
      <c r="BI564" s="502"/>
      <c r="BJ564" s="502"/>
      <c r="BK564" s="1420">
        <f>I564/13</f>
        <v>120</v>
      </c>
      <c r="BL564" s="502"/>
      <c r="BM564" s="502"/>
      <c r="BN564" s="502"/>
      <c r="BO564" s="1296"/>
      <c r="BP564" s="1296"/>
      <c r="BQ564" s="502"/>
      <c r="BR564" s="1297"/>
      <c r="BS564" s="1297"/>
      <c r="BT564" s="502"/>
      <c r="BU564" s="502"/>
      <c r="BV564" s="1296"/>
      <c r="BW564" s="502"/>
      <c r="BX564" s="502"/>
      <c r="BY564" s="502"/>
      <c r="BZ564" s="502"/>
      <c r="CA564" s="502"/>
      <c r="CB564" s="502"/>
      <c r="CC564" s="1218"/>
      <c r="CD564" s="1218">
        <f t="shared" si="184"/>
        <v>0</v>
      </c>
      <c r="CE564" s="1218">
        <f t="shared" si="179"/>
        <v>0</v>
      </c>
      <c r="CF564" s="502">
        <f t="shared" si="185"/>
        <v>0</v>
      </c>
      <c r="CG564" s="1218">
        <f t="shared" si="186"/>
        <v>0</v>
      </c>
      <c r="CH564" s="1299"/>
      <c r="CI564" s="1299"/>
      <c r="CJ564" s="1297"/>
      <c r="CK564" s="502"/>
      <c r="CL564" s="502"/>
      <c r="CM564" s="293"/>
      <c r="CN564" s="293"/>
      <c r="CO564" s="293"/>
      <c r="CP564" s="293"/>
      <c r="CQ564" s="293"/>
      <c r="CR564" s="293"/>
      <c r="CS564" s="293"/>
      <c r="CT564" s="293"/>
      <c r="CU564" s="293"/>
      <c r="CV564" s="293"/>
      <c r="CW564" s="293"/>
      <c r="CX564" s="293"/>
      <c r="CY564" s="293"/>
      <c r="CZ564" s="293"/>
      <c r="DA564" s="293"/>
      <c r="DB564" s="293"/>
      <c r="DC564" s="293"/>
      <c r="DD564" s="293"/>
      <c r="DE564" s="293"/>
      <c r="DF564" s="293"/>
      <c r="DG564" s="293"/>
    </row>
    <row r="565" s="1168" customFormat="1" customHeight="1" spans="1:111">
      <c r="A565" s="1245">
        <v>46148</v>
      </c>
      <c r="B565" s="1247" t="s">
        <v>626</v>
      </c>
      <c r="C565" s="1234" t="s">
        <v>627</v>
      </c>
      <c r="D565" s="1268">
        <v>4500204906</v>
      </c>
      <c r="E565" s="1234" t="s">
        <v>628</v>
      </c>
      <c r="F565" s="1188" t="s">
        <v>2470</v>
      </c>
      <c r="G565" s="1253" t="s">
        <v>188</v>
      </c>
      <c r="H565" s="1234" t="s">
        <v>138</v>
      </c>
      <c r="I565" s="1254">
        <v>4000</v>
      </c>
      <c r="J565" s="1234">
        <v>0</v>
      </c>
      <c r="K565" s="1234">
        <v>50</v>
      </c>
      <c r="L565" s="1246">
        <f t="shared" si="196"/>
        <v>80</v>
      </c>
      <c r="M565" s="1255">
        <v>46227</v>
      </c>
      <c r="N565" s="1320">
        <v>46232</v>
      </c>
      <c r="O565" s="1320" t="s">
        <v>2151</v>
      </c>
      <c r="P565" s="1233"/>
      <c r="Q565" s="1233" t="s">
        <v>1410</v>
      </c>
      <c r="R565" s="1234" t="s">
        <v>2254</v>
      </c>
      <c r="S565" s="1234"/>
      <c r="T565" s="1233">
        <v>4000</v>
      </c>
      <c r="U565" s="1233">
        <f t="shared" si="192"/>
        <v>0</v>
      </c>
      <c r="V565" s="1234" t="s">
        <v>120</v>
      </c>
      <c r="W565" s="1238">
        <v>46198</v>
      </c>
      <c r="X565" s="1227" t="s">
        <v>95</v>
      </c>
      <c r="Y565" s="1227" t="s">
        <v>2471</v>
      </c>
      <c r="Z565" s="1247"/>
      <c r="AA565" s="1247"/>
      <c r="AB565" s="1247"/>
      <c r="AC565" s="1334" t="s">
        <v>2472</v>
      </c>
      <c r="AD565" s="1255" t="s">
        <v>295</v>
      </c>
      <c r="AE565" s="1188">
        <v>1.089</v>
      </c>
      <c r="AF565" s="1248">
        <f>AE565*I565</f>
        <v>4356</v>
      </c>
      <c r="AG565" s="1258"/>
      <c r="AH565" s="1234" t="s">
        <v>314</v>
      </c>
      <c r="AI565" s="1234" t="s">
        <v>112</v>
      </c>
      <c r="AJ565" s="1234" t="s">
        <v>113</v>
      </c>
      <c r="AK565" s="1188">
        <f>I565</f>
        <v>4000</v>
      </c>
      <c r="AL565" s="1188"/>
      <c r="AM565" s="1188"/>
      <c r="AN565" s="1188"/>
      <c r="AO565" s="1188"/>
      <c r="AP565" s="1188">
        <f>I565</f>
        <v>4000</v>
      </c>
      <c r="AQ565" s="1240"/>
      <c r="AR565" s="1188"/>
      <c r="AS565" s="1236"/>
      <c r="AT565" s="1236"/>
      <c r="AU565" s="1188">
        <f>I565</f>
        <v>4000</v>
      </c>
      <c r="AV565" s="1250">
        <f t="shared" ref="AV565:AV572" si="197">I565*0.06*2</f>
        <v>480</v>
      </c>
      <c r="AW565" s="1250"/>
      <c r="AX565" s="1188"/>
      <c r="AY565" s="1188"/>
      <c r="AZ565" s="1188"/>
      <c r="BA565" s="1188"/>
      <c r="BB565" s="1188"/>
      <c r="BC565" s="1188"/>
      <c r="BD565" s="1188"/>
      <c r="BE565" s="1188"/>
      <c r="BF565" s="1188"/>
      <c r="BG565" s="1188"/>
      <c r="BH565" s="1188"/>
      <c r="BI565" s="1188"/>
      <c r="BJ565" s="1188"/>
      <c r="BK565" s="1188"/>
      <c r="BL565" s="1188"/>
      <c r="BM565" s="1188"/>
      <c r="BN565" s="1188"/>
      <c r="BO565" s="1240">
        <f>I565/25</f>
        <v>160</v>
      </c>
      <c r="BP565" s="1240"/>
      <c r="BQ565" s="1188"/>
      <c r="BR565" s="1236"/>
      <c r="BS565" s="1236"/>
      <c r="BT565" s="1188"/>
      <c r="BU565" s="1188"/>
      <c r="BV565" s="1240"/>
      <c r="BW565" s="1188"/>
      <c r="BX565" s="1188"/>
      <c r="BY565" s="1188"/>
      <c r="BZ565" s="1188"/>
      <c r="CA565" s="1188"/>
      <c r="CB565" s="1188"/>
      <c r="CC565" s="1188"/>
      <c r="CD565" s="1188">
        <f t="shared" si="184"/>
        <v>160</v>
      </c>
      <c r="CE565" s="1188">
        <f t="shared" si="179"/>
        <v>0</v>
      </c>
      <c r="CF565" s="1188">
        <f t="shared" si="185"/>
        <v>0</v>
      </c>
      <c r="CG565" s="1188">
        <f t="shared" si="186"/>
        <v>0</v>
      </c>
      <c r="CH565" s="1236"/>
      <c r="CI565" s="1236"/>
      <c r="CJ565" s="1236"/>
      <c r="CK565" s="1188"/>
      <c r="CL565" s="1188"/>
    </row>
    <row r="566" s="1168" customFormat="1" customHeight="1" spans="1:111">
      <c r="A566" s="1245">
        <v>46142</v>
      </c>
      <c r="B566" s="1247" t="s">
        <v>2473</v>
      </c>
      <c r="C566" s="1234" t="s">
        <v>1054</v>
      </c>
      <c r="D566" s="1268">
        <v>4500204814</v>
      </c>
      <c r="E566" s="1234" t="s">
        <v>2474</v>
      </c>
      <c r="F566" s="1188" t="s">
        <v>2475</v>
      </c>
      <c r="G566" s="1253" t="s">
        <v>188</v>
      </c>
      <c r="H566" s="1234" t="s">
        <v>138</v>
      </c>
      <c r="I566" s="1254">
        <v>6000</v>
      </c>
      <c r="J566" s="1234">
        <v>0</v>
      </c>
      <c r="K566" s="1234">
        <v>50</v>
      </c>
      <c r="L566" s="1246">
        <f t="shared" si="196"/>
        <v>120</v>
      </c>
      <c r="M566" s="1255">
        <v>46227</v>
      </c>
      <c r="N566" s="1320">
        <v>46232</v>
      </c>
      <c r="O566" s="1320" t="s">
        <v>2151</v>
      </c>
      <c r="P566" s="1233"/>
      <c r="Q566" s="1233" t="s">
        <v>1410</v>
      </c>
      <c r="R566" s="1234"/>
      <c r="S566" s="1234"/>
      <c r="T566" s="1233">
        <v>6000</v>
      </c>
      <c r="U566" s="1233">
        <f t="shared" si="192"/>
        <v>0</v>
      </c>
      <c r="V566" s="1234" t="s">
        <v>120</v>
      </c>
      <c r="W566" s="1256" t="s">
        <v>2476</v>
      </c>
      <c r="X566" s="1257" t="s">
        <v>95</v>
      </c>
      <c r="Y566" s="1257" t="s">
        <v>2477</v>
      </c>
      <c r="Z566" s="1247"/>
      <c r="AA566" s="1247"/>
      <c r="AB566" s="1247"/>
      <c r="AC566" s="1247" t="s">
        <v>2478</v>
      </c>
      <c r="AD566" s="1255" t="s">
        <v>659</v>
      </c>
      <c r="AE566" s="1188">
        <v>1.124</v>
      </c>
      <c r="AF566" s="1248">
        <f>AE566*I566</f>
        <v>6744</v>
      </c>
      <c r="AG566" s="1258"/>
      <c r="AH566" s="1234" t="s">
        <v>188</v>
      </c>
      <c r="AI566" s="1234" t="s">
        <v>112</v>
      </c>
      <c r="AJ566" s="1234" t="s">
        <v>113</v>
      </c>
      <c r="AK566" s="1188">
        <f>I566</f>
        <v>6000</v>
      </c>
      <c r="AL566" s="1188"/>
      <c r="AM566" s="1188"/>
      <c r="AN566" s="1188">
        <f>I566</f>
        <v>6000</v>
      </c>
      <c r="AO566" s="1188"/>
      <c r="AP566" s="1188"/>
      <c r="AQ566" s="1240"/>
      <c r="AR566" s="1188"/>
      <c r="AS566" s="1236"/>
      <c r="AT566" s="1236"/>
      <c r="AU566" s="1188">
        <f>I566</f>
        <v>6000</v>
      </c>
      <c r="AV566" s="1250">
        <f t="shared" si="197"/>
        <v>720</v>
      </c>
      <c r="AW566" s="1250"/>
      <c r="AX566" s="1188"/>
      <c r="AY566" s="1188"/>
      <c r="AZ566" s="1188"/>
      <c r="BA566" s="1188"/>
      <c r="BB566" s="1188"/>
      <c r="BC566" s="1188"/>
      <c r="BD566" s="1188"/>
      <c r="BE566" s="1188"/>
      <c r="BF566" s="1188"/>
      <c r="BG566" s="1188"/>
      <c r="BH566" s="1188"/>
      <c r="BI566" s="1188"/>
      <c r="BJ566" s="1188"/>
      <c r="BK566" s="1188"/>
      <c r="BL566" s="1188"/>
      <c r="BM566" s="1188"/>
      <c r="BN566" s="1188">
        <f>I566/25</f>
        <v>240</v>
      </c>
      <c r="BO566" s="1240"/>
      <c r="BP566" s="1240"/>
      <c r="BQ566" s="1188"/>
      <c r="BR566" s="1236"/>
      <c r="BS566" s="1236"/>
      <c r="BT566" s="1188"/>
      <c r="BU566" s="1188"/>
      <c r="BV566" s="1240"/>
      <c r="BW566" s="1188"/>
      <c r="BX566" s="1188"/>
      <c r="BY566" s="1188"/>
      <c r="BZ566" s="1188"/>
      <c r="CA566" s="1188"/>
      <c r="CB566" s="1188"/>
      <c r="CC566" s="1188"/>
      <c r="CD566" s="1188">
        <f t="shared" si="184"/>
        <v>240</v>
      </c>
      <c r="CE566" s="1188">
        <f t="shared" ref="CE566:CE611" si="198">BU566</f>
        <v>0</v>
      </c>
      <c r="CF566" s="1188">
        <f t="shared" si="185"/>
        <v>0</v>
      </c>
      <c r="CG566" s="1188">
        <f t="shared" si="186"/>
        <v>0</v>
      </c>
      <c r="CH566" s="1236"/>
      <c r="CI566" s="1236"/>
      <c r="CJ566" s="1236"/>
      <c r="CK566" s="1188"/>
      <c r="CL566" s="1188"/>
    </row>
    <row r="567" s="1168" customFormat="1" customHeight="1" spans="1:111">
      <c r="A567" s="1245">
        <v>46156</v>
      </c>
      <c r="B567" s="1247" t="s">
        <v>935</v>
      </c>
      <c r="C567" s="1234" t="s">
        <v>115</v>
      </c>
      <c r="D567" s="1268">
        <v>4500206884</v>
      </c>
      <c r="E567" s="1233">
        <v>2670512373</v>
      </c>
      <c r="F567" s="1188" t="s">
        <v>2479</v>
      </c>
      <c r="G567" s="1253" t="s">
        <v>482</v>
      </c>
      <c r="H567" s="1234" t="s">
        <v>483</v>
      </c>
      <c r="I567" s="1254">
        <v>4320</v>
      </c>
      <c r="J567" s="1234">
        <v>0</v>
      </c>
      <c r="K567" s="1234">
        <v>120</v>
      </c>
      <c r="L567" s="1246">
        <f t="shared" si="196"/>
        <v>36</v>
      </c>
      <c r="M567" s="1255">
        <v>46227</v>
      </c>
      <c r="N567" s="1320">
        <v>46233</v>
      </c>
      <c r="O567" s="1322" t="s">
        <v>2177</v>
      </c>
      <c r="P567" s="1320"/>
      <c r="Q567" s="1233" t="s">
        <v>1410</v>
      </c>
      <c r="R567" s="1234"/>
      <c r="S567" s="1234"/>
      <c r="T567" s="1233">
        <v>4320</v>
      </c>
      <c r="U567" s="1233">
        <f t="shared" si="192"/>
        <v>0</v>
      </c>
      <c r="V567" s="1234"/>
      <c r="W567" s="1238">
        <v>46155</v>
      </c>
      <c r="X567" s="1227" t="s">
        <v>107</v>
      </c>
      <c r="Y567" s="1257" t="s">
        <v>95</v>
      </c>
      <c r="Z567" s="1247"/>
      <c r="AA567" s="1247"/>
      <c r="AB567" s="1247"/>
      <c r="AC567" s="1247" t="s">
        <v>937</v>
      </c>
      <c r="AD567" s="1255" t="s">
        <v>488</v>
      </c>
      <c r="AE567" s="1188">
        <v>642</v>
      </c>
      <c r="AF567" s="1248">
        <f>L567*AE567</f>
        <v>23112</v>
      </c>
      <c r="AG567" s="1258"/>
      <c r="AH567" s="1234" t="s">
        <v>490</v>
      </c>
      <c r="AI567" s="1234" t="s">
        <v>112</v>
      </c>
      <c r="AJ567" s="1234" t="s">
        <v>113</v>
      </c>
      <c r="AK567" s="1188"/>
      <c r="AL567" s="1188">
        <f>I567*3</f>
        <v>12960</v>
      </c>
      <c r="AM567" s="1188"/>
      <c r="AN567" s="1188"/>
      <c r="AO567" s="1188"/>
      <c r="AP567" s="1188"/>
      <c r="AQ567" s="1240"/>
      <c r="AR567" s="1188"/>
      <c r="AS567" s="1236"/>
      <c r="AT567" s="1236"/>
      <c r="AU567" s="1188"/>
      <c r="AV567" s="1250">
        <f t="shared" si="197"/>
        <v>518.4</v>
      </c>
      <c r="AW567" s="1250"/>
      <c r="AX567" s="1188"/>
      <c r="AY567" s="1188"/>
      <c r="AZ567" s="1188"/>
      <c r="BA567" s="1188"/>
      <c r="BB567" s="1188">
        <f>I567*3</f>
        <v>12960</v>
      </c>
      <c r="BC567" s="1188">
        <f>I567*3</f>
        <v>12960</v>
      </c>
      <c r="BD567" s="1188">
        <f>I567*3</f>
        <v>12960</v>
      </c>
      <c r="BE567" s="1188">
        <f>I567</f>
        <v>4320</v>
      </c>
      <c r="BF567" s="1188">
        <f>I567/6</f>
        <v>720</v>
      </c>
      <c r="BG567" s="1188"/>
      <c r="BH567" s="1188"/>
      <c r="BI567" s="1188"/>
      <c r="BJ567" s="1188"/>
      <c r="BK567" s="1188"/>
      <c r="BL567" s="1188"/>
      <c r="BM567" s="1188"/>
      <c r="BN567" s="1188"/>
      <c r="BO567" s="1240"/>
      <c r="BP567" s="1240"/>
      <c r="BQ567" s="1188"/>
      <c r="BR567" s="1236"/>
      <c r="BS567" s="1236"/>
      <c r="BT567" s="1188"/>
      <c r="BU567" s="1188"/>
      <c r="BV567" s="1240"/>
      <c r="BW567" s="1188"/>
      <c r="BX567" s="1188"/>
      <c r="BY567" s="1188"/>
      <c r="BZ567" s="1188"/>
      <c r="CA567" s="1188"/>
      <c r="CB567" s="1188"/>
      <c r="CC567" s="1188"/>
      <c r="CD567" s="1188">
        <f t="shared" si="184"/>
        <v>0</v>
      </c>
      <c r="CE567" s="1188">
        <f t="shared" si="198"/>
        <v>0</v>
      </c>
      <c r="CF567" s="1188">
        <f t="shared" si="185"/>
        <v>0</v>
      </c>
      <c r="CG567" s="1188">
        <f t="shared" si="186"/>
        <v>0</v>
      </c>
      <c r="CH567" s="1236"/>
      <c r="CI567" s="1236"/>
      <c r="CJ567" s="1236"/>
      <c r="CK567" s="1188"/>
      <c r="CL567" s="1188"/>
    </row>
    <row r="568" s="1168" customFormat="1" customHeight="1" spans="1:111">
      <c r="A568" s="1245">
        <v>46164</v>
      </c>
      <c r="B568" s="1220" t="s">
        <v>2480</v>
      </c>
      <c r="C568" s="1221" t="s">
        <v>164</v>
      </c>
      <c r="D568" s="1428">
        <v>4500208529</v>
      </c>
      <c r="E568" s="1221" t="s">
        <v>2481</v>
      </c>
      <c r="F568" s="1222" t="s">
        <v>2482</v>
      </c>
      <c r="G568" s="1223" t="s">
        <v>753</v>
      </c>
      <c r="H568" s="1234" t="s">
        <v>390</v>
      </c>
      <c r="I568" s="1252">
        <v>7104</v>
      </c>
      <c r="J568" s="1221">
        <v>0</v>
      </c>
      <c r="K568" s="1221">
        <v>12</v>
      </c>
      <c r="L568" s="1246">
        <f t="shared" si="196"/>
        <v>592</v>
      </c>
      <c r="M568" s="1225">
        <v>46227</v>
      </c>
      <c r="N568" s="1338">
        <v>46233</v>
      </c>
      <c r="O568" s="1320" t="s">
        <v>2336</v>
      </c>
      <c r="P568" s="1233"/>
      <c r="Q568" s="1233" t="s">
        <v>1410</v>
      </c>
      <c r="R568" s="1234"/>
      <c r="S568" s="1234"/>
      <c r="T568" s="1233">
        <v>7104</v>
      </c>
      <c r="U568" s="1233">
        <f t="shared" si="192"/>
        <v>0</v>
      </c>
      <c r="V568" s="1234"/>
      <c r="W568" s="1238" t="s">
        <v>2483</v>
      </c>
      <c r="X568" s="1227" t="s">
        <v>95</v>
      </c>
      <c r="Y568" s="1257" t="s">
        <v>2484</v>
      </c>
      <c r="Z568" s="1247" t="s">
        <v>2485</v>
      </c>
      <c r="AA568" s="1247"/>
      <c r="AB568" s="1247"/>
      <c r="AC568" s="1358" t="s">
        <v>2486</v>
      </c>
      <c r="AD568" s="1225" t="s">
        <v>2487</v>
      </c>
      <c r="AE568" s="1188">
        <v>2.5224</v>
      </c>
      <c r="AF568" s="1248">
        <f>I568*AE568</f>
        <v>17919.1296</v>
      </c>
      <c r="AG568" s="1258"/>
      <c r="AH568" s="1234" t="s">
        <v>753</v>
      </c>
      <c r="AI568" s="1234" t="s">
        <v>112</v>
      </c>
      <c r="AJ568" s="1234" t="s">
        <v>113</v>
      </c>
      <c r="AK568" s="1188">
        <f>I568*2</f>
        <v>14208</v>
      </c>
      <c r="AL568" s="1188"/>
      <c r="AM568" s="1188"/>
      <c r="AN568" s="1188"/>
      <c r="AO568" s="1188"/>
      <c r="AP568" s="1188"/>
      <c r="AQ568" s="1240"/>
      <c r="AR568" s="1188">
        <f>I568*2</f>
        <v>14208</v>
      </c>
      <c r="AS568" s="1236"/>
      <c r="AT568" s="1236"/>
      <c r="AU568" s="1188"/>
      <c r="AV568" s="1250">
        <f t="shared" si="197"/>
        <v>852.48</v>
      </c>
      <c r="AW568" s="1429">
        <f>I568*2</f>
        <v>14208</v>
      </c>
      <c r="AX568" s="1188"/>
      <c r="AY568" s="1188"/>
      <c r="AZ568" s="1188"/>
      <c r="BA568" s="1188"/>
      <c r="BB568" s="1188"/>
      <c r="BC568" s="1188"/>
      <c r="BD568" s="1188"/>
      <c r="BE568" s="1188"/>
      <c r="BF568" s="1188"/>
      <c r="BG568" s="1188"/>
      <c r="BH568" s="1188"/>
      <c r="BI568" s="1188"/>
      <c r="BJ568" s="1188"/>
      <c r="BK568" s="1188"/>
      <c r="BL568" s="1188"/>
      <c r="BM568" s="1188"/>
      <c r="BN568" s="1188"/>
      <c r="BO568" s="1240"/>
      <c r="BP568" s="1240"/>
      <c r="BQ568" s="1188"/>
      <c r="BR568" s="1236"/>
      <c r="BS568" s="1236"/>
      <c r="BT568" s="1188"/>
      <c r="BU568" s="1188"/>
      <c r="BV568" s="1240"/>
      <c r="BW568" s="1188"/>
      <c r="BX568" s="1188"/>
      <c r="BY568" s="1188"/>
      <c r="BZ568" s="1188"/>
      <c r="CA568" s="1188"/>
      <c r="CB568" s="1188"/>
      <c r="CC568" s="1188"/>
      <c r="CD568" s="1188">
        <f t="shared" si="184"/>
        <v>0</v>
      </c>
      <c r="CE568" s="1188">
        <f t="shared" si="198"/>
        <v>0</v>
      </c>
      <c r="CF568" s="1188">
        <f t="shared" si="185"/>
        <v>0</v>
      </c>
      <c r="CG568" s="1188">
        <f t="shared" si="186"/>
        <v>0</v>
      </c>
      <c r="CH568" s="1236"/>
      <c r="CI568" s="1236"/>
      <c r="CJ568" s="1236">
        <f>I568</f>
        <v>7104</v>
      </c>
      <c r="CK568" s="1188">
        <f>I568</f>
        <v>7104</v>
      </c>
      <c r="CL568" s="1188">
        <f>I568</f>
        <v>7104</v>
      </c>
    </row>
    <row r="569" s="1168" customFormat="1" customHeight="1" spans="1:111">
      <c r="A569" s="1289">
        <v>46156</v>
      </c>
      <c r="B569" s="543" t="s">
        <v>935</v>
      </c>
      <c r="C569" s="504" t="s">
        <v>115</v>
      </c>
      <c r="D569" s="1305">
        <v>4500206888</v>
      </c>
      <c r="E569" s="506">
        <v>2880512235</v>
      </c>
      <c r="F569" s="502" t="s">
        <v>2488</v>
      </c>
      <c r="G569" s="505" t="s">
        <v>482</v>
      </c>
      <c r="H569" s="504" t="s">
        <v>483</v>
      </c>
      <c r="I569" s="1290">
        <v>4320</v>
      </c>
      <c r="J569" s="504">
        <v>0</v>
      </c>
      <c r="K569" s="504">
        <v>120</v>
      </c>
      <c r="L569" s="1291">
        <f t="shared" si="196"/>
        <v>36</v>
      </c>
      <c r="M569" s="501">
        <v>46227</v>
      </c>
      <c r="N569" s="1365">
        <v>46234</v>
      </c>
      <c r="O569" s="1430" t="s">
        <v>1675</v>
      </c>
      <c r="P569" s="1323"/>
      <c r="Q569" s="506"/>
      <c r="R569" s="504"/>
      <c r="S569" s="504"/>
      <c r="T569" s="506">
        <v>4320</v>
      </c>
      <c r="U569" s="500">
        <f t="shared" si="192"/>
        <v>0</v>
      </c>
      <c r="V569" s="504"/>
      <c r="W569" s="1324">
        <v>46155</v>
      </c>
      <c r="X569" s="1325" t="s">
        <v>107</v>
      </c>
      <c r="Y569" s="1325" t="s">
        <v>95</v>
      </c>
      <c r="Z569" s="543"/>
      <c r="AA569" s="543"/>
      <c r="AB569" s="543"/>
      <c r="AC569" s="543" t="s">
        <v>937</v>
      </c>
      <c r="AD569" s="501" t="s">
        <v>488</v>
      </c>
      <c r="AE569" s="502">
        <v>642</v>
      </c>
      <c r="AF569" s="503">
        <f>L569*AE569</f>
        <v>23112</v>
      </c>
      <c r="AG569" s="1295"/>
      <c r="AH569" s="504" t="s">
        <v>490</v>
      </c>
      <c r="AI569" s="504" t="s">
        <v>112</v>
      </c>
      <c r="AJ569" s="498" t="s">
        <v>113</v>
      </c>
      <c r="AK569" s="502"/>
      <c r="AL569" s="502">
        <f>I569*3</f>
        <v>12960</v>
      </c>
      <c r="AM569" s="502"/>
      <c r="AN569" s="502"/>
      <c r="AO569" s="502"/>
      <c r="AP569" s="502"/>
      <c r="AQ569" s="1296"/>
      <c r="AR569" s="502"/>
      <c r="AS569" s="1297"/>
      <c r="AT569" s="1297"/>
      <c r="AU569" s="502"/>
      <c r="AV569" s="1298">
        <f t="shared" si="197"/>
        <v>518.4</v>
      </c>
      <c r="AW569" s="1298"/>
      <c r="AX569" s="502"/>
      <c r="AY569" s="502"/>
      <c r="AZ569" s="502"/>
      <c r="BA569" s="502"/>
      <c r="BB569" s="502">
        <f>I569*3</f>
        <v>12960</v>
      </c>
      <c r="BC569" s="502">
        <f>I569*3</f>
        <v>12960</v>
      </c>
      <c r="BD569" s="502">
        <f>I569*3</f>
        <v>12960</v>
      </c>
      <c r="BE569" s="502">
        <f>I569</f>
        <v>4320</v>
      </c>
      <c r="BF569" s="502">
        <f>I569/6</f>
        <v>720</v>
      </c>
      <c r="BG569" s="502"/>
      <c r="BH569" s="502"/>
      <c r="BI569" s="502"/>
      <c r="BJ569" s="502"/>
      <c r="BK569" s="502"/>
      <c r="BL569" s="502"/>
      <c r="BM569" s="502"/>
      <c r="BN569" s="502"/>
      <c r="BO569" s="1296"/>
      <c r="BP569" s="1296"/>
      <c r="BQ569" s="502"/>
      <c r="BR569" s="1297"/>
      <c r="BS569" s="1297"/>
      <c r="BT569" s="502"/>
      <c r="BU569" s="502"/>
      <c r="BV569" s="1296"/>
      <c r="BW569" s="502"/>
      <c r="BX569" s="502"/>
      <c r="BY569" s="502"/>
      <c r="BZ569" s="1218"/>
      <c r="CA569" s="1218"/>
      <c r="CB569" s="1218"/>
      <c r="CC569" s="1218"/>
      <c r="CD569" s="1218">
        <f t="shared" si="184"/>
        <v>0</v>
      </c>
      <c r="CE569" s="1218">
        <f t="shared" si="198"/>
        <v>0</v>
      </c>
      <c r="CF569" s="502">
        <f t="shared" si="185"/>
        <v>0</v>
      </c>
      <c r="CG569" s="1218">
        <f t="shared" si="186"/>
        <v>0</v>
      </c>
      <c r="CH569" s="1299"/>
      <c r="CI569" s="1299"/>
      <c r="CJ569" s="1297"/>
      <c r="CK569" s="502"/>
      <c r="CL569" s="502"/>
      <c r="CM569" s="293"/>
      <c r="CN569" s="293"/>
      <c r="CO569" s="293"/>
      <c r="CP569" s="293"/>
      <c r="CQ569" s="293"/>
      <c r="CR569" s="293"/>
      <c r="CS569" s="293"/>
      <c r="CT569" s="293"/>
      <c r="CU569" s="293"/>
      <c r="CV569" s="293"/>
      <c r="CW569" s="293"/>
      <c r="CX569" s="293"/>
      <c r="CY569" s="293"/>
      <c r="CZ569" s="293"/>
      <c r="DA569" s="293"/>
      <c r="DB569" s="293"/>
      <c r="DC569" s="293"/>
      <c r="DD569" s="293"/>
      <c r="DE569" s="293"/>
      <c r="DF569" s="293"/>
      <c r="DG569" s="293"/>
    </row>
    <row r="570" s="1168" customFormat="1" customHeight="1" spans="1:111">
      <c r="A570" s="1245">
        <v>46156</v>
      </c>
      <c r="B570" s="1247" t="s">
        <v>935</v>
      </c>
      <c r="C570" s="1234" t="s">
        <v>115</v>
      </c>
      <c r="D570" s="1268">
        <v>4500206886</v>
      </c>
      <c r="E570" s="1233">
        <v>12030512319</v>
      </c>
      <c r="F570" s="1188" t="s">
        <v>2489</v>
      </c>
      <c r="G570" s="1253" t="s">
        <v>482</v>
      </c>
      <c r="H570" s="1234" t="s">
        <v>483</v>
      </c>
      <c r="I570" s="1254">
        <v>4320</v>
      </c>
      <c r="J570" s="1234">
        <v>0</v>
      </c>
      <c r="K570" s="1234">
        <v>120</v>
      </c>
      <c r="L570" s="1246">
        <f t="shared" si="196"/>
        <v>36</v>
      </c>
      <c r="M570" s="1255">
        <v>46227</v>
      </c>
      <c r="N570" s="1320">
        <v>46234</v>
      </c>
      <c r="O570" s="1322" t="s">
        <v>2490</v>
      </c>
      <c r="P570" s="1233"/>
      <c r="Q570" s="1233" t="s">
        <v>1410</v>
      </c>
      <c r="R570" s="1234"/>
      <c r="S570" s="1234"/>
      <c r="T570" s="1233">
        <v>4320</v>
      </c>
      <c r="U570" s="1233">
        <f t="shared" si="192"/>
        <v>0</v>
      </c>
      <c r="V570" s="1234"/>
      <c r="W570" s="1256">
        <v>46155</v>
      </c>
      <c r="X570" s="1257" t="s">
        <v>107</v>
      </c>
      <c r="Y570" s="1257" t="s">
        <v>95</v>
      </c>
      <c r="Z570" s="1247"/>
      <c r="AA570" s="1247"/>
      <c r="AB570" s="1247"/>
      <c r="AC570" s="1247" t="s">
        <v>937</v>
      </c>
      <c r="AD570" s="1255" t="s">
        <v>488</v>
      </c>
      <c r="AE570" s="1188">
        <v>642</v>
      </c>
      <c r="AF570" s="1248">
        <f>L570*AE570</f>
        <v>23112</v>
      </c>
      <c r="AG570" s="1258"/>
      <c r="AH570" s="1234" t="s">
        <v>490</v>
      </c>
      <c r="AI570" s="1234" t="s">
        <v>112</v>
      </c>
      <c r="AJ570" s="1234" t="s">
        <v>113</v>
      </c>
      <c r="AK570" s="1188"/>
      <c r="AL570" s="1188">
        <f>I570*3</f>
        <v>12960</v>
      </c>
      <c r="AM570" s="1188"/>
      <c r="AN570" s="1188"/>
      <c r="AO570" s="1188"/>
      <c r="AP570" s="1188"/>
      <c r="AQ570" s="1240"/>
      <c r="AR570" s="1188"/>
      <c r="AS570" s="1236"/>
      <c r="AT570" s="1236"/>
      <c r="AU570" s="1188"/>
      <c r="AV570" s="1250">
        <f t="shared" si="197"/>
        <v>518.4</v>
      </c>
      <c r="AW570" s="1250"/>
      <c r="AX570" s="1188"/>
      <c r="AY570" s="1188"/>
      <c r="AZ570" s="1188"/>
      <c r="BA570" s="1188"/>
      <c r="BB570" s="1188">
        <f>I570*3</f>
        <v>12960</v>
      </c>
      <c r="BC570" s="1188">
        <f>I570*3</f>
        <v>12960</v>
      </c>
      <c r="BD570" s="1188">
        <f>I570*3</f>
        <v>12960</v>
      </c>
      <c r="BE570" s="1188">
        <f>I570</f>
        <v>4320</v>
      </c>
      <c r="BF570" s="1188">
        <f>I570/6</f>
        <v>720</v>
      </c>
      <c r="BG570" s="1188"/>
      <c r="BH570" s="1188"/>
      <c r="BI570" s="1188"/>
      <c r="BJ570" s="1188"/>
      <c r="BK570" s="1188"/>
      <c r="BL570" s="1188"/>
      <c r="BM570" s="1188"/>
      <c r="BN570" s="1188"/>
      <c r="BO570" s="1240"/>
      <c r="BP570" s="1240"/>
      <c r="BQ570" s="1188"/>
      <c r="BR570" s="1236"/>
      <c r="BS570" s="1236"/>
      <c r="BT570" s="1188"/>
      <c r="BU570" s="1188"/>
      <c r="BV570" s="1240"/>
      <c r="BW570" s="1188"/>
      <c r="BX570" s="1188"/>
      <c r="BY570" s="1188"/>
      <c r="BZ570" s="1188"/>
      <c r="CA570" s="1188"/>
      <c r="CB570" s="1188"/>
      <c r="CC570" s="1188"/>
      <c r="CD570" s="1188">
        <f t="shared" si="184"/>
        <v>0</v>
      </c>
      <c r="CE570" s="1188">
        <f t="shared" si="198"/>
        <v>0</v>
      </c>
      <c r="CF570" s="1188">
        <f t="shared" si="185"/>
        <v>0</v>
      </c>
      <c r="CG570" s="1188">
        <f t="shared" si="186"/>
        <v>0</v>
      </c>
      <c r="CH570" s="1236"/>
      <c r="CI570" s="1236"/>
      <c r="CJ570" s="1236"/>
      <c r="CK570" s="1188"/>
      <c r="CL570" s="1188"/>
    </row>
    <row r="571" s="1170" customFormat="1" customHeight="1" spans="1:111">
      <c r="A571" s="1396">
        <v>46176</v>
      </c>
      <c r="B571" s="1397" t="s">
        <v>280</v>
      </c>
      <c r="C571" s="498" t="s">
        <v>135</v>
      </c>
      <c r="D571" s="1398">
        <v>4500210400</v>
      </c>
      <c r="E571" s="498" t="s">
        <v>2491</v>
      </c>
      <c r="F571" s="496" t="s">
        <v>2492</v>
      </c>
      <c r="G571" s="499" t="s">
        <v>283</v>
      </c>
      <c r="H571" s="498" t="s">
        <v>194</v>
      </c>
      <c r="I571" s="1399">
        <v>15002</v>
      </c>
      <c r="J571" s="498">
        <v>0</v>
      </c>
      <c r="K571" s="498">
        <v>13</v>
      </c>
      <c r="L571" s="1400">
        <f t="shared" si="196"/>
        <v>1154</v>
      </c>
      <c r="M571" s="495">
        <v>46227</v>
      </c>
      <c r="N571" s="1401">
        <v>46234</v>
      </c>
      <c r="O571" s="1401" t="s">
        <v>2188</v>
      </c>
      <c r="P571" s="500"/>
      <c r="Q571" s="500" t="s">
        <v>1410</v>
      </c>
      <c r="R571" s="498"/>
      <c r="S571" s="498"/>
      <c r="T571" s="500">
        <v>15002</v>
      </c>
      <c r="U571" s="500">
        <f t="shared" si="192"/>
        <v>0</v>
      </c>
      <c r="V571" s="498"/>
      <c r="W571" s="1431">
        <v>46176</v>
      </c>
      <c r="X571" s="1432" t="s">
        <v>95</v>
      </c>
      <c r="Y571" s="1432" t="s">
        <v>2493</v>
      </c>
      <c r="Z571" s="1397" t="s">
        <v>2494</v>
      </c>
      <c r="AA571" s="1397"/>
      <c r="AB571" s="1397"/>
      <c r="AC571" s="1433" t="s">
        <v>2495</v>
      </c>
      <c r="AD571" s="495" t="s">
        <v>288</v>
      </c>
      <c r="AE571" s="496">
        <v>1.0662</v>
      </c>
      <c r="AF571" s="497">
        <f>I571*AE571</f>
        <v>15995.1324</v>
      </c>
      <c r="AG571" s="1406"/>
      <c r="AH571" s="498" t="s">
        <v>289</v>
      </c>
      <c r="AI571" s="498" t="s">
        <v>112</v>
      </c>
      <c r="AJ571" s="498" t="s">
        <v>113</v>
      </c>
      <c r="AK571" s="496">
        <f>I571</f>
        <v>15002</v>
      </c>
      <c r="AL571" s="496"/>
      <c r="AM571" s="496"/>
      <c r="AN571" s="496">
        <f>I571</f>
        <v>15002</v>
      </c>
      <c r="AO571" s="496"/>
      <c r="AP571" s="496"/>
      <c r="AQ571" s="1407"/>
      <c r="AR571" s="496"/>
      <c r="AS571" s="1408"/>
      <c r="AT571" s="1408"/>
      <c r="AU571" s="496"/>
      <c r="AV571" s="1409">
        <f t="shared" si="197"/>
        <v>1800.24</v>
      </c>
      <c r="AW571" s="1409">
        <f>I571</f>
        <v>15002</v>
      </c>
      <c r="AX571" s="496"/>
      <c r="AY571" s="496"/>
      <c r="AZ571" s="496"/>
      <c r="BA571" s="496"/>
      <c r="BB571" s="496"/>
      <c r="BC571" s="496"/>
      <c r="BD571" s="496"/>
      <c r="BE571" s="496"/>
      <c r="BF571" s="496"/>
      <c r="BG571" s="496"/>
      <c r="BH571" s="496"/>
      <c r="BI571" s="496"/>
      <c r="BJ571" s="496"/>
      <c r="BK571" s="496">
        <f>I571/13</f>
        <v>1154</v>
      </c>
      <c r="BL571" s="496"/>
      <c r="BM571" s="496"/>
      <c r="BN571" s="496"/>
      <c r="BO571" s="1407"/>
      <c r="BP571" s="1407"/>
      <c r="BQ571" s="496"/>
      <c r="BR571" s="1408"/>
      <c r="BS571" s="1408"/>
      <c r="BT571" s="496"/>
      <c r="BU571" s="496"/>
      <c r="BV571" s="1407"/>
      <c r="BW571" s="496"/>
      <c r="BX571" s="496"/>
      <c r="BY571" s="496"/>
      <c r="BZ571" s="496"/>
      <c r="CA571" s="496"/>
      <c r="CB571" s="496"/>
      <c r="CC571" s="496"/>
      <c r="CD571" s="496">
        <f t="shared" si="184"/>
        <v>0</v>
      </c>
      <c r="CE571" s="496">
        <f t="shared" si="198"/>
        <v>0</v>
      </c>
      <c r="CF571" s="496">
        <f t="shared" si="185"/>
        <v>0</v>
      </c>
      <c r="CG571" s="496">
        <f t="shared" si="186"/>
        <v>0</v>
      </c>
      <c r="CH571" s="1408"/>
      <c r="CI571" s="1408"/>
      <c r="CJ571" s="1408"/>
      <c r="CK571" s="496"/>
      <c r="CL571" s="496"/>
    </row>
    <row r="572" s="1168" customFormat="1" customHeight="1" spans="1:111">
      <c r="A572" s="1289">
        <v>46156</v>
      </c>
      <c r="B572" s="1417" t="s">
        <v>935</v>
      </c>
      <c r="C572" s="1434" t="s">
        <v>115</v>
      </c>
      <c r="D572" s="1435">
        <v>4500206889</v>
      </c>
      <c r="E572" s="1436">
        <v>9600512469</v>
      </c>
      <c r="F572" s="1437" t="s">
        <v>2496</v>
      </c>
      <c r="G572" s="1438" t="s">
        <v>482</v>
      </c>
      <c r="H572" s="504" t="s">
        <v>483</v>
      </c>
      <c r="I572" s="1439">
        <v>4320</v>
      </c>
      <c r="J572" s="1434">
        <v>0</v>
      </c>
      <c r="K572" s="1434">
        <v>120</v>
      </c>
      <c r="L572" s="1291">
        <f t="shared" si="196"/>
        <v>36</v>
      </c>
      <c r="M572" s="507">
        <v>46227</v>
      </c>
      <c r="N572" s="1440">
        <v>46234</v>
      </c>
      <c r="O572" s="1323" t="s">
        <v>2497</v>
      </c>
      <c r="P572" s="506"/>
      <c r="Q572" s="506"/>
      <c r="R572" s="504"/>
      <c r="S572" s="504"/>
      <c r="T572" s="1313">
        <v>4320</v>
      </c>
      <c r="U572" s="500">
        <f t="shared" si="192"/>
        <v>0</v>
      </c>
      <c r="V572" s="504"/>
      <c r="W572" s="1307">
        <v>46155</v>
      </c>
      <c r="X572" s="1308" t="s">
        <v>107</v>
      </c>
      <c r="Y572" s="1308" t="s">
        <v>95</v>
      </c>
      <c r="Z572" s="543"/>
      <c r="AA572" s="543"/>
      <c r="AB572" s="543"/>
      <c r="AC572" s="1417" t="s">
        <v>937</v>
      </c>
      <c r="AD572" s="507" t="s">
        <v>488</v>
      </c>
      <c r="AE572" s="502">
        <v>642</v>
      </c>
      <c r="AF572" s="503">
        <f>L572*AE572</f>
        <v>23112</v>
      </c>
      <c r="AG572" s="1295"/>
      <c r="AH572" s="504" t="s">
        <v>490</v>
      </c>
      <c r="AI572" s="504" t="s">
        <v>112</v>
      </c>
      <c r="AJ572" s="498" t="s">
        <v>113</v>
      </c>
      <c r="AK572" s="502"/>
      <c r="AL572" s="502">
        <f>I572*3</f>
        <v>12960</v>
      </c>
      <c r="AM572" s="502"/>
      <c r="AN572" s="502"/>
      <c r="AO572" s="502"/>
      <c r="AP572" s="502"/>
      <c r="AQ572" s="1296"/>
      <c r="AR572" s="502"/>
      <c r="AS572" s="1297"/>
      <c r="AT572" s="1297"/>
      <c r="AU572" s="502"/>
      <c r="AV572" s="1298">
        <f t="shared" si="197"/>
        <v>518.4</v>
      </c>
      <c r="AW572" s="1298"/>
      <c r="AX572" s="502"/>
      <c r="AY572" s="502"/>
      <c r="AZ572" s="502"/>
      <c r="BA572" s="502"/>
      <c r="BB572" s="502">
        <f>I572*3</f>
        <v>12960</v>
      </c>
      <c r="BC572" s="502">
        <f>I572*3</f>
        <v>12960</v>
      </c>
      <c r="BD572" s="502">
        <f>I572*3</f>
        <v>12960</v>
      </c>
      <c r="BE572" s="502">
        <f>I572</f>
        <v>4320</v>
      </c>
      <c r="BF572" s="502">
        <f>I572/6</f>
        <v>720</v>
      </c>
      <c r="BG572" s="502"/>
      <c r="BH572" s="502"/>
      <c r="BI572" s="502"/>
      <c r="BJ572" s="502"/>
      <c r="BK572" s="502"/>
      <c r="BL572" s="502"/>
      <c r="BM572" s="502"/>
      <c r="BN572" s="502"/>
      <c r="BO572" s="1296"/>
      <c r="BP572" s="1296"/>
      <c r="BQ572" s="502"/>
      <c r="BR572" s="1297"/>
      <c r="BS572" s="1297"/>
      <c r="BT572" s="502"/>
      <c r="BU572" s="502"/>
      <c r="BV572" s="1296"/>
      <c r="BW572" s="502"/>
      <c r="BX572" s="502"/>
      <c r="BY572" s="502"/>
      <c r="BZ572" s="1218"/>
      <c r="CA572" s="1218"/>
      <c r="CB572" s="1218"/>
      <c r="CC572" s="1218"/>
      <c r="CD572" s="1218">
        <f t="shared" si="184"/>
        <v>0</v>
      </c>
      <c r="CE572" s="1218">
        <f t="shared" si="198"/>
        <v>0</v>
      </c>
      <c r="CF572" s="502">
        <f t="shared" si="185"/>
        <v>0</v>
      </c>
      <c r="CG572" s="1218">
        <f t="shared" si="186"/>
        <v>0</v>
      </c>
      <c r="CH572" s="1299"/>
      <c r="CI572" s="1299"/>
      <c r="CJ572" s="1297"/>
      <c r="CK572" s="502"/>
      <c r="CL572" s="502"/>
      <c r="CM572" s="293"/>
      <c r="CN572" s="293"/>
      <c r="CO572" s="293"/>
      <c r="CP572" s="293"/>
      <c r="CQ572" s="293"/>
      <c r="CR572" s="293"/>
      <c r="CS572" s="293"/>
      <c r="CT572" s="293"/>
      <c r="CU572" s="293"/>
      <c r="CV572" s="293"/>
      <c r="CW572" s="293"/>
      <c r="CX572" s="293"/>
      <c r="CY572" s="293"/>
      <c r="CZ572" s="293"/>
      <c r="DA572" s="293"/>
      <c r="DB572" s="293"/>
      <c r="DC572" s="293"/>
      <c r="DD572" s="293"/>
      <c r="DE572" s="293"/>
      <c r="DF572" s="293"/>
      <c r="DG572" s="293"/>
    </row>
    <row r="573" s="1168" customFormat="1" customHeight="1" spans="1:111">
      <c r="A573" s="1219">
        <v>46178</v>
      </c>
      <c r="B573" s="1220" t="s">
        <v>2498</v>
      </c>
      <c r="C573" s="1221" t="s">
        <v>810</v>
      </c>
      <c r="D573" s="1441">
        <v>4500210816</v>
      </c>
      <c r="E573" s="1221" t="s">
        <v>2499</v>
      </c>
      <c r="F573" s="1222" t="s">
        <v>2500</v>
      </c>
      <c r="G573" s="1223" t="s">
        <v>753</v>
      </c>
      <c r="H573" s="1221" t="s">
        <v>390</v>
      </c>
      <c r="I573" s="1252">
        <v>3036</v>
      </c>
      <c r="J573" s="1221">
        <v>0</v>
      </c>
      <c r="K573" s="1221">
        <v>12</v>
      </c>
      <c r="L573" s="1224">
        <f t="shared" si="196"/>
        <v>253</v>
      </c>
      <c r="M573" s="1225">
        <v>46227</v>
      </c>
      <c r="N573" s="1338">
        <v>46234</v>
      </c>
      <c r="O573" s="1320" t="s">
        <v>2188</v>
      </c>
      <c r="P573" s="1226"/>
      <c r="Q573" s="1233" t="s">
        <v>1410</v>
      </c>
      <c r="R573" s="1234" t="s">
        <v>2501</v>
      </c>
      <c r="S573" s="1221"/>
      <c r="T573" s="1226">
        <v>3036</v>
      </c>
      <c r="U573" s="1233">
        <f t="shared" si="192"/>
        <v>0</v>
      </c>
      <c r="V573" s="1221"/>
      <c r="W573" s="1256" t="s">
        <v>2502</v>
      </c>
      <c r="X573" s="1227" t="s">
        <v>95</v>
      </c>
      <c r="Y573" s="1227" t="s">
        <v>2503</v>
      </c>
      <c r="Z573" s="1220" t="s">
        <v>140</v>
      </c>
      <c r="AA573" s="1220"/>
      <c r="AB573" s="1220"/>
      <c r="AC573" s="1358" t="s">
        <v>2504</v>
      </c>
      <c r="AD573" s="1225" t="s">
        <v>2505</v>
      </c>
      <c r="AE573" s="1222">
        <v>2.4945</v>
      </c>
      <c r="AF573" s="1229">
        <f>I573*AE573</f>
        <v>7573.302</v>
      </c>
      <c r="AG573" s="1230"/>
      <c r="AH573" s="1234" t="s">
        <v>753</v>
      </c>
      <c r="AI573" s="1221" t="s">
        <v>112</v>
      </c>
      <c r="AJ573" s="1234" t="s">
        <v>113</v>
      </c>
      <c r="AK573" s="1188">
        <f>I573*2</f>
        <v>6072</v>
      </c>
      <c r="AL573" s="1222"/>
      <c r="AM573" s="1222"/>
      <c r="AN573" s="1188"/>
      <c r="AO573" s="1188"/>
      <c r="AP573" s="1188"/>
      <c r="AQ573" s="1240"/>
      <c r="AR573" s="1188">
        <f>I573*2</f>
        <v>6072</v>
      </c>
      <c r="AS573" s="1236"/>
      <c r="AT573" s="1236"/>
      <c r="AU573" s="1188"/>
      <c r="AV573" s="1241">
        <f>I573*0.06</f>
        <v>182.16</v>
      </c>
      <c r="AW573" s="1241">
        <f>I573*2</f>
        <v>6072</v>
      </c>
      <c r="AX573" s="1222"/>
      <c r="AY573" s="1222"/>
      <c r="AZ573" s="1222"/>
      <c r="BA573" s="1222"/>
      <c r="BB573" s="1222"/>
      <c r="BC573" s="1222"/>
      <c r="BD573" s="1222"/>
      <c r="BE573" s="1222"/>
      <c r="BF573" s="1222"/>
      <c r="BG573" s="1222"/>
      <c r="BH573" s="1222"/>
      <c r="BI573" s="1222"/>
      <c r="BJ573" s="1222"/>
      <c r="BK573" s="1188"/>
      <c r="BL573" s="1222"/>
      <c r="BM573" s="1222"/>
      <c r="BN573" s="1222"/>
      <c r="BO573" s="1242"/>
      <c r="BP573" s="1242"/>
      <c r="BQ573" s="1222"/>
      <c r="BR573" s="1232"/>
      <c r="BS573" s="1232"/>
      <c r="BT573" s="1222"/>
      <c r="BU573" s="1222"/>
      <c r="BV573" s="1242"/>
      <c r="BW573" s="1222"/>
      <c r="BX573" s="1222"/>
      <c r="BY573" s="1222"/>
      <c r="BZ573" s="1222"/>
      <c r="CA573" s="1222"/>
      <c r="CB573" s="1222"/>
      <c r="CC573" s="1222"/>
      <c r="CD573" s="1188">
        <f t="shared" si="184"/>
        <v>0</v>
      </c>
      <c r="CE573" s="1188">
        <f t="shared" si="198"/>
        <v>0</v>
      </c>
      <c r="CF573" s="1188">
        <f t="shared" si="185"/>
        <v>0</v>
      </c>
      <c r="CG573" s="1188">
        <f t="shared" si="186"/>
        <v>0</v>
      </c>
      <c r="CH573" s="1232"/>
      <c r="CI573" s="1232"/>
      <c r="CJ573" s="1232">
        <f>I573</f>
        <v>3036</v>
      </c>
      <c r="CK573" s="1222">
        <f>I573</f>
        <v>3036</v>
      </c>
      <c r="CL573" s="1222">
        <f>I573</f>
        <v>3036</v>
      </c>
    </row>
    <row r="574" s="1168" customFormat="1" customHeight="1" spans="1:111">
      <c r="A574" s="1245">
        <v>46178</v>
      </c>
      <c r="B574" s="1247" t="s">
        <v>2498</v>
      </c>
      <c r="C574" s="1234" t="s">
        <v>810</v>
      </c>
      <c r="D574" s="1442">
        <v>4500210816</v>
      </c>
      <c r="E574" s="1234" t="s">
        <v>2506</v>
      </c>
      <c r="F574" s="1188" t="s">
        <v>2507</v>
      </c>
      <c r="G574" s="1253" t="s">
        <v>753</v>
      </c>
      <c r="H574" s="1234" t="s">
        <v>390</v>
      </c>
      <c r="I574" s="1254">
        <v>1692</v>
      </c>
      <c r="J574" s="1234">
        <v>0</v>
      </c>
      <c r="K574" s="1234">
        <v>12</v>
      </c>
      <c r="L574" s="1246">
        <f t="shared" si="196"/>
        <v>141</v>
      </c>
      <c r="M574" s="1255">
        <v>46227</v>
      </c>
      <c r="N574" s="1320">
        <v>46234</v>
      </c>
      <c r="O574" s="1320" t="s">
        <v>2188</v>
      </c>
      <c r="P574" s="1233"/>
      <c r="Q574" s="1233" t="s">
        <v>1410</v>
      </c>
      <c r="R574" s="1234" t="s">
        <v>2501</v>
      </c>
      <c r="S574" s="1234"/>
      <c r="T574" s="1233">
        <v>1692</v>
      </c>
      <c r="U574" s="1233">
        <f t="shared" si="192"/>
        <v>0</v>
      </c>
      <c r="V574" s="1234"/>
      <c r="W574" s="1256" t="s">
        <v>2502</v>
      </c>
      <c r="X574" s="1227" t="s">
        <v>95</v>
      </c>
      <c r="Y574" s="1227" t="s">
        <v>2508</v>
      </c>
      <c r="Z574" s="1247" t="s">
        <v>140</v>
      </c>
      <c r="AA574" s="1247"/>
      <c r="AB574" s="1247"/>
      <c r="AC574" s="1321" t="s">
        <v>2504</v>
      </c>
      <c r="AD574" s="1255" t="s">
        <v>2505</v>
      </c>
      <c r="AE574" s="1188">
        <v>2.5332</v>
      </c>
      <c r="AF574" s="1248">
        <f>I574*AE574</f>
        <v>4286.1744</v>
      </c>
      <c r="AG574" s="1258"/>
      <c r="AH574" s="1234" t="s">
        <v>753</v>
      </c>
      <c r="AI574" s="1234" t="s">
        <v>112</v>
      </c>
      <c r="AJ574" s="1234" t="s">
        <v>113</v>
      </c>
      <c r="AK574" s="1188">
        <f>I574*2</f>
        <v>3384</v>
      </c>
      <c r="AL574" s="1188"/>
      <c r="AM574" s="1188"/>
      <c r="AN574" s="1188"/>
      <c r="AO574" s="1188"/>
      <c r="AP574" s="1188"/>
      <c r="AQ574" s="1240"/>
      <c r="AR574" s="1188">
        <f>I574*2</f>
        <v>3384</v>
      </c>
      <c r="AS574" s="1236"/>
      <c r="AT574" s="1236"/>
      <c r="AU574" s="1188"/>
      <c r="AV574" s="1250">
        <f>I574*0.06</f>
        <v>101.52</v>
      </c>
      <c r="AW574" s="1250">
        <f>I574*2</f>
        <v>3384</v>
      </c>
      <c r="AX574" s="1188"/>
      <c r="AY574" s="1188"/>
      <c r="AZ574" s="1188"/>
      <c r="BA574" s="1188"/>
      <c r="BB574" s="1188"/>
      <c r="BC574" s="1188"/>
      <c r="BD574" s="1188"/>
      <c r="BE574" s="1188"/>
      <c r="BF574" s="1188"/>
      <c r="BG574" s="1188"/>
      <c r="BH574" s="1188"/>
      <c r="BI574" s="1188"/>
      <c r="BJ574" s="1188"/>
      <c r="BK574" s="1188"/>
      <c r="BL574" s="1188"/>
      <c r="BM574" s="1188"/>
      <c r="BN574" s="1188"/>
      <c r="BO574" s="1240"/>
      <c r="BP574" s="1240"/>
      <c r="BQ574" s="1188"/>
      <c r="BR574" s="1236"/>
      <c r="BS574" s="1236"/>
      <c r="BT574" s="1188"/>
      <c r="BU574" s="1188"/>
      <c r="BV574" s="1240"/>
      <c r="BW574" s="1188"/>
      <c r="BX574" s="1188"/>
      <c r="BY574" s="1188"/>
      <c r="BZ574" s="1188"/>
      <c r="CA574" s="1188"/>
      <c r="CB574" s="1188"/>
      <c r="CC574" s="1188"/>
      <c r="CD574" s="1188">
        <f t="shared" si="184"/>
        <v>0</v>
      </c>
      <c r="CE574" s="1188">
        <f t="shared" si="198"/>
        <v>0</v>
      </c>
      <c r="CF574" s="1188">
        <f t="shared" si="185"/>
        <v>0</v>
      </c>
      <c r="CG574" s="1188">
        <f t="shared" si="186"/>
        <v>0</v>
      </c>
      <c r="CH574" s="1236"/>
      <c r="CI574" s="1236"/>
      <c r="CJ574" s="1236">
        <f>I574</f>
        <v>1692</v>
      </c>
      <c r="CK574" s="1188">
        <f>I574</f>
        <v>1692</v>
      </c>
      <c r="CL574" s="1188">
        <f>I574</f>
        <v>1692</v>
      </c>
    </row>
    <row r="575" s="1168" customFormat="1" customHeight="1" spans="1:111">
      <c r="A575" s="1289">
        <v>46219</v>
      </c>
      <c r="B575" s="543" t="s">
        <v>2509</v>
      </c>
      <c r="C575" s="504" t="s">
        <v>508</v>
      </c>
      <c r="D575" s="502">
        <v>4500216779</v>
      </c>
      <c r="E575" s="504">
        <v>1924640134</v>
      </c>
      <c r="F575" s="502" t="s">
        <v>2510</v>
      </c>
      <c r="G575" s="505" t="s">
        <v>2511</v>
      </c>
      <c r="H575" s="504" t="s">
        <v>483</v>
      </c>
      <c r="I575" s="1290">
        <v>240</v>
      </c>
      <c r="J575" s="504">
        <v>0</v>
      </c>
      <c r="K575" s="504">
        <v>120</v>
      </c>
      <c r="L575" s="1291">
        <f t="shared" si="196"/>
        <v>2</v>
      </c>
      <c r="M575" s="501">
        <v>46227</v>
      </c>
      <c r="N575" s="501">
        <v>46223</v>
      </c>
      <c r="O575" s="1312"/>
      <c r="P575" s="1313" t="s">
        <v>2512</v>
      </c>
      <c r="Q575" s="506"/>
      <c r="R575" s="504"/>
      <c r="S575" s="504"/>
      <c r="T575" s="506">
        <f>203+37</f>
        <v>240</v>
      </c>
      <c r="U575" s="500">
        <f t="shared" si="192"/>
        <v>0</v>
      </c>
      <c r="V575" s="504"/>
      <c r="W575" s="1300">
        <v>46202</v>
      </c>
      <c r="X575" s="1325" t="s">
        <v>95</v>
      </c>
      <c r="Y575" s="1325" t="s">
        <v>95</v>
      </c>
      <c r="Z575" s="543" t="s">
        <v>360</v>
      </c>
      <c r="AA575" s="544"/>
      <c r="AB575" s="543"/>
      <c r="AC575" s="544" t="s">
        <v>2513</v>
      </c>
      <c r="AD575" s="501" t="s">
        <v>513</v>
      </c>
      <c r="AE575" s="502">
        <v>1119.104</v>
      </c>
      <c r="AF575" s="503">
        <f>AE575*L575</f>
        <v>2238.208</v>
      </c>
      <c r="AG575" s="1295"/>
      <c r="AH575" s="488" t="s">
        <v>2514</v>
      </c>
      <c r="AI575" s="488" t="s">
        <v>112</v>
      </c>
      <c r="AJ575" s="498" t="s">
        <v>113</v>
      </c>
      <c r="AK575" s="327"/>
      <c r="AL575" s="502">
        <f>I575*3</f>
        <v>720</v>
      </c>
      <c r="AM575" s="1218"/>
      <c r="AN575" s="502"/>
      <c r="AO575" s="502"/>
      <c r="AP575" s="502"/>
      <c r="AQ575" s="1296"/>
      <c r="AR575" s="438"/>
      <c r="AS575" s="1297"/>
      <c r="AT575" s="1297"/>
      <c r="AU575" s="502"/>
      <c r="AV575" s="1298">
        <f>I575*0.06*2</f>
        <v>28.8</v>
      </c>
      <c r="AW575" s="1298"/>
      <c r="AX575" s="1218"/>
      <c r="AY575" s="1218"/>
      <c r="AZ575" s="502"/>
      <c r="BA575" s="502"/>
      <c r="BB575" s="502">
        <f>I575*3</f>
        <v>720</v>
      </c>
      <c r="BC575" s="502">
        <f>I575*3</f>
        <v>720</v>
      </c>
      <c r="BD575" s="502">
        <f>I575*3</f>
        <v>720</v>
      </c>
      <c r="BE575" s="502">
        <f>I575</f>
        <v>240</v>
      </c>
      <c r="BF575" s="502">
        <f>I575/6</f>
        <v>40</v>
      </c>
      <c r="BG575" s="502"/>
      <c r="BH575" s="502"/>
      <c r="BI575" s="502"/>
      <c r="BJ575" s="502"/>
      <c r="BK575" s="502"/>
      <c r="BL575" s="502"/>
      <c r="BM575" s="502"/>
      <c r="BN575" s="502"/>
      <c r="BO575" s="1296"/>
      <c r="BP575" s="1296"/>
      <c r="BQ575" s="1218"/>
      <c r="BR575" s="1297"/>
      <c r="BS575" s="1297"/>
      <c r="BT575" s="502"/>
      <c r="BU575" s="502"/>
      <c r="BV575" s="1296"/>
      <c r="BW575" s="1218"/>
      <c r="BX575" s="1218"/>
      <c r="BY575" s="1218"/>
      <c r="BZ575" s="1218"/>
      <c r="CA575" s="1218"/>
      <c r="CB575" s="1218"/>
      <c r="CC575" s="1218"/>
      <c r="CD575" s="1218">
        <f t="shared" si="184"/>
        <v>0</v>
      </c>
      <c r="CE575" s="1218">
        <f t="shared" si="198"/>
        <v>0</v>
      </c>
      <c r="CF575" s="502">
        <f t="shared" si="185"/>
        <v>0</v>
      </c>
      <c r="CG575" s="1218">
        <f t="shared" si="186"/>
        <v>0</v>
      </c>
      <c r="CH575" s="1299"/>
      <c r="CI575" s="1299"/>
      <c r="CJ575" s="1297"/>
      <c r="CK575" s="502"/>
      <c r="CL575" s="502"/>
      <c r="CM575" s="294"/>
      <c r="CN575" s="294"/>
      <c r="CO575" s="294"/>
      <c r="CP575" s="294"/>
      <c r="CQ575" s="294"/>
      <c r="CR575" s="294"/>
      <c r="CS575" s="294"/>
      <c r="CT575" s="294"/>
      <c r="CU575" s="294"/>
      <c r="CV575" s="294"/>
      <c r="CW575" s="294"/>
      <c r="CX575" s="294"/>
      <c r="CY575" s="294"/>
      <c r="CZ575" s="294"/>
      <c r="DA575" s="294"/>
      <c r="DB575" s="294"/>
      <c r="DC575" s="294"/>
      <c r="DD575" s="294"/>
      <c r="DE575" s="294"/>
      <c r="DF575" s="294"/>
      <c r="DG575" s="294"/>
    </row>
    <row r="576" s="1168" customFormat="1" customHeight="1" spans="1:111">
      <c r="A576" s="1289">
        <v>46169</v>
      </c>
      <c r="B576" s="543" t="s">
        <v>2509</v>
      </c>
      <c r="C576" s="504" t="s">
        <v>508</v>
      </c>
      <c r="D576" s="502">
        <v>4500209281</v>
      </c>
      <c r="E576" s="506">
        <v>1924640113</v>
      </c>
      <c r="F576" s="502" t="s">
        <v>2515</v>
      </c>
      <c r="G576" s="505" t="s">
        <v>2511</v>
      </c>
      <c r="H576" s="488" t="s">
        <v>483</v>
      </c>
      <c r="I576" s="1290">
        <v>4080</v>
      </c>
      <c r="J576" s="504">
        <v>0</v>
      </c>
      <c r="K576" s="504">
        <v>120</v>
      </c>
      <c r="L576" s="1291">
        <f t="shared" si="196"/>
        <v>34</v>
      </c>
      <c r="M576" s="1365">
        <v>46227</v>
      </c>
      <c r="N576" s="1365">
        <v>46240</v>
      </c>
      <c r="O576" s="501"/>
      <c r="P576" s="1313" t="s">
        <v>2516</v>
      </c>
      <c r="Q576" s="506"/>
      <c r="R576" s="504"/>
      <c r="S576" s="504"/>
      <c r="T576" s="506">
        <v>4080</v>
      </c>
      <c r="U576" s="500">
        <f t="shared" si="192"/>
        <v>0</v>
      </c>
      <c r="V576" s="504"/>
      <c r="W576" s="1293">
        <v>46202</v>
      </c>
      <c r="X576" s="1308" t="s">
        <v>95</v>
      </c>
      <c r="Y576" s="1308" t="s">
        <v>95</v>
      </c>
      <c r="Z576" s="543" t="s">
        <v>360</v>
      </c>
      <c r="AA576" s="543"/>
      <c r="AB576" s="543"/>
      <c r="AC576" s="1443" t="s">
        <v>2517</v>
      </c>
      <c r="AD576" s="501" t="s">
        <v>673</v>
      </c>
      <c r="AE576" s="502">
        <v>1070</v>
      </c>
      <c r="AF576" s="503">
        <f>AE576*L576</f>
        <v>36380</v>
      </c>
      <c r="AG576" s="1295"/>
      <c r="AH576" s="488" t="s">
        <v>2514</v>
      </c>
      <c r="AI576" s="488" t="s">
        <v>112</v>
      </c>
      <c r="AJ576" s="498" t="s">
        <v>113</v>
      </c>
      <c r="AK576" s="502"/>
      <c r="AL576" s="502">
        <f>I576*3</f>
        <v>12240</v>
      </c>
      <c r="AM576" s="502"/>
      <c r="AN576" s="502"/>
      <c r="AO576" s="502"/>
      <c r="AP576" s="502"/>
      <c r="AQ576" s="1296"/>
      <c r="AR576" s="502"/>
      <c r="AS576" s="1297"/>
      <c r="AT576" s="1297"/>
      <c r="AU576" s="502"/>
      <c r="AV576" s="1298">
        <f>I576*0.06*2</f>
        <v>489.6</v>
      </c>
      <c r="AW576" s="1419"/>
      <c r="AX576" s="1218"/>
      <c r="AY576" s="1218"/>
      <c r="AZ576" s="502"/>
      <c r="BA576" s="502"/>
      <c r="BB576" s="502">
        <f>I576*3</f>
        <v>12240</v>
      </c>
      <c r="BC576" s="502">
        <f>I576*3</f>
        <v>12240</v>
      </c>
      <c r="BD576" s="502">
        <f>I576*3</f>
        <v>12240</v>
      </c>
      <c r="BE576" s="502">
        <f>I576</f>
        <v>4080</v>
      </c>
      <c r="BF576" s="502">
        <f>I576/6</f>
        <v>680</v>
      </c>
      <c r="BG576" s="502"/>
      <c r="BH576" s="502"/>
      <c r="BI576" s="502"/>
      <c r="BJ576" s="502"/>
      <c r="BK576" s="502"/>
      <c r="BL576" s="502"/>
      <c r="BM576" s="502"/>
      <c r="BN576" s="502"/>
      <c r="BO576" s="1296"/>
      <c r="BP576" s="1296"/>
      <c r="BQ576" s="502"/>
      <c r="BR576" s="1297"/>
      <c r="BS576" s="1297"/>
      <c r="BT576" s="502"/>
      <c r="BU576" s="502"/>
      <c r="BV576" s="1296"/>
      <c r="BW576" s="502"/>
      <c r="BX576" s="502"/>
      <c r="BY576" s="502"/>
      <c r="BZ576" s="502"/>
      <c r="CA576" s="502"/>
      <c r="CB576" s="502"/>
      <c r="CC576" s="502"/>
      <c r="CD576" s="1218">
        <f t="shared" si="184"/>
        <v>0</v>
      </c>
      <c r="CE576" s="1218">
        <f t="shared" si="198"/>
        <v>0</v>
      </c>
      <c r="CF576" s="502">
        <f t="shared" si="185"/>
        <v>0</v>
      </c>
      <c r="CG576" s="1218">
        <f t="shared" si="186"/>
        <v>0</v>
      </c>
      <c r="CH576" s="1299"/>
      <c r="CI576" s="1299"/>
      <c r="CJ576" s="1297"/>
      <c r="CK576" s="502"/>
      <c r="CL576" s="502"/>
      <c r="CM576" s="293"/>
      <c r="CN576" s="293"/>
      <c r="CO576" s="293"/>
      <c r="CP576" s="293"/>
      <c r="CQ576" s="293"/>
      <c r="CR576" s="293"/>
      <c r="CS576" s="293"/>
      <c r="CT576" s="293"/>
      <c r="CU576" s="293"/>
      <c r="CV576" s="293"/>
      <c r="CW576" s="293"/>
      <c r="CX576" s="293"/>
      <c r="CY576" s="293"/>
      <c r="CZ576" s="293"/>
      <c r="DA576" s="293"/>
      <c r="DB576" s="293"/>
      <c r="DC576" s="293"/>
      <c r="DD576" s="293"/>
      <c r="DE576" s="293"/>
      <c r="DF576" s="293"/>
      <c r="DG576" s="293"/>
    </row>
    <row r="577" s="1168" customFormat="1" customHeight="1" spans="1:111">
      <c r="A577" s="1245">
        <v>46057</v>
      </c>
      <c r="B577" s="1247" t="s">
        <v>200</v>
      </c>
      <c r="C577" s="1234" t="s">
        <v>201</v>
      </c>
      <c r="D577" s="1188">
        <v>4500193076</v>
      </c>
      <c r="E577" s="1234">
        <v>4552042239</v>
      </c>
      <c r="F577" s="1188" t="s">
        <v>2518</v>
      </c>
      <c r="G577" s="1253" t="s">
        <v>146</v>
      </c>
      <c r="H577" s="1234" t="s">
        <v>104</v>
      </c>
      <c r="I577" s="1254">
        <v>3000</v>
      </c>
      <c r="J577" s="1234">
        <v>0</v>
      </c>
      <c r="K577" s="1234">
        <v>25</v>
      </c>
      <c r="L577" s="1246">
        <f t="shared" si="196"/>
        <v>120</v>
      </c>
      <c r="M577" s="1255">
        <v>46230</v>
      </c>
      <c r="N577" s="1320">
        <v>46235</v>
      </c>
      <c r="O577" s="1255"/>
      <c r="P577" s="1233"/>
      <c r="Q577" s="1233" t="s">
        <v>1410</v>
      </c>
      <c r="R577" s="1234" t="s">
        <v>2519</v>
      </c>
      <c r="S577" s="1234"/>
      <c r="T577" s="1233">
        <v>3000</v>
      </c>
      <c r="U577" s="1233">
        <f t="shared" si="192"/>
        <v>0</v>
      </c>
      <c r="V577" s="1234" t="s">
        <v>120</v>
      </c>
      <c r="W577" s="1238">
        <v>46097</v>
      </c>
      <c r="X577" s="1227" t="s">
        <v>107</v>
      </c>
      <c r="Y577" s="1257" t="s">
        <v>2520</v>
      </c>
      <c r="Z577" s="1247"/>
      <c r="AA577" s="1247"/>
      <c r="AB577" s="1247"/>
      <c r="AC577" s="1247" t="s">
        <v>2521</v>
      </c>
      <c r="AD577" s="1255" t="s">
        <v>204</v>
      </c>
      <c r="AE577" s="1362">
        <v>1.0697</v>
      </c>
      <c r="AF577" s="1248">
        <f>I577*AE577</f>
        <v>3209.1</v>
      </c>
      <c r="AG577" s="1258"/>
      <c r="AH577" s="1234" t="s">
        <v>111</v>
      </c>
      <c r="AI577" s="1234" t="s">
        <v>112</v>
      </c>
      <c r="AJ577" s="1234"/>
      <c r="AK577" s="1188">
        <f>I577</f>
        <v>3000</v>
      </c>
      <c r="AL577" s="1188"/>
      <c r="AM577" s="1188"/>
      <c r="AN577" s="1188"/>
      <c r="AO577" s="1188"/>
      <c r="AP577" s="1188">
        <f>I577</f>
        <v>3000</v>
      </c>
      <c r="AQ577" s="1240"/>
      <c r="AR577" s="1188"/>
      <c r="AS577" s="1236"/>
      <c r="AT577" s="1236"/>
      <c r="AU577" s="1188">
        <f>I577</f>
        <v>3000</v>
      </c>
      <c r="AV577" s="1250">
        <f>I577*0.06</f>
        <v>180</v>
      </c>
      <c r="AW577" s="1250"/>
      <c r="AX577" s="1188"/>
      <c r="AY577" s="1188"/>
      <c r="AZ577" s="1188"/>
      <c r="BA577" s="1188"/>
      <c r="BB577" s="1188"/>
      <c r="BC577" s="1188"/>
      <c r="BD577" s="1188"/>
      <c r="BE577" s="1188"/>
      <c r="BF577" s="1188"/>
      <c r="BG577" s="1188"/>
      <c r="BH577" s="1188"/>
      <c r="BI577" s="1188"/>
      <c r="BJ577" s="1188"/>
      <c r="BK577" s="1188"/>
      <c r="BL577" s="1188"/>
      <c r="BM577" s="1188"/>
      <c r="BN577" s="1188"/>
      <c r="BO577" s="1240">
        <f>I577/25</f>
        <v>120</v>
      </c>
      <c r="BP577" s="1240"/>
      <c r="BQ577" s="1188"/>
      <c r="BR577" s="1236"/>
      <c r="BS577" s="1188"/>
      <c r="BT577" s="1188"/>
      <c r="BU577" s="1188"/>
      <c r="BV577" s="1240"/>
      <c r="BW577" s="1188"/>
      <c r="BX577" s="1188"/>
      <c r="BY577" s="1188"/>
      <c r="BZ577" s="1188"/>
      <c r="CA577" s="1188"/>
      <c r="CB577" s="1188"/>
      <c r="CC577" s="1188"/>
      <c r="CD577" s="1188">
        <f t="shared" si="184"/>
        <v>120</v>
      </c>
      <c r="CE577" s="1188">
        <f t="shared" si="198"/>
        <v>0</v>
      </c>
      <c r="CF577" s="1188">
        <f t="shared" si="185"/>
        <v>0</v>
      </c>
      <c r="CG577" s="1188">
        <f t="shared" si="186"/>
        <v>0</v>
      </c>
      <c r="CH577" s="1236"/>
      <c r="CI577" s="1236"/>
      <c r="CJ577" s="1236"/>
      <c r="CK577" s="1188"/>
      <c r="CL577" s="1188"/>
    </row>
    <row r="578" s="1168" customFormat="1" customHeight="1" spans="1:111">
      <c r="A578" s="1245">
        <v>46136</v>
      </c>
      <c r="B578" s="1247" t="s">
        <v>2522</v>
      </c>
      <c r="C578" s="1234" t="s">
        <v>2523</v>
      </c>
      <c r="D578" s="1188">
        <v>4500203837</v>
      </c>
      <c r="E578" s="1233">
        <v>4500159372</v>
      </c>
      <c r="F578" s="1188" t="s">
        <v>2524</v>
      </c>
      <c r="G578" s="1253" t="s">
        <v>188</v>
      </c>
      <c r="H578" s="1234" t="s">
        <v>138</v>
      </c>
      <c r="I578" s="1254">
        <v>5000</v>
      </c>
      <c r="J578" s="1234">
        <v>0</v>
      </c>
      <c r="K578" s="1234">
        <v>50</v>
      </c>
      <c r="L578" s="1246">
        <f t="shared" si="196"/>
        <v>100</v>
      </c>
      <c r="M578" s="1255">
        <v>46230</v>
      </c>
      <c r="N578" s="1320">
        <v>46237</v>
      </c>
      <c r="O578" s="1255"/>
      <c r="P578" s="1233"/>
      <c r="Q578" s="1233" t="s">
        <v>1410</v>
      </c>
      <c r="R578" s="1234" t="s">
        <v>2519</v>
      </c>
      <c r="S578" s="1234"/>
      <c r="T578" s="1233">
        <v>5000</v>
      </c>
      <c r="U578" s="1233">
        <f t="shared" si="192"/>
        <v>0</v>
      </c>
      <c r="V578" s="1234"/>
      <c r="W578" s="1238">
        <v>46184</v>
      </c>
      <c r="X578" s="1227" t="s">
        <v>95</v>
      </c>
      <c r="Y578" s="1257" t="s">
        <v>2525</v>
      </c>
      <c r="Z578" s="1247"/>
      <c r="AA578" s="1247"/>
      <c r="AB578" s="1247"/>
      <c r="AC578" s="1247" t="s">
        <v>2526</v>
      </c>
      <c r="AD578" s="1255" t="s">
        <v>757</v>
      </c>
      <c r="AE578" s="1188">
        <v>1.0837</v>
      </c>
      <c r="AF578" s="1248">
        <f>AE578*I578</f>
        <v>5418.5</v>
      </c>
      <c r="AG578" s="1258"/>
      <c r="AH578" s="1234" t="s">
        <v>314</v>
      </c>
      <c r="AI578" s="1234" t="s">
        <v>112</v>
      </c>
      <c r="AJ578" s="1234" t="s">
        <v>113</v>
      </c>
      <c r="AK578" s="1188">
        <f>I578</f>
        <v>5000</v>
      </c>
      <c r="AL578" s="1188"/>
      <c r="AM578" s="1188"/>
      <c r="AN578" s="1188"/>
      <c r="AO578" s="1188"/>
      <c r="AP578" s="1188">
        <f>I578</f>
        <v>5000</v>
      </c>
      <c r="AQ578" s="1240"/>
      <c r="AR578" s="1188"/>
      <c r="AS578" s="1236"/>
      <c r="AT578" s="1236"/>
      <c r="AU578" s="1188">
        <f>I578</f>
        <v>5000</v>
      </c>
      <c r="AV578" s="1250"/>
      <c r="AW578" s="1250"/>
      <c r="AX578" s="1188"/>
      <c r="AY578" s="1188"/>
      <c r="AZ578" s="1188"/>
      <c r="BA578" s="1188"/>
      <c r="BB578" s="1188"/>
      <c r="BC578" s="1188"/>
      <c r="BD578" s="1188"/>
      <c r="BE578" s="1188"/>
      <c r="BF578" s="1188"/>
      <c r="BG578" s="1188"/>
      <c r="BH578" s="1188"/>
      <c r="BI578" s="1188"/>
      <c r="BJ578" s="1188"/>
      <c r="BK578" s="1188"/>
      <c r="BL578" s="1188"/>
      <c r="BM578" s="1188"/>
      <c r="BN578" s="1188"/>
      <c r="BO578" s="1240">
        <f>I578/25</f>
        <v>200</v>
      </c>
      <c r="BP578" s="1240"/>
      <c r="BQ578" s="1188"/>
      <c r="BR578" s="1236"/>
      <c r="BS578" s="1236"/>
      <c r="BT578" s="1188"/>
      <c r="BU578" s="1188"/>
      <c r="BV578" s="1240"/>
      <c r="BW578" s="1188"/>
      <c r="BX578" s="1188"/>
      <c r="BY578" s="1188"/>
      <c r="BZ578" s="1188"/>
      <c r="CA578" s="1188"/>
      <c r="CB578" s="1188"/>
      <c r="CC578" s="1188"/>
      <c r="CD578" s="1188">
        <f t="shared" si="184"/>
        <v>200</v>
      </c>
      <c r="CE578" s="1188">
        <f t="shared" si="198"/>
        <v>0</v>
      </c>
      <c r="CF578" s="1188">
        <f t="shared" si="185"/>
        <v>0</v>
      </c>
      <c r="CG578" s="1188">
        <f t="shared" si="186"/>
        <v>0</v>
      </c>
      <c r="CH578" s="1236"/>
      <c r="CI578" s="1236"/>
      <c r="CJ578" s="1236"/>
      <c r="CK578" s="1188"/>
      <c r="CL578" s="1188"/>
    </row>
    <row r="579" s="1168" customFormat="1" customHeight="1" spans="1:111">
      <c r="A579" s="1245">
        <v>46164</v>
      </c>
      <c r="B579" s="1247" t="s">
        <v>230</v>
      </c>
      <c r="C579" s="1234" t="s">
        <v>135</v>
      </c>
      <c r="D579" s="1234">
        <v>4500208804</v>
      </c>
      <c r="E579" s="1233">
        <v>15445</v>
      </c>
      <c r="F579" s="1188" t="s">
        <v>2527</v>
      </c>
      <c r="G579" s="1253" t="s">
        <v>137</v>
      </c>
      <c r="H579" s="1234" t="s">
        <v>138</v>
      </c>
      <c r="I579" s="1254">
        <v>1500</v>
      </c>
      <c r="J579" s="1234">
        <v>0</v>
      </c>
      <c r="K579" s="1234">
        <v>50</v>
      </c>
      <c r="L579" s="1246">
        <f t="shared" si="196"/>
        <v>30</v>
      </c>
      <c r="M579" s="1255">
        <v>46231</v>
      </c>
      <c r="N579" s="1320">
        <v>46235</v>
      </c>
      <c r="O579" s="1255"/>
      <c r="P579" s="1233"/>
      <c r="Q579" s="1233" t="s">
        <v>1410</v>
      </c>
      <c r="R579" s="1234" t="s">
        <v>2528</v>
      </c>
      <c r="S579" s="1234"/>
      <c r="T579" s="1233">
        <v>1500</v>
      </c>
      <c r="U579" s="1233">
        <f t="shared" si="192"/>
        <v>0</v>
      </c>
      <c r="V579" s="1234"/>
      <c r="W579" s="1238">
        <v>46171</v>
      </c>
      <c r="X579" s="1227" t="s">
        <v>95</v>
      </c>
      <c r="Y579" s="1227" t="s">
        <v>2529</v>
      </c>
      <c r="Z579" s="1247" t="s">
        <v>140</v>
      </c>
      <c r="AA579" s="1247"/>
      <c r="AB579" s="1247" t="s">
        <v>1513</v>
      </c>
      <c r="AC579" s="1321" t="s">
        <v>2530</v>
      </c>
      <c r="AD579" s="1255" t="s">
        <v>236</v>
      </c>
      <c r="AE579" s="1188">
        <v>1.07</v>
      </c>
      <c r="AF579" s="1188">
        <f t="shared" ref="AF579:AF586" si="199">I579*AE579</f>
        <v>1605</v>
      </c>
      <c r="AG579" s="1258"/>
      <c r="AH579" s="1234" t="s">
        <v>1515</v>
      </c>
      <c r="AI579" s="1234" t="s">
        <v>112</v>
      </c>
      <c r="AJ579" s="1234" t="s">
        <v>113</v>
      </c>
      <c r="AK579" s="1188">
        <f>I579</f>
        <v>1500</v>
      </c>
      <c r="AL579" s="1188"/>
      <c r="AM579" s="1188"/>
      <c r="AN579" s="1188">
        <f>I579</f>
        <v>1500</v>
      </c>
      <c r="AO579" s="1188"/>
      <c r="AP579" s="1188"/>
      <c r="AQ579" s="1240"/>
      <c r="AR579" s="1188"/>
      <c r="AS579" s="1236"/>
      <c r="AT579" s="1236"/>
      <c r="AU579" s="1188"/>
      <c r="AV579" s="1250">
        <f>I579*0.06*2</f>
        <v>180</v>
      </c>
      <c r="AW579" s="1250">
        <f>I579</f>
        <v>1500</v>
      </c>
      <c r="AX579" s="1188"/>
      <c r="AY579" s="1188"/>
      <c r="AZ579" s="1188"/>
      <c r="BA579" s="1188"/>
      <c r="BB579" s="1188"/>
      <c r="BC579" s="1188"/>
      <c r="BD579" s="1188"/>
      <c r="BE579" s="1188"/>
      <c r="BF579" s="1188"/>
      <c r="BG579" s="1188"/>
      <c r="BH579" s="1188"/>
      <c r="BI579" s="1188"/>
      <c r="BJ579" s="1188"/>
      <c r="BK579" s="1188"/>
      <c r="BL579" s="1188"/>
      <c r="BM579" s="1188"/>
      <c r="BN579" s="1188">
        <f>I579/25</f>
        <v>60</v>
      </c>
      <c r="BO579" s="1240"/>
      <c r="BP579" s="1240"/>
      <c r="BQ579" s="1188"/>
      <c r="BR579" s="1236"/>
      <c r="BS579" s="1236"/>
      <c r="BT579" s="1188"/>
      <c r="BU579" s="1188"/>
      <c r="BV579" s="1240"/>
      <c r="BW579" s="1188"/>
      <c r="BX579" s="1188"/>
      <c r="BY579" s="1188"/>
      <c r="BZ579" s="1188"/>
      <c r="CA579" s="1188"/>
      <c r="CB579" s="1188"/>
      <c r="CC579" s="1188"/>
      <c r="CD579" s="1188">
        <f t="shared" si="184"/>
        <v>60</v>
      </c>
      <c r="CE579" s="1188">
        <f t="shared" si="198"/>
        <v>0</v>
      </c>
      <c r="CF579" s="1188">
        <f t="shared" si="185"/>
        <v>0</v>
      </c>
      <c r="CG579" s="1188">
        <f t="shared" si="186"/>
        <v>0</v>
      </c>
      <c r="CH579" s="1236"/>
      <c r="CI579" s="1236"/>
      <c r="CJ579" s="1236"/>
      <c r="CK579" s="1188"/>
      <c r="CL579" s="1188"/>
    </row>
    <row r="580" s="1168" customFormat="1" customHeight="1" spans="1:111">
      <c r="A580" s="1245">
        <v>46217</v>
      </c>
      <c r="B580" s="1247" t="s">
        <v>386</v>
      </c>
      <c r="C580" s="1234" t="s">
        <v>115</v>
      </c>
      <c r="D580" s="1268">
        <v>4500216420</v>
      </c>
      <c r="E580" s="1234" t="s">
        <v>2531</v>
      </c>
      <c r="F580" s="1188" t="s">
        <v>2532</v>
      </c>
      <c r="G580" s="1253" t="s">
        <v>389</v>
      </c>
      <c r="H580" s="1234" t="s">
        <v>390</v>
      </c>
      <c r="I580" s="1254">
        <v>19680</v>
      </c>
      <c r="J580" s="1234">
        <v>0</v>
      </c>
      <c r="K580" s="1234">
        <v>12</v>
      </c>
      <c r="L580" s="1246">
        <f t="shared" si="196"/>
        <v>1640</v>
      </c>
      <c r="M580" s="1255">
        <v>46232</v>
      </c>
      <c r="N580" s="1255">
        <v>46228</v>
      </c>
      <c r="O580" s="1322" t="s">
        <v>736</v>
      </c>
      <c r="P580" s="1233" t="s">
        <v>2533</v>
      </c>
      <c r="Q580" s="1233" t="s">
        <v>1410</v>
      </c>
      <c r="R580" s="1234"/>
      <c r="S580" s="1234"/>
      <c r="T580" s="1233">
        <v>19680</v>
      </c>
      <c r="U580" s="1233">
        <f t="shared" si="192"/>
        <v>0</v>
      </c>
      <c r="V580" s="1234"/>
      <c r="W580" s="1238" t="s">
        <v>2533</v>
      </c>
      <c r="X580" s="1257" t="s">
        <v>107</v>
      </c>
      <c r="Y580" s="1227" t="s">
        <v>2204</v>
      </c>
      <c r="Z580" s="1247" t="s">
        <v>2534</v>
      </c>
      <c r="AA580" s="1247"/>
      <c r="AB580" s="1247"/>
      <c r="AC580" s="1334" t="s">
        <v>2535</v>
      </c>
      <c r="AD580" s="1255" t="s">
        <v>557</v>
      </c>
      <c r="AE580" s="1188">
        <v>1.5398</v>
      </c>
      <c r="AF580" s="1248">
        <f t="shared" si="199"/>
        <v>30303.264</v>
      </c>
      <c r="AG580" s="1249" t="s">
        <v>2536</v>
      </c>
      <c r="AH580" s="1253" t="s">
        <v>389</v>
      </c>
      <c r="AI580" s="1234" t="s">
        <v>112</v>
      </c>
      <c r="AJ580" s="1234" t="s">
        <v>113</v>
      </c>
      <c r="AK580" s="1188">
        <f t="shared" ref="AK580:AK586" si="200">I580*2</f>
        <v>39360</v>
      </c>
      <c r="AL580" s="1188"/>
      <c r="AM580" s="1188"/>
      <c r="AN580" s="1188"/>
      <c r="AO580" s="1188"/>
      <c r="AP580" s="1188"/>
      <c r="AQ580" s="1240">
        <f t="shared" ref="AQ580:AQ585" si="201">I580*2</f>
        <v>39360</v>
      </c>
      <c r="AR580" s="1188"/>
      <c r="AS580" s="1236"/>
      <c r="AT580" s="1236"/>
      <c r="AU580" s="1188">
        <f t="shared" ref="AU580:AU585" si="202">I580*2</f>
        <v>39360</v>
      </c>
      <c r="AV580" s="1250"/>
      <c r="AW580" s="1250"/>
      <c r="AX580" s="1188"/>
      <c r="AY580" s="1188"/>
      <c r="AZ580" s="1188"/>
      <c r="BA580" s="1188"/>
      <c r="BB580" s="1188"/>
      <c r="BC580" s="1188"/>
      <c r="BD580" s="1188"/>
      <c r="BE580" s="1188"/>
      <c r="BF580" s="1188"/>
      <c r="BG580" s="1188"/>
      <c r="BH580" s="1188"/>
      <c r="BI580" s="1188"/>
      <c r="BJ580" s="1188"/>
      <c r="BK580" s="1188"/>
      <c r="BL580" s="1188"/>
      <c r="BM580" s="1188"/>
      <c r="BN580" s="1188"/>
      <c r="BO580" s="1240"/>
      <c r="BP580" s="1240"/>
      <c r="BQ580" s="1188"/>
      <c r="BR580" s="1236"/>
      <c r="BS580" s="1236"/>
      <c r="BT580" s="1188"/>
      <c r="BU580" s="1188"/>
      <c r="BV580" s="1240"/>
      <c r="BW580" s="1188"/>
      <c r="BX580" s="1188"/>
      <c r="BY580" s="1188"/>
      <c r="BZ580" s="1188"/>
      <c r="CA580" s="1188"/>
      <c r="CB580" s="1188"/>
      <c r="CC580" s="1188"/>
      <c r="CD580" s="1188">
        <f t="shared" si="184"/>
        <v>0</v>
      </c>
      <c r="CE580" s="1188">
        <f t="shared" si="198"/>
        <v>0</v>
      </c>
      <c r="CF580" s="1188">
        <f t="shared" si="185"/>
        <v>0</v>
      </c>
      <c r="CG580" s="1188">
        <f t="shared" si="186"/>
        <v>0</v>
      </c>
      <c r="CH580" s="1236"/>
      <c r="CI580" s="1236"/>
      <c r="CJ580" s="1236">
        <f t="shared" ref="CJ580:CJ585" si="203">I580</f>
        <v>19680</v>
      </c>
      <c r="CK580" s="1188">
        <f t="shared" ref="CK580:CK585" si="204">I580</f>
        <v>19680</v>
      </c>
      <c r="CL580" s="1188">
        <f t="shared" ref="CL580:CL585" si="205">I580</f>
        <v>19680</v>
      </c>
      <c r="CM580" s="1169"/>
      <c r="CN580" s="1169"/>
      <c r="CO580" s="1169"/>
      <c r="CP580" s="1169"/>
      <c r="CQ580" s="1169"/>
      <c r="CR580" s="1169"/>
      <c r="CS580" s="1169"/>
      <c r="CT580" s="1169"/>
      <c r="CU580" s="1169"/>
      <c r="CV580" s="1169"/>
      <c r="CW580" s="1169"/>
      <c r="CX580" s="1169"/>
      <c r="CY580" s="1169"/>
      <c r="CZ580" s="1169"/>
      <c r="DA580" s="1169"/>
      <c r="DB580" s="1169"/>
      <c r="DC580" s="1169"/>
      <c r="DD580" s="1169"/>
      <c r="DE580" s="1169"/>
      <c r="DF580" s="1169"/>
      <c r="DG580" s="1169"/>
    </row>
    <row r="581" s="1168" customFormat="1" customHeight="1" spans="1:111">
      <c r="A581" s="1219">
        <v>46204</v>
      </c>
      <c r="B581" s="1220" t="s">
        <v>1908</v>
      </c>
      <c r="C581" s="1221" t="s">
        <v>201</v>
      </c>
      <c r="D581" s="1303">
        <v>4500214522</v>
      </c>
      <c r="E581" s="1221" t="s">
        <v>2537</v>
      </c>
      <c r="F581" s="1222" t="s">
        <v>2538</v>
      </c>
      <c r="G581" s="1223" t="s">
        <v>389</v>
      </c>
      <c r="H581" s="1221" t="s">
        <v>390</v>
      </c>
      <c r="I581" s="1252">
        <v>408</v>
      </c>
      <c r="J581" s="1221">
        <v>0</v>
      </c>
      <c r="K581" s="1221">
        <v>12</v>
      </c>
      <c r="L581" s="1224">
        <f t="shared" si="196"/>
        <v>34</v>
      </c>
      <c r="M581" s="1225">
        <v>46232</v>
      </c>
      <c r="N581" s="1338">
        <v>46235</v>
      </c>
      <c r="O581" s="1255" t="s">
        <v>1923</v>
      </c>
      <c r="P581" s="1226" t="s">
        <v>2539</v>
      </c>
      <c r="Q581" s="1233" t="s">
        <v>1410</v>
      </c>
      <c r="R581" s="1221" t="s">
        <v>2540</v>
      </c>
      <c r="S581" s="1221"/>
      <c r="T581" s="1226">
        <v>408</v>
      </c>
      <c r="U581" s="1233">
        <f t="shared" si="192"/>
        <v>0</v>
      </c>
      <c r="V581" s="1221" t="s">
        <v>120</v>
      </c>
      <c r="W581" s="1238">
        <v>46139</v>
      </c>
      <c r="X581" s="1227" t="s">
        <v>107</v>
      </c>
      <c r="Y581" s="1227">
        <v>46211</v>
      </c>
      <c r="Z581" s="1220"/>
      <c r="AA581" s="1220"/>
      <c r="AB581" s="1220"/>
      <c r="AC581" s="1220" t="s">
        <v>2541</v>
      </c>
      <c r="AD581" s="1225" t="s">
        <v>563</v>
      </c>
      <c r="AE581" s="1222">
        <v>2.4945</v>
      </c>
      <c r="AF581" s="1229">
        <f t="shared" si="199"/>
        <v>1017.756</v>
      </c>
      <c r="AG581" s="1230"/>
      <c r="AH581" s="1223" t="s">
        <v>389</v>
      </c>
      <c r="AI581" s="1221" t="s">
        <v>112</v>
      </c>
      <c r="AJ581" s="1234" t="s">
        <v>113</v>
      </c>
      <c r="AK581" s="1222">
        <f t="shared" si="200"/>
        <v>816</v>
      </c>
      <c r="AL581" s="1222"/>
      <c r="AM581" s="1222"/>
      <c r="AN581" s="1222"/>
      <c r="AO581" s="1222"/>
      <c r="AP581" s="1222"/>
      <c r="AQ581" s="1242">
        <f t="shared" si="201"/>
        <v>816</v>
      </c>
      <c r="AR581" s="1222"/>
      <c r="AS581" s="1232"/>
      <c r="AT581" s="1232"/>
      <c r="AU581" s="1222">
        <f t="shared" si="202"/>
        <v>816</v>
      </c>
      <c r="AV581" s="1241">
        <f t="shared" ref="AV581:AV586" si="206">I581*0.06*2</f>
        <v>48.96</v>
      </c>
      <c r="AW581" s="1241"/>
      <c r="AX581" s="1222"/>
      <c r="AY581" s="1222"/>
      <c r="AZ581" s="1222"/>
      <c r="BA581" s="1222"/>
      <c r="BB581" s="1222"/>
      <c r="BC581" s="1222"/>
      <c r="BD581" s="1222"/>
      <c r="BE581" s="1222"/>
      <c r="BF581" s="1222"/>
      <c r="BG581" s="1222"/>
      <c r="BH581" s="1222"/>
      <c r="BI581" s="1222"/>
      <c r="BJ581" s="1222"/>
      <c r="BK581" s="1222"/>
      <c r="BL581" s="1222"/>
      <c r="BM581" s="1222"/>
      <c r="BN581" s="1222"/>
      <c r="BO581" s="1242"/>
      <c r="BP581" s="1242"/>
      <c r="BQ581" s="1222"/>
      <c r="BR581" s="1232"/>
      <c r="BS581" s="1232"/>
      <c r="BT581" s="1222"/>
      <c r="BU581" s="1222"/>
      <c r="BV581" s="1242"/>
      <c r="BW581" s="1222"/>
      <c r="BX581" s="1222"/>
      <c r="BY581" s="1222"/>
      <c r="BZ581" s="1222"/>
      <c r="CA581" s="1222"/>
      <c r="CB581" s="1222"/>
      <c r="CC581" s="1222"/>
      <c r="CD581" s="1222">
        <f t="shared" ref="CD581:CD643" si="207">BN581+BO581+BQ581+BS581+BR581</f>
        <v>0</v>
      </c>
      <c r="CE581" s="1222">
        <f t="shared" si="198"/>
        <v>0</v>
      </c>
      <c r="CF581" s="1222">
        <f t="shared" ref="CF581:CF643" si="208">CC581</f>
        <v>0</v>
      </c>
      <c r="CG581" s="1222">
        <f t="shared" ref="CG581:CG643" si="209">BV581+BW581+BX581</f>
        <v>0</v>
      </c>
      <c r="CH581" s="1232"/>
      <c r="CI581" s="1232"/>
      <c r="CJ581" s="1232">
        <f t="shared" si="203"/>
        <v>408</v>
      </c>
      <c r="CK581" s="1222">
        <f t="shared" si="204"/>
        <v>408</v>
      </c>
      <c r="CL581" s="1222">
        <f t="shared" si="205"/>
        <v>408</v>
      </c>
      <c r="CM581" s="1172"/>
      <c r="CN581" s="1172"/>
      <c r="CO581" s="1172"/>
      <c r="CP581" s="1172"/>
      <c r="CQ581" s="1172"/>
      <c r="CR581" s="1172"/>
      <c r="CS581" s="1172"/>
      <c r="CT581" s="1172"/>
      <c r="CU581" s="1172"/>
      <c r="CV581" s="1172"/>
      <c r="CW581" s="1172"/>
      <c r="CX581" s="1172"/>
      <c r="CY581" s="1172"/>
      <c r="CZ581" s="1172"/>
      <c r="DA581" s="1172"/>
      <c r="DB581" s="1172"/>
      <c r="DC581" s="1172"/>
      <c r="DD581" s="1172"/>
      <c r="DE581" s="1172"/>
      <c r="DF581" s="1172"/>
      <c r="DG581" s="1172"/>
    </row>
    <row r="582" s="1168" customFormat="1" customHeight="1" spans="1:111">
      <c r="A582" s="1245">
        <v>46204</v>
      </c>
      <c r="B582" s="1247" t="s">
        <v>1908</v>
      </c>
      <c r="C582" s="1234" t="s">
        <v>201</v>
      </c>
      <c r="D582" s="1268">
        <v>4500214522</v>
      </c>
      <c r="E582" s="1234" t="s">
        <v>2542</v>
      </c>
      <c r="F582" s="1188" t="s">
        <v>2543</v>
      </c>
      <c r="G582" s="1253" t="s">
        <v>389</v>
      </c>
      <c r="H582" s="1234" t="s">
        <v>390</v>
      </c>
      <c r="I582" s="1254">
        <v>576</v>
      </c>
      <c r="J582" s="1234">
        <v>0</v>
      </c>
      <c r="K582" s="1234">
        <v>12</v>
      </c>
      <c r="L582" s="1246">
        <f t="shared" si="196"/>
        <v>48</v>
      </c>
      <c r="M582" s="1255">
        <v>46232</v>
      </c>
      <c r="N582" s="1320">
        <v>46235</v>
      </c>
      <c r="O582" s="1255" t="s">
        <v>1923</v>
      </c>
      <c r="P582" s="1233" t="s">
        <v>2539</v>
      </c>
      <c r="Q582" s="1233" t="s">
        <v>1410</v>
      </c>
      <c r="R582" s="1234" t="s">
        <v>2540</v>
      </c>
      <c r="S582" s="1234"/>
      <c r="T582" s="1233">
        <v>576</v>
      </c>
      <c r="U582" s="1233">
        <f t="shared" si="192"/>
        <v>0</v>
      </c>
      <c r="V582" s="1234" t="s">
        <v>120</v>
      </c>
      <c r="W582" s="1238">
        <v>46139</v>
      </c>
      <c r="X582" s="1257" t="s">
        <v>107</v>
      </c>
      <c r="Y582" s="1257">
        <v>46211</v>
      </c>
      <c r="Z582" s="1247"/>
      <c r="AA582" s="1247"/>
      <c r="AB582" s="1247"/>
      <c r="AC582" s="1247" t="s">
        <v>2541</v>
      </c>
      <c r="AD582" s="1255" t="s">
        <v>563</v>
      </c>
      <c r="AE582" s="1188">
        <v>2.4945</v>
      </c>
      <c r="AF582" s="1248">
        <f t="shared" si="199"/>
        <v>1436.832</v>
      </c>
      <c r="AG582" s="1258"/>
      <c r="AH582" s="1253" t="s">
        <v>389</v>
      </c>
      <c r="AI582" s="1234" t="s">
        <v>112</v>
      </c>
      <c r="AJ582" s="1234" t="s">
        <v>113</v>
      </c>
      <c r="AK582" s="1188">
        <f t="shared" si="200"/>
        <v>1152</v>
      </c>
      <c r="AL582" s="1188"/>
      <c r="AM582" s="1188"/>
      <c r="AN582" s="1188"/>
      <c r="AO582" s="1188"/>
      <c r="AP582" s="1188"/>
      <c r="AQ582" s="1240">
        <f t="shared" si="201"/>
        <v>1152</v>
      </c>
      <c r="AR582" s="1188"/>
      <c r="AS582" s="1236"/>
      <c r="AT582" s="1236"/>
      <c r="AU582" s="1188">
        <f t="shared" si="202"/>
        <v>1152</v>
      </c>
      <c r="AV582" s="1250">
        <f t="shared" si="206"/>
        <v>69.12</v>
      </c>
      <c r="AW582" s="1250"/>
      <c r="AX582" s="1188"/>
      <c r="AY582" s="1188"/>
      <c r="AZ582" s="1188"/>
      <c r="BA582" s="1188"/>
      <c r="BB582" s="1188"/>
      <c r="BC582" s="1188"/>
      <c r="BD582" s="1188"/>
      <c r="BE582" s="1188"/>
      <c r="BF582" s="1188"/>
      <c r="BG582" s="1188"/>
      <c r="BH582" s="1188"/>
      <c r="BI582" s="1188"/>
      <c r="BJ582" s="1188"/>
      <c r="BK582" s="1188"/>
      <c r="BL582" s="1188"/>
      <c r="BM582" s="1188"/>
      <c r="BN582" s="1188"/>
      <c r="BO582" s="1240"/>
      <c r="BP582" s="1240"/>
      <c r="BQ582" s="1188"/>
      <c r="BR582" s="1236"/>
      <c r="BS582" s="1236"/>
      <c r="BT582" s="1188"/>
      <c r="BU582" s="1188"/>
      <c r="BV582" s="1240"/>
      <c r="BW582" s="1188"/>
      <c r="BX582" s="1188"/>
      <c r="BY582" s="1188"/>
      <c r="BZ582" s="1188"/>
      <c r="CA582" s="1188"/>
      <c r="CB582" s="1188"/>
      <c r="CC582" s="1188"/>
      <c r="CD582" s="1188">
        <f t="shared" si="207"/>
        <v>0</v>
      </c>
      <c r="CE582" s="1188">
        <f t="shared" si="198"/>
        <v>0</v>
      </c>
      <c r="CF582" s="1188">
        <f t="shared" si="208"/>
        <v>0</v>
      </c>
      <c r="CG582" s="1188">
        <f t="shared" si="209"/>
        <v>0</v>
      </c>
      <c r="CH582" s="1236"/>
      <c r="CI582" s="1236"/>
      <c r="CJ582" s="1236">
        <f t="shared" si="203"/>
        <v>576</v>
      </c>
      <c r="CK582" s="1188">
        <f t="shared" si="204"/>
        <v>576</v>
      </c>
      <c r="CL582" s="1188">
        <f t="shared" si="205"/>
        <v>576</v>
      </c>
    </row>
    <row r="583" s="1170" customFormat="1" customHeight="1" spans="1:111">
      <c r="A583" s="1396">
        <v>46204</v>
      </c>
      <c r="B583" s="1397" t="s">
        <v>1908</v>
      </c>
      <c r="C583" s="498" t="s">
        <v>201</v>
      </c>
      <c r="D583" s="1398">
        <v>4500214522</v>
      </c>
      <c r="E583" s="498" t="s">
        <v>2544</v>
      </c>
      <c r="F583" s="496" t="s">
        <v>2545</v>
      </c>
      <c r="G583" s="499" t="s">
        <v>389</v>
      </c>
      <c r="H583" s="498" t="s">
        <v>390</v>
      </c>
      <c r="I583" s="1399">
        <v>1092</v>
      </c>
      <c r="J583" s="498">
        <v>0</v>
      </c>
      <c r="K583" s="498">
        <v>12</v>
      </c>
      <c r="L583" s="1400">
        <f t="shared" si="196"/>
        <v>91</v>
      </c>
      <c r="M583" s="495">
        <v>46232</v>
      </c>
      <c r="N583" s="1401">
        <v>46235</v>
      </c>
      <c r="O583" s="1444" t="s">
        <v>1923</v>
      </c>
      <c r="P583" s="500" t="s">
        <v>2539</v>
      </c>
      <c r="Q583" s="500" t="s">
        <v>1410</v>
      </c>
      <c r="R583" s="498" t="s">
        <v>2540</v>
      </c>
      <c r="S583" s="498"/>
      <c r="T583" s="500">
        <v>1092</v>
      </c>
      <c r="U583" s="500">
        <f t="shared" si="192"/>
        <v>0</v>
      </c>
      <c r="V583" s="498" t="s">
        <v>120</v>
      </c>
      <c r="W583" s="1404">
        <v>46139</v>
      </c>
      <c r="X583" s="1405" t="s">
        <v>107</v>
      </c>
      <c r="Y583" s="1405">
        <v>46211</v>
      </c>
      <c r="Z583" s="1397"/>
      <c r="AA583" s="1397"/>
      <c r="AB583" s="1397"/>
      <c r="AC583" s="1397" t="s">
        <v>2541</v>
      </c>
      <c r="AD583" s="495" t="s">
        <v>563</v>
      </c>
      <c r="AE583" s="496">
        <v>2.4945</v>
      </c>
      <c r="AF583" s="497">
        <f t="shared" si="199"/>
        <v>2723.994</v>
      </c>
      <c r="AG583" s="1406"/>
      <c r="AH583" s="499" t="s">
        <v>389</v>
      </c>
      <c r="AI583" s="498" t="s">
        <v>112</v>
      </c>
      <c r="AJ583" s="498" t="s">
        <v>113</v>
      </c>
      <c r="AK583" s="496">
        <f t="shared" si="200"/>
        <v>2184</v>
      </c>
      <c r="AL583" s="496"/>
      <c r="AM583" s="496"/>
      <c r="AN583" s="496"/>
      <c r="AO583" s="496"/>
      <c r="AP583" s="496"/>
      <c r="AQ583" s="1407">
        <f t="shared" si="201"/>
        <v>2184</v>
      </c>
      <c r="AR583" s="496"/>
      <c r="AS583" s="1408"/>
      <c r="AT583" s="1408"/>
      <c r="AU583" s="496">
        <f t="shared" si="202"/>
        <v>2184</v>
      </c>
      <c r="AV583" s="1409">
        <f t="shared" si="206"/>
        <v>131.04</v>
      </c>
      <c r="AW583" s="1409"/>
      <c r="AX583" s="496"/>
      <c r="AY583" s="496"/>
      <c r="AZ583" s="496"/>
      <c r="BA583" s="496"/>
      <c r="BB583" s="496"/>
      <c r="BC583" s="496"/>
      <c r="BD583" s="496"/>
      <c r="BE583" s="496"/>
      <c r="BF583" s="496"/>
      <c r="BG583" s="496"/>
      <c r="BH583" s="496"/>
      <c r="BI583" s="496"/>
      <c r="BJ583" s="496"/>
      <c r="BK583" s="496"/>
      <c r="BL583" s="496"/>
      <c r="BM583" s="496"/>
      <c r="BN583" s="496"/>
      <c r="BO583" s="1407"/>
      <c r="BP583" s="1407"/>
      <c r="BQ583" s="496"/>
      <c r="BR583" s="1408"/>
      <c r="BS583" s="1408"/>
      <c r="BT583" s="496"/>
      <c r="BU583" s="496"/>
      <c r="BV583" s="1407"/>
      <c r="BW583" s="496"/>
      <c r="BX583" s="496"/>
      <c r="BY583" s="496"/>
      <c r="BZ583" s="496"/>
      <c r="CA583" s="496"/>
      <c r="CB583" s="496"/>
      <c r="CC583" s="496"/>
      <c r="CD583" s="496">
        <f t="shared" si="207"/>
        <v>0</v>
      </c>
      <c r="CE583" s="496">
        <f t="shared" si="198"/>
        <v>0</v>
      </c>
      <c r="CF583" s="496">
        <f t="shared" si="208"/>
        <v>0</v>
      </c>
      <c r="CG583" s="496">
        <f t="shared" si="209"/>
        <v>0</v>
      </c>
      <c r="CH583" s="1408"/>
      <c r="CI583" s="1408"/>
      <c r="CJ583" s="1408">
        <f t="shared" si="203"/>
        <v>1092</v>
      </c>
      <c r="CK583" s="496">
        <f t="shared" si="204"/>
        <v>1092</v>
      </c>
      <c r="CL583" s="496">
        <f t="shared" si="205"/>
        <v>1092</v>
      </c>
    </row>
    <row r="584" s="1173" customFormat="1" customHeight="1" spans="1:111">
      <c r="A584" s="1396">
        <v>46204</v>
      </c>
      <c r="B584" s="1397" t="s">
        <v>1908</v>
      </c>
      <c r="C584" s="498" t="s">
        <v>201</v>
      </c>
      <c r="D584" s="1398">
        <v>4500214522</v>
      </c>
      <c r="E584" s="498" t="s">
        <v>2546</v>
      </c>
      <c r="F584" s="496" t="s">
        <v>2547</v>
      </c>
      <c r="G584" s="499" t="s">
        <v>389</v>
      </c>
      <c r="H584" s="498" t="s">
        <v>390</v>
      </c>
      <c r="I584" s="1399">
        <v>468</v>
      </c>
      <c r="J584" s="498">
        <v>0</v>
      </c>
      <c r="K584" s="498">
        <v>12</v>
      </c>
      <c r="L584" s="1400">
        <f t="shared" si="196"/>
        <v>39</v>
      </c>
      <c r="M584" s="495">
        <v>46232</v>
      </c>
      <c r="N584" s="1401">
        <v>46235</v>
      </c>
      <c r="O584" s="495" t="s">
        <v>1923</v>
      </c>
      <c r="P584" s="500" t="s">
        <v>2539</v>
      </c>
      <c r="Q584" s="500"/>
      <c r="R584" s="498" t="s">
        <v>2540</v>
      </c>
      <c r="S584" s="498"/>
      <c r="T584" s="500">
        <v>468</v>
      </c>
      <c r="U584" s="500">
        <f t="shared" si="192"/>
        <v>0</v>
      </c>
      <c r="V584" s="498" t="s">
        <v>120</v>
      </c>
      <c r="W584" s="1431">
        <v>46139</v>
      </c>
      <c r="X584" s="1432" t="s">
        <v>107</v>
      </c>
      <c r="Y584" s="1432">
        <v>46211</v>
      </c>
      <c r="Z584" s="1397"/>
      <c r="AA584" s="1397"/>
      <c r="AB584" s="1397"/>
      <c r="AC584" s="1397" t="s">
        <v>2541</v>
      </c>
      <c r="AD584" s="495" t="s">
        <v>563</v>
      </c>
      <c r="AE584" s="496">
        <v>2.4945</v>
      </c>
      <c r="AF584" s="497">
        <f t="shared" si="199"/>
        <v>1167.426</v>
      </c>
      <c r="AG584" s="1406"/>
      <c r="AH584" s="499" t="s">
        <v>389</v>
      </c>
      <c r="AI584" s="498" t="s">
        <v>112</v>
      </c>
      <c r="AJ584" s="498" t="s">
        <v>113</v>
      </c>
      <c r="AK584" s="496">
        <f t="shared" si="200"/>
        <v>936</v>
      </c>
      <c r="AL584" s="496"/>
      <c r="AM584" s="496"/>
      <c r="AN584" s="496"/>
      <c r="AO584" s="496"/>
      <c r="AP584" s="496"/>
      <c r="AQ584" s="1407">
        <f t="shared" si="201"/>
        <v>936</v>
      </c>
      <c r="AR584" s="496"/>
      <c r="AS584" s="1408"/>
      <c r="AT584" s="1408"/>
      <c r="AU584" s="496">
        <f t="shared" si="202"/>
        <v>936</v>
      </c>
      <c r="AV584" s="1409">
        <f t="shared" si="206"/>
        <v>56.16</v>
      </c>
      <c r="AW584" s="1409"/>
      <c r="AX584" s="496"/>
      <c r="AY584" s="496"/>
      <c r="AZ584" s="496"/>
      <c r="BA584" s="496"/>
      <c r="BB584" s="496"/>
      <c r="BC584" s="496"/>
      <c r="BD584" s="496"/>
      <c r="BE584" s="496"/>
      <c r="BF584" s="496"/>
      <c r="BG584" s="496"/>
      <c r="BH584" s="496"/>
      <c r="BI584" s="496"/>
      <c r="BJ584" s="496"/>
      <c r="BK584" s="496"/>
      <c r="BL584" s="496"/>
      <c r="BM584" s="496"/>
      <c r="BN584" s="496"/>
      <c r="BO584" s="1407"/>
      <c r="BP584" s="1407"/>
      <c r="BQ584" s="496"/>
      <c r="BR584" s="1408"/>
      <c r="BS584" s="1408"/>
      <c r="BT584" s="496"/>
      <c r="BU584" s="496"/>
      <c r="BV584" s="1407"/>
      <c r="BW584" s="496"/>
      <c r="BX584" s="496"/>
      <c r="BY584" s="496"/>
      <c r="BZ584" s="496"/>
      <c r="CA584" s="496"/>
      <c r="CB584" s="496"/>
      <c r="CC584" s="496"/>
      <c r="CD584" s="496">
        <f t="shared" si="207"/>
        <v>0</v>
      </c>
      <c r="CE584" s="496">
        <f t="shared" si="198"/>
        <v>0</v>
      </c>
      <c r="CF584" s="496">
        <f t="shared" si="208"/>
        <v>0</v>
      </c>
      <c r="CG584" s="496">
        <f t="shared" si="209"/>
        <v>0</v>
      </c>
      <c r="CH584" s="1408"/>
      <c r="CI584" s="1408"/>
      <c r="CJ584" s="1408">
        <f t="shared" si="203"/>
        <v>468</v>
      </c>
      <c r="CK584" s="496">
        <f t="shared" si="204"/>
        <v>468</v>
      </c>
      <c r="CL584" s="496">
        <f t="shared" si="205"/>
        <v>468</v>
      </c>
      <c r="CM584" s="1170"/>
      <c r="CN584" s="1170"/>
      <c r="CO584" s="1170"/>
      <c r="CP584" s="1170"/>
      <c r="CQ584" s="1170"/>
      <c r="CR584" s="1170"/>
      <c r="CS584" s="1170"/>
      <c r="CT584" s="1170"/>
      <c r="CU584" s="1170"/>
      <c r="CV584" s="1170"/>
      <c r="CW584" s="1170"/>
      <c r="CX584" s="1170"/>
      <c r="CY584" s="1170"/>
      <c r="CZ584" s="1170"/>
      <c r="DA584" s="1170"/>
      <c r="DB584" s="1170"/>
      <c r="DC584" s="1170"/>
      <c r="DD584" s="1170"/>
      <c r="DE584" s="1170"/>
      <c r="DF584" s="1170"/>
      <c r="DG584" s="1170"/>
    </row>
    <row r="585" s="1168" customFormat="1" customHeight="1" spans="1:111">
      <c r="A585" s="1245">
        <v>46204</v>
      </c>
      <c r="B585" s="1247" t="s">
        <v>1908</v>
      </c>
      <c r="C585" s="1234" t="s">
        <v>201</v>
      </c>
      <c r="D585" s="1268">
        <v>4500214522</v>
      </c>
      <c r="E585" s="1234" t="s">
        <v>2548</v>
      </c>
      <c r="F585" s="1188" t="s">
        <v>2549</v>
      </c>
      <c r="G585" s="1253" t="s">
        <v>389</v>
      </c>
      <c r="H585" s="1234" t="s">
        <v>390</v>
      </c>
      <c r="I585" s="1254">
        <v>228</v>
      </c>
      <c r="J585" s="1234">
        <v>0</v>
      </c>
      <c r="K585" s="1234">
        <v>12</v>
      </c>
      <c r="L585" s="1246">
        <f t="shared" si="196"/>
        <v>19</v>
      </c>
      <c r="M585" s="1255">
        <v>46232</v>
      </c>
      <c r="N585" s="1320">
        <v>46235</v>
      </c>
      <c r="O585" s="1225" t="s">
        <v>1923</v>
      </c>
      <c r="P585" s="1233" t="s">
        <v>2539</v>
      </c>
      <c r="Q585" s="1233" t="s">
        <v>1410</v>
      </c>
      <c r="R585" s="1234" t="s">
        <v>2540</v>
      </c>
      <c r="S585" s="1234"/>
      <c r="T585" s="1233">
        <v>228</v>
      </c>
      <c r="U585" s="1233">
        <f t="shared" si="192"/>
        <v>0</v>
      </c>
      <c r="V585" s="1234" t="s">
        <v>120</v>
      </c>
      <c r="W585" s="1238">
        <v>46139</v>
      </c>
      <c r="X585" s="1227" t="s">
        <v>107</v>
      </c>
      <c r="Y585" s="1227">
        <v>46211</v>
      </c>
      <c r="Z585" s="1247"/>
      <c r="AA585" s="1247"/>
      <c r="AB585" s="1247"/>
      <c r="AC585" s="1247" t="s">
        <v>2541</v>
      </c>
      <c r="AD585" s="1255" t="s">
        <v>563</v>
      </c>
      <c r="AE585" s="1188">
        <v>2.5332</v>
      </c>
      <c r="AF585" s="1248">
        <f t="shared" si="199"/>
        <v>577.5696</v>
      </c>
      <c r="AG585" s="1258"/>
      <c r="AH585" s="1253" t="s">
        <v>389</v>
      </c>
      <c r="AI585" s="1234" t="s">
        <v>112</v>
      </c>
      <c r="AJ585" s="1234" t="s">
        <v>113</v>
      </c>
      <c r="AK585" s="1188">
        <f t="shared" si="200"/>
        <v>456</v>
      </c>
      <c r="AL585" s="1188"/>
      <c r="AM585" s="1188"/>
      <c r="AN585" s="1188"/>
      <c r="AO585" s="1188"/>
      <c r="AP585" s="1188"/>
      <c r="AQ585" s="1240">
        <f t="shared" si="201"/>
        <v>456</v>
      </c>
      <c r="AR585" s="1188"/>
      <c r="AS585" s="1236"/>
      <c r="AT585" s="1236"/>
      <c r="AU585" s="1188">
        <f t="shared" si="202"/>
        <v>456</v>
      </c>
      <c r="AV585" s="1250">
        <f t="shared" si="206"/>
        <v>27.36</v>
      </c>
      <c r="AW585" s="1250"/>
      <c r="AX585" s="1188"/>
      <c r="AY585" s="1188"/>
      <c r="AZ585" s="1188"/>
      <c r="BA585" s="1188"/>
      <c r="BB585" s="1188"/>
      <c r="BC585" s="1188"/>
      <c r="BD585" s="1188"/>
      <c r="BE585" s="1188"/>
      <c r="BF585" s="1188"/>
      <c r="BG585" s="1188"/>
      <c r="BH585" s="1188"/>
      <c r="BI585" s="1188"/>
      <c r="BJ585" s="1188"/>
      <c r="BK585" s="1188"/>
      <c r="BL585" s="1188"/>
      <c r="BM585" s="1188"/>
      <c r="BN585" s="1188"/>
      <c r="BO585" s="1240"/>
      <c r="BP585" s="1240"/>
      <c r="BQ585" s="1188"/>
      <c r="BR585" s="1236"/>
      <c r="BS585" s="1236"/>
      <c r="BT585" s="1188"/>
      <c r="BU585" s="1188"/>
      <c r="BV585" s="1240"/>
      <c r="BW585" s="1188"/>
      <c r="BX585" s="1188"/>
      <c r="BY585" s="1188"/>
      <c r="BZ585" s="1188"/>
      <c r="CA585" s="1188"/>
      <c r="CB585" s="1188"/>
      <c r="CC585" s="1188"/>
      <c r="CD585" s="1188">
        <f t="shared" si="207"/>
        <v>0</v>
      </c>
      <c r="CE585" s="1188">
        <f t="shared" si="198"/>
        <v>0</v>
      </c>
      <c r="CF585" s="1188">
        <f t="shared" si="208"/>
        <v>0</v>
      </c>
      <c r="CG585" s="1188">
        <f t="shared" si="209"/>
        <v>0</v>
      </c>
      <c r="CH585" s="1236"/>
      <c r="CI585" s="1236"/>
      <c r="CJ585" s="1236">
        <f t="shared" si="203"/>
        <v>228</v>
      </c>
      <c r="CK585" s="1188">
        <f t="shared" si="204"/>
        <v>228</v>
      </c>
      <c r="CL585" s="1188">
        <f t="shared" si="205"/>
        <v>228</v>
      </c>
    </row>
    <row r="586" s="1168" customFormat="1" customHeight="1" spans="1:111">
      <c r="A586" s="1309">
        <v>46167</v>
      </c>
      <c r="B586" s="544" t="s">
        <v>2550</v>
      </c>
      <c r="C586" s="488" t="s">
        <v>115</v>
      </c>
      <c r="D586" s="1445">
        <v>4500208952</v>
      </c>
      <c r="E586" s="1313">
        <v>117569340</v>
      </c>
      <c r="F586" s="327" t="s">
        <v>2551</v>
      </c>
      <c r="G586" s="1310" t="s">
        <v>2552</v>
      </c>
      <c r="H586" s="544" t="s">
        <v>2553</v>
      </c>
      <c r="I586" s="1311">
        <v>6480</v>
      </c>
      <c r="J586" s="488">
        <v>0</v>
      </c>
      <c r="K586" s="488">
        <v>8</v>
      </c>
      <c r="L586" s="488">
        <f t="shared" si="196"/>
        <v>810</v>
      </c>
      <c r="M586" s="1312">
        <v>46232</v>
      </c>
      <c r="N586" s="1323">
        <v>46239</v>
      </c>
      <c r="O586" s="501"/>
      <c r="P586" s="1313" t="s">
        <v>2554</v>
      </c>
      <c r="Q586" s="506"/>
      <c r="R586" s="504"/>
      <c r="S586" s="504"/>
      <c r="T586" s="506">
        <f>32+6448</f>
        <v>6480</v>
      </c>
      <c r="U586" s="500">
        <f t="shared" si="192"/>
        <v>0</v>
      </c>
      <c r="V586" s="504"/>
      <c r="W586" s="1300" t="s">
        <v>2555</v>
      </c>
      <c r="X586" s="1325" t="s">
        <v>95</v>
      </c>
      <c r="Y586" s="1325" t="s">
        <v>95</v>
      </c>
      <c r="Z586" s="543"/>
      <c r="AA586" s="543"/>
      <c r="AB586" s="543"/>
      <c r="AC586" s="1294" t="s">
        <v>2556</v>
      </c>
      <c r="AD586" s="1312" t="s">
        <v>2009</v>
      </c>
      <c r="AE586" s="1446">
        <v>5.1</v>
      </c>
      <c r="AF586" s="327">
        <f t="shared" si="199"/>
        <v>33048</v>
      </c>
      <c r="AG586" s="1295"/>
      <c r="AH586" s="488" t="s">
        <v>2557</v>
      </c>
      <c r="AI586" s="488" t="s">
        <v>112</v>
      </c>
      <c r="AJ586" s="498" t="s">
        <v>113</v>
      </c>
      <c r="AK586" s="327">
        <f t="shared" si="200"/>
        <v>12960</v>
      </c>
      <c r="AL586" s="502"/>
      <c r="AM586" s="1218"/>
      <c r="AN586" s="502"/>
      <c r="AO586" s="502"/>
      <c r="AP586" s="502"/>
      <c r="AQ586" s="1296"/>
      <c r="AR586" s="438"/>
      <c r="AS586" s="1297"/>
      <c r="AT586" s="1297"/>
      <c r="AU586" s="502"/>
      <c r="AV586" s="1298">
        <f t="shared" si="206"/>
        <v>777.6</v>
      </c>
      <c r="AW586" s="1298"/>
      <c r="AX586" s="502"/>
      <c r="AY586" s="502"/>
      <c r="AZ586" s="502"/>
      <c r="BA586" s="502"/>
      <c r="BB586" s="502"/>
      <c r="BC586" s="502"/>
      <c r="BD586" s="502"/>
      <c r="BE586" s="502"/>
      <c r="BF586" s="502"/>
      <c r="BG586" s="502"/>
      <c r="BH586" s="502"/>
      <c r="BI586" s="502"/>
      <c r="BJ586" s="502"/>
      <c r="BK586" s="502"/>
      <c r="BL586" s="502"/>
      <c r="BM586" s="502"/>
      <c r="BN586" s="502"/>
      <c r="BO586" s="1296"/>
      <c r="BP586" s="1296"/>
      <c r="BQ586" s="1218"/>
      <c r="BR586" s="1297"/>
      <c r="BS586" s="1297"/>
      <c r="BT586" s="502"/>
      <c r="BU586" s="502"/>
      <c r="BV586" s="1296"/>
      <c r="BW586" s="1218"/>
      <c r="BX586" s="1218"/>
      <c r="BY586" s="1218"/>
      <c r="BZ586" s="1218"/>
      <c r="CA586" s="1218"/>
      <c r="CB586" s="1218"/>
      <c r="CC586" s="1218"/>
      <c r="CD586" s="1218">
        <f t="shared" si="207"/>
        <v>0</v>
      </c>
      <c r="CE586" s="1218">
        <f t="shared" si="198"/>
        <v>0</v>
      </c>
      <c r="CF586" s="502">
        <f t="shared" si="208"/>
        <v>0</v>
      </c>
      <c r="CG586" s="1218">
        <f t="shared" si="209"/>
        <v>0</v>
      </c>
      <c r="CH586" s="1299"/>
      <c r="CI586" s="1299"/>
      <c r="CJ586" s="1297"/>
      <c r="CK586" s="502"/>
      <c r="CL586" s="502"/>
      <c r="CM586" s="293"/>
      <c r="CN586" s="293"/>
      <c r="CO586" s="293"/>
      <c r="CP586" s="293"/>
      <c r="CQ586" s="293"/>
      <c r="CR586" s="293"/>
      <c r="CS586" s="293"/>
      <c r="CT586" s="293"/>
      <c r="CU586" s="293"/>
      <c r="CV586" s="293"/>
      <c r="CW586" s="293"/>
      <c r="CX586" s="293"/>
      <c r="CY586" s="293"/>
      <c r="CZ586" s="293"/>
      <c r="DA586" s="293"/>
      <c r="DB586" s="293"/>
      <c r="DC586" s="293"/>
      <c r="DD586" s="293"/>
      <c r="DE586" s="293"/>
      <c r="DF586" s="293"/>
      <c r="DG586" s="293"/>
    </row>
    <row r="587" s="1169" customFormat="1" customHeight="1" spans="1:111">
      <c r="A587" s="1245">
        <v>46212</v>
      </c>
      <c r="B587" s="1247"/>
      <c r="C587" s="1234" t="s">
        <v>597</v>
      </c>
      <c r="D587" s="1188" t="s">
        <v>2558</v>
      </c>
      <c r="E587" s="1234"/>
      <c r="F587" s="1188" t="s">
        <v>2559</v>
      </c>
      <c r="G587" s="1253" t="s">
        <v>91</v>
      </c>
      <c r="H587" s="1234" t="s">
        <v>600</v>
      </c>
      <c r="I587" s="1254" t="s">
        <v>2560</v>
      </c>
      <c r="J587" s="1234"/>
      <c r="K587" s="1234"/>
      <c r="L587" s="1246"/>
      <c r="M587" s="1255">
        <v>46233</v>
      </c>
      <c r="N587" s="1255">
        <v>46228</v>
      </c>
      <c r="O587" s="1255"/>
      <c r="P587" s="1233"/>
      <c r="Q587" s="1233" t="s">
        <v>1410</v>
      </c>
      <c r="R587" s="1234"/>
      <c r="S587" s="1234"/>
      <c r="T587" s="1233">
        <v>60</v>
      </c>
      <c r="U587" s="1233" t="e">
        <f t="shared" si="192"/>
        <v>#VALUE!</v>
      </c>
      <c r="V587" s="1234"/>
      <c r="W587" s="1238" t="s">
        <v>94</v>
      </c>
      <c r="X587" s="1257" t="s">
        <v>95</v>
      </c>
      <c r="Y587" s="1257" t="s">
        <v>95</v>
      </c>
      <c r="Z587" s="1247"/>
      <c r="AA587" s="1247"/>
      <c r="AB587" s="1247"/>
      <c r="AC587" s="1220" t="s">
        <v>2561</v>
      </c>
      <c r="AD587" s="1255" t="s">
        <v>272</v>
      </c>
      <c r="AE587" s="1188"/>
      <c r="AF587" s="1248"/>
      <c r="AG587" s="1258"/>
      <c r="AH587" s="1342" t="s">
        <v>99</v>
      </c>
      <c r="AI587" s="1234" t="s">
        <v>99</v>
      </c>
      <c r="AJ587" s="1234"/>
      <c r="AK587" s="1188"/>
      <c r="AL587" s="1188"/>
      <c r="AM587" s="1188"/>
      <c r="AN587" s="1188"/>
      <c r="AO587" s="1188"/>
      <c r="AP587" s="1188"/>
      <c r="AQ587" s="1240"/>
      <c r="AR587" s="1188"/>
      <c r="AS587" s="1236"/>
      <c r="AT587" s="1236"/>
      <c r="AU587" s="1188"/>
      <c r="AV587" s="1250"/>
      <c r="AW587" s="1250"/>
      <c r="AX587" s="1188"/>
      <c r="AY587" s="1188"/>
      <c r="AZ587" s="1188"/>
      <c r="BA587" s="1188"/>
      <c r="BB587" s="1188"/>
      <c r="BC587" s="1188"/>
      <c r="BD587" s="1188"/>
      <c r="BE587" s="1188"/>
      <c r="BF587" s="1188"/>
      <c r="BG587" s="1188"/>
      <c r="BH587" s="1188"/>
      <c r="BI587" s="1188"/>
      <c r="BJ587" s="1188"/>
      <c r="BK587" s="1188"/>
      <c r="BL587" s="1188"/>
      <c r="BM587" s="1188"/>
      <c r="BN587" s="1188"/>
      <c r="BO587" s="1240"/>
      <c r="BP587" s="1240"/>
      <c r="BQ587" s="1188"/>
      <c r="BR587" s="1236"/>
      <c r="BS587" s="1236"/>
      <c r="BT587" s="1188"/>
      <c r="BU587" s="1188"/>
      <c r="BV587" s="1240"/>
      <c r="BW587" s="1188"/>
      <c r="BX587" s="1188"/>
      <c r="BY587" s="1188"/>
      <c r="BZ587" s="1188"/>
      <c r="CA587" s="1188"/>
      <c r="CB587" s="1188"/>
      <c r="CC587" s="1188"/>
      <c r="CD587" s="1188">
        <f t="shared" si="207"/>
        <v>0</v>
      </c>
      <c r="CE587" s="1188">
        <f t="shared" si="198"/>
        <v>0</v>
      </c>
      <c r="CF587" s="1188">
        <f t="shared" si="208"/>
        <v>0</v>
      </c>
      <c r="CG587" s="1188">
        <f t="shared" si="209"/>
        <v>0</v>
      </c>
      <c r="CH587" s="1236"/>
      <c r="CI587" s="1236"/>
      <c r="CJ587" s="1236"/>
      <c r="CK587" s="1188"/>
      <c r="CL587" s="1188"/>
      <c r="CM587" s="1168"/>
      <c r="CN587" s="1168"/>
      <c r="CO587" s="1168"/>
      <c r="CP587" s="1168"/>
      <c r="CQ587" s="1168"/>
      <c r="CR587" s="1168"/>
      <c r="CS587" s="1168"/>
      <c r="CT587" s="1168"/>
      <c r="CU587" s="1168"/>
      <c r="CV587" s="1168"/>
      <c r="CW587" s="1168"/>
      <c r="CX587" s="1168"/>
      <c r="CY587" s="1168"/>
      <c r="CZ587" s="1168"/>
      <c r="DA587" s="1168"/>
      <c r="DB587" s="1168"/>
      <c r="DC587" s="1168"/>
      <c r="DD587" s="1168"/>
      <c r="DE587" s="1168"/>
      <c r="DF587" s="1168"/>
      <c r="DG587" s="1168"/>
    </row>
    <row r="588" s="1170" customFormat="1" customHeight="1" spans="1:111">
      <c r="A588" s="1396">
        <v>46178</v>
      </c>
      <c r="B588" s="1447" t="s">
        <v>2480</v>
      </c>
      <c r="C588" s="1448" t="s">
        <v>164</v>
      </c>
      <c r="D588" s="1449">
        <v>4500210819</v>
      </c>
      <c r="E588" s="1448" t="s">
        <v>2562</v>
      </c>
      <c r="F588" s="1450" t="s">
        <v>2563</v>
      </c>
      <c r="G588" s="1451" t="s">
        <v>753</v>
      </c>
      <c r="H588" s="1448" t="s">
        <v>390</v>
      </c>
      <c r="I588" s="1452">
        <v>6084</v>
      </c>
      <c r="J588" s="1448">
        <v>0</v>
      </c>
      <c r="K588" s="1448">
        <v>12</v>
      </c>
      <c r="L588" s="1400">
        <f t="shared" ref="L588:L650" si="210">I588/K588</f>
        <v>507</v>
      </c>
      <c r="M588" s="495">
        <v>46233</v>
      </c>
      <c r="N588" s="1401">
        <v>46235</v>
      </c>
      <c r="O588" s="495"/>
      <c r="P588" s="500"/>
      <c r="Q588" s="500"/>
      <c r="R588" s="498"/>
      <c r="S588" s="498"/>
      <c r="T588" s="500">
        <v>6084</v>
      </c>
      <c r="U588" s="500">
        <f t="shared" si="192"/>
        <v>0</v>
      </c>
      <c r="V588" s="1403"/>
      <c r="W588" s="1431" t="s">
        <v>2502</v>
      </c>
      <c r="X588" s="1432" t="s">
        <v>95</v>
      </c>
      <c r="Y588" s="1432" t="s">
        <v>2564</v>
      </c>
      <c r="Z588" s="1397" t="s">
        <v>140</v>
      </c>
      <c r="AA588" s="1397"/>
      <c r="AB588" s="1397"/>
      <c r="AC588" s="1453" t="s">
        <v>2565</v>
      </c>
      <c r="AD588" s="1444" t="s">
        <v>2505</v>
      </c>
      <c r="AE588" s="496">
        <v>2.5224</v>
      </c>
      <c r="AF588" s="497">
        <f>I588*AE588</f>
        <v>15346.2816</v>
      </c>
      <c r="AG588" s="1406"/>
      <c r="AH588" s="498" t="s">
        <v>753</v>
      </c>
      <c r="AI588" s="498" t="s">
        <v>112</v>
      </c>
      <c r="AJ588" s="498" t="s">
        <v>113</v>
      </c>
      <c r="AK588" s="496">
        <f>I588*2</f>
        <v>12168</v>
      </c>
      <c r="AL588" s="496"/>
      <c r="AM588" s="496"/>
      <c r="AN588" s="496"/>
      <c r="AO588" s="496"/>
      <c r="AP588" s="496"/>
      <c r="AQ588" s="1407"/>
      <c r="AR588" s="496">
        <f>I588*2</f>
        <v>12168</v>
      </c>
      <c r="AS588" s="1408"/>
      <c r="AT588" s="1408"/>
      <c r="AU588" s="496"/>
      <c r="AV588" s="1409">
        <f>I588*0.06</f>
        <v>365.04</v>
      </c>
      <c r="AW588" s="1409">
        <f>I588*2</f>
        <v>12168</v>
      </c>
      <c r="AX588" s="496"/>
      <c r="AY588" s="496"/>
      <c r="AZ588" s="496"/>
      <c r="BA588" s="496"/>
      <c r="BB588" s="496"/>
      <c r="BC588" s="496"/>
      <c r="BD588" s="496"/>
      <c r="BE588" s="496"/>
      <c r="BF588" s="496"/>
      <c r="BG588" s="496"/>
      <c r="BH588" s="496"/>
      <c r="BI588" s="496"/>
      <c r="BJ588" s="496"/>
      <c r="BK588" s="496"/>
      <c r="BL588" s="496"/>
      <c r="BM588" s="496"/>
      <c r="BN588" s="496"/>
      <c r="BO588" s="1407"/>
      <c r="BP588" s="1407"/>
      <c r="BQ588" s="496"/>
      <c r="BR588" s="1408"/>
      <c r="BS588" s="1408"/>
      <c r="BT588" s="496"/>
      <c r="BU588" s="496"/>
      <c r="BV588" s="1407"/>
      <c r="BW588" s="496"/>
      <c r="BX588" s="496"/>
      <c r="BY588" s="496"/>
      <c r="BZ588" s="496"/>
      <c r="CA588" s="496"/>
      <c r="CB588" s="496"/>
      <c r="CC588" s="496"/>
      <c r="CD588" s="496">
        <f t="shared" si="207"/>
        <v>0</v>
      </c>
      <c r="CE588" s="496">
        <f t="shared" si="198"/>
        <v>0</v>
      </c>
      <c r="CF588" s="496">
        <f t="shared" si="208"/>
        <v>0</v>
      </c>
      <c r="CG588" s="496">
        <f t="shared" si="209"/>
        <v>0</v>
      </c>
      <c r="CH588" s="1408"/>
      <c r="CI588" s="1408"/>
      <c r="CJ588" s="1408">
        <f>I588</f>
        <v>6084</v>
      </c>
      <c r="CK588" s="496">
        <f>I588</f>
        <v>6084</v>
      </c>
      <c r="CL588" s="496">
        <f>I588</f>
        <v>6084</v>
      </c>
    </row>
    <row r="589" s="1168" customFormat="1" customHeight="1" spans="1:111">
      <c r="A589" s="1245">
        <v>46178</v>
      </c>
      <c r="B589" s="1247" t="s">
        <v>2480</v>
      </c>
      <c r="C589" s="1234" t="s">
        <v>164</v>
      </c>
      <c r="D589" s="1442">
        <v>4500210819</v>
      </c>
      <c r="E589" s="1234" t="s">
        <v>2566</v>
      </c>
      <c r="F589" s="1188" t="s">
        <v>2567</v>
      </c>
      <c r="G589" s="1253" t="s">
        <v>753</v>
      </c>
      <c r="H589" s="1234" t="s">
        <v>390</v>
      </c>
      <c r="I589" s="1254">
        <v>5124</v>
      </c>
      <c r="J589" s="1234">
        <v>0</v>
      </c>
      <c r="K589" s="1234">
        <v>12</v>
      </c>
      <c r="L589" s="1246">
        <f t="shared" si="210"/>
        <v>427</v>
      </c>
      <c r="M589" s="1255">
        <v>46233</v>
      </c>
      <c r="N589" s="1320">
        <v>46235</v>
      </c>
      <c r="O589" s="1255"/>
      <c r="P589" s="1233"/>
      <c r="Q589" s="1233" t="s">
        <v>1410</v>
      </c>
      <c r="R589" s="1234"/>
      <c r="S589" s="1234"/>
      <c r="T589" s="1233">
        <v>5124</v>
      </c>
      <c r="U589" s="1233">
        <f t="shared" si="192"/>
        <v>0</v>
      </c>
      <c r="V589" s="1342"/>
      <c r="W589" s="1238" t="s">
        <v>2502</v>
      </c>
      <c r="X589" s="1227" t="s">
        <v>95</v>
      </c>
      <c r="Y589" s="1227" t="s">
        <v>2564</v>
      </c>
      <c r="Z589" s="1247" t="s">
        <v>140</v>
      </c>
      <c r="AA589" s="1247"/>
      <c r="AB589" s="1247"/>
      <c r="AC589" s="1321" t="s">
        <v>2565</v>
      </c>
      <c r="AD589" s="1255" t="s">
        <v>2505</v>
      </c>
      <c r="AE589" s="1188">
        <v>2.5332</v>
      </c>
      <c r="AF589" s="1248">
        <f>I589*AE589</f>
        <v>12980.1168</v>
      </c>
      <c r="AG589" s="1258"/>
      <c r="AH589" s="1234" t="s">
        <v>753</v>
      </c>
      <c r="AI589" s="1234" t="s">
        <v>112</v>
      </c>
      <c r="AJ589" s="1234" t="s">
        <v>113</v>
      </c>
      <c r="AK589" s="1188">
        <f>I589*2</f>
        <v>10248</v>
      </c>
      <c r="AL589" s="1188"/>
      <c r="AM589" s="1188"/>
      <c r="AN589" s="1188"/>
      <c r="AO589" s="1188"/>
      <c r="AP589" s="1188"/>
      <c r="AQ589" s="1240"/>
      <c r="AR589" s="1188">
        <f>I589*2</f>
        <v>10248</v>
      </c>
      <c r="AS589" s="1236"/>
      <c r="AT589" s="1236"/>
      <c r="AU589" s="1188"/>
      <c r="AV589" s="1250">
        <f>I589*0.06</f>
        <v>307.44</v>
      </c>
      <c r="AW589" s="1250">
        <f>I589*2</f>
        <v>10248</v>
      </c>
      <c r="AX589" s="1188"/>
      <c r="AY589" s="1188"/>
      <c r="AZ589" s="1188"/>
      <c r="BA589" s="1188"/>
      <c r="BB589" s="1188"/>
      <c r="BC589" s="1188"/>
      <c r="BD589" s="1188"/>
      <c r="BE589" s="1188"/>
      <c r="BF589" s="1188"/>
      <c r="BG589" s="1188"/>
      <c r="BH589" s="1188"/>
      <c r="BI589" s="1188"/>
      <c r="BJ589" s="1188"/>
      <c r="BK589" s="1188"/>
      <c r="BL589" s="1188"/>
      <c r="BM589" s="1188"/>
      <c r="BN589" s="1188"/>
      <c r="BO589" s="1240"/>
      <c r="BP589" s="1240"/>
      <c r="BQ589" s="1188"/>
      <c r="BR589" s="1236"/>
      <c r="BS589" s="1236"/>
      <c r="BT589" s="1188"/>
      <c r="BU589" s="1188"/>
      <c r="BV589" s="1240"/>
      <c r="BW589" s="1188"/>
      <c r="BX589" s="1188"/>
      <c r="BY589" s="1188"/>
      <c r="BZ589" s="1188"/>
      <c r="CA589" s="1188"/>
      <c r="CB589" s="1188"/>
      <c r="CC589" s="1188"/>
      <c r="CD589" s="1188">
        <f t="shared" si="207"/>
        <v>0</v>
      </c>
      <c r="CE589" s="1188">
        <f t="shared" si="198"/>
        <v>0</v>
      </c>
      <c r="CF589" s="1188">
        <f t="shared" si="208"/>
        <v>0</v>
      </c>
      <c r="CG589" s="1188">
        <f t="shared" si="209"/>
        <v>0</v>
      </c>
      <c r="CH589" s="1236"/>
      <c r="CI589" s="1236"/>
      <c r="CJ589" s="1236">
        <f>I589</f>
        <v>5124</v>
      </c>
      <c r="CK589" s="1188">
        <f>I589</f>
        <v>5124</v>
      </c>
      <c r="CL589" s="1188">
        <f>I589</f>
        <v>5124</v>
      </c>
    </row>
    <row r="590" s="1168" customFormat="1" customHeight="1" spans="1:111">
      <c r="A590" s="1245">
        <v>46185</v>
      </c>
      <c r="B590" s="1247" t="s">
        <v>2568</v>
      </c>
      <c r="C590" s="1234" t="s">
        <v>1822</v>
      </c>
      <c r="D590" s="1268">
        <v>4500212151</v>
      </c>
      <c r="E590" s="1234"/>
      <c r="F590" s="1188" t="s">
        <v>2569</v>
      </c>
      <c r="G590" s="1253" t="s">
        <v>188</v>
      </c>
      <c r="H590" s="1234" t="s">
        <v>138</v>
      </c>
      <c r="I590" s="1254">
        <v>1200</v>
      </c>
      <c r="J590" s="1234">
        <v>0</v>
      </c>
      <c r="K590" s="1234">
        <v>50</v>
      </c>
      <c r="L590" s="1246">
        <f t="shared" si="210"/>
        <v>24</v>
      </c>
      <c r="M590" s="1255">
        <v>46233</v>
      </c>
      <c r="N590" s="1320">
        <v>46237</v>
      </c>
      <c r="O590" s="1255"/>
      <c r="P590" s="1233"/>
      <c r="Q590" s="1233" t="s">
        <v>1410</v>
      </c>
      <c r="R590" s="1234" t="s">
        <v>2570</v>
      </c>
      <c r="S590" s="1234"/>
      <c r="T590" s="1233">
        <v>1200</v>
      </c>
      <c r="U590" s="1233">
        <f t="shared" si="192"/>
        <v>0</v>
      </c>
      <c r="V590" s="1342"/>
      <c r="W590" s="1256">
        <v>46198</v>
      </c>
      <c r="X590" s="1257" t="s">
        <v>95</v>
      </c>
      <c r="Y590" s="1257" t="s">
        <v>2571</v>
      </c>
      <c r="Z590" s="1247"/>
      <c r="AA590" s="1247"/>
      <c r="AB590" s="1247"/>
      <c r="AC590" s="1247" t="s">
        <v>2572</v>
      </c>
      <c r="AD590" s="1255" t="s">
        <v>1252</v>
      </c>
      <c r="AE590" s="1188">
        <v>1.1174</v>
      </c>
      <c r="AF590" s="1248">
        <f>AE590*I590</f>
        <v>1340.88</v>
      </c>
      <c r="AG590" s="1258"/>
      <c r="AH590" s="1234" t="s">
        <v>314</v>
      </c>
      <c r="AI590" s="1234" t="s">
        <v>112</v>
      </c>
      <c r="AJ590" s="1234" t="s">
        <v>113</v>
      </c>
      <c r="AK590" s="1188">
        <f>I590</f>
        <v>1200</v>
      </c>
      <c r="AL590" s="1188"/>
      <c r="AM590" s="1188"/>
      <c r="AN590" s="1188"/>
      <c r="AO590" s="1188"/>
      <c r="AP590" s="1188">
        <f>I590</f>
        <v>1200</v>
      </c>
      <c r="AQ590" s="1240"/>
      <c r="AR590" s="1188"/>
      <c r="AS590" s="1236"/>
      <c r="AT590" s="1236"/>
      <c r="AU590" s="1188">
        <f>I590</f>
        <v>1200</v>
      </c>
      <c r="AV590" s="1250"/>
      <c r="AW590" s="1250"/>
      <c r="AX590" s="1188"/>
      <c r="AY590" s="1188"/>
      <c r="AZ590" s="1188"/>
      <c r="BA590" s="1188"/>
      <c r="BB590" s="1188"/>
      <c r="BC590" s="1188"/>
      <c r="BD590" s="1188"/>
      <c r="BE590" s="1188"/>
      <c r="BF590" s="1188"/>
      <c r="BG590" s="1188"/>
      <c r="BH590" s="1188"/>
      <c r="BI590" s="1188"/>
      <c r="BJ590" s="1188"/>
      <c r="BK590" s="1188"/>
      <c r="BL590" s="1188"/>
      <c r="BM590" s="1188"/>
      <c r="BN590" s="1188"/>
      <c r="BO590" s="1240">
        <f>I590/25</f>
        <v>48</v>
      </c>
      <c r="BP590" s="1240"/>
      <c r="BQ590" s="1188"/>
      <c r="BR590" s="1236"/>
      <c r="BS590" s="1188"/>
      <c r="BT590" s="1188"/>
      <c r="BU590" s="1188"/>
      <c r="BV590" s="1240"/>
      <c r="BW590" s="1188"/>
      <c r="BX590" s="1188"/>
      <c r="BY590" s="1188"/>
      <c r="BZ590" s="1188"/>
      <c r="CA590" s="1188"/>
      <c r="CB590" s="1188"/>
      <c r="CC590" s="1188"/>
      <c r="CD590" s="1188">
        <f t="shared" si="207"/>
        <v>48</v>
      </c>
      <c r="CE590" s="1188">
        <f t="shared" si="198"/>
        <v>0</v>
      </c>
      <c r="CF590" s="1188">
        <f t="shared" si="208"/>
        <v>0</v>
      </c>
      <c r="CG590" s="1188">
        <f t="shared" si="209"/>
        <v>0</v>
      </c>
      <c r="CH590" s="1236"/>
      <c r="CI590" s="1236"/>
      <c r="CJ590" s="1236"/>
      <c r="CK590" s="1188"/>
      <c r="CL590" s="1188"/>
      <c r="CM590" s="1260"/>
      <c r="CN590" s="1260"/>
      <c r="CO590" s="1260"/>
      <c r="CP590" s="1260"/>
      <c r="CQ590" s="1260"/>
      <c r="CR590" s="1260"/>
      <c r="CS590" s="1260"/>
      <c r="CT590" s="1260"/>
      <c r="CU590" s="1260"/>
      <c r="CV590" s="1260"/>
      <c r="CW590" s="1260"/>
      <c r="CX590" s="1260"/>
      <c r="CY590" s="1260"/>
      <c r="CZ590" s="1260"/>
      <c r="DA590" s="1260"/>
      <c r="DB590" s="1260"/>
      <c r="DC590" s="1260"/>
      <c r="DD590" s="1260"/>
      <c r="DE590" s="1260"/>
      <c r="DF590" s="1260"/>
      <c r="DG590" s="1260"/>
    </row>
    <row r="591" s="293" customFormat="1" customHeight="1" spans="1:111">
      <c r="A591" s="1289">
        <v>46141</v>
      </c>
      <c r="B591" s="543" t="s">
        <v>809</v>
      </c>
      <c r="C591" s="504" t="s">
        <v>810</v>
      </c>
      <c r="D591" s="1305">
        <v>4500204601</v>
      </c>
      <c r="E591" s="506">
        <v>5200009417</v>
      </c>
      <c r="F591" s="502" t="s">
        <v>2573</v>
      </c>
      <c r="G591" s="505" t="s">
        <v>193</v>
      </c>
      <c r="H591" s="504" t="s">
        <v>194</v>
      </c>
      <c r="I591" s="1290">
        <v>1300</v>
      </c>
      <c r="J591" s="504">
        <v>0</v>
      </c>
      <c r="K591" s="504">
        <v>13</v>
      </c>
      <c r="L591" s="1291">
        <f t="shared" si="210"/>
        <v>100</v>
      </c>
      <c r="M591" s="501">
        <v>46233</v>
      </c>
      <c r="N591" s="1365">
        <v>46238</v>
      </c>
      <c r="O591" s="507"/>
      <c r="P591" s="506"/>
      <c r="Q591" s="506"/>
      <c r="R591" s="488" t="s">
        <v>2528</v>
      </c>
      <c r="S591" s="504"/>
      <c r="T591" s="506">
        <v>1300</v>
      </c>
      <c r="U591" s="500">
        <f t="shared" si="192"/>
        <v>0</v>
      </c>
      <c r="V591" s="1454"/>
      <c r="W591" s="1324">
        <v>46195</v>
      </c>
      <c r="X591" s="1308" t="s">
        <v>95</v>
      </c>
      <c r="Y591" s="1308" t="s">
        <v>2574</v>
      </c>
      <c r="Z591" s="543"/>
      <c r="AA591" s="543"/>
      <c r="AB591" s="543"/>
      <c r="AC591" s="543" t="s">
        <v>2575</v>
      </c>
      <c r="AD591" s="501" t="s">
        <v>722</v>
      </c>
      <c r="AE591" s="502">
        <v>1.2</v>
      </c>
      <c r="AF591" s="503">
        <f>I591*AE591</f>
        <v>1560</v>
      </c>
      <c r="AG591" s="1295"/>
      <c r="AH591" s="488" t="s">
        <v>199</v>
      </c>
      <c r="AI591" s="504" t="s">
        <v>112</v>
      </c>
      <c r="AJ591" s="498" t="s">
        <v>113</v>
      </c>
      <c r="AK591" s="502">
        <f>I591</f>
        <v>1300</v>
      </c>
      <c r="AL591" s="502"/>
      <c r="AM591" s="1218"/>
      <c r="AN591" s="502"/>
      <c r="AO591" s="502"/>
      <c r="AP591" s="502">
        <f>I591</f>
        <v>1300</v>
      </c>
      <c r="AQ591" s="1296"/>
      <c r="AR591" s="438"/>
      <c r="AS591" s="1297"/>
      <c r="AT591" s="1297"/>
      <c r="AU591" s="502">
        <f>I591</f>
        <v>1300</v>
      </c>
      <c r="AV591" s="1298">
        <f>I591*0.06*2</f>
        <v>156</v>
      </c>
      <c r="AW591" s="1298"/>
      <c r="AX591" s="502"/>
      <c r="AY591" s="502"/>
      <c r="AZ591" s="502"/>
      <c r="BA591" s="502"/>
      <c r="BB591" s="502"/>
      <c r="BC591" s="502"/>
      <c r="BD591" s="502"/>
      <c r="BE591" s="502"/>
      <c r="BF591" s="502"/>
      <c r="BG591" s="502"/>
      <c r="BH591" s="502"/>
      <c r="BI591" s="502"/>
      <c r="BJ591" s="502"/>
      <c r="BK591" s="502"/>
      <c r="BL591" s="502">
        <f>I591/13</f>
        <v>100</v>
      </c>
      <c r="BM591" s="502"/>
      <c r="BN591" s="502"/>
      <c r="BO591" s="1296"/>
      <c r="BP591" s="1296"/>
      <c r="BQ591" s="1218"/>
      <c r="BR591" s="1297"/>
      <c r="BS591" s="502"/>
      <c r="BT591" s="502"/>
      <c r="BU591" s="502"/>
      <c r="BV591" s="1296"/>
      <c r="BW591" s="1218"/>
      <c r="BX591" s="1218"/>
      <c r="BY591" s="1218"/>
      <c r="BZ591" s="1218"/>
      <c r="CA591" s="1218"/>
      <c r="CB591" s="1218"/>
      <c r="CC591" s="1218"/>
      <c r="CD591" s="1218">
        <f t="shared" si="207"/>
        <v>0</v>
      </c>
      <c r="CE591" s="1218">
        <f t="shared" si="198"/>
        <v>0</v>
      </c>
      <c r="CF591" s="502">
        <f t="shared" si="208"/>
        <v>0</v>
      </c>
      <c r="CG591" s="1218">
        <f t="shared" si="209"/>
        <v>0</v>
      </c>
      <c r="CH591" s="1299"/>
      <c r="CI591" s="1299"/>
      <c r="CJ591" s="1297"/>
      <c r="CK591" s="502"/>
      <c r="CL591" s="502"/>
      <c r="CM591" s="1455"/>
      <c r="CN591" s="1455"/>
      <c r="CO591" s="1455"/>
      <c r="CP591" s="1455"/>
      <c r="CQ591" s="1455"/>
      <c r="CR591" s="1455"/>
      <c r="CS591" s="1455"/>
      <c r="CT591" s="1455"/>
      <c r="CU591" s="1455"/>
      <c r="CV591" s="1455"/>
      <c r="CW591" s="1455"/>
      <c r="CX591" s="1455"/>
      <c r="CY591" s="1455"/>
      <c r="CZ591" s="1455"/>
      <c r="DA591" s="1455"/>
      <c r="DB591" s="1455"/>
      <c r="DC591" s="1455"/>
      <c r="DD591" s="1455"/>
      <c r="DE591" s="1455"/>
      <c r="DF591" s="1455"/>
      <c r="DG591" s="1455"/>
    </row>
    <row r="592" s="1170" customFormat="1" customHeight="1" spans="1:111">
      <c r="A592" s="1396">
        <v>46156</v>
      </c>
      <c r="B592" s="1397" t="s">
        <v>935</v>
      </c>
      <c r="C592" s="498" t="s">
        <v>115</v>
      </c>
      <c r="D592" s="1398">
        <v>4500206890</v>
      </c>
      <c r="E592" s="500">
        <v>1790512274</v>
      </c>
      <c r="F592" s="496" t="s">
        <v>2576</v>
      </c>
      <c r="G592" s="499" t="s">
        <v>482</v>
      </c>
      <c r="H592" s="498" t="s">
        <v>483</v>
      </c>
      <c r="I592" s="1399">
        <v>4320</v>
      </c>
      <c r="J592" s="498">
        <v>0</v>
      </c>
      <c r="K592" s="498">
        <v>120</v>
      </c>
      <c r="L592" s="1400">
        <f t="shared" si="210"/>
        <v>36</v>
      </c>
      <c r="M592" s="1401">
        <v>46233</v>
      </c>
      <c r="N592" s="1401">
        <v>46238</v>
      </c>
      <c r="O592" s="495"/>
      <c r="P592" s="500"/>
      <c r="Q592" s="500"/>
      <c r="R592" s="498" t="s">
        <v>2577</v>
      </c>
      <c r="S592" s="498"/>
      <c r="T592" s="500">
        <v>4320</v>
      </c>
      <c r="U592" s="500">
        <f t="shared" si="192"/>
        <v>0</v>
      </c>
      <c r="V592" s="498"/>
      <c r="W592" s="1404">
        <v>46155</v>
      </c>
      <c r="X592" s="1405" t="s">
        <v>107</v>
      </c>
      <c r="Y592" s="1432" t="s">
        <v>95</v>
      </c>
      <c r="Z592" s="1397"/>
      <c r="AA592" s="1397"/>
      <c r="AB592" s="1397"/>
      <c r="AC592" s="1397" t="s">
        <v>937</v>
      </c>
      <c r="AD592" s="495" t="s">
        <v>488</v>
      </c>
      <c r="AE592" s="496">
        <v>642</v>
      </c>
      <c r="AF592" s="497">
        <f>L592*AE592</f>
        <v>23112</v>
      </c>
      <c r="AG592" s="1406"/>
      <c r="AH592" s="498" t="s">
        <v>490</v>
      </c>
      <c r="AI592" s="498" t="s">
        <v>112</v>
      </c>
      <c r="AJ592" s="498" t="s">
        <v>113</v>
      </c>
      <c r="AK592" s="496"/>
      <c r="AL592" s="496">
        <f>I592*3</f>
        <v>12960</v>
      </c>
      <c r="AM592" s="496"/>
      <c r="AN592" s="496"/>
      <c r="AO592" s="496"/>
      <c r="AP592" s="496"/>
      <c r="AQ592" s="1407"/>
      <c r="AR592" s="496"/>
      <c r="AS592" s="1408"/>
      <c r="AT592" s="1408"/>
      <c r="AU592" s="496"/>
      <c r="AV592" s="1409">
        <f>I592*0.06*2</f>
        <v>518.4</v>
      </c>
      <c r="AW592" s="1409"/>
      <c r="AX592" s="496"/>
      <c r="AY592" s="496"/>
      <c r="AZ592" s="496"/>
      <c r="BA592" s="496"/>
      <c r="BB592" s="496">
        <f>I592*3</f>
        <v>12960</v>
      </c>
      <c r="BC592" s="496">
        <f>I592*3</f>
        <v>12960</v>
      </c>
      <c r="BD592" s="496">
        <f>I592*3</f>
        <v>12960</v>
      </c>
      <c r="BE592" s="496">
        <f>I592</f>
        <v>4320</v>
      </c>
      <c r="BF592" s="496">
        <f>I592/6</f>
        <v>720</v>
      </c>
      <c r="BG592" s="496"/>
      <c r="BH592" s="496"/>
      <c r="BI592" s="496"/>
      <c r="BJ592" s="496"/>
      <c r="BK592" s="496"/>
      <c r="BL592" s="496"/>
      <c r="BM592" s="496"/>
      <c r="BN592" s="496"/>
      <c r="BO592" s="1407"/>
      <c r="BP592" s="1407"/>
      <c r="BQ592" s="496"/>
      <c r="BR592" s="1408"/>
      <c r="BS592" s="1408"/>
      <c r="BT592" s="496"/>
      <c r="BU592" s="496"/>
      <c r="BV592" s="1407"/>
      <c r="BW592" s="496"/>
      <c r="BX592" s="496"/>
      <c r="BY592" s="496"/>
      <c r="BZ592" s="496"/>
      <c r="CA592" s="496"/>
      <c r="CB592" s="496"/>
      <c r="CC592" s="496"/>
      <c r="CD592" s="496">
        <f t="shared" si="207"/>
        <v>0</v>
      </c>
      <c r="CE592" s="496">
        <f t="shared" si="198"/>
        <v>0</v>
      </c>
      <c r="CF592" s="496">
        <f t="shared" si="208"/>
        <v>0</v>
      </c>
      <c r="CG592" s="496">
        <f t="shared" si="209"/>
        <v>0</v>
      </c>
      <c r="CH592" s="1408"/>
      <c r="CI592" s="1408"/>
      <c r="CJ592" s="1408"/>
      <c r="CK592" s="496"/>
      <c r="CL592" s="496"/>
    </row>
    <row r="593" s="291" customFormat="1" customHeight="1" spans="1:111">
      <c r="A593" s="1289">
        <v>46126</v>
      </c>
      <c r="B593" s="543" t="s">
        <v>2578</v>
      </c>
      <c r="C593" s="504" t="s">
        <v>115</v>
      </c>
      <c r="D593" s="502">
        <v>4500201833</v>
      </c>
      <c r="E593" s="504">
        <v>38049281</v>
      </c>
      <c r="F593" s="502" t="s">
        <v>2579</v>
      </c>
      <c r="G593" s="505" t="s">
        <v>702</v>
      </c>
      <c r="H593" s="504" t="s">
        <v>151</v>
      </c>
      <c r="I593" s="1290">
        <v>924</v>
      </c>
      <c r="J593" s="504">
        <v>0</v>
      </c>
      <c r="K593" s="504">
        <v>84</v>
      </c>
      <c r="L593" s="1291">
        <f t="shared" si="210"/>
        <v>11</v>
      </c>
      <c r="M593" s="501">
        <v>46233</v>
      </c>
      <c r="N593" s="1365">
        <v>46238</v>
      </c>
      <c r="O593" s="501"/>
      <c r="P593" s="506"/>
      <c r="Q593" s="506"/>
      <c r="R593" s="504"/>
      <c r="S593" s="504"/>
      <c r="T593" s="506">
        <v>924</v>
      </c>
      <c r="U593" s="500">
        <f t="shared" si="192"/>
        <v>0</v>
      </c>
      <c r="V593" s="504"/>
      <c r="W593" s="1307">
        <v>46161</v>
      </c>
      <c r="X593" s="1308" t="s">
        <v>107</v>
      </c>
      <c r="Y593" s="1301" t="s">
        <v>2580</v>
      </c>
      <c r="Z593" s="543" t="s">
        <v>2581</v>
      </c>
      <c r="AA593" s="543"/>
      <c r="AB593" s="543"/>
      <c r="AC593" s="543" t="s">
        <v>2582</v>
      </c>
      <c r="AD593" s="501" t="s">
        <v>421</v>
      </c>
      <c r="AE593" s="502">
        <v>126.3364</v>
      </c>
      <c r="AF593" s="503">
        <f>L593*AE593</f>
        <v>1389.7004</v>
      </c>
      <c r="AG593" s="1456" t="s">
        <v>2583</v>
      </c>
      <c r="AH593" s="488" t="s">
        <v>705</v>
      </c>
      <c r="AI593" s="488" t="s">
        <v>112</v>
      </c>
      <c r="AJ593" s="498" t="s">
        <v>113</v>
      </c>
      <c r="AK593" s="502">
        <f>I593</f>
        <v>924</v>
      </c>
      <c r="AL593" s="502"/>
      <c r="AM593" s="1218"/>
      <c r="AN593" s="502">
        <f>I593*2</f>
        <v>1848</v>
      </c>
      <c r="AO593" s="502"/>
      <c r="AP593" s="502"/>
      <c r="AQ593" s="1296"/>
      <c r="AR593" s="438"/>
      <c r="AS593" s="1297"/>
      <c r="AT593" s="1297"/>
      <c r="AU593" s="502">
        <f>I593</f>
        <v>924</v>
      </c>
      <c r="AV593" s="1298">
        <f>I593*0.06</f>
        <v>55.44</v>
      </c>
      <c r="AW593" s="1298"/>
      <c r="AX593" s="502"/>
      <c r="AY593" s="502"/>
      <c r="AZ593" s="502"/>
      <c r="BA593" s="502"/>
      <c r="BB593" s="502"/>
      <c r="BC593" s="502"/>
      <c r="BD593" s="502"/>
      <c r="BE593" s="502"/>
      <c r="BF593" s="502"/>
      <c r="BG593" s="502"/>
      <c r="BH593" s="502"/>
      <c r="BI593" s="502"/>
      <c r="BJ593" s="502"/>
      <c r="BK593" s="502"/>
      <c r="BL593" s="502"/>
      <c r="BM593" s="502"/>
      <c r="BN593" s="502"/>
      <c r="BO593" s="1296"/>
      <c r="BP593" s="1296"/>
      <c r="BQ593" s="1218"/>
      <c r="BR593" s="1297"/>
      <c r="BS593" s="1297"/>
      <c r="BT593" s="502"/>
      <c r="BU593" s="502"/>
      <c r="BV593" s="1296"/>
      <c r="BW593" s="1218"/>
      <c r="BX593" s="1218">
        <f>I593/84</f>
        <v>11</v>
      </c>
      <c r="BY593" s="1218"/>
      <c r="BZ593" s="1218"/>
      <c r="CA593" s="1218"/>
      <c r="CB593" s="1218"/>
      <c r="CC593" s="1218"/>
      <c r="CD593" s="1218">
        <f t="shared" si="207"/>
        <v>0</v>
      </c>
      <c r="CE593" s="1218">
        <f t="shared" si="198"/>
        <v>0</v>
      </c>
      <c r="CF593" s="502">
        <f t="shared" si="208"/>
        <v>0</v>
      </c>
      <c r="CG593" s="1218">
        <f t="shared" si="209"/>
        <v>11</v>
      </c>
      <c r="CH593" s="1299"/>
      <c r="CI593" s="1299"/>
      <c r="CJ593" s="1297"/>
      <c r="CK593" s="502"/>
      <c r="CL593" s="502"/>
      <c r="CM593" s="293"/>
      <c r="CN593" s="293"/>
      <c r="CO593" s="293"/>
      <c r="CP593" s="293"/>
      <c r="CQ593" s="293"/>
      <c r="CR593" s="293"/>
      <c r="CS593" s="293"/>
      <c r="CT593" s="293"/>
      <c r="CU593" s="293"/>
      <c r="CV593" s="293"/>
      <c r="CW593" s="293"/>
      <c r="CX593" s="293"/>
      <c r="CY593" s="293"/>
      <c r="CZ593" s="293"/>
      <c r="DA593" s="293"/>
      <c r="DB593" s="293"/>
      <c r="DC593" s="293"/>
      <c r="DD593" s="293"/>
      <c r="DE593" s="293"/>
      <c r="DF593" s="293"/>
      <c r="DG593" s="293"/>
    </row>
    <row r="594" s="1170" customFormat="1" customHeight="1" spans="1:111">
      <c r="A594" s="1289">
        <v>46126</v>
      </c>
      <c r="B594" s="543" t="s">
        <v>2578</v>
      </c>
      <c r="C594" s="504" t="s">
        <v>115</v>
      </c>
      <c r="D594" s="502">
        <v>4500201833</v>
      </c>
      <c r="E594" s="504">
        <v>38055574</v>
      </c>
      <c r="F594" s="502" t="s">
        <v>2584</v>
      </c>
      <c r="G594" s="505" t="s">
        <v>702</v>
      </c>
      <c r="H594" s="504" t="s">
        <v>151</v>
      </c>
      <c r="I594" s="1290">
        <v>672</v>
      </c>
      <c r="J594" s="504">
        <v>0</v>
      </c>
      <c r="K594" s="504">
        <v>84</v>
      </c>
      <c r="L594" s="1291">
        <f t="shared" si="210"/>
        <v>8</v>
      </c>
      <c r="M594" s="501">
        <v>46233</v>
      </c>
      <c r="N594" s="1365">
        <v>46238</v>
      </c>
      <c r="O594" s="501"/>
      <c r="P594" s="506"/>
      <c r="Q594" s="506"/>
      <c r="R594" s="504"/>
      <c r="S594" s="504"/>
      <c r="T594" s="506">
        <v>672</v>
      </c>
      <c r="U594" s="500">
        <f t="shared" si="192"/>
        <v>0</v>
      </c>
      <c r="V594" s="504"/>
      <c r="W594" s="1324">
        <v>46161</v>
      </c>
      <c r="X594" s="1308" t="s">
        <v>107</v>
      </c>
      <c r="Y594" s="1301" t="s">
        <v>2580</v>
      </c>
      <c r="Z594" s="543" t="s">
        <v>2581</v>
      </c>
      <c r="AA594" s="543"/>
      <c r="AB594" s="543"/>
      <c r="AC594" s="543" t="s">
        <v>2582</v>
      </c>
      <c r="AD594" s="501" t="s">
        <v>421</v>
      </c>
      <c r="AE594" s="502">
        <v>126.3363</v>
      </c>
      <c r="AF594" s="503">
        <f>L594*AE594</f>
        <v>1010.6904</v>
      </c>
      <c r="AG594" s="1456" t="s">
        <v>2583</v>
      </c>
      <c r="AH594" s="488" t="s">
        <v>705</v>
      </c>
      <c r="AI594" s="488" t="s">
        <v>112</v>
      </c>
      <c r="AJ594" s="498" t="s">
        <v>113</v>
      </c>
      <c r="AK594" s="502">
        <f>I594</f>
        <v>672</v>
      </c>
      <c r="AL594" s="502"/>
      <c r="AM594" s="1218"/>
      <c r="AN594" s="502">
        <f>I594*2</f>
        <v>1344</v>
      </c>
      <c r="AO594" s="502"/>
      <c r="AP594" s="502"/>
      <c r="AQ594" s="1296"/>
      <c r="AR594" s="438"/>
      <c r="AS594" s="1297"/>
      <c r="AT594" s="1297"/>
      <c r="AU594" s="502">
        <f>I594</f>
        <v>672</v>
      </c>
      <c r="AV594" s="1298">
        <f>I594*0.06</f>
        <v>40.32</v>
      </c>
      <c r="AW594" s="1298"/>
      <c r="AX594" s="502"/>
      <c r="AY594" s="502"/>
      <c r="AZ594" s="502"/>
      <c r="BA594" s="502"/>
      <c r="BB594" s="502"/>
      <c r="BC594" s="502"/>
      <c r="BD594" s="502"/>
      <c r="BE594" s="502"/>
      <c r="BF594" s="502"/>
      <c r="BG594" s="502"/>
      <c r="BH594" s="502"/>
      <c r="BI594" s="502"/>
      <c r="BJ594" s="502"/>
      <c r="BK594" s="502"/>
      <c r="BL594" s="502"/>
      <c r="BM594" s="502"/>
      <c r="BN594" s="502"/>
      <c r="BO594" s="1296"/>
      <c r="BP594" s="1296"/>
      <c r="BQ594" s="1218"/>
      <c r="BR594" s="1297"/>
      <c r="BS594" s="1297"/>
      <c r="BT594" s="502"/>
      <c r="BU594" s="502"/>
      <c r="BV594" s="1296"/>
      <c r="BW594" s="1218"/>
      <c r="BX594" s="1218">
        <f>I594/84</f>
        <v>8</v>
      </c>
      <c r="BY594" s="1218"/>
      <c r="BZ594" s="1218"/>
      <c r="CA594" s="1218"/>
      <c r="CB594" s="1218"/>
      <c r="CC594" s="1218"/>
      <c r="CD594" s="1218">
        <f t="shared" si="207"/>
        <v>0</v>
      </c>
      <c r="CE594" s="1218">
        <f t="shared" si="198"/>
        <v>0</v>
      </c>
      <c r="CF594" s="502">
        <f t="shared" si="208"/>
        <v>0</v>
      </c>
      <c r="CG594" s="1218">
        <f t="shared" si="209"/>
        <v>8</v>
      </c>
      <c r="CH594" s="1299"/>
      <c r="CI594" s="1299"/>
      <c r="CJ594" s="1297"/>
      <c r="CK594" s="502"/>
      <c r="CL594" s="502"/>
      <c r="CM594" s="293"/>
      <c r="CN594" s="293"/>
      <c r="CO594" s="293"/>
      <c r="CP594" s="293"/>
      <c r="CQ594" s="293"/>
      <c r="CR594" s="293"/>
      <c r="CS594" s="293"/>
      <c r="CT594" s="293"/>
      <c r="CU594" s="293"/>
      <c r="CV594" s="293"/>
      <c r="CW594" s="293"/>
      <c r="CX594" s="293"/>
      <c r="CY594" s="293"/>
      <c r="CZ594" s="293"/>
      <c r="DA594" s="293"/>
      <c r="DB594" s="293"/>
      <c r="DC594" s="293"/>
      <c r="DD594" s="293"/>
      <c r="DE594" s="293"/>
      <c r="DF594" s="293"/>
      <c r="DG594" s="293"/>
    </row>
    <row r="595" s="1168" customFormat="1" customHeight="1" spans="1:111">
      <c r="A595" s="1245">
        <v>46164</v>
      </c>
      <c r="B595" s="1247" t="s">
        <v>378</v>
      </c>
      <c r="C595" s="1234" t="s">
        <v>201</v>
      </c>
      <c r="D595" s="1268">
        <v>4500208684</v>
      </c>
      <c r="E595" s="1264">
        <v>2551020508</v>
      </c>
      <c r="F595" s="1188" t="s">
        <v>2585</v>
      </c>
      <c r="G595" s="1253" t="s">
        <v>380</v>
      </c>
      <c r="H595" s="1234" t="s">
        <v>381</v>
      </c>
      <c r="I595" s="1254">
        <v>7248</v>
      </c>
      <c r="J595" s="1234">
        <v>0</v>
      </c>
      <c r="K595" s="1234">
        <v>16</v>
      </c>
      <c r="L595" s="1246">
        <f t="shared" si="210"/>
        <v>453</v>
      </c>
      <c r="M595" s="1255">
        <v>46233</v>
      </c>
      <c r="N595" s="1255">
        <v>46240</v>
      </c>
      <c r="O595" s="1255"/>
      <c r="P595" s="1302" t="s">
        <v>2586</v>
      </c>
      <c r="Q595" s="1233" t="s">
        <v>1410</v>
      </c>
      <c r="R595" s="1234" t="s">
        <v>1241</v>
      </c>
      <c r="S595" s="1234"/>
      <c r="T595" s="1233">
        <v>7248</v>
      </c>
      <c r="U595" s="1233">
        <f t="shared" si="192"/>
        <v>0</v>
      </c>
      <c r="V595" s="1234"/>
      <c r="W595" s="1238" t="s">
        <v>2250</v>
      </c>
      <c r="X595" s="1227" t="s">
        <v>95</v>
      </c>
      <c r="Y595" s="1257" t="s">
        <v>2251</v>
      </c>
      <c r="Z595" s="1247"/>
      <c r="AA595" s="1247"/>
      <c r="AB595" s="1247"/>
      <c r="AC595" s="1321" t="s">
        <v>2587</v>
      </c>
      <c r="AD595" s="1255" t="s">
        <v>384</v>
      </c>
      <c r="AE595" s="1188">
        <v>1.3</v>
      </c>
      <c r="AF595" s="1248">
        <f>AE595*I595</f>
        <v>9422.4</v>
      </c>
      <c r="AG595" s="1258"/>
      <c r="AH595" s="1387" t="s">
        <v>385</v>
      </c>
      <c r="AI595" s="1234" t="s">
        <v>112</v>
      </c>
      <c r="AJ595" s="1234" t="s">
        <v>113</v>
      </c>
      <c r="AK595" s="1188">
        <f>I595</f>
        <v>7248</v>
      </c>
      <c r="AL595" s="1188"/>
      <c r="AM595" s="1188"/>
      <c r="AN595" s="1188"/>
      <c r="AO595" s="1188"/>
      <c r="AP595" s="1188">
        <f>I595</f>
        <v>7248</v>
      </c>
      <c r="AQ595" s="1240"/>
      <c r="AR595" s="1188"/>
      <c r="AS595" s="1236"/>
      <c r="AT595" s="1236"/>
      <c r="AU595" s="1188">
        <f>I595</f>
        <v>7248</v>
      </c>
      <c r="AV595" s="1250">
        <f>I595*0.06*2</f>
        <v>869.76</v>
      </c>
      <c r="AW595" s="1250"/>
      <c r="AX595" s="1188"/>
      <c r="AY595" s="1188"/>
      <c r="AZ595" s="1188"/>
      <c r="BA595" s="1188"/>
      <c r="BB595" s="1188"/>
      <c r="BC595" s="1188"/>
      <c r="BD595" s="1188"/>
      <c r="BE595" s="1188"/>
      <c r="BF595" s="1188"/>
      <c r="BG595" s="1188"/>
      <c r="BH595" s="1188"/>
      <c r="BI595" s="1188"/>
      <c r="BJ595" s="1188"/>
      <c r="BK595" s="1188"/>
      <c r="BL595" s="1188"/>
      <c r="BM595" s="1188"/>
      <c r="BN595" s="1188"/>
      <c r="BO595" s="1240"/>
      <c r="BP595" s="1240"/>
      <c r="BQ595" s="1188"/>
      <c r="BR595" s="1236"/>
      <c r="BS595" s="1188">
        <f>I595/16</f>
        <v>453</v>
      </c>
      <c r="BT595" s="1188"/>
      <c r="BU595" s="1188"/>
      <c r="BV595" s="1240"/>
      <c r="BW595" s="1188"/>
      <c r="BX595" s="1188"/>
      <c r="BY595" s="1188"/>
      <c r="BZ595" s="1188"/>
      <c r="CA595" s="1188"/>
      <c r="CB595" s="1188"/>
      <c r="CC595" s="1188"/>
      <c r="CD595" s="1188">
        <f t="shared" si="207"/>
        <v>453</v>
      </c>
      <c r="CE595" s="1188">
        <f t="shared" si="198"/>
        <v>0</v>
      </c>
      <c r="CF595" s="1188">
        <f t="shared" si="208"/>
        <v>0</v>
      </c>
      <c r="CG595" s="1188">
        <f t="shared" si="209"/>
        <v>0</v>
      </c>
      <c r="CH595" s="1236"/>
      <c r="CI595" s="1236"/>
      <c r="CJ595" s="1236"/>
      <c r="CK595" s="1188"/>
      <c r="CL595" s="1188"/>
    </row>
    <row r="596" s="1170" customFormat="1" customHeight="1" spans="1:111">
      <c r="A596" s="1396">
        <v>46169</v>
      </c>
      <c r="B596" s="1447" t="s">
        <v>935</v>
      </c>
      <c r="C596" s="1448" t="s">
        <v>115</v>
      </c>
      <c r="D596" s="1457">
        <v>4500209267</v>
      </c>
      <c r="E596" s="1448" t="s">
        <v>628</v>
      </c>
      <c r="F596" s="1450" t="s">
        <v>2588</v>
      </c>
      <c r="G596" s="1451" t="s">
        <v>482</v>
      </c>
      <c r="H596" s="1448" t="s">
        <v>483</v>
      </c>
      <c r="I596" s="1452">
        <v>4320</v>
      </c>
      <c r="J596" s="1448">
        <v>0</v>
      </c>
      <c r="K596" s="1448">
        <v>120</v>
      </c>
      <c r="L596" s="1400">
        <f t="shared" si="210"/>
        <v>36</v>
      </c>
      <c r="M596" s="1444">
        <v>46233</v>
      </c>
      <c r="N596" s="1458">
        <v>46242</v>
      </c>
      <c r="O596" s="495"/>
      <c r="P596" s="500"/>
      <c r="Q596" s="500"/>
      <c r="R596" s="498"/>
      <c r="S596" s="498"/>
      <c r="T596" s="500">
        <v>4320</v>
      </c>
      <c r="U596" s="500">
        <f t="shared" si="192"/>
        <v>0</v>
      </c>
      <c r="V596" s="498"/>
      <c r="W596" s="1431">
        <v>46178</v>
      </c>
      <c r="X596" s="1405" t="s">
        <v>95</v>
      </c>
      <c r="Y596" s="1405" t="s">
        <v>95</v>
      </c>
      <c r="Z596" s="1397"/>
      <c r="AA596" s="1397"/>
      <c r="AB596" s="1397"/>
      <c r="AC596" s="1397" t="s">
        <v>937</v>
      </c>
      <c r="AD596" s="1444" t="s">
        <v>488</v>
      </c>
      <c r="AE596" s="496">
        <v>642</v>
      </c>
      <c r="AF596" s="497">
        <f>L596*AE596</f>
        <v>23112</v>
      </c>
      <c r="AG596" s="1406"/>
      <c r="AH596" s="498" t="s">
        <v>490</v>
      </c>
      <c r="AI596" s="498" t="s">
        <v>112</v>
      </c>
      <c r="AJ596" s="498" t="s">
        <v>113</v>
      </c>
      <c r="AK596" s="496"/>
      <c r="AL596" s="496">
        <f>I596*3</f>
        <v>12960</v>
      </c>
      <c r="AM596" s="496"/>
      <c r="AN596" s="496"/>
      <c r="AO596" s="496"/>
      <c r="AP596" s="496"/>
      <c r="AQ596" s="1407"/>
      <c r="AR596" s="496"/>
      <c r="AS596" s="1408"/>
      <c r="AT596" s="1408"/>
      <c r="AU596" s="496"/>
      <c r="AV596" s="1409">
        <f>I596*0.06*2</f>
        <v>518.4</v>
      </c>
      <c r="AW596" s="1409"/>
      <c r="AX596" s="496"/>
      <c r="AY596" s="496"/>
      <c r="AZ596" s="496"/>
      <c r="BA596" s="496"/>
      <c r="BB596" s="496">
        <f>I596*3</f>
        <v>12960</v>
      </c>
      <c r="BC596" s="496">
        <f>I596*3</f>
        <v>12960</v>
      </c>
      <c r="BD596" s="496">
        <f>I596*3</f>
        <v>12960</v>
      </c>
      <c r="BE596" s="496">
        <f>I596</f>
        <v>4320</v>
      </c>
      <c r="BF596" s="496">
        <f>I596/6</f>
        <v>720</v>
      </c>
      <c r="BG596" s="496"/>
      <c r="BH596" s="496"/>
      <c r="BI596" s="496"/>
      <c r="BJ596" s="496"/>
      <c r="BK596" s="496"/>
      <c r="BL596" s="496"/>
      <c r="BM596" s="496"/>
      <c r="BN596" s="496"/>
      <c r="BO596" s="1407"/>
      <c r="BP596" s="1407"/>
      <c r="BQ596" s="496"/>
      <c r="BR596" s="1408"/>
      <c r="BS596" s="1408"/>
      <c r="BT596" s="496"/>
      <c r="BU596" s="496"/>
      <c r="BV596" s="1407"/>
      <c r="BW596" s="496"/>
      <c r="BX596" s="496"/>
      <c r="BY596" s="496"/>
      <c r="BZ596" s="496"/>
      <c r="CA596" s="496"/>
      <c r="CB596" s="496"/>
      <c r="CC596" s="496"/>
      <c r="CD596" s="496">
        <f t="shared" si="207"/>
        <v>0</v>
      </c>
      <c r="CE596" s="496">
        <f t="shared" si="198"/>
        <v>0</v>
      </c>
      <c r="CF596" s="496">
        <f t="shared" si="208"/>
        <v>0</v>
      </c>
      <c r="CG596" s="496">
        <f t="shared" si="209"/>
        <v>0</v>
      </c>
      <c r="CH596" s="1408"/>
      <c r="CI596" s="1408"/>
      <c r="CJ596" s="1408"/>
      <c r="CK596" s="496"/>
      <c r="CL596" s="496"/>
    </row>
    <row r="597" s="1174" customFormat="1" customHeight="1" spans="1:111">
      <c r="A597" s="1396">
        <v>46156</v>
      </c>
      <c r="B597" s="1397" t="s">
        <v>935</v>
      </c>
      <c r="C597" s="498" t="s">
        <v>115</v>
      </c>
      <c r="D597" s="1398">
        <v>4500206891</v>
      </c>
      <c r="E597" s="500">
        <v>9600512470</v>
      </c>
      <c r="F597" s="496" t="s">
        <v>2589</v>
      </c>
      <c r="G597" s="499" t="s">
        <v>482</v>
      </c>
      <c r="H597" s="498" t="s">
        <v>483</v>
      </c>
      <c r="I597" s="1399">
        <v>4320</v>
      </c>
      <c r="J597" s="498">
        <v>0</v>
      </c>
      <c r="K597" s="498">
        <v>120</v>
      </c>
      <c r="L597" s="1400">
        <f t="shared" si="210"/>
        <v>36</v>
      </c>
      <c r="M597" s="495">
        <v>46233</v>
      </c>
      <c r="N597" s="1458">
        <v>46243</v>
      </c>
      <c r="O597" s="495"/>
      <c r="P597" s="500"/>
      <c r="Q597" s="500"/>
      <c r="R597" s="498"/>
      <c r="S597" s="498"/>
      <c r="T597" s="500">
        <v>4320</v>
      </c>
      <c r="U597" s="500">
        <f t="shared" si="192"/>
        <v>0</v>
      </c>
      <c r="V597" s="498"/>
      <c r="W597" s="1431">
        <v>46155</v>
      </c>
      <c r="X597" s="1405" t="s">
        <v>107</v>
      </c>
      <c r="Y597" s="1405" t="s">
        <v>95</v>
      </c>
      <c r="Z597" s="1397"/>
      <c r="AA597" s="1397"/>
      <c r="AB597" s="1397"/>
      <c r="AC597" s="1397" t="s">
        <v>937</v>
      </c>
      <c r="AD597" s="495" t="s">
        <v>488</v>
      </c>
      <c r="AE597" s="496">
        <v>642</v>
      </c>
      <c r="AF597" s="497">
        <f>L597*AE597</f>
        <v>23112</v>
      </c>
      <c r="AG597" s="1406"/>
      <c r="AH597" s="498" t="s">
        <v>490</v>
      </c>
      <c r="AI597" s="498" t="s">
        <v>112</v>
      </c>
      <c r="AJ597" s="498"/>
      <c r="AK597" s="496"/>
      <c r="AL597" s="496">
        <f>I597*3</f>
        <v>12960</v>
      </c>
      <c r="AM597" s="496"/>
      <c r="AN597" s="496"/>
      <c r="AO597" s="496"/>
      <c r="AP597" s="496"/>
      <c r="AQ597" s="1407"/>
      <c r="AR597" s="496"/>
      <c r="AS597" s="1408"/>
      <c r="AT597" s="1408"/>
      <c r="AU597" s="496"/>
      <c r="AV597" s="1409">
        <f>I597*0.06*2</f>
        <v>518.4</v>
      </c>
      <c r="AW597" s="1409"/>
      <c r="AX597" s="496"/>
      <c r="AY597" s="496"/>
      <c r="AZ597" s="496"/>
      <c r="BA597" s="496"/>
      <c r="BB597" s="496">
        <f>I597*3</f>
        <v>12960</v>
      </c>
      <c r="BC597" s="496">
        <f>I597*3</f>
        <v>12960</v>
      </c>
      <c r="BD597" s="496">
        <f>I597*3</f>
        <v>12960</v>
      </c>
      <c r="BE597" s="496">
        <f>I597</f>
        <v>4320</v>
      </c>
      <c r="BF597" s="496">
        <f>I597/6</f>
        <v>720</v>
      </c>
      <c r="BG597" s="496"/>
      <c r="BH597" s="496"/>
      <c r="BI597" s="496"/>
      <c r="BJ597" s="496"/>
      <c r="BK597" s="496"/>
      <c r="BL597" s="496"/>
      <c r="BM597" s="496"/>
      <c r="BN597" s="496"/>
      <c r="BO597" s="1407"/>
      <c r="BP597" s="1407"/>
      <c r="BQ597" s="496"/>
      <c r="BR597" s="1408"/>
      <c r="BS597" s="1408"/>
      <c r="BT597" s="496"/>
      <c r="BU597" s="496"/>
      <c r="BV597" s="1407"/>
      <c r="BW597" s="496"/>
      <c r="BX597" s="496"/>
      <c r="BY597" s="496"/>
      <c r="BZ597" s="496"/>
      <c r="CA597" s="496"/>
      <c r="CB597" s="496"/>
      <c r="CC597" s="496"/>
      <c r="CD597" s="496">
        <f t="shared" si="207"/>
        <v>0</v>
      </c>
      <c r="CE597" s="496">
        <f t="shared" si="198"/>
        <v>0</v>
      </c>
      <c r="CF597" s="496">
        <f t="shared" si="208"/>
        <v>0</v>
      </c>
      <c r="CG597" s="496">
        <f t="shared" si="209"/>
        <v>0</v>
      </c>
      <c r="CH597" s="1408"/>
      <c r="CI597" s="1408"/>
      <c r="CJ597" s="1408"/>
      <c r="CK597" s="496"/>
      <c r="CL597" s="496"/>
      <c r="CM597" s="1170"/>
      <c r="CN597" s="1170"/>
      <c r="CO597" s="1170"/>
      <c r="CP597" s="1170"/>
      <c r="CQ597" s="1170"/>
      <c r="CR597" s="1170"/>
      <c r="CS597" s="1170"/>
      <c r="CT597" s="1170"/>
      <c r="CU597" s="1170"/>
      <c r="CV597" s="1170"/>
      <c r="CW597" s="1170"/>
      <c r="CX597" s="1170"/>
      <c r="CY597" s="1170"/>
      <c r="CZ597" s="1170"/>
      <c r="DA597" s="1170"/>
      <c r="DB597" s="1170"/>
      <c r="DC597" s="1170"/>
      <c r="DD597" s="1170"/>
      <c r="DE597" s="1170"/>
      <c r="DF597" s="1170"/>
      <c r="DG597" s="1170"/>
    </row>
    <row r="598" s="1168" customFormat="1" customHeight="1" spans="1:111">
      <c r="A598" s="1245">
        <v>46164</v>
      </c>
      <c r="B598" s="1247" t="s">
        <v>2590</v>
      </c>
      <c r="C598" s="1234" t="s">
        <v>2523</v>
      </c>
      <c r="D598" s="1268">
        <v>4500208595</v>
      </c>
      <c r="E598" s="1234" t="s">
        <v>2591</v>
      </c>
      <c r="F598" s="1188" t="s">
        <v>2592</v>
      </c>
      <c r="G598" s="1253" t="s">
        <v>188</v>
      </c>
      <c r="H598" s="1234" t="s">
        <v>138</v>
      </c>
      <c r="I598" s="1254">
        <v>2500</v>
      </c>
      <c r="J598" s="1234">
        <v>0</v>
      </c>
      <c r="K598" s="1234">
        <v>50</v>
      </c>
      <c r="L598" s="1246">
        <f t="shared" si="210"/>
        <v>50</v>
      </c>
      <c r="M598" s="1320">
        <v>46234</v>
      </c>
      <c r="N598" s="1320">
        <f>M598-4</f>
        <v>46230</v>
      </c>
      <c r="O598" s="1255" t="s">
        <v>2272</v>
      </c>
      <c r="P598" s="1233"/>
      <c r="Q598" s="1233" t="s">
        <v>1410</v>
      </c>
      <c r="R598" s="1234"/>
      <c r="S598" s="1234"/>
      <c r="T598" s="1233">
        <v>2500</v>
      </c>
      <c r="U598" s="1233">
        <f t="shared" si="192"/>
        <v>0</v>
      </c>
      <c r="V598" s="1234"/>
      <c r="W598" s="1238">
        <v>46164</v>
      </c>
      <c r="X598" s="1227" t="s">
        <v>95</v>
      </c>
      <c r="Y598" s="1227" t="s">
        <v>2593</v>
      </c>
      <c r="Z598" s="1247" t="s">
        <v>2594</v>
      </c>
      <c r="AA598" s="1247"/>
      <c r="AB598" s="1247"/>
      <c r="AC598" s="1247" t="s">
        <v>2595</v>
      </c>
      <c r="AD598" s="1255" t="s">
        <v>1725</v>
      </c>
      <c r="AE598" s="1188">
        <v>1.1174</v>
      </c>
      <c r="AF598" s="1248">
        <f>AE598*I598</f>
        <v>2793.5</v>
      </c>
      <c r="AG598" s="1258"/>
      <c r="AH598" s="1234" t="s">
        <v>314</v>
      </c>
      <c r="AI598" s="1234" t="s">
        <v>112</v>
      </c>
      <c r="AJ598" s="1234" t="s">
        <v>113</v>
      </c>
      <c r="AK598" s="1188">
        <f>I598</f>
        <v>2500</v>
      </c>
      <c r="AL598" s="1188"/>
      <c r="AM598" s="1188"/>
      <c r="AN598" s="1188"/>
      <c r="AO598" s="1188"/>
      <c r="AP598" s="1188">
        <f>I598</f>
        <v>2500</v>
      </c>
      <c r="AQ598" s="1240"/>
      <c r="AR598" s="1188"/>
      <c r="AS598" s="1236"/>
      <c r="AT598" s="1236"/>
      <c r="AU598" s="1188">
        <f>I598</f>
        <v>2500</v>
      </c>
      <c r="AV598" s="1250">
        <f>I598*0.06*2</f>
        <v>300</v>
      </c>
      <c r="AW598" s="1250"/>
      <c r="AX598" s="1188"/>
      <c r="AY598" s="1188"/>
      <c r="AZ598" s="1188"/>
      <c r="BA598" s="1188"/>
      <c r="BB598" s="1188"/>
      <c r="BC598" s="1188"/>
      <c r="BD598" s="1188"/>
      <c r="BE598" s="1188"/>
      <c r="BF598" s="1188"/>
      <c r="BG598" s="1188"/>
      <c r="BH598" s="1188"/>
      <c r="BI598" s="1188"/>
      <c r="BJ598" s="1188"/>
      <c r="BK598" s="1188"/>
      <c r="BL598" s="1188"/>
      <c r="BM598" s="1188"/>
      <c r="BN598" s="1188"/>
      <c r="BO598" s="1240">
        <f>I598/25</f>
        <v>100</v>
      </c>
      <c r="BP598" s="1240"/>
      <c r="BQ598" s="1188"/>
      <c r="BR598" s="1236"/>
      <c r="BS598" s="1236"/>
      <c r="BT598" s="1188"/>
      <c r="BU598" s="1188"/>
      <c r="BV598" s="1240"/>
      <c r="BW598" s="1188"/>
      <c r="BX598" s="1188"/>
      <c r="BY598" s="1188"/>
      <c r="BZ598" s="1188"/>
      <c r="CA598" s="1188"/>
      <c r="CB598" s="1188"/>
      <c r="CC598" s="1188"/>
      <c r="CD598" s="1188">
        <f t="shared" si="207"/>
        <v>100</v>
      </c>
      <c r="CE598" s="1188">
        <f t="shared" si="198"/>
        <v>0</v>
      </c>
      <c r="CF598" s="1188">
        <f t="shared" si="208"/>
        <v>0</v>
      </c>
      <c r="CG598" s="1188">
        <f t="shared" si="209"/>
        <v>0</v>
      </c>
      <c r="CH598" s="1236"/>
      <c r="CI598" s="1236"/>
      <c r="CJ598" s="1236"/>
      <c r="CK598" s="1188"/>
      <c r="CL598" s="1188"/>
    </row>
    <row r="599" s="1170" customFormat="1" customHeight="1" spans="1:111">
      <c r="A599" s="1396">
        <v>46178</v>
      </c>
      <c r="B599" s="1397" t="s">
        <v>2596</v>
      </c>
      <c r="C599" s="498" t="s">
        <v>1439</v>
      </c>
      <c r="D599" s="496">
        <v>4500210889</v>
      </c>
      <c r="E599" s="498">
        <v>7201198</v>
      </c>
      <c r="F599" s="496" t="s">
        <v>2597</v>
      </c>
      <c r="G599" s="499" t="s">
        <v>188</v>
      </c>
      <c r="H599" s="498" t="s">
        <v>138</v>
      </c>
      <c r="I599" s="1399">
        <v>1200</v>
      </c>
      <c r="J599" s="498">
        <v>0</v>
      </c>
      <c r="K599" s="498">
        <v>50</v>
      </c>
      <c r="L599" s="1400">
        <f t="shared" si="210"/>
        <v>24</v>
      </c>
      <c r="M599" s="495">
        <v>46234</v>
      </c>
      <c r="N599" s="1401">
        <v>46233</v>
      </c>
      <c r="O599" s="495"/>
      <c r="P599" s="500"/>
      <c r="Q599" s="500" t="s">
        <v>1410</v>
      </c>
      <c r="R599" s="498"/>
      <c r="S599" s="498"/>
      <c r="T599" s="500">
        <v>1200</v>
      </c>
      <c r="U599" s="500">
        <f t="shared" si="192"/>
        <v>0</v>
      </c>
      <c r="V599" s="498"/>
      <c r="W599" s="1431">
        <v>46185</v>
      </c>
      <c r="X599" s="1432" t="s">
        <v>95</v>
      </c>
      <c r="Y599" s="1432" t="s">
        <v>2598</v>
      </c>
      <c r="Z599" s="1397"/>
      <c r="AA599" s="1397"/>
      <c r="AB599" s="1397"/>
      <c r="AC599" s="1433" t="s">
        <v>2599</v>
      </c>
      <c r="AD599" s="495" t="s">
        <v>2600</v>
      </c>
      <c r="AE599" s="496">
        <v>1.0979</v>
      </c>
      <c r="AF599" s="497">
        <f>AE599*I599</f>
        <v>1317.48</v>
      </c>
      <c r="AG599" s="1406"/>
      <c r="AH599" s="498" t="s">
        <v>314</v>
      </c>
      <c r="AI599" s="498" t="s">
        <v>112</v>
      </c>
      <c r="AJ599" s="498"/>
      <c r="AK599" s="496">
        <f>I599</f>
        <v>1200</v>
      </c>
      <c r="AL599" s="496"/>
      <c r="AM599" s="496"/>
      <c r="AN599" s="496"/>
      <c r="AO599" s="496"/>
      <c r="AP599" s="496">
        <f>I599</f>
        <v>1200</v>
      </c>
      <c r="AQ599" s="1407"/>
      <c r="AR599" s="496"/>
      <c r="AS599" s="1408"/>
      <c r="AT599" s="1408"/>
      <c r="AU599" s="496">
        <f>I599</f>
        <v>1200</v>
      </c>
      <c r="AV599" s="1409"/>
      <c r="AW599" s="1409"/>
      <c r="AX599" s="496"/>
      <c r="AY599" s="496"/>
      <c r="AZ599" s="496"/>
      <c r="BA599" s="496"/>
      <c r="BB599" s="496"/>
      <c r="BC599" s="496"/>
      <c r="BD599" s="496"/>
      <c r="BE599" s="496"/>
      <c r="BF599" s="496"/>
      <c r="BG599" s="496"/>
      <c r="BH599" s="496"/>
      <c r="BI599" s="496"/>
      <c r="BJ599" s="496"/>
      <c r="BK599" s="496"/>
      <c r="BL599" s="496"/>
      <c r="BM599" s="496"/>
      <c r="BN599" s="496"/>
      <c r="BO599" s="1407">
        <f>I599/25</f>
        <v>48</v>
      </c>
      <c r="BP599" s="1407"/>
      <c r="BQ599" s="496"/>
      <c r="BR599" s="1408"/>
      <c r="BS599" s="1408"/>
      <c r="BT599" s="496"/>
      <c r="BU599" s="496"/>
      <c r="BV599" s="1407"/>
      <c r="BW599" s="496"/>
      <c r="BX599" s="496"/>
      <c r="BY599" s="496"/>
      <c r="BZ599" s="496"/>
      <c r="CA599" s="496"/>
      <c r="CB599" s="496"/>
      <c r="CC599" s="496"/>
      <c r="CD599" s="496">
        <f t="shared" si="207"/>
        <v>48</v>
      </c>
      <c r="CE599" s="496">
        <f t="shared" si="198"/>
        <v>0</v>
      </c>
      <c r="CF599" s="496">
        <f t="shared" si="208"/>
        <v>0</v>
      </c>
      <c r="CG599" s="496">
        <f t="shared" si="209"/>
        <v>0</v>
      </c>
      <c r="CH599" s="1408"/>
      <c r="CI599" s="1408"/>
      <c r="CJ599" s="1408"/>
      <c r="CK599" s="496"/>
      <c r="CL599" s="496"/>
    </row>
    <row r="600" s="1171" customFormat="1" customHeight="1" spans="1:111">
      <c r="A600" s="1245">
        <v>46185</v>
      </c>
      <c r="B600" s="1269" t="s">
        <v>280</v>
      </c>
      <c r="C600" s="1287" t="s">
        <v>135</v>
      </c>
      <c r="D600" s="1270">
        <v>4500211844</v>
      </c>
      <c r="E600" s="1271" t="s">
        <v>2601</v>
      </c>
      <c r="F600" s="1270" t="s">
        <v>2602</v>
      </c>
      <c r="G600" s="1272" t="s">
        <v>283</v>
      </c>
      <c r="H600" s="1234" t="s">
        <v>194</v>
      </c>
      <c r="I600" s="1273">
        <v>10452</v>
      </c>
      <c r="J600" s="1274">
        <v>0</v>
      </c>
      <c r="K600" s="1274">
        <v>13</v>
      </c>
      <c r="L600" s="1246">
        <f t="shared" si="210"/>
        <v>804</v>
      </c>
      <c r="M600" s="1255">
        <v>46234</v>
      </c>
      <c r="N600" s="1320">
        <v>46239</v>
      </c>
      <c r="O600" s="1255"/>
      <c r="P600" s="1233"/>
      <c r="Q600" s="1233" t="s">
        <v>1410</v>
      </c>
      <c r="R600" s="1234" t="s">
        <v>2603</v>
      </c>
      <c r="S600" s="1234"/>
      <c r="T600" s="1233">
        <f>10439+13</f>
        <v>10452</v>
      </c>
      <c r="U600" s="1233">
        <f t="shared" si="192"/>
        <v>0</v>
      </c>
      <c r="V600" s="1234"/>
      <c r="W600" s="1238">
        <v>46185</v>
      </c>
      <c r="X600" s="1227" t="s">
        <v>95</v>
      </c>
      <c r="Y600" s="1227" t="s">
        <v>2493</v>
      </c>
      <c r="Z600" s="1247" t="s">
        <v>140</v>
      </c>
      <c r="AA600" s="1247"/>
      <c r="AB600" s="1247"/>
      <c r="AC600" s="1321" t="s">
        <v>2604</v>
      </c>
      <c r="AD600" s="1275" t="s">
        <v>1207</v>
      </c>
      <c r="AE600" s="1276">
        <v>1.0662</v>
      </c>
      <c r="AF600" s="1248">
        <f t="shared" ref="AF600:AF610" si="211">I600*AE600</f>
        <v>11143.9224</v>
      </c>
      <c r="AG600" s="1258"/>
      <c r="AH600" s="1272" t="s">
        <v>283</v>
      </c>
      <c r="AI600" s="1234" t="s">
        <v>112</v>
      </c>
      <c r="AJ600" s="1234" t="s">
        <v>113</v>
      </c>
      <c r="AK600" s="1188">
        <f>I600</f>
        <v>10452</v>
      </c>
      <c r="AL600" s="1188"/>
      <c r="AM600" s="1188"/>
      <c r="AN600" s="1188">
        <f>I600</f>
        <v>10452</v>
      </c>
      <c r="AO600" s="1188"/>
      <c r="AP600" s="1188"/>
      <c r="AQ600" s="1240"/>
      <c r="AR600" s="1188"/>
      <c r="AS600" s="1236"/>
      <c r="AT600" s="1236"/>
      <c r="AU600" s="1188"/>
      <c r="AV600" s="1250">
        <f>I600*0.06</f>
        <v>627.12</v>
      </c>
      <c r="AW600" s="1250">
        <f>I600</f>
        <v>10452</v>
      </c>
      <c r="AX600" s="1188"/>
      <c r="AY600" s="1188"/>
      <c r="AZ600" s="1188"/>
      <c r="BA600" s="1188"/>
      <c r="BB600" s="1188"/>
      <c r="BC600" s="1188"/>
      <c r="BD600" s="1188"/>
      <c r="BE600" s="1188"/>
      <c r="BF600" s="1188"/>
      <c r="BG600" s="1188"/>
      <c r="BH600" s="1188"/>
      <c r="BI600" s="1188"/>
      <c r="BJ600" s="1188"/>
      <c r="BK600" s="1188">
        <f>I600/13</f>
        <v>804</v>
      </c>
      <c r="BL600" s="1188"/>
      <c r="BM600" s="1188"/>
      <c r="BN600" s="1188"/>
      <c r="BO600" s="1240"/>
      <c r="BP600" s="1240"/>
      <c r="BQ600" s="1188"/>
      <c r="BR600" s="1236"/>
      <c r="BS600" s="1236"/>
      <c r="BT600" s="1188"/>
      <c r="BU600" s="1188"/>
      <c r="BV600" s="1240"/>
      <c r="BW600" s="1188"/>
      <c r="BX600" s="1188"/>
      <c r="BY600" s="1188"/>
      <c r="BZ600" s="1188"/>
      <c r="CA600" s="1188"/>
      <c r="CB600" s="1188"/>
      <c r="CC600" s="1188"/>
      <c r="CD600" s="1188">
        <f t="shared" si="207"/>
        <v>0</v>
      </c>
      <c r="CE600" s="1188">
        <f t="shared" si="198"/>
        <v>0</v>
      </c>
      <c r="CF600" s="1188">
        <f t="shared" si="208"/>
        <v>0</v>
      </c>
      <c r="CG600" s="1188">
        <f t="shared" si="209"/>
        <v>0</v>
      </c>
      <c r="CH600" s="1236"/>
      <c r="CI600" s="1236"/>
      <c r="CJ600" s="1236"/>
      <c r="CK600" s="1188"/>
      <c r="CL600" s="1188"/>
      <c r="CM600" s="1168"/>
      <c r="CN600" s="1168"/>
      <c r="CO600" s="1168"/>
      <c r="CP600" s="1168"/>
      <c r="CQ600" s="1168"/>
      <c r="CR600" s="1168"/>
      <c r="CS600" s="1168"/>
      <c r="CT600" s="1168"/>
      <c r="CU600" s="1168"/>
      <c r="CV600" s="1168"/>
      <c r="CW600" s="1168"/>
      <c r="CX600" s="1168"/>
      <c r="CY600" s="1168"/>
      <c r="CZ600" s="1168"/>
      <c r="DA600" s="1168"/>
      <c r="DB600" s="1168"/>
      <c r="DC600" s="1168"/>
      <c r="DD600" s="1168"/>
      <c r="DE600" s="1168"/>
      <c r="DF600" s="1168"/>
      <c r="DG600" s="1168"/>
    </row>
    <row r="601" s="1168" customFormat="1" customHeight="1" spans="1:111">
      <c r="A601" s="1245">
        <v>46184</v>
      </c>
      <c r="B601" s="1247" t="s">
        <v>2294</v>
      </c>
      <c r="C601" s="1234" t="s">
        <v>115</v>
      </c>
      <c r="D601" s="1268">
        <v>4500206279</v>
      </c>
      <c r="E601" s="1233">
        <v>4500057665</v>
      </c>
      <c r="F601" s="1188" t="s">
        <v>2605</v>
      </c>
      <c r="G601" s="1253" t="s">
        <v>174</v>
      </c>
      <c r="H601" s="1234" t="s">
        <v>175</v>
      </c>
      <c r="I601" s="1254">
        <v>14976</v>
      </c>
      <c r="J601" s="1234">
        <v>0</v>
      </c>
      <c r="K601" s="1234">
        <v>52</v>
      </c>
      <c r="L601" s="1246">
        <f t="shared" si="210"/>
        <v>288</v>
      </c>
      <c r="M601" s="1255">
        <v>46234</v>
      </c>
      <c r="N601" s="1320">
        <v>46239</v>
      </c>
      <c r="O601" s="1255"/>
      <c r="P601" s="1233"/>
      <c r="Q601" s="1233" t="s">
        <v>1410</v>
      </c>
      <c r="R601" s="1234"/>
      <c r="S601" s="1234"/>
      <c r="T601" s="1233">
        <v>14976</v>
      </c>
      <c r="U601" s="1233">
        <f t="shared" si="192"/>
        <v>0</v>
      </c>
      <c r="V601" s="1234"/>
      <c r="W601" s="1256">
        <v>46184</v>
      </c>
      <c r="X601" s="1227" t="s">
        <v>95</v>
      </c>
      <c r="Y601" s="1227" t="s">
        <v>95</v>
      </c>
      <c r="Z601" s="1247"/>
      <c r="AA601" s="1247"/>
      <c r="AB601" s="1247"/>
      <c r="AC601" s="1247" t="s">
        <v>2606</v>
      </c>
      <c r="AD601" s="1255" t="s">
        <v>2297</v>
      </c>
      <c r="AE601" s="1188">
        <v>0.6383</v>
      </c>
      <c r="AF601" s="1248">
        <f t="shared" si="211"/>
        <v>9559.1808</v>
      </c>
      <c r="AG601" s="1258"/>
      <c r="AH601" s="1253" t="s">
        <v>174</v>
      </c>
      <c r="AI601" s="1234" t="s">
        <v>112</v>
      </c>
      <c r="AJ601" s="1234" t="s">
        <v>113</v>
      </c>
      <c r="AK601" s="1188">
        <f t="shared" ref="AK601:AK607" si="212">I601*2</f>
        <v>29952</v>
      </c>
      <c r="AL601" s="1188"/>
      <c r="AM601" s="1188"/>
      <c r="AN601" s="1188">
        <f>I601</f>
        <v>14976</v>
      </c>
      <c r="AO601" s="1188"/>
      <c r="AP601" s="1188"/>
      <c r="AQ601" s="1240"/>
      <c r="AR601" s="1188"/>
      <c r="AS601" s="1236"/>
      <c r="AT601" s="1236"/>
      <c r="AU601" s="1188">
        <f>I601</f>
        <v>14976</v>
      </c>
      <c r="AV601" s="1250"/>
      <c r="AW601" s="1250"/>
      <c r="AX601" s="1188"/>
      <c r="AY601" s="1188"/>
      <c r="AZ601" s="1188"/>
      <c r="BA601" s="1188"/>
      <c r="BB601" s="1188"/>
      <c r="BC601" s="1188"/>
      <c r="BD601" s="1188"/>
      <c r="BE601" s="1188"/>
      <c r="BF601" s="1188"/>
      <c r="BG601" s="1188"/>
      <c r="BH601" s="1188"/>
      <c r="BI601" s="1188"/>
      <c r="BJ601" s="1188"/>
      <c r="BK601" s="1188">
        <f>I601/13</f>
        <v>1152</v>
      </c>
      <c r="BL601" s="1188"/>
      <c r="BM601" s="1188"/>
      <c r="BN601" s="1188"/>
      <c r="BO601" s="1240"/>
      <c r="BP601" s="1240"/>
      <c r="BQ601" s="1188"/>
      <c r="BR601" s="1236"/>
      <c r="BS601" s="1236"/>
      <c r="BT601" s="1188"/>
      <c r="BU601" s="1188"/>
      <c r="BV601" s="1240"/>
      <c r="BW601" s="1188"/>
      <c r="BX601" s="1188"/>
      <c r="BY601" s="1188"/>
      <c r="BZ601" s="1188"/>
      <c r="CA601" s="1188"/>
      <c r="CB601" s="1188"/>
      <c r="CC601" s="1188"/>
      <c r="CD601" s="1188">
        <f t="shared" si="207"/>
        <v>0</v>
      </c>
      <c r="CE601" s="1188">
        <f t="shared" si="198"/>
        <v>0</v>
      </c>
      <c r="CF601" s="1188">
        <f t="shared" si="208"/>
        <v>0</v>
      </c>
      <c r="CG601" s="1188">
        <f t="shared" si="209"/>
        <v>0</v>
      </c>
      <c r="CH601" s="1236"/>
      <c r="CI601" s="1236"/>
      <c r="CJ601" s="1236"/>
      <c r="CK601" s="1188"/>
      <c r="CL601" s="1188"/>
    </row>
    <row r="602" s="1168" customFormat="1" customHeight="1" spans="1:111">
      <c r="A602" s="1245">
        <v>46185</v>
      </c>
      <c r="B602" s="1269" t="s">
        <v>743</v>
      </c>
      <c r="C602" s="1287" t="s">
        <v>164</v>
      </c>
      <c r="D602" s="1459">
        <v>4500211827</v>
      </c>
      <c r="E602" s="1271" t="s">
        <v>2607</v>
      </c>
      <c r="F602" s="1270" t="s">
        <v>2608</v>
      </c>
      <c r="G602" s="1272" t="s">
        <v>753</v>
      </c>
      <c r="H602" s="1221" t="s">
        <v>390</v>
      </c>
      <c r="I602" s="1273">
        <v>3504</v>
      </c>
      <c r="J602" s="1274">
        <v>0</v>
      </c>
      <c r="K602" s="1274">
        <v>12</v>
      </c>
      <c r="L602" s="1246">
        <f t="shared" si="210"/>
        <v>292</v>
      </c>
      <c r="M602" s="1255">
        <v>46234</v>
      </c>
      <c r="N602" s="1320">
        <v>46239</v>
      </c>
      <c r="O602" s="1255"/>
      <c r="P602" s="1233"/>
      <c r="Q602" s="1233" t="s">
        <v>1410</v>
      </c>
      <c r="R602" s="1234"/>
      <c r="S602" s="1234"/>
      <c r="T602" s="1233">
        <f>3480+24</f>
        <v>3504</v>
      </c>
      <c r="U602" s="1233">
        <f t="shared" si="192"/>
        <v>0</v>
      </c>
      <c r="V602" s="1234"/>
      <c r="W602" s="1256" t="s">
        <v>2502</v>
      </c>
      <c r="X602" s="1227" t="s">
        <v>95</v>
      </c>
      <c r="Y602" s="1257" t="s">
        <v>2508</v>
      </c>
      <c r="Z602" s="1247" t="s">
        <v>140</v>
      </c>
      <c r="AA602" s="1247"/>
      <c r="AB602" s="1247"/>
      <c r="AC602" s="1321" t="s">
        <v>2609</v>
      </c>
      <c r="AD602" s="1275" t="s">
        <v>2610</v>
      </c>
      <c r="AE602" s="1276">
        <v>2.5224</v>
      </c>
      <c r="AF602" s="1248">
        <f t="shared" si="211"/>
        <v>8838.4896</v>
      </c>
      <c r="AG602" s="1258"/>
      <c r="AH602" s="1234" t="s">
        <v>753</v>
      </c>
      <c r="AI602" s="1234" t="s">
        <v>112</v>
      </c>
      <c r="AJ602" s="1234" t="s">
        <v>113</v>
      </c>
      <c r="AK602" s="1188">
        <f t="shared" si="212"/>
        <v>7008</v>
      </c>
      <c r="AL602" s="1188"/>
      <c r="AM602" s="1188"/>
      <c r="AN602" s="1188"/>
      <c r="AO602" s="1188"/>
      <c r="AP602" s="1188"/>
      <c r="AQ602" s="1240"/>
      <c r="AR602" s="1188">
        <f t="shared" ref="AR602:AR607" si="213">I602*2</f>
        <v>7008</v>
      </c>
      <c r="AS602" s="1236"/>
      <c r="AT602" s="1236"/>
      <c r="AU602" s="1188"/>
      <c r="AV602" s="1250">
        <f t="shared" ref="AV602:AV607" si="214">I602*0.06</f>
        <v>210.24</v>
      </c>
      <c r="AW602" s="1250">
        <f t="shared" ref="AW602:AW607" si="215">I602*2</f>
        <v>7008</v>
      </c>
      <c r="AX602" s="1188"/>
      <c r="AY602" s="1188"/>
      <c r="AZ602" s="1188"/>
      <c r="BA602" s="1188"/>
      <c r="BB602" s="1188"/>
      <c r="BC602" s="1188"/>
      <c r="BD602" s="1188"/>
      <c r="BE602" s="1188"/>
      <c r="BF602" s="1188"/>
      <c r="BG602" s="1188"/>
      <c r="BH602" s="1188"/>
      <c r="BI602" s="1188"/>
      <c r="BJ602" s="1188"/>
      <c r="BK602" s="1188"/>
      <c r="BL602" s="1188"/>
      <c r="BM602" s="1188"/>
      <c r="BN602" s="1188"/>
      <c r="BO602" s="1240"/>
      <c r="BP602" s="1240"/>
      <c r="BQ602" s="1188"/>
      <c r="BR602" s="1236"/>
      <c r="BS602" s="1236"/>
      <c r="BT602" s="1188"/>
      <c r="BU602" s="1188"/>
      <c r="BV602" s="1240"/>
      <c r="BW602" s="1188"/>
      <c r="BX602" s="1188"/>
      <c r="BY602" s="1188"/>
      <c r="BZ602" s="1188"/>
      <c r="CA602" s="1188"/>
      <c r="CB602" s="1188"/>
      <c r="CC602" s="1188"/>
      <c r="CD602" s="1188">
        <f t="shared" si="207"/>
        <v>0</v>
      </c>
      <c r="CE602" s="1188">
        <f t="shared" si="198"/>
        <v>0</v>
      </c>
      <c r="CF602" s="1188">
        <f t="shared" si="208"/>
        <v>0</v>
      </c>
      <c r="CG602" s="1188">
        <f t="shared" si="209"/>
        <v>0</v>
      </c>
      <c r="CH602" s="1236"/>
      <c r="CI602" s="1236"/>
      <c r="CJ602" s="1236">
        <f t="shared" ref="CJ602:CJ607" si="216">I602</f>
        <v>3504</v>
      </c>
      <c r="CK602" s="1188">
        <f t="shared" ref="CK602:CK607" si="217">I602</f>
        <v>3504</v>
      </c>
      <c r="CL602" s="1188">
        <f t="shared" ref="CL602:CL607" si="218">I602</f>
        <v>3504</v>
      </c>
    </row>
    <row r="603" s="1168" customFormat="1" customHeight="1" spans="1:111">
      <c r="A603" s="1245">
        <v>46185</v>
      </c>
      <c r="B603" s="1269" t="s">
        <v>743</v>
      </c>
      <c r="C603" s="1287" t="s">
        <v>164</v>
      </c>
      <c r="D603" s="1459">
        <v>4500211827</v>
      </c>
      <c r="E603" s="1271" t="s">
        <v>2611</v>
      </c>
      <c r="F603" s="1270" t="s">
        <v>2612</v>
      </c>
      <c r="G603" s="1272" t="s">
        <v>753</v>
      </c>
      <c r="H603" s="1234" t="s">
        <v>390</v>
      </c>
      <c r="I603" s="1273">
        <v>3504</v>
      </c>
      <c r="J603" s="1274">
        <v>0</v>
      </c>
      <c r="K603" s="1274">
        <v>12</v>
      </c>
      <c r="L603" s="1246">
        <f t="shared" si="210"/>
        <v>292</v>
      </c>
      <c r="M603" s="1255">
        <v>46234</v>
      </c>
      <c r="N603" s="1320">
        <v>46239</v>
      </c>
      <c r="O603" s="1255"/>
      <c r="P603" s="1233"/>
      <c r="Q603" s="1233" t="s">
        <v>1410</v>
      </c>
      <c r="R603" s="1234"/>
      <c r="S603" s="1234"/>
      <c r="T603" s="1233">
        <v>3504</v>
      </c>
      <c r="U603" s="1233">
        <f t="shared" si="192"/>
        <v>0</v>
      </c>
      <c r="V603" s="1234"/>
      <c r="W603" s="1256" t="s">
        <v>2502</v>
      </c>
      <c r="X603" s="1227" t="s">
        <v>95</v>
      </c>
      <c r="Y603" s="1227" t="s">
        <v>2508</v>
      </c>
      <c r="Z603" s="1247" t="s">
        <v>140</v>
      </c>
      <c r="AA603" s="1247"/>
      <c r="AB603" s="1247"/>
      <c r="AC603" s="1321" t="s">
        <v>2609</v>
      </c>
      <c r="AD603" s="1275" t="s">
        <v>2610</v>
      </c>
      <c r="AE603" s="1276">
        <v>2.5224</v>
      </c>
      <c r="AF603" s="1248">
        <f t="shared" si="211"/>
        <v>8838.4896</v>
      </c>
      <c r="AG603" s="1258"/>
      <c r="AH603" s="1234" t="s">
        <v>753</v>
      </c>
      <c r="AI603" s="1234" t="s">
        <v>112</v>
      </c>
      <c r="AJ603" s="1234" t="s">
        <v>113</v>
      </c>
      <c r="AK603" s="1188">
        <f t="shared" si="212"/>
        <v>7008</v>
      </c>
      <c r="AL603" s="1188"/>
      <c r="AM603" s="1188"/>
      <c r="AN603" s="1188"/>
      <c r="AO603" s="1188"/>
      <c r="AP603" s="1188"/>
      <c r="AQ603" s="1240"/>
      <c r="AR603" s="1188">
        <f t="shared" si="213"/>
        <v>7008</v>
      </c>
      <c r="AS603" s="1236"/>
      <c r="AT603" s="1236"/>
      <c r="AU603" s="1188"/>
      <c r="AV603" s="1250">
        <f t="shared" si="214"/>
        <v>210.24</v>
      </c>
      <c r="AW603" s="1250">
        <f t="shared" si="215"/>
        <v>7008</v>
      </c>
      <c r="AX603" s="1188"/>
      <c r="AY603" s="1188"/>
      <c r="AZ603" s="1188"/>
      <c r="BA603" s="1188"/>
      <c r="BB603" s="1188"/>
      <c r="BC603" s="1188"/>
      <c r="BD603" s="1188"/>
      <c r="BE603" s="1188"/>
      <c r="BF603" s="1188"/>
      <c r="BG603" s="1188"/>
      <c r="BH603" s="1188"/>
      <c r="BI603" s="1188"/>
      <c r="BJ603" s="1188"/>
      <c r="BK603" s="1188"/>
      <c r="BL603" s="1188"/>
      <c r="BM603" s="1188"/>
      <c r="BN603" s="1188"/>
      <c r="BO603" s="1240"/>
      <c r="BP603" s="1240"/>
      <c r="BQ603" s="1188"/>
      <c r="BR603" s="1236"/>
      <c r="BS603" s="1236"/>
      <c r="BT603" s="1188"/>
      <c r="BU603" s="1188"/>
      <c r="BV603" s="1240"/>
      <c r="BW603" s="1188"/>
      <c r="BX603" s="1188"/>
      <c r="BY603" s="1188"/>
      <c r="BZ603" s="1188"/>
      <c r="CA603" s="1188"/>
      <c r="CB603" s="1188"/>
      <c r="CC603" s="1188"/>
      <c r="CD603" s="1188">
        <f t="shared" si="207"/>
        <v>0</v>
      </c>
      <c r="CE603" s="1188">
        <f t="shared" si="198"/>
        <v>0</v>
      </c>
      <c r="CF603" s="1188">
        <f t="shared" si="208"/>
        <v>0</v>
      </c>
      <c r="CG603" s="1188">
        <f t="shared" si="209"/>
        <v>0</v>
      </c>
      <c r="CH603" s="1236"/>
      <c r="CI603" s="1236"/>
      <c r="CJ603" s="1236">
        <f t="shared" si="216"/>
        <v>3504</v>
      </c>
      <c r="CK603" s="1188">
        <f t="shared" si="217"/>
        <v>3504</v>
      </c>
      <c r="CL603" s="1188">
        <f t="shared" si="218"/>
        <v>3504</v>
      </c>
    </row>
    <row r="604" s="1168" customFormat="1" customHeight="1" spans="1:111">
      <c r="A604" s="1245">
        <v>46185</v>
      </c>
      <c r="B604" s="1269" t="s">
        <v>743</v>
      </c>
      <c r="C604" s="1287" t="s">
        <v>1439</v>
      </c>
      <c r="D604" s="1459">
        <v>4500211827</v>
      </c>
      <c r="E604" s="1271" t="s">
        <v>2613</v>
      </c>
      <c r="F604" s="1270" t="s">
        <v>2614</v>
      </c>
      <c r="G604" s="1272" t="s">
        <v>753</v>
      </c>
      <c r="H604" s="1234" t="s">
        <v>390</v>
      </c>
      <c r="I604" s="1273">
        <v>3108</v>
      </c>
      <c r="J604" s="1274">
        <v>0</v>
      </c>
      <c r="K604" s="1274">
        <v>12</v>
      </c>
      <c r="L604" s="1246">
        <f t="shared" si="210"/>
        <v>259</v>
      </c>
      <c r="M604" s="1255">
        <v>46234</v>
      </c>
      <c r="N604" s="1320">
        <v>46239</v>
      </c>
      <c r="O604" s="1255"/>
      <c r="P604" s="1233"/>
      <c r="Q604" s="1233" t="s">
        <v>1410</v>
      </c>
      <c r="R604" s="1234"/>
      <c r="S604" s="1234"/>
      <c r="T604" s="1233">
        <v>3108</v>
      </c>
      <c r="U604" s="1233">
        <f t="shared" si="192"/>
        <v>0</v>
      </c>
      <c r="V604" s="1234"/>
      <c r="W604" s="1256" t="s">
        <v>2502</v>
      </c>
      <c r="X604" s="1227" t="s">
        <v>95</v>
      </c>
      <c r="Y604" s="1257" t="s">
        <v>2508</v>
      </c>
      <c r="Z604" s="1247" t="s">
        <v>140</v>
      </c>
      <c r="AA604" s="1247"/>
      <c r="AB604" s="1247"/>
      <c r="AC604" s="1321" t="s">
        <v>2609</v>
      </c>
      <c r="AD604" s="1275" t="s">
        <v>2610</v>
      </c>
      <c r="AE604" s="1276">
        <v>2.5332</v>
      </c>
      <c r="AF604" s="1248">
        <f t="shared" si="211"/>
        <v>7873.1856</v>
      </c>
      <c r="AG604" s="1258"/>
      <c r="AH604" s="1342" t="s">
        <v>753</v>
      </c>
      <c r="AI604" s="1234" t="s">
        <v>112</v>
      </c>
      <c r="AJ604" s="1234" t="s">
        <v>113</v>
      </c>
      <c r="AK604" s="1188">
        <f t="shared" si="212"/>
        <v>6216</v>
      </c>
      <c r="AL604" s="1188"/>
      <c r="AM604" s="1188"/>
      <c r="AN604" s="1188"/>
      <c r="AO604" s="1188"/>
      <c r="AP604" s="1188"/>
      <c r="AQ604" s="1240"/>
      <c r="AR604" s="1188">
        <f t="shared" si="213"/>
        <v>6216</v>
      </c>
      <c r="AS604" s="1236"/>
      <c r="AT604" s="1236"/>
      <c r="AU604" s="1188"/>
      <c r="AV604" s="1250">
        <f t="shared" si="214"/>
        <v>186.48</v>
      </c>
      <c r="AW604" s="1250">
        <f t="shared" si="215"/>
        <v>6216</v>
      </c>
      <c r="AX604" s="1188"/>
      <c r="AY604" s="1188"/>
      <c r="AZ604" s="1188"/>
      <c r="BA604" s="1188"/>
      <c r="BB604" s="1188"/>
      <c r="BC604" s="1188"/>
      <c r="BD604" s="1188"/>
      <c r="BE604" s="1188"/>
      <c r="BF604" s="1188"/>
      <c r="BG604" s="1188"/>
      <c r="BH604" s="1188"/>
      <c r="BI604" s="1188"/>
      <c r="BJ604" s="1188"/>
      <c r="BK604" s="1188"/>
      <c r="BL604" s="1188"/>
      <c r="BM604" s="1188"/>
      <c r="BN604" s="1188"/>
      <c r="BO604" s="1240"/>
      <c r="BP604" s="1240"/>
      <c r="BQ604" s="1188"/>
      <c r="BR604" s="1236"/>
      <c r="BS604" s="1188"/>
      <c r="BT604" s="1188"/>
      <c r="BU604" s="1188"/>
      <c r="BV604" s="1240"/>
      <c r="BW604" s="1188"/>
      <c r="BX604" s="1188"/>
      <c r="BY604" s="1188"/>
      <c r="BZ604" s="1188"/>
      <c r="CA604" s="1188"/>
      <c r="CB604" s="1188"/>
      <c r="CC604" s="1188"/>
      <c r="CD604" s="1188">
        <f t="shared" si="207"/>
        <v>0</v>
      </c>
      <c r="CE604" s="1188">
        <f t="shared" si="198"/>
        <v>0</v>
      </c>
      <c r="CF604" s="1188">
        <f t="shared" si="208"/>
        <v>0</v>
      </c>
      <c r="CG604" s="1188">
        <f t="shared" si="209"/>
        <v>0</v>
      </c>
      <c r="CH604" s="1236"/>
      <c r="CI604" s="1236"/>
      <c r="CJ604" s="1236">
        <f t="shared" si="216"/>
        <v>3108</v>
      </c>
      <c r="CK604" s="1188">
        <f t="shared" si="217"/>
        <v>3108</v>
      </c>
      <c r="CL604" s="1188">
        <f t="shared" si="218"/>
        <v>3108</v>
      </c>
    </row>
    <row r="605" s="1169" customFormat="1" customHeight="1" spans="1:111">
      <c r="A605" s="1245">
        <v>46185</v>
      </c>
      <c r="B605" s="1269" t="s">
        <v>743</v>
      </c>
      <c r="C605" s="1287" t="s">
        <v>148</v>
      </c>
      <c r="D605" s="1459">
        <v>4500211827</v>
      </c>
      <c r="E605" s="1271" t="s">
        <v>2615</v>
      </c>
      <c r="F605" s="1270" t="s">
        <v>2616</v>
      </c>
      <c r="G605" s="1272" t="s">
        <v>753</v>
      </c>
      <c r="H605" s="1234" t="s">
        <v>390</v>
      </c>
      <c r="I605" s="1273">
        <v>1968</v>
      </c>
      <c r="J605" s="1274">
        <v>0</v>
      </c>
      <c r="K605" s="1274">
        <v>12</v>
      </c>
      <c r="L605" s="1246">
        <f t="shared" si="210"/>
        <v>164</v>
      </c>
      <c r="M605" s="1255">
        <v>46234</v>
      </c>
      <c r="N605" s="1320">
        <v>46239</v>
      </c>
      <c r="O605" s="1255"/>
      <c r="P605" s="1233"/>
      <c r="Q605" s="1233" t="s">
        <v>1410</v>
      </c>
      <c r="R605" s="1234"/>
      <c r="S605" s="1234"/>
      <c r="T605" s="1233">
        <v>1968</v>
      </c>
      <c r="U605" s="1233">
        <f t="shared" si="192"/>
        <v>0</v>
      </c>
      <c r="V605" s="1234"/>
      <c r="W605" s="1256" t="s">
        <v>2502</v>
      </c>
      <c r="X605" s="1257" t="s">
        <v>95</v>
      </c>
      <c r="Y605" s="1257" t="s">
        <v>2508</v>
      </c>
      <c r="Z605" s="1247" t="s">
        <v>140</v>
      </c>
      <c r="AA605" s="1247"/>
      <c r="AB605" s="1247"/>
      <c r="AC605" s="1321" t="s">
        <v>2609</v>
      </c>
      <c r="AD605" s="1275" t="s">
        <v>2610</v>
      </c>
      <c r="AE605" s="1276">
        <v>2.5332</v>
      </c>
      <c r="AF605" s="1248">
        <f t="shared" si="211"/>
        <v>4985.3376</v>
      </c>
      <c r="AG605" s="1258"/>
      <c r="AH605" s="1234" t="s">
        <v>753</v>
      </c>
      <c r="AI605" s="1234" t="s">
        <v>112</v>
      </c>
      <c r="AJ605" s="1234" t="s">
        <v>113</v>
      </c>
      <c r="AK605" s="1188">
        <f t="shared" si="212"/>
        <v>3936</v>
      </c>
      <c r="AL605" s="1188"/>
      <c r="AM605" s="1188"/>
      <c r="AN605" s="1188"/>
      <c r="AO605" s="1188"/>
      <c r="AP605" s="1188"/>
      <c r="AQ605" s="1240"/>
      <c r="AR605" s="1188">
        <f t="shared" si="213"/>
        <v>3936</v>
      </c>
      <c r="AS605" s="1236"/>
      <c r="AT605" s="1236"/>
      <c r="AU605" s="1188"/>
      <c r="AV605" s="1250">
        <f t="shared" si="214"/>
        <v>118.08</v>
      </c>
      <c r="AW605" s="1250">
        <f t="shared" si="215"/>
        <v>3936</v>
      </c>
      <c r="AX605" s="1188"/>
      <c r="AY605" s="1188"/>
      <c r="AZ605" s="1188"/>
      <c r="BA605" s="1188"/>
      <c r="BB605" s="1188"/>
      <c r="BC605" s="1188"/>
      <c r="BD605" s="1188"/>
      <c r="BE605" s="1188"/>
      <c r="BF605" s="1188"/>
      <c r="BG605" s="1188"/>
      <c r="BH605" s="1188"/>
      <c r="BI605" s="1188"/>
      <c r="BJ605" s="1188"/>
      <c r="BK605" s="1188"/>
      <c r="BL605" s="1188"/>
      <c r="BM605" s="1188"/>
      <c r="BN605" s="1188"/>
      <c r="BO605" s="1240"/>
      <c r="BP605" s="1240"/>
      <c r="BQ605" s="1188"/>
      <c r="BR605" s="1236"/>
      <c r="BS605" s="1236"/>
      <c r="BT605" s="1188"/>
      <c r="BU605" s="1188"/>
      <c r="BV605" s="1240"/>
      <c r="BW605" s="1188"/>
      <c r="BX605" s="1188"/>
      <c r="BY605" s="1188"/>
      <c r="BZ605" s="1188"/>
      <c r="CA605" s="1188"/>
      <c r="CB605" s="1188"/>
      <c r="CC605" s="1188"/>
      <c r="CD605" s="1188">
        <f t="shared" si="207"/>
        <v>0</v>
      </c>
      <c r="CE605" s="1188">
        <f t="shared" si="198"/>
        <v>0</v>
      </c>
      <c r="CF605" s="1188">
        <f t="shared" si="208"/>
        <v>0</v>
      </c>
      <c r="CG605" s="1188">
        <f t="shared" si="209"/>
        <v>0</v>
      </c>
      <c r="CH605" s="1236"/>
      <c r="CI605" s="1236"/>
      <c r="CJ605" s="1236">
        <f t="shared" si="216"/>
        <v>1968</v>
      </c>
      <c r="CK605" s="1188">
        <f t="shared" si="217"/>
        <v>1968</v>
      </c>
      <c r="CL605" s="1188">
        <f t="shared" si="218"/>
        <v>1968</v>
      </c>
      <c r="CM605" s="1172"/>
      <c r="CN605" s="1172"/>
      <c r="CO605" s="1172"/>
      <c r="CP605" s="1172"/>
      <c r="CQ605" s="1172"/>
      <c r="CR605" s="1172"/>
      <c r="CS605" s="1172"/>
      <c r="CT605" s="1172"/>
      <c r="CU605" s="1172"/>
      <c r="CV605" s="1172"/>
      <c r="CW605" s="1172"/>
      <c r="CX605" s="1172"/>
      <c r="CY605" s="1172"/>
      <c r="CZ605" s="1172"/>
      <c r="DA605" s="1172"/>
      <c r="DB605" s="1172"/>
      <c r="DC605" s="1172"/>
      <c r="DD605" s="1172"/>
      <c r="DE605" s="1172"/>
      <c r="DF605" s="1172"/>
      <c r="DG605" s="1172"/>
    </row>
    <row r="606" s="1168" customFormat="1" customHeight="1" spans="1:111">
      <c r="A606" s="1245">
        <v>46185</v>
      </c>
      <c r="B606" s="1460" t="s">
        <v>743</v>
      </c>
      <c r="C606" s="1461" t="s">
        <v>810</v>
      </c>
      <c r="D606" s="1462">
        <v>4500211827</v>
      </c>
      <c r="E606" s="1463" t="s">
        <v>2617</v>
      </c>
      <c r="F606" s="1464" t="s">
        <v>2618</v>
      </c>
      <c r="G606" s="1465" t="s">
        <v>753</v>
      </c>
      <c r="H606" s="1221" t="s">
        <v>390</v>
      </c>
      <c r="I606" s="1466">
        <v>852</v>
      </c>
      <c r="J606" s="1467">
        <v>0</v>
      </c>
      <c r="K606" s="1467">
        <v>12</v>
      </c>
      <c r="L606" s="1246">
        <f t="shared" si="210"/>
        <v>71</v>
      </c>
      <c r="M606" s="1225">
        <v>46234</v>
      </c>
      <c r="N606" s="1320">
        <v>46239</v>
      </c>
      <c r="O606" s="1255"/>
      <c r="P606" s="1233"/>
      <c r="Q606" s="1233" t="s">
        <v>1410</v>
      </c>
      <c r="R606" s="1234"/>
      <c r="S606" s="1234"/>
      <c r="T606" s="1233">
        <v>852</v>
      </c>
      <c r="U606" s="1233">
        <f t="shared" si="192"/>
        <v>0</v>
      </c>
      <c r="V606" s="1234"/>
      <c r="W606" s="1256" t="s">
        <v>2502</v>
      </c>
      <c r="X606" s="1257" t="s">
        <v>95</v>
      </c>
      <c r="Y606" s="1257" t="s">
        <v>2508</v>
      </c>
      <c r="Z606" s="1247" t="s">
        <v>140</v>
      </c>
      <c r="AA606" s="1247"/>
      <c r="AB606" s="1247"/>
      <c r="AC606" s="1358" t="s">
        <v>2609</v>
      </c>
      <c r="AD606" s="1468" t="s">
        <v>2610</v>
      </c>
      <c r="AE606" s="1276">
        <v>2.5332</v>
      </c>
      <c r="AF606" s="1248">
        <f t="shared" si="211"/>
        <v>2158.2864</v>
      </c>
      <c r="AG606" s="1258"/>
      <c r="AH606" s="1234" t="s">
        <v>753</v>
      </c>
      <c r="AI606" s="1234" t="s">
        <v>112</v>
      </c>
      <c r="AJ606" s="1234" t="s">
        <v>113</v>
      </c>
      <c r="AK606" s="1188">
        <f t="shared" si="212"/>
        <v>1704</v>
      </c>
      <c r="AL606" s="1188"/>
      <c r="AM606" s="1188"/>
      <c r="AN606" s="1188"/>
      <c r="AO606" s="1188"/>
      <c r="AP606" s="1188"/>
      <c r="AQ606" s="1240"/>
      <c r="AR606" s="1188">
        <f t="shared" si="213"/>
        <v>1704</v>
      </c>
      <c r="AS606" s="1236"/>
      <c r="AT606" s="1236"/>
      <c r="AU606" s="1188"/>
      <c r="AV606" s="1250">
        <f t="shared" si="214"/>
        <v>51.12</v>
      </c>
      <c r="AW606" s="1250">
        <f t="shared" si="215"/>
        <v>1704</v>
      </c>
      <c r="AX606" s="1188"/>
      <c r="AY606" s="1188"/>
      <c r="AZ606" s="1188"/>
      <c r="BA606" s="1188"/>
      <c r="BB606" s="1188"/>
      <c r="BC606" s="1188"/>
      <c r="BD606" s="1188"/>
      <c r="BE606" s="1188"/>
      <c r="BF606" s="1188"/>
      <c r="BG606" s="1188"/>
      <c r="BH606" s="1188"/>
      <c r="BI606" s="1188"/>
      <c r="BJ606" s="1188"/>
      <c r="BK606" s="1188"/>
      <c r="BL606" s="1188"/>
      <c r="BM606" s="1188"/>
      <c r="BN606" s="1188"/>
      <c r="BO606" s="1240"/>
      <c r="BP606" s="1240"/>
      <c r="BQ606" s="1188"/>
      <c r="BR606" s="1236"/>
      <c r="BS606" s="1236"/>
      <c r="BT606" s="1188"/>
      <c r="BU606" s="1188"/>
      <c r="BV606" s="1240"/>
      <c r="BW606" s="1188"/>
      <c r="BX606" s="1188"/>
      <c r="BY606" s="1188"/>
      <c r="BZ606" s="1188"/>
      <c r="CA606" s="1188"/>
      <c r="CB606" s="1188"/>
      <c r="CC606" s="1188"/>
      <c r="CD606" s="1188">
        <f t="shared" si="207"/>
        <v>0</v>
      </c>
      <c r="CE606" s="1188">
        <f t="shared" si="198"/>
        <v>0</v>
      </c>
      <c r="CF606" s="1188">
        <f t="shared" si="208"/>
        <v>0</v>
      </c>
      <c r="CG606" s="1188">
        <f t="shared" si="209"/>
        <v>0</v>
      </c>
      <c r="CH606" s="1236"/>
      <c r="CI606" s="1236"/>
      <c r="CJ606" s="1236">
        <f t="shared" si="216"/>
        <v>852</v>
      </c>
      <c r="CK606" s="1188">
        <f t="shared" si="217"/>
        <v>852</v>
      </c>
      <c r="CL606" s="1188">
        <f t="shared" si="218"/>
        <v>852</v>
      </c>
    </row>
    <row r="607" s="1168" customFormat="1" customHeight="1" spans="1:111">
      <c r="A607" s="1245">
        <v>46185</v>
      </c>
      <c r="B607" s="1460" t="s">
        <v>743</v>
      </c>
      <c r="C607" s="1461" t="s">
        <v>810</v>
      </c>
      <c r="D607" s="1462">
        <v>4500211827</v>
      </c>
      <c r="E607" s="1463" t="s">
        <v>2619</v>
      </c>
      <c r="F607" s="1464" t="s">
        <v>2620</v>
      </c>
      <c r="G607" s="1465" t="s">
        <v>753</v>
      </c>
      <c r="H607" s="1221" t="s">
        <v>390</v>
      </c>
      <c r="I607" s="1466">
        <v>852</v>
      </c>
      <c r="J607" s="1467">
        <v>0</v>
      </c>
      <c r="K607" s="1467">
        <v>12</v>
      </c>
      <c r="L607" s="1246">
        <f t="shared" si="210"/>
        <v>71</v>
      </c>
      <c r="M607" s="1225">
        <v>46234</v>
      </c>
      <c r="N607" s="1338">
        <v>46239</v>
      </c>
      <c r="O607" s="1255"/>
      <c r="P607" s="1233"/>
      <c r="Q607" s="1233" t="s">
        <v>1410</v>
      </c>
      <c r="R607" s="1234"/>
      <c r="S607" s="1234"/>
      <c r="T607" s="1233">
        <v>852</v>
      </c>
      <c r="U607" s="1233">
        <f t="shared" si="192"/>
        <v>0</v>
      </c>
      <c r="V607" s="1234"/>
      <c r="W607" s="1256" t="s">
        <v>2502</v>
      </c>
      <c r="X607" s="1257" t="s">
        <v>95</v>
      </c>
      <c r="Y607" s="1257" t="s">
        <v>2508</v>
      </c>
      <c r="Z607" s="1247" t="s">
        <v>140</v>
      </c>
      <c r="AA607" s="1247"/>
      <c r="AB607" s="1247"/>
      <c r="AC607" s="1358" t="s">
        <v>2609</v>
      </c>
      <c r="AD607" s="1468" t="s">
        <v>2610</v>
      </c>
      <c r="AE607" s="1276">
        <v>2.5332</v>
      </c>
      <c r="AF607" s="1248">
        <f t="shared" si="211"/>
        <v>2158.2864</v>
      </c>
      <c r="AG607" s="1258"/>
      <c r="AH607" s="1234" t="s">
        <v>753</v>
      </c>
      <c r="AI607" s="1234" t="s">
        <v>112</v>
      </c>
      <c r="AJ607" s="1234" t="s">
        <v>113</v>
      </c>
      <c r="AK607" s="1188">
        <f t="shared" si="212"/>
        <v>1704</v>
      </c>
      <c r="AL607" s="1188"/>
      <c r="AM607" s="1188"/>
      <c r="AN607" s="1188"/>
      <c r="AO607" s="1188"/>
      <c r="AP607" s="1188"/>
      <c r="AQ607" s="1240"/>
      <c r="AR607" s="1188">
        <f t="shared" si="213"/>
        <v>1704</v>
      </c>
      <c r="AS607" s="1236"/>
      <c r="AT607" s="1236"/>
      <c r="AU607" s="1188"/>
      <c r="AV607" s="1250">
        <f t="shared" si="214"/>
        <v>51.12</v>
      </c>
      <c r="AW607" s="1250">
        <f t="shared" si="215"/>
        <v>1704</v>
      </c>
      <c r="AX607" s="1188"/>
      <c r="AY607" s="1188"/>
      <c r="AZ607" s="1188"/>
      <c r="BA607" s="1188"/>
      <c r="BB607" s="1188"/>
      <c r="BC607" s="1188"/>
      <c r="BD607" s="1188"/>
      <c r="BE607" s="1188"/>
      <c r="BF607" s="1188"/>
      <c r="BG607" s="1188"/>
      <c r="BH607" s="1188"/>
      <c r="BI607" s="1188"/>
      <c r="BJ607" s="1188"/>
      <c r="BK607" s="1188"/>
      <c r="BL607" s="1188"/>
      <c r="BM607" s="1188"/>
      <c r="BN607" s="1188"/>
      <c r="BO607" s="1240"/>
      <c r="BP607" s="1240"/>
      <c r="BQ607" s="1188"/>
      <c r="BR607" s="1236"/>
      <c r="BS607" s="1236"/>
      <c r="BT607" s="1188"/>
      <c r="BU607" s="1188"/>
      <c r="BV607" s="1240"/>
      <c r="BW607" s="1188"/>
      <c r="BX607" s="1188"/>
      <c r="BY607" s="1188"/>
      <c r="BZ607" s="1188"/>
      <c r="CA607" s="1188"/>
      <c r="CB607" s="1188"/>
      <c r="CC607" s="1188"/>
      <c r="CD607" s="1188">
        <f t="shared" si="207"/>
        <v>0</v>
      </c>
      <c r="CE607" s="1188">
        <f t="shared" si="198"/>
        <v>0</v>
      </c>
      <c r="CF607" s="1188">
        <f t="shared" si="208"/>
        <v>0</v>
      </c>
      <c r="CG607" s="1188">
        <f t="shared" si="209"/>
        <v>0</v>
      </c>
      <c r="CH607" s="1236"/>
      <c r="CI607" s="1236"/>
      <c r="CJ607" s="1236">
        <f t="shared" si="216"/>
        <v>852</v>
      </c>
      <c r="CK607" s="1188">
        <f t="shared" si="217"/>
        <v>852</v>
      </c>
      <c r="CL607" s="1188">
        <f t="shared" si="218"/>
        <v>852</v>
      </c>
    </row>
    <row r="608" s="1170" customFormat="1" customHeight="1" spans="1:111">
      <c r="A608" s="1289">
        <v>46151</v>
      </c>
      <c r="B608" s="1421" t="s">
        <v>2457</v>
      </c>
      <c r="C608" s="1422" t="s">
        <v>2458</v>
      </c>
      <c r="D608" s="1423">
        <v>4500206065</v>
      </c>
      <c r="E608" s="1421">
        <v>5000002205</v>
      </c>
      <c r="F608" s="1423" t="s">
        <v>2621</v>
      </c>
      <c r="G608" s="1424" t="s">
        <v>2460</v>
      </c>
      <c r="H608" s="544" t="s">
        <v>2461</v>
      </c>
      <c r="I608" s="1425">
        <v>12012</v>
      </c>
      <c r="J608" s="1426">
        <v>0</v>
      </c>
      <c r="K608" s="1426">
        <v>13</v>
      </c>
      <c r="L608" s="1291">
        <f t="shared" si="210"/>
        <v>924</v>
      </c>
      <c r="M608" s="501">
        <v>46234</v>
      </c>
      <c r="N608" s="1323" t="s">
        <v>2462</v>
      </c>
      <c r="O608" s="434" t="s">
        <v>2463</v>
      </c>
      <c r="P608" s="506"/>
      <c r="Q608" s="506"/>
      <c r="R608" s="504"/>
      <c r="S608" s="504"/>
      <c r="T608" s="1313"/>
      <c r="U608" s="500">
        <f t="shared" si="192"/>
        <v>-12012</v>
      </c>
      <c r="V608" s="1469"/>
      <c r="W608" s="1293" t="s">
        <v>2464</v>
      </c>
      <c r="X608" s="1308" t="s">
        <v>95</v>
      </c>
      <c r="Y608" s="1308" t="s">
        <v>2465</v>
      </c>
      <c r="Z608" s="543"/>
      <c r="AA608" s="543"/>
      <c r="AB608" s="543"/>
      <c r="AC608" s="543" t="s">
        <v>2466</v>
      </c>
      <c r="AD608" s="1427" t="s">
        <v>2467</v>
      </c>
      <c r="AE608" s="548">
        <v>0.9996</v>
      </c>
      <c r="AF608" s="503">
        <f t="shared" si="211"/>
        <v>12007.1952</v>
      </c>
      <c r="AG608" s="1295"/>
      <c r="AH608" s="488" t="s">
        <v>2468</v>
      </c>
      <c r="AI608" s="488" t="s">
        <v>112</v>
      </c>
      <c r="AJ608" s="498" t="s">
        <v>113</v>
      </c>
      <c r="AK608" s="502">
        <f>I608</f>
        <v>12012</v>
      </c>
      <c r="AL608" s="502"/>
      <c r="AM608" s="502"/>
      <c r="AN608" s="1418">
        <f>I608</f>
        <v>12012</v>
      </c>
      <c r="AO608" s="502"/>
      <c r="AP608" s="502"/>
      <c r="AQ608" s="1296"/>
      <c r="AR608" s="502"/>
      <c r="AS608" s="1297"/>
      <c r="AT608" s="1297"/>
      <c r="AU608" s="502"/>
      <c r="AV608" s="1298"/>
      <c r="AW608" s="1298"/>
      <c r="AX608" s="502"/>
      <c r="AY608" s="502"/>
      <c r="AZ608" s="502">
        <f>I608</f>
        <v>12012</v>
      </c>
      <c r="BA608" s="1419">
        <f>I608/36</f>
        <v>333.666666666667</v>
      </c>
      <c r="BB608" s="502"/>
      <c r="BC608" s="502"/>
      <c r="BD608" s="502"/>
      <c r="BE608" s="502"/>
      <c r="BF608" s="502"/>
      <c r="BG608" s="502"/>
      <c r="BH608" s="502"/>
      <c r="BI608" s="502"/>
      <c r="BJ608" s="502"/>
      <c r="BK608" s="1418">
        <f>I608/13</f>
        <v>924</v>
      </c>
      <c r="BL608" s="502"/>
      <c r="BM608" s="502"/>
      <c r="BN608" s="502"/>
      <c r="BO608" s="1296"/>
      <c r="BP608" s="1296"/>
      <c r="BQ608" s="502"/>
      <c r="BR608" s="1297"/>
      <c r="BS608" s="1297"/>
      <c r="BT608" s="502"/>
      <c r="BU608" s="502"/>
      <c r="BV608" s="1296"/>
      <c r="BW608" s="502"/>
      <c r="BX608" s="502"/>
      <c r="BY608" s="502"/>
      <c r="BZ608" s="502"/>
      <c r="CA608" s="502"/>
      <c r="CB608" s="502"/>
      <c r="CC608" s="1218"/>
      <c r="CD608" s="1218">
        <f t="shared" si="207"/>
        <v>0</v>
      </c>
      <c r="CE608" s="1218">
        <f t="shared" si="198"/>
        <v>0</v>
      </c>
      <c r="CF608" s="502">
        <f t="shared" si="208"/>
        <v>0</v>
      </c>
      <c r="CG608" s="1218">
        <f t="shared" si="209"/>
        <v>0</v>
      </c>
      <c r="CH608" s="1299"/>
      <c r="CI608" s="1299"/>
      <c r="CJ608" s="1297"/>
      <c r="CK608" s="502"/>
      <c r="CL608" s="502"/>
      <c r="CM608" s="293"/>
      <c r="CN608" s="293"/>
      <c r="CO608" s="293"/>
      <c r="CP608" s="293"/>
      <c r="CQ608" s="293"/>
      <c r="CR608" s="293"/>
      <c r="CS608" s="293"/>
      <c r="CT608" s="293"/>
      <c r="CU608" s="293"/>
      <c r="CV608" s="293"/>
      <c r="CW608" s="293"/>
      <c r="CX608" s="293"/>
      <c r="CY608" s="293"/>
      <c r="CZ608" s="293"/>
      <c r="DA608" s="293"/>
      <c r="DB608" s="293"/>
      <c r="DC608" s="293"/>
      <c r="DD608" s="293"/>
      <c r="DE608" s="293"/>
      <c r="DF608" s="293"/>
      <c r="DG608" s="293"/>
    </row>
    <row r="609" s="1168" customFormat="1" customHeight="1" spans="1:111">
      <c r="A609" s="1245">
        <v>46185</v>
      </c>
      <c r="B609" s="1247" t="s">
        <v>2622</v>
      </c>
      <c r="C609" s="1234" t="s">
        <v>135</v>
      </c>
      <c r="D609" s="1372">
        <v>4500212042</v>
      </c>
      <c r="E609" s="1234" t="s">
        <v>2623</v>
      </c>
      <c r="F609" s="1188">
        <v>494</v>
      </c>
      <c r="G609" s="1253" t="s">
        <v>137</v>
      </c>
      <c r="H609" s="1234" t="s">
        <v>138</v>
      </c>
      <c r="I609" s="1254">
        <v>4800</v>
      </c>
      <c r="J609" s="1234">
        <v>0</v>
      </c>
      <c r="K609" s="1234">
        <v>50</v>
      </c>
      <c r="L609" s="1246">
        <f t="shared" si="210"/>
        <v>96</v>
      </c>
      <c r="M609" s="1255">
        <v>46234</v>
      </c>
      <c r="N609" s="1320">
        <v>46244</v>
      </c>
      <c r="O609" s="1255"/>
      <c r="P609" s="1233"/>
      <c r="Q609" s="1233" t="s">
        <v>1410</v>
      </c>
      <c r="R609" s="1234" t="s">
        <v>2528</v>
      </c>
      <c r="S609" s="1234"/>
      <c r="T609" s="1233">
        <v>4800</v>
      </c>
      <c r="U609" s="1233">
        <f t="shared" si="192"/>
        <v>0</v>
      </c>
      <c r="V609" s="1234"/>
      <c r="W609" s="1238">
        <v>46194</v>
      </c>
      <c r="X609" s="1257" t="s">
        <v>107</v>
      </c>
      <c r="Y609" s="1227" t="s">
        <v>2624</v>
      </c>
      <c r="Z609" s="1247" t="s">
        <v>140</v>
      </c>
      <c r="AA609" s="1247"/>
      <c r="AB609" s="1247" t="s">
        <v>1513</v>
      </c>
      <c r="AC609" s="1334" t="s">
        <v>2625</v>
      </c>
      <c r="AD609" s="1255" t="s">
        <v>2626</v>
      </c>
      <c r="AE609" s="1188">
        <v>1.089</v>
      </c>
      <c r="AF609" s="1188">
        <f t="shared" si="211"/>
        <v>5227.2</v>
      </c>
      <c r="AG609" s="1258"/>
      <c r="AH609" s="1234" t="s">
        <v>1515</v>
      </c>
      <c r="AI609" s="1234" t="s">
        <v>112</v>
      </c>
      <c r="AJ609" s="1234" t="s">
        <v>113</v>
      </c>
      <c r="AK609" s="1188">
        <f>I609</f>
        <v>4800</v>
      </c>
      <c r="AL609" s="1188"/>
      <c r="AM609" s="1188"/>
      <c r="AN609" s="1188"/>
      <c r="AO609" s="1188"/>
      <c r="AP609" s="1188"/>
      <c r="AQ609" s="1240"/>
      <c r="AR609" s="1188"/>
      <c r="AS609" s="1236"/>
      <c r="AT609" s="1236"/>
      <c r="AU609" s="1188"/>
      <c r="AV609" s="1250">
        <f>I609*0.06</f>
        <v>288</v>
      </c>
      <c r="AW609" s="1250"/>
      <c r="AX609" s="1188"/>
      <c r="AY609" s="1188"/>
      <c r="AZ609" s="1188"/>
      <c r="BA609" s="1188"/>
      <c r="BB609" s="1188"/>
      <c r="BC609" s="1188"/>
      <c r="BD609" s="1188"/>
      <c r="BE609" s="1188"/>
      <c r="BF609" s="1188"/>
      <c r="BG609" s="1188"/>
      <c r="BH609" s="1188"/>
      <c r="BI609" s="1188"/>
      <c r="BJ609" s="1188"/>
      <c r="BK609" s="1188"/>
      <c r="BL609" s="1188"/>
      <c r="BM609" s="1188"/>
      <c r="BN609" s="1188"/>
      <c r="BO609" s="1240"/>
      <c r="BP609" s="1240"/>
      <c r="BQ609" s="1188"/>
      <c r="BR609" s="1236"/>
      <c r="BS609" s="1236"/>
      <c r="BT609" s="1188"/>
      <c r="BU609" s="1188"/>
      <c r="BV609" s="1240"/>
      <c r="BW609" s="1188"/>
      <c r="BX609" s="1188"/>
      <c r="BY609" s="1188"/>
      <c r="BZ609" s="1188"/>
      <c r="CA609" s="1188"/>
      <c r="CB609" s="1188"/>
      <c r="CC609" s="1188"/>
      <c r="CD609" s="1188">
        <f t="shared" si="207"/>
        <v>0</v>
      </c>
      <c r="CE609" s="1188">
        <f t="shared" si="198"/>
        <v>0</v>
      </c>
      <c r="CF609" s="1188">
        <f t="shared" si="208"/>
        <v>0</v>
      </c>
      <c r="CG609" s="1188">
        <f t="shared" si="209"/>
        <v>0</v>
      </c>
      <c r="CH609" s="1236"/>
      <c r="CI609" s="1236"/>
      <c r="CJ609" s="1236"/>
      <c r="CK609" s="1188"/>
      <c r="CL609" s="1188"/>
      <c r="CM609" s="1260"/>
      <c r="CN609" s="1260"/>
      <c r="CO609" s="1260"/>
      <c r="CP609" s="1260"/>
      <c r="CQ609" s="1260"/>
      <c r="CR609" s="1260"/>
      <c r="CS609" s="1260"/>
      <c r="CT609" s="1260"/>
      <c r="CU609" s="1260"/>
      <c r="CV609" s="1260"/>
      <c r="CW609" s="1260"/>
      <c r="CX609" s="1260"/>
      <c r="CY609" s="1260"/>
      <c r="CZ609" s="1260"/>
      <c r="DA609" s="1260"/>
      <c r="DB609" s="1260"/>
      <c r="DC609" s="1260"/>
      <c r="DD609" s="1260"/>
      <c r="DE609" s="1260"/>
      <c r="DF609" s="1260"/>
      <c r="DG609" s="1260"/>
    </row>
    <row r="610" s="1169" customFormat="1" customHeight="1" spans="1:111">
      <c r="A610" s="1245">
        <v>46195</v>
      </c>
      <c r="B610" s="1460" t="s">
        <v>827</v>
      </c>
      <c r="C610" s="1461" t="s">
        <v>101</v>
      </c>
      <c r="D610" s="1464">
        <v>4500213229</v>
      </c>
      <c r="E610" s="1463">
        <v>3116</v>
      </c>
      <c r="F610" s="1464" t="s">
        <v>2627</v>
      </c>
      <c r="G610" s="1465" t="s">
        <v>2628</v>
      </c>
      <c r="H610" s="1220" t="s">
        <v>138</v>
      </c>
      <c r="I610" s="1466">
        <v>3000</v>
      </c>
      <c r="J610" s="1467">
        <v>0</v>
      </c>
      <c r="K610" s="1467">
        <v>50</v>
      </c>
      <c r="L610" s="1246">
        <f t="shared" si="210"/>
        <v>60</v>
      </c>
      <c r="M610" s="1338">
        <v>46237</v>
      </c>
      <c r="N610" s="1338">
        <v>46233</v>
      </c>
      <c r="O610" s="1255" t="s">
        <v>2272</v>
      </c>
      <c r="P610" s="1233"/>
      <c r="Q610" s="1233" t="s">
        <v>1410</v>
      </c>
      <c r="R610" s="1234" t="s">
        <v>2603</v>
      </c>
      <c r="S610" s="1234"/>
      <c r="T610" s="1233">
        <v>3000</v>
      </c>
      <c r="U610" s="1233">
        <f t="shared" si="192"/>
        <v>0</v>
      </c>
      <c r="V610" s="1234"/>
      <c r="W610" s="1238" t="s">
        <v>2629</v>
      </c>
      <c r="X610" s="1257" t="s">
        <v>95</v>
      </c>
      <c r="Y610" s="1227" t="s">
        <v>95</v>
      </c>
      <c r="Z610" s="1247" t="s">
        <v>360</v>
      </c>
      <c r="AA610" s="1247"/>
      <c r="AB610" s="1247"/>
      <c r="AC610" s="1220" t="s">
        <v>2630</v>
      </c>
      <c r="AD610" s="1470" t="s">
        <v>673</v>
      </c>
      <c r="AE610" s="1471">
        <v>1.1174</v>
      </c>
      <c r="AF610" s="1335">
        <f t="shared" si="211"/>
        <v>3352.2</v>
      </c>
      <c r="AG610" s="1336"/>
      <c r="AH610" s="1234" t="s">
        <v>2631</v>
      </c>
      <c r="AI610" s="1234" t="s">
        <v>112</v>
      </c>
      <c r="AJ610" s="1234"/>
      <c r="AK610" s="1188">
        <f>I610</f>
        <v>3000</v>
      </c>
      <c r="AL610" s="1188"/>
      <c r="AM610" s="1188"/>
      <c r="AN610" s="1188">
        <f>I610</f>
        <v>3000</v>
      </c>
      <c r="AO610" s="1188"/>
      <c r="AP610" s="1188"/>
      <c r="AQ610" s="1240"/>
      <c r="AR610" s="1188"/>
      <c r="AS610" s="1236"/>
      <c r="AT610" s="1236"/>
      <c r="AU610" s="1188"/>
      <c r="AV610" s="1250">
        <f>I610*0.06</f>
        <v>180</v>
      </c>
      <c r="AW610" s="1250"/>
      <c r="AX610" s="1188">
        <f>I610</f>
        <v>3000</v>
      </c>
      <c r="AY610" s="1188"/>
      <c r="AZ610" s="1188"/>
      <c r="BA610" s="1188"/>
      <c r="BB610" s="1188"/>
      <c r="BC610" s="1188"/>
      <c r="BD610" s="1188"/>
      <c r="BE610" s="1188"/>
      <c r="BF610" s="1188"/>
      <c r="BG610" s="1188"/>
      <c r="BH610" s="1188"/>
      <c r="BI610" s="1188"/>
      <c r="BJ610" s="1188"/>
      <c r="BK610" s="1188"/>
      <c r="BL610" s="1188"/>
      <c r="BM610" s="1188"/>
      <c r="BN610" s="1188"/>
      <c r="BO610" s="1240"/>
      <c r="BP610" s="1240"/>
      <c r="BQ610" s="1188">
        <f>I610/25</f>
        <v>120</v>
      </c>
      <c r="BR610" s="1236"/>
      <c r="BS610" s="1236"/>
      <c r="BT610" s="1188"/>
      <c r="BU610" s="1188"/>
      <c r="BV610" s="1240"/>
      <c r="BW610" s="1188"/>
      <c r="BX610" s="1188"/>
      <c r="BY610" s="1188"/>
      <c r="BZ610" s="1188"/>
      <c r="CA610" s="1188"/>
      <c r="CB610" s="1188"/>
      <c r="CC610" s="1188"/>
      <c r="CD610" s="1188">
        <f t="shared" si="207"/>
        <v>120</v>
      </c>
      <c r="CE610" s="1188">
        <f t="shared" si="198"/>
        <v>0</v>
      </c>
      <c r="CF610" s="1188">
        <f t="shared" si="208"/>
        <v>0</v>
      </c>
      <c r="CG610" s="1188">
        <f t="shared" si="209"/>
        <v>0</v>
      </c>
      <c r="CH610" s="1236"/>
      <c r="CI610" s="1236"/>
      <c r="CJ610" s="1236"/>
      <c r="CK610" s="1188"/>
      <c r="CL610" s="1188"/>
      <c r="CM610" s="1172"/>
      <c r="CN610" s="1172"/>
      <c r="CO610" s="1172"/>
      <c r="CP610" s="1172"/>
      <c r="CQ610" s="1172"/>
      <c r="CR610" s="1172"/>
      <c r="CS610" s="1172"/>
      <c r="CT610" s="1172"/>
      <c r="CU610" s="1172"/>
      <c r="CV610" s="1172"/>
      <c r="CW610" s="1172"/>
      <c r="CX610" s="1172"/>
      <c r="CY610" s="1172"/>
      <c r="CZ610" s="1172"/>
      <c r="DA610" s="1172"/>
      <c r="DB610" s="1172"/>
      <c r="DC610" s="1172"/>
      <c r="DD610" s="1172"/>
      <c r="DE610" s="1172"/>
      <c r="DF610" s="1172"/>
      <c r="DG610" s="1172"/>
    </row>
    <row r="611" s="1168" customFormat="1" customHeight="1" spans="1:111">
      <c r="A611" s="1340">
        <v>46195</v>
      </c>
      <c r="B611" s="1472" t="s">
        <v>827</v>
      </c>
      <c r="C611" s="1473" t="s">
        <v>101</v>
      </c>
      <c r="D611" s="1474">
        <v>4500213229</v>
      </c>
      <c r="E611" s="1475">
        <v>3116</v>
      </c>
      <c r="F611" s="1474" t="s">
        <v>2632</v>
      </c>
      <c r="G611" s="1476" t="s">
        <v>2633</v>
      </c>
      <c r="H611" s="1342" t="s">
        <v>2634</v>
      </c>
      <c r="I611" s="1477">
        <v>780</v>
      </c>
      <c r="J611" s="1478">
        <v>0</v>
      </c>
      <c r="K611" s="1478">
        <v>60</v>
      </c>
      <c r="L611" s="1345">
        <f t="shared" si="210"/>
        <v>13</v>
      </c>
      <c r="M611" s="1361">
        <v>46237</v>
      </c>
      <c r="N611" s="1361">
        <v>46233</v>
      </c>
      <c r="O611" s="1255" t="s">
        <v>2635</v>
      </c>
      <c r="P611" s="1357"/>
      <c r="Q611" s="1233" t="s">
        <v>1410</v>
      </c>
      <c r="R611" s="1342" t="s">
        <v>2603</v>
      </c>
      <c r="S611" s="1342"/>
      <c r="T611" s="1357">
        <v>780</v>
      </c>
      <c r="U611" s="1233">
        <f t="shared" si="192"/>
        <v>0</v>
      </c>
      <c r="V611" s="1342"/>
      <c r="W611" s="1238">
        <v>46204</v>
      </c>
      <c r="X611" s="1257" t="s">
        <v>95</v>
      </c>
      <c r="Y611" s="1257" t="s">
        <v>95</v>
      </c>
      <c r="Z611" s="1247" t="s">
        <v>360</v>
      </c>
      <c r="AA611" s="1247"/>
      <c r="AB611" s="1247"/>
      <c r="AC611" s="1350" t="s">
        <v>2636</v>
      </c>
      <c r="AD611" s="1479" t="s">
        <v>673</v>
      </c>
      <c r="AE611" s="1480">
        <v>75</v>
      </c>
      <c r="AF611" s="1481">
        <f>AE611*L611</f>
        <v>975</v>
      </c>
      <c r="AG611" s="1336"/>
      <c r="AH611" s="1234" t="s">
        <v>2633</v>
      </c>
      <c r="AI611" s="1234" t="s">
        <v>112</v>
      </c>
      <c r="AJ611" s="1342" t="s">
        <v>113</v>
      </c>
      <c r="AK611" s="1188">
        <f>I611</f>
        <v>780</v>
      </c>
      <c r="AL611" s="1172"/>
      <c r="AM611" s="1172"/>
      <c r="AN611" s="1172">
        <f>I611</f>
        <v>780</v>
      </c>
      <c r="AO611" s="1172"/>
      <c r="AP611" s="1172"/>
      <c r="AQ611" s="1172"/>
      <c r="AR611" s="1172"/>
      <c r="AS611" s="1172"/>
      <c r="AT611" s="1172"/>
      <c r="AU611" s="1172"/>
      <c r="AV611" s="1241">
        <f>I611*0.06</f>
        <v>46.8</v>
      </c>
      <c r="AW611" s="1250"/>
      <c r="AX611" s="1188">
        <f>I611</f>
        <v>780</v>
      </c>
      <c r="AY611" s="1172"/>
      <c r="AZ611" s="1172"/>
      <c r="BA611" s="1172"/>
      <c r="BB611" s="1172"/>
      <c r="BC611" s="1172"/>
      <c r="BD611" s="1172"/>
      <c r="BE611" s="1172"/>
      <c r="BF611" s="1172"/>
      <c r="BG611" s="1188"/>
      <c r="BH611" s="1188"/>
      <c r="BI611" s="1172"/>
      <c r="BJ611" s="1172"/>
      <c r="BK611" s="1172"/>
      <c r="BL611" s="1172"/>
      <c r="BM611" s="1172"/>
      <c r="BN611" s="1172"/>
      <c r="BO611" s="1240"/>
      <c r="BP611" s="1172"/>
      <c r="BQ611" s="1172"/>
      <c r="BR611" s="1172"/>
      <c r="BS611" s="1172"/>
      <c r="BT611" s="1172"/>
      <c r="BU611" s="1172"/>
      <c r="BV611" s="1172"/>
      <c r="BW611" s="1172"/>
      <c r="BX611" s="1172"/>
      <c r="BY611" s="1172"/>
      <c r="BZ611" s="1172"/>
      <c r="CA611" s="1172"/>
      <c r="CB611" s="1172">
        <f>I611/60</f>
        <v>13</v>
      </c>
      <c r="CC611" s="1172"/>
      <c r="CD611" s="1188">
        <f t="shared" si="207"/>
        <v>0</v>
      </c>
      <c r="CE611" s="1188">
        <f t="shared" si="198"/>
        <v>0</v>
      </c>
      <c r="CF611" s="1188">
        <f t="shared" si="208"/>
        <v>0</v>
      </c>
      <c r="CG611" s="1188">
        <f t="shared" si="209"/>
        <v>0</v>
      </c>
      <c r="CH611" s="1188"/>
      <c r="CI611" s="1188"/>
      <c r="CJ611" s="1172"/>
      <c r="CK611" s="1172"/>
      <c r="CL611" s="1172"/>
    </row>
    <row r="612" s="1175" customFormat="1" customHeight="1" spans="1:111">
      <c r="A612" s="1289">
        <v>46155</v>
      </c>
      <c r="B612" s="1417" t="s">
        <v>2637</v>
      </c>
      <c r="C612" s="1434" t="s">
        <v>2638</v>
      </c>
      <c r="D612" s="1435">
        <v>4500206930</v>
      </c>
      <c r="E612" s="1434" t="s">
        <v>2639</v>
      </c>
      <c r="F612" s="1437" t="s">
        <v>2640</v>
      </c>
      <c r="G612" s="1438" t="s">
        <v>188</v>
      </c>
      <c r="H612" s="1434" t="s">
        <v>138</v>
      </c>
      <c r="I612" s="1434">
        <v>4000</v>
      </c>
      <c r="J612" s="1434">
        <v>0</v>
      </c>
      <c r="K612" s="1434">
        <v>50</v>
      </c>
      <c r="L612" s="1291">
        <f t="shared" si="210"/>
        <v>80</v>
      </c>
      <c r="M612" s="1440">
        <v>46237</v>
      </c>
      <c r="N612" s="1416">
        <v>46235</v>
      </c>
      <c r="O612" s="1416" t="s">
        <v>2359</v>
      </c>
      <c r="P612" s="506" t="s">
        <v>2641</v>
      </c>
      <c r="Q612" s="506"/>
      <c r="R612" s="488" t="s">
        <v>2642</v>
      </c>
      <c r="S612" s="504"/>
      <c r="T612" s="506">
        <v>4000</v>
      </c>
      <c r="U612" s="500">
        <f t="shared" si="192"/>
        <v>0</v>
      </c>
      <c r="V612" s="504"/>
      <c r="W612" s="1308">
        <v>46157</v>
      </c>
      <c r="X612" s="1308" t="s">
        <v>95</v>
      </c>
      <c r="Y612" s="1294" t="s">
        <v>2643</v>
      </c>
      <c r="Z612" s="543" t="s">
        <v>2644</v>
      </c>
      <c r="AA612" s="543"/>
      <c r="AB612" s="543"/>
      <c r="AC612" s="1482" t="s">
        <v>2645</v>
      </c>
      <c r="AD612" s="507" t="s">
        <v>2646</v>
      </c>
      <c r="AE612" s="1483">
        <v>1.0979</v>
      </c>
      <c r="AF612" s="503">
        <f>AE612*I612</f>
        <v>4391.6</v>
      </c>
      <c r="AG612" s="1295"/>
      <c r="AH612" s="504" t="s">
        <v>188</v>
      </c>
      <c r="AI612" s="488" t="s">
        <v>112</v>
      </c>
      <c r="AJ612" s="498" t="s">
        <v>113</v>
      </c>
      <c r="AK612" s="502">
        <f>I612</f>
        <v>4000</v>
      </c>
      <c r="AL612" s="504"/>
      <c r="AM612" s="502"/>
      <c r="AN612" s="1418">
        <f>I612</f>
        <v>4000</v>
      </c>
      <c r="AO612" s="502"/>
      <c r="AP612" s="502"/>
      <c r="AQ612" s="1296"/>
      <c r="AR612" s="502"/>
      <c r="AS612" s="1297"/>
      <c r="AT612" s="1297"/>
      <c r="AU612" s="502">
        <f>I612</f>
        <v>4000</v>
      </c>
      <c r="AV612" s="1298">
        <f>I612*0.06*2</f>
        <v>480</v>
      </c>
      <c r="AW612" s="1298"/>
      <c r="AX612" s="504"/>
      <c r="AY612" s="504"/>
      <c r="AZ612" s="504"/>
      <c r="BA612" s="504"/>
      <c r="BB612" s="504"/>
      <c r="BC612" s="504"/>
      <c r="BD612" s="504"/>
      <c r="BE612" s="502"/>
      <c r="BF612" s="502"/>
      <c r="BG612" s="502"/>
      <c r="BH612" s="502"/>
      <c r="BI612" s="502"/>
      <c r="BJ612" s="502"/>
      <c r="BK612" s="502"/>
      <c r="BL612" s="502"/>
      <c r="BM612" s="502"/>
      <c r="BN612" s="1418">
        <f>I612/25</f>
        <v>160</v>
      </c>
      <c r="BO612" s="1296"/>
      <c r="BP612" s="1296"/>
      <c r="BQ612" s="502"/>
      <c r="BR612" s="1297"/>
      <c r="BS612" s="1297"/>
      <c r="BT612" s="502"/>
      <c r="BU612" s="502"/>
      <c r="BV612" s="1296"/>
      <c r="BW612" s="502"/>
      <c r="BX612" s="502"/>
      <c r="BY612" s="502"/>
      <c r="BZ612" s="502"/>
      <c r="CA612" s="502"/>
      <c r="CB612" s="502"/>
      <c r="CC612" s="502"/>
      <c r="CD612" s="1218">
        <f t="shared" si="207"/>
        <v>160</v>
      </c>
      <c r="CE612" s="1218"/>
      <c r="CF612" s="502">
        <f t="shared" si="208"/>
        <v>0</v>
      </c>
      <c r="CG612" s="1218">
        <f t="shared" si="209"/>
        <v>0</v>
      </c>
      <c r="CH612" s="1299"/>
      <c r="CI612" s="1299"/>
      <c r="CJ612" s="1297"/>
      <c r="CK612" s="502"/>
      <c r="CL612" s="502"/>
      <c r="CM612" s="1455"/>
      <c r="CN612" s="1455"/>
      <c r="CO612" s="1455"/>
      <c r="CP612" s="1455"/>
      <c r="CQ612" s="1455"/>
      <c r="CR612" s="1455"/>
      <c r="CS612" s="1455"/>
      <c r="CT612" s="1455"/>
      <c r="CU612" s="1455"/>
      <c r="CV612" s="1455"/>
      <c r="CW612" s="1455"/>
      <c r="CX612" s="1455"/>
      <c r="CY612" s="1455"/>
      <c r="CZ612" s="1455"/>
      <c r="DA612" s="1455"/>
      <c r="DB612" s="1455"/>
      <c r="DC612" s="1455"/>
      <c r="DD612" s="1455"/>
      <c r="DE612" s="1455"/>
      <c r="DF612" s="1455"/>
      <c r="DG612" s="1455"/>
    </row>
    <row r="613" s="1168" customFormat="1" customHeight="1" spans="1:111">
      <c r="A613" s="1245">
        <v>46185</v>
      </c>
      <c r="B613" s="1460" t="s">
        <v>538</v>
      </c>
      <c r="C613" s="1461" t="s">
        <v>164</v>
      </c>
      <c r="D613" s="1462">
        <v>4500211828</v>
      </c>
      <c r="E613" s="1463" t="s">
        <v>2647</v>
      </c>
      <c r="F613" s="1464" t="s">
        <v>2648</v>
      </c>
      <c r="G613" s="1465" t="s">
        <v>753</v>
      </c>
      <c r="H613" s="1234" t="s">
        <v>390</v>
      </c>
      <c r="I613" s="1466">
        <v>3396</v>
      </c>
      <c r="J613" s="1467">
        <v>0</v>
      </c>
      <c r="K613" s="1467">
        <v>12</v>
      </c>
      <c r="L613" s="1246">
        <f t="shared" si="210"/>
        <v>283</v>
      </c>
      <c r="M613" s="1225">
        <v>46237</v>
      </c>
      <c r="N613" s="1338">
        <f>M613-2</f>
        <v>46235</v>
      </c>
      <c r="O613" s="1320" t="s">
        <v>2336</v>
      </c>
      <c r="P613" s="1233"/>
      <c r="Q613" s="1233" t="s">
        <v>1410</v>
      </c>
      <c r="R613" s="1234"/>
      <c r="S613" s="1234"/>
      <c r="T613" s="1233">
        <f>3384+12</f>
        <v>3396</v>
      </c>
      <c r="U613" s="1233">
        <f t="shared" ref="U613:U676" si="219">T613-I613</f>
        <v>0</v>
      </c>
      <c r="V613" s="1234" t="s">
        <v>120</v>
      </c>
      <c r="W613" s="1238" t="s">
        <v>2502</v>
      </c>
      <c r="X613" s="1257" t="s">
        <v>95</v>
      </c>
      <c r="Y613" s="1369" t="s">
        <v>2564</v>
      </c>
      <c r="Z613" s="1247" t="s">
        <v>140</v>
      </c>
      <c r="AA613" s="1247"/>
      <c r="AB613" s="1247"/>
      <c r="AC613" s="1358" t="s">
        <v>2649</v>
      </c>
      <c r="AD613" s="1468" t="s">
        <v>2610</v>
      </c>
      <c r="AE613" s="1276">
        <v>2.5332</v>
      </c>
      <c r="AF613" s="1248">
        <f>I613*AE613</f>
        <v>8602.7472</v>
      </c>
      <c r="AG613" s="1258"/>
      <c r="AH613" s="1234" t="s">
        <v>753</v>
      </c>
      <c r="AI613" s="1234" t="s">
        <v>112</v>
      </c>
      <c r="AJ613" s="1234" t="s">
        <v>113</v>
      </c>
      <c r="AK613" s="1188">
        <f>I613*2</f>
        <v>6792</v>
      </c>
      <c r="AL613" s="1188"/>
      <c r="AM613" s="1188"/>
      <c r="AN613" s="1188"/>
      <c r="AO613" s="1188"/>
      <c r="AP613" s="1188"/>
      <c r="AQ613" s="1240"/>
      <c r="AR613" s="1188">
        <f>I613*2</f>
        <v>6792</v>
      </c>
      <c r="AS613" s="1236"/>
      <c r="AT613" s="1236"/>
      <c r="AU613" s="1188"/>
      <c r="AV613" s="1250">
        <f>I613*0.06</f>
        <v>203.76</v>
      </c>
      <c r="AW613" s="1250">
        <f>I613*2</f>
        <v>6792</v>
      </c>
      <c r="AX613" s="1188"/>
      <c r="AY613" s="1188"/>
      <c r="AZ613" s="1188"/>
      <c r="BA613" s="1188"/>
      <c r="BB613" s="1188"/>
      <c r="BC613" s="1188"/>
      <c r="BD613" s="1188"/>
      <c r="BE613" s="1188"/>
      <c r="BF613" s="1188"/>
      <c r="BG613" s="1188"/>
      <c r="BH613" s="1188"/>
      <c r="BI613" s="1188"/>
      <c r="BJ613" s="1188"/>
      <c r="BK613" s="1188"/>
      <c r="BL613" s="1188"/>
      <c r="BM613" s="1188"/>
      <c r="BN613" s="1188"/>
      <c r="BO613" s="1240"/>
      <c r="BP613" s="1240"/>
      <c r="BQ613" s="1188"/>
      <c r="BR613" s="1236"/>
      <c r="BS613" s="1236"/>
      <c r="BT613" s="1188"/>
      <c r="BU613" s="1188"/>
      <c r="BV613" s="1240"/>
      <c r="BW613" s="1188"/>
      <c r="BX613" s="1188"/>
      <c r="BY613" s="1188"/>
      <c r="BZ613" s="1188"/>
      <c r="CA613" s="1188"/>
      <c r="CB613" s="1188"/>
      <c r="CC613" s="1188"/>
      <c r="CD613" s="1188">
        <f t="shared" si="207"/>
        <v>0</v>
      </c>
      <c r="CE613" s="1188">
        <f t="shared" ref="CE613:CE676" si="220">BU613</f>
        <v>0</v>
      </c>
      <c r="CF613" s="1188">
        <f t="shared" si="208"/>
        <v>0</v>
      </c>
      <c r="CG613" s="1188">
        <f t="shared" si="209"/>
        <v>0</v>
      </c>
      <c r="CH613" s="1236"/>
      <c r="CI613" s="1236"/>
      <c r="CJ613" s="1236">
        <f>I613</f>
        <v>3396</v>
      </c>
      <c r="CK613" s="1188">
        <f>I613</f>
        <v>3396</v>
      </c>
      <c r="CL613" s="1188">
        <f>I613</f>
        <v>3396</v>
      </c>
    </row>
    <row r="614" s="1176" customFormat="1" customHeight="1" spans="1:111">
      <c r="A614" s="1484">
        <v>46190</v>
      </c>
      <c r="B614" s="1485" t="s">
        <v>1176</v>
      </c>
      <c r="C614" s="1403" t="s">
        <v>115</v>
      </c>
      <c r="D614" s="1486">
        <v>4500212900</v>
      </c>
      <c r="E614" s="1403" t="s">
        <v>2650</v>
      </c>
      <c r="F614" s="1173" t="s">
        <v>2651</v>
      </c>
      <c r="G614" s="1487" t="s">
        <v>174</v>
      </c>
      <c r="H614" s="1403" t="s">
        <v>175</v>
      </c>
      <c r="I614" s="1488">
        <v>46020</v>
      </c>
      <c r="J614" s="1403">
        <v>0</v>
      </c>
      <c r="K614" s="1403">
        <v>52</v>
      </c>
      <c r="L614" s="1489">
        <f t="shared" si="210"/>
        <v>885</v>
      </c>
      <c r="M614" s="1490">
        <v>46237</v>
      </c>
      <c r="N614" s="1491">
        <v>46236</v>
      </c>
      <c r="O614" s="1491" t="s">
        <v>2347</v>
      </c>
      <c r="P614" s="1492"/>
      <c r="Q614" s="1492"/>
      <c r="R614" s="1403" t="s">
        <v>2652</v>
      </c>
      <c r="S614" s="1403"/>
      <c r="T614" s="500">
        <v>31668</v>
      </c>
      <c r="U614" s="500">
        <f t="shared" si="219"/>
        <v>-14352</v>
      </c>
      <c r="V614" s="1403"/>
      <c r="W614" s="1431">
        <v>46206</v>
      </c>
      <c r="X614" s="1405" t="s">
        <v>107</v>
      </c>
      <c r="Y614" s="1405" t="s">
        <v>2653</v>
      </c>
      <c r="Z614" s="1397"/>
      <c r="AA614" s="1397"/>
      <c r="AB614" s="1397"/>
      <c r="AC614" s="1485" t="s">
        <v>1181</v>
      </c>
      <c r="AD614" s="1490" t="s">
        <v>2654</v>
      </c>
      <c r="AE614" s="1173">
        <v>0.6323</v>
      </c>
      <c r="AF614" s="1493">
        <f>I614*AE614</f>
        <v>29098.446</v>
      </c>
      <c r="AG614" s="1406"/>
      <c r="AH614" s="499" t="s">
        <v>174</v>
      </c>
      <c r="AI614" s="498" t="s">
        <v>112</v>
      </c>
      <c r="AJ614" s="498" t="s">
        <v>113</v>
      </c>
      <c r="AK614" s="496">
        <f>I614</f>
        <v>46020</v>
      </c>
      <c r="AL614" s="1173"/>
      <c r="AM614" s="1173"/>
      <c r="AN614" s="1173">
        <f>I614</f>
        <v>46020</v>
      </c>
      <c r="AO614" s="1173"/>
      <c r="AP614" s="1173"/>
      <c r="AQ614" s="1173"/>
      <c r="AR614" s="1173"/>
      <c r="AS614" s="1173"/>
      <c r="AT614" s="1173"/>
      <c r="AU614" s="1173">
        <f>I614</f>
        <v>46020</v>
      </c>
      <c r="AV614" s="1409"/>
      <c r="AW614" s="1409"/>
      <c r="AX614" s="1173"/>
      <c r="AY614" s="1173"/>
      <c r="AZ614" s="1173"/>
      <c r="BA614" s="1173"/>
      <c r="BB614" s="1173"/>
      <c r="BC614" s="1173"/>
      <c r="BD614" s="1173"/>
      <c r="BE614" s="1173"/>
      <c r="BF614" s="1173"/>
      <c r="BG614" s="496"/>
      <c r="BH614" s="496"/>
      <c r="BI614" s="1173"/>
      <c r="BJ614" s="1173"/>
      <c r="BK614" s="1173">
        <f>I614/13</f>
        <v>3540</v>
      </c>
      <c r="BL614" s="1173"/>
      <c r="BM614" s="1173"/>
      <c r="BN614" s="1173"/>
      <c r="BO614" s="1407"/>
      <c r="BP614" s="1173"/>
      <c r="BQ614" s="1173"/>
      <c r="BR614" s="1173"/>
      <c r="BS614" s="1173"/>
      <c r="BT614" s="1173"/>
      <c r="BU614" s="1173"/>
      <c r="BV614" s="1173"/>
      <c r="BW614" s="1173"/>
      <c r="BX614" s="1173"/>
      <c r="BY614" s="1173"/>
      <c r="BZ614" s="1173"/>
      <c r="CA614" s="1173"/>
      <c r="CB614" s="1173"/>
      <c r="CC614" s="1173"/>
      <c r="CD614" s="496">
        <f t="shared" si="207"/>
        <v>0</v>
      </c>
      <c r="CE614" s="496">
        <f t="shared" si="220"/>
        <v>0</v>
      </c>
      <c r="CF614" s="496">
        <f t="shared" si="208"/>
        <v>0</v>
      </c>
      <c r="CG614" s="496">
        <f t="shared" si="209"/>
        <v>0</v>
      </c>
      <c r="CH614" s="496"/>
      <c r="CI614" s="496"/>
      <c r="CJ614" s="1173"/>
      <c r="CK614" s="1173"/>
      <c r="CL614" s="1173"/>
      <c r="CM614" s="1170"/>
      <c r="CN614" s="1170"/>
      <c r="CO614" s="1170"/>
      <c r="CP614" s="1170"/>
      <c r="CQ614" s="1170"/>
      <c r="CR614" s="1170"/>
      <c r="CS614" s="1170"/>
      <c r="CT614" s="1170"/>
      <c r="CU614" s="1170"/>
      <c r="CV614" s="1170"/>
      <c r="CW614" s="1170"/>
      <c r="CX614" s="1170"/>
      <c r="CY614" s="1170"/>
      <c r="CZ614" s="1170"/>
      <c r="DA614" s="1170"/>
      <c r="DB614" s="1170"/>
      <c r="DC614" s="1170"/>
      <c r="DD614" s="1170"/>
      <c r="DE614" s="1170"/>
      <c r="DF614" s="1170"/>
      <c r="DG614" s="1170"/>
    </row>
    <row r="615" s="1170" customFormat="1" customHeight="1" spans="1:111">
      <c r="A615" s="1396">
        <v>46205</v>
      </c>
      <c r="B615" s="1397" t="s">
        <v>114</v>
      </c>
      <c r="C615" s="498" t="s">
        <v>115</v>
      </c>
      <c r="D615" s="1398">
        <v>4500214707</v>
      </c>
      <c r="E615" s="498" t="s">
        <v>2655</v>
      </c>
      <c r="F615" s="496" t="s">
        <v>2656</v>
      </c>
      <c r="G615" s="499" t="s">
        <v>118</v>
      </c>
      <c r="H615" s="498" t="s">
        <v>104</v>
      </c>
      <c r="I615" s="1399">
        <v>16775</v>
      </c>
      <c r="J615" s="498">
        <v>0</v>
      </c>
      <c r="K615" s="498">
        <v>25</v>
      </c>
      <c r="L615" s="1400">
        <f t="shared" si="210"/>
        <v>671</v>
      </c>
      <c r="M615" s="495">
        <v>46238</v>
      </c>
      <c r="N615" s="495">
        <v>46234</v>
      </c>
      <c r="O615" s="495" t="s">
        <v>2272</v>
      </c>
      <c r="P615" s="500" t="s">
        <v>2657</v>
      </c>
      <c r="Q615" s="500"/>
      <c r="R615" s="498"/>
      <c r="S615" s="498"/>
      <c r="T615" s="500">
        <f>8550+8225</f>
        <v>16775</v>
      </c>
      <c r="U615" s="500">
        <f t="shared" si="219"/>
        <v>0</v>
      </c>
      <c r="V615" s="498" t="s">
        <v>120</v>
      </c>
      <c r="W615" s="1431" t="s">
        <v>2658</v>
      </c>
      <c r="X615" s="1405" t="s">
        <v>107</v>
      </c>
      <c r="Y615" s="1405" t="s">
        <v>2659</v>
      </c>
      <c r="Z615" s="1397"/>
      <c r="AA615" s="1397"/>
      <c r="AB615" s="1397"/>
      <c r="AC615" s="1397" t="s">
        <v>2660</v>
      </c>
      <c r="AD615" s="495" t="s">
        <v>123</v>
      </c>
      <c r="AE615" s="496">
        <v>0.6478</v>
      </c>
      <c r="AF615" s="497">
        <f>AE615*I615</f>
        <v>10866.845</v>
      </c>
      <c r="AG615" s="1406"/>
      <c r="AH615" s="498" t="s">
        <v>118</v>
      </c>
      <c r="AI615" s="498" t="s">
        <v>112</v>
      </c>
      <c r="AJ615" s="498" t="s">
        <v>113</v>
      </c>
      <c r="AK615" s="496"/>
      <c r="AL615" s="496"/>
      <c r="AM615" s="496">
        <f>I615</f>
        <v>16775</v>
      </c>
      <c r="AN615" s="496"/>
      <c r="AO615" s="496"/>
      <c r="AP615" s="496"/>
      <c r="AQ615" s="1407"/>
      <c r="AR615" s="496"/>
      <c r="AS615" s="1408"/>
      <c r="AT615" s="1408">
        <f>I615</f>
        <v>16775</v>
      </c>
      <c r="AU615" s="496">
        <f>I615</f>
        <v>16775</v>
      </c>
      <c r="AV615" s="1409">
        <f>I615*0.06</f>
        <v>1006.5</v>
      </c>
      <c r="AW615" s="1409"/>
      <c r="AX615" s="496"/>
      <c r="AY615" s="496"/>
      <c r="AZ615" s="496"/>
      <c r="BA615" s="496"/>
      <c r="BB615" s="496"/>
      <c r="BC615" s="496"/>
      <c r="BD615" s="496"/>
      <c r="BE615" s="496"/>
      <c r="BF615" s="496"/>
      <c r="BG615" s="496"/>
      <c r="BH615" s="496"/>
      <c r="BI615" s="496"/>
      <c r="BJ615" s="496"/>
      <c r="BK615" s="496"/>
      <c r="BL615" s="496"/>
      <c r="BM615" s="496"/>
      <c r="BN615" s="496"/>
      <c r="BO615" s="1407"/>
      <c r="BP615" s="1407"/>
      <c r="BQ615" s="496"/>
      <c r="BR615" s="1408"/>
      <c r="BS615" s="496"/>
      <c r="BT615" s="496"/>
      <c r="BU615" s="496">
        <f>I615/25</f>
        <v>671</v>
      </c>
      <c r="BV615" s="1407"/>
      <c r="BW615" s="496"/>
      <c r="BX615" s="496"/>
      <c r="BY615" s="496"/>
      <c r="BZ615" s="496"/>
      <c r="CA615" s="496"/>
      <c r="CB615" s="496"/>
      <c r="CC615" s="496"/>
      <c r="CD615" s="496">
        <f t="shared" si="207"/>
        <v>0</v>
      </c>
      <c r="CE615" s="496">
        <f t="shared" si="220"/>
        <v>671</v>
      </c>
      <c r="CF615" s="496">
        <f t="shared" si="208"/>
        <v>0</v>
      </c>
      <c r="CG615" s="496">
        <f t="shared" si="209"/>
        <v>0</v>
      </c>
      <c r="CH615" s="1408"/>
      <c r="CI615" s="1408"/>
      <c r="CJ615" s="1408"/>
      <c r="CK615" s="496"/>
      <c r="CL615" s="496"/>
    </row>
    <row r="616" s="1168" customFormat="1" customHeight="1" spans="1:111">
      <c r="A616" s="1219">
        <v>46112</v>
      </c>
      <c r="B616" s="1220" t="s">
        <v>530</v>
      </c>
      <c r="C616" s="1221" t="s">
        <v>135</v>
      </c>
      <c r="D616" s="1303">
        <v>4500199243</v>
      </c>
      <c r="E616" s="1226">
        <v>89015144</v>
      </c>
      <c r="F616" s="1222" t="s">
        <v>2661</v>
      </c>
      <c r="G616" s="1223" t="s">
        <v>532</v>
      </c>
      <c r="H616" s="1234" t="s">
        <v>194</v>
      </c>
      <c r="I616" s="1252">
        <v>2704</v>
      </c>
      <c r="J616" s="1221">
        <v>13</v>
      </c>
      <c r="K616" s="1221">
        <v>104</v>
      </c>
      <c r="L616" s="1224">
        <f t="shared" si="210"/>
        <v>26</v>
      </c>
      <c r="M616" s="1225">
        <v>46238</v>
      </c>
      <c r="N616" s="1338">
        <v>46235</v>
      </c>
      <c r="O616" s="1320" t="s">
        <v>2359</v>
      </c>
      <c r="P616" s="1226"/>
      <c r="Q616" s="1233" t="s">
        <v>1410</v>
      </c>
      <c r="R616" s="1221"/>
      <c r="S616" s="1221"/>
      <c r="T616" s="1226">
        <v>2704</v>
      </c>
      <c r="U616" s="1233">
        <f t="shared" si="219"/>
        <v>0</v>
      </c>
      <c r="V616" s="1221"/>
      <c r="W616" s="1238">
        <v>46129</v>
      </c>
      <c r="X616" s="1227" t="s">
        <v>95</v>
      </c>
      <c r="Y616" s="1227" t="s">
        <v>95</v>
      </c>
      <c r="Z616" s="1220" t="s">
        <v>2662</v>
      </c>
      <c r="AA616" s="1220"/>
      <c r="AB616" s="1220"/>
      <c r="AC616" s="1358" t="s">
        <v>2663</v>
      </c>
      <c r="AD616" s="1225" t="s">
        <v>142</v>
      </c>
      <c r="AE616" s="1222">
        <v>1.2</v>
      </c>
      <c r="AF616" s="1229">
        <f t="shared" ref="AF616:AF621" si="221">I616*AE616</f>
        <v>3244.8</v>
      </c>
      <c r="AG616" s="1230"/>
      <c r="AH616" s="1223" t="s">
        <v>532</v>
      </c>
      <c r="AI616" s="1221" t="s">
        <v>112</v>
      </c>
      <c r="AJ616" s="1234" t="s">
        <v>113</v>
      </c>
      <c r="AK616" s="1188">
        <f>I616</f>
        <v>2704</v>
      </c>
      <c r="AL616" s="1222"/>
      <c r="AM616" s="1222"/>
      <c r="AN616" s="1222">
        <f>I616</f>
        <v>2704</v>
      </c>
      <c r="AO616" s="1222"/>
      <c r="AP616" s="1222"/>
      <c r="AQ616" s="1242"/>
      <c r="AR616" s="1222"/>
      <c r="AS616" s="1232"/>
      <c r="AT616" s="1232"/>
      <c r="AU616" s="1222">
        <f>I616</f>
        <v>2704</v>
      </c>
      <c r="AV616" s="1241">
        <f>I616*0.06*2</f>
        <v>324.48</v>
      </c>
      <c r="AW616" s="1241"/>
      <c r="AX616" s="1222"/>
      <c r="AY616" s="1222"/>
      <c r="AZ616" s="1222"/>
      <c r="BA616" s="1222"/>
      <c r="BB616" s="1222"/>
      <c r="BC616" s="1222"/>
      <c r="BD616" s="1222"/>
      <c r="BE616" s="1222"/>
      <c r="BF616" s="1222"/>
      <c r="BG616" s="1222"/>
      <c r="BH616" s="1188"/>
      <c r="BI616" s="1222"/>
      <c r="BJ616" s="1222"/>
      <c r="BK616" s="1222">
        <f>I616/13</f>
        <v>208</v>
      </c>
      <c r="BL616" s="1222"/>
      <c r="BM616" s="1222"/>
      <c r="BN616" s="1222"/>
      <c r="BO616" s="1242"/>
      <c r="BP616" s="1242"/>
      <c r="BQ616" s="1222"/>
      <c r="BR616" s="1232"/>
      <c r="BS616" s="1232"/>
      <c r="BT616" s="1222"/>
      <c r="BU616" s="1222"/>
      <c r="BV616" s="1242"/>
      <c r="BW616" s="1222"/>
      <c r="BX616" s="1222"/>
      <c r="BY616" s="1222"/>
      <c r="BZ616" s="1222"/>
      <c r="CA616" s="1222"/>
      <c r="CB616" s="1222"/>
      <c r="CC616" s="1222"/>
      <c r="CD616" s="1188">
        <f t="shared" si="207"/>
        <v>0</v>
      </c>
      <c r="CE616" s="1188">
        <f t="shared" si="220"/>
        <v>0</v>
      </c>
      <c r="CF616" s="1188">
        <f t="shared" si="208"/>
        <v>0</v>
      </c>
      <c r="CG616" s="1188">
        <f t="shared" si="209"/>
        <v>0</v>
      </c>
      <c r="CH616" s="1232"/>
      <c r="CI616" s="1232"/>
      <c r="CJ616" s="1232"/>
      <c r="CK616" s="1222"/>
      <c r="CL616" s="1222"/>
    </row>
    <row r="617" s="1168" customFormat="1" customHeight="1" spans="1:111">
      <c r="A617" s="1245">
        <v>46181</v>
      </c>
      <c r="B617" s="1220" t="s">
        <v>2083</v>
      </c>
      <c r="C617" s="1221" t="s">
        <v>891</v>
      </c>
      <c r="D617" s="1428">
        <v>4500210994</v>
      </c>
      <c r="E617" s="1226">
        <v>4046555051</v>
      </c>
      <c r="F617" s="1222" t="s">
        <v>2664</v>
      </c>
      <c r="G617" s="1223" t="s">
        <v>146</v>
      </c>
      <c r="H617" s="1221" t="s">
        <v>104</v>
      </c>
      <c r="I617" s="1252">
        <v>2000</v>
      </c>
      <c r="J617" s="1221">
        <v>0</v>
      </c>
      <c r="K617" s="1221">
        <v>25</v>
      </c>
      <c r="L617" s="1246">
        <f t="shared" si="210"/>
        <v>80</v>
      </c>
      <c r="M617" s="1225">
        <v>46238</v>
      </c>
      <c r="N617" s="1338">
        <v>46238</v>
      </c>
      <c r="O617" s="1320" t="s">
        <v>2359</v>
      </c>
      <c r="P617" s="1233"/>
      <c r="Q617" s="1233" t="s">
        <v>1410</v>
      </c>
      <c r="R617" s="1234"/>
      <c r="S617" s="1234"/>
      <c r="T617" s="1233">
        <v>2000</v>
      </c>
      <c r="U617" s="1233">
        <f t="shared" si="219"/>
        <v>0</v>
      </c>
      <c r="V617" s="1234"/>
      <c r="W617" s="1238">
        <v>46196</v>
      </c>
      <c r="X617" s="1227" t="s">
        <v>95</v>
      </c>
      <c r="Y617" s="1227" t="s">
        <v>2058</v>
      </c>
      <c r="Z617" s="1247"/>
      <c r="AA617" s="1247"/>
      <c r="AB617" s="1247"/>
      <c r="AC617" s="1220" t="s">
        <v>2665</v>
      </c>
      <c r="AD617" s="1225" t="s">
        <v>775</v>
      </c>
      <c r="AE617" s="1188">
        <v>1.1085</v>
      </c>
      <c r="AF617" s="1248">
        <f t="shared" si="221"/>
        <v>2217</v>
      </c>
      <c r="AG617" s="1258"/>
      <c r="AH617" s="1234" t="s">
        <v>111</v>
      </c>
      <c r="AI617" s="1234" t="s">
        <v>112</v>
      </c>
      <c r="AJ617" s="1234" t="s">
        <v>113</v>
      </c>
      <c r="AK617" s="1188">
        <f>I617</f>
        <v>2000</v>
      </c>
      <c r="AL617" s="1188"/>
      <c r="AM617" s="1188"/>
      <c r="AN617" s="1188"/>
      <c r="AO617" s="1188"/>
      <c r="AP617" s="1188">
        <f>I617</f>
        <v>2000</v>
      </c>
      <c r="AQ617" s="1240"/>
      <c r="AR617" s="1188"/>
      <c r="AS617" s="1236"/>
      <c r="AT617" s="1236"/>
      <c r="AU617" s="1188">
        <f>I617</f>
        <v>2000</v>
      </c>
      <c r="AV617" s="1250"/>
      <c r="AW617" s="1250"/>
      <c r="AX617" s="1188"/>
      <c r="AY617" s="1188"/>
      <c r="AZ617" s="1188"/>
      <c r="BA617" s="1188"/>
      <c r="BB617" s="1188"/>
      <c r="BC617" s="1188"/>
      <c r="BD617" s="1188"/>
      <c r="BE617" s="1188"/>
      <c r="BF617" s="1188"/>
      <c r="BG617" s="1188"/>
      <c r="BH617" s="1188"/>
      <c r="BI617" s="1188"/>
      <c r="BJ617" s="1188"/>
      <c r="BK617" s="1188"/>
      <c r="BL617" s="1188"/>
      <c r="BM617" s="1188"/>
      <c r="BN617" s="1188"/>
      <c r="BO617" s="1240">
        <f>I617/25</f>
        <v>80</v>
      </c>
      <c r="BP617" s="1240"/>
      <c r="BQ617" s="1188"/>
      <c r="BR617" s="1236"/>
      <c r="BS617" s="1236"/>
      <c r="BT617" s="1188"/>
      <c r="BU617" s="1188"/>
      <c r="BV617" s="1240"/>
      <c r="BW617" s="1188"/>
      <c r="BX617" s="1188"/>
      <c r="BY617" s="1188"/>
      <c r="BZ617" s="1188"/>
      <c r="CA617" s="1188"/>
      <c r="CB617" s="1188"/>
      <c r="CC617" s="1188"/>
      <c r="CD617" s="1188">
        <f t="shared" si="207"/>
        <v>80</v>
      </c>
      <c r="CE617" s="1188">
        <f t="shared" si="220"/>
        <v>0</v>
      </c>
      <c r="CF617" s="1188">
        <f t="shared" si="208"/>
        <v>0</v>
      </c>
      <c r="CG617" s="1188">
        <f t="shared" si="209"/>
        <v>0</v>
      </c>
      <c r="CH617" s="1236"/>
      <c r="CI617" s="1236"/>
      <c r="CJ617" s="1236"/>
      <c r="CK617" s="1188"/>
      <c r="CL617" s="1188"/>
    </row>
    <row r="618" s="1168" customFormat="1" customHeight="1" spans="1:111">
      <c r="A618" s="1245">
        <v>46146</v>
      </c>
      <c r="B618" s="1220" t="s">
        <v>2666</v>
      </c>
      <c r="C618" s="1221" t="s">
        <v>201</v>
      </c>
      <c r="D618" s="1303">
        <v>4500205055</v>
      </c>
      <c r="E618" s="1226">
        <v>684900</v>
      </c>
      <c r="F618" s="1222" t="s">
        <v>2667</v>
      </c>
      <c r="G618" s="1223" t="s">
        <v>146</v>
      </c>
      <c r="H618" s="1221" t="s">
        <v>104</v>
      </c>
      <c r="I618" s="1252">
        <v>800</v>
      </c>
      <c r="J618" s="1221">
        <v>0</v>
      </c>
      <c r="K618" s="1221">
        <v>25</v>
      </c>
      <c r="L618" s="1246">
        <f t="shared" si="210"/>
        <v>32</v>
      </c>
      <c r="M618" s="1225">
        <v>46238</v>
      </c>
      <c r="N618" s="1338">
        <v>46238</v>
      </c>
      <c r="O618" s="1320" t="s">
        <v>2359</v>
      </c>
      <c r="P618" s="1233"/>
      <c r="Q618" s="1233" t="s">
        <v>1410</v>
      </c>
      <c r="R618" s="1234" t="s">
        <v>2127</v>
      </c>
      <c r="S618" s="1234"/>
      <c r="T618" s="1233">
        <v>800</v>
      </c>
      <c r="U618" s="1233">
        <f t="shared" si="219"/>
        <v>0</v>
      </c>
      <c r="V618" s="1234"/>
      <c r="W618" s="1238">
        <v>46148</v>
      </c>
      <c r="X618" s="1257" t="s">
        <v>95</v>
      </c>
      <c r="Y618" s="1257" t="s">
        <v>2668</v>
      </c>
      <c r="Z618" s="1247"/>
      <c r="AA618" s="1247"/>
      <c r="AB618" s="1247"/>
      <c r="AC618" s="1247" t="s">
        <v>2669</v>
      </c>
      <c r="AD618" s="1225" t="s">
        <v>2670</v>
      </c>
      <c r="AE618" s="1188">
        <v>1.0856</v>
      </c>
      <c r="AF618" s="1248">
        <f t="shared" si="221"/>
        <v>868.48</v>
      </c>
      <c r="AG618" s="1258"/>
      <c r="AH618" s="1234" t="s">
        <v>111</v>
      </c>
      <c r="AI618" s="1234" t="s">
        <v>112</v>
      </c>
      <c r="AJ618" s="1234" t="s">
        <v>113</v>
      </c>
      <c r="AK618" s="1188">
        <f>I618</f>
        <v>800</v>
      </c>
      <c r="AL618" s="1188"/>
      <c r="AM618" s="1188"/>
      <c r="AN618" s="1188"/>
      <c r="AO618" s="1188"/>
      <c r="AP618" s="1188">
        <f>I618</f>
        <v>800</v>
      </c>
      <c r="AQ618" s="1240"/>
      <c r="AR618" s="1188"/>
      <c r="AS618" s="1236"/>
      <c r="AT618" s="1236"/>
      <c r="AU618" s="1188">
        <f>I618</f>
        <v>800</v>
      </c>
      <c r="AV618" s="1250">
        <f>I618*0.06*2</f>
        <v>96</v>
      </c>
      <c r="AW618" s="1250"/>
      <c r="AX618" s="1188"/>
      <c r="AY618" s="1188"/>
      <c r="AZ618" s="1188"/>
      <c r="BA618" s="1188"/>
      <c r="BB618" s="1188"/>
      <c r="BC618" s="1188"/>
      <c r="BD618" s="1188"/>
      <c r="BE618" s="1188"/>
      <c r="BF618" s="1188"/>
      <c r="BG618" s="1188"/>
      <c r="BH618" s="1188"/>
      <c r="BI618" s="1188"/>
      <c r="BJ618" s="1188"/>
      <c r="BK618" s="1188"/>
      <c r="BL618" s="1188"/>
      <c r="BM618" s="1188"/>
      <c r="BN618" s="1188"/>
      <c r="BO618" s="1240">
        <f>I618/25</f>
        <v>32</v>
      </c>
      <c r="BP618" s="1240"/>
      <c r="BQ618" s="1188"/>
      <c r="BR618" s="1236"/>
      <c r="BS618" s="1236"/>
      <c r="BT618" s="1188"/>
      <c r="BU618" s="1188"/>
      <c r="BV618" s="1240"/>
      <c r="BW618" s="1188"/>
      <c r="BX618" s="1188"/>
      <c r="BY618" s="1188"/>
      <c r="BZ618" s="1188"/>
      <c r="CA618" s="1188"/>
      <c r="CB618" s="1188"/>
      <c r="CC618" s="1188"/>
      <c r="CD618" s="1188">
        <f t="shared" si="207"/>
        <v>32</v>
      </c>
      <c r="CE618" s="1188">
        <f t="shared" si="220"/>
        <v>0</v>
      </c>
      <c r="CF618" s="1188">
        <f t="shared" si="208"/>
        <v>0</v>
      </c>
      <c r="CG618" s="1188">
        <f t="shared" si="209"/>
        <v>0</v>
      </c>
      <c r="CH618" s="1236"/>
      <c r="CI618" s="1236"/>
      <c r="CJ618" s="1236"/>
      <c r="CK618" s="1188"/>
      <c r="CL618" s="1188"/>
    </row>
    <row r="619" s="1168" customFormat="1" customHeight="1" spans="1:111">
      <c r="A619" s="1245">
        <v>46185</v>
      </c>
      <c r="B619" s="1460" t="s">
        <v>743</v>
      </c>
      <c r="C619" s="1461" t="s">
        <v>148</v>
      </c>
      <c r="D619" s="1462">
        <v>4500211821</v>
      </c>
      <c r="E619" s="1463" t="s">
        <v>2671</v>
      </c>
      <c r="F619" s="1464" t="s">
        <v>2672</v>
      </c>
      <c r="G619" s="1465" t="s">
        <v>753</v>
      </c>
      <c r="H619" s="1221" t="s">
        <v>390</v>
      </c>
      <c r="I619" s="1466">
        <v>1968</v>
      </c>
      <c r="J619" s="1467">
        <v>0</v>
      </c>
      <c r="K619" s="1467">
        <v>12</v>
      </c>
      <c r="L619" s="1246">
        <f t="shared" si="210"/>
        <v>164</v>
      </c>
      <c r="M619" s="1338">
        <v>46238</v>
      </c>
      <c r="N619" s="1338">
        <v>46238</v>
      </c>
      <c r="O619" s="1255"/>
      <c r="P619" s="1233"/>
      <c r="Q619" s="1233" t="s">
        <v>1410</v>
      </c>
      <c r="R619" s="1234"/>
      <c r="S619" s="1234"/>
      <c r="T619" s="1233">
        <v>1968</v>
      </c>
      <c r="U619" s="1233">
        <f t="shared" si="219"/>
        <v>0</v>
      </c>
      <c r="V619" s="1234"/>
      <c r="W619" s="1238" t="s">
        <v>2502</v>
      </c>
      <c r="X619" s="1227" t="s">
        <v>95</v>
      </c>
      <c r="Y619" s="1227" t="s">
        <v>2564</v>
      </c>
      <c r="Z619" s="1247" t="s">
        <v>140</v>
      </c>
      <c r="AA619" s="1247"/>
      <c r="AB619" s="1247"/>
      <c r="AC619" s="1358" t="s">
        <v>2673</v>
      </c>
      <c r="AD619" s="1468" t="s">
        <v>2610</v>
      </c>
      <c r="AE619" s="1276">
        <v>2.5332</v>
      </c>
      <c r="AF619" s="1248">
        <f t="shared" si="221"/>
        <v>4985.3376</v>
      </c>
      <c r="AG619" s="1258"/>
      <c r="AH619" s="1234" t="s">
        <v>753</v>
      </c>
      <c r="AI619" s="1234" t="s">
        <v>112</v>
      </c>
      <c r="AJ619" s="1234" t="s">
        <v>113</v>
      </c>
      <c r="AK619" s="1188">
        <f>I619*2</f>
        <v>3936</v>
      </c>
      <c r="AL619" s="1188"/>
      <c r="AM619" s="1188"/>
      <c r="AN619" s="1188"/>
      <c r="AO619" s="1188"/>
      <c r="AP619" s="1188"/>
      <c r="AQ619" s="1240"/>
      <c r="AR619" s="1188">
        <f>I619*2</f>
        <v>3936</v>
      </c>
      <c r="AS619" s="1236"/>
      <c r="AT619" s="1236"/>
      <c r="AU619" s="1188"/>
      <c r="AV619" s="1250">
        <f>I619*0.06</f>
        <v>118.08</v>
      </c>
      <c r="AW619" s="1250">
        <f>I619*2</f>
        <v>3936</v>
      </c>
      <c r="AX619" s="1188"/>
      <c r="AY619" s="1188"/>
      <c r="AZ619" s="1188"/>
      <c r="BA619" s="1188"/>
      <c r="BB619" s="1188"/>
      <c r="BC619" s="1188"/>
      <c r="BD619" s="1188"/>
      <c r="BE619" s="1188"/>
      <c r="BF619" s="1188"/>
      <c r="BG619" s="1188"/>
      <c r="BH619" s="1188"/>
      <c r="BI619" s="1188"/>
      <c r="BJ619" s="1188"/>
      <c r="BK619" s="1188"/>
      <c r="BL619" s="1188"/>
      <c r="BM619" s="1188"/>
      <c r="BN619" s="1188"/>
      <c r="BO619" s="1240"/>
      <c r="BP619" s="1240"/>
      <c r="BQ619" s="1188"/>
      <c r="BR619" s="1236"/>
      <c r="BS619" s="1236"/>
      <c r="BT619" s="1188"/>
      <c r="BU619" s="1188"/>
      <c r="BV619" s="1240"/>
      <c r="BW619" s="1188"/>
      <c r="BX619" s="1188"/>
      <c r="BY619" s="1188"/>
      <c r="BZ619" s="1188"/>
      <c r="CA619" s="1188"/>
      <c r="CB619" s="1188"/>
      <c r="CC619" s="1188"/>
      <c r="CD619" s="1188">
        <f t="shared" si="207"/>
        <v>0</v>
      </c>
      <c r="CE619" s="1188">
        <f t="shared" si="220"/>
        <v>0</v>
      </c>
      <c r="CF619" s="1188">
        <f t="shared" si="208"/>
        <v>0</v>
      </c>
      <c r="CG619" s="1188">
        <f t="shared" si="209"/>
        <v>0</v>
      </c>
      <c r="CH619" s="1236"/>
      <c r="CI619" s="1236"/>
      <c r="CJ619" s="1236">
        <f>I619</f>
        <v>1968</v>
      </c>
      <c r="CK619" s="1188">
        <f>I619</f>
        <v>1968</v>
      </c>
      <c r="CL619" s="1188">
        <f>I619</f>
        <v>1968</v>
      </c>
    </row>
    <row r="620" s="1174" customFormat="1" customHeight="1" spans="1:111">
      <c r="A620" s="1396">
        <v>46185</v>
      </c>
      <c r="B620" s="1494" t="s">
        <v>743</v>
      </c>
      <c r="C620" s="1495" t="s">
        <v>164</v>
      </c>
      <c r="D620" s="1496">
        <v>4500211821</v>
      </c>
      <c r="E620" s="1497" t="s">
        <v>2674</v>
      </c>
      <c r="F620" s="1498" t="s">
        <v>2675</v>
      </c>
      <c r="G620" s="1499" t="s">
        <v>753</v>
      </c>
      <c r="H620" s="498" t="s">
        <v>390</v>
      </c>
      <c r="I620" s="1500">
        <v>1656</v>
      </c>
      <c r="J620" s="1501">
        <v>0</v>
      </c>
      <c r="K620" s="1501">
        <v>12</v>
      </c>
      <c r="L620" s="1400">
        <f t="shared" si="210"/>
        <v>138</v>
      </c>
      <c r="M620" s="1458">
        <v>46238</v>
      </c>
      <c r="N620" s="1458">
        <v>46238</v>
      </c>
      <c r="O620" s="495"/>
      <c r="P620" s="500"/>
      <c r="Q620" s="500"/>
      <c r="R620" s="498"/>
      <c r="S620" s="498"/>
      <c r="T620" s="500">
        <v>1656</v>
      </c>
      <c r="U620" s="500">
        <f t="shared" si="219"/>
        <v>0</v>
      </c>
      <c r="V620" s="498"/>
      <c r="W620" s="1404" t="s">
        <v>2502</v>
      </c>
      <c r="X620" s="1405" t="s">
        <v>95</v>
      </c>
      <c r="Y620" s="1405" t="s">
        <v>2564</v>
      </c>
      <c r="Z620" s="1397" t="s">
        <v>140</v>
      </c>
      <c r="AA620" s="1397"/>
      <c r="AB620" s="1397"/>
      <c r="AC620" s="1453" t="s">
        <v>2673</v>
      </c>
      <c r="AD620" s="1502" t="s">
        <v>2610</v>
      </c>
      <c r="AE620" s="1503">
        <v>2.4837</v>
      </c>
      <c r="AF620" s="497">
        <f t="shared" si="221"/>
        <v>4113.0072</v>
      </c>
      <c r="AG620" s="1406"/>
      <c r="AH620" s="498" t="s">
        <v>753</v>
      </c>
      <c r="AI620" s="498" t="s">
        <v>112</v>
      </c>
      <c r="AJ620" s="498" t="s">
        <v>113</v>
      </c>
      <c r="AK620" s="496">
        <f>I620*2</f>
        <v>3312</v>
      </c>
      <c r="AL620" s="496"/>
      <c r="AM620" s="496"/>
      <c r="AN620" s="496"/>
      <c r="AO620" s="496"/>
      <c r="AP620" s="496"/>
      <c r="AQ620" s="1407"/>
      <c r="AR620" s="496">
        <f>I620*2</f>
        <v>3312</v>
      </c>
      <c r="AS620" s="1408"/>
      <c r="AT620" s="1408"/>
      <c r="AU620" s="496"/>
      <c r="AV620" s="1409">
        <f>I620*0.06</f>
        <v>99.36</v>
      </c>
      <c r="AW620" s="1409">
        <f>I620*2</f>
        <v>3312</v>
      </c>
      <c r="AX620" s="496"/>
      <c r="AY620" s="496"/>
      <c r="AZ620" s="496"/>
      <c r="BA620" s="496"/>
      <c r="BB620" s="496"/>
      <c r="BC620" s="496"/>
      <c r="BD620" s="496"/>
      <c r="BE620" s="496"/>
      <c r="BF620" s="496"/>
      <c r="BG620" s="496"/>
      <c r="BH620" s="496"/>
      <c r="BI620" s="496"/>
      <c r="BJ620" s="496"/>
      <c r="BK620" s="496"/>
      <c r="BL620" s="496"/>
      <c r="BM620" s="496"/>
      <c r="BN620" s="496"/>
      <c r="BO620" s="1407"/>
      <c r="BP620" s="1407"/>
      <c r="BQ620" s="496"/>
      <c r="BR620" s="1408"/>
      <c r="BS620" s="1408"/>
      <c r="BT620" s="496"/>
      <c r="BU620" s="496"/>
      <c r="BV620" s="1407"/>
      <c r="BW620" s="496"/>
      <c r="BX620" s="496"/>
      <c r="BY620" s="496"/>
      <c r="BZ620" s="496"/>
      <c r="CA620" s="496"/>
      <c r="CB620" s="496"/>
      <c r="CC620" s="496"/>
      <c r="CD620" s="496">
        <f t="shared" si="207"/>
        <v>0</v>
      </c>
      <c r="CE620" s="496">
        <f t="shared" si="220"/>
        <v>0</v>
      </c>
      <c r="CF620" s="496">
        <f t="shared" si="208"/>
        <v>0</v>
      </c>
      <c r="CG620" s="496">
        <f t="shared" si="209"/>
        <v>0</v>
      </c>
      <c r="CH620" s="1408"/>
      <c r="CI620" s="1408"/>
      <c r="CJ620" s="1408">
        <f>I620</f>
        <v>1656</v>
      </c>
      <c r="CK620" s="496">
        <f>I620</f>
        <v>1656</v>
      </c>
      <c r="CL620" s="496">
        <f>I620</f>
        <v>1656</v>
      </c>
      <c r="CM620" s="1170"/>
      <c r="CN620" s="1170"/>
      <c r="CO620" s="1170"/>
      <c r="CP620" s="1170"/>
      <c r="CQ620" s="1170"/>
      <c r="CR620" s="1170"/>
      <c r="CS620" s="1170"/>
      <c r="CT620" s="1170"/>
      <c r="CU620" s="1170"/>
      <c r="CV620" s="1170"/>
      <c r="CW620" s="1170"/>
      <c r="CX620" s="1170"/>
      <c r="CY620" s="1170"/>
      <c r="CZ620" s="1170"/>
      <c r="DA620" s="1170"/>
      <c r="DB620" s="1170"/>
      <c r="DC620" s="1170"/>
      <c r="DD620" s="1170"/>
      <c r="DE620" s="1170"/>
      <c r="DF620" s="1170"/>
      <c r="DG620" s="1170"/>
    </row>
    <row r="621" s="1170" customFormat="1" customHeight="1" spans="1:111">
      <c r="A621" s="1504">
        <v>46109</v>
      </c>
      <c r="B621" s="1447" t="s">
        <v>2676</v>
      </c>
      <c r="C621" s="1448" t="s">
        <v>201</v>
      </c>
      <c r="D621" s="1450">
        <v>4500199133</v>
      </c>
      <c r="E621" s="1505" t="s">
        <v>2677</v>
      </c>
      <c r="F621" s="1450" t="s">
        <v>2678</v>
      </c>
      <c r="G621" s="1451" t="s">
        <v>146</v>
      </c>
      <c r="H621" s="498" t="s">
        <v>104</v>
      </c>
      <c r="I621" s="1452">
        <v>2500</v>
      </c>
      <c r="J621" s="1448">
        <v>0</v>
      </c>
      <c r="K621" s="1448">
        <v>25</v>
      </c>
      <c r="L621" s="1506">
        <f t="shared" si="210"/>
        <v>100</v>
      </c>
      <c r="M621" s="1458">
        <v>46239</v>
      </c>
      <c r="N621" s="1458">
        <v>46237</v>
      </c>
      <c r="O621" s="495"/>
      <c r="P621" s="1507"/>
      <c r="Q621" s="1507"/>
      <c r="R621" s="1448" t="s">
        <v>2603</v>
      </c>
      <c r="S621" s="1448" t="s">
        <v>943</v>
      </c>
      <c r="T621" s="1507">
        <v>2500</v>
      </c>
      <c r="U621" s="500">
        <f t="shared" si="219"/>
        <v>0</v>
      </c>
      <c r="V621" s="1448"/>
      <c r="W621" s="1431" t="s">
        <v>987</v>
      </c>
      <c r="X621" s="1432" t="s">
        <v>95</v>
      </c>
      <c r="Y621" s="1432" t="s">
        <v>709</v>
      </c>
      <c r="Z621" s="1450"/>
      <c r="AA621" s="1450"/>
      <c r="AB621" s="1447"/>
      <c r="AC621" s="1447" t="s">
        <v>2679</v>
      </c>
      <c r="AD621" s="1444" t="s">
        <v>1858</v>
      </c>
      <c r="AE621" s="1450">
        <v>1.27</v>
      </c>
      <c r="AF621" s="1508">
        <f t="shared" si="221"/>
        <v>3175</v>
      </c>
      <c r="AG621" s="1509"/>
      <c r="AH621" s="1448" t="s">
        <v>111</v>
      </c>
      <c r="AI621" s="1448" t="s">
        <v>112</v>
      </c>
      <c r="AJ621" s="498" t="s">
        <v>113</v>
      </c>
      <c r="AK621" s="1450">
        <f>I621</f>
        <v>2500</v>
      </c>
      <c r="AL621" s="1450"/>
      <c r="AM621" s="1450"/>
      <c r="AN621" s="1450"/>
      <c r="AO621" s="1450"/>
      <c r="AP621" s="1450">
        <f>I621</f>
        <v>2500</v>
      </c>
      <c r="AQ621" s="1510"/>
      <c r="AR621" s="1450"/>
      <c r="AS621" s="1511"/>
      <c r="AT621" s="1511"/>
      <c r="AU621" s="1450">
        <f>I621</f>
        <v>2500</v>
      </c>
      <c r="AV621" s="1512">
        <f>I621*0.06</f>
        <v>150</v>
      </c>
      <c r="AW621" s="1512"/>
      <c r="AX621" s="1450"/>
      <c r="AY621" s="1450"/>
      <c r="AZ621" s="1450"/>
      <c r="BA621" s="1450"/>
      <c r="BB621" s="1450"/>
      <c r="BC621" s="1450"/>
      <c r="BD621" s="1450"/>
      <c r="BE621" s="1450"/>
      <c r="BF621" s="1450"/>
      <c r="BG621" s="1450"/>
      <c r="BH621" s="1450"/>
      <c r="BI621" s="1450"/>
      <c r="BJ621" s="1450"/>
      <c r="BK621" s="1450"/>
      <c r="BL621" s="1450"/>
      <c r="BM621" s="1450"/>
      <c r="BN621" s="1450"/>
      <c r="BO621" s="1510">
        <f>I621/25</f>
        <v>100</v>
      </c>
      <c r="BP621" s="1510"/>
      <c r="BQ621" s="1450"/>
      <c r="BR621" s="1511"/>
      <c r="BS621" s="1511"/>
      <c r="BT621" s="1450"/>
      <c r="BU621" s="1450"/>
      <c r="BV621" s="1510"/>
      <c r="BW621" s="1450"/>
      <c r="BX621" s="1450"/>
      <c r="BY621" s="1450"/>
      <c r="BZ621" s="1450"/>
      <c r="CA621" s="1450"/>
      <c r="CB621" s="1450"/>
      <c r="CC621" s="1450"/>
      <c r="CD621" s="1450">
        <f t="shared" si="207"/>
        <v>100</v>
      </c>
      <c r="CE621" s="1450">
        <f t="shared" si="220"/>
        <v>0</v>
      </c>
      <c r="CF621" s="1450">
        <f t="shared" si="208"/>
        <v>0</v>
      </c>
      <c r="CG621" s="1450">
        <f t="shared" si="209"/>
        <v>0</v>
      </c>
      <c r="CH621" s="1511"/>
      <c r="CI621" s="1511"/>
      <c r="CJ621" s="1511"/>
      <c r="CK621" s="1450"/>
      <c r="CL621" s="1450"/>
    </row>
    <row r="622" s="1171" customFormat="1" customHeight="1" spans="1:111">
      <c r="A622" s="1340">
        <v>46169</v>
      </c>
      <c r="B622" s="1341" t="s">
        <v>2680</v>
      </c>
      <c r="C622" s="1342" t="s">
        <v>2638</v>
      </c>
      <c r="D622" s="1343">
        <v>4500209374</v>
      </c>
      <c r="E622" s="1342" t="s">
        <v>628</v>
      </c>
      <c r="F622" s="1172" t="s">
        <v>2681</v>
      </c>
      <c r="G622" s="1359" t="s">
        <v>482</v>
      </c>
      <c r="H622" s="1342" t="s">
        <v>483</v>
      </c>
      <c r="I622" s="1382">
        <v>4320</v>
      </c>
      <c r="J622" s="1342">
        <v>0</v>
      </c>
      <c r="K622" s="1342">
        <v>120</v>
      </c>
      <c r="L622" s="1345">
        <f t="shared" si="210"/>
        <v>36</v>
      </c>
      <c r="M622" s="1286">
        <v>46239</v>
      </c>
      <c r="N622" s="1361">
        <v>46237</v>
      </c>
      <c r="O622" s="1286" t="s">
        <v>2682</v>
      </c>
      <c r="P622" s="1357"/>
      <c r="Q622" s="1233" t="s">
        <v>1410</v>
      </c>
      <c r="R622" s="1342"/>
      <c r="S622" s="1342"/>
      <c r="T622" s="1357">
        <v>4320</v>
      </c>
      <c r="U622" s="1233">
        <f t="shared" si="219"/>
        <v>0</v>
      </c>
      <c r="V622" s="1342"/>
      <c r="W622" s="1238" t="s">
        <v>2683</v>
      </c>
      <c r="X622" s="1257" t="s">
        <v>95</v>
      </c>
      <c r="Y622" s="1257" t="s">
        <v>95</v>
      </c>
      <c r="Z622" s="1247"/>
      <c r="AA622" s="1247"/>
      <c r="AB622" s="1247"/>
      <c r="AC622" s="1513" t="s">
        <v>2684</v>
      </c>
      <c r="AD622" s="1286" t="s">
        <v>2685</v>
      </c>
      <c r="AE622" s="1514">
        <v>1058.7359</v>
      </c>
      <c r="AF622" s="1360">
        <f>L622*AE622</f>
        <v>38114.4924</v>
      </c>
      <c r="AG622" s="1258"/>
      <c r="AH622" s="1234" t="s">
        <v>490</v>
      </c>
      <c r="AI622" s="1234" t="s">
        <v>112</v>
      </c>
      <c r="AJ622" s="1234" t="s">
        <v>113</v>
      </c>
      <c r="AK622" s="1188"/>
      <c r="AL622" s="1172">
        <f>I622*3</f>
        <v>12960</v>
      </c>
      <c r="AM622" s="1172"/>
      <c r="AN622" s="1172"/>
      <c r="AO622" s="1188"/>
      <c r="AP622" s="1188"/>
      <c r="AQ622" s="1172"/>
      <c r="AR622" s="1172"/>
      <c r="AS622" s="1172"/>
      <c r="AT622" s="1172"/>
      <c r="AU622" s="1172"/>
      <c r="AV622" s="1250"/>
      <c r="AW622" s="1250"/>
      <c r="AX622" s="1172"/>
      <c r="AY622" s="1172"/>
      <c r="AZ622" s="1172"/>
      <c r="BA622" s="1172"/>
      <c r="BB622" s="1172">
        <f>I622*3</f>
        <v>12960</v>
      </c>
      <c r="BC622" s="1172">
        <f>I622*3</f>
        <v>12960</v>
      </c>
      <c r="BD622" s="1172">
        <f>I622*3</f>
        <v>12960</v>
      </c>
      <c r="BE622" s="1172">
        <f>I622</f>
        <v>4320</v>
      </c>
      <c r="BF622" s="1172">
        <f>I622/6</f>
        <v>720</v>
      </c>
      <c r="BG622" s="1188"/>
      <c r="BH622" s="1188"/>
      <c r="BI622" s="1172"/>
      <c r="BJ622" s="1172"/>
      <c r="BK622" s="1172"/>
      <c r="BL622" s="1188"/>
      <c r="BM622" s="1188"/>
      <c r="BN622" s="1172"/>
      <c r="BO622" s="1240"/>
      <c r="BP622" s="1172"/>
      <c r="BQ622" s="1172"/>
      <c r="BR622" s="1172"/>
      <c r="BS622" s="1172"/>
      <c r="BT622" s="1172"/>
      <c r="BU622" s="1172"/>
      <c r="BV622" s="1172"/>
      <c r="BW622" s="1172"/>
      <c r="BX622" s="1172"/>
      <c r="BY622" s="1172"/>
      <c r="BZ622" s="1172"/>
      <c r="CA622" s="1172"/>
      <c r="CB622" s="1172"/>
      <c r="CC622" s="1172"/>
      <c r="CD622" s="1188">
        <f t="shared" si="207"/>
        <v>0</v>
      </c>
      <c r="CE622" s="1188">
        <f t="shared" si="220"/>
        <v>0</v>
      </c>
      <c r="CF622" s="1188">
        <f t="shared" si="208"/>
        <v>0</v>
      </c>
      <c r="CG622" s="1188">
        <f t="shared" si="209"/>
        <v>0</v>
      </c>
      <c r="CH622" s="1188"/>
      <c r="CI622" s="1188"/>
      <c r="CJ622" s="1172"/>
      <c r="CK622" s="1172"/>
      <c r="CL622" s="1172"/>
      <c r="CM622" s="1168"/>
      <c r="CN622" s="1168"/>
      <c r="CO622" s="1168"/>
      <c r="CP622" s="1168"/>
      <c r="CQ622" s="1168"/>
      <c r="CR622" s="1168"/>
      <c r="CS622" s="1168"/>
      <c r="CT622" s="1168"/>
      <c r="CU622" s="1168"/>
      <c r="CV622" s="1168"/>
      <c r="CW622" s="1168"/>
      <c r="CX622" s="1168"/>
      <c r="CY622" s="1168"/>
      <c r="CZ622" s="1168"/>
      <c r="DA622" s="1168"/>
      <c r="DB622" s="1168"/>
      <c r="DC622" s="1168"/>
      <c r="DD622" s="1168"/>
      <c r="DE622" s="1168"/>
      <c r="DF622" s="1168"/>
      <c r="DG622" s="1168"/>
    </row>
    <row r="623" s="1172" customFormat="1" customHeight="1" spans="1:111">
      <c r="A623" s="1245">
        <v>46216</v>
      </c>
      <c r="B623" s="1220" t="s">
        <v>2680</v>
      </c>
      <c r="C623" s="1221" t="s">
        <v>2638</v>
      </c>
      <c r="D623" s="1222">
        <v>4500209374</v>
      </c>
      <c r="E623" s="1221"/>
      <c r="F623" s="1222" t="s">
        <v>2686</v>
      </c>
      <c r="G623" s="1223" t="s">
        <v>482</v>
      </c>
      <c r="H623" s="1234" t="s">
        <v>483</v>
      </c>
      <c r="I623" s="1252">
        <v>4320</v>
      </c>
      <c r="J623" s="1221">
        <v>0</v>
      </c>
      <c r="K623" s="1221">
        <v>120</v>
      </c>
      <c r="L623" s="1246">
        <f t="shared" si="210"/>
        <v>36</v>
      </c>
      <c r="M623" s="1225">
        <v>46239</v>
      </c>
      <c r="N623" s="1338">
        <v>46237</v>
      </c>
      <c r="O623" s="1255" t="s">
        <v>2682</v>
      </c>
      <c r="P623" s="1233"/>
      <c r="Q623" s="1233" t="s">
        <v>1410</v>
      </c>
      <c r="R623" s="1234"/>
      <c r="S623" s="1234"/>
      <c r="T623" s="1233">
        <v>4320</v>
      </c>
      <c r="U623" s="1233">
        <f t="shared" si="219"/>
        <v>0</v>
      </c>
      <c r="V623" s="1234"/>
      <c r="W623" s="1256" t="s">
        <v>2683</v>
      </c>
      <c r="X623" s="1257" t="s">
        <v>95</v>
      </c>
      <c r="Y623" s="1257" t="s">
        <v>95</v>
      </c>
      <c r="Z623" s="1247"/>
      <c r="AA623" s="1247"/>
      <c r="AB623" s="1247"/>
      <c r="AC623" s="1515" t="s">
        <v>2684</v>
      </c>
      <c r="AD623" s="1225" t="s">
        <v>2685</v>
      </c>
      <c r="AE623" s="1188">
        <v>1058.7359</v>
      </c>
      <c r="AF623" s="1248">
        <f>L623*AE623</f>
        <v>38114.4924</v>
      </c>
      <c r="AG623" s="1258"/>
      <c r="AH623" s="1234" t="s">
        <v>490</v>
      </c>
      <c r="AI623" s="1234" t="s">
        <v>112</v>
      </c>
      <c r="AJ623" s="1234" t="s">
        <v>113</v>
      </c>
      <c r="AK623" s="1188"/>
      <c r="AL623" s="1188">
        <f>I623*3</f>
        <v>12960</v>
      </c>
      <c r="AM623" s="1188"/>
      <c r="AN623" s="1188"/>
      <c r="AO623" s="1188"/>
      <c r="AP623" s="1188"/>
      <c r="AQ623" s="1240"/>
      <c r="AR623" s="1188"/>
      <c r="AS623" s="1236"/>
      <c r="AT623" s="1236"/>
      <c r="AU623" s="1188"/>
      <c r="AV623" s="1250"/>
      <c r="AW623" s="1250"/>
      <c r="AX623" s="1188"/>
      <c r="AY623" s="1188"/>
      <c r="AZ623" s="1188"/>
      <c r="BA623" s="1188"/>
      <c r="BB623" s="1188">
        <f>I623*3</f>
        <v>12960</v>
      </c>
      <c r="BC623" s="1188">
        <f>I623*3</f>
        <v>12960</v>
      </c>
      <c r="BD623" s="1188">
        <f>I623*3</f>
        <v>12960</v>
      </c>
      <c r="BE623" s="1188">
        <f>I623</f>
        <v>4320</v>
      </c>
      <c r="BF623" s="1188">
        <f>I623/6</f>
        <v>720</v>
      </c>
      <c r="BG623" s="1188"/>
      <c r="BH623" s="1188"/>
      <c r="BI623" s="1188"/>
      <c r="BJ623" s="1188"/>
      <c r="BK623" s="1188"/>
      <c r="BL623" s="1188"/>
      <c r="BM623" s="1188"/>
      <c r="BN623" s="1188"/>
      <c r="BO623" s="1240"/>
      <c r="BP623" s="1240"/>
      <c r="BQ623" s="1188"/>
      <c r="BR623" s="1236"/>
      <c r="BS623" s="1236"/>
      <c r="BT623" s="1188"/>
      <c r="BU623" s="1188"/>
      <c r="BV623" s="1240"/>
      <c r="BW623" s="1188"/>
      <c r="BX623" s="1188"/>
      <c r="BY623" s="1188"/>
      <c r="BZ623" s="1188"/>
      <c r="CA623" s="1188"/>
      <c r="CB623" s="1188"/>
      <c r="CC623" s="1188"/>
      <c r="CD623" s="1188">
        <f t="shared" si="207"/>
        <v>0</v>
      </c>
      <c r="CE623" s="1188">
        <f t="shared" si="220"/>
        <v>0</v>
      </c>
      <c r="CF623" s="1188">
        <f t="shared" si="208"/>
        <v>0</v>
      </c>
      <c r="CG623" s="1188">
        <f t="shared" si="209"/>
        <v>0</v>
      </c>
      <c r="CH623" s="1236"/>
      <c r="CI623" s="1236"/>
      <c r="CJ623" s="1236"/>
      <c r="CK623" s="1188"/>
      <c r="CL623" s="1188"/>
      <c r="CM623" s="1375"/>
      <c r="CN623" s="1375"/>
      <c r="CO623" s="1375"/>
      <c r="CP623" s="1375"/>
      <c r="CQ623" s="1375"/>
      <c r="CR623" s="1375"/>
      <c r="CS623" s="1375"/>
      <c r="CT623" s="1375"/>
      <c r="CU623" s="1375"/>
      <c r="CV623" s="1375"/>
      <c r="CW623" s="1375"/>
      <c r="CX623" s="1375"/>
      <c r="CY623" s="1375"/>
      <c r="CZ623" s="1375"/>
      <c r="DA623" s="1375"/>
      <c r="DB623" s="1375"/>
      <c r="DC623" s="1375"/>
      <c r="DD623" s="1375"/>
      <c r="DE623" s="1375"/>
      <c r="DF623" s="1375"/>
      <c r="DG623" s="1375"/>
    </row>
    <row r="624" s="1172" customFormat="1" customHeight="1" spans="1:111">
      <c r="A624" s="1245">
        <v>46167</v>
      </c>
      <c r="B624" s="1247" t="s">
        <v>2687</v>
      </c>
      <c r="C624" s="1234" t="s">
        <v>201</v>
      </c>
      <c r="D624" s="1268">
        <v>4500208841</v>
      </c>
      <c r="E624" s="1233">
        <v>40060754</v>
      </c>
      <c r="F624" s="1188" t="s">
        <v>2688</v>
      </c>
      <c r="G624" s="1253" t="s">
        <v>389</v>
      </c>
      <c r="H624" s="1234" t="s">
        <v>390</v>
      </c>
      <c r="I624" s="1254">
        <v>1200</v>
      </c>
      <c r="J624" s="1234">
        <v>0</v>
      </c>
      <c r="K624" s="1234">
        <v>12</v>
      </c>
      <c r="L624" s="1246">
        <f t="shared" si="210"/>
        <v>100</v>
      </c>
      <c r="M624" s="1320">
        <v>46239</v>
      </c>
      <c r="N624" s="1320">
        <v>46237</v>
      </c>
      <c r="O624" s="1255"/>
      <c r="P624" s="1233"/>
      <c r="Q624" s="1233" t="s">
        <v>1410</v>
      </c>
      <c r="R624" s="1234" t="s">
        <v>2431</v>
      </c>
      <c r="S624" s="1234"/>
      <c r="T624" s="1233">
        <v>1200</v>
      </c>
      <c r="U624" s="1233">
        <f t="shared" si="219"/>
        <v>0</v>
      </c>
      <c r="V624" s="1234"/>
      <c r="W624" s="1256">
        <v>46181</v>
      </c>
      <c r="X624" s="1257" t="s">
        <v>95</v>
      </c>
      <c r="Y624" s="1257" t="s">
        <v>2689</v>
      </c>
      <c r="Z624" s="1247" t="s">
        <v>2690</v>
      </c>
      <c r="AA624" s="1247"/>
      <c r="AB624" s="1247"/>
      <c r="AC624" s="1247" t="s">
        <v>2691</v>
      </c>
      <c r="AD624" s="1255" t="s">
        <v>2692</v>
      </c>
      <c r="AE624" s="1188">
        <v>2.5332</v>
      </c>
      <c r="AF624" s="1248">
        <f>I624*AE624</f>
        <v>3039.84</v>
      </c>
      <c r="AG624" s="1258"/>
      <c r="AH624" s="1516" t="s">
        <v>2208</v>
      </c>
      <c r="AI624" s="1234" t="s">
        <v>112</v>
      </c>
      <c r="AJ624" s="1234"/>
      <c r="AK624" s="1188">
        <f>I624*2</f>
        <v>2400</v>
      </c>
      <c r="AL624" s="1188"/>
      <c r="AM624" s="1188"/>
      <c r="AN624" s="1188"/>
      <c r="AO624" s="1188"/>
      <c r="AP624" s="1188">
        <f>I624*2</f>
        <v>2400</v>
      </c>
      <c r="AQ624" s="1240"/>
      <c r="AR624" s="1188"/>
      <c r="AS624" s="1236"/>
      <c r="AT624" s="1236"/>
      <c r="AU624" s="1188">
        <f>I624*2</f>
        <v>2400</v>
      </c>
      <c r="AV624" s="1250">
        <f t="shared" ref="AV624:AV629" si="222">I624*0.06*2</f>
        <v>144</v>
      </c>
      <c r="AW624" s="1250"/>
      <c r="AX624" s="1188"/>
      <c r="AY624" s="1188"/>
      <c r="AZ624" s="1188"/>
      <c r="BA624" s="1188"/>
      <c r="BB624" s="1188"/>
      <c r="BC624" s="1188"/>
      <c r="BD624" s="1188"/>
      <c r="BE624" s="1188"/>
      <c r="BF624" s="1188"/>
      <c r="BG624" s="1188"/>
      <c r="BH624" s="1188"/>
      <c r="BI624" s="1188"/>
      <c r="BJ624" s="1188"/>
      <c r="BK624" s="1188"/>
      <c r="BL624" s="1188"/>
      <c r="BM624" s="1188"/>
      <c r="BN624" s="1188"/>
      <c r="BO624" s="1240"/>
      <c r="BP624" s="1240"/>
      <c r="BQ624" s="1188"/>
      <c r="BR624" s="1236"/>
      <c r="BS624" s="1236"/>
      <c r="BT624" s="1188"/>
      <c r="BU624" s="1188"/>
      <c r="BV624" s="1240"/>
      <c r="BW624" s="1188"/>
      <c r="BX624" s="1188"/>
      <c r="BY624" s="1188"/>
      <c r="BZ624" s="1188"/>
      <c r="CA624" s="1188"/>
      <c r="CB624" s="1188"/>
      <c r="CC624" s="1188"/>
      <c r="CD624" s="1188">
        <f t="shared" si="207"/>
        <v>0</v>
      </c>
      <c r="CE624" s="1188">
        <f t="shared" si="220"/>
        <v>0</v>
      </c>
      <c r="CF624" s="1188">
        <f t="shared" si="208"/>
        <v>0</v>
      </c>
      <c r="CG624" s="1188">
        <f t="shared" si="209"/>
        <v>0</v>
      </c>
      <c r="CH624" s="1236"/>
      <c r="CI624" s="1236"/>
      <c r="CJ624" s="1236">
        <f>I624</f>
        <v>1200</v>
      </c>
      <c r="CK624" s="1188">
        <f>I624</f>
        <v>1200</v>
      </c>
      <c r="CL624" s="1188">
        <f>I624</f>
        <v>1200</v>
      </c>
      <c r="CM624" s="1260"/>
      <c r="CN624" s="1260"/>
      <c r="CO624" s="1260"/>
      <c r="CP624" s="1260"/>
      <c r="CQ624" s="1260"/>
      <c r="CR624" s="1260"/>
      <c r="CS624" s="1260"/>
      <c r="CT624" s="1260"/>
      <c r="CU624" s="1260"/>
      <c r="CV624" s="1260"/>
      <c r="CW624" s="1260"/>
      <c r="CX624" s="1260"/>
      <c r="CY624" s="1260"/>
      <c r="CZ624" s="1260"/>
      <c r="DA624" s="1260"/>
      <c r="DB624" s="1260"/>
      <c r="DC624" s="1260"/>
      <c r="DD624" s="1260"/>
      <c r="DE624" s="1260"/>
      <c r="DF624" s="1260"/>
      <c r="DG624" s="1260"/>
    </row>
    <row r="625" s="1168" customFormat="1" customHeight="1" spans="1:111">
      <c r="A625" s="1245">
        <v>46167</v>
      </c>
      <c r="B625" s="1247" t="s">
        <v>2687</v>
      </c>
      <c r="C625" s="1234" t="s">
        <v>201</v>
      </c>
      <c r="D625" s="1268">
        <v>4500208841</v>
      </c>
      <c r="E625" s="1233">
        <v>40061945</v>
      </c>
      <c r="F625" s="1188" t="s">
        <v>2693</v>
      </c>
      <c r="G625" s="1253" t="s">
        <v>389</v>
      </c>
      <c r="H625" s="1234" t="s">
        <v>390</v>
      </c>
      <c r="I625" s="1254">
        <v>300</v>
      </c>
      <c r="J625" s="1234">
        <v>0</v>
      </c>
      <c r="K625" s="1234">
        <v>12</v>
      </c>
      <c r="L625" s="1246">
        <f t="shared" si="210"/>
        <v>25</v>
      </c>
      <c r="M625" s="1320">
        <v>46239</v>
      </c>
      <c r="N625" s="1320">
        <v>46237</v>
      </c>
      <c r="O625" s="1255"/>
      <c r="P625" s="1233"/>
      <c r="Q625" s="1233" t="s">
        <v>1410</v>
      </c>
      <c r="R625" s="1234" t="s">
        <v>2431</v>
      </c>
      <c r="S625" s="1234"/>
      <c r="T625" s="1233">
        <v>300</v>
      </c>
      <c r="U625" s="1233">
        <f t="shared" si="219"/>
        <v>0</v>
      </c>
      <c r="V625" s="1234"/>
      <c r="W625" s="1238">
        <v>46181</v>
      </c>
      <c r="X625" s="1257" t="s">
        <v>95</v>
      </c>
      <c r="Y625" s="1257" t="s">
        <v>2689</v>
      </c>
      <c r="Z625" s="1247"/>
      <c r="AA625" s="1247"/>
      <c r="AB625" s="1247"/>
      <c r="AC625" s="1247" t="s">
        <v>2694</v>
      </c>
      <c r="AD625" s="1255" t="s">
        <v>2692</v>
      </c>
      <c r="AE625" s="1188">
        <v>2.5332</v>
      </c>
      <c r="AF625" s="1248">
        <f>I625*AE625</f>
        <v>759.96</v>
      </c>
      <c r="AG625" s="1258"/>
      <c r="AH625" s="1516" t="s">
        <v>2208</v>
      </c>
      <c r="AI625" s="1234" t="s">
        <v>112</v>
      </c>
      <c r="AJ625" s="1234"/>
      <c r="AK625" s="1188">
        <f>I625*2</f>
        <v>600</v>
      </c>
      <c r="AL625" s="1188"/>
      <c r="AM625" s="1188"/>
      <c r="AN625" s="1188"/>
      <c r="AO625" s="1188"/>
      <c r="AP625" s="1188">
        <f>I625*2</f>
        <v>600</v>
      </c>
      <c r="AQ625" s="1240"/>
      <c r="AR625" s="1188"/>
      <c r="AS625" s="1236"/>
      <c r="AT625" s="1236"/>
      <c r="AU625" s="1188">
        <f>I625*2</f>
        <v>600</v>
      </c>
      <c r="AV625" s="1250">
        <f t="shared" si="222"/>
        <v>36</v>
      </c>
      <c r="AW625" s="1250"/>
      <c r="AX625" s="1188"/>
      <c r="AY625" s="1188"/>
      <c r="AZ625" s="1188"/>
      <c r="BA625" s="1188"/>
      <c r="BB625" s="1188"/>
      <c r="BC625" s="1188"/>
      <c r="BD625" s="1188"/>
      <c r="BE625" s="1188"/>
      <c r="BF625" s="1188"/>
      <c r="BG625" s="1188"/>
      <c r="BH625" s="1188"/>
      <c r="BI625" s="1188"/>
      <c r="BJ625" s="1188"/>
      <c r="BK625" s="1188"/>
      <c r="BL625" s="1188"/>
      <c r="BM625" s="1188"/>
      <c r="BN625" s="1188"/>
      <c r="BO625" s="1240"/>
      <c r="BP625" s="1240"/>
      <c r="BQ625" s="1188"/>
      <c r="BR625" s="1236"/>
      <c r="BS625" s="1236"/>
      <c r="BT625" s="1188"/>
      <c r="BU625" s="1188"/>
      <c r="BV625" s="1240"/>
      <c r="BW625" s="1188"/>
      <c r="BX625" s="1188"/>
      <c r="BY625" s="1188"/>
      <c r="BZ625" s="1188"/>
      <c r="CA625" s="1188"/>
      <c r="CB625" s="1188"/>
      <c r="CC625" s="1188"/>
      <c r="CD625" s="1188">
        <f t="shared" si="207"/>
        <v>0</v>
      </c>
      <c r="CE625" s="1188">
        <f t="shared" si="220"/>
        <v>0</v>
      </c>
      <c r="CF625" s="1188">
        <f t="shared" si="208"/>
        <v>0</v>
      </c>
      <c r="CG625" s="1188">
        <f t="shared" si="209"/>
        <v>0</v>
      </c>
      <c r="CH625" s="1236"/>
      <c r="CI625" s="1236"/>
      <c r="CJ625" s="1236">
        <f>I625</f>
        <v>300</v>
      </c>
      <c r="CK625" s="1188">
        <f>I625</f>
        <v>300</v>
      </c>
      <c r="CL625" s="1188">
        <f>I625</f>
        <v>300</v>
      </c>
      <c r="CM625" s="1517"/>
      <c r="CN625" s="1517"/>
      <c r="CO625" s="1517"/>
      <c r="CP625" s="1517"/>
      <c r="CQ625" s="1517"/>
      <c r="CR625" s="1517"/>
      <c r="CS625" s="1517"/>
      <c r="CT625" s="1517"/>
      <c r="CU625" s="1517"/>
      <c r="CV625" s="1517"/>
      <c r="CW625" s="1517"/>
      <c r="CX625" s="1517"/>
      <c r="CY625" s="1517"/>
      <c r="CZ625" s="1517"/>
      <c r="DA625" s="1517"/>
      <c r="DB625" s="1517"/>
      <c r="DC625" s="1517"/>
      <c r="DD625" s="1517"/>
      <c r="DE625" s="1517"/>
      <c r="DF625" s="1517"/>
      <c r="DG625" s="1517"/>
    </row>
    <row r="626" s="1174" customFormat="1" customHeight="1" spans="1:111">
      <c r="A626" s="1396">
        <v>46167</v>
      </c>
      <c r="B626" s="1397" t="s">
        <v>2687</v>
      </c>
      <c r="C626" s="498" t="s">
        <v>201</v>
      </c>
      <c r="D626" s="1398">
        <v>4500208821</v>
      </c>
      <c r="E626" s="500">
        <v>45204221</v>
      </c>
      <c r="F626" s="496" t="s">
        <v>2695</v>
      </c>
      <c r="G626" s="499" t="s">
        <v>389</v>
      </c>
      <c r="H626" s="498" t="s">
        <v>390</v>
      </c>
      <c r="I626" s="1399">
        <v>120</v>
      </c>
      <c r="J626" s="498">
        <v>0</v>
      </c>
      <c r="K626" s="498">
        <v>12</v>
      </c>
      <c r="L626" s="1400">
        <f t="shared" si="210"/>
        <v>10</v>
      </c>
      <c r="M626" s="1401">
        <v>46239</v>
      </c>
      <c r="N626" s="1401">
        <v>46237</v>
      </c>
      <c r="O626" s="495"/>
      <c r="P626" s="500"/>
      <c r="Q626" s="500"/>
      <c r="R626" s="498" t="s">
        <v>2431</v>
      </c>
      <c r="S626" s="498"/>
      <c r="T626" s="500">
        <v>120</v>
      </c>
      <c r="U626" s="500">
        <f t="shared" si="219"/>
        <v>0</v>
      </c>
      <c r="V626" s="498"/>
      <c r="W626" s="1431">
        <v>46181</v>
      </c>
      <c r="X626" s="1432" t="s">
        <v>95</v>
      </c>
      <c r="Y626" s="1432" t="s">
        <v>2689</v>
      </c>
      <c r="Z626" s="1397" t="s">
        <v>2690</v>
      </c>
      <c r="AA626" s="1397"/>
      <c r="AB626" s="1397"/>
      <c r="AC626" s="1485" t="s">
        <v>2696</v>
      </c>
      <c r="AD626" s="1490" t="s">
        <v>2692</v>
      </c>
      <c r="AE626" s="1173">
        <v>2.5332</v>
      </c>
      <c r="AF626" s="497">
        <f>I626*AE626</f>
        <v>303.984</v>
      </c>
      <c r="AG626" s="1406"/>
      <c r="AH626" s="1518" t="s">
        <v>2208</v>
      </c>
      <c r="AI626" s="498" t="s">
        <v>112</v>
      </c>
      <c r="AJ626" s="498"/>
      <c r="AK626" s="496">
        <f>I626*2</f>
        <v>240</v>
      </c>
      <c r="AL626" s="496"/>
      <c r="AM626" s="496"/>
      <c r="AN626" s="496"/>
      <c r="AO626" s="496"/>
      <c r="AP626" s="496">
        <f>I626*2</f>
        <v>240</v>
      </c>
      <c r="AQ626" s="1407"/>
      <c r="AR626" s="496"/>
      <c r="AS626" s="1408"/>
      <c r="AT626" s="1408"/>
      <c r="AU626" s="496">
        <f>I626*2</f>
        <v>240</v>
      </c>
      <c r="AV626" s="1409">
        <f t="shared" si="222"/>
        <v>14.4</v>
      </c>
      <c r="AW626" s="1409"/>
      <c r="AX626" s="496"/>
      <c r="AY626" s="496"/>
      <c r="AZ626" s="496"/>
      <c r="BA626" s="496"/>
      <c r="BB626" s="496"/>
      <c r="BC626" s="496"/>
      <c r="BD626" s="496"/>
      <c r="BE626" s="496"/>
      <c r="BF626" s="496"/>
      <c r="BG626" s="496"/>
      <c r="BH626" s="496"/>
      <c r="BI626" s="496"/>
      <c r="BJ626" s="496"/>
      <c r="BK626" s="496"/>
      <c r="BL626" s="496"/>
      <c r="BM626" s="496"/>
      <c r="BN626" s="496"/>
      <c r="BO626" s="1407"/>
      <c r="BP626" s="1407"/>
      <c r="BQ626" s="496"/>
      <c r="BR626" s="1408"/>
      <c r="BS626" s="1408"/>
      <c r="BT626" s="496"/>
      <c r="BU626" s="496"/>
      <c r="BV626" s="1407"/>
      <c r="BW626" s="496"/>
      <c r="BX626" s="496"/>
      <c r="BY626" s="496"/>
      <c r="BZ626" s="496"/>
      <c r="CA626" s="496"/>
      <c r="CB626" s="496"/>
      <c r="CC626" s="496"/>
      <c r="CD626" s="496">
        <f t="shared" si="207"/>
        <v>0</v>
      </c>
      <c r="CE626" s="496">
        <f t="shared" si="220"/>
        <v>0</v>
      </c>
      <c r="CF626" s="496">
        <f t="shared" si="208"/>
        <v>0</v>
      </c>
      <c r="CG626" s="496">
        <f t="shared" si="209"/>
        <v>0</v>
      </c>
      <c r="CH626" s="1408"/>
      <c r="CI626" s="1408"/>
      <c r="CJ626" s="1408">
        <f>I626</f>
        <v>120</v>
      </c>
      <c r="CK626" s="496">
        <f>I626</f>
        <v>120</v>
      </c>
      <c r="CL626" s="496">
        <f>I626</f>
        <v>120</v>
      </c>
      <c r="CM626" s="1170"/>
      <c r="CN626" s="1170"/>
      <c r="CO626" s="1170"/>
      <c r="CP626" s="1170"/>
      <c r="CQ626" s="1170"/>
      <c r="CR626" s="1170"/>
      <c r="CS626" s="1170"/>
      <c r="CT626" s="1170"/>
      <c r="CU626" s="1170"/>
      <c r="CV626" s="1170"/>
      <c r="CW626" s="1170"/>
      <c r="CX626" s="1170"/>
      <c r="CY626" s="1170"/>
      <c r="CZ626" s="1170"/>
      <c r="DA626" s="1170"/>
      <c r="DB626" s="1170"/>
      <c r="DC626" s="1170"/>
      <c r="DD626" s="1170"/>
      <c r="DE626" s="1170"/>
      <c r="DF626" s="1170"/>
      <c r="DG626" s="1170"/>
    </row>
    <row r="627" s="1168" customFormat="1" customHeight="1" spans="1:111">
      <c r="A627" s="1245">
        <v>46169</v>
      </c>
      <c r="B627" s="1247" t="s">
        <v>1583</v>
      </c>
      <c r="C627" s="1234" t="s">
        <v>201</v>
      </c>
      <c r="D627" s="1268">
        <v>4500209291</v>
      </c>
      <c r="E627" s="1234" t="s">
        <v>2697</v>
      </c>
      <c r="F627" s="1188" t="s">
        <v>2698</v>
      </c>
      <c r="G627" s="1253" t="s">
        <v>146</v>
      </c>
      <c r="H627" s="1234" t="s">
        <v>104</v>
      </c>
      <c r="I627" s="1254">
        <v>2100</v>
      </c>
      <c r="J627" s="1234">
        <v>0</v>
      </c>
      <c r="K627" s="1234">
        <v>25</v>
      </c>
      <c r="L627" s="1246">
        <f t="shared" si="210"/>
        <v>84</v>
      </c>
      <c r="M627" s="1255">
        <v>46239</v>
      </c>
      <c r="N627" s="1320">
        <v>46239</v>
      </c>
      <c r="O627" s="1255"/>
      <c r="P627" s="1233" t="s">
        <v>1587</v>
      </c>
      <c r="Q627" s="1233" t="s">
        <v>1410</v>
      </c>
      <c r="R627" s="1234" t="s">
        <v>2528</v>
      </c>
      <c r="S627" s="1234"/>
      <c r="T627" s="1233">
        <v>2100</v>
      </c>
      <c r="U627" s="1233">
        <f t="shared" si="219"/>
        <v>0</v>
      </c>
      <c r="V627" s="1234" t="s">
        <v>120</v>
      </c>
      <c r="W627" s="1238">
        <v>46169</v>
      </c>
      <c r="X627" s="1227" t="s">
        <v>95</v>
      </c>
      <c r="Y627" s="1227" t="s">
        <v>2699</v>
      </c>
      <c r="Z627" s="1247"/>
      <c r="AA627" s="1247"/>
      <c r="AB627" s="1247"/>
      <c r="AC627" s="1247" t="s">
        <v>2700</v>
      </c>
      <c r="AD627" s="1255" t="s">
        <v>2692</v>
      </c>
      <c r="AE627" s="1188">
        <v>1.1085</v>
      </c>
      <c r="AF627" s="1248">
        <f>I627*AE627</f>
        <v>2327.85</v>
      </c>
      <c r="AG627" s="1258"/>
      <c r="AH627" s="1234" t="s">
        <v>111</v>
      </c>
      <c r="AI627" s="1234" t="s">
        <v>112</v>
      </c>
      <c r="AJ627" s="1234" t="s">
        <v>113</v>
      </c>
      <c r="AK627" s="1188">
        <f>I627</f>
        <v>2100</v>
      </c>
      <c r="AL627" s="1188"/>
      <c r="AM627" s="1188"/>
      <c r="AN627" s="1188"/>
      <c r="AO627" s="1188"/>
      <c r="AP627" s="1188">
        <f>I627</f>
        <v>2100</v>
      </c>
      <c r="AQ627" s="1240"/>
      <c r="AR627" s="1188"/>
      <c r="AS627" s="1236"/>
      <c r="AT627" s="1236"/>
      <c r="AU627" s="1188">
        <f>I627</f>
        <v>2100</v>
      </c>
      <c r="AV627" s="1250">
        <f t="shared" si="222"/>
        <v>252</v>
      </c>
      <c r="AW627" s="1250"/>
      <c r="AX627" s="1188"/>
      <c r="AY627" s="1188"/>
      <c r="AZ627" s="1188"/>
      <c r="BA627" s="1188"/>
      <c r="BB627" s="1188"/>
      <c r="BC627" s="1188"/>
      <c r="BD627" s="1188"/>
      <c r="BE627" s="1188"/>
      <c r="BF627" s="1188"/>
      <c r="BG627" s="1188"/>
      <c r="BH627" s="1188"/>
      <c r="BI627" s="1188"/>
      <c r="BJ627" s="1188"/>
      <c r="BK627" s="1188"/>
      <c r="BL627" s="1188"/>
      <c r="BM627" s="1188"/>
      <c r="BN627" s="1188"/>
      <c r="BO627" s="1240">
        <f>I627/25</f>
        <v>84</v>
      </c>
      <c r="BP627" s="1240"/>
      <c r="BQ627" s="1188"/>
      <c r="BR627" s="1236"/>
      <c r="BS627" s="1236"/>
      <c r="BT627" s="1188"/>
      <c r="BU627" s="1188"/>
      <c r="BV627" s="1240"/>
      <c r="BW627" s="1188"/>
      <c r="BX627" s="1188"/>
      <c r="BY627" s="1188"/>
      <c r="BZ627" s="1188"/>
      <c r="CA627" s="1188"/>
      <c r="CB627" s="1188"/>
      <c r="CC627" s="1188"/>
      <c r="CD627" s="1188">
        <f t="shared" si="207"/>
        <v>84</v>
      </c>
      <c r="CE627" s="1188">
        <f t="shared" si="220"/>
        <v>0</v>
      </c>
      <c r="CF627" s="1188">
        <f t="shared" si="208"/>
        <v>0</v>
      </c>
      <c r="CG627" s="1188">
        <f t="shared" si="209"/>
        <v>0</v>
      </c>
      <c r="CH627" s="1236"/>
      <c r="CI627" s="1236"/>
      <c r="CJ627" s="1236"/>
      <c r="CK627" s="1188"/>
      <c r="CL627" s="1188"/>
    </row>
    <row r="628" s="1171" customFormat="1" customHeight="1" spans="1:111">
      <c r="A628" s="1340">
        <v>46170</v>
      </c>
      <c r="B628" s="1341" t="s">
        <v>2701</v>
      </c>
      <c r="C628" s="1342" t="s">
        <v>608</v>
      </c>
      <c r="D628" s="1343">
        <v>4500209410</v>
      </c>
      <c r="E628" s="1342" t="s">
        <v>628</v>
      </c>
      <c r="F628" s="1172" t="s">
        <v>2702</v>
      </c>
      <c r="G628" s="1359" t="s">
        <v>146</v>
      </c>
      <c r="H628" s="1342" t="s">
        <v>104</v>
      </c>
      <c r="I628" s="1344">
        <v>500</v>
      </c>
      <c r="J628" s="1342">
        <v>0</v>
      </c>
      <c r="K628" s="1342">
        <v>25</v>
      </c>
      <c r="L628" s="1345">
        <f t="shared" si="210"/>
        <v>20</v>
      </c>
      <c r="M628" s="1286">
        <v>46239</v>
      </c>
      <c r="N628" s="1361">
        <v>46241</v>
      </c>
      <c r="O628" s="1255"/>
      <c r="P628" s="1357"/>
      <c r="Q628" s="1233" t="s">
        <v>1410</v>
      </c>
      <c r="R628" s="1342" t="s">
        <v>1195</v>
      </c>
      <c r="S628" s="1342"/>
      <c r="T628" s="1357">
        <f>450+50</f>
        <v>500</v>
      </c>
      <c r="U628" s="1233">
        <f t="shared" si="219"/>
        <v>0</v>
      </c>
      <c r="V628" s="1342"/>
      <c r="W628" s="1238" t="s">
        <v>1416</v>
      </c>
      <c r="X628" s="1257" t="s">
        <v>95</v>
      </c>
      <c r="Y628" s="1257" t="s">
        <v>2703</v>
      </c>
      <c r="Z628" s="1247"/>
      <c r="AA628" s="1247"/>
      <c r="AB628" s="1247"/>
      <c r="AC628" s="1350" t="s">
        <v>2704</v>
      </c>
      <c r="AD628" s="1286" t="s">
        <v>2037</v>
      </c>
      <c r="AE628" s="1172">
        <v>1.0959</v>
      </c>
      <c r="AF628" s="1360">
        <f>I628*AE628</f>
        <v>547.95</v>
      </c>
      <c r="AG628" s="1258"/>
      <c r="AH628" s="1234" t="s">
        <v>111</v>
      </c>
      <c r="AI628" s="1234" t="s">
        <v>112</v>
      </c>
      <c r="AJ628" s="1234" t="s">
        <v>113</v>
      </c>
      <c r="AK628" s="1188">
        <f>I628</f>
        <v>500</v>
      </c>
      <c r="AL628" s="1172"/>
      <c r="AM628" s="1172"/>
      <c r="AN628" s="1172"/>
      <c r="AO628" s="1172"/>
      <c r="AP628" s="1172">
        <f>I628</f>
        <v>500</v>
      </c>
      <c r="AQ628" s="1172"/>
      <c r="AR628" s="1172"/>
      <c r="AS628" s="1172"/>
      <c r="AT628" s="1172"/>
      <c r="AU628" s="1172">
        <f>I628</f>
        <v>500</v>
      </c>
      <c r="AV628" s="1250">
        <f t="shared" si="222"/>
        <v>60</v>
      </c>
      <c r="AW628" s="1250"/>
      <c r="AX628" s="1172"/>
      <c r="AY628" s="1172"/>
      <c r="AZ628" s="1172"/>
      <c r="BA628" s="1172"/>
      <c r="BB628" s="1172"/>
      <c r="BC628" s="1172"/>
      <c r="BD628" s="1172"/>
      <c r="BE628" s="1172"/>
      <c r="BF628" s="1172"/>
      <c r="BG628" s="1188"/>
      <c r="BH628" s="1188"/>
      <c r="BI628" s="1172"/>
      <c r="BJ628" s="1172"/>
      <c r="BK628" s="1172"/>
      <c r="BL628" s="1172"/>
      <c r="BM628" s="1172"/>
      <c r="BN628" s="1172"/>
      <c r="BO628" s="1240">
        <f>I628/25</f>
        <v>20</v>
      </c>
      <c r="BP628" s="1172"/>
      <c r="BQ628" s="1172"/>
      <c r="BR628" s="1172"/>
      <c r="BS628" s="1172"/>
      <c r="BT628" s="1172"/>
      <c r="BU628" s="1172"/>
      <c r="BV628" s="1172"/>
      <c r="BW628" s="1172"/>
      <c r="BX628" s="1172"/>
      <c r="BY628" s="1172"/>
      <c r="BZ628" s="1172"/>
      <c r="CA628" s="1172"/>
      <c r="CB628" s="1172"/>
      <c r="CC628" s="1172"/>
      <c r="CD628" s="1188">
        <f t="shared" si="207"/>
        <v>20</v>
      </c>
      <c r="CE628" s="1188">
        <f t="shared" si="220"/>
        <v>0</v>
      </c>
      <c r="CF628" s="1188">
        <f t="shared" si="208"/>
        <v>0</v>
      </c>
      <c r="CG628" s="1188">
        <f t="shared" si="209"/>
        <v>0</v>
      </c>
      <c r="CH628" s="1188"/>
      <c r="CI628" s="1188"/>
      <c r="CJ628" s="1172"/>
      <c r="CK628" s="1172"/>
      <c r="CL628" s="1172"/>
      <c r="CM628" s="1168"/>
      <c r="CN628" s="1168"/>
      <c r="CO628" s="1168"/>
      <c r="CP628" s="1168"/>
      <c r="CQ628" s="1168"/>
      <c r="CR628" s="1168"/>
      <c r="CS628" s="1168"/>
      <c r="CT628" s="1168"/>
      <c r="CU628" s="1168"/>
      <c r="CV628" s="1168"/>
      <c r="CW628" s="1168"/>
      <c r="CX628" s="1168"/>
      <c r="CY628" s="1168"/>
      <c r="CZ628" s="1168"/>
      <c r="DA628" s="1168"/>
      <c r="DB628" s="1168"/>
      <c r="DC628" s="1168"/>
      <c r="DD628" s="1168"/>
      <c r="DE628" s="1168"/>
      <c r="DF628" s="1168"/>
      <c r="DG628" s="1168"/>
    </row>
    <row r="629" s="1168" customFormat="1" customHeight="1" spans="1:111">
      <c r="A629" s="1219">
        <v>46174</v>
      </c>
      <c r="B629" s="1220" t="s">
        <v>1676</v>
      </c>
      <c r="C629" s="1221" t="s">
        <v>1439</v>
      </c>
      <c r="D629" s="1303">
        <v>4500210043</v>
      </c>
      <c r="E629" s="1370">
        <v>2000010360</v>
      </c>
      <c r="F629" s="1222" t="s">
        <v>2705</v>
      </c>
      <c r="G629" s="1223" t="s">
        <v>188</v>
      </c>
      <c r="H629" s="1221" t="s">
        <v>138</v>
      </c>
      <c r="I629" s="1252">
        <v>5000</v>
      </c>
      <c r="J629" s="1221">
        <v>0</v>
      </c>
      <c r="K629" s="1221">
        <v>50</v>
      </c>
      <c r="L629" s="1224">
        <f t="shared" si="210"/>
        <v>100</v>
      </c>
      <c r="M629" s="1225">
        <v>46239</v>
      </c>
      <c r="N629" s="1361">
        <v>46242</v>
      </c>
      <c r="O629" s="1225"/>
      <c r="P629" s="1226" t="s">
        <v>2706</v>
      </c>
      <c r="Q629" s="1233" t="s">
        <v>1410</v>
      </c>
      <c r="R629" s="1221" t="s">
        <v>2406</v>
      </c>
      <c r="S629" s="1221"/>
      <c r="T629" s="1226">
        <v>5000</v>
      </c>
      <c r="U629" s="1233">
        <f t="shared" si="219"/>
        <v>0</v>
      </c>
      <c r="V629" s="1221" t="s">
        <v>120</v>
      </c>
      <c r="W629" s="1256">
        <v>46174</v>
      </c>
      <c r="X629" s="1227" t="s">
        <v>95</v>
      </c>
      <c r="Y629" s="1227" t="s">
        <v>2707</v>
      </c>
      <c r="Z629" s="1220" t="s">
        <v>2708</v>
      </c>
      <c r="AA629" s="1220" t="s">
        <v>2709</v>
      </c>
      <c r="AB629" s="1220"/>
      <c r="AC629" s="1358" t="s">
        <v>2710</v>
      </c>
      <c r="AD629" s="1225" t="s">
        <v>722</v>
      </c>
      <c r="AE629" s="1222">
        <v>1.1119</v>
      </c>
      <c r="AF629" s="1229">
        <f>AE629*I629</f>
        <v>5559.5</v>
      </c>
      <c r="AG629" s="1230"/>
      <c r="AH629" s="1234" t="s">
        <v>314</v>
      </c>
      <c r="AI629" s="1221" t="s">
        <v>112</v>
      </c>
      <c r="AJ629" s="1234" t="s">
        <v>113</v>
      </c>
      <c r="AK629" s="1188">
        <f>I629</f>
        <v>5000</v>
      </c>
      <c r="AL629" s="1222"/>
      <c r="AM629" s="1222"/>
      <c r="AN629" s="1222"/>
      <c r="AO629" s="1222"/>
      <c r="AP629" s="1188">
        <f>I629</f>
        <v>5000</v>
      </c>
      <c r="AQ629" s="1240"/>
      <c r="AR629" s="1188"/>
      <c r="AS629" s="1236"/>
      <c r="AT629" s="1236"/>
      <c r="AU629" s="1188">
        <f>I629</f>
        <v>5000</v>
      </c>
      <c r="AV629" s="1241">
        <f t="shared" si="222"/>
        <v>600</v>
      </c>
      <c r="AW629" s="1241"/>
      <c r="AX629" s="1222"/>
      <c r="AY629" s="1222"/>
      <c r="AZ629" s="1222"/>
      <c r="BA629" s="1222"/>
      <c r="BB629" s="1222"/>
      <c r="BC629" s="1222"/>
      <c r="BD629" s="1222"/>
      <c r="BE629" s="1222"/>
      <c r="BF629" s="1222"/>
      <c r="BG629" s="1222"/>
      <c r="BH629" s="1222"/>
      <c r="BI629" s="1222"/>
      <c r="BJ629" s="1222"/>
      <c r="BK629" s="1222"/>
      <c r="BL629" s="1222"/>
      <c r="BM629" s="1222"/>
      <c r="BN629" s="1222"/>
      <c r="BO629" s="1242">
        <f>I629/25</f>
        <v>200</v>
      </c>
      <c r="BP629" s="1242"/>
      <c r="BQ629" s="1222"/>
      <c r="BR629" s="1232"/>
      <c r="BS629" s="1232"/>
      <c r="BT629" s="1222"/>
      <c r="BU629" s="1222"/>
      <c r="BV629" s="1242"/>
      <c r="BW629" s="1222"/>
      <c r="BX629" s="1222"/>
      <c r="BY629" s="1222"/>
      <c r="BZ629" s="1222"/>
      <c r="CA629" s="1222"/>
      <c r="CB629" s="1222"/>
      <c r="CC629" s="1222"/>
      <c r="CD629" s="1188">
        <f t="shared" si="207"/>
        <v>200</v>
      </c>
      <c r="CE629" s="1188">
        <f t="shared" si="220"/>
        <v>0</v>
      </c>
      <c r="CF629" s="1188">
        <f t="shared" si="208"/>
        <v>0</v>
      </c>
      <c r="CG629" s="1188">
        <f t="shared" si="209"/>
        <v>0</v>
      </c>
      <c r="CH629" s="1232"/>
      <c r="CI629" s="1232"/>
      <c r="CJ629" s="1232"/>
      <c r="CK629" s="1222"/>
      <c r="CL629" s="1222"/>
    </row>
    <row r="630" s="1169" customFormat="1" customHeight="1" spans="1:111">
      <c r="A630" s="1340">
        <v>46183</v>
      </c>
      <c r="B630" s="1341" t="s">
        <v>2711</v>
      </c>
      <c r="C630" s="1342" t="s">
        <v>2712</v>
      </c>
      <c r="D630" s="1172">
        <v>4500211559</v>
      </c>
      <c r="E630" s="1342"/>
      <c r="F630" s="1172" t="s">
        <v>2713</v>
      </c>
      <c r="G630" s="1359" t="s">
        <v>188</v>
      </c>
      <c r="H630" s="1342" t="s">
        <v>138</v>
      </c>
      <c r="I630" s="1344">
        <v>1000</v>
      </c>
      <c r="J630" s="1342">
        <v>0</v>
      </c>
      <c r="K630" s="1342">
        <v>50</v>
      </c>
      <c r="L630" s="1345">
        <f t="shared" si="210"/>
        <v>20</v>
      </c>
      <c r="M630" s="1286">
        <v>46239</v>
      </c>
      <c r="N630" s="1361">
        <v>46242</v>
      </c>
      <c r="O630" s="1286"/>
      <c r="P630" s="1357"/>
      <c r="Q630" s="1233" t="s">
        <v>1410</v>
      </c>
      <c r="R630" s="1234" t="s">
        <v>2714</v>
      </c>
      <c r="S630" s="1342"/>
      <c r="T630" s="1357">
        <v>1000</v>
      </c>
      <c r="U630" s="1233">
        <f t="shared" si="219"/>
        <v>0</v>
      </c>
      <c r="V630" s="1342" t="s">
        <v>120</v>
      </c>
      <c r="W630" s="1256">
        <v>46183</v>
      </c>
      <c r="X630" s="1227" t="s">
        <v>95</v>
      </c>
      <c r="Y630" s="1257" t="s">
        <v>2715</v>
      </c>
      <c r="Z630" s="1341"/>
      <c r="AA630" s="1341"/>
      <c r="AB630" s="1341"/>
      <c r="AC630" s="1386" t="s">
        <v>2716</v>
      </c>
      <c r="AD630" s="1286" t="s">
        <v>722</v>
      </c>
      <c r="AE630" s="1172">
        <v>1.0979</v>
      </c>
      <c r="AF630" s="1360">
        <f>AE630*I630</f>
        <v>1097.9</v>
      </c>
      <c r="AG630" s="1258"/>
      <c r="AH630" s="1234" t="s">
        <v>314</v>
      </c>
      <c r="AI630" s="1234" t="s">
        <v>112</v>
      </c>
      <c r="AJ630" s="1234" t="s">
        <v>113</v>
      </c>
      <c r="AK630" s="1188">
        <f>I630</f>
        <v>1000</v>
      </c>
      <c r="AL630" s="1172"/>
      <c r="AM630" s="1172"/>
      <c r="AN630" s="1188"/>
      <c r="AO630" s="1188"/>
      <c r="AP630" s="1188">
        <f>I630</f>
        <v>1000</v>
      </c>
      <c r="AQ630" s="1240"/>
      <c r="AR630" s="1188"/>
      <c r="AS630" s="1236"/>
      <c r="AT630" s="1236"/>
      <c r="AU630" s="1188">
        <f>I630</f>
        <v>1000</v>
      </c>
      <c r="AV630" s="1395"/>
      <c r="AW630" s="1395"/>
      <c r="AX630" s="1172"/>
      <c r="AY630" s="1172"/>
      <c r="AZ630" s="1172"/>
      <c r="BA630" s="1172"/>
      <c r="BB630" s="1172"/>
      <c r="BC630" s="1172"/>
      <c r="BD630" s="1172"/>
      <c r="BE630" s="1172"/>
      <c r="BF630" s="1172"/>
      <c r="BG630" s="1172"/>
      <c r="BH630" s="1172"/>
      <c r="BI630" s="1172"/>
      <c r="BJ630" s="1172"/>
      <c r="BK630" s="1188"/>
      <c r="BL630" s="1172"/>
      <c r="BM630" s="1188"/>
      <c r="BN630" s="1172"/>
      <c r="BO630" s="1240">
        <f>I630/25</f>
        <v>40</v>
      </c>
      <c r="BP630" s="1172"/>
      <c r="BQ630" s="1172"/>
      <c r="BR630" s="1172"/>
      <c r="BS630" s="1172"/>
      <c r="BT630" s="1172"/>
      <c r="BU630" s="1172"/>
      <c r="BV630" s="1172"/>
      <c r="BW630" s="1172"/>
      <c r="BX630" s="1172"/>
      <c r="BY630" s="1172"/>
      <c r="BZ630" s="1172"/>
      <c r="CA630" s="1172"/>
      <c r="CB630" s="1172"/>
      <c r="CC630" s="1172"/>
      <c r="CD630" s="1188">
        <f t="shared" si="207"/>
        <v>40</v>
      </c>
      <c r="CE630" s="1188">
        <f t="shared" si="220"/>
        <v>0</v>
      </c>
      <c r="CF630" s="1188">
        <f t="shared" si="208"/>
        <v>0</v>
      </c>
      <c r="CG630" s="1188">
        <f t="shared" si="209"/>
        <v>0</v>
      </c>
      <c r="CH630" s="1172"/>
      <c r="CI630" s="1172"/>
      <c r="CJ630" s="1172"/>
      <c r="CK630" s="1172"/>
      <c r="CL630" s="1172"/>
      <c r="CM630" s="1168"/>
      <c r="CN630" s="1168"/>
      <c r="CO630" s="1168"/>
      <c r="CP630" s="1168"/>
      <c r="CQ630" s="1168"/>
      <c r="CR630" s="1168"/>
      <c r="CS630" s="1168"/>
      <c r="CT630" s="1168"/>
      <c r="CU630" s="1168"/>
      <c r="CV630" s="1168"/>
      <c r="CW630" s="1168"/>
      <c r="CX630" s="1168"/>
      <c r="CY630" s="1168"/>
      <c r="CZ630" s="1168"/>
      <c r="DA630" s="1168"/>
      <c r="DB630" s="1168"/>
      <c r="DC630" s="1168"/>
      <c r="DD630" s="1168"/>
      <c r="DE630" s="1168"/>
      <c r="DF630" s="1168"/>
      <c r="DG630" s="1168"/>
    </row>
    <row r="631" s="1169" customFormat="1" customHeight="1" spans="1:111">
      <c r="A631" s="1245">
        <v>46168</v>
      </c>
      <c r="B631" s="1220" t="s">
        <v>1332</v>
      </c>
      <c r="C631" s="1221" t="s">
        <v>1333</v>
      </c>
      <c r="D631" s="1303">
        <v>4500209159</v>
      </c>
      <c r="E631" s="1226">
        <v>45048411811</v>
      </c>
      <c r="F631" s="1222" t="s">
        <v>2717</v>
      </c>
      <c r="G631" s="1223" t="s">
        <v>188</v>
      </c>
      <c r="H631" s="1234" t="s">
        <v>138</v>
      </c>
      <c r="I631" s="1252">
        <v>1400</v>
      </c>
      <c r="J631" s="1221">
        <v>0</v>
      </c>
      <c r="K631" s="1221">
        <v>50</v>
      </c>
      <c r="L631" s="1246">
        <f t="shared" si="210"/>
        <v>28</v>
      </c>
      <c r="M631" s="1225">
        <v>46240</v>
      </c>
      <c r="N631" s="1286">
        <v>46237</v>
      </c>
      <c r="O631" s="1225"/>
      <c r="P631" s="1233" t="s">
        <v>2718</v>
      </c>
      <c r="Q631" s="1233" t="s">
        <v>1410</v>
      </c>
      <c r="R631" s="1234"/>
      <c r="S631" s="1234"/>
      <c r="T631" s="1233">
        <v>1400</v>
      </c>
      <c r="U631" s="1233">
        <f t="shared" si="219"/>
        <v>0</v>
      </c>
      <c r="V631" s="1234"/>
      <c r="W631" s="1256" t="s">
        <v>2719</v>
      </c>
      <c r="X631" s="1257" t="s">
        <v>95</v>
      </c>
      <c r="Y631" s="1257" t="s">
        <v>2720</v>
      </c>
      <c r="Z631" s="1247" t="s">
        <v>2721</v>
      </c>
      <c r="AA631" s="1247"/>
      <c r="AB631" s="1247"/>
      <c r="AC631" s="1220" t="s">
        <v>2722</v>
      </c>
      <c r="AD631" s="1225" t="s">
        <v>295</v>
      </c>
      <c r="AE631" s="1188">
        <v>1.1174</v>
      </c>
      <c r="AF631" s="1248">
        <f>AE631*I631</f>
        <v>1564.36</v>
      </c>
      <c r="AG631" s="1258"/>
      <c r="AH631" s="1234" t="s">
        <v>314</v>
      </c>
      <c r="AI631" s="1234" t="s">
        <v>112</v>
      </c>
      <c r="AJ631" s="1234"/>
      <c r="AK631" s="1188">
        <f>I631</f>
        <v>1400</v>
      </c>
      <c r="AL631" s="1188"/>
      <c r="AM631" s="1188"/>
      <c r="AN631" s="1188"/>
      <c r="AO631" s="1188"/>
      <c r="AP631" s="1188">
        <f>I631</f>
        <v>1400</v>
      </c>
      <c r="AQ631" s="1240"/>
      <c r="AR631" s="1188"/>
      <c r="AS631" s="1236"/>
      <c r="AT631" s="1236"/>
      <c r="AU631" s="1188">
        <f>I631</f>
        <v>1400</v>
      </c>
      <c r="AV631" s="1250">
        <f>I631*0.06*2</f>
        <v>168</v>
      </c>
      <c r="AW631" s="1250"/>
      <c r="AX631" s="1188"/>
      <c r="AY631" s="1188"/>
      <c r="AZ631" s="1188"/>
      <c r="BA631" s="1188"/>
      <c r="BB631" s="1188"/>
      <c r="BC631" s="1188"/>
      <c r="BD631" s="1188"/>
      <c r="BE631" s="1188"/>
      <c r="BF631" s="1188"/>
      <c r="BG631" s="1188"/>
      <c r="BH631" s="1188"/>
      <c r="BI631" s="1188"/>
      <c r="BJ631" s="1188"/>
      <c r="BK631" s="1188"/>
      <c r="BL631" s="1188"/>
      <c r="BM631" s="1188"/>
      <c r="BN631" s="1188"/>
      <c r="BO631" s="1240">
        <f>I631/25</f>
        <v>56</v>
      </c>
      <c r="BP631" s="1240"/>
      <c r="BQ631" s="1188"/>
      <c r="BR631" s="1236"/>
      <c r="BS631" s="1236"/>
      <c r="BT631" s="1188"/>
      <c r="BU631" s="1188"/>
      <c r="BV631" s="1240"/>
      <c r="BW631" s="1188"/>
      <c r="BX631" s="1188"/>
      <c r="BY631" s="1188"/>
      <c r="BZ631" s="1188"/>
      <c r="CA631" s="1188"/>
      <c r="CB631" s="1188"/>
      <c r="CC631" s="1188"/>
      <c r="CD631" s="1188">
        <f t="shared" si="207"/>
        <v>56</v>
      </c>
      <c r="CE631" s="1188">
        <f t="shared" si="220"/>
        <v>0</v>
      </c>
      <c r="CF631" s="1188">
        <f t="shared" si="208"/>
        <v>0</v>
      </c>
      <c r="CG631" s="1188">
        <f t="shared" si="209"/>
        <v>0</v>
      </c>
      <c r="CH631" s="1236"/>
      <c r="CI631" s="1236"/>
      <c r="CJ631" s="1236"/>
      <c r="CK631" s="1188"/>
      <c r="CL631" s="1188"/>
      <c r="CM631" s="1168"/>
      <c r="CN631" s="1168"/>
      <c r="CO631" s="1168"/>
      <c r="CP631" s="1168"/>
      <c r="CQ631" s="1168"/>
      <c r="CR631" s="1168"/>
      <c r="CS631" s="1168"/>
      <c r="CT631" s="1168"/>
      <c r="CU631" s="1168"/>
      <c r="CV631" s="1168"/>
      <c r="CW631" s="1168"/>
      <c r="CX631" s="1168"/>
      <c r="CY631" s="1168"/>
      <c r="CZ631" s="1168"/>
      <c r="DA631" s="1168"/>
      <c r="DB631" s="1168"/>
      <c r="DC631" s="1168"/>
      <c r="DD631" s="1168"/>
      <c r="DE631" s="1168"/>
      <c r="DF631" s="1168"/>
      <c r="DG631" s="1168"/>
    </row>
    <row r="632" s="1168" customFormat="1" customHeight="1" spans="1:111">
      <c r="A632" s="1245">
        <v>46157</v>
      </c>
      <c r="B632" s="1269" t="s">
        <v>2373</v>
      </c>
      <c r="C632" s="1287" t="s">
        <v>101</v>
      </c>
      <c r="D632" s="1270">
        <v>4500202803</v>
      </c>
      <c r="E632" s="1269">
        <v>21668148</v>
      </c>
      <c r="F632" s="1270" t="s">
        <v>2723</v>
      </c>
      <c r="G632" s="1272" t="s">
        <v>2724</v>
      </c>
      <c r="H632" s="1247" t="s">
        <v>804</v>
      </c>
      <c r="I632" s="1273">
        <v>378</v>
      </c>
      <c r="J632" s="1274">
        <v>0</v>
      </c>
      <c r="K632" s="1274">
        <v>6</v>
      </c>
      <c r="L632" s="1246">
        <f t="shared" si="210"/>
        <v>63</v>
      </c>
      <c r="M632" s="1320">
        <v>46240</v>
      </c>
      <c r="N632" s="1361">
        <f>M632-2</f>
        <v>46238</v>
      </c>
      <c r="O632" s="1255"/>
      <c r="P632" s="1233"/>
      <c r="Q632" s="1233" t="s">
        <v>1410</v>
      </c>
      <c r="R632" s="1234"/>
      <c r="S632" s="1234"/>
      <c r="T632" s="1233">
        <v>378</v>
      </c>
      <c r="U632" s="1233">
        <f t="shared" si="219"/>
        <v>0</v>
      </c>
      <c r="V632" s="1234"/>
      <c r="W632" s="1256">
        <v>46195</v>
      </c>
      <c r="X632" s="1227" t="s">
        <v>107</v>
      </c>
      <c r="Y632" s="1227" t="s">
        <v>2725</v>
      </c>
      <c r="Z632" s="1247" t="s">
        <v>360</v>
      </c>
      <c r="AA632" s="1247"/>
      <c r="AB632" s="1247" t="s">
        <v>2376</v>
      </c>
      <c r="AC632" s="1331" t="s">
        <v>2726</v>
      </c>
      <c r="AD632" s="1275" t="s">
        <v>2378</v>
      </c>
      <c r="AE632" s="1276">
        <v>8.5</v>
      </c>
      <c r="AF632" s="1248">
        <f>AE632*I632</f>
        <v>3213</v>
      </c>
      <c r="AG632" s="1258"/>
      <c r="AH632" s="1234" t="s">
        <v>2727</v>
      </c>
      <c r="AI632" s="1234" t="s">
        <v>112</v>
      </c>
      <c r="AJ632" s="1234" t="s">
        <v>113</v>
      </c>
      <c r="AK632" s="1188">
        <f t="shared" ref="AK632:AK641" si="223">I632*2</f>
        <v>756</v>
      </c>
      <c r="AL632" s="1188"/>
      <c r="AM632" s="1188"/>
      <c r="AN632" s="1188"/>
      <c r="AO632" s="1188"/>
      <c r="AP632" s="1188"/>
      <c r="AQ632" s="1240"/>
      <c r="AR632" s="1188">
        <f t="shared" ref="AR632:AR637" si="224">I632*2</f>
        <v>756</v>
      </c>
      <c r="AS632" s="1236"/>
      <c r="AT632" s="1236"/>
      <c r="AU632" s="1188"/>
      <c r="AV632" s="1250">
        <f>I632*0.06*2</f>
        <v>45.36</v>
      </c>
      <c r="AW632" s="1250"/>
      <c r="AX632" s="1188">
        <f>I632*2</f>
        <v>756</v>
      </c>
      <c r="AY632" s="1188"/>
      <c r="AZ632" s="1188"/>
      <c r="BA632" s="1188"/>
      <c r="BB632" s="1188"/>
      <c r="BC632" s="1188"/>
      <c r="BD632" s="1188"/>
      <c r="BE632" s="1188"/>
      <c r="BF632" s="1188"/>
      <c r="BG632" s="1188"/>
      <c r="BH632" s="1188"/>
      <c r="BI632" s="1188"/>
      <c r="BJ632" s="1188"/>
      <c r="BK632" s="1188"/>
      <c r="BL632" s="1188"/>
      <c r="BM632" s="1188"/>
      <c r="BN632" s="1188"/>
      <c r="BO632" s="1240"/>
      <c r="BP632" s="1240"/>
      <c r="BQ632" s="1188"/>
      <c r="BR632" s="1236"/>
      <c r="BS632" s="1236"/>
      <c r="BT632" s="1188"/>
      <c r="BU632" s="1188"/>
      <c r="BV632" s="1240"/>
      <c r="BW632" s="1188"/>
      <c r="BX632" s="1188"/>
      <c r="BY632" s="1188"/>
      <c r="BZ632" s="1188"/>
      <c r="CA632" s="1188"/>
      <c r="CB632" s="1188"/>
      <c r="CC632" s="1188"/>
      <c r="CD632" s="1188">
        <f t="shared" si="207"/>
        <v>0</v>
      </c>
      <c r="CE632" s="1188">
        <f t="shared" si="220"/>
        <v>0</v>
      </c>
      <c r="CF632" s="1188">
        <f t="shared" si="208"/>
        <v>0</v>
      </c>
      <c r="CG632" s="1188">
        <f t="shared" si="209"/>
        <v>0</v>
      </c>
      <c r="CH632" s="1236"/>
      <c r="CI632" s="1236"/>
      <c r="CJ632" s="1236"/>
      <c r="CK632" s="1188"/>
      <c r="CL632" s="1188"/>
    </row>
    <row r="633" s="1168" customFormat="1" customHeight="1" spans="1:111">
      <c r="A633" s="1245">
        <v>46157</v>
      </c>
      <c r="B633" s="1269" t="s">
        <v>2379</v>
      </c>
      <c r="C633" s="1287" t="s">
        <v>508</v>
      </c>
      <c r="D633" s="1270">
        <v>4500202802</v>
      </c>
      <c r="E633" s="1269">
        <v>21668147</v>
      </c>
      <c r="F633" s="1270" t="s">
        <v>2728</v>
      </c>
      <c r="G633" s="1272" t="s">
        <v>2724</v>
      </c>
      <c r="H633" s="1247" t="s">
        <v>804</v>
      </c>
      <c r="I633" s="1273">
        <v>4626</v>
      </c>
      <c r="J633" s="1274">
        <v>0</v>
      </c>
      <c r="K633" s="1274">
        <v>6</v>
      </c>
      <c r="L633" s="1246">
        <f t="shared" si="210"/>
        <v>771</v>
      </c>
      <c r="M633" s="1320">
        <v>46240</v>
      </c>
      <c r="N633" s="1361">
        <f>M633-2</f>
        <v>46238</v>
      </c>
      <c r="O633" s="1255"/>
      <c r="P633" s="1233"/>
      <c r="Q633" s="1233" t="s">
        <v>1410</v>
      </c>
      <c r="R633" s="1234"/>
      <c r="S633" s="1234"/>
      <c r="T633" s="1233">
        <v>4626</v>
      </c>
      <c r="U633" s="1233">
        <f t="shared" si="219"/>
        <v>0</v>
      </c>
      <c r="V633" s="1234"/>
      <c r="W633" s="1256">
        <v>46195</v>
      </c>
      <c r="X633" s="1257" t="s">
        <v>107</v>
      </c>
      <c r="Y633" s="1227" t="s">
        <v>2725</v>
      </c>
      <c r="Z633" s="1247" t="s">
        <v>360</v>
      </c>
      <c r="AA633" s="1247"/>
      <c r="AB633" s="1247" t="s">
        <v>2729</v>
      </c>
      <c r="AC633" s="1321" t="s">
        <v>2730</v>
      </c>
      <c r="AD633" s="1275" t="s">
        <v>2378</v>
      </c>
      <c r="AE633" s="1276">
        <v>8.5</v>
      </c>
      <c r="AF633" s="1248">
        <f>AE633*I633</f>
        <v>39321</v>
      </c>
      <c r="AG633" s="1258"/>
      <c r="AH633" s="1234" t="s">
        <v>2727</v>
      </c>
      <c r="AI633" s="1234" t="s">
        <v>112</v>
      </c>
      <c r="AJ633" s="1234" t="s">
        <v>113</v>
      </c>
      <c r="AK633" s="1188">
        <f t="shared" si="223"/>
        <v>9252</v>
      </c>
      <c r="AL633" s="1188"/>
      <c r="AM633" s="1188"/>
      <c r="AN633" s="1188"/>
      <c r="AO633" s="1188"/>
      <c r="AP633" s="1188"/>
      <c r="AQ633" s="1240"/>
      <c r="AR633" s="1188">
        <f t="shared" si="224"/>
        <v>9252</v>
      </c>
      <c r="AS633" s="1236"/>
      <c r="AT633" s="1236"/>
      <c r="AU633" s="1188"/>
      <c r="AV633" s="1250">
        <f>I633*0.06*2</f>
        <v>555.12</v>
      </c>
      <c r="AW633" s="1250"/>
      <c r="AX633" s="1188">
        <f>I633*2</f>
        <v>9252</v>
      </c>
      <c r="AY633" s="1188"/>
      <c r="AZ633" s="1188"/>
      <c r="BA633" s="1188"/>
      <c r="BB633" s="1188"/>
      <c r="BC633" s="1188"/>
      <c r="BD633" s="1188"/>
      <c r="BE633" s="1188"/>
      <c r="BF633" s="1188"/>
      <c r="BG633" s="1188"/>
      <c r="BH633" s="1188"/>
      <c r="BI633" s="1188"/>
      <c r="BJ633" s="1188"/>
      <c r="BK633" s="1188"/>
      <c r="BL633" s="1188"/>
      <c r="BM633" s="1188"/>
      <c r="BN633" s="1188"/>
      <c r="BO633" s="1240"/>
      <c r="BP633" s="1240"/>
      <c r="BQ633" s="1188"/>
      <c r="BR633" s="1236"/>
      <c r="BS633" s="1236"/>
      <c r="BT633" s="1188"/>
      <c r="BU633" s="1188"/>
      <c r="BV633" s="1240"/>
      <c r="BW633" s="1188"/>
      <c r="BX633" s="1188"/>
      <c r="BY633" s="1188"/>
      <c r="BZ633" s="1188"/>
      <c r="CA633" s="1188"/>
      <c r="CB633" s="1188"/>
      <c r="CC633" s="1188"/>
      <c r="CD633" s="1188">
        <f t="shared" si="207"/>
        <v>0</v>
      </c>
      <c r="CE633" s="1188">
        <f t="shared" si="220"/>
        <v>0</v>
      </c>
      <c r="CF633" s="1188">
        <f t="shared" si="208"/>
        <v>0</v>
      </c>
      <c r="CG633" s="1188">
        <f t="shared" si="209"/>
        <v>0</v>
      </c>
      <c r="CH633" s="1236"/>
      <c r="CI633" s="1236"/>
      <c r="CJ633" s="1236"/>
      <c r="CK633" s="1188"/>
      <c r="CL633" s="1188"/>
    </row>
    <row r="634" s="1168" customFormat="1" customHeight="1" spans="1:111">
      <c r="A634" s="1245">
        <v>46112</v>
      </c>
      <c r="B634" s="1247" t="s">
        <v>538</v>
      </c>
      <c r="C634" s="1234" t="s">
        <v>135</v>
      </c>
      <c r="D634" s="1372">
        <v>4500199193</v>
      </c>
      <c r="E634" s="1234" t="s">
        <v>2731</v>
      </c>
      <c r="F634" s="1188" t="s">
        <v>2732</v>
      </c>
      <c r="G634" s="1253" t="s">
        <v>746</v>
      </c>
      <c r="H634" s="1234" t="s">
        <v>390</v>
      </c>
      <c r="I634" s="1254">
        <v>5508</v>
      </c>
      <c r="J634" s="1234">
        <v>0</v>
      </c>
      <c r="K634" s="1234">
        <v>12</v>
      </c>
      <c r="L634" s="1246">
        <f t="shared" si="210"/>
        <v>459</v>
      </c>
      <c r="M634" s="1255">
        <v>46240</v>
      </c>
      <c r="N634" s="1320">
        <v>46241</v>
      </c>
      <c r="O634" s="1255"/>
      <c r="P634" s="1233"/>
      <c r="Q634" s="1233" t="s">
        <v>1410</v>
      </c>
      <c r="R634" s="1234"/>
      <c r="S634" s="1234"/>
      <c r="T634" s="1233">
        <v>5508</v>
      </c>
      <c r="U634" s="1233">
        <f t="shared" si="219"/>
        <v>0</v>
      </c>
      <c r="V634" s="1234"/>
      <c r="W634" s="1256" t="s">
        <v>747</v>
      </c>
      <c r="X634" s="1257" t="s">
        <v>107</v>
      </c>
      <c r="Y634" s="1257" t="s">
        <v>2733</v>
      </c>
      <c r="Z634" s="1247" t="s">
        <v>2485</v>
      </c>
      <c r="AA634" s="1247"/>
      <c r="AB634" s="1247"/>
      <c r="AC634" s="1247" t="s">
        <v>2734</v>
      </c>
      <c r="AD634" s="1255" t="s">
        <v>545</v>
      </c>
      <c r="AE634" s="1188">
        <v>2.5224</v>
      </c>
      <c r="AF634" s="1248">
        <f t="shared" ref="AF634:AF641" si="225">I634*AE634</f>
        <v>13893.3792</v>
      </c>
      <c r="AG634" s="1258"/>
      <c r="AH634" s="1264" t="s">
        <v>753</v>
      </c>
      <c r="AI634" s="1234" t="s">
        <v>112</v>
      </c>
      <c r="AJ634" s="1234" t="s">
        <v>113</v>
      </c>
      <c r="AK634" s="1188">
        <f t="shared" si="223"/>
        <v>11016</v>
      </c>
      <c r="AL634" s="1188"/>
      <c r="AM634" s="1188"/>
      <c r="AN634" s="1188"/>
      <c r="AO634" s="1188"/>
      <c r="AP634" s="1188"/>
      <c r="AQ634" s="1240"/>
      <c r="AR634" s="1188">
        <f t="shared" si="224"/>
        <v>11016</v>
      </c>
      <c r="AS634" s="1236"/>
      <c r="AT634" s="1236"/>
      <c r="AU634" s="1188"/>
      <c r="AV634" s="1250">
        <f>I634*0.06*2</f>
        <v>660.96</v>
      </c>
      <c r="AW634" s="1429">
        <f>I634*2</f>
        <v>11016</v>
      </c>
      <c r="AX634" s="1188"/>
      <c r="AY634" s="1188"/>
      <c r="AZ634" s="1188"/>
      <c r="BA634" s="1188"/>
      <c r="BB634" s="1188"/>
      <c r="BC634" s="1188"/>
      <c r="BD634" s="1188"/>
      <c r="BE634" s="1188"/>
      <c r="BF634" s="1188"/>
      <c r="BG634" s="1188"/>
      <c r="BH634" s="1188"/>
      <c r="BI634" s="1188"/>
      <c r="BJ634" s="1188"/>
      <c r="BK634" s="1188"/>
      <c r="BL634" s="1188"/>
      <c r="BM634" s="1188"/>
      <c r="BN634" s="1188"/>
      <c r="BO634" s="1240"/>
      <c r="BP634" s="1240"/>
      <c r="BQ634" s="1188"/>
      <c r="BR634" s="1236"/>
      <c r="BS634" s="1236"/>
      <c r="BT634" s="1188"/>
      <c r="BU634" s="1188"/>
      <c r="BV634" s="1240"/>
      <c r="BW634" s="1188"/>
      <c r="BX634" s="1188"/>
      <c r="BY634" s="1188"/>
      <c r="BZ634" s="1188"/>
      <c r="CA634" s="1188"/>
      <c r="CB634" s="1188"/>
      <c r="CC634" s="1188"/>
      <c r="CD634" s="1188">
        <f t="shared" si="207"/>
        <v>0</v>
      </c>
      <c r="CE634" s="1188">
        <f t="shared" si="220"/>
        <v>0</v>
      </c>
      <c r="CF634" s="1188">
        <f t="shared" si="208"/>
        <v>0</v>
      </c>
      <c r="CG634" s="1188">
        <f t="shared" si="209"/>
        <v>0</v>
      </c>
      <c r="CH634" s="1236"/>
      <c r="CI634" s="1236"/>
      <c r="CJ634" s="1236">
        <f t="shared" ref="CJ634:CJ640" si="226">I634</f>
        <v>5508</v>
      </c>
      <c r="CK634" s="1188">
        <f t="shared" ref="CK634:CK640" si="227">I634</f>
        <v>5508</v>
      </c>
      <c r="CL634" s="1188">
        <f t="shared" ref="CL634:CL640" si="228">I634</f>
        <v>5508</v>
      </c>
    </row>
    <row r="635" s="1168" customFormat="1" customHeight="1" spans="1:111">
      <c r="A635" s="1245">
        <v>46112</v>
      </c>
      <c r="B635" s="1247" t="s">
        <v>538</v>
      </c>
      <c r="C635" s="1234" t="s">
        <v>135</v>
      </c>
      <c r="D635" s="1372">
        <v>4500199193</v>
      </c>
      <c r="E635" s="1234" t="s">
        <v>2735</v>
      </c>
      <c r="F635" s="1188" t="s">
        <v>2736</v>
      </c>
      <c r="G635" s="1253" t="s">
        <v>746</v>
      </c>
      <c r="H635" s="1234" t="s">
        <v>390</v>
      </c>
      <c r="I635" s="1254">
        <v>2064</v>
      </c>
      <c r="J635" s="1234">
        <v>0</v>
      </c>
      <c r="K635" s="1234">
        <v>12</v>
      </c>
      <c r="L635" s="1246">
        <f t="shared" si="210"/>
        <v>172</v>
      </c>
      <c r="M635" s="1255">
        <v>46240</v>
      </c>
      <c r="N635" s="1320">
        <v>46241</v>
      </c>
      <c r="O635" s="1255"/>
      <c r="P635" s="1233"/>
      <c r="Q635" s="1233" t="s">
        <v>1410</v>
      </c>
      <c r="R635" s="1234"/>
      <c r="S635" s="1234"/>
      <c r="T635" s="1233">
        <v>2064</v>
      </c>
      <c r="U635" s="1233">
        <f t="shared" si="219"/>
        <v>0</v>
      </c>
      <c r="V635" s="1234"/>
      <c r="W635" s="1238" t="s">
        <v>747</v>
      </c>
      <c r="X635" s="1257" t="s">
        <v>107</v>
      </c>
      <c r="Y635" s="1257" t="s">
        <v>2733</v>
      </c>
      <c r="Z635" s="1247" t="s">
        <v>2485</v>
      </c>
      <c r="AA635" s="1247"/>
      <c r="AB635" s="1247"/>
      <c r="AC635" s="1247" t="s">
        <v>2734</v>
      </c>
      <c r="AD635" s="1255" t="s">
        <v>545</v>
      </c>
      <c r="AE635" s="1188">
        <v>2.5224</v>
      </c>
      <c r="AF635" s="1248">
        <f t="shared" si="225"/>
        <v>5206.2336</v>
      </c>
      <c r="AG635" s="1258"/>
      <c r="AH635" s="1264" t="s">
        <v>753</v>
      </c>
      <c r="AI635" s="1234" t="s">
        <v>112</v>
      </c>
      <c r="AJ635" s="1234" t="s">
        <v>113</v>
      </c>
      <c r="AK635" s="1188">
        <f t="shared" si="223"/>
        <v>4128</v>
      </c>
      <c r="AL635" s="1188"/>
      <c r="AM635" s="1188"/>
      <c r="AN635" s="1188"/>
      <c r="AO635" s="1188"/>
      <c r="AP635" s="1188"/>
      <c r="AQ635" s="1240"/>
      <c r="AR635" s="1188">
        <f t="shared" si="224"/>
        <v>4128</v>
      </c>
      <c r="AS635" s="1236"/>
      <c r="AT635" s="1236"/>
      <c r="AU635" s="1188"/>
      <c r="AV635" s="1250">
        <f>I635*0.06*2</f>
        <v>247.68</v>
      </c>
      <c r="AW635" s="1429">
        <f>I635*2</f>
        <v>4128</v>
      </c>
      <c r="AX635" s="1188"/>
      <c r="AY635" s="1188"/>
      <c r="AZ635" s="1188"/>
      <c r="BA635" s="1188"/>
      <c r="BB635" s="1188"/>
      <c r="BC635" s="1188"/>
      <c r="BD635" s="1188"/>
      <c r="BE635" s="1188"/>
      <c r="BF635" s="1188"/>
      <c r="BG635" s="1188"/>
      <c r="BH635" s="1188"/>
      <c r="BI635" s="1188"/>
      <c r="BJ635" s="1188"/>
      <c r="BK635" s="1188"/>
      <c r="BL635" s="1188"/>
      <c r="BM635" s="1188"/>
      <c r="BN635" s="1188"/>
      <c r="BO635" s="1240"/>
      <c r="BP635" s="1240"/>
      <c r="BQ635" s="1188"/>
      <c r="BR635" s="1236"/>
      <c r="BS635" s="1236"/>
      <c r="BT635" s="1188"/>
      <c r="BU635" s="1188"/>
      <c r="BV635" s="1240"/>
      <c r="BW635" s="1188"/>
      <c r="BX635" s="1188"/>
      <c r="BY635" s="1188"/>
      <c r="BZ635" s="1188"/>
      <c r="CA635" s="1188"/>
      <c r="CB635" s="1188"/>
      <c r="CC635" s="1188"/>
      <c r="CD635" s="1188">
        <f t="shared" si="207"/>
        <v>0</v>
      </c>
      <c r="CE635" s="1188">
        <f t="shared" si="220"/>
        <v>0</v>
      </c>
      <c r="CF635" s="1188">
        <f t="shared" si="208"/>
        <v>0</v>
      </c>
      <c r="CG635" s="1188">
        <f t="shared" si="209"/>
        <v>0</v>
      </c>
      <c r="CH635" s="1236"/>
      <c r="CI635" s="1236"/>
      <c r="CJ635" s="1236">
        <f t="shared" si="226"/>
        <v>2064</v>
      </c>
      <c r="CK635" s="1188">
        <f t="shared" si="227"/>
        <v>2064</v>
      </c>
      <c r="CL635" s="1188">
        <f t="shared" si="228"/>
        <v>2064</v>
      </c>
    </row>
    <row r="636" s="1171" customFormat="1" customHeight="1" spans="1:111">
      <c r="A636" s="1245">
        <v>46195</v>
      </c>
      <c r="B636" s="1269" t="s">
        <v>743</v>
      </c>
      <c r="C636" s="1287" t="s">
        <v>164</v>
      </c>
      <c r="D636" s="1459">
        <v>4500213130</v>
      </c>
      <c r="E636" s="1271" t="s">
        <v>2737</v>
      </c>
      <c r="F636" s="1270" t="s">
        <v>2738</v>
      </c>
      <c r="G636" s="1272" t="s">
        <v>753</v>
      </c>
      <c r="H636" s="1234" t="s">
        <v>390</v>
      </c>
      <c r="I636" s="1273">
        <v>1512</v>
      </c>
      <c r="J636" s="1274">
        <v>0</v>
      </c>
      <c r="K636" s="1274">
        <v>12</v>
      </c>
      <c r="L636" s="1246">
        <f t="shared" si="210"/>
        <v>126</v>
      </c>
      <c r="M636" s="1255">
        <v>46240</v>
      </c>
      <c r="N636" s="1320">
        <v>46243</v>
      </c>
      <c r="O636" s="1255"/>
      <c r="P636" s="1233"/>
      <c r="Q636" s="1233" t="s">
        <v>1410</v>
      </c>
      <c r="R636" s="1234"/>
      <c r="S636" s="1234"/>
      <c r="T636" s="1233">
        <v>1512</v>
      </c>
      <c r="U636" s="1233">
        <f t="shared" si="219"/>
        <v>0</v>
      </c>
      <c r="V636" s="1234"/>
      <c r="W636" s="1238" t="s">
        <v>747</v>
      </c>
      <c r="X636" s="1227" t="s">
        <v>107</v>
      </c>
      <c r="Y636" s="1227" t="s">
        <v>2739</v>
      </c>
      <c r="Z636" s="1247" t="s">
        <v>140</v>
      </c>
      <c r="AA636" s="1247"/>
      <c r="AB636" s="1247"/>
      <c r="AC636" s="1334" t="s">
        <v>2740</v>
      </c>
      <c r="AD636" s="1519" t="s">
        <v>2610</v>
      </c>
      <c r="AE636" s="1471">
        <v>2.5332</v>
      </c>
      <c r="AF636" s="1335">
        <f t="shared" si="225"/>
        <v>3830.1984</v>
      </c>
      <c r="AG636" s="1336"/>
      <c r="AH636" s="1234" t="s">
        <v>753</v>
      </c>
      <c r="AI636" s="1234" t="s">
        <v>112</v>
      </c>
      <c r="AJ636" s="1234" t="s">
        <v>113</v>
      </c>
      <c r="AK636" s="1188">
        <f t="shared" si="223"/>
        <v>3024</v>
      </c>
      <c r="AL636" s="1188"/>
      <c r="AM636" s="1188"/>
      <c r="AN636" s="1188"/>
      <c r="AO636" s="1188"/>
      <c r="AP636" s="1188"/>
      <c r="AQ636" s="1240"/>
      <c r="AR636" s="1188">
        <f t="shared" si="224"/>
        <v>3024</v>
      </c>
      <c r="AS636" s="1236"/>
      <c r="AT636" s="1236"/>
      <c r="AU636" s="1188"/>
      <c r="AV636" s="1250"/>
      <c r="AW636" s="1250">
        <f>I636*2</f>
        <v>3024</v>
      </c>
      <c r="AX636" s="1188"/>
      <c r="AY636" s="1188"/>
      <c r="AZ636" s="1188"/>
      <c r="BA636" s="1188"/>
      <c r="BB636" s="1188"/>
      <c r="BC636" s="1188"/>
      <c r="BD636" s="1188"/>
      <c r="BE636" s="1188"/>
      <c r="BF636" s="1188"/>
      <c r="BG636" s="1188"/>
      <c r="BH636" s="1188"/>
      <c r="BI636" s="1188"/>
      <c r="BJ636" s="1188"/>
      <c r="BK636" s="1188"/>
      <c r="BL636" s="1188"/>
      <c r="BM636" s="1188"/>
      <c r="BN636" s="1188"/>
      <c r="BO636" s="1240"/>
      <c r="BP636" s="1240"/>
      <c r="BQ636" s="1188"/>
      <c r="BR636" s="1236"/>
      <c r="BS636" s="1236"/>
      <c r="BT636" s="1188"/>
      <c r="BU636" s="1188"/>
      <c r="BV636" s="1240"/>
      <c r="BW636" s="1188"/>
      <c r="BX636" s="1188"/>
      <c r="BY636" s="1188"/>
      <c r="BZ636" s="1188"/>
      <c r="CA636" s="1188"/>
      <c r="CB636" s="1188"/>
      <c r="CC636" s="1188"/>
      <c r="CD636" s="1188">
        <f t="shared" si="207"/>
        <v>0</v>
      </c>
      <c r="CE636" s="1188">
        <f t="shared" si="220"/>
        <v>0</v>
      </c>
      <c r="CF636" s="1188">
        <f t="shared" si="208"/>
        <v>0</v>
      </c>
      <c r="CG636" s="1188">
        <f t="shared" si="209"/>
        <v>0</v>
      </c>
      <c r="CH636" s="1236"/>
      <c r="CI636" s="1236"/>
      <c r="CJ636" s="1236">
        <f t="shared" si="226"/>
        <v>1512</v>
      </c>
      <c r="CK636" s="1188">
        <f t="shared" si="227"/>
        <v>1512</v>
      </c>
      <c r="CL636" s="1188">
        <f t="shared" si="228"/>
        <v>1512</v>
      </c>
      <c r="CM636" s="1168"/>
      <c r="CN636" s="1168"/>
      <c r="CO636" s="1168"/>
      <c r="CP636" s="1168"/>
      <c r="CQ636" s="1168"/>
      <c r="CR636" s="1168"/>
      <c r="CS636" s="1168"/>
      <c r="CT636" s="1168"/>
      <c r="CU636" s="1168"/>
      <c r="CV636" s="1168"/>
      <c r="CW636" s="1168"/>
      <c r="CX636" s="1168"/>
      <c r="CY636" s="1168"/>
      <c r="CZ636" s="1168"/>
      <c r="DA636" s="1168"/>
      <c r="DB636" s="1168"/>
      <c r="DC636" s="1168"/>
      <c r="DD636" s="1168"/>
      <c r="DE636" s="1168"/>
      <c r="DF636" s="1168"/>
      <c r="DG636" s="1168"/>
    </row>
    <row r="637" s="1171" customFormat="1" customHeight="1" spans="1:111">
      <c r="A637" s="1245">
        <v>46195</v>
      </c>
      <c r="B637" s="1269" t="s">
        <v>743</v>
      </c>
      <c r="C637" s="1287" t="s">
        <v>164</v>
      </c>
      <c r="D637" s="1459">
        <v>4500213130</v>
      </c>
      <c r="E637" s="1271" t="s">
        <v>2741</v>
      </c>
      <c r="F637" s="1270" t="s">
        <v>2742</v>
      </c>
      <c r="G637" s="1272" t="s">
        <v>753</v>
      </c>
      <c r="H637" s="1234" t="s">
        <v>390</v>
      </c>
      <c r="I637" s="1273">
        <v>1512</v>
      </c>
      <c r="J637" s="1274">
        <v>0</v>
      </c>
      <c r="K637" s="1274">
        <v>12</v>
      </c>
      <c r="L637" s="1246">
        <f t="shared" si="210"/>
        <v>126</v>
      </c>
      <c r="M637" s="1255">
        <v>46240</v>
      </c>
      <c r="N637" s="1320">
        <v>46243</v>
      </c>
      <c r="O637" s="1255"/>
      <c r="P637" s="1233"/>
      <c r="Q637" s="1233" t="s">
        <v>1410</v>
      </c>
      <c r="R637" s="1234"/>
      <c r="S637" s="1234"/>
      <c r="T637" s="1233">
        <v>1512</v>
      </c>
      <c r="U637" s="1233">
        <f t="shared" si="219"/>
        <v>0</v>
      </c>
      <c r="V637" s="1234"/>
      <c r="W637" s="1238" t="s">
        <v>747</v>
      </c>
      <c r="X637" s="1227" t="s">
        <v>107</v>
      </c>
      <c r="Y637" s="1227" t="s">
        <v>2739</v>
      </c>
      <c r="Z637" s="1247" t="s">
        <v>140</v>
      </c>
      <c r="AA637" s="1247"/>
      <c r="AB637" s="1247"/>
      <c r="AC637" s="1334" t="s">
        <v>2740</v>
      </c>
      <c r="AD637" s="1519" t="s">
        <v>2610</v>
      </c>
      <c r="AE637" s="1471">
        <v>2.5332</v>
      </c>
      <c r="AF637" s="1335">
        <f t="shared" si="225"/>
        <v>3830.1984</v>
      </c>
      <c r="AG637" s="1336"/>
      <c r="AH637" s="1234" t="s">
        <v>753</v>
      </c>
      <c r="AI637" s="1234" t="s">
        <v>112</v>
      </c>
      <c r="AJ637" s="1234" t="s">
        <v>113</v>
      </c>
      <c r="AK637" s="1188">
        <f t="shared" si="223"/>
        <v>3024</v>
      </c>
      <c r="AL637" s="1188"/>
      <c r="AM637" s="1188"/>
      <c r="AN637" s="1188"/>
      <c r="AO637" s="1188"/>
      <c r="AP637" s="1188"/>
      <c r="AQ637" s="1240"/>
      <c r="AR637" s="1188">
        <f t="shared" si="224"/>
        <v>3024</v>
      </c>
      <c r="AS637" s="1236"/>
      <c r="AT637" s="1236"/>
      <c r="AU637" s="1188"/>
      <c r="AV637" s="1250"/>
      <c r="AW637" s="1250">
        <f>I637*2</f>
        <v>3024</v>
      </c>
      <c r="AX637" s="1188"/>
      <c r="AY637" s="1188"/>
      <c r="AZ637" s="1188"/>
      <c r="BA637" s="1188"/>
      <c r="BB637" s="1188"/>
      <c r="BC637" s="1188"/>
      <c r="BD637" s="1188"/>
      <c r="BE637" s="1188"/>
      <c r="BF637" s="1188"/>
      <c r="BG637" s="1188"/>
      <c r="BH637" s="1188"/>
      <c r="BI637" s="1188"/>
      <c r="BJ637" s="1188"/>
      <c r="BK637" s="1188"/>
      <c r="BL637" s="1188"/>
      <c r="BM637" s="1188"/>
      <c r="BN637" s="1188"/>
      <c r="BO637" s="1240"/>
      <c r="BP637" s="1240"/>
      <c r="BQ637" s="1188"/>
      <c r="BR637" s="1236"/>
      <c r="BS637" s="1236"/>
      <c r="BT637" s="1188"/>
      <c r="BU637" s="1188"/>
      <c r="BV637" s="1240"/>
      <c r="BW637" s="1188"/>
      <c r="BX637" s="1188"/>
      <c r="BY637" s="1188"/>
      <c r="BZ637" s="1188"/>
      <c r="CA637" s="1188"/>
      <c r="CB637" s="1188"/>
      <c r="CC637" s="1188"/>
      <c r="CD637" s="1188">
        <f t="shared" si="207"/>
        <v>0</v>
      </c>
      <c r="CE637" s="1188">
        <f t="shared" si="220"/>
        <v>0</v>
      </c>
      <c r="CF637" s="1188">
        <f t="shared" si="208"/>
        <v>0</v>
      </c>
      <c r="CG637" s="1188">
        <f t="shared" si="209"/>
        <v>0</v>
      </c>
      <c r="CH637" s="1236"/>
      <c r="CI637" s="1236"/>
      <c r="CJ637" s="1236">
        <f t="shared" si="226"/>
        <v>1512</v>
      </c>
      <c r="CK637" s="1188">
        <f t="shared" si="227"/>
        <v>1512</v>
      </c>
      <c r="CL637" s="1188">
        <f t="shared" si="228"/>
        <v>1512</v>
      </c>
      <c r="CM637" s="1168"/>
      <c r="CN637" s="1168"/>
      <c r="CO637" s="1168"/>
      <c r="CP637" s="1168"/>
      <c r="CQ637" s="1168"/>
      <c r="CR637" s="1168"/>
      <c r="CS637" s="1168"/>
      <c r="CT637" s="1168"/>
      <c r="CU637" s="1168"/>
      <c r="CV637" s="1168"/>
      <c r="CW637" s="1168"/>
      <c r="CX637" s="1168"/>
      <c r="CY637" s="1168"/>
      <c r="CZ637" s="1168"/>
      <c r="DA637" s="1168"/>
      <c r="DB637" s="1168"/>
      <c r="DC637" s="1168"/>
      <c r="DD637" s="1168"/>
      <c r="DE637" s="1168"/>
      <c r="DF637" s="1168"/>
      <c r="DG637" s="1168"/>
    </row>
    <row r="638" s="1168" customFormat="1" customHeight="1" spans="1:111">
      <c r="A638" s="1245">
        <v>46167</v>
      </c>
      <c r="B638" s="1247" t="s">
        <v>2687</v>
      </c>
      <c r="C638" s="1234" t="s">
        <v>201</v>
      </c>
      <c r="D638" s="1268">
        <v>4500208841</v>
      </c>
      <c r="E638" s="1233">
        <v>40121468</v>
      </c>
      <c r="F638" s="1188" t="s">
        <v>2743</v>
      </c>
      <c r="G638" s="1253" t="s">
        <v>389</v>
      </c>
      <c r="H638" s="1234" t="s">
        <v>390</v>
      </c>
      <c r="I638" s="1254">
        <v>1200</v>
      </c>
      <c r="J638" s="1234">
        <v>0</v>
      </c>
      <c r="K638" s="1234">
        <v>12</v>
      </c>
      <c r="L638" s="1246">
        <f t="shared" si="210"/>
        <v>100</v>
      </c>
      <c r="M638" s="1255">
        <v>46240</v>
      </c>
      <c r="N638" s="1320">
        <v>46248</v>
      </c>
      <c r="O638" s="1255"/>
      <c r="P638" s="1233"/>
      <c r="Q638" s="1233" t="s">
        <v>1410</v>
      </c>
      <c r="R638" s="1234"/>
      <c r="S638" s="1234"/>
      <c r="T638" s="1233">
        <v>1200</v>
      </c>
      <c r="U638" s="1233">
        <f t="shared" si="219"/>
        <v>0</v>
      </c>
      <c r="V638" s="1234"/>
      <c r="W638" s="1256">
        <v>46181</v>
      </c>
      <c r="X638" s="1257" t="s">
        <v>95</v>
      </c>
      <c r="Y638" s="1257" t="s">
        <v>2689</v>
      </c>
      <c r="Z638" s="1247" t="s">
        <v>2690</v>
      </c>
      <c r="AA638" s="1247"/>
      <c r="AB638" s="1247"/>
      <c r="AC638" s="1247" t="s">
        <v>2744</v>
      </c>
      <c r="AD638" s="1255" t="s">
        <v>2692</v>
      </c>
      <c r="AE638" s="1188">
        <v>2.5332</v>
      </c>
      <c r="AF638" s="1248">
        <f t="shared" si="225"/>
        <v>3039.84</v>
      </c>
      <c r="AG638" s="1258"/>
      <c r="AH638" s="1516" t="s">
        <v>2208</v>
      </c>
      <c r="AI638" s="1234" t="s">
        <v>112</v>
      </c>
      <c r="AJ638" s="1234" t="s">
        <v>113</v>
      </c>
      <c r="AK638" s="1188">
        <f t="shared" si="223"/>
        <v>2400</v>
      </c>
      <c r="AL638" s="1188"/>
      <c r="AM638" s="1188"/>
      <c r="AN638" s="1188"/>
      <c r="AO638" s="1188"/>
      <c r="AP638" s="1188">
        <f>I638*2</f>
        <v>2400</v>
      </c>
      <c r="AQ638" s="1240"/>
      <c r="AR638" s="1188"/>
      <c r="AS638" s="1236"/>
      <c r="AT638" s="1236"/>
      <c r="AU638" s="1188">
        <f>I638*2</f>
        <v>2400</v>
      </c>
      <c r="AV638" s="1250">
        <f>I638*0.06*2</f>
        <v>144</v>
      </c>
      <c r="AW638" s="1250"/>
      <c r="AX638" s="1188"/>
      <c r="AY638" s="1188"/>
      <c r="AZ638" s="1188"/>
      <c r="BA638" s="1188"/>
      <c r="BB638" s="1188"/>
      <c r="BC638" s="1188"/>
      <c r="BD638" s="1188"/>
      <c r="BE638" s="1188"/>
      <c r="BF638" s="1188"/>
      <c r="BG638" s="1188"/>
      <c r="BH638" s="1188"/>
      <c r="BI638" s="1188"/>
      <c r="BJ638" s="1188"/>
      <c r="BK638" s="1188"/>
      <c r="BL638" s="1188"/>
      <c r="BM638" s="1188"/>
      <c r="BN638" s="1188"/>
      <c r="BO638" s="1240"/>
      <c r="BP638" s="1240"/>
      <c r="BQ638" s="1188"/>
      <c r="BR638" s="1236"/>
      <c r="BS638" s="1188"/>
      <c r="BT638" s="1188"/>
      <c r="BU638" s="1188"/>
      <c r="BV638" s="1240"/>
      <c r="BW638" s="1188"/>
      <c r="BX638" s="1188"/>
      <c r="BY638" s="1188"/>
      <c r="BZ638" s="1188"/>
      <c r="CA638" s="1188"/>
      <c r="CB638" s="1188"/>
      <c r="CC638" s="1188"/>
      <c r="CD638" s="1188">
        <f t="shared" si="207"/>
        <v>0</v>
      </c>
      <c r="CE638" s="1188">
        <f t="shared" si="220"/>
        <v>0</v>
      </c>
      <c r="CF638" s="1188">
        <f t="shared" si="208"/>
        <v>0</v>
      </c>
      <c r="CG638" s="1188">
        <f t="shared" si="209"/>
        <v>0</v>
      </c>
      <c r="CH638" s="1236"/>
      <c r="CI638" s="1236"/>
      <c r="CJ638" s="1236">
        <f t="shared" si="226"/>
        <v>1200</v>
      </c>
      <c r="CK638" s="1188">
        <f t="shared" si="227"/>
        <v>1200</v>
      </c>
      <c r="CL638" s="1188">
        <f t="shared" si="228"/>
        <v>1200</v>
      </c>
    </row>
    <row r="639" s="1168" customFormat="1" customHeight="1" spans="1:111">
      <c r="A639" s="1245">
        <v>46167</v>
      </c>
      <c r="B639" s="1220" t="s">
        <v>2687</v>
      </c>
      <c r="C639" s="1221" t="s">
        <v>201</v>
      </c>
      <c r="D639" s="1303">
        <v>4500208841</v>
      </c>
      <c r="E639" s="1226">
        <v>40121632</v>
      </c>
      <c r="F639" s="1222" t="s">
        <v>2745</v>
      </c>
      <c r="G639" s="1253" t="s">
        <v>389</v>
      </c>
      <c r="H639" s="1234" t="s">
        <v>390</v>
      </c>
      <c r="I639" s="1252">
        <v>300</v>
      </c>
      <c r="J639" s="1221">
        <v>0</v>
      </c>
      <c r="K639" s="1221">
        <v>12</v>
      </c>
      <c r="L639" s="1246">
        <f t="shared" si="210"/>
        <v>25</v>
      </c>
      <c r="M639" s="1255">
        <v>46240</v>
      </c>
      <c r="N639" s="1320">
        <v>46248</v>
      </c>
      <c r="O639" s="1255"/>
      <c r="P639" s="1233"/>
      <c r="Q639" s="1233" t="s">
        <v>1410</v>
      </c>
      <c r="R639" s="1234"/>
      <c r="S639" s="1234"/>
      <c r="T639" s="1233">
        <v>300</v>
      </c>
      <c r="U639" s="1233">
        <f t="shared" si="219"/>
        <v>0</v>
      </c>
      <c r="V639" s="1234"/>
      <c r="W639" s="1256">
        <v>46181</v>
      </c>
      <c r="X639" s="1257" t="s">
        <v>95</v>
      </c>
      <c r="Y639" s="1257" t="s">
        <v>2689</v>
      </c>
      <c r="Z639" s="1247" t="s">
        <v>2690</v>
      </c>
      <c r="AA639" s="1247"/>
      <c r="AB639" s="1247"/>
      <c r="AC639" s="1247" t="s">
        <v>2744</v>
      </c>
      <c r="AD639" s="1225" t="s">
        <v>2692</v>
      </c>
      <c r="AE639" s="1188">
        <v>2.5332</v>
      </c>
      <c r="AF639" s="1248">
        <f t="shared" si="225"/>
        <v>759.96</v>
      </c>
      <c r="AG639" s="1258"/>
      <c r="AH639" s="1516" t="s">
        <v>2208</v>
      </c>
      <c r="AI639" s="1234" t="s">
        <v>112</v>
      </c>
      <c r="AJ639" s="1234" t="s">
        <v>113</v>
      </c>
      <c r="AK639" s="1188">
        <f t="shared" si="223"/>
        <v>600</v>
      </c>
      <c r="AL639" s="1188"/>
      <c r="AM639" s="1188"/>
      <c r="AN639" s="1188"/>
      <c r="AO639" s="1188"/>
      <c r="AP639" s="1188">
        <f>I639*2</f>
        <v>600</v>
      </c>
      <c r="AQ639" s="1240"/>
      <c r="AR639" s="1188"/>
      <c r="AS639" s="1236"/>
      <c r="AT639" s="1236"/>
      <c r="AU639" s="1188">
        <f>I639*2</f>
        <v>600</v>
      </c>
      <c r="AV639" s="1250">
        <f>I639*0.06*2</f>
        <v>36</v>
      </c>
      <c r="AW639" s="1250"/>
      <c r="AX639" s="1188"/>
      <c r="AY639" s="1188"/>
      <c r="AZ639" s="1188"/>
      <c r="BA639" s="1188"/>
      <c r="BB639" s="1188"/>
      <c r="BC639" s="1188"/>
      <c r="BD639" s="1188"/>
      <c r="BE639" s="1188"/>
      <c r="BF639" s="1188"/>
      <c r="BG639" s="1188"/>
      <c r="BH639" s="1188"/>
      <c r="BI639" s="1188"/>
      <c r="BJ639" s="1188"/>
      <c r="BK639" s="1188"/>
      <c r="BL639" s="1188"/>
      <c r="BM639" s="1188"/>
      <c r="BN639" s="1188"/>
      <c r="BO639" s="1240"/>
      <c r="BP639" s="1240"/>
      <c r="BQ639" s="1188"/>
      <c r="BR639" s="1236"/>
      <c r="BS639" s="1236"/>
      <c r="BT639" s="1188"/>
      <c r="BU639" s="1188"/>
      <c r="BV639" s="1240"/>
      <c r="BW639" s="1188"/>
      <c r="BX639" s="1188"/>
      <c r="BY639" s="1188"/>
      <c r="BZ639" s="1188"/>
      <c r="CA639" s="1188"/>
      <c r="CB639" s="1188"/>
      <c r="CC639" s="1188"/>
      <c r="CD639" s="1188">
        <f t="shared" si="207"/>
        <v>0</v>
      </c>
      <c r="CE639" s="1188">
        <f t="shared" si="220"/>
        <v>0</v>
      </c>
      <c r="CF639" s="1188">
        <f t="shared" si="208"/>
        <v>0</v>
      </c>
      <c r="CG639" s="1188">
        <f t="shared" si="209"/>
        <v>0</v>
      </c>
      <c r="CH639" s="1236"/>
      <c r="CI639" s="1236"/>
      <c r="CJ639" s="1236">
        <f t="shared" si="226"/>
        <v>300</v>
      </c>
      <c r="CK639" s="1188">
        <f t="shared" si="227"/>
        <v>300</v>
      </c>
      <c r="CL639" s="1188">
        <f t="shared" si="228"/>
        <v>300</v>
      </c>
    </row>
    <row r="640" s="1168" customFormat="1" customHeight="1" spans="1:111">
      <c r="A640" s="1245">
        <v>46167</v>
      </c>
      <c r="B640" s="1247" t="s">
        <v>2687</v>
      </c>
      <c r="C640" s="1234" t="s">
        <v>201</v>
      </c>
      <c r="D640" s="1268">
        <v>4500208821</v>
      </c>
      <c r="E640" s="1233">
        <v>45204276</v>
      </c>
      <c r="F640" s="1188" t="s">
        <v>2746</v>
      </c>
      <c r="G640" s="1253" t="s">
        <v>389</v>
      </c>
      <c r="H640" s="1234" t="s">
        <v>390</v>
      </c>
      <c r="I640" s="1254">
        <v>120</v>
      </c>
      <c r="J640" s="1234">
        <v>0</v>
      </c>
      <c r="K640" s="1234">
        <v>12</v>
      </c>
      <c r="L640" s="1246">
        <f t="shared" si="210"/>
        <v>10</v>
      </c>
      <c r="M640" s="1255">
        <v>46240</v>
      </c>
      <c r="N640" s="1320">
        <v>46248</v>
      </c>
      <c r="O640" s="1255"/>
      <c r="P640" s="1233"/>
      <c r="Q640" s="1233" t="s">
        <v>1410</v>
      </c>
      <c r="R640" s="1234"/>
      <c r="S640" s="1234"/>
      <c r="T640" s="1233">
        <v>120</v>
      </c>
      <c r="U640" s="1233">
        <f t="shared" si="219"/>
        <v>0</v>
      </c>
      <c r="V640" s="1234"/>
      <c r="W640" s="1238">
        <v>46181</v>
      </c>
      <c r="X640" s="1227" t="s">
        <v>95</v>
      </c>
      <c r="Y640" s="1257" t="s">
        <v>2689</v>
      </c>
      <c r="Z640" s="1247" t="s">
        <v>2690</v>
      </c>
      <c r="AA640" s="1247"/>
      <c r="AB640" s="1247"/>
      <c r="AC640" s="1247" t="s">
        <v>2696</v>
      </c>
      <c r="AD640" s="1255" t="s">
        <v>2692</v>
      </c>
      <c r="AE640" s="1188">
        <v>2.5332</v>
      </c>
      <c r="AF640" s="1248">
        <f t="shared" si="225"/>
        <v>303.984</v>
      </c>
      <c r="AG640" s="1258"/>
      <c r="AH640" s="1516" t="s">
        <v>2208</v>
      </c>
      <c r="AI640" s="1234" t="s">
        <v>112</v>
      </c>
      <c r="AJ640" s="1234" t="s">
        <v>113</v>
      </c>
      <c r="AK640" s="1188">
        <f t="shared" si="223"/>
        <v>240</v>
      </c>
      <c r="AL640" s="1188"/>
      <c r="AM640" s="1188"/>
      <c r="AN640" s="1188"/>
      <c r="AO640" s="1188"/>
      <c r="AP640" s="1188">
        <f>I640*2</f>
        <v>240</v>
      </c>
      <c r="AQ640" s="1240"/>
      <c r="AR640" s="1188"/>
      <c r="AS640" s="1236"/>
      <c r="AT640" s="1236"/>
      <c r="AU640" s="1188">
        <f>I640*2</f>
        <v>240</v>
      </c>
      <c r="AV640" s="1250">
        <f>I640*0.06*2</f>
        <v>14.4</v>
      </c>
      <c r="AW640" s="1250"/>
      <c r="AX640" s="1188"/>
      <c r="AY640" s="1188"/>
      <c r="AZ640" s="1188"/>
      <c r="BA640" s="1188"/>
      <c r="BB640" s="1188"/>
      <c r="BC640" s="1188"/>
      <c r="BD640" s="1188"/>
      <c r="BE640" s="1188"/>
      <c r="BF640" s="1188"/>
      <c r="BG640" s="1188"/>
      <c r="BH640" s="1188"/>
      <c r="BI640" s="1188"/>
      <c r="BJ640" s="1188"/>
      <c r="BK640" s="1188"/>
      <c r="BL640" s="1188"/>
      <c r="BM640" s="1188"/>
      <c r="BN640" s="1188"/>
      <c r="BO640" s="1240"/>
      <c r="BP640" s="1240"/>
      <c r="BQ640" s="1188"/>
      <c r="BR640" s="1236"/>
      <c r="BS640" s="1188"/>
      <c r="BT640" s="1188"/>
      <c r="BU640" s="1188"/>
      <c r="BV640" s="1240"/>
      <c r="BW640" s="1188"/>
      <c r="BX640" s="1188"/>
      <c r="BY640" s="1188"/>
      <c r="BZ640" s="1188"/>
      <c r="CA640" s="1188"/>
      <c r="CB640" s="1188"/>
      <c r="CC640" s="1188"/>
      <c r="CD640" s="1188">
        <f t="shared" si="207"/>
        <v>0</v>
      </c>
      <c r="CE640" s="1188">
        <f t="shared" si="220"/>
        <v>0</v>
      </c>
      <c r="CF640" s="1188">
        <f t="shared" si="208"/>
        <v>0</v>
      </c>
      <c r="CG640" s="1188">
        <f t="shared" si="209"/>
        <v>0</v>
      </c>
      <c r="CH640" s="1236"/>
      <c r="CI640" s="1236"/>
      <c r="CJ640" s="1236">
        <f t="shared" si="226"/>
        <v>120</v>
      </c>
      <c r="CK640" s="1188">
        <f t="shared" si="227"/>
        <v>120</v>
      </c>
      <c r="CL640" s="1188">
        <f t="shared" si="228"/>
        <v>120</v>
      </c>
    </row>
    <row r="641" s="293" customFormat="1" customHeight="1" spans="1:111">
      <c r="A641" s="1289">
        <v>46151</v>
      </c>
      <c r="B641" s="1421" t="s">
        <v>2457</v>
      </c>
      <c r="C641" s="1422" t="s">
        <v>2458</v>
      </c>
      <c r="D641" s="1423">
        <v>4500206065</v>
      </c>
      <c r="E641" s="1421">
        <v>5000002205</v>
      </c>
      <c r="F641" s="1423" t="s">
        <v>2747</v>
      </c>
      <c r="G641" s="1424" t="s">
        <v>2460</v>
      </c>
      <c r="H641" s="544" t="s">
        <v>2461</v>
      </c>
      <c r="I641" s="1425">
        <v>15015</v>
      </c>
      <c r="J641" s="1426">
        <v>0</v>
      </c>
      <c r="K641" s="1426">
        <v>13</v>
      </c>
      <c r="L641" s="1291">
        <f t="shared" si="210"/>
        <v>1155</v>
      </c>
      <c r="M641" s="501">
        <v>46241</v>
      </c>
      <c r="N641" s="1323" t="s">
        <v>2462</v>
      </c>
      <c r="O641" s="434" t="s">
        <v>2463</v>
      </c>
      <c r="P641" s="506"/>
      <c r="Q641" s="506"/>
      <c r="R641" s="504"/>
      <c r="S641" s="504"/>
      <c r="T641" s="506"/>
      <c r="U641" s="500">
        <f t="shared" si="219"/>
        <v>-15015</v>
      </c>
      <c r="V641" s="504"/>
      <c r="W641" s="1300" t="s">
        <v>2464</v>
      </c>
      <c r="X641" s="1325" t="s">
        <v>95</v>
      </c>
      <c r="Y641" s="1325" t="s">
        <v>2465</v>
      </c>
      <c r="Z641" s="543"/>
      <c r="AA641" s="543"/>
      <c r="AB641" s="543"/>
      <c r="AC641" s="543" t="s">
        <v>2466</v>
      </c>
      <c r="AD641" s="1427" t="s">
        <v>2467</v>
      </c>
      <c r="AE641" s="548">
        <v>0.9996</v>
      </c>
      <c r="AF641" s="503">
        <f t="shared" si="225"/>
        <v>15008.994</v>
      </c>
      <c r="AG641" s="1295"/>
      <c r="AH641" s="488" t="s">
        <v>2468</v>
      </c>
      <c r="AI641" s="488" t="s">
        <v>112</v>
      </c>
      <c r="AJ641" s="504"/>
      <c r="AK641" s="502">
        <f t="shared" si="223"/>
        <v>30030</v>
      </c>
      <c r="AL641" s="502"/>
      <c r="AM641" s="502"/>
      <c r="AN641" s="1418">
        <f>I641</f>
        <v>15015</v>
      </c>
      <c r="AO641" s="502"/>
      <c r="AP641" s="502"/>
      <c r="AQ641" s="1296"/>
      <c r="AR641" s="502"/>
      <c r="AS641" s="1297"/>
      <c r="AT641" s="1297"/>
      <c r="AU641" s="502"/>
      <c r="AV641" s="1298"/>
      <c r="AW641" s="1298"/>
      <c r="AX641" s="502"/>
      <c r="AY641" s="502"/>
      <c r="AZ641" s="502">
        <f>I641</f>
        <v>15015</v>
      </c>
      <c r="BA641" s="1419">
        <f>I641/36</f>
        <v>417.083333333333</v>
      </c>
      <c r="BB641" s="502"/>
      <c r="BC641" s="502"/>
      <c r="BD641" s="502"/>
      <c r="BE641" s="502"/>
      <c r="BF641" s="502"/>
      <c r="BG641" s="502"/>
      <c r="BH641" s="502"/>
      <c r="BI641" s="502"/>
      <c r="BJ641" s="502"/>
      <c r="BK641" s="1420">
        <f>I641/13</f>
        <v>1155</v>
      </c>
      <c r="BL641" s="502"/>
      <c r="BM641" s="502"/>
      <c r="BN641" s="502"/>
      <c r="BO641" s="1296"/>
      <c r="BP641" s="1296"/>
      <c r="BQ641" s="502"/>
      <c r="BR641" s="1297"/>
      <c r="BS641" s="1297"/>
      <c r="BT641" s="502"/>
      <c r="BU641" s="502"/>
      <c r="BV641" s="1296"/>
      <c r="BW641" s="502"/>
      <c r="BX641" s="502"/>
      <c r="BY641" s="502"/>
      <c r="BZ641" s="502"/>
      <c r="CA641" s="502"/>
      <c r="CB641" s="502"/>
      <c r="CC641" s="1218"/>
      <c r="CD641" s="1218">
        <f t="shared" si="207"/>
        <v>0</v>
      </c>
      <c r="CE641" s="1218">
        <f t="shared" si="220"/>
        <v>0</v>
      </c>
      <c r="CF641" s="502">
        <f t="shared" si="208"/>
        <v>0</v>
      </c>
      <c r="CG641" s="1218">
        <f t="shared" si="209"/>
        <v>0</v>
      </c>
      <c r="CH641" s="1299"/>
      <c r="CI641" s="1299"/>
      <c r="CJ641" s="1297"/>
      <c r="CK641" s="502"/>
      <c r="CL641" s="502"/>
      <c r="CM641" s="1455"/>
      <c r="CN641" s="1455"/>
      <c r="CO641" s="1455"/>
      <c r="CP641" s="1455"/>
      <c r="CQ641" s="1455"/>
      <c r="CR641" s="1455"/>
      <c r="CS641" s="1455"/>
      <c r="CT641" s="1455"/>
      <c r="CU641" s="1455"/>
      <c r="CV641" s="1455"/>
      <c r="CW641" s="1455"/>
      <c r="CX641" s="1455"/>
      <c r="CY641" s="1455"/>
      <c r="CZ641" s="1455"/>
      <c r="DA641" s="1455"/>
      <c r="DB641" s="1455"/>
      <c r="DC641" s="1455"/>
      <c r="DD641" s="1455"/>
      <c r="DE641" s="1455"/>
      <c r="DF641" s="1455"/>
      <c r="DG641" s="1455"/>
    </row>
    <row r="642" s="1171" customFormat="1" customHeight="1" spans="1:111">
      <c r="A642" s="1245">
        <v>46188</v>
      </c>
      <c r="B642" s="1247" t="s">
        <v>626</v>
      </c>
      <c r="C642" s="1234" t="s">
        <v>627</v>
      </c>
      <c r="D642" s="1268">
        <v>4500212175</v>
      </c>
      <c r="E642" s="1234" t="s">
        <v>628</v>
      </c>
      <c r="F642" s="1188" t="s">
        <v>2748</v>
      </c>
      <c r="G642" s="1253" t="s">
        <v>188</v>
      </c>
      <c r="H642" s="1234" t="s">
        <v>138</v>
      </c>
      <c r="I642" s="1254">
        <v>3000</v>
      </c>
      <c r="J642" s="1234">
        <v>0</v>
      </c>
      <c r="K642" s="1234">
        <v>50</v>
      </c>
      <c r="L642" s="1246">
        <f t="shared" si="210"/>
        <v>60</v>
      </c>
      <c r="M642" s="1255">
        <v>46241</v>
      </c>
      <c r="N642" s="1320">
        <v>46237</v>
      </c>
      <c r="O642" s="1255"/>
      <c r="P642" s="1233"/>
      <c r="Q642" s="1233" t="s">
        <v>1410</v>
      </c>
      <c r="R642" s="1234"/>
      <c r="S642" s="1234"/>
      <c r="T642" s="1233">
        <v>3000</v>
      </c>
      <c r="U642" s="1233">
        <f t="shared" si="219"/>
        <v>0</v>
      </c>
      <c r="V642" s="1234"/>
      <c r="W642" s="1238" t="s">
        <v>1551</v>
      </c>
      <c r="X642" s="1227" t="s">
        <v>95</v>
      </c>
      <c r="Y642" s="1227" t="s">
        <v>2749</v>
      </c>
      <c r="Z642" s="1247"/>
      <c r="AA642" s="1247"/>
      <c r="AB642" s="1247"/>
      <c r="AC642" s="1334" t="s">
        <v>2750</v>
      </c>
      <c r="AD642" s="1255" t="s">
        <v>295</v>
      </c>
      <c r="AE642" s="1188">
        <v>1.1174</v>
      </c>
      <c r="AF642" s="1248">
        <f>AE642*I642</f>
        <v>3352.2</v>
      </c>
      <c r="AG642" s="1258"/>
      <c r="AH642" s="1234" t="s">
        <v>314</v>
      </c>
      <c r="AI642" s="1234" t="s">
        <v>112</v>
      </c>
      <c r="AJ642" s="1234" t="s">
        <v>113</v>
      </c>
      <c r="AK642" s="1188">
        <f>I642</f>
        <v>3000</v>
      </c>
      <c r="AL642" s="1188"/>
      <c r="AM642" s="1188"/>
      <c r="AN642" s="1188"/>
      <c r="AO642" s="1188"/>
      <c r="AP642" s="1188">
        <f>I642</f>
        <v>3000</v>
      </c>
      <c r="AQ642" s="1240"/>
      <c r="AR642" s="1188"/>
      <c r="AS642" s="1236"/>
      <c r="AT642" s="1236"/>
      <c r="AU642" s="1188">
        <f>I642</f>
        <v>3000</v>
      </c>
      <c r="AV642" s="1250"/>
      <c r="AW642" s="1250"/>
      <c r="AX642" s="1188"/>
      <c r="AY642" s="1188"/>
      <c r="AZ642" s="1188"/>
      <c r="BA642" s="1188"/>
      <c r="BB642" s="1188"/>
      <c r="BC642" s="1188"/>
      <c r="BD642" s="1188"/>
      <c r="BE642" s="1188"/>
      <c r="BF642" s="1188"/>
      <c r="BG642" s="1188"/>
      <c r="BH642" s="1188"/>
      <c r="BI642" s="1188"/>
      <c r="BJ642" s="1188"/>
      <c r="BK642" s="1188"/>
      <c r="BL642" s="1188"/>
      <c r="BM642" s="1188"/>
      <c r="BN642" s="1188"/>
      <c r="BO642" s="1240">
        <f>I642/25</f>
        <v>120</v>
      </c>
      <c r="BP642" s="1240"/>
      <c r="BQ642" s="1188"/>
      <c r="BR642" s="1236"/>
      <c r="BS642" s="1236"/>
      <c r="BT642" s="1188"/>
      <c r="BU642" s="1188"/>
      <c r="BV642" s="1240"/>
      <c r="BW642" s="1188"/>
      <c r="BX642" s="1188"/>
      <c r="BY642" s="1188"/>
      <c r="BZ642" s="1188"/>
      <c r="CA642" s="1188"/>
      <c r="CB642" s="1188"/>
      <c r="CC642" s="1188"/>
      <c r="CD642" s="1188">
        <f t="shared" si="207"/>
        <v>120</v>
      </c>
      <c r="CE642" s="1188">
        <f t="shared" si="220"/>
        <v>0</v>
      </c>
      <c r="CF642" s="1188">
        <f t="shared" si="208"/>
        <v>0</v>
      </c>
      <c r="CG642" s="1188">
        <f t="shared" si="209"/>
        <v>0</v>
      </c>
      <c r="CH642" s="1236"/>
      <c r="CI642" s="1236"/>
      <c r="CJ642" s="1236"/>
      <c r="CK642" s="1188"/>
      <c r="CL642" s="1188"/>
      <c r="CM642" s="1168"/>
      <c r="CN642" s="1168"/>
      <c r="CO642" s="1168"/>
      <c r="CP642" s="1168"/>
      <c r="CQ642" s="1168"/>
      <c r="CR642" s="1168"/>
      <c r="CS642" s="1168"/>
      <c r="CT642" s="1168"/>
      <c r="CU642" s="1168"/>
      <c r="CV642" s="1168"/>
      <c r="CW642" s="1168"/>
      <c r="CX642" s="1168"/>
      <c r="CY642" s="1168"/>
      <c r="CZ642" s="1168"/>
      <c r="DA642" s="1168"/>
      <c r="DB642" s="1168"/>
      <c r="DC642" s="1168"/>
      <c r="DD642" s="1168"/>
      <c r="DE642" s="1168"/>
      <c r="DF642" s="1168"/>
      <c r="DG642" s="1168"/>
    </row>
    <row r="643" s="1168" customFormat="1" customHeight="1" spans="1:111">
      <c r="A643" s="1245">
        <v>46162</v>
      </c>
      <c r="B643" s="1460" t="s">
        <v>2751</v>
      </c>
      <c r="C643" s="1461" t="s">
        <v>115</v>
      </c>
      <c r="D643" s="1464">
        <v>4500208146</v>
      </c>
      <c r="E643" s="1463" t="s">
        <v>628</v>
      </c>
      <c r="F643" s="1464" t="s">
        <v>2752</v>
      </c>
      <c r="G643" s="1465" t="s">
        <v>174</v>
      </c>
      <c r="H643" s="1221" t="s">
        <v>175</v>
      </c>
      <c r="I643" s="1466">
        <v>2704</v>
      </c>
      <c r="J643" s="1467">
        <v>0</v>
      </c>
      <c r="K643" s="1467">
        <v>52</v>
      </c>
      <c r="L643" s="1246">
        <f t="shared" si="210"/>
        <v>52</v>
      </c>
      <c r="M643" s="1225">
        <v>46241</v>
      </c>
      <c r="N643" s="1255">
        <v>46237</v>
      </c>
      <c r="O643" s="1225"/>
      <c r="P643" s="1233"/>
      <c r="Q643" s="1233" t="s">
        <v>1410</v>
      </c>
      <c r="R643" s="1234" t="s">
        <v>1322</v>
      </c>
      <c r="S643" s="1234"/>
      <c r="T643" s="1233">
        <v>2704</v>
      </c>
      <c r="U643" s="1233">
        <f t="shared" si="219"/>
        <v>0</v>
      </c>
      <c r="V643" s="1188"/>
      <c r="W643" s="1238" t="s">
        <v>2658</v>
      </c>
      <c r="X643" s="1227" t="s">
        <v>95</v>
      </c>
      <c r="Y643" s="1227" t="s">
        <v>95</v>
      </c>
      <c r="Z643" s="1247"/>
      <c r="AA643" s="1247"/>
      <c r="AB643" s="1247"/>
      <c r="AC643" s="1220" t="s">
        <v>2753</v>
      </c>
      <c r="AD643" s="1468" t="s">
        <v>2754</v>
      </c>
      <c r="AE643" s="1188">
        <v>0.671</v>
      </c>
      <c r="AF643" s="1248">
        <f>I643*AE643</f>
        <v>1814.384</v>
      </c>
      <c r="AG643" s="1258"/>
      <c r="AH643" s="1253" t="s">
        <v>174</v>
      </c>
      <c r="AI643" s="1234" t="s">
        <v>112</v>
      </c>
      <c r="AJ643" s="1234" t="s">
        <v>113</v>
      </c>
      <c r="AK643" s="1188">
        <f>I643*2</f>
        <v>5408</v>
      </c>
      <c r="AL643" s="1188"/>
      <c r="AM643" s="1188"/>
      <c r="AN643" s="1188">
        <f>I643</f>
        <v>2704</v>
      </c>
      <c r="AO643" s="1188"/>
      <c r="AP643" s="1188"/>
      <c r="AQ643" s="1240"/>
      <c r="AR643" s="1188"/>
      <c r="AS643" s="1236"/>
      <c r="AT643" s="1236"/>
      <c r="AU643" s="1188">
        <f>I643</f>
        <v>2704</v>
      </c>
      <c r="AV643" s="1250">
        <f>I643*0.06*2</f>
        <v>324.48</v>
      </c>
      <c r="AW643" s="1250"/>
      <c r="AX643" s="1188"/>
      <c r="AY643" s="1188"/>
      <c r="AZ643" s="1188"/>
      <c r="BA643" s="1188"/>
      <c r="BB643" s="1188"/>
      <c r="BC643" s="1188"/>
      <c r="BD643" s="1188"/>
      <c r="BE643" s="1188"/>
      <c r="BF643" s="1188"/>
      <c r="BG643" s="1188"/>
      <c r="BH643" s="1188"/>
      <c r="BI643" s="1188"/>
      <c r="BJ643" s="1188"/>
      <c r="BK643" s="1188">
        <f>I643/13</f>
        <v>208</v>
      </c>
      <c r="BL643" s="1188"/>
      <c r="BM643" s="1188"/>
      <c r="BN643" s="1188"/>
      <c r="BO643" s="1240"/>
      <c r="BP643" s="1240"/>
      <c r="BQ643" s="1188"/>
      <c r="BR643" s="1236"/>
      <c r="BS643" s="1236"/>
      <c r="BT643" s="1188"/>
      <c r="BU643" s="1188"/>
      <c r="BV643" s="1240"/>
      <c r="BW643" s="1188"/>
      <c r="BX643" s="1188"/>
      <c r="BY643" s="1188"/>
      <c r="BZ643" s="1188"/>
      <c r="CA643" s="1188"/>
      <c r="CB643" s="1188"/>
      <c r="CC643" s="1188"/>
      <c r="CD643" s="1188">
        <f t="shared" si="207"/>
        <v>0</v>
      </c>
      <c r="CE643" s="1188">
        <f t="shared" si="220"/>
        <v>0</v>
      </c>
      <c r="CF643" s="1188">
        <f t="shared" si="208"/>
        <v>0</v>
      </c>
      <c r="CG643" s="1188">
        <f t="shared" si="209"/>
        <v>0</v>
      </c>
      <c r="CH643" s="1236"/>
      <c r="CI643" s="1236"/>
      <c r="CJ643" s="1236"/>
      <c r="CK643" s="1188"/>
      <c r="CL643" s="1188"/>
      <c r="CM643" s="1260"/>
      <c r="CN643" s="1260"/>
      <c r="CO643" s="1260"/>
      <c r="CP643" s="1260"/>
      <c r="CQ643" s="1260"/>
      <c r="CR643" s="1260"/>
      <c r="CS643" s="1260"/>
      <c r="CT643" s="1260"/>
      <c r="CU643" s="1260"/>
      <c r="CV643" s="1260"/>
      <c r="CW643" s="1260"/>
      <c r="CX643" s="1260"/>
      <c r="CY643" s="1260"/>
      <c r="CZ643" s="1260"/>
      <c r="DA643" s="1260"/>
      <c r="DB643" s="1260"/>
      <c r="DC643" s="1260"/>
      <c r="DD643" s="1260"/>
      <c r="DE643" s="1260"/>
      <c r="DF643" s="1260"/>
      <c r="DG643" s="1260"/>
    </row>
    <row r="644" s="1169" customFormat="1" customHeight="1" spans="1:111">
      <c r="A644" s="1219">
        <v>46191</v>
      </c>
      <c r="B644" s="1220" t="s">
        <v>2755</v>
      </c>
      <c r="C644" s="1221" t="s">
        <v>164</v>
      </c>
      <c r="D644" s="1303">
        <v>4500213100</v>
      </c>
      <c r="E644" s="1226">
        <v>5200010669</v>
      </c>
      <c r="F644" s="1222" t="s">
        <v>2756</v>
      </c>
      <c r="G644" s="1223" t="s">
        <v>193</v>
      </c>
      <c r="H644" s="1221" t="s">
        <v>194</v>
      </c>
      <c r="I644" s="1392">
        <v>13000</v>
      </c>
      <c r="J644" s="1221">
        <v>0</v>
      </c>
      <c r="K644" s="1221">
        <v>13</v>
      </c>
      <c r="L644" s="1224">
        <f t="shared" si="210"/>
        <v>1000</v>
      </c>
      <c r="M644" s="1338">
        <v>46241</v>
      </c>
      <c r="N644" s="1338">
        <v>46237</v>
      </c>
      <c r="O644" s="1255"/>
      <c r="P644" s="1226" t="s">
        <v>2757</v>
      </c>
      <c r="Q644" s="1233" t="s">
        <v>1410</v>
      </c>
      <c r="R644" s="1221" t="s">
        <v>2758</v>
      </c>
      <c r="S644" s="1221"/>
      <c r="T644" s="1226">
        <v>13000</v>
      </c>
      <c r="U644" s="1233">
        <f t="shared" si="219"/>
        <v>0</v>
      </c>
      <c r="V644" s="1221"/>
      <c r="W644" s="1256">
        <v>46196</v>
      </c>
      <c r="X644" s="1227" t="s">
        <v>95</v>
      </c>
      <c r="Y644" s="1227" t="s">
        <v>2759</v>
      </c>
      <c r="Z644" s="1220"/>
      <c r="AA644" s="1220"/>
      <c r="AB644" s="1220"/>
      <c r="AC644" s="1520" t="s">
        <v>2760</v>
      </c>
      <c r="AD644" s="1225" t="s">
        <v>2761</v>
      </c>
      <c r="AE644" s="1222">
        <v>1.0563</v>
      </c>
      <c r="AF644" s="1229">
        <f>I644*AE644</f>
        <v>13731.9</v>
      </c>
      <c r="AG644" s="1230"/>
      <c r="AH644" s="1234" t="s">
        <v>199</v>
      </c>
      <c r="AI644" s="1221" t="s">
        <v>112</v>
      </c>
      <c r="AJ644" s="1234"/>
      <c r="AK644" s="1222">
        <f>I644</f>
        <v>13000</v>
      </c>
      <c r="AL644" s="1222"/>
      <c r="AM644" s="1222"/>
      <c r="AN644" s="1222"/>
      <c r="AO644" s="1222"/>
      <c r="AP644" s="1188">
        <f>I644</f>
        <v>13000</v>
      </c>
      <c r="AQ644" s="1240"/>
      <c r="AR644" s="1188"/>
      <c r="AS644" s="1236"/>
      <c r="AT644" s="1236"/>
      <c r="AU644" s="1188">
        <f>I644</f>
        <v>13000</v>
      </c>
      <c r="AV644" s="1241"/>
      <c r="AW644" s="1241"/>
      <c r="AX644" s="1222"/>
      <c r="AY644" s="1222"/>
      <c r="AZ644" s="1222"/>
      <c r="BA644" s="1222"/>
      <c r="BB644" s="1222"/>
      <c r="BC644" s="1222"/>
      <c r="BD644" s="1222"/>
      <c r="BE644" s="1222"/>
      <c r="BF644" s="1222"/>
      <c r="BG644" s="1222"/>
      <c r="BH644" s="1222"/>
      <c r="BI644" s="1222"/>
      <c r="BJ644" s="1222"/>
      <c r="BK644" s="1222"/>
      <c r="BL644" s="1222">
        <f>I644/13</f>
        <v>1000</v>
      </c>
      <c r="BM644" s="1222"/>
      <c r="BN644" s="1222"/>
      <c r="BO644" s="1242"/>
      <c r="BP644" s="1242"/>
      <c r="BQ644" s="1222"/>
      <c r="BR644" s="1232"/>
      <c r="BS644" s="1232"/>
      <c r="BT644" s="1222"/>
      <c r="BU644" s="1222"/>
      <c r="BV644" s="1242"/>
      <c r="BW644" s="1222"/>
      <c r="BX644" s="1222"/>
      <c r="BY644" s="1222"/>
      <c r="BZ644" s="1222"/>
      <c r="CA644" s="1222"/>
      <c r="CB644" s="1222"/>
      <c r="CC644" s="1222"/>
      <c r="CD644" s="1188">
        <f t="shared" ref="CD644:CD692" si="229">BN644+BO644+BQ644+BS644+BR644</f>
        <v>0</v>
      </c>
      <c r="CE644" s="1188">
        <f t="shared" si="220"/>
        <v>0</v>
      </c>
      <c r="CF644" s="1188">
        <f t="shared" ref="CF644:CF692" si="230">CC644</f>
        <v>0</v>
      </c>
      <c r="CG644" s="1188">
        <f t="shared" ref="CG644:CG692" si="231">BV644+BW644+BX644</f>
        <v>0</v>
      </c>
      <c r="CH644" s="1232"/>
      <c r="CI644" s="1232"/>
      <c r="CJ644" s="1232"/>
      <c r="CK644" s="1222"/>
      <c r="CL644" s="1222"/>
      <c r="CM644" s="1260"/>
      <c r="CN644" s="1260"/>
      <c r="CO644" s="1260"/>
      <c r="CP644" s="1260"/>
      <c r="CQ644" s="1260"/>
      <c r="CR644" s="1260"/>
      <c r="CS644" s="1260"/>
      <c r="CT644" s="1260"/>
      <c r="CU644" s="1260"/>
      <c r="CV644" s="1260"/>
      <c r="CW644" s="1260"/>
      <c r="CX644" s="1260"/>
      <c r="CY644" s="1260"/>
      <c r="CZ644" s="1260"/>
      <c r="DA644" s="1260"/>
      <c r="DB644" s="1260"/>
      <c r="DC644" s="1260"/>
      <c r="DD644" s="1260"/>
      <c r="DE644" s="1260"/>
      <c r="DF644" s="1260"/>
      <c r="DG644" s="1260"/>
    </row>
    <row r="645" s="1168" customFormat="1" customHeight="1" spans="1:111">
      <c r="A645" s="1245">
        <v>46205</v>
      </c>
      <c r="B645" s="1247" t="s">
        <v>114</v>
      </c>
      <c r="C645" s="1234" t="s">
        <v>115</v>
      </c>
      <c r="D645" s="1268">
        <v>4500214709</v>
      </c>
      <c r="E645" s="1234" t="s">
        <v>2762</v>
      </c>
      <c r="F645" s="1188" t="s">
        <v>2763</v>
      </c>
      <c r="G645" s="1253" t="s">
        <v>118</v>
      </c>
      <c r="H645" s="1234" t="s">
        <v>104</v>
      </c>
      <c r="I645" s="1254">
        <v>23800</v>
      </c>
      <c r="J645" s="1234">
        <v>0</v>
      </c>
      <c r="K645" s="1234">
        <v>25</v>
      </c>
      <c r="L645" s="1246">
        <f t="shared" si="210"/>
        <v>952</v>
      </c>
      <c r="M645" s="1255">
        <v>46241</v>
      </c>
      <c r="N645" s="1255">
        <v>46237</v>
      </c>
      <c r="O645" s="1255"/>
      <c r="P645" s="1233" t="s">
        <v>2764</v>
      </c>
      <c r="Q645" s="1233" t="s">
        <v>1410</v>
      </c>
      <c r="R645" s="1234"/>
      <c r="S645" s="1234"/>
      <c r="T645" s="1233">
        <v>23800</v>
      </c>
      <c r="U645" s="1233">
        <f t="shared" si="219"/>
        <v>0</v>
      </c>
      <c r="V645" s="1234" t="s">
        <v>120</v>
      </c>
      <c r="W645" s="1238" t="s">
        <v>2658</v>
      </c>
      <c r="X645" s="1257" t="s">
        <v>107</v>
      </c>
      <c r="Y645" s="1227" t="s">
        <v>2659</v>
      </c>
      <c r="Z645" s="1247"/>
      <c r="AA645" s="1247"/>
      <c r="AB645" s="1247"/>
      <c r="AC645" s="1220" t="s">
        <v>2660</v>
      </c>
      <c r="AD645" s="1255" t="s">
        <v>123</v>
      </c>
      <c r="AE645" s="1188">
        <v>0.6406</v>
      </c>
      <c r="AF645" s="1248">
        <f>AE645*I645</f>
        <v>15246.28</v>
      </c>
      <c r="AG645" s="1258"/>
      <c r="AH645" s="1342" t="s">
        <v>118</v>
      </c>
      <c r="AI645" s="1234" t="s">
        <v>112</v>
      </c>
      <c r="AJ645" s="1234" t="s">
        <v>113</v>
      </c>
      <c r="AK645" s="1188"/>
      <c r="AL645" s="1188"/>
      <c r="AM645" s="1188">
        <f>I645</f>
        <v>23800</v>
      </c>
      <c r="AN645" s="1188"/>
      <c r="AO645" s="1188"/>
      <c r="AP645" s="1188"/>
      <c r="AQ645" s="1240"/>
      <c r="AR645" s="1188"/>
      <c r="AS645" s="1236"/>
      <c r="AT645" s="1236">
        <f>I645</f>
        <v>23800</v>
      </c>
      <c r="AU645" s="1188">
        <f>I645</f>
        <v>23800</v>
      </c>
      <c r="AV645" s="1250">
        <f>I645*0.06</f>
        <v>1428</v>
      </c>
      <c r="AW645" s="1250"/>
      <c r="AX645" s="1188"/>
      <c r="AY645" s="1188"/>
      <c r="AZ645" s="1188"/>
      <c r="BA645" s="1188"/>
      <c r="BB645" s="1188"/>
      <c r="BC645" s="1188"/>
      <c r="BD645" s="1188"/>
      <c r="BE645" s="1188"/>
      <c r="BF645" s="1188"/>
      <c r="BG645" s="1188"/>
      <c r="BH645" s="1188"/>
      <c r="BI645" s="1188"/>
      <c r="BJ645" s="1188"/>
      <c r="BK645" s="1188"/>
      <c r="BL645" s="1188"/>
      <c r="BM645" s="1188"/>
      <c r="BN645" s="1188"/>
      <c r="BO645" s="1240"/>
      <c r="BP645" s="1240"/>
      <c r="BQ645" s="1188"/>
      <c r="BR645" s="1236"/>
      <c r="BS645" s="1236"/>
      <c r="BT645" s="1188"/>
      <c r="BU645" s="1188">
        <f>I645/25</f>
        <v>952</v>
      </c>
      <c r="BV645" s="1240"/>
      <c r="BW645" s="1188"/>
      <c r="BX645" s="1188"/>
      <c r="BY645" s="1188"/>
      <c r="BZ645" s="1188"/>
      <c r="CA645" s="1188"/>
      <c r="CB645" s="1188"/>
      <c r="CC645" s="1188"/>
      <c r="CD645" s="1188">
        <f t="shared" si="229"/>
        <v>0</v>
      </c>
      <c r="CE645" s="1188">
        <f t="shared" si="220"/>
        <v>952</v>
      </c>
      <c r="CF645" s="1188">
        <f t="shared" si="230"/>
        <v>0</v>
      </c>
      <c r="CG645" s="1188">
        <f t="shared" si="231"/>
        <v>0</v>
      </c>
      <c r="CH645" s="1236"/>
      <c r="CI645" s="1236"/>
      <c r="CJ645" s="1236"/>
      <c r="CK645" s="1188"/>
      <c r="CL645" s="1188"/>
      <c r="CM645" s="1260"/>
      <c r="CN645" s="1260"/>
      <c r="CO645" s="1260"/>
      <c r="CP645" s="1260"/>
      <c r="CQ645" s="1260"/>
      <c r="CR645" s="1260"/>
      <c r="CS645" s="1260"/>
      <c r="CT645" s="1260"/>
      <c r="CU645" s="1260"/>
      <c r="CV645" s="1260"/>
      <c r="CW645" s="1260"/>
      <c r="CX645" s="1260"/>
      <c r="CY645" s="1260"/>
      <c r="CZ645" s="1260"/>
      <c r="DA645" s="1260"/>
      <c r="DB645" s="1260"/>
      <c r="DC645" s="1260"/>
      <c r="DD645" s="1260"/>
      <c r="DE645" s="1260"/>
      <c r="DF645" s="1260"/>
      <c r="DG645" s="1260"/>
    </row>
    <row r="646" s="1168" customFormat="1" customHeight="1" spans="1:111">
      <c r="A646" s="1245">
        <v>46233</v>
      </c>
      <c r="B646" s="1269" t="s">
        <v>674</v>
      </c>
      <c r="C646" s="1287" t="s">
        <v>101</v>
      </c>
      <c r="D646" s="1270">
        <v>4500218194</v>
      </c>
      <c r="E646" s="1271">
        <v>29652569</v>
      </c>
      <c r="F646" s="1270" t="s">
        <v>2765</v>
      </c>
      <c r="G646" s="1272" t="s">
        <v>2628</v>
      </c>
      <c r="H646" s="1247" t="s">
        <v>138</v>
      </c>
      <c r="I646" s="1273">
        <v>3250</v>
      </c>
      <c r="J646" s="1274">
        <v>0</v>
      </c>
      <c r="K646" s="1274">
        <v>50</v>
      </c>
      <c r="L646" s="1246">
        <f t="shared" si="210"/>
        <v>65</v>
      </c>
      <c r="M646" s="1255">
        <v>46241</v>
      </c>
      <c r="N646" s="1255">
        <f>M646-4</f>
        <v>46237</v>
      </c>
      <c r="O646" s="1255"/>
      <c r="P646" s="1233" t="s">
        <v>2766</v>
      </c>
      <c r="Q646" s="1233" t="s">
        <v>1410</v>
      </c>
      <c r="R646" s="1234" t="s">
        <v>2603</v>
      </c>
      <c r="S646" s="1234"/>
      <c r="T646" s="1233">
        <v>3250</v>
      </c>
      <c r="U646" s="1233">
        <f t="shared" si="219"/>
        <v>0</v>
      </c>
      <c r="V646" s="1234"/>
      <c r="W646" s="1238">
        <v>46233</v>
      </c>
      <c r="X646" s="1227" t="s">
        <v>95</v>
      </c>
      <c r="Y646" s="1257" t="s">
        <v>95</v>
      </c>
      <c r="Z646" s="1247" t="s">
        <v>360</v>
      </c>
      <c r="AA646" s="1247"/>
      <c r="AB646" s="1247"/>
      <c r="AC646" s="1334" t="s">
        <v>2767</v>
      </c>
      <c r="AD646" s="1275" t="s">
        <v>676</v>
      </c>
      <c r="AE646" s="1276">
        <v>1.1533</v>
      </c>
      <c r="AF646" s="1248">
        <f>I646*AE646</f>
        <v>3748.225</v>
      </c>
      <c r="AG646" s="1258"/>
      <c r="AH646" s="1342" t="s">
        <v>2631</v>
      </c>
      <c r="AI646" s="1234" t="s">
        <v>112</v>
      </c>
      <c r="AJ646" s="1234"/>
      <c r="AK646" s="1188">
        <f t="shared" ref="AK646:AK664" si="232">I646</f>
        <v>3250</v>
      </c>
      <c r="AL646" s="1188"/>
      <c r="AM646" s="1188"/>
      <c r="AN646" s="1188">
        <f>I646</f>
        <v>3250</v>
      </c>
      <c r="AO646" s="1188"/>
      <c r="AP646" s="1188"/>
      <c r="AQ646" s="1240"/>
      <c r="AR646" s="1188"/>
      <c r="AS646" s="1236"/>
      <c r="AT646" s="1236"/>
      <c r="AU646" s="1188"/>
      <c r="AV646" s="1250">
        <f>I646*0.06</f>
        <v>195</v>
      </c>
      <c r="AW646" s="1250"/>
      <c r="AX646" s="1188">
        <f>I646</f>
        <v>3250</v>
      </c>
      <c r="AY646" s="1188"/>
      <c r="AZ646" s="1188"/>
      <c r="BA646" s="1188"/>
      <c r="BB646" s="1188"/>
      <c r="BC646" s="1188"/>
      <c r="BD646" s="1188"/>
      <c r="BE646" s="1188"/>
      <c r="BF646" s="1188"/>
      <c r="BG646" s="1188"/>
      <c r="BH646" s="1188"/>
      <c r="BI646" s="1188"/>
      <c r="BJ646" s="1188"/>
      <c r="BK646" s="1188"/>
      <c r="BL646" s="1188"/>
      <c r="BM646" s="1188"/>
      <c r="BN646" s="1188"/>
      <c r="BO646" s="1240"/>
      <c r="BP646" s="1240"/>
      <c r="BQ646" s="1188">
        <f>I646/25</f>
        <v>130</v>
      </c>
      <c r="BR646" s="1236"/>
      <c r="BS646" s="1236"/>
      <c r="BT646" s="1188"/>
      <c r="BU646" s="1188"/>
      <c r="BV646" s="1240"/>
      <c r="BW646" s="1188"/>
      <c r="BX646" s="1188"/>
      <c r="BY646" s="1188"/>
      <c r="BZ646" s="1188"/>
      <c r="CA646" s="1188"/>
      <c r="CB646" s="1188"/>
      <c r="CC646" s="1188"/>
      <c r="CD646" s="1188">
        <f t="shared" si="229"/>
        <v>130</v>
      </c>
      <c r="CE646" s="1188">
        <f t="shared" si="220"/>
        <v>0</v>
      </c>
      <c r="CF646" s="1188">
        <f t="shared" si="230"/>
        <v>0</v>
      </c>
      <c r="CG646" s="1188">
        <f t="shared" si="231"/>
        <v>0</v>
      </c>
      <c r="CH646" s="1236"/>
      <c r="CI646" s="1236"/>
      <c r="CJ646" s="1236"/>
      <c r="CK646" s="1188"/>
      <c r="CL646" s="1188"/>
    </row>
    <row r="647" s="1168" customFormat="1" customHeight="1" spans="1:111">
      <c r="A647" s="1245">
        <v>46233</v>
      </c>
      <c r="B647" s="1460" t="s">
        <v>674</v>
      </c>
      <c r="C647" s="1461" t="s">
        <v>101</v>
      </c>
      <c r="D647" s="1464">
        <v>4500218194</v>
      </c>
      <c r="E647" s="1463">
        <v>29758026</v>
      </c>
      <c r="F647" s="1464" t="s">
        <v>2768</v>
      </c>
      <c r="G647" s="1465" t="s">
        <v>2628</v>
      </c>
      <c r="H647" s="1247" t="s">
        <v>138</v>
      </c>
      <c r="I647" s="1466">
        <v>1750</v>
      </c>
      <c r="J647" s="1467">
        <v>0</v>
      </c>
      <c r="K647" s="1467">
        <v>50</v>
      </c>
      <c r="L647" s="1246">
        <f t="shared" si="210"/>
        <v>35</v>
      </c>
      <c r="M647" s="1225">
        <v>46241</v>
      </c>
      <c r="N647" s="1225">
        <f>M647-4</f>
        <v>46237</v>
      </c>
      <c r="O647" s="1255"/>
      <c r="P647" s="1233" t="s">
        <v>2766</v>
      </c>
      <c r="Q647" s="1233" t="s">
        <v>1410</v>
      </c>
      <c r="R647" s="1234" t="s">
        <v>2603</v>
      </c>
      <c r="S647" s="1234"/>
      <c r="T647" s="1233">
        <v>1750</v>
      </c>
      <c r="U647" s="1233">
        <f t="shared" si="219"/>
        <v>0</v>
      </c>
      <c r="V647" s="1234"/>
      <c r="W647" s="1238">
        <v>46233</v>
      </c>
      <c r="X647" s="1257" t="s">
        <v>95</v>
      </c>
      <c r="Y647" s="1257" t="s">
        <v>95</v>
      </c>
      <c r="Z647" s="1247" t="s">
        <v>360</v>
      </c>
      <c r="AA647" s="1247"/>
      <c r="AB647" s="1247"/>
      <c r="AC647" s="1334" t="s">
        <v>2767</v>
      </c>
      <c r="AD647" s="1468" t="s">
        <v>676</v>
      </c>
      <c r="AE647" s="1276">
        <v>1.1533</v>
      </c>
      <c r="AF647" s="1248">
        <f>I647*AE647</f>
        <v>2018.275</v>
      </c>
      <c r="AG647" s="1258"/>
      <c r="AH647" s="1234" t="s">
        <v>2631</v>
      </c>
      <c r="AI647" s="1234" t="s">
        <v>112</v>
      </c>
      <c r="AJ647" s="1234"/>
      <c r="AK647" s="1188">
        <f t="shared" si="232"/>
        <v>1750</v>
      </c>
      <c r="AL647" s="1188"/>
      <c r="AM647" s="1188"/>
      <c r="AN647" s="1188">
        <f>I647</f>
        <v>1750</v>
      </c>
      <c r="AO647" s="1188"/>
      <c r="AP647" s="1188"/>
      <c r="AQ647" s="1240"/>
      <c r="AR647" s="1188"/>
      <c r="AS647" s="1236"/>
      <c r="AT647" s="1236"/>
      <c r="AU647" s="1188"/>
      <c r="AV647" s="1250">
        <f>I647*0.06</f>
        <v>105</v>
      </c>
      <c r="AW647" s="1250"/>
      <c r="AX647" s="1188">
        <f>I647</f>
        <v>1750</v>
      </c>
      <c r="AY647" s="1188"/>
      <c r="AZ647" s="1188"/>
      <c r="BA647" s="1188"/>
      <c r="BB647" s="1188"/>
      <c r="BC647" s="1188"/>
      <c r="BD647" s="1188"/>
      <c r="BE647" s="1188"/>
      <c r="BF647" s="1188"/>
      <c r="BG647" s="1188"/>
      <c r="BH647" s="1188"/>
      <c r="BI647" s="1188"/>
      <c r="BJ647" s="1188"/>
      <c r="BK647" s="1188"/>
      <c r="BL647" s="1188"/>
      <c r="BM647" s="1188"/>
      <c r="BN647" s="1188"/>
      <c r="BO647" s="1240"/>
      <c r="BP647" s="1240"/>
      <c r="BQ647" s="1188">
        <f>I647/25</f>
        <v>70</v>
      </c>
      <c r="BR647" s="1236"/>
      <c r="BS647" s="1236"/>
      <c r="BT647" s="1188"/>
      <c r="BU647" s="1188"/>
      <c r="BV647" s="1240"/>
      <c r="BW647" s="1188"/>
      <c r="BX647" s="1188"/>
      <c r="BY647" s="1188"/>
      <c r="BZ647" s="1188"/>
      <c r="CA647" s="1188"/>
      <c r="CB647" s="1188"/>
      <c r="CC647" s="1188"/>
      <c r="CD647" s="1188">
        <f t="shared" si="229"/>
        <v>70</v>
      </c>
      <c r="CE647" s="1188">
        <f t="shared" si="220"/>
        <v>0</v>
      </c>
      <c r="CF647" s="1188">
        <f t="shared" si="230"/>
        <v>0</v>
      </c>
      <c r="CG647" s="1188">
        <f t="shared" si="231"/>
        <v>0</v>
      </c>
      <c r="CH647" s="1236"/>
      <c r="CI647" s="1236"/>
      <c r="CJ647" s="1236"/>
      <c r="CK647" s="1188"/>
      <c r="CL647" s="1188"/>
    </row>
    <row r="648" s="1172" customFormat="1" customHeight="1" spans="1:111">
      <c r="A648" s="1219">
        <v>46183</v>
      </c>
      <c r="B648" s="1220" t="s">
        <v>163</v>
      </c>
      <c r="C648" s="1221" t="s">
        <v>164</v>
      </c>
      <c r="D648" s="1222">
        <v>4500211476</v>
      </c>
      <c r="E648" s="1221">
        <v>4400555635</v>
      </c>
      <c r="F648" s="1222" t="s">
        <v>2769</v>
      </c>
      <c r="G648" s="1223" t="s">
        <v>270</v>
      </c>
      <c r="H648" s="1221" t="s">
        <v>104</v>
      </c>
      <c r="I648" s="1252">
        <v>12500</v>
      </c>
      <c r="J648" s="1221">
        <v>0</v>
      </c>
      <c r="K648" s="1221">
        <v>25</v>
      </c>
      <c r="L648" s="1224">
        <f t="shared" si="210"/>
        <v>500</v>
      </c>
      <c r="M648" s="1225">
        <v>46241</v>
      </c>
      <c r="N648" s="1338">
        <v>46239</v>
      </c>
      <c r="O648" s="1225"/>
      <c r="P648" s="1226"/>
      <c r="Q648" s="1233" t="s">
        <v>1410</v>
      </c>
      <c r="R648" s="1221" t="s">
        <v>2652</v>
      </c>
      <c r="S648" s="1221"/>
      <c r="T648" s="1226">
        <v>12500</v>
      </c>
      <c r="U648" s="1233">
        <f t="shared" si="219"/>
        <v>0</v>
      </c>
      <c r="V648" s="1221"/>
      <c r="W648" s="1256">
        <v>46183</v>
      </c>
      <c r="X648" s="1227" t="s">
        <v>95</v>
      </c>
      <c r="Y648" s="1257" t="s">
        <v>1794</v>
      </c>
      <c r="Z648" s="1220" t="s">
        <v>140</v>
      </c>
      <c r="AA648" s="1220"/>
      <c r="AB648" s="1220" t="s">
        <v>2770</v>
      </c>
      <c r="AC648" s="1247" t="s">
        <v>2771</v>
      </c>
      <c r="AD648" s="1225" t="s">
        <v>142</v>
      </c>
      <c r="AE648" s="1521">
        <v>1.1359</v>
      </c>
      <c r="AF648" s="1229">
        <f>I648*AE648</f>
        <v>14198.75</v>
      </c>
      <c r="AG648" s="1230"/>
      <c r="AH648" s="1253" t="s">
        <v>270</v>
      </c>
      <c r="AI648" s="1221" t="s">
        <v>112</v>
      </c>
      <c r="AJ648" s="1234" t="s">
        <v>113</v>
      </c>
      <c r="AK648" s="1188">
        <f t="shared" si="232"/>
        <v>12500</v>
      </c>
      <c r="AL648" s="1222"/>
      <c r="AM648" s="1222"/>
      <c r="AN648" s="1222"/>
      <c r="AO648" s="1222"/>
      <c r="AP648" s="1188"/>
      <c r="AQ648" s="1240"/>
      <c r="AR648" s="1188"/>
      <c r="AS648" s="1236"/>
      <c r="AT648" s="1236"/>
      <c r="AU648" s="1188"/>
      <c r="AV648" s="1250">
        <f>I648*0.06</f>
        <v>750</v>
      </c>
      <c r="AW648" s="1241"/>
      <c r="AX648" s="1222"/>
      <c r="AY648" s="1222"/>
      <c r="AZ648" s="1222"/>
      <c r="BA648" s="1222"/>
      <c r="BB648" s="1222"/>
      <c r="BC648" s="1222"/>
      <c r="BD648" s="1222"/>
      <c r="BE648" s="1222"/>
      <c r="BF648" s="1222"/>
      <c r="BG648" s="1222">
        <f>I648</f>
        <v>12500</v>
      </c>
      <c r="BH648" s="1222">
        <f>I648</f>
        <v>12500</v>
      </c>
      <c r="BI648" s="1222"/>
      <c r="BJ648" s="1222"/>
      <c r="BK648" s="1222"/>
      <c r="BL648" s="1222"/>
      <c r="BM648" s="1222"/>
      <c r="BN648" s="1222"/>
      <c r="BO648" s="1240">
        <f>I648/25</f>
        <v>500</v>
      </c>
      <c r="BP648" s="1242"/>
      <c r="BQ648" s="1222"/>
      <c r="BR648" s="1232"/>
      <c r="BS648" s="1232"/>
      <c r="BT648" s="1222"/>
      <c r="BU648" s="1222"/>
      <c r="BV648" s="1242"/>
      <c r="BW648" s="1222"/>
      <c r="BX648" s="1222"/>
      <c r="BY648" s="1222"/>
      <c r="BZ648" s="1222"/>
      <c r="CA648" s="1222"/>
      <c r="CB648" s="1222"/>
      <c r="CC648" s="1222"/>
      <c r="CD648" s="1188">
        <f t="shared" si="229"/>
        <v>500</v>
      </c>
      <c r="CE648" s="1188">
        <f t="shared" si="220"/>
        <v>0</v>
      </c>
      <c r="CF648" s="1188">
        <f t="shared" si="230"/>
        <v>0</v>
      </c>
      <c r="CG648" s="1188">
        <f t="shared" si="231"/>
        <v>0</v>
      </c>
      <c r="CH648" s="1232"/>
      <c r="CI648" s="1232"/>
      <c r="CJ648" s="1232"/>
      <c r="CK648" s="1222"/>
      <c r="CL648" s="1222"/>
      <c r="CM648" s="1168"/>
      <c r="CN648" s="1168"/>
      <c r="CO648" s="1168"/>
      <c r="CP648" s="1168"/>
      <c r="CQ648" s="1168"/>
      <c r="CR648" s="1168"/>
      <c r="CS648" s="1168"/>
      <c r="CT648" s="1168"/>
      <c r="CU648" s="1168"/>
      <c r="CV648" s="1168"/>
      <c r="CW648" s="1168"/>
      <c r="CX648" s="1168"/>
      <c r="CY648" s="1168"/>
      <c r="CZ648" s="1168"/>
      <c r="DA648" s="1168"/>
      <c r="DB648" s="1168"/>
      <c r="DC648" s="1168"/>
      <c r="DD648" s="1168"/>
      <c r="DE648" s="1168"/>
      <c r="DF648" s="1168"/>
      <c r="DG648" s="1168"/>
    </row>
    <row r="649" s="1168" customFormat="1" customHeight="1" spans="1:111">
      <c r="A649" s="1245">
        <v>46182</v>
      </c>
      <c r="B649" s="1247" t="s">
        <v>2772</v>
      </c>
      <c r="C649" s="1234" t="s">
        <v>810</v>
      </c>
      <c r="D649" s="1268">
        <v>4500211395</v>
      </c>
      <c r="E649" s="1234"/>
      <c r="F649" s="1188" t="s">
        <v>2773</v>
      </c>
      <c r="G649" s="1253" t="s">
        <v>188</v>
      </c>
      <c r="H649" s="1234" t="s">
        <v>138</v>
      </c>
      <c r="I649" s="1254">
        <v>1000</v>
      </c>
      <c r="J649" s="1234">
        <v>0</v>
      </c>
      <c r="K649" s="1234">
        <v>50</v>
      </c>
      <c r="L649" s="1246">
        <f t="shared" si="210"/>
        <v>20</v>
      </c>
      <c r="M649" s="1255">
        <v>46241</v>
      </c>
      <c r="N649" s="1320">
        <v>46239</v>
      </c>
      <c r="O649" s="1255"/>
      <c r="P649" s="1233"/>
      <c r="Q649" s="1233" t="s">
        <v>1410</v>
      </c>
      <c r="R649" s="1234" t="s">
        <v>1241</v>
      </c>
      <c r="S649" s="1234"/>
      <c r="T649" s="1233">
        <v>1000</v>
      </c>
      <c r="U649" s="1233">
        <f t="shared" si="219"/>
        <v>0</v>
      </c>
      <c r="V649" s="1234"/>
      <c r="W649" s="1238">
        <v>46182</v>
      </c>
      <c r="X649" s="1257" t="s">
        <v>95</v>
      </c>
      <c r="Y649" s="1227" t="s">
        <v>2774</v>
      </c>
      <c r="Z649" s="1247"/>
      <c r="AA649" s="1247"/>
      <c r="AB649" s="1247"/>
      <c r="AC649" s="1247" t="s">
        <v>2775</v>
      </c>
      <c r="AD649" s="1255" t="s">
        <v>722</v>
      </c>
      <c r="AE649" s="1188">
        <v>1.0979</v>
      </c>
      <c r="AF649" s="1248">
        <f>AE649*I649</f>
        <v>1097.9</v>
      </c>
      <c r="AG649" s="1258"/>
      <c r="AH649" s="1234" t="s">
        <v>314</v>
      </c>
      <c r="AI649" s="1234" t="s">
        <v>112</v>
      </c>
      <c r="AJ649" s="1234" t="s">
        <v>113</v>
      </c>
      <c r="AK649" s="1188">
        <f t="shared" si="232"/>
        <v>1000</v>
      </c>
      <c r="AL649" s="1188"/>
      <c r="AM649" s="1188"/>
      <c r="AN649" s="1188"/>
      <c r="AO649" s="1188"/>
      <c r="AP649" s="1188">
        <f>I649</f>
        <v>1000</v>
      </c>
      <c r="AQ649" s="1240"/>
      <c r="AR649" s="1188"/>
      <c r="AS649" s="1236"/>
      <c r="AT649" s="1236"/>
      <c r="AU649" s="1188">
        <f>I649</f>
        <v>1000</v>
      </c>
      <c r="AV649" s="1250"/>
      <c r="AW649" s="1250"/>
      <c r="AX649" s="1188"/>
      <c r="AY649" s="1188"/>
      <c r="AZ649" s="1188"/>
      <c r="BA649" s="1188"/>
      <c r="BB649" s="1188"/>
      <c r="BC649" s="1188"/>
      <c r="BD649" s="1188"/>
      <c r="BE649" s="1188"/>
      <c r="BF649" s="1188"/>
      <c r="BG649" s="1188"/>
      <c r="BH649" s="1188"/>
      <c r="BI649" s="1188"/>
      <c r="BJ649" s="1188"/>
      <c r="BK649" s="1188"/>
      <c r="BL649" s="1188"/>
      <c r="BM649" s="1188"/>
      <c r="BN649" s="1188"/>
      <c r="BO649" s="1240">
        <f>I649/25</f>
        <v>40</v>
      </c>
      <c r="BP649" s="1240"/>
      <c r="BQ649" s="1188"/>
      <c r="BR649" s="1236"/>
      <c r="BS649" s="1236"/>
      <c r="BT649" s="1188"/>
      <c r="BU649" s="1188"/>
      <c r="BV649" s="1240"/>
      <c r="BW649" s="1188"/>
      <c r="BX649" s="1188"/>
      <c r="BY649" s="1188"/>
      <c r="BZ649" s="1188"/>
      <c r="CA649" s="1188"/>
      <c r="CB649" s="1188"/>
      <c r="CC649" s="1188"/>
      <c r="CD649" s="1188">
        <f t="shared" si="229"/>
        <v>40</v>
      </c>
      <c r="CE649" s="1188">
        <f t="shared" si="220"/>
        <v>0</v>
      </c>
      <c r="CF649" s="1188">
        <f t="shared" si="230"/>
        <v>0</v>
      </c>
      <c r="CG649" s="1188">
        <f t="shared" si="231"/>
        <v>0</v>
      </c>
      <c r="CH649" s="1236"/>
      <c r="CI649" s="1236"/>
      <c r="CJ649" s="1236"/>
      <c r="CK649" s="1188"/>
      <c r="CL649" s="1188"/>
    </row>
    <row r="650" s="1168" customFormat="1" customHeight="1" spans="1:111">
      <c r="A650" s="1219">
        <v>46183</v>
      </c>
      <c r="B650" s="1220" t="s">
        <v>706</v>
      </c>
      <c r="C650" s="1221" t="s">
        <v>201</v>
      </c>
      <c r="D650" s="1222">
        <v>4500211538</v>
      </c>
      <c r="E650" s="1226">
        <v>488419641732</v>
      </c>
      <c r="F650" s="1222" t="s">
        <v>2776</v>
      </c>
      <c r="G650" s="1223" t="s">
        <v>146</v>
      </c>
      <c r="H650" s="1221" t="s">
        <v>104</v>
      </c>
      <c r="I650" s="1252">
        <v>7950</v>
      </c>
      <c r="J650" s="1221">
        <v>0</v>
      </c>
      <c r="K650" s="1221">
        <v>25</v>
      </c>
      <c r="L650" s="1224">
        <f t="shared" si="210"/>
        <v>318</v>
      </c>
      <c r="M650" s="1522">
        <v>46241</v>
      </c>
      <c r="N650" s="1522">
        <v>46239</v>
      </c>
      <c r="O650" s="1255"/>
      <c r="P650" s="1226"/>
      <c r="Q650" s="1226" t="s">
        <v>1410</v>
      </c>
      <c r="R650" s="1221" t="s">
        <v>1195</v>
      </c>
      <c r="S650" s="1221"/>
      <c r="T650" s="1226">
        <v>7950</v>
      </c>
      <c r="U650" s="1233">
        <f t="shared" si="219"/>
        <v>0</v>
      </c>
      <c r="V650" s="1221"/>
      <c r="W650" s="1238">
        <v>46183</v>
      </c>
      <c r="X650" s="1227" t="s">
        <v>95</v>
      </c>
      <c r="Y650" s="1227" t="s">
        <v>709</v>
      </c>
      <c r="Z650" s="1220"/>
      <c r="AA650" s="1220"/>
      <c r="AB650" s="1220"/>
      <c r="AC650" s="1220" t="s">
        <v>2777</v>
      </c>
      <c r="AD650" s="1225" t="s">
        <v>711</v>
      </c>
      <c r="AE650" s="1222">
        <v>1.1031</v>
      </c>
      <c r="AF650" s="1229">
        <f>I650*AE650</f>
        <v>8769.645</v>
      </c>
      <c r="AG650" s="1230"/>
      <c r="AH650" s="1221" t="s">
        <v>111</v>
      </c>
      <c r="AI650" s="1221" t="s">
        <v>112</v>
      </c>
      <c r="AJ650" s="1234" t="s">
        <v>113</v>
      </c>
      <c r="AK650" s="1222">
        <f t="shared" si="232"/>
        <v>7950</v>
      </c>
      <c r="AL650" s="1222"/>
      <c r="AM650" s="1222"/>
      <c r="AN650" s="1222"/>
      <c r="AO650" s="1222"/>
      <c r="AP650" s="1222">
        <f>I650</f>
        <v>7950</v>
      </c>
      <c r="AQ650" s="1242"/>
      <c r="AR650" s="1222"/>
      <c r="AS650" s="1232"/>
      <c r="AT650" s="1232"/>
      <c r="AU650" s="1222">
        <f>I650</f>
        <v>7950</v>
      </c>
      <c r="AV650" s="1241"/>
      <c r="AW650" s="1241"/>
      <c r="AX650" s="1222"/>
      <c r="AY650" s="1222"/>
      <c r="AZ650" s="1222"/>
      <c r="BA650" s="1222"/>
      <c r="BB650" s="1222"/>
      <c r="BC650" s="1222"/>
      <c r="BD650" s="1222"/>
      <c r="BE650" s="1222"/>
      <c r="BF650" s="1222"/>
      <c r="BG650" s="1222"/>
      <c r="BH650" s="1222"/>
      <c r="BI650" s="1222"/>
      <c r="BJ650" s="1222"/>
      <c r="BK650" s="1222"/>
      <c r="BL650" s="1222"/>
      <c r="BM650" s="1222"/>
      <c r="BN650" s="1222"/>
      <c r="BO650" s="1242">
        <f>I650/25</f>
        <v>318</v>
      </c>
      <c r="BP650" s="1242"/>
      <c r="BQ650" s="1222"/>
      <c r="BR650" s="1232"/>
      <c r="BS650" s="1232"/>
      <c r="BT650" s="1222"/>
      <c r="BU650" s="1222"/>
      <c r="BV650" s="1242"/>
      <c r="BW650" s="1222"/>
      <c r="BX650" s="1222"/>
      <c r="BY650" s="1222"/>
      <c r="BZ650" s="1222"/>
      <c r="CA650" s="1222"/>
      <c r="CB650" s="1222"/>
      <c r="CC650" s="1222"/>
      <c r="CD650" s="1222">
        <f t="shared" si="229"/>
        <v>318</v>
      </c>
      <c r="CE650" s="1222">
        <f t="shared" si="220"/>
        <v>0</v>
      </c>
      <c r="CF650" s="1222">
        <f t="shared" si="230"/>
        <v>0</v>
      </c>
      <c r="CG650" s="1222">
        <f t="shared" si="231"/>
        <v>0</v>
      </c>
      <c r="CH650" s="1232"/>
      <c r="CI650" s="1232"/>
      <c r="CJ650" s="1232"/>
      <c r="CK650" s="1222"/>
      <c r="CL650" s="1222"/>
    </row>
    <row r="651" s="1168" customFormat="1" customHeight="1" spans="1:111">
      <c r="A651" s="1245">
        <v>46171</v>
      </c>
      <c r="B651" s="1247" t="s">
        <v>706</v>
      </c>
      <c r="C651" s="1234" t="s">
        <v>201</v>
      </c>
      <c r="D651" s="1268">
        <v>4500209975</v>
      </c>
      <c r="E651" s="1233">
        <v>488390217932</v>
      </c>
      <c r="F651" s="1188" t="s">
        <v>2778</v>
      </c>
      <c r="G651" s="1253" t="s">
        <v>146</v>
      </c>
      <c r="H651" s="1221" t="s">
        <v>104</v>
      </c>
      <c r="I651" s="1254">
        <v>9375</v>
      </c>
      <c r="J651" s="1234">
        <v>0</v>
      </c>
      <c r="K651" s="1234">
        <v>25</v>
      </c>
      <c r="L651" s="1246">
        <f t="shared" ref="L651:L691" si="233">I651/K651</f>
        <v>375</v>
      </c>
      <c r="M651" s="1522">
        <v>46241</v>
      </c>
      <c r="N651" s="1522">
        <v>46239</v>
      </c>
      <c r="O651" s="1255"/>
      <c r="P651" s="1233"/>
      <c r="Q651" s="1233" t="s">
        <v>1410</v>
      </c>
      <c r="R651" s="1234" t="s">
        <v>1195</v>
      </c>
      <c r="S651" s="1234"/>
      <c r="T651" s="1233">
        <v>9375</v>
      </c>
      <c r="U651" s="1233">
        <f t="shared" si="219"/>
        <v>0</v>
      </c>
      <c r="V651" s="1221"/>
      <c r="W651" s="1238">
        <v>46171</v>
      </c>
      <c r="X651" s="1257" t="s">
        <v>95</v>
      </c>
      <c r="Y651" s="1227" t="s">
        <v>2668</v>
      </c>
      <c r="Z651" s="1247"/>
      <c r="AA651" s="1247"/>
      <c r="AB651" s="1247"/>
      <c r="AC651" s="1247" t="s">
        <v>2669</v>
      </c>
      <c r="AD651" s="1255" t="s">
        <v>711</v>
      </c>
      <c r="AE651" s="1188">
        <v>1.1031</v>
      </c>
      <c r="AF651" s="1248">
        <f>I651*AE651</f>
        <v>10341.5625</v>
      </c>
      <c r="AG651" s="1258"/>
      <c r="AH651" s="1234" t="s">
        <v>111</v>
      </c>
      <c r="AI651" s="1234" t="s">
        <v>112</v>
      </c>
      <c r="AJ651" s="1234" t="s">
        <v>113</v>
      </c>
      <c r="AK651" s="1188">
        <f t="shared" si="232"/>
        <v>9375</v>
      </c>
      <c r="AL651" s="1188"/>
      <c r="AM651" s="1188"/>
      <c r="AN651" s="1188"/>
      <c r="AO651" s="1188"/>
      <c r="AP651" s="1188">
        <f>I651</f>
        <v>9375</v>
      </c>
      <c r="AQ651" s="1240"/>
      <c r="AR651" s="1188"/>
      <c r="AS651" s="1236"/>
      <c r="AT651" s="1236"/>
      <c r="AU651" s="1188">
        <f>I651</f>
        <v>9375</v>
      </c>
      <c r="AV651" s="1250">
        <f>I651*0.06*2</f>
        <v>1125</v>
      </c>
      <c r="AW651" s="1250"/>
      <c r="AX651" s="1188"/>
      <c r="AY651" s="1188"/>
      <c r="AZ651" s="1188"/>
      <c r="BA651" s="1188"/>
      <c r="BB651" s="1188"/>
      <c r="BC651" s="1188"/>
      <c r="BD651" s="1188"/>
      <c r="BE651" s="1188"/>
      <c r="BF651" s="1188"/>
      <c r="BG651" s="1188"/>
      <c r="BH651" s="1188"/>
      <c r="BI651" s="1188"/>
      <c r="BJ651" s="1188"/>
      <c r="BK651" s="1188"/>
      <c r="BL651" s="1188"/>
      <c r="BM651" s="1188"/>
      <c r="BN651" s="1188"/>
      <c r="BO651" s="1240">
        <f>I651/25</f>
        <v>375</v>
      </c>
      <c r="BP651" s="1240"/>
      <c r="BQ651" s="1188"/>
      <c r="BR651" s="1236"/>
      <c r="BS651" s="1236"/>
      <c r="BT651" s="1188"/>
      <c r="BU651" s="1188"/>
      <c r="BV651" s="1240"/>
      <c r="BW651" s="1188"/>
      <c r="BX651" s="1188"/>
      <c r="BY651" s="1188"/>
      <c r="BZ651" s="1188"/>
      <c r="CA651" s="1188"/>
      <c r="CB651" s="1188"/>
      <c r="CC651" s="1188"/>
      <c r="CD651" s="1188">
        <f t="shared" si="229"/>
        <v>375</v>
      </c>
      <c r="CE651" s="1188">
        <f t="shared" si="220"/>
        <v>0</v>
      </c>
      <c r="CF651" s="1188">
        <f t="shared" si="230"/>
        <v>0</v>
      </c>
      <c r="CG651" s="1188">
        <f t="shared" si="231"/>
        <v>0</v>
      </c>
      <c r="CH651" s="1236"/>
      <c r="CI651" s="1236"/>
      <c r="CJ651" s="1236"/>
      <c r="CK651" s="1188"/>
      <c r="CL651" s="1188"/>
    </row>
    <row r="652" s="1170" customFormat="1" customHeight="1" spans="1:111">
      <c r="A652" s="1396">
        <v>46217</v>
      </c>
      <c r="B652" s="1397" t="s">
        <v>264</v>
      </c>
      <c r="C652" s="498" t="s">
        <v>265</v>
      </c>
      <c r="D652" s="1398">
        <v>4500216475</v>
      </c>
      <c r="E652" s="500">
        <v>4400583619</v>
      </c>
      <c r="F652" s="496" t="s">
        <v>2779</v>
      </c>
      <c r="G652" s="499" t="s">
        <v>270</v>
      </c>
      <c r="H652" s="498" t="s">
        <v>104</v>
      </c>
      <c r="I652" s="1399">
        <v>3000</v>
      </c>
      <c r="J652" s="498">
        <v>0</v>
      </c>
      <c r="K652" s="498">
        <v>25</v>
      </c>
      <c r="L652" s="1400">
        <f t="shared" si="233"/>
        <v>120</v>
      </c>
      <c r="M652" s="495">
        <v>46241</v>
      </c>
      <c r="N652" s="1401">
        <v>46239</v>
      </c>
      <c r="O652" s="495"/>
      <c r="P652" s="500" t="s">
        <v>2780</v>
      </c>
      <c r="Q652" s="500"/>
      <c r="R652" s="498" t="s">
        <v>1368</v>
      </c>
      <c r="S652" s="498"/>
      <c r="T652" s="500">
        <v>3000</v>
      </c>
      <c r="U652" s="500">
        <f t="shared" si="219"/>
        <v>0</v>
      </c>
      <c r="V652" s="498"/>
      <c r="W652" s="1431">
        <v>46182</v>
      </c>
      <c r="X652" s="1432" t="s">
        <v>95</v>
      </c>
      <c r="Y652" s="1432" t="s">
        <v>1794</v>
      </c>
      <c r="Z652" s="1397" t="s">
        <v>140</v>
      </c>
      <c r="AA652" s="1397"/>
      <c r="AB652" s="1397" t="s">
        <v>2189</v>
      </c>
      <c r="AC652" s="1397" t="s">
        <v>2781</v>
      </c>
      <c r="AD652" s="495" t="s">
        <v>1142</v>
      </c>
      <c r="AE652" s="496">
        <v>1.1085</v>
      </c>
      <c r="AF652" s="497">
        <f>I652*AE652</f>
        <v>3325.5</v>
      </c>
      <c r="AG652" s="1406"/>
      <c r="AH652" s="498" t="s">
        <v>270</v>
      </c>
      <c r="AI652" s="498" t="s">
        <v>112</v>
      </c>
      <c r="AJ652" s="498" t="s">
        <v>113</v>
      </c>
      <c r="AK652" s="496">
        <f t="shared" si="232"/>
        <v>3000</v>
      </c>
      <c r="AL652" s="496"/>
      <c r="AM652" s="496"/>
      <c r="AN652" s="496"/>
      <c r="AO652" s="496"/>
      <c r="AP652" s="496"/>
      <c r="AQ652" s="1407"/>
      <c r="AR652" s="496"/>
      <c r="AS652" s="1408"/>
      <c r="AT652" s="1408"/>
      <c r="AU652" s="496"/>
      <c r="AV652" s="1409">
        <f>I652*0.06</f>
        <v>180</v>
      </c>
      <c r="AW652" s="1409"/>
      <c r="AX652" s="496"/>
      <c r="AY652" s="496"/>
      <c r="AZ652" s="496"/>
      <c r="BA652" s="496"/>
      <c r="BB652" s="496"/>
      <c r="BC652" s="496"/>
      <c r="BD652" s="496"/>
      <c r="BE652" s="496"/>
      <c r="BF652" s="496"/>
      <c r="BG652" s="496">
        <f>I652</f>
        <v>3000</v>
      </c>
      <c r="BH652" s="496">
        <f>I652</f>
        <v>3000</v>
      </c>
      <c r="BI652" s="496"/>
      <c r="BJ652" s="496"/>
      <c r="BK652" s="496"/>
      <c r="BL652" s="496"/>
      <c r="BM652" s="496"/>
      <c r="BN652" s="496"/>
      <c r="BO652" s="1523">
        <f>I652/25</f>
        <v>120</v>
      </c>
      <c r="BP652" s="1407"/>
      <c r="BQ652" s="496"/>
      <c r="BR652" s="1408"/>
      <c r="BS652" s="1408"/>
      <c r="BT652" s="496"/>
      <c r="BU652" s="496"/>
      <c r="BV652" s="1407"/>
      <c r="BW652" s="496"/>
      <c r="BX652" s="496"/>
      <c r="BY652" s="496"/>
      <c r="BZ652" s="496"/>
      <c r="CA652" s="496"/>
      <c r="CB652" s="496"/>
      <c r="CC652" s="496"/>
      <c r="CD652" s="496">
        <f t="shared" si="229"/>
        <v>120</v>
      </c>
      <c r="CE652" s="496">
        <f t="shared" si="220"/>
        <v>0</v>
      </c>
      <c r="CF652" s="496">
        <f t="shared" si="230"/>
        <v>0</v>
      </c>
      <c r="CG652" s="496">
        <f t="shared" si="231"/>
        <v>0</v>
      </c>
      <c r="CH652" s="1408"/>
      <c r="CI652" s="1408"/>
      <c r="CJ652" s="1408"/>
      <c r="CK652" s="496"/>
      <c r="CL652" s="496"/>
      <c r="CM652" s="1174"/>
      <c r="CN652" s="1174"/>
      <c r="CO652" s="1174"/>
      <c r="CP652" s="1174"/>
      <c r="CQ652" s="1174"/>
      <c r="CR652" s="1174"/>
      <c r="CS652" s="1174"/>
      <c r="CT652" s="1174"/>
      <c r="CU652" s="1174"/>
      <c r="CV652" s="1174"/>
      <c r="CW652" s="1174"/>
      <c r="CX652" s="1174"/>
      <c r="CY652" s="1174"/>
      <c r="CZ652" s="1174"/>
      <c r="DA652" s="1174"/>
      <c r="DB652" s="1174"/>
      <c r="DC652" s="1174"/>
      <c r="DD652" s="1174"/>
      <c r="DE652" s="1174"/>
      <c r="DF652" s="1174"/>
      <c r="DG652" s="1174"/>
    </row>
    <row r="653" s="1168" customFormat="1" customHeight="1" spans="1:111">
      <c r="A653" s="1245">
        <v>46182</v>
      </c>
      <c r="B653" s="1247" t="s">
        <v>432</v>
      </c>
      <c r="C653" s="1234" t="s">
        <v>433</v>
      </c>
      <c r="D653" s="1268">
        <v>4500210963</v>
      </c>
      <c r="E653" s="1234"/>
      <c r="F653" s="1188" t="s">
        <v>2782</v>
      </c>
      <c r="G653" s="1253" t="s">
        <v>174</v>
      </c>
      <c r="H653" s="1234" t="s">
        <v>175</v>
      </c>
      <c r="I653" s="1254">
        <v>5356</v>
      </c>
      <c r="J653" s="1234">
        <v>0</v>
      </c>
      <c r="K653" s="1234">
        <v>52</v>
      </c>
      <c r="L653" s="1246">
        <f t="shared" si="233"/>
        <v>103</v>
      </c>
      <c r="M653" s="1255">
        <v>46241</v>
      </c>
      <c r="N653" s="1320">
        <v>46239</v>
      </c>
      <c r="O653" s="1255"/>
      <c r="P653" s="1233"/>
      <c r="Q653" s="1233" t="s">
        <v>1410</v>
      </c>
      <c r="R653" s="1234"/>
      <c r="S653" s="1234"/>
      <c r="T653" s="1233">
        <v>5356</v>
      </c>
      <c r="U653" s="1233">
        <f t="shared" si="219"/>
        <v>0</v>
      </c>
      <c r="V653" s="1234"/>
      <c r="W653" s="1256" t="s">
        <v>1416</v>
      </c>
      <c r="X653" s="1227" t="s">
        <v>95</v>
      </c>
      <c r="Y653" s="1227" t="s">
        <v>2783</v>
      </c>
      <c r="Z653" s="1247"/>
      <c r="AA653" s="1247"/>
      <c r="AB653" s="1247"/>
      <c r="AC653" s="1247" t="s">
        <v>2784</v>
      </c>
      <c r="AD653" s="1255" t="s">
        <v>437</v>
      </c>
      <c r="AE653" s="1188">
        <v>1.0544</v>
      </c>
      <c r="AF653" s="1248">
        <f>I653*AE653</f>
        <v>5647.3664</v>
      </c>
      <c r="AG653" s="1258"/>
      <c r="AH653" s="1234" t="s">
        <v>1027</v>
      </c>
      <c r="AI653" s="1234" t="s">
        <v>112</v>
      </c>
      <c r="AJ653" s="1234" t="s">
        <v>113</v>
      </c>
      <c r="AK653" s="1188">
        <f t="shared" si="232"/>
        <v>5356</v>
      </c>
      <c r="AL653" s="1188"/>
      <c r="AM653" s="1188"/>
      <c r="AN653" s="1188"/>
      <c r="AO653" s="1188"/>
      <c r="AP653" s="1188">
        <f>I653</f>
        <v>5356</v>
      </c>
      <c r="AQ653" s="1240"/>
      <c r="AR653" s="1188"/>
      <c r="AS653" s="1236"/>
      <c r="AT653" s="1236"/>
      <c r="AU653" s="1188">
        <f t="shared" ref="AU653:AU664" si="234">I653</f>
        <v>5356</v>
      </c>
      <c r="AV653" s="1250"/>
      <c r="AW653" s="1250"/>
      <c r="AX653" s="1188"/>
      <c r="AY653" s="1188"/>
      <c r="AZ653" s="1188"/>
      <c r="BA653" s="1188"/>
      <c r="BB653" s="1188"/>
      <c r="BC653" s="1188"/>
      <c r="BD653" s="1188"/>
      <c r="BE653" s="1188"/>
      <c r="BF653" s="1188"/>
      <c r="BG653" s="1188"/>
      <c r="BH653" s="1188"/>
      <c r="BI653" s="1188"/>
      <c r="BJ653" s="1188"/>
      <c r="BK653" s="1188"/>
      <c r="BL653" s="1188">
        <f>I653/13</f>
        <v>412</v>
      </c>
      <c r="BM653" s="1188"/>
      <c r="BN653" s="1188"/>
      <c r="BO653" s="1240"/>
      <c r="BP653" s="1240"/>
      <c r="BQ653" s="1188"/>
      <c r="BR653" s="1236"/>
      <c r="BS653" s="1236"/>
      <c r="BT653" s="1188"/>
      <c r="BU653" s="1188"/>
      <c r="BV653" s="1240"/>
      <c r="BW653" s="1188"/>
      <c r="BX653" s="1188"/>
      <c r="BY653" s="1188"/>
      <c r="BZ653" s="1188"/>
      <c r="CA653" s="1188"/>
      <c r="CB653" s="1188"/>
      <c r="CC653" s="1188"/>
      <c r="CD653" s="1188">
        <f t="shared" si="229"/>
        <v>0</v>
      </c>
      <c r="CE653" s="1188">
        <f t="shared" si="220"/>
        <v>0</v>
      </c>
      <c r="CF653" s="1188">
        <f t="shared" si="230"/>
        <v>0</v>
      </c>
      <c r="CG653" s="1188">
        <f t="shared" si="231"/>
        <v>0</v>
      </c>
      <c r="CH653" s="1236"/>
      <c r="CI653" s="1236"/>
      <c r="CJ653" s="1236"/>
      <c r="CK653" s="1188"/>
      <c r="CL653" s="1188"/>
    </row>
    <row r="654" s="1170" customFormat="1" customHeight="1" spans="1:111">
      <c r="A654" s="1396">
        <v>46189</v>
      </c>
      <c r="B654" s="1397" t="s">
        <v>2304</v>
      </c>
      <c r="C654" s="498" t="s">
        <v>115</v>
      </c>
      <c r="D654" s="1398">
        <v>4500212561</v>
      </c>
      <c r="E654" s="1524">
        <v>805429</v>
      </c>
      <c r="F654" s="496" t="s">
        <v>2785</v>
      </c>
      <c r="G654" s="499" t="s">
        <v>289</v>
      </c>
      <c r="H654" s="498" t="s">
        <v>194</v>
      </c>
      <c r="I654" s="1399">
        <v>11999</v>
      </c>
      <c r="J654" s="498">
        <v>0</v>
      </c>
      <c r="K654" s="498">
        <v>13</v>
      </c>
      <c r="L654" s="1400">
        <f t="shared" si="233"/>
        <v>923</v>
      </c>
      <c r="M654" s="1401">
        <v>46241</v>
      </c>
      <c r="N654" s="1401">
        <v>46239</v>
      </c>
      <c r="O654" s="495"/>
      <c r="P654" s="500"/>
      <c r="Q654" s="500"/>
      <c r="R654" s="498"/>
      <c r="S654" s="498"/>
      <c r="T654" s="500">
        <f>4680+7319</f>
        <v>11999</v>
      </c>
      <c r="U654" s="500">
        <f t="shared" si="219"/>
        <v>0</v>
      </c>
      <c r="V654" s="498"/>
      <c r="W654" s="1431">
        <v>46191</v>
      </c>
      <c r="X654" s="1405" t="s">
        <v>95</v>
      </c>
      <c r="Y654" s="1405" t="s">
        <v>2786</v>
      </c>
      <c r="Z654" s="1397"/>
      <c r="AA654" s="1397"/>
      <c r="AB654" s="1397"/>
      <c r="AC654" s="1397" t="s">
        <v>2787</v>
      </c>
      <c r="AD654" s="495" t="s">
        <v>299</v>
      </c>
      <c r="AE654" s="496">
        <v>0.6397</v>
      </c>
      <c r="AF654" s="497">
        <f>AE654*I654</f>
        <v>7675.7603</v>
      </c>
      <c r="AG654" s="1525" t="s">
        <v>2788</v>
      </c>
      <c r="AH654" s="498" t="s">
        <v>289</v>
      </c>
      <c r="AI654" s="498" t="s">
        <v>112</v>
      </c>
      <c r="AJ654" s="498" t="s">
        <v>113</v>
      </c>
      <c r="AK654" s="496">
        <f t="shared" si="232"/>
        <v>11999</v>
      </c>
      <c r="AL654" s="496"/>
      <c r="AM654" s="496"/>
      <c r="AN654" s="496"/>
      <c r="AO654" s="496"/>
      <c r="AP654" s="496">
        <f>I654</f>
        <v>11999</v>
      </c>
      <c r="AQ654" s="1407"/>
      <c r="AR654" s="496"/>
      <c r="AS654" s="1408"/>
      <c r="AT654" s="1408"/>
      <c r="AU654" s="496">
        <f t="shared" si="234"/>
        <v>11999</v>
      </c>
      <c r="AV654" s="1409">
        <f>I654*0.06*2</f>
        <v>1439.88</v>
      </c>
      <c r="AW654" s="1409"/>
      <c r="AX654" s="496"/>
      <c r="AY654" s="496"/>
      <c r="AZ654" s="496"/>
      <c r="BA654" s="496"/>
      <c r="BB654" s="496"/>
      <c r="BC654" s="496"/>
      <c r="BD654" s="496"/>
      <c r="BE654" s="496"/>
      <c r="BF654" s="496"/>
      <c r="BG654" s="496"/>
      <c r="BH654" s="496"/>
      <c r="BI654" s="496"/>
      <c r="BJ654" s="496"/>
      <c r="BK654" s="496"/>
      <c r="BL654" s="496">
        <f>I654/13</f>
        <v>923</v>
      </c>
      <c r="BM654" s="496"/>
      <c r="BN654" s="496"/>
      <c r="BO654" s="1407"/>
      <c r="BP654" s="1407"/>
      <c r="BQ654" s="496"/>
      <c r="BR654" s="1408"/>
      <c r="BS654" s="496"/>
      <c r="BT654" s="496"/>
      <c r="BU654" s="496"/>
      <c r="BV654" s="1407"/>
      <c r="BW654" s="496"/>
      <c r="BX654" s="496"/>
      <c r="BY654" s="496"/>
      <c r="BZ654" s="496"/>
      <c r="CA654" s="496"/>
      <c r="CB654" s="496"/>
      <c r="CC654" s="496"/>
      <c r="CD654" s="496">
        <f t="shared" si="229"/>
        <v>0</v>
      </c>
      <c r="CE654" s="496">
        <f t="shared" si="220"/>
        <v>0</v>
      </c>
      <c r="CF654" s="496">
        <f t="shared" si="230"/>
        <v>0</v>
      </c>
      <c r="CG654" s="496">
        <f t="shared" si="231"/>
        <v>0</v>
      </c>
      <c r="CH654" s="1408"/>
      <c r="CI654" s="1408"/>
      <c r="CJ654" s="1408"/>
      <c r="CK654" s="496"/>
      <c r="CL654" s="496"/>
    </row>
    <row r="655" s="1168" customFormat="1" customHeight="1" spans="1:111">
      <c r="A655" s="1245">
        <v>46225</v>
      </c>
      <c r="B655" s="1247" t="s">
        <v>191</v>
      </c>
      <c r="C655" s="1234" t="s">
        <v>164</v>
      </c>
      <c r="D655" s="1268">
        <v>4500213100</v>
      </c>
      <c r="E655" s="1233">
        <v>5200011085</v>
      </c>
      <c r="F655" s="1188" t="s">
        <v>2789</v>
      </c>
      <c r="G655" s="1253" t="s">
        <v>193</v>
      </c>
      <c r="H655" s="1234" t="s">
        <v>194</v>
      </c>
      <c r="I655" s="1254">
        <v>12012</v>
      </c>
      <c r="J655" s="1234">
        <v>0</v>
      </c>
      <c r="K655" s="1234">
        <v>13</v>
      </c>
      <c r="L655" s="1246">
        <f t="shared" si="233"/>
        <v>924</v>
      </c>
      <c r="M655" s="1255">
        <v>46241</v>
      </c>
      <c r="N655" s="1320">
        <v>46239</v>
      </c>
      <c r="O655" s="1255"/>
      <c r="P655" s="1233" t="s">
        <v>2757</v>
      </c>
      <c r="Q655" s="1233" t="s">
        <v>1410</v>
      </c>
      <c r="R655" s="1234"/>
      <c r="S655" s="1234"/>
      <c r="T655" s="1233">
        <v>12012</v>
      </c>
      <c r="U655" s="1233">
        <f t="shared" si="219"/>
        <v>0</v>
      </c>
      <c r="V655" s="1234"/>
      <c r="W655" s="1238">
        <v>46196</v>
      </c>
      <c r="X655" s="1257" t="s">
        <v>95</v>
      </c>
      <c r="Y655" s="1227" t="s">
        <v>2759</v>
      </c>
      <c r="Z655" s="1247"/>
      <c r="AA655" s="1247"/>
      <c r="AB655" s="1247"/>
      <c r="AC655" s="1247" t="s">
        <v>2790</v>
      </c>
      <c r="AD655" s="1255" t="s">
        <v>895</v>
      </c>
      <c r="AE655" s="1188">
        <v>1.0662</v>
      </c>
      <c r="AF655" s="1248">
        <f>I655*AE655</f>
        <v>12807.1944</v>
      </c>
      <c r="AG655" s="1258"/>
      <c r="AH655" s="1342" t="s">
        <v>199</v>
      </c>
      <c r="AI655" s="1234" t="s">
        <v>112</v>
      </c>
      <c r="AJ655" s="1234" t="s">
        <v>113</v>
      </c>
      <c r="AK655" s="1188">
        <f t="shared" si="232"/>
        <v>12012</v>
      </c>
      <c r="AL655" s="1188"/>
      <c r="AM655" s="1188"/>
      <c r="AN655" s="1188"/>
      <c r="AO655" s="1188"/>
      <c r="AP655" s="1188">
        <f>I655</f>
        <v>12012</v>
      </c>
      <c r="AQ655" s="1240"/>
      <c r="AR655" s="1188"/>
      <c r="AS655" s="1236"/>
      <c r="AT655" s="1236"/>
      <c r="AU655" s="1188">
        <f t="shared" si="234"/>
        <v>12012</v>
      </c>
      <c r="AV655" s="1250">
        <f>I655*0.06</f>
        <v>720.72</v>
      </c>
      <c r="AW655" s="1250"/>
      <c r="AX655" s="1188"/>
      <c r="AY655" s="1188"/>
      <c r="AZ655" s="1188"/>
      <c r="BA655" s="1188"/>
      <c r="BB655" s="1188"/>
      <c r="BC655" s="1188"/>
      <c r="BD655" s="1188"/>
      <c r="BE655" s="1188"/>
      <c r="BF655" s="1188"/>
      <c r="BG655" s="1188"/>
      <c r="BH655" s="1188"/>
      <c r="BI655" s="1188"/>
      <c r="BJ655" s="1188"/>
      <c r="BK655" s="1188"/>
      <c r="BL655" s="1188">
        <f>I655/13</f>
        <v>924</v>
      </c>
      <c r="BM655" s="1188"/>
      <c r="BN655" s="1188"/>
      <c r="BO655" s="1240"/>
      <c r="BP655" s="1240"/>
      <c r="BQ655" s="1188"/>
      <c r="BR655" s="1236"/>
      <c r="BS655" s="1236"/>
      <c r="BT655" s="1188"/>
      <c r="BU655" s="1188"/>
      <c r="BV655" s="1240"/>
      <c r="BW655" s="1188"/>
      <c r="BX655" s="1188"/>
      <c r="BY655" s="1188"/>
      <c r="BZ655" s="1188"/>
      <c r="CA655" s="1188"/>
      <c r="CB655" s="1188"/>
      <c r="CC655" s="1188"/>
      <c r="CD655" s="1188">
        <f t="shared" si="229"/>
        <v>0</v>
      </c>
      <c r="CE655" s="1188">
        <f t="shared" si="220"/>
        <v>0</v>
      </c>
      <c r="CF655" s="1188">
        <f t="shared" si="230"/>
        <v>0</v>
      </c>
      <c r="CG655" s="1188">
        <f t="shared" si="231"/>
        <v>0</v>
      </c>
      <c r="CH655" s="1236"/>
      <c r="CI655" s="1236"/>
      <c r="CJ655" s="1236"/>
      <c r="CK655" s="1188"/>
      <c r="CL655" s="1188"/>
      <c r="CM655" s="1260"/>
      <c r="CN655" s="1260"/>
      <c r="CO655" s="1260"/>
      <c r="CP655" s="1260"/>
      <c r="CQ655" s="1260"/>
      <c r="CR655" s="1260"/>
      <c r="CS655" s="1260"/>
      <c r="CT655" s="1260"/>
      <c r="CU655" s="1260"/>
      <c r="CV655" s="1260"/>
      <c r="CW655" s="1260"/>
      <c r="CX655" s="1260"/>
      <c r="CY655" s="1260"/>
      <c r="CZ655" s="1260"/>
      <c r="DA655" s="1260"/>
      <c r="DB655" s="1260"/>
      <c r="DC655" s="1260"/>
      <c r="DD655" s="1260"/>
      <c r="DE655" s="1260"/>
      <c r="DF655" s="1260"/>
      <c r="DG655" s="1260"/>
    </row>
    <row r="656" s="293" customFormat="1" customHeight="1" spans="1:111">
      <c r="A656" s="1309">
        <v>46164</v>
      </c>
      <c r="B656" s="544" t="s">
        <v>296</v>
      </c>
      <c r="C656" s="488" t="s">
        <v>115</v>
      </c>
      <c r="D656" s="1445">
        <v>4500208745</v>
      </c>
      <c r="E656" s="1526">
        <v>219602806</v>
      </c>
      <c r="F656" s="1527" t="s">
        <v>2791</v>
      </c>
      <c r="G656" s="1310" t="s">
        <v>740</v>
      </c>
      <c r="H656" s="488" t="s">
        <v>2405</v>
      </c>
      <c r="I656" s="1311">
        <v>1800</v>
      </c>
      <c r="J656" s="488">
        <v>0</v>
      </c>
      <c r="K656" s="488">
        <v>36</v>
      </c>
      <c r="L656" s="488">
        <f t="shared" si="233"/>
        <v>50</v>
      </c>
      <c r="M656" s="1323">
        <v>46241</v>
      </c>
      <c r="N656" s="1323">
        <f>M656-2</f>
        <v>46239</v>
      </c>
      <c r="O656" s="501"/>
      <c r="P656" s="506"/>
      <c r="Q656" s="506"/>
      <c r="R656" s="504"/>
      <c r="S656" s="504"/>
      <c r="T656" s="506">
        <v>1800</v>
      </c>
      <c r="U656" s="500">
        <f t="shared" si="219"/>
        <v>0</v>
      </c>
      <c r="V656" s="504"/>
      <c r="W656" s="1293">
        <v>46205</v>
      </c>
      <c r="X656" s="1301" t="s">
        <v>107</v>
      </c>
      <c r="Y656" s="1301" t="s">
        <v>2407</v>
      </c>
      <c r="Z656" s="543"/>
      <c r="AA656" s="543"/>
      <c r="AB656" s="543"/>
      <c r="AC656" s="1528" t="s">
        <v>2792</v>
      </c>
      <c r="AD656" s="1312" t="s">
        <v>299</v>
      </c>
      <c r="AE656" s="1446">
        <v>64.828</v>
      </c>
      <c r="AF656" s="327">
        <f t="shared" ref="AF656:AF663" si="235">AE656*L656</f>
        <v>3241.4</v>
      </c>
      <c r="AG656" s="1295"/>
      <c r="AH656" s="488" t="s">
        <v>740</v>
      </c>
      <c r="AI656" s="488" t="s">
        <v>112</v>
      </c>
      <c r="AJ656" s="498" t="s">
        <v>113</v>
      </c>
      <c r="AK656" s="502">
        <f t="shared" si="232"/>
        <v>1800</v>
      </c>
      <c r="AL656" s="502"/>
      <c r="AM656" s="1218"/>
      <c r="AN656" s="1418">
        <f>I656</f>
        <v>1800</v>
      </c>
      <c r="AO656" s="502"/>
      <c r="AP656" s="502"/>
      <c r="AQ656" s="1296"/>
      <c r="AR656" s="438"/>
      <c r="AS656" s="1297"/>
      <c r="AT656" s="1297"/>
      <c r="AU656" s="502">
        <f t="shared" si="234"/>
        <v>1800</v>
      </c>
      <c r="AV656" s="1298">
        <f>I656*0.06*2</f>
        <v>216</v>
      </c>
      <c r="AW656" s="1298"/>
      <c r="AX656" s="502"/>
      <c r="AY656" s="502"/>
      <c r="AZ656" s="502"/>
      <c r="BA656" s="502"/>
      <c r="BB656" s="502"/>
      <c r="BC656" s="502"/>
      <c r="BD656" s="502"/>
      <c r="BE656" s="502"/>
      <c r="BF656" s="502"/>
      <c r="BG656" s="502"/>
      <c r="BH656" s="502"/>
      <c r="BI656" s="502"/>
      <c r="BJ656" s="502"/>
      <c r="BK656" s="502"/>
      <c r="BL656" s="502"/>
      <c r="BM656" s="502"/>
      <c r="BN656" s="502"/>
      <c r="BO656" s="1296"/>
      <c r="BP656" s="1296"/>
      <c r="BQ656" s="1218"/>
      <c r="BR656" s="1297"/>
      <c r="BS656" s="1297"/>
      <c r="BT656" s="502"/>
      <c r="BU656" s="502"/>
      <c r="BV656" s="1296"/>
      <c r="BW656" s="1218">
        <f>L656</f>
        <v>50</v>
      </c>
      <c r="BX656" s="1218"/>
      <c r="BY656" s="1218"/>
      <c r="BZ656" s="1218"/>
      <c r="CA656" s="1218"/>
      <c r="CB656" s="1218"/>
      <c r="CC656" s="1218"/>
      <c r="CD656" s="1218">
        <f t="shared" si="229"/>
        <v>0</v>
      </c>
      <c r="CE656" s="1218">
        <f t="shared" si="220"/>
        <v>0</v>
      </c>
      <c r="CF656" s="502">
        <f t="shared" si="230"/>
        <v>0</v>
      </c>
      <c r="CG656" s="1218">
        <f t="shared" si="231"/>
        <v>50</v>
      </c>
      <c r="CH656" s="1299"/>
      <c r="CI656" s="1299"/>
      <c r="CJ656" s="1297"/>
      <c r="CK656" s="502"/>
      <c r="CL656" s="502"/>
    </row>
    <row r="657" s="1168" customFormat="1" customHeight="1" spans="1:111">
      <c r="A657" s="1245">
        <v>46205</v>
      </c>
      <c r="B657" s="1247" t="s">
        <v>346</v>
      </c>
      <c r="C657" s="1234" t="s">
        <v>115</v>
      </c>
      <c r="D657" s="1268">
        <v>4500214828</v>
      </c>
      <c r="E657" s="1890" t="s">
        <v>2793</v>
      </c>
      <c r="F657" s="1188" t="s">
        <v>2794</v>
      </c>
      <c r="G657" s="1329" t="s">
        <v>1016</v>
      </c>
      <c r="H657" s="1234" t="s">
        <v>350</v>
      </c>
      <c r="I657" s="1254">
        <v>14400</v>
      </c>
      <c r="J657" s="1234">
        <v>0</v>
      </c>
      <c r="K657" s="1234">
        <v>960</v>
      </c>
      <c r="L657" s="1246">
        <f t="shared" si="233"/>
        <v>15</v>
      </c>
      <c r="M657" s="1255">
        <v>46241</v>
      </c>
      <c r="N657" s="1320">
        <v>46239</v>
      </c>
      <c r="O657" s="1255"/>
      <c r="P657" s="1233" t="s">
        <v>2395</v>
      </c>
      <c r="Q657" s="1233" t="s">
        <v>1410</v>
      </c>
      <c r="R657" s="1234"/>
      <c r="S657" s="1234"/>
      <c r="T657" s="1233">
        <v>14400</v>
      </c>
      <c r="U657" s="1233">
        <f t="shared" si="219"/>
        <v>0</v>
      </c>
      <c r="V657" s="1234" t="s">
        <v>120</v>
      </c>
      <c r="W657" s="1256" t="s">
        <v>1572</v>
      </c>
      <c r="X657" s="1227" t="s">
        <v>95</v>
      </c>
      <c r="Y657" s="1227" t="s">
        <v>2041</v>
      </c>
      <c r="Z657" s="1247"/>
      <c r="AA657" s="1247"/>
      <c r="AB657" s="1247"/>
      <c r="AC657" s="1334" t="s">
        <v>2412</v>
      </c>
      <c r="AD657" s="1255" t="s">
        <v>354</v>
      </c>
      <c r="AE657" s="1188">
        <v>665.1447</v>
      </c>
      <c r="AF657" s="1248">
        <f t="shared" si="235"/>
        <v>9977.1705</v>
      </c>
      <c r="AG657" s="1249" t="s">
        <v>2413</v>
      </c>
      <c r="AH657" s="1253" t="s">
        <v>356</v>
      </c>
      <c r="AI657" s="1234" t="s">
        <v>112</v>
      </c>
      <c r="AJ657" s="1234" t="s">
        <v>113</v>
      </c>
      <c r="AK657" s="1188">
        <f t="shared" si="232"/>
        <v>14400</v>
      </c>
      <c r="AL657" s="1188"/>
      <c r="AM657" s="1188"/>
      <c r="AN657" s="1188"/>
      <c r="AO657" s="1188"/>
      <c r="AP657" s="1188"/>
      <c r="AQ657" s="1240"/>
      <c r="AR657" s="1188"/>
      <c r="AS657" s="1236"/>
      <c r="AT657" s="1236">
        <f t="shared" ref="AT657:AT663" si="236">I657</f>
        <v>14400</v>
      </c>
      <c r="AU657" s="1188">
        <f t="shared" si="234"/>
        <v>14400</v>
      </c>
      <c r="AV657" s="1250"/>
      <c r="AW657" s="1250"/>
      <c r="AX657" s="1188"/>
      <c r="AY657" s="1188"/>
      <c r="AZ657" s="1188"/>
      <c r="BA657" s="1188"/>
      <c r="BB657" s="1188"/>
      <c r="BC657" s="1188"/>
      <c r="BD657" s="1188"/>
      <c r="BE657" s="1188"/>
      <c r="BF657" s="1188"/>
      <c r="BG657" s="1188"/>
      <c r="BH657" s="1188"/>
      <c r="BI657" s="1188"/>
      <c r="BJ657" s="1188"/>
      <c r="BK657" s="1188"/>
      <c r="BL657" s="1188"/>
      <c r="BM657" s="1188"/>
      <c r="BN657" s="1188"/>
      <c r="BO657" s="1240"/>
      <c r="BP657" s="1240"/>
      <c r="BQ657" s="1188"/>
      <c r="BR657" s="1236">
        <f t="shared" ref="BR657:BR663" si="237">I657/16</f>
        <v>900</v>
      </c>
      <c r="BS657" s="1236"/>
      <c r="BT657" s="1188"/>
      <c r="BU657" s="1188"/>
      <c r="BV657" s="1240"/>
      <c r="BW657" s="1188"/>
      <c r="BX657" s="1188"/>
      <c r="BY657" s="1188"/>
      <c r="BZ657" s="1188"/>
      <c r="CA657" s="1188"/>
      <c r="CB657" s="1188"/>
      <c r="CC657" s="1188"/>
      <c r="CD657" s="1188">
        <f t="shared" si="229"/>
        <v>900</v>
      </c>
      <c r="CE657" s="1188">
        <f t="shared" si="220"/>
        <v>0</v>
      </c>
      <c r="CF657" s="1188">
        <f t="shared" si="230"/>
        <v>0</v>
      </c>
      <c r="CG657" s="1188">
        <f t="shared" si="231"/>
        <v>0</v>
      </c>
      <c r="CH657" s="1236"/>
      <c r="CI657" s="1236"/>
      <c r="CJ657" s="1236"/>
      <c r="CK657" s="1188"/>
      <c r="CL657" s="1188"/>
    </row>
    <row r="658" s="1169" customFormat="1" customHeight="1" spans="1:111">
      <c r="A658" s="1245">
        <v>46205</v>
      </c>
      <c r="B658" s="1247" t="s">
        <v>346</v>
      </c>
      <c r="C658" s="1234" t="s">
        <v>115</v>
      </c>
      <c r="D658" s="1268">
        <v>4500214828</v>
      </c>
      <c r="E658" s="1890" t="s">
        <v>2795</v>
      </c>
      <c r="F658" s="1188" t="s">
        <v>2796</v>
      </c>
      <c r="G658" s="1329" t="s">
        <v>1016</v>
      </c>
      <c r="H658" s="1234" t="s">
        <v>350</v>
      </c>
      <c r="I658" s="1254">
        <v>16320</v>
      </c>
      <c r="J658" s="1234">
        <v>0</v>
      </c>
      <c r="K658" s="1234">
        <v>960</v>
      </c>
      <c r="L658" s="1246">
        <f t="shared" si="233"/>
        <v>17</v>
      </c>
      <c r="M658" s="1255">
        <v>46241</v>
      </c>
      <c r="N658" s="1320">
        <v>46239</v>
      </c>
      <c r="O658" s="1255"/>
      <c r="P658" s="1233" t="s">
        <v>2411</v>
      </c>
      <c r="Q658" s="1233" t="s">
        <v>1410</v>
      </c>
      <c r="R658" s="1234"/>
      <c r="S658" s="1234"/>
      <c r="T658" s="1233">
        <v>16320</v>
      </c>
      <c r="U658" s="1233">
        <f t="shared" si="219"/>
        <v>0</v>
      </c>
      <c r="V658" s="1234" t="s">
        <v>120</v>
      </c>
      <c r="W658" s="1238" t="s">
        <v>1572</v>
      </c>
      <c r="X658" s="1257" t="s">
        <v>95</v>
      </c>
      <c r="Y658" s="1257" t="s">
        <v>2041</v>
      </c>
      <c r="Z658" s="1247"/>
      <c r="AA658" s="1247"/>
      <c r="AB658" s="1247"/>
      <c r="AC658" s="1334" t="s">
        <v>2412</v>
      </c>
      <c r="AD658" s="1255" t="s">
        <v>354</v>
      </c>
      <c r="AE658" s="1188">
        <v>665.1447</v>
      </c>
      <c r="AF658" s="1248">
        <f t="shared" si="235"/>
        <v>11307.4599</v>
      </c>
      <c r="AG658" s="1249" t="s">
        <v>2413</v>
      </c>
      <c r="AH658" s="1253" t="s">
        <v>356</v>
      </c>
      <c r="AI658" s="1234" t="s">
        <v>112</v>
      </c>
      <c r="AJ658" s="1234" t="s">
        <v>113</v>
      </c>
      <c r="AK658" s="1188">
        <f t="shared" si="232"/>
        <v>16320</v>
      </c>
      <c r="AL658" s="1188"/>
      <c r="AM658" s="1188"/>
      <c r="AN658" s="1188"/>
      <c r="AO658" s="1188"/>
      <c r="AP658" s="1188"/>
      <c r="AQ658" s="1240"/>
      <c r="AR658" s="1188"/>
      <c r="AS658" s="1236"/>
      <c r="AT658" s="1236">
        <f t="shared" si="236"/>
        <v>16320</v>
      </c>
      <c r="AU658" s="1188">
        <f t="shared" si="234"/>
        <v>16320</v>
      </c>
      <c r="AV658" s="1250"/>
      <c r="AW658" s="1250"/>
      <c r="AX658" s="1188"/>
      <c r="AY658" s="1188"/>
      <c r="AZ658" s="1188"/>
      <c r="BA658" s="1188"/>
      <c r="BB658" s="1188"/>
      <c r="BC658" s="1188"/>
      <c r="BD658" s="1188"/>
      <c r="BE658" s="1188"/>
      <c r="BF658" s="1188"/>
      <c r="BG658" s="1188"/>
      <c r="BH658" s="1188"/>
      <c r="BI658" s="1188"/>
      <c r="BJ658" s="1188"/>
      <c r="BK658" s="1188"/>
      <c r="BL658" s="1188"/>
      <c r="BM658" s="1188"/>
      <c r="BN658" s="1188"/>
      <c r="BO658" s="1240"/>
      <c r="BP658" s="1240"/>
      <c r="BQ658" s="1188"/>
      <c r="BR658" s="1236">
        <f t="shared" si="237"/>
        <v>1020</v>
      </c>
      <c r="BS658" s="1236"/>
      <c r="BT658" s="1188"/>
      <c r="BU658" s="1188"/>
      <c r="BV658" s="1240"/>
      <c r="BW658" s="1188"/>
      <c r="BX658" s="1188"/>
      <c r="BY658" s="1188"/>
      <c r="BZ658" s="1188"/>
      <c r="CA658" s="1188"/>
      <c r="CB658" s="1188"/>
      <c r="CC658" s="1188"/>
      <c r="CD658" s="1188">
        <f t="shared" si="229"/>
        <v>1020</v>
      </c>
      <c r="CE658" s="1188">
        <f t="shared" si="220"/>
        <v>0</v>
      </c>
      <c r="CF658" s="1188">
        <f t="shared" si="230"/>
        <v>0</v>
      </c>
      <c r="CG658" s="1188">
        <f t="shared" si="231"/>
        <v>0</v>
      </c>
      <c r="CH658" s="1236"/>
      <c r="CI658" s="1236"/>
      <c r="CJ658" s="1236"/>
      <c r="CK658" s="1188"/>
      <c r="CL658" s="1188"/>
      <c r="CM658" s="1168"/>
      <c r="CN658" s="1168"/>
      <c r="CO658" s="1168"/>
      <c r="CP658" s="1168"/>
      <c r="CQ658" s="1168"/>
      <c r="CR658" s="1168"/>
      <c r="CS658" s="1168"/>
      <c r="CT658" s="1168"/>
      <c r="CU658" s="1168"/>
      <c r="CV658" s="1168"/>
      <c r="CW658" s="1168"/>
      <c r="CX658" s="1168"/>
      <c r="CY658" s="1168"/>
      <c r="CZ658" s="1168"/>
      <c r="DA658" s="1168"/>
      <c r="DB658" s="1168"/>
      <c r="DC658" s="1168"/>
      <c r="DD658" s="1168"/>
      <c r="DE658" s="1168"/>
      <c r="DF658" s="1168"/>
      <c r="DG658" s="1168"/>
    </row>
    <row r="659" s="1168" customFormat="1" customHeight="1" spans="1:111">
      <c r="A659" s="1340">
        <v>46205</v>
      </c>
      <c r="B659" s="1341" t="s">
        <v>346</v>
      </c>
      <c r="C659" s="1342" t="s">
        <v>115</v>
      </c>
      <c r="D659" s="1343">
        <v>4500214828</v>
      </c>
      <c r="E659" s="1895" t="s">
        <v>2797</v>
      </c>
      <c r="F659" s="1172" t="s">
        <v>2798</v>
      </c>
      <c r="G659" s="1329" t="s">
        <v>1016</v>
      </c>
      <c r="H659" s="1342" t="s">
        <v>350</v>
      </c>
      <c r="I659" s="1344">
        <v>16320</v>
      </c>
      <c r="J659" s="1342">
        <v>0</v>
      </c>
      <c r="K659" s="1342">
        <v>960</v>
      </c>
      <c r="L659" s="1345">
        <f t="shared" si="233"/>
        <v>17</v>
      </c>
      <c r="M659" s="1286">
        <v>46241</v>
      </c>
      <c r="N659" s="1361">
        <v>46239</v>
      </c>
      <c r="O659" s="1255"/>
      <c r="P659" s="1357" t="s">
        <v>2411</v>
      </c>
      <c r="Q659" s="1233" t="s">
        <v>1410</v>
      </c>
      <c r="R659" s="1342" t="s">
        <v>1322</v>
      </c>
      <c r="S659" s="1342"/>
      <c r="T659" s="1357">
        <v>16320</v>
      </c>
      <c r="U659" s="1233">
        <f t="shared" si="219"/>
        <v>0</v>
      </c>
      <c r="V659" s="1342" t="s">
        <v>120</v>
      </c>
      <c r="W659" s="1529" t="s">
        <v>1572</v>
      </c>
      <c r="X659" s="1227" t="s">
        <v>95</v>
      </c>
      <c r="Y659" s="1389" t="s">
        <v>2041</v>
      </c>
      <c r="Z659" s="1341"/>
      <c r="AA659" s="1341"/>
      <c r="AB659" s="1341"/>
      <c r="AC659" s="1386" t="s">
        <v>2412</v>
      </c>
      <c r="AD659" s="1286" t="s">
        <v>354</v>
      </c>
      <c r="AE659" s="1172">
        <v>665.1447</v>
      </c>
      <c r="AF659" s="1360">
        <f t="shared" si="235"/>
        <v>11307.4599</v>
      </c>
      <c r="AG659" s="1249" t="s">
        <v>2413</v>
      </c>
      <c r="AH659" s="1253" t="s">
        <v>356</v>
      </c>
      <c r="AI659" s="1342" t="s">
        <v>112</v>
      </c>
      <c r="AJ659" s="1234" t="s">
        <v>113</v>
      </c>
      <c r="AK659" s="1188">
        <f t="shared" si="232"/>
        <v>16320</v>
      </c>
      <c r="AL659" s="1172"/>
      <c r="AM659" s="1172"/>
      <c r="AN659" s="1172"/>
      <c r="AO659" s="1188"/>
      <c r="AP659" s="1188"/>
      <c r="AQ659" s="1172"/>
      <c r="AR659" s="1172"/>
      <c r="AS659" s="1172"/>
      <c r="AT659" s="1188">
        <f t="shared" si="236"/>
        <v>16320</v>
      </c>
      <c r="AU659" s="1188">
        <f t="shared" si="234"/>
        <v>16320</v>
      </c>
      <c r="AV659" s="1395"/>
      <c r="AW659" s="1395"/>
      <c r="AX659" s="1172"/>
      <c r="AY659" s="1172"/>
      <c r="AZ659" s="1172"/>
      <c r="BA659" s="1172"/>
      <c r="BB659" s="1172"/>
      <c r="BC659" s="1172"/>
      <c r="BD659" s="1172"/>
      <c r="BE659" s="1172"/>
      <c r="BF659" s="1172"/>
      <c r="BG659" s="1172"/>
      <c r="BH659" s="1172"/>
      <c r="BI659" s="1172"/>
      <c r="BJ659" s="1172"/>
      <c r="BK659" s="1172"/>
      <c r="BL659" s="1172"/>
      <c r="BM659" s="1172"/>
      <c r="BN659" s="1172"/>
      <c r="BO659" s="1172"/>
      <c r="BP659" s="1172"/>
      <c r="BQ659" s="1172"/>
      <c r="BR659" s="1172">
        <f t="shared" si="237"/>
        <v>1020</v>
      </c>
      <c r="BS659" s="1172"/>
      <c r="BT659" s="1172"/>
      <c r="BU659" s="1172"/>
      <c r="BV659" s="1172"/>
      <c r="BW659" s="1172"/>
      <c r="BX659" s="1172"/>
      <c r="BY659" s="1172"/>
      <c r="BZ659" s="1172"/>
      <c r="CA659" s="1172"/>
      <c r="CB659" s="1172"/>
      <c r="CC659" s="1172"/>
      <c r="CD659" s="1188">
        <f t="shared" si="229"/>
        <v>1020</v>
      </c>
      <c r="CE659" s="1188">
        <f t="shared" si="220"/>
        <v>0</v>
      </c>
      <c r="CF659" s="1188">
        <f t="shared" si="230"/>
        <v>0</v>
      </c>
      <c r="CG659" s="1188">
        <f t="shared" si="231"/>
        <v>0</v>
      </c>
      <c r="CH659" s="1172"/>
      <c r="CI659" s="1172"/>
      <c r="CJ659" s="1172"/>
      <c r="CK659" s="1172"/>
      <c r="CL659" s="1172"/>
    </row>
    <row r="660" s="1168" customFormat="1" customHeight="1" spans="1:111">
      <c r="A660" s="1219">
        <v>46205</v>
      </c>
      <c r="B660" s="1220" t="s">
        <v>346</v>
      </c>
      <c r="C660" s="1221" t="s">
        <v>115</v>
      </c>
      <c r="D660" s="1303">
        <v>4500214828</v>
      </c>
      <c r="E660" s="1892" t="s">
        <v>2799</v>
      </c>
      <c r="F660" s="1222" t="s">
        <v>2800</v>
      </c>
      <c r="G660" s="1329" t="s">
        <v>1016</v>
      </c>
      <c r="H660" s="1221" t="s">
        <v>350</v>
      </c>
      <c r="I660" s="1252">
        <v>12480</v>
      </c>
      <c r="J660" s="1221">
        <v>0</v>
      </c>
      <c r="K660" s="1221">
        <v>960</v>
      </c>
      <c r="L660" s="1224">
        <f t="shared" si="233"/>
        <v>13</v>
      </c>
      <c r="M660" s="1225">
        <v>46241</v>
      </c>
      <c r="N660" s="1338">
        <v>46239</v>
      </c>
      <c r="O660" s="1225"/>
      <c r="P660" s="1226" t="s">
        <v>2411</v>
      </c>
      <c r="Q660" s="1233" t="s">
        <v>1410</v>
      </c>
      <c r="R660" s="1221" t="s">
        <v>1663</v>
      </c>
      <c r="S660" s="1221"/>
      <c r="T660" s="1226">
        <v>12480</v>
      </c>
      <c r="U660" s="1233">
        <f t="shared" si="219"/>
        <v>0</v>
      </c>
      <c r="V660" s="1221" t="s">
        <v>120</v>
      </c>
      <c r="W660" s="1238" t="s">
        <v>1572</v>
      </c>
      <c r="X660" s="1227" t="s">
        <v>95</v>
      </c>
      <c r="Y660" s="1227" t="s">
        <v>2801</v>
      </c>
      <c r="Z660" s="1220"/>
      <c r="AA660" s="1220"/>
      <c r="AB660" s="1220"/>
      <c r="AC660" s="1520" t="s">
        <v>2412</v>
      </c>
      <c r="AD660" s="1225" t="s">
        <v>354</v>
      </c>
      <c r="AE660" s="1222">
        <v>665.1446</v>
      </c>
      <c r="AF660" s="1229">
        <f t="shared" si="235"/>
        <v>8646.8798</v>
      </c>
      <c r="AG660" s="1239" t="s">
        <v>2413</v>
      </c>
      <c r="AH660" s="1253" t="s">
        <v>356</v>
      </c>
      <c r="AI660" s="1234" t="s">
        <v>112</v>
      </c>
      <c r="AJ660" s="1234" t="s">
        <v>113</v>
      </c>
      <c r="AK660" s="1222">
        <f t="shared" si="232"/>
        <v>12480</v>
      </c>
      <c r="AL660" s="1222"/>
      <c r="AM660" s="1222"/>
      <c r="AN660" s="1222"/>
      <c r="AO660" s="1222"/>
      <c r="AP660" s="1222"/>
      <c r="AQ660" s="1242"/>
      <c r="AR660" s="1222"/>
      <c r="AS660" s="1232"/>
      <c r="AT660" s="1232">
        <f t="shared" si="236"/>
        <v>12480</v>
      </c>
      <c r="AU660" s="1222">
        <f t="shared" si="234"/>
        <v>12480</v>
      </c>
      <c r="AV660" s="1241"/>
      <c r="AW660" s="1241"/>
      <c r="AX660" s="1222"/>
      <c r="AY660" s="1222"/>
      <c r="AZ660" s="1222"/>
      <c r="BA660" s="1222"/>
      <c r="BB660" s="1222"/>
      <c r="BC660" s="1222"/>
      <c r="BD660" s="1222"/>
      <c r="BE660" s="1222"/>
      <c r="BF660" s="1222"/>
      <c r="BG660" s="1222"/>
      <c r="BH660" s="1222"/>
      <c r="BI660" s="1222"/>
      <c r="BJ660" s="1222"/>
      <c r="BK660" s="1222"/>
      <c r="BL660" s="1222"/>
      <c r="BM660" s="1222"/>
      <c r="BN660" s="1222"/>
      <c r="BO660" s="1242"/>
      <c r="BP660" s="1242"/>
      <c r="BQ660" s="1222"/>
      <c r="BR660" s="1232">
        <f t="shared" si="237"/>
        <v>780</v>
      </c>
      <c r="BS660" s="1232"/>
      <c r="BT660" s="1222"/>
      <c r="BU660" s="1222"/>
      <c r="BV660" s="1242"/>
      <c r="BW660" s="1222"/>
      <c r="BX660" s="1222"/>
      <c r="BY660" s="1222"/>
      <c r="BZ660" s="1222"/>
      <c r="CA660" s="1222"/>
      <c r="CB660" s="1222"/>
      <c r="CC660" s="1222"/>
      <c r="CD660" s="1188">
        <f t="shared" si="229"/>
        <v>780</v>
      </c>
      <c r="CE660" s="1188">
        <f t="shared" si="220"/>
        <v>0</v>
      </c>
      <c r="CF660" s="1188">
        <f t="shared" si="230"/>
        <v>0</v>
      </c>
      <c r="CG660" s="1188">
        <f t="shared" si="231"/>
        <v>0</v>
      </c>
      <c r="CH660" s="1232"/>
      <c r="CI660" s="1232"/>
      <c r="CJ660" s="1232"/>
      <c r="CK660" s="1222"/>
      <c r="CL660" s="1222"/>
    </row>
    <row r="661" s="1169" customFormat="1" customHeight="1" spans="1:111">
      <c r="A661" s="1245">
        <v>46205</v>
      </c>
      <c r="B661" s="1247" t="s">
        <v>346</v>
      </c>
      <c r="C661" s="1234" t="s">
        <v>115</v>
      </c>
      <c r="D661" s="1268">
        <v>4500214828</v>
      </c>
      <c r="E661" s="1890" t="s">
        <v>2802</v>
      </c>
      <c r="F661" s="1188" t="s">
        <v>2803</v>
      </c>
      <c r="G661" s="1329" t="s">
        <v>1016</v>
      </c>
      <c r="H661" s="1234" t="s">
        <v>350</v>
      </c>
      <c r="I661" s="1254">
        <v>16320</v>
      </c>
      <c r="J661" s="1234">
        <v>0</v>
      </c>
      <c r="K661" s="1234">
        <v>960</v>
      </c>
      <c r="L661" s="1246">
        <f t="shared" si="233"/>
        <v>17</v>
      </c>
      <c r="M661" s="1255">
        <v>46241</v>
      </c>
      <c r="N661" s="1320">
        <v>46239</v>
      </c>
      <c r="O661" s="1255"/>
      <c r="P661" s="1233" t="s">
        <v>2411</v>
      </c>
      <c r="Q661" s="1233" t="s">
        <v>1410</v>
      </c>
      <c r="R661" s="1234"/>
      <c r="S661" s="1234"/>
      <c r="T661" s="1233">
        <v>16320</v>
      </c>
      <c r="U661" s="1233">
        <f t="shared" si="219"/>
        <v>0</v>
      </c>
      <c r="V661" s="1234" t="s">
        <v>120</v>
      </c>
      <c r="W661" s="1238" t="s">
        <v>1572</v>
      </c>
      <c r="X661" s="1257" t="s">
        <v>95</v>
      </c>
      <c r="Y661" s="1257" t="s">
        <v>2801</v>
      </c>
      <c r="Z661" s="1247"/>
      <c r="AA661" s="1247"/>
      <c r="AB661" s="1247"/>
      <c r="AC661" s="1334" t="s">
        <v>2412</v>
      </c>
      <c r="AD661" s="1255" t="s">
        <v>354</v>
      </c>
      <c r="AE661" s="1188">
        <v>665.1447</v>
      </c>
      <c r="AF661" s="1248">
        <f t="shared" si="235"/>
        <v>11307.4599</v>
      </c>
      <c r="AG661" s="1249" t="s">
        <v>2413</v>
      </c>
      <c r="AH661" s="1253" t="s">
        <v>356</v>
      </c>
      <c r="AI661" s="1234" t="s">
        <v>112</v>
      </c>
      <c r="AJ661" s="1234" t="s">
        <v>113</v>
      </c>
      <c r="AK661" s="1188">
        <f t="shared" si="232"/>
        <v>16320</v>
      </c>
      <c r="AL661" s="1188"/>
      <c r="AM661" s="1188"/>
      <c r="AN661" s="1188"/>
      <c r="AO661" s="1188"/>
      <c r="AP661" s="1188"/>
      <c r="AQ661" s="1240"/>
      <c r="AR661" s="1188"/>
      <c r="AS661" s="1236"/>
      <c r="AT661" s="1236">
        <f t="shared" si="236"/>
        <v>16320</v>
      </c>
      <c r="AU661" s="1188">
        <f t="shared" si="234"/>
        <v>16320</v>
      </c>
      <c r="AV661" s="1250"/>
      <c r="AW661" s="1250"/>
      <c r="AX661" s="1188"/>
      <c r="AY661" s="1188"/>
      <c r="AZ661" s="1188"/>
      <c r="BA661" s="1188"/>
      <c r="BB661" s="1188"/>
      <c r="BC661" s="1188"/>
      <c r="BD661" s="1188"/>
      <c r="BE661" s="1188"/>
      <c r="BF661" s="1188"/>
      <c r="BG661" s="1188"/>
      <c r="BH661" s="1188"/>
      <c r="BI661" s="1188"/>
      <c r="BJ661" s="1188"/>
      <c r="BK661" s="1188"/>
      <c r="BL661" s="1188"/>
      <c r="BM661" s="1188"/>
      <c r="BN661" s="1188"/>
      <c r="BO661" s="1240"/>
      <c r="BP661" s="1240"/>
      <c r="BQ661" s="1188"/>
      <c r="BR661" s="1236">
        <f t="shared" si="237"/>
        <v>1020</v>
      </c>
      <c r="BS661" s="1236"/>
      <c r="BT661" s="1188"/>
      <c r="BU661" s="1188"/>
      <c r="BV661" s="1240"/>
      <c r="BW661" s="1188"/>
      <c r="BX661" s="1188"/>
      <c r="BY661" s="1188"/>
      <c r="BZ661" s="1188"/>
      <c r="CA661" s="1188"/>
      <c r="CB661" s="1188"/>
      <c r="CC661" s="1188"/>
      <c r="CD661" s="1188">
        <f t="shared" si="229"/>
        <v>1020</v>
      </c>
      <c r="CE661" s="1188">
        <f t="shared" si="220"/>
        <v>0</v>
      </c>
      <c r="CF661" s="1188">
        <f t="shared" si="230"/>
        <v>0</v>
      </c>
      <c r="CG661" s="1188">
        <f t="shared" si="231"/>
        <v>0</v>
      </c>
      <c r="CH661" s="1236"/>
      <c r="CI661" s="1236"/>
      <c r="CJ661" s="1236"/>
      <c r="CK661" s="1188"/>
      <c r="CL661" s="1188"/>
      <c r="CM661" s="1168"/>
      <c r="CN661" s="1168"/>
      <c r="CO661" s="1168"/>
      <c r="CP661" s="1168"/>
      <c r="CQ661" s="1168"/>
      <c r="CR661" s="1168"/>
      <c r="CS661" s="1168"/>
      <c r="CT661" s="1168"/>
      <c r="CU661" s="1168"/>
      <c r="CV661" s="1168"/>
      <c r="CW661" s="1168"/>
      <c r="CX661" s="1168"/>
      <c r="CY661" s="1168"/>
      <c r="CZ661" s="1168"/>
      <c r="DA661" s="1168"/>
      <c r="DB661" s="1168"/>
      <c r="DC661" s="1168"/>
      <c r="DD661" s="1168"/>
      <c r="DE661" s="1168"/>
      <c r="DF661" s="1168"/>
      <c r="DG661" s="1168"/>
    </row>
    <row r="662" s="1168" customFormat="1" customHeight="1" spans="1:111">
      <c r="A662" s="1245">
        <v>46205</v>
      </c>
      <c r="B662" s="1247" t="s">
        <v>346</v>
      </c>
      <c r="C662" s="1234" t="s">
        <v>115</v>
      </c>
      <c r="D662" s="1268">
        <v>4500214828</v>
      </c>
      <c r="E662" s="1890" t="s">
        <v>2804</v>
      </c>
      <c r="F662" s="1188" t="s">
        <v>2805</v>
      </c>
      <c r="G662" s="1329" t="s">
        <v>1016</v>
      </c>
      <c r="H662" s="1234" t="s">
        <v>350</v>
      </c>
      <c r="I662" s="1254">
        <v>17280</v>
      </c>
      <c r="J662" s="1234">
        <v>0</v>
      </c>
      <c r="K662" s="1234">
        <v>960</v>
      </c>
      <c r="L662" s="1246">
        <f t="shared" si="233"/>
        <v>18</v>
      </c>
      <c r="M662" s="1255">
        <v>46241</v>
      </c>
      <c r="N662" s="1320">
        <v>46239</v>
      </c>
      <c r="O662" s="1255"/>
      <c r="P662" s="1233" t="s">
        <v>2411</v>
      </c>
      <c r="Q662" s="1233" t="s">
        <v>1410</v>
      </c>
      <c r="R662" s="1234" t="s">
        <v>1241</v>
      </c>
      <c r="S662" s="1234"/>
      <c r="T662" s="1233">
        <v>17280</v>
      </c>
      <c r="U662" s="1233">
        <f t="shared" si="219"/>
        <v>0</v>
      </c>
      <c r="V662" s="1234" t="s">
        <v>120</v>
      </c>
      <c r="W662" s="1238" t="s">
        <v>1572</v>
      </c>
      <c r="X662" s="1257" t="s">
        <v>95</v>
      </c>
      <c r="Y662" s="1227" t="s">
        <v>2801</v>
      </c>
      <c r="Z662" s="1247"/>
      <c r="AA662" s="1247"/>
      <c r="AB662" s="1247"/>
      <c r="AC662" s="1334" t="s">
        <v>2412</v>
      </c>
      <c r="AD662" s="1255" t="s">
        <v>354</v>
      </c>
      <c r="AE662" s="1188">
        <v>665.145</v>
      </c>
      <c r="AF662" s="1248">
        <f t="shared" si="235"/>
        <v>11972.61</v>
      </c>
      <c r="AG662" s="1249" t="s">
        <v>2413</v>
      </c>
      <c r="AH662" s="1253" t="s">
        <v>356</v>
      </c>
      <c r="AI662" s="1234" t="s">
        <v>112</v>
      </c>
      <c r="AJ662" s="1234" t="s">
        <v>113</v>
      </c>
      <c r="AK662" s="1188">
        <f t="shared" si="232"/>
        <v>17280</v>
      </c>
      <c r="AL662" s="1188"/>
      <c r="AM662" s="1188"/>
      <c r="AN662" s="1188"/>
      <c r="AO662" s="1188"/>
      <c r="AP662" s="1188"/>
      <c r="AQ662" s="1240"/>
      <c r="AR662" s="1188"/>
      <c r="AS662" s="1236"/>
      <c r="AT662" s="1236">
        <f t="shared" si="236"/>
        <v>17280</v>
      </c>
      <c r="AU662" s="1188">
        <f t="shared" si="234"/>
        <v>17280</v>
      </c>
      <c r="AV662" s="1250"/>
      <c r="AW662" s="1250"/>
      <c r="AX662" s="1188"/>
      <c r="AY662" s="1188"/>
      <c r="AZ662" s="1188"/>
      <c r="BA662" s="1188"/>
      <c r="BB662" s="1188"/>
      <c r="BC662" s="1188"/>
      <c r="BD662" s="1188"/>
      <c r="BE662" s="1188"/>
      <c r="BF662" s="1188"/>
      <c r="BG662" s="1188"/>
      <c r="BH662" s="1188"/>
      <c r="BI662" s="1188"/>
      <c r="BJ662" s="1188"/>
      <c r="BK662" s="1188"/>
      <c r="BL662" s="1188"/>
      <c r="BM662" s="1188"/>
      <c r="BN662" s="1188"/>
      <c r="BO662" s="1240"/>
      <c r="BP662" s="1240"/>
      <c r="BQ662" s="1188"/>
      <c r="BR662" s="1236">
        <f t="shared" si="237"/>
        <v>1080</v>
      </c>
      <c r="BS662" s="1236"/>
      <c r="BT662" s="1188"/>
      <c r="BU662" s="1188"/>
      <c r="BV662" s="1240"/>
      <c r="BW662" s="1188"/>
      <c r="BX662" s="1188"/>
      <c r="BY662" s="1188"/>
      <c r="BZ662" s="1188"/>
      <c r="CA662" s="1188"/>
      <c r="CB662" s="1188"/>
      <c r="CC662" s="1188"/>
      <c r="CD662" s="1188">
        <f t="shared" si="229"/>
        <v>1080</v>
      </c>
      <c r="CE662" s="1188">
        <f t="shared" si="220"/>
        <v>0</v>
      </c>
      <c r="CF662" s="1188">
        <f t="shared" si="230"/>
        <v>0</v>
      </c>
      <c r="CG662" s="1188">
        <f t="shared" si="231"/>
        <v>0</v>
      </c>
      <c r="CH662" s="1236"/>
      <c r="CI662" s="1236"/>
      <c r="CJ662" s="1236"/>
      <c r="CK662" s="1188"/>
      <c r="CL662" s="1188"/>
    </row>
    <row r="663" s="1168" customFormat="1" customHeight="1" spans="1:111">
      <c r="A663" s="1245">
        <v>46205</v>
      </c>
      <c r="B663" s="1247" t="s">
        <v>346</v>
      </c>
      <c r="C663" s="1234" t="s">
        <v>115</v>
      </c>
      <c r="D663" s="1268">
        <v>4500214828</v>
      </c>
      <c r="E663" s="1890" t="s">
        <v>2806</v>
      </c>
      <c r="F663" s="1188" t="s">
        <v>2807</v>
      </c>
      <c r="G663" s="1329" t="s">
        <v>1016</v>
      </c>
      <c r="H663" s="1234" t="s">
        <v>350</v>
      </c>
      <c r="I663" s="1254">
        <v>8640</v>
      </c>
      <c r="J663" s="1234">
        <v>0</v>
      </c>
      <c r="K663" s="1234">
        <v>960</v>
      </c>
      <c r="L663" s="1246">
        <f t="shared" si="233"/>
        <v>9</v>
      </c>
      <c r="M663" s="1255">
        <v>46241</v>
      </c>
      <c r="N663" s="1320">
        <v>46239</v>
      </c>
      <c r="O663" s="1255"/>
      <c r="P663" s="1233" t="s">
        <v>2395</v>
      </c>
      <c r="Q663" s="1233" t="s">
        <v>1410</v>
      </c>
      <c r="R663" s="1234" t="s">
        <v>1663</v>
      </c>
      <c r="S663" s="1234"/>
      <c r="T663" s="1233">
        <v>8640</v>
      </c>
      <c r="U663" s="1233">
        <f t="shared" si="219"/>
        <v>0</v>
      </c>
      <c r="V663" s="1234" t="s">
        <v>120</v>
      </c>
      <c r="W663" s="1256" t="s">
        <v>1572</v>
      </c>
      <c r="X663" s="1227" t="s">
        <v>95</v>
      </c>
      <c r="Y663" s="1257" t="s">
        <v>2801</v>
      </c>
      <c r="Z663" s="1247"/>
      <c r="AA663" s="1247"/>
      <c r="AB663" s="1247"/>
      <c r="AC663" s="1334" t="s">
        <v>2412</v>
      </c>
      <c r="AD663" s="1255" t="s">
        <v>354</v>
      </c>
      <c r="AE663" s="1188">
        <v>668.3122</v>
      </c>
      <c r="AF663" s="1248">
        <f t="shared" si="235"/>
        <v>6014.8098</v>
      </c>
      <c r="AG663" s="1249" t="s">
        <v>2413</v>
      </c>
      <c r="AH663" s="1253" t="s">
        <v>356</v>
      </c>
      <c r="AI663" s="1234" t="s">
        <v>112</v>
      </c>
      <c r="AJ663" s="1234" t="s">
        <v>113</v>
      </c>
      <c r="AK663" s="1188">
        <f t="shared" si="232"/>
        <v>8640</v>
      </c>
      <c r="AL663" s="1188"/>
      <c r="AM663" s="1188"/>
      <c r="AN663" s="1188"/>
      <c r="AO663" s="1188"/>
      <c r="AP663" s="1188"/>
      <c r="AQ663" s="1240"/>
      <c r="AR663" s="1188"/>
      <c r="AS663" s="1236"/>
      <c r="AT663" s="1236">
        <f t="shared" si="236"/>
        <v>8640</v>
      </c>
      <c r="AU663" s="1188">
        <f t="shared" si="234"/>
        <v>8640</v>
      </c>
      <c r="AV663" s="1250"/>
      <c r="AW663" s="1250"/>
      <c r="AX663" s="1188"/>
      <c r="AY663" s="1188"/>
      <c r="AZ663" s="1188"/>
      <c r="BA663" s="1188"/>
      <c r="BB663" s="1188"/>
      <c r="BC663" s="1188"/>
      <c r="BD663" s="1188"/>
      <c r="BE663" s="1188"/>
      <c r="BF663" s="1188"/>
      <c r="BG663" s="1188"/>
      <c r="BH663" s="1188"/>
      <c r="BI663" s="1188"/>
      <c r="BJ663" s="1188"/>
      <c r="BK663" s="1188"/>
      <c r="BL663" s="1188"/>
      <c r="BM663" s="1188"/>
      <c r="BN663" s="1188"/>
      <c r="BO663" s="1240"/>
      <c r="BP663" s="1240"/>
      <c r="BQ663" s="1188"/>
      <c r="BR663" s="1236">
        <f t="shared" si="237"/>
        <v>540</v>
      </c>
      <c r="BS663" s="1236"/>
      <c r="BT663" s="1188"/>
      <c r="BU663" s="1188"/>
      <c r="BV663" s="1240"/>
      <c r="BW663" s="1188"/>
      <c r="BX663" s="1188"/>
      <c r="BY663" s="1188"/>
      <c r="BZ663" s="1188"/>
      <c r="CA663" s="1188"/>
      <c r="CB663" s="1188"/>
      <c r="CC663" s="1188"/>
      <c r="CD663" s="1188">
        <f t="shared" si="229"/>
        <v>540</v>
      </c>
      <c r="CE663" s="1188">
        <f t="shared" si="220"/>
        <v>0</v>
      </c>
      <c r="CF663" s="1188">
        <f t="shared" si="230"/>
        <v>0</v>
      </c>
      <c r="CG663" s="1188">
        <f t="shared" si="231"/>
        <v>0</v>
      </c>
      <c r="CH663" s="1236"/>
      <c r="CI663" s="1236"/>
      <c r="CJ663" s="1236"/>
      <c r="CK663" s="1188"/>
      <c r="CL663" s="1188"/>
    </row>
    <row r="664" s="1169" customFormat="1" customHeight="1" spans="1:111">
      <c r="A664" s="1245">
        <v>46183</v>
      </c>
      <c r="B664" s="1220" t="s">
        <v>1493</v>
      </c>
      <c r="C664" s="1221" t="s">
        <v>810</v>
      </c>
      <c r="D664" s="1222">
        <v>4500211400</v>
      </c>
      <c r="E664" s="1221"/>
      <c r="F664" s="1222" t="s">
        <v>2808</v>
      </c>
      <c r="G664" s="1223" t="s">
        <v>188</v>
      </c>
      <c r="H664" s="1234" t="s">
        <v>138</v>
      </c>
      <c r="I664" s="1252">
        <v>2000</v>
      </c>
      <c r="J664" s="1221">
        <v>0</v>
      </c>
      <c r="K664" s="1221">
        <v>50</v>
      </c>
      <c r="L664" s="1246">
        <f t="shared" si="233"/>
        <v>40</v>
      </c>
      <c r="M664" s="1225">
        <v>46241</v>
      </c>
      <c r="N664" s="1338">
        <v>46242</v>
      </c>
      <c r="O664" s="1255"/>
      <c r="P664" s="1233"/>
      <c r="Q664" s="1233" t="s">
        <v>1410</v>
      </c>
      <c r="R664" s="1234" t="s">
        <v>2809</v>
      </c>
      <c r="S664" s="1234"/>
      <c r="T664" s="1233">
        <v>2000</v>
      </c>
      <c r="U664" s="1233">
        <f t="shared" si="219"/>
        <v>0</v>
      </c>
      <c r="V664" s="1234"/>
      <c r="W664" s="1256">
        <v>46183</v>
      </c>
      <c r="X664" s="1257" t="s">
        <v>95</v>
      </c>
      <c r="Y664" s="1257" t="s">
        <v>2810</v>
      </c>
      <c r="Z664" s="1247" t="s">
        <v>2811</v>
      </c>
      <c r="AA664" s="1247"/>
      <c r="AB664" s="1247"/>
      <c r="AC664" s="1220" t="s">
        <v>2812</v>
      </c>
      <c r="AD664" s="1225" t="s">
        <v>722</v>
      </c>
      <c r="AE664" s="1188">
        <v>1.1174</v>
      </c>
      <c r="AF664" s="1248">
        <f>AE664*I664</f>
        <v>2234.8</v>
      </c>
      <c r="AG664" s="1258"/>
      <c r="AH664" s="1234" t="s">
        <v>314</v>
      </c>
      <c r="AI664" s="1234" t="s">
        <v>112</v>
      </c>
      <c r="AJ664" s="1234" t="s">
        <v>113</v>
      </c>
      <c r="AK664" s="1188">
        <f t="shared" si="232"/>
        <v>2000</v>
      </c>
      <c r="AL664" s="1188"/>
      <c r="AM664" s="1188"/>
      <c r="AN664" s="1188"/>
      <c r="AO664" s="1188"/>
      <c r="AP664" s="1188">
        <f>I664</f>
        <v>2000</v>
      </c>
      <c r="AQ664" s="1240"/>
      <c r="AR664" s="1188"/>
      <c r="AS664" s="1236"/>
      <c r="AT664" s="1236"/>
      <c r="AU664" s="1188">
        <f t="shared" si="234"/>
        <v>2000</v>
      </c>
      <c r="AV664" s="1250"/>
      <c r="AW664" s="1250"/>
      <c r="AX664" s="1188"/>
      <c r="AY664" s="1188"/>
      <c r="AZ664" s="1188"/>
      <c r="BA664" s="1188"/>
      <c r="BB664" s="1188"/>
      <c r="BC664" s="1188"/>
      <c r="BD664" s="1188"/>
      <c r="BE664" s="1188"/>
      <c r="BF664" s="1188"/>
      <c r="BG664" s="1188"/>
      <c r="BH664" s="1188"/>
      <c r="BI664" s="1188"/>
      <c r="BJ664" s="1188"/>
      <c r="BK664" s="1188"/>
      <c r="BL664" s="1188"/>
      <c r="BM664" s="1188"/>
      <c r="BN664" s="1188"/>
      <c r="BO664" s="1240">
        <f>I664/25</f>
        <v>80</v>
      </c>
      <c r="BP664" s="1240"/>
      <c r="BQ664" s="1188"/>
      <c r="BR664" s="1236"/>
      <c r="BS664" s="1236"/>
      <c r="BT664" s="1188"/>
      <c r="BU664" s="1188"/>
      <c r="BV664" s="1240"/>
      <c r="BW664" s="1188"/>
      <c r="BX664" s="1188"/>
      <c r="BY664" s="1188"/>
      <c r="BZ664" s="1188"/>
      <c r="CA664" s="1188"/>
      <c r="CB664" s="1188"/>
      <c r="CC664" s="1188"/>
      <c r="CD664" s="1188">
        <f t="shared" si="229"/>
        <v>80</v>
      </c>
      <c r="CE664" s="1188">
        <f t="shared" si="220"/>
        <v>0</v>
      </c>
      <c r="CF664" s="1188">
        <f t="shared" si="230"/>
        <v>0</v>
      </c>
      <c r="CG664" s="1188">
        <f t="shared" si="231"/>
        <v>0</v>
      </c>
      <c r="CH664" s="1236"/>
      <c r="CI664" s="1236"/>
      <c r="CJ664" s="1236"/>
      <c r="CK664" s="1188"/>
      <c r="CL664" s="1188"/>
      <c r="CM664" s="1168"/>
      <c r="CN664" s="1168"/>
      <c r="CO664" s="1168"/>
      <c r="CP664" s="1168"/>
      <c r="CQ664" s="1168"/>
      <c r="CR664" s="1168"/>
      <c r="CS664" s="1168"/>
      <c r="CT664" s="1168"/>
      <c r="CU664" s="1168"/>
      <c r="CV664" s="1168"/>
      <c r="CW664" s="1168"/>
      <c r="CX664" s="1168"/>
      <c r="CY664" s="1168"/>
      <c r="CZ664" s="1168"/>
      <c r="DA664" s="1168"/>
      <c r="DB664" s="1168"/>
      <c r="DC664" s="1168"/>
      <c r="DD664" s="1168"/>
      <c r="DE664" s="1168"/>
      <c r="DF664" s="1168"/>
      <c r="DG664" s="1168"/>
    </row>
    <row r="665" s="1168" customFormat="1" customHeight="1" spans="1:111">
      <c r="A665" s="1245">
        <v>46185</v>
      </c>
      <c r="B665" s="1269" t="s">
        <v>2813</v>
      </c>
      <c r="C665" s="1287" t="s">
        <v>1439</v>
      </c>
      <c r="D665" s="1459">
        <v>4500211830</v>
      </c>
      <c r="E665" s="1271" t="s">
        <v>2814</v>
      </c>
      <c r="F665" s="1270" t="s">
        <v>2815</v>
      </c>
      <c r="G665" s="1272" t="s">
        <v>753</v>
      </c>
      <c r="H665" s="1234" t="s">
        <v>390</v>
      </c>
      <c r="I665" s="1273">
        <v>3108</v>
      </c>
      <c r="J665" s="1274">
        <v>0</v>
      </c>
      <c r="K665" s="1274">
        <v>12</v>
      </c>
      <c r="L665" s="1246">
        <f t="shared" si="233"/>
        <v>259</v>
      </c>
      <c r="M665" s="1255">
        <v>46241</v>
      </c>
      <c r="N665" s="1320">
        <v>46242</v>
      </c>
      <c r="O665" s="1255"/>
      <c r="P665" s="1233"/>
      <c r="Q665" s="1233" t="s">
        <v>1410</v>
      </c>
      <c r="R665" s="1234"/>
      <c r="S665" s="1234"/>
      <c r="T665" s="1233">
        <v>3108</v>
      </c>
      <c r="U665" s="1233">
        <f t="shared" si="219"/>
        <v>0</v>
      </c>
      <c r="V665" s="1234"/>
      <c r="W665" s="1256" t="s">
        <v>2502</v>
      </c>
      <c r="X665" s="1257" t="s">
        <v>95</v>
      </c>
      <c r="Y665" s="1257" t="s">
        <v>2816</v>
      </c>
      <c r="Z665" s="1247" t="s">
        <v>140</v>
      </c>
      <c r="AA665" s="1247"/>
      <c r="AB665" s="1247"/>
      <c r="AC665" s="1321" t="s">
        <v>2817</v>
      </c>
      <c r="AD665" s="1275" t="s">
        <v>2610</v>
      </c>
      <c r="AE665" s="1276">
        <v>2.4945</v>
      </c>
      <c r="AF665" s="1248">
        <f>I665*AE665</f>
        <v>7752.906</v>
      </c>
      <c r="AG665" s="1258"/>
      <c r="AH665" s="1234" t="s">
        <v>753</v>
      </c>
      <c r="AI665" s="1234" t="s">
        <v>112</v>
      </c>
      <c r="AJ665" s="1234"/>
      <c r="AK665" s="1188">
        <f>I665*2</f>
        <v>6216</v>
      </c>
      <c r="AL665" s="1188"/>
      <c r="AM665" s="1188"/>
      <c r="AN665" s="1188"/>
      <c r="AO665" s="1188"/>
      <c r="AP665" s="1188"/>
      <c r="AQ665" s="1240"/>
      <c r="AR665" s="1188">
        <f>I665*2</f>
        <v>6216</v>
      </c>
      <c r="AS665" s="1236"/>
      <c r="AT665" s="1236"/>
      <c r="AU665" s="1188"/>
      <c r="AV665" s="1250">
        <f>I665*0.06</f>
        <v>186.48</v>
      </c>
      <c r="AW665" s="1250">
        <f>I665*2</f>
        <v>6216</v>
      </c>
      <c r="AX665" s="1188"/>
      <c r="AY665" s="1188"/>
      <c r="AZ665" s="1188"/>
      <c r="BA665" s="1188"/>
      <c r="BB665" s="1188"/>
      <c r="BC665" s="1188"/>
      <c r="BD665" s="1188"/>
      <c r="BE665" s="1188"/>
      <c r="BF665" s="1188"/>
      <c r="BG665" s="1188"/>
      <c r="BH665" s="1188"/>
      <c r="BI665" s="1188"/>
      <c r="BJ665" s="1188"/>
      <c r="BK665" s="1188"/>
      <c r="BL665" s="1188"/>
      <c r="BM665" s="1188"/>
      <c r="BN665" s="1188"/>
      <c r="BO665" s="1240"/>
      <c r="BP665" s="1240"/>
      <c r="BQ665" s="1188"/>
      <c r="BR665" s="1236"/>
      <c r="BS665" s="1236"/>
      <c r="BT665" s="1188"/>
      <c r="BU665" s="1188"/>
      <c r="BV665" s="1240"/>
      <c r="BW665" s="1188"/>
      <c r="BX665" s="1188"/>
      <c r="BY665" s="1188"/>
      <c r="BZ665" s="1188"/>
      <c r="CA665" s="1188"/>
      <c r="CB665" s="1188"/>
      <c r="CC665" s="1188"/>
      <c r="CD665" s="1188">
        <f t="shared" si="229"/>
        <v>0</v>
      </c>
      <c r="CE665" s="1188">
        <f t="shared" si="220"/>
        <v>0</v>
      </c>
      <c r="CF665" s="1188">
        <f t="shared" si="230"/>
        <v>0</v>
      </c>
      <c r="CG665" s="1188">
        <f t="shared" si="231"/>
        <v>0</v>
      </c>
      <c r="CH665" s="1236"/>
      <c r="CI665" s="1236"/>
      <c r="CJ665" s="1236">
        <f>I665</f>
        <v>3108</v>
      </c>
      <c r="CK665" s="1188">
        <f>I665</f>
        <v>3108</v>
      </c>
      <c r="CL665" s="1188">
        <f>I665</f>
        <v>3108</v>
      </c>
    </row>
    <row r="666" s="1168" customFormat="1" customHeight="1" spans="1:111">
      <c r="A666" s="1245">
        <v>46205</v>
      </c>
      <c r="B666" s="1247" t="s">
        <v>346</v>
      </c>
      <c r="C666" s="1234" t="s">
        <v>115</v>
      </c>
      <c r="D666" s="1268">
        <v>4500214828</v>
      </c>
      <c r="E666" s="1890" t="s">
        <v>2818</v>
      </c>
      <c r="F666" s="1251" t="s">
        <v>2819</v>
      </c>
      <c r="G666" s="1329" t="s">
        <v>380</v>
      </c>
      <c r="H666" s="1234" t="s">
        <v>350</v>
      </c>
      <c r="I666" s="1254">
        <v>17280</v>
      </c>
      <c r="J666" s="1234">
        <v>0</v>
      </c>
      <c r="K666" s="1264">
        <v>16</v>
      </c>
      <c r="L666" s="1377">
        <f t="shared" si="233"/>
        <v>1080</v>
      </c>
      <c r="M666" s="1255">
        <v>46241</v>
      </c>
      <c r="N666" s="1320">
        <v>46242</v>
      </c>
      <c r="O666" s="1255"/>
      <c r="P666" s="1233" t="s">
        <v>2395</v>
      </c>
      <c r="Q666" s="1233" t="s">
        <v>1410</v>
      </c>
      <c r="R666" s="1234"/>
      <c r="S666" s="1234"/>
      <c r="T666" s="1233">
        <v>17280</v>
      </c>
      <c r="U666" s="1233">
        <f t="shared" si="219"/>
        <v>0</v>
      </c>
      <c r="V666" s="1234" t="s">
        <v>120</v>
      </c>
      <c r="W666" s="1256" t="s">
        <v>1572</v>
      </c>
      <c r="X666" s="1227" t="s">
        <v>95</v>
      </c>
      <c r="Y666" s="1227" t="s">
        <v>2801</v>
      </c>
      <c r="Z666" s="1247"/>
      <c r="AA666" s="1247"/>
      <c r="AB666" s="1247"/>
      <c r="AC666" s="1334" t="s">
        <v>2412</v>
      </c>
      <c r="AD666" s="1255" t="s">
        <v>354</v>
      </c>
      <c r="AE666" s="1188">
        <v>665.145</v>
      </c>
      <c r="AF666" s="1248">
        <f>AE666*L666</f>
        <v>718356.6</v>
      </c>
      <c r="AG666" s="1249" t="s">
        <v>2413</v>
      </c>
      <c r="AH666" s="1253" t="s">
        <v>356</v>
      </c>
      <c r="AI666" s="1234" t="s">
        <v>112</v>
      </c>
      <c r="AJ666" s="1234" t="s">
        <v>113</v>
      </c>
      <c r="AK666" s="1188">
        <f>I666</f>
        <v>17280</v>
      </c>
      <c r="AL666" s="1188"/>
      <c r="AM666" s="1188"/>
      <c r="AN666" s="1188"/>
      <c r="AO666" s="1188"/>
      <c r="AP666" s="1188"/>
      <c r="AQ666" s="1240"/>
      <c r="AR666" s="1188"/>
      <c r="AS666" s="1236"/>
      <c r="AT666" s="1236">
        <f>I666</f>
        <v>17280</v>
      </c>
      <c r="AU666" s="1188">
        <f>I666</f>
        <v>17280</v>
      </c>
      <c r="AV666" s="1250"/>
      <c r="AW666" s="1250"/>
      <c r="AX666" s="1188"/>
      <c r="AY666" s="1188"/>
      <c r="AZ666" s="1188"/>
      <c r="BA666" s="1188"/>
      <c r="BB666" s="1188"/>
      <c r="BC666" s="1188"/>
      <c r="BD666" s="1188"/>
      <c r="BE666" s="1188"/>
      <c r="BF666" s="1188"/>
      <c r="BG666" s="1188"/>
      <c r="BH666" s="1188"/>
      <c r="BI666" s="1188"/>
      <c r="BJ666" s="1188"/>
      <c r="BK666" s="1188"/>
      <c r="BL666" s="1188"/>
      <c r="BM666" s="1188"/>
      <c r="BN666" s="1188"/>
      <c r="BO666" s="1240"/>
      <c r="BP666" s="1240"/>
      <c r="BQ666" s="1188"/>
      <c r="BR666" s="1236">
        <f>I666/16</f>
        <v>1080</v>
      </c>
      <c r="BS666" s="1236"/>
      <c r="BT666" s="1188"/>
      <c r="BU666" s="1188"/>
      <c r="BV666" s="1240"/>
      <c r="BW666" s="1188"/>
      <c r="BX666" s="1188"/>
      <c r="BY666" s="1188"/>
      <c r="BZ666" s="1188"/>
      <c r="CA666" s="1188"/>
      <c r="CB666" s="1188"/>
      <c r="CC666" s="1188"/>
      <c r="CD666" s="1188">
        <f t="shared" si="229"/>
        <v>1080</v>
      </c>
      <c r="CE666" s="1188">
        <f t="shared" si="220"/>
        <v>0</v>
      </c>
      <c r="CF666" s="1188">
        <f t="shared" si="230"/>
        <v>0</v>
      </c>
      <c r="CG666" s="1188">
        <f t="shared" si="231"/>
        <v>0</v>
      </c>
      <c r="CH666" s="1236"/>
      <c r="CI666" s="1236"/>
      <c r="CJ666" s="1236"/>
      <c r="CK666" s="1188"/>
      <c r="CL666" s="1188"/>
    </row>
    <row r="667" s="1168" customFormat="1" customHeight="1" spans="1:111">
      <c r="A667" s="1245">
        <v>46205</v>
      </c>
      <c r="B667" s="1247" t="s">
        <v>346</v>
      </c>
      <c r="C667" s="1234" t="s">
        <v>115</v>
      </c>
      <c r="D667" s="1268">
        <v>4500214828</v>
      </c>
      <c r="E667" s="1890" t="s">
        <v>2820</v>
      </c>
      <c r="F667" s="1251" t="s">
        <v>2821</v>
      </c>
      <c r="G667" s="1329" t="s">
        <v>380</v>
      </c>
      <c r="H667" s="1234" t="s">
        <v>350</v>
      </c>
      <c r="I667" s="1254">
        <v>11520</v>
      </c>
      <c r="J667" s="1234">
        <v>0</v>
      </c>
      <c r="K667" s="1264">
        <v>16</v>
      </c>
      <c r="L667" s="1377">
        <f t="shared" si="233"/>
        <v>720</v>
      </c>
      <c r="M667" s="1255">
        <v>46241</v>
      </c>
      <c r="N667" s="1320">
        <v>46242</v>
      </c>
      <c r="O667" s="1255"/>
      <c r="P667" s="1233" t="s">
        <v>2395</v>
      </c>
      <c r="Q667" s="1233" t="s">
        <v>1410</v>
      </c>
      <c r="R667" s="1234"/>
      <c r="S667" s="1234"/>
      <c r="T667" s="1233">
        <v>11520</v>
      </c>
      <c r="U667" s="1233">
        <f t="shared" si="219"/>
        <v>0</v>
      </c>
      <c r="V667" s="1234" t="s">
        <v>120</v>
      </c>
      <c r="W667" s="1238" t="s">
        <v>1572</v>
      </c>
      <c r="X667" s="1257" t="s">
        <v>95</v>
      </c>
      <c r="Y667" s="1227" t="s">
        <v>2801</v>
      </c>
      <c r="Z667" s="1247"/>
      <c r="AA667" s="1247"/>
      <c r="AB667" s="1247"/>
      <c r="AC667" s="1334" t="s">
        <v>2412</v>
      </c>
      <c r="AD667" s="1255" t="s">
        <v>354</v>
      </c>
      <c r="AE667" s="1188">
        <v>665.145</v>
      </c>
      <c r="AF667" s="1248">
        <f>AE667*L667</f>
        <v>478904.4</v>
      </c>
      <c r="AG667" s="1249" t="s">
        <v>2413</v>
      </c>
      <c r="AH667" s="1359" t="s">
        <v>356</v>
      </c>
      <c r="AI667" s="1234" t="s">
        <v>112</v>
      </c>
      <c r="AJ667" s="1234" t="s">
        <v>113</v>
      </c>
      <c r="AK667" s="1188">
        <f>I667</f>
        <v>11520</v>
      </c>
      <c r="AL667" s="1188"/>
      <c r="AM667" s="1188"/>
      <c r="AN667" s="1188"/>
      <c r="AO667" s="1188"/>
      <c r="AP667" s="1188"/>
      <c r="AQ667" s="1240"/>
      <c r="AR667" s="1188"/>
      <c r="AS667" s="1236"/>
      <c r="AT667" s="1236">
        <f>I667</f>
        <v>11520</v>
      </c>
      <c r="AU667" s="1188">
        <f>I667</f>
        <v>11520</v>
      </c>
      <c r="AV667" s="1250"/>
      <c r="AW667" s="1250"/>
      <c r="AX667" s="1188"/>
      <c r="AY667" s="1188"/>
      <c r="AZ667" s="1188"/>
      <c r="BA667" s="1188"/>
      <c r="BB667" s="1188"/>
      <c r="BC667" s="1188"/>
      <c r="BD667" s="1188"/>
      <c r="BE667" s="1188"/>
      <c r="BF667" s="1188"/>
      <c r="BG667" s="1188"/>
      <c r="BH667" s="1188"/>
      <c r="BI667" s="1188"/>
      <c r="BJ667" s="1188"/>
      <c r="BK667" s="1188"/>
      <c r="BL667" s="1188"/>
      <c r="BM667" s="1188"/>
      <c r="BN667" s="1188"/>
      <c r="BO667" s="1240"/>
      <c r="BP667" s="1240"/>
      <c r="BQ667" s="1188"/>
      <c r="BR667" s="1236">
        <f>I667/16</f>
        <v>720</v>
      </c>
      <c r="BS667" s="1236"/>
      <c r="BT667" s="1188"/>
      <c r="BU667" s="1188"/>
      <c r="BV667" s="1240"/>
      <c r="BW667" s="1188"/>
      <c r="BX667" s="1188"/>
      <c r="BY667" s="1188"/>
      <c r="BZ667" s="1188"/>
      <c r="CA667" s="1188"/>
      <c r="CB667" s="1188"/>
      <c r="CC667" s="1188"/>
      <c r="CD667" s="1188">
        <f t="shared" si="229"/>
        <v>720</v>
      </c>
      <c r="CE667" s="1188">
        <f t="shared" si="220"/>
        <v>0</v>
      </c>
      <c r="CF667" s="1188">
        <f t="shared" si="230"/>
        <v>0</v>
      </c>
      <c r="CG667" s="1188">
        <f t="shared" si="231"/>
        <v>0</v>
      </c>
      <c r="CH667" s="1236"/>
      <c r="CI667" s="1236"/>
      <c r="CJ667" s="1236"/>
      <c r="CK667" s="1188"/>
      <c r="CL667" s="1188"/>
    </row>
    <row r="668" s="1168" customFormat="1" customHeight="1" spans="1:111">
      <c r="A668" s="1245">
        <v>46205</v>
      </c>
      <c r="B668" s="1247" t="s">
        <v>346</v>
      </c>
      <c r="C668" s="1234" t="s">
        <v>115</v>
      </c>
      <c r="D668" s="1268">
        <v>4500214828</v>
      </c>
      <c r="E668" s="1890" t="s">
        <v>2822</v>
      </c>
      <c r="F668" s="1251" t="s">
        <v>2823</v>
      </c>
      <c r="G668" s="1329" t="s">
        <v>380</v>
      </c>
      <c r="H668" s="1234" t="s">
        <v>350</v>
      </c>
      <c r="I668" s="1254">
        <v>8640</v>
      </c>
      <c r="J668" s="1234">
        <v>0</v>
      </c>
      <c r="K668" s="1264">
        <v>16</v>
      </c>
      <c r="L668" s="1377">
        <f t="shared" si="233"/>
        <v>540</v>
      </c>
      <c r="M668" s="1255">
        <v>46241</v>
      </c>
      <c r="N668" s="1320">
        <v>46242</v>
      </c>
      <c r="O668" s="1255"/>
      <c r="P668" s="1233" t="s">
        <v>2395</v>
      </c>
      <c r="Q668" s="1233" t="s">
        <v>1410</v>
      </c>
      <c r="R668" s="1234"/>
      <c r="S668" s="1234"/>
      <c r="T668" s="1233">
        <v>8640</v>
      </c>
      <c r="U668" s="1233">
        <f t="shared" si="219"/>
        <v>0</v>
      </c>
      <c r="V668" s="1234" t="s">
        <v>120</v>
      </c>
      <c r="W668" s="1256" t="s">
        <v>1572</v>
      </c>
      <c r="X668" s="1257" t="s">
        <v>95</v>
      </c>
      <c r="Y668" s="1227" t="s">
        <v>2801</v>
      </c>
      <c r="Z668" s="1247"/>
      <c r="AA668" s="1247"/>
      <c r="AB668" s="1247"/>
      <c r="AC668" s="1334" t="s">
        <v>2412</v>
      </c>
      <c r="AD668" s="1255" t="s">
        <v>354</v>
      </c>
      <c r="AE668" s="1188">
        <v>668.3122</v>
      </c>
      <c r="AF668" s="1248">
        <f>AE668*L668</f>
        <v>360888.588</v>
      </c>
      <c r="AG668" s="1249" t="s">
        <v>2413</v>
      </c>
      <c r="AH668" s="1253" t="s">
        <v>356</v>
      </c>
      <c r="AI668" s="1234" t="s">
        <v>112</v>
      </c>
      <c r="AJ668" s="1234" t="s">
        <v>113</v>
      </c>
      <c r="AK668" s="1188">
        <f>I668</f>
        <v>8640</v>
      </c>
      <c r="AL668" s="1188"/>
      <c r="AM668" s="1188"/>
      <c r="AN668" s="1188"/>
      <c r="AO668" s="1188"/>
      <c r="AP668" s="1188"/>
      <c r="AQ668" s="1240"/>
      <c r="AR668" s="1188"/>
      <c r="AS668" s="1236"/>
      <c r="AT668" s="1236">
        <f>I668</f>
        <v>8640</v>
      </c>
      <c r="AU668" s="1188">
        <f>I668</f>
        <v>8640</v>
      </c>
      <c r="AV668" s="1250"/>
      <c r="AW668" s="1250"/>
      <c r="AX668" s="1188"/>
      <c r="AY668" s="1188"/>
      <c r="AZ668" s="1188"/>
      <c r="BA668" s="1188"/>
      <c r="BB668" s="1188"/>
      <c r="BC668" s="1188"/>
      <c r="BD668" s="1188"/>
      <c r="BE668" s="1188"/>
      <c r="BF668" s="1188"/>
      <c r="BG668" s="1188"/>
      <c r="BH668" s="1188"/>
      <c r="BI668" s="1188"/>
      <c r="BJ668" s="1188"/>
      <c r="BK668" s="1188"/>
      <c r="BL668" s="1188"/>
      <c r="BM668" s="1188"/>
      <c r="BN668" s="1188"/>
      <c r="BO668" s="1240"/>
      <c r="BP668" s="1240"/>
      <c r="BQ668" s="1188"/>
      <c r="BR668" s="1236">
        <f>I668/16</f>
        <v>540</v>
      </c>
      <c r="BS668" s="1188"/>
      <c r="BT668" s="1188"/>
      <c r="BU668" s="1188"/>
      <c r="BV668" s="1240"/>
      <c r="BW668" s="1188"/>
      <c r="BX668" s="1188"/>
      <c r="BY668" s="1188"/>
      <c r="BZ668" s="1188"/>
      <c r="CA668" s="1188"/>
      <c r="CB668" s="1188"/>
      <c r="CC668" s="1188"/>
      <c r="CD668" s="1188">
        <f t="shared" si="229"/>
        <v>540</v>
      </c>
      <c r="CE668" s="1188">
        <f t="shared" si="220"/>
        <v>0</v>
      </c>
      <c r="CF668" s="1188">
        <f t="shared" si="230"/>
        <v>0</v>
      </c>
      <c r="CG668" s="1188">
        <f t="shared" si="231"/>
        <v>0</v>
      </c>
      <c r="CH668" s="1236"/>
      <c r="CI668" s="1236"/>
      <c r="CJ668" s="1236"/>
      <c r="CK668" s="1188"/>
      <c r="CL668" s="1188"/>
    </row>
    <row r="669" s="293" customFormat="1" customHeight="1" spans="1:111">
      <c r="A669" s="1289">
        <v>46205</v>
      </c>
      <c r="B669" s="543" t="s">
        <v>346</v>
      </c>
      <c r="C669" s="504" t="s">
        <v>115</v>
      </c>
      <c r="D669" s="1305">
        <v>4500214828</v>
      </c>
      <c r="E669" s="1896" t="s">
        <v>2824</v>
      </c>
      <c r="F669" s="1527" t="s">
        <v>2825</v>
      </c>
      <c r="G669" s="1530" t="s">
        <v>380</v>
      </c>
      <c r="H669" s="504" t="s">
        <v>350</v>
      </c>
      <c r="I669" s="1290">
        <v>11520</v>
      </c>
      <c r="J669" s="504">
        <v>0</v>
      </c>
      <c r="K669" s="1531">
        <v>16</v>
      </c>
      <c r="L669" s="1532">
        <f t="shared" si="233"/>
        <v>720</v>
      </c>
      <c r="M669" s="501">
        <v>46241</v>
      </c>
      <c r="N669" s="1365">
        <v>46242</v>
      </c>
      <c r="O669" s="1312"/>
      <c r="P669" s="506" t="s">
        <v>2395</v>
      </c>
      <c r="Q669" s="1313" t="s">
        <v>2826</v>
      </c>
      <c r="R669" s="504"/>
      <c r="S669" s="504"/>
      <c r="T669" s="506">
        <v>11520</v>
      </c>
      <c r="U669" s="500">
        <f t="shared" si="219"/>
        <v>0</v>
      </c>
      <c r="V669" s="488" t="s">
        <v>120</v>
      </c>
      <c r="W669" s="1293" t="s">
        <v>1572</v>
      </c>
      <c r="X669" s="1301" t="s">
        <v>95</v>
      </c>
      <c r="Y669" s="1301" t="s">
        <v>2041</v>
      </c>
      <c r="Z669" s="544"/>
      <c r="AA669" s="544"/>
      <c r="AB669" s="543"/>
      <c r="AC669" s="1533" t="s">
        <v>2827</v>
      </c>
      <c r="AD669" s="501" t="s">
        <v>354</v>
      </c>
      <c r="AE669" s="502">
        <v>665.145</v>
      </c>
      <c r="AF669" s="503">
        <f>AE669*L669</f>
        <v>478904.4</v>
      </c>
      <c r="AG669" s="1456" t="s">
        <v>2413</v>
      </c>
      <c r="AH669" s="505" t="s">
        <v>356</v>
      </c>
      <c r="AI669" s="488" t="s">
        <v>112</v>
      </c>
      <c r="AJ669" s="498" t="s">
        <v>113</v>
      </c>
      <c r="AK669" s="327">
        <f>I669</f>
        <v>11520</v>
      </c>
      <c r="AL669" s="502"/>
      <c r="AM669" s="1218"/>
      <c r="AN669" s="327"/>
      <c r="AO669" s="502"/>
      <c r="AP669" s="502"/>
      <c r="AQ669" s="1296"/>
      <c r="AR669" s="438"/>
      <c r="AS669" s="1297"/>
      <c r="AT669" s="1297">
        <f>I669</f>
        <v>11520</v>
      </c>
      <c r="AU669" s="327">
        <f>I669</f>
        <v>11520</v>
      </c>
      <c r="AV669" s="1298"/>
      <c r="AW669" s="1298"/>
      <c r="AX669" s="502"/>
      <c r="AY669" s="502"/>
      <c r="AZ669" s="502"/>
      <c r="BA669" s="502"/>
      <c r="BB669" s="502"/>
      <c r="BC669" s="502"/>
      <c r="BD669" s="502"/>
      <c r="BE669" s="502"/>
      <c r="BF669" s="502"/>
      <c r="BG669" s="502"/>
      <c r="BH669" s="502"/>
      <c r="BI669" s="502"/>
      <c r="BJ669" s="502"/>
      <c r="BK669" s="502"/>
      <c r="BL669" s="502"/>
      <c r="BM669" s="502"/>
      <c r="BN669" s="502"/>
      <c r="BO669" s="1296"/>
      <c r="BP669" s="1296"/>
      <c r="BQ669" s="1218"/>
      <c r="BR669" s="1297">
        <f>I669/16</f>
        <v>720</v>
      </c>
      <c r="BS669" s="1297"/>
      <c r="BT669" s="502"/>
      <c r="BU669" s="502"/>
      <c r="BV669" s="1296"/>
      <c r="BW669" s="1218"/>
      <c r="BX669" s="1218"/>
      <c r="BY669" s="1218"/>
      <c r="BZ669" s="1218"/>
      <c r="CA669" s="1218"/>
      <c r="CB669" s="1218"/>
      <c r="CC669" s="1218"/>
      <c r="CD669" s="1218">
        <f t="shared" si="229"/>
        <v>720</v>
      </c>
      <c r="CE669" s="1218">
        <f t="shared" si="220"/>
        <v>0</v>
      </c>
      <c r="CF669" s="502">
        <f t="shared" si="230"/>
        <v>0</v>
      </c>
      <c r="CG669" s="1218">
        <f t="shared" si="231"/>
        <v>0</v>
      </c>
      <c r="CH669" s="1299"/>
      <c r="CI669" s="1299"/>
      <c r="CJ669" s="1297"/>
      <c r="CK669" s="502"/>
      <c r="CL669" s="502"/>
    </row>
    <row r="670" s="1168" customFormat="1" customHeight="1" spans="1:111">
      <c r="A670" s="1245">
        <v>46157</v>
      </c>
      <c r="B670" s="1460" t="s">
        <v>2379</v>
      </c>
      <c r="C670" s="1461" t="s">
        <v>508</v>
      </c>
      <c r="D670" s="1464">
        <v>4500207489</v>
      </c>
      <c r="E670" s="1460">
        <v>21667417</v>
      </c>
      <c r="F670" s="1464" t="s">
        <v>2828</v>
      </c>
      <c r="G670" s="1465" t="s">
        <v>2724</v>
      </c>
      <c r="H670" s="1220" t="s">
        <v>804</v>
      </c>
      <c r="I670" s="1466">
        <v>1386</v>
      </c>
      <c r="J670" s="1467">
        <v>0</v>
      </c>
      <c r="K670" s="1467">
        <v>6</v>
      </c>
      <c r="L670" s="1246">
        <f t="shared" si="233"/>
        <v>231</v>
      </c>
      <c r="M670" s="1255">
        <v>46244</v>
      </c>
      <c r="N670" s="1255">
        <v>46240</v>
      </c>
      <c r="O670" s="1255"/>
      <c r="P670" s="1233"/>
      <c r="Q670" s="1233" t="s">
        <v>1410</v>
      </c>
      <c r="R670" s="1234"/>
      <c r="S670" s="1234"/>
      <c r="T670" s="1233">
        <v>1386</v>
      </c>
      <c r="U670" s="1233">
        <f t="shared" si="219"/>
        <v>0</v>
      </c>
      <c r="V670" s="1234"/>
      <c r="W670" s="1256" t="s">
        <v>2658</v>
      </c>
      <c r="X670" s="1257" t="s">
        <v>107</v>
      </c>
      <c r="Y670" s="1257" t="s">
        <v>2829</v>
      </c>
      <c r="Z670" s="1247" t="s">
        <v>360</v>
      </c>
      <c r="AA670" s="1247"/>
      <c r="AB670" s="1247" t="s">
        <v>2376</v>
      </c>
      <c r="AC670" s="1331" t="s">
        <v>2830</v>
      </c>
      <c r="AD670" s="1468" t="s">
        <v>2378</v>
      </c>
      <c r="AE670" s="1276">
        <v>8.5</v>
      </c>
      <c r="AF670" s="1248">
        <f>AE670*I670</f>
        <v>11781</v>
      </c>
      <c r="AG670" s="1258"/>
      <c r="AH670" s="1234" t="s">
        <v>2727</v>
      </c>
      <c r="AI670" s="1234" t="s">
        <v>112</v>
      </c>
      <c r="AJ670" s="1234" t="s">
        <v>113</v>
      </c>
      <c r="AK670" s="1188">
        <f>I670*2</f>
        <v>2772</v>
      </c>
      <c r="AL670" s="1188"/>
      <c r="AM670" s="1188"/>
      <c r="AN670" s="1188">
        <f>I670*2</f>
        <v>2772</v>
      </c>
      <c r="AO670" s="1188"/>
      <c r="AP670" s="1188"/>
      <c r="AQ670" s="1240"/>
      <c r="AR670" s="1188"/>
      <c r="AS670" s="1236"/>
      <c r="AT670" s="1236"/>
      <c r="AU670" s="1188"/>
      <c r="AV670" s="1250">
        <f>I670*0.06*2</f>
        <v>166.32</v>
      </c>
      <c r="AW670" s="1250"/>
      <c r="AX670" s="1188">
        <f>I670*2</f>
        <v>2772</v>
      </c>
      <c r="AY670" s="1188"/>
      <c r="AZ670" s="1188"/>
      <c r="BA670" s="1188"/>
      <c r="BB670" s="1188"/>
      <c r="BC670" s="1188"/>
      <c r="BD670" s="1188"/>
      <c r="BE670" s="1188"/>
      <c r="BF670" s="1188"/>
      <c r="BG670" s="1188"/>
      <c r="BH670" s="1188"/>
      <c r="BI670" s="1188"/>
      <c r="BJ670" s="1188"/>
      <c r="BK670" s="1188"/>
      <c r="BL670" s="1188"/>
      <c r="BM670" s="1188"/>
      <c r="BN670" s="1188"/>
      <c r="BO670" s="1240"/>
      <c r="BP670" s="1240"/>
      <c r="BQ670" s="1188"/>
      <c r="BR670" s="1236"/>
      <c r="BS670" s="1236"/>
      <c r="BT670" s="1188"/>
      <c r="BU670" s="1188"/>
      <c r="BV670" s="1240"/>
      <c r="BW670" s="1188"/>
      <c r="BX670" s="1188"/>
      <c r="BY670" s="1188"/>
      <c r="BZ670" s="1188"/>
      <c r="CA670" s="1188"/>
      <c r="CB670" s="1188"/>
      <c r="CC670" s="1188"/>
      <c r="CD670" s="1188">
        <f t="shared" si="229"/>
        <v>0</v>
      </c>
      <c r="CE670" s="1188">
        <f t="shared" si="220"/>
        <v>0</v>
      </c>
      <c r="CF670" s="1188">
        <f t="shared" si="230"/>
        <v>0</v>
      </c>
      <c r="CG670" s="1188">
        <f t="shared" si="231"/>
        <v>0</v>
      </c>
      <c r="CH670" s="1236"/>
      <c r="CI670" s="1236"/>
      <c r="CJ670" s="1236"/>
      <c r="CK670" s="1188"/>
      <c r="CL670" s="1188"/>
    </row>
    <row r="671" s="1168" customFormat="1" customHeight="1" spans="1:111">
      <c r="A671" s="1245">
        <v>46157</v>
      </c>
      <c r="B671" s="1460" t="s">
        <v>2379</v>
      </c>
      <c r="C671" s="1461" t="s">
        <v>508</v>
      </c>
      <c r="D671" s="1464">
        <v>4500207489</v>
      </c>
      <c r="E671" s="1460">
        <v>21667408</v>
      </c>
      <c r="F671" s="1464" t="s">
        <v>2831</v>
      </c>
      <c r="G671" s="1465" t="s">
        <v>2724</v>
      </c>
      <c r="H671" s="1247" t="s">
        <v>804</v>
      </c>
      <c r="I671" s="1466">
        <v>2316</v>
      </c>
      <c r="J671" s="1467">
        <v>0</v>
      </c>
      <c r="K671" s="1467">
        <v>6</v>
      </c>
      <c r="L671" s="1246">
        <f t="shared" si="233"/>
        <v>386</v>
      </c>
      <c r="M671" s="1255">
        <v>46244</v>
      </c>
      <c r="N671" s="1255">
        <v>46240</v>
      </c>
      <c r="O671" s="1255"/>
      <c r="P671" s="1233"/>
      <c r="Q671" s="1233" t="s">
        <v>1410</v>
      </c>
      <c r="R671" s="1234"/>
      <c r="S671" s="1234"/>
      <c r="T671" s="1233">
        <v>2316</v>
      </c>
      <c r="U671" s="1233">
        <f t="shared" si="219"/>
        <v>0</v>
      </c>
      <c r="V671" s="1234"/>
      <c r="W671" s="1238" t="s">
        <v>2658</v>
      </c>
      <c r="X671" s="1227" t="s">
        <v>107</v>
      </c>
      <c r="Y671" s="1257" t="s">
        <v>2829</v>
      </c>
      <c r="Z671" s="1247" t="s">
        <v>360</v>
      </c>
      <c r="AA671" s="1247"/>
      <c r="AB671" s="1247" t="s">
        <v>2376</v>
      </c>
      <c r="AC671" s="1331" t="s">
        <v>2830</v>
      </c>
      <c r="AD671" s="1468" t="s">
        <v>2378</v>
      </c>
      <c r="AE671" s="1276">
        <v>8.5</v>
      </c>
      <c r="AF671" s="1248">
        <f>AE671*I671</f>
        <v>19686</v>
      </c>
      <c r="AG671" s="1258"/>
      <c r="AH671" s="1234" t="s">
        <v>2727</v>
      </c>
      <c r="AI671" s="1234" t="s">
        <v>112</v>
      </c>
      <c r="AJ671" s="1234" t="s">
        <v>113</v>
      </c>
      <c r="AK671" s="1188">
        <f>I671*2</f>
        <v>4632</v>
      </c>
      <c r="AL671" s="1188"/>
      <c r="AM671" s="1188"/>
      <c r="AN671" s="1188">
        <f>I671*2</f>
        <v>4632</v>
      </c>
      <c r="AO671" s="1188"/>
      <c r="AP671" s="1188"/>
      <c r="AQ671" s="1240"/>
      <c r="AR671" s="1188"/>
      <c r="AS671" s="1236"/>
      <c r="AT671" s="1236"/>
      <c r="AU671" s="1188"/>
      <c r="AV671" s="1250">
        <f>I671*0.06*2</f>
        <v>277.92</v>
      </c>
      <c r="AW671" s="1250"/>
      <c r="AX671" s="1188">
        <f>I671*2</f>
        <v>4632</v>
      </c>
      <c r="AY671" s="1188"/>
      <c r="AZ671" s="1188"/>
      <c r="BA671" s="1188"/>
      <c r="BB671" s="1188"/>
      <c r="BC671" s="1188"/>
      <c r="BD671" s="1188"/>
      <c r="BE671" s="1188"/>
      <c r="BF671" s="1188"/>
      <c r="BG671" s="1188"/>
      <c r="BH671" s="1188"/>
      <c r="BI671" s="1188"/>
      <c r="BJ671" s="1188"/>
      <c r="BK671" s="1188"/>
      <c r="BL671" s="1188"/>
      <c r="BM671" s="1188"/>
      <c r="BN671" s="1188"/>
      <c r="BO671" s="1240"/>
      <c r="BP671" s="1240"/>
      <c r="BQ671" s="1188"/>
      <c r="BR671" s="1236"/>
      <c r="BS671" s="1236"/>
      <c r="BT671" s="1188"/>
      <c r="BU671" s="1188"/>
      <c r="BV671" s="1240"/>
      <c r="BW671" s="1188"/>
      <c r="BX671" s="1188"/>
      <c r="BY671" s="1188"/>
      <c r="BZ671" s="1188"/>
      <c r="CA671" s="1188"/>
      <c r="CB671" s="1188"/>
      <c r="CC671" s="1188"/>
      <c r="CD671" s="1188">
        <f t="shared" si="229"/>
        <v>0</v>
      </c>
      <c r="CE671" s="1188">
        <f t="shared" si="220"/>
        <v>0</v>
      </c>
      <c r="CF671" s="1188">
        <f t="shared" si="230"/>
        <v>0</v>
      </c>
      <c r="CG671" s="1188">
        <f t="shared" si="231"/>
        <v>0</v>
      </c>
      <c r="CH671" s="1236"/>
      <c r="CI671" s="1236"/>
      <c r="CJ671" s="1236"/>
      <c r="CK671" s="1188"/>
      <c r="CL671" s="1188"/>
    </row>
    <row r="672" s="1168" customFormat="1" customHeight="1" spans="1:111">
      <c r="A672" s="1245">
        <v>46217</v>
      </c>
      <c r="B672" s="1247" t="s">
        <v>134</v>
      </c>
      <c r="C672" s="1234" t="s">
        <v>135</v>
      </c>
      <c r="D672" s="1268">
        <v>4500216477</v>
      </c>
      <c r="E672" s="1233">
        <v>4400561416</v>
      </c>
      <c r="F672" s="1188" t="s">
        <v>2832</v>
      </c>
      <c r="G672" s="1223" t="s">
        <v>270</v>
      </c>
      <c r="H672" s="1234" t="s">
        <v>104</v>
      </c>
      <c r="I672" s="1254">
        <v>8000</v>
      </c>
      <c r="J672" s="1234">
        <v>0</v>
      </c>
      <c r="K672" s="1234">
        <v>25</v>
      </c>
      <c r="L672" s="1246">
        <f t="shared" si="233"/>
        <v>320</v>
      </c>
      <c r="M672" s="1255">
        <v>46244</v>
      </c>
      <c r="N672" s="1320">
        <v>46242</v>
      </c>
      <c r="O672" s="1255"/>
      <c r="P672" s="1233" t="s">
        <v>2833</v>
      </c>
      <c r="Q672" s="1233" t="s">
        <v>1410</v>
      </c>
      <c r="R672" s="1234" t="s">
        <v>1368</v>
      </c>
      <c r="S672" s="1234"/>
      <c r="T672" s="1233">
        <v>8000</v>
      </c>
      <c r="U672" s="1233">
        <f t="shared" si="219"/>
        <v>0</v>
      </c>
      <c r="V672" s="1234"/>
      <c r="W672" s="1238">
        <v>46183</v>
      </c>
      <c r="X672" s="1257" t="s">
        <v>95</v>
      </c>
      <c r="Y672" s="1257" t="s">
        <v>1794</v>
      </c>
      <c r="Z672" s="1247" t="s">
        <v>140</v>
      </c>
      <c r="AA672" s="1247"/>
      <c r="AB672" s="1247" t="s">
        <v>2189</v>
      </c>
      <c r="AC672" s="1247" t="s">
        <v>2834</v>
      </c>
      <c r="AD672" s="1255" t="s">
        <v>142</v>
      </c>
      <c r="AE672" s="1188">
        <v>1.0851</v>
      </c>
      <c r="AF672" s="1248">
        <f>I672*AE672</f>
        <v>8680.8</v>
      </c>
      <c r="AG672" s="1258"/>
      <c r="AH672" s="1234" t="s">
        <v>270</v>
      </c>
      <c r="AI672" s="1234" t="s">
        <v>112</v>
      </c>
      <c r="AJ672" s="1234" t="s">
        <v>113</v>
      </c>
      <c r="AK672" s="1188">
        <f t="shared" ref="AK672:AK677" si="238">I672</f>
        <v>8000</v>
      </c>
      <c r="AL672" s="1188"/>
      <c r="AM672" s="1188"/>
      <c r="AN672" s="1188"/>
      <c r="AO672" s="1188"/>
      <c r="AP672" s="1188"/>
      <c r="AQ672" s="1240"/>
      <c r="AR672" s="1188"/>
      <c r="AS672" s="1236"/>
      <c r="AT672" s="1236"/>
      <c r="AU672" s="1188"/>
      <c r="AV672" s="1250">
        <f>I672*0.06</f>
        <v>480</v>
      </c>
      <c r="AW672" s="1250"/>
      <c r="AX672" s="1188"/>
      <c r="AY672" s="1188"/>
      <c r="AZ672" s="1188"/>
      <c r="BA672" s="1188"/>
      <c r="BB672" s="1188"/>
      <c r="BC672" s="1188"/>
      <c r="BD672" s="1188"/>
      <c r="BE672" s="1188"/>
      <c r="BF672" s="1188"/>
      <c r="BG672" s="1188">
        <f>I672</f>
        <v>8000</v>
      </c>
      <c r="BH672" s="1188">
        <f>I672</f>
        <v>8000</v>
      </c>
      <c r="BI672" s="1188"/>
      <c r="BJ672" s="1188"/>
      <c r="BK672" s="1188"/>
      <c r="BL672" s="1188"/>
      <c r="BM672" s="1188"/>
      <c r="BN672" s="1188"/>
      <c r="BO672" s="1235">
        <f>I672/25</f>
        <v>320</v>
      </c>
      <c r="BP672" s="1240"/>
      <c r="BQ672" s="1188"/>
      <c r="BR672" s="1236"/>
      <c r="BS672" s="1188"/>
      <c r="BT672" s="1188"/>
      <c r="BU672" s="1188"/>
      <c r="BV672" s="1240"/>
      <c r="BW672" s="1188"/>
      <c r="BX672" s="1188"/>
      <c r="BY672" s="1188"/>
      <c r="BZ672" s="1188"/>
      <c r="CA672" s="1188"/>
      <c r="CB672" s="1188"/>
      <c r="CC672" s="1188"/>
      <c r="CD672" s="1188">
        <f t="shared" si="229"/>
        <v>320</v>
      </c>
      <c r="CE672" s="1188">
        <f t="shared" si="220"/>
        <v>0</v>
      </c>
      <c r="CF672" s="1188">
        <f t="shared" si="230"/>
        <v>0</v>
      </c>
      <c r="CG672" s="1188">
        <f t="shared" si="231"/>
        <v>0</v>
      </c>
      <c r="CH672" s="1236"/>
      <c r="CI672" s="1236"/>
      <c r="CJ672" s="1236"/>
      <c r="CK672" s="1188"/>
      <c r="CL672" s="1188"/>
      <c r="CM672" s="1169"/>
      <c r="CN672" s="1169"/>
      <c r="CO672" s="1169"/>
      <c r="CP672" s="1169"/>
      <c r="CQ672" s="1169"/>
      <c r="CR672" s="1169"/>
      <c r="CS672" s="1169"/>
      <c r="CT672" s="1169"/>
      <c r="CU672" s="1169"/>
      <c r="CV672" s="1169"/>
      <c r="CW672" s="1169"/>
      <c r="CX672" s="1169"/>
      <c r="CY672" s="1169"/>
      <c r="CZ672" s="1169"/>
      <c r="DA672" s="1169"/>
      <c r="DB672" s="1169"/>
      <c r="DC672" s="1169"/>
      <c r="DD672" s="1169"/>
      <c r="DE672" s="1169"/>
      <c r="DF672" s="1169"/>
      <c r="DG672" s="1169"/>
    </row>
    <row r="673" s="1168" customFormat="1" customHeight="1" spans="1:111">
      <c r="A673" s="1219">
        <v>46185</v>
      </c>
      <c r="B673" s="1460" t="s">
        <v>147</v>
      </c>
      <c r="C673" s="1461" t="s">
        <v>148</v>
      </c>
      <c r="D673" s="1464">
        <v>4500211942</v>
      </c>
      <c r="E673" s="1463">
        <v>4400577319</v>
      </c>
      <c r="F673" s="1464" t="s">
        <v>2835</v>
      </c>
      <c r="G673" s="1465" t="s">
        <v>270</v>
      </c>
      <c r="H673" s="1221" t="s">
        <v>104</v>
      </c>
      <c r="I673" s="1466">
        <v>7000</v>
      </c>
      <c r="J673" s="1467">
        <v>0</v>
      </c>
      <c r="K673" s="1467">
        <v>25</v>
      </c>
      <c r="L673" s="1224">
        <f t="shared" si="233"/>
        <v>280</v>
      </c>
      <c r="M673" s="1255">
        <v>46244</v>
      </c>
      <c r="N673" s="1320">
        <v>46242</v>
      </c>
      <c r="O673" s="1255"/>
      <c r="P673" s="1233"/>
      <c r="Q673" s="1233" t="s">
        <v>1410</v>
      </c>
      <c r="R673" s="1221"/>
      <c r="S673" s="1221"/>
      <c r="T673" s="1226">
        <v>7000</v>
      </c>
      <c r="U673" s="1233">
        <f t="shared" si="219"/>
        <v>0</v>
      </c>
      <c r="V673" s="1234"/>
      <c r="W673" s="1238">
        <v>46185</v>
      </c>
      <c r="X673" s="1227" t="s">
        <v>95</v>
      </c>
      <c r="Y673" s="1227" t="s">
        <v>1794</v>
      </c>
      <c r="Z673" s="1220" t="s">
        <v>140</v>
      </c>
      <c r="AA673" s="1220"/>
      <c r="AB673" s="1220" t="s">
        <v>2836</v>
      </c>
      <c r="AC673" s="1247" t="s">
        <v>2837</v>
      </c>
      <c r="AD673" s="1468" t="s">
        <v>1142</v>
      </c>
      <c r="AE673" s="1534">
        <v>1.1031</v>
      </c>
      <c r="AF673" s="1229">
        <f>I673*AE673</f>
        <v>7721.7</v>
      </c>
      <c r="AG673" s="1230"/>
      <c r="AH673" s="1253" t="s">
        <v>270</v>
      </c>
      <c r="AI673" s="1221" t="s">
        <v>112</v>
      </c>
      <c r="AJ673" s="1234" t="s">
        <v>113</v>
      </c>
      <c r="AK673" s="1222">
        <f t="shared" si="238"/>
        <v>7000</v>
      </c>
      <c r="AL673" s="1222"/>
      <c r="AM673" s="1222"/>
      <c r="AN673" s="1222"/>
      <c r="AO673" s="1222"/>
      <c r="AP673" s="1222"/>
      <c r="AQ673" s="1242"/>
      <c r="AR673" s="1222"/>
      <c r="AS673" s="1232"/>
      <c r="AT673" s="1236"/>
      <c r="AU673" s="1222"/>
      <c r="AV673" s="1241">
        <f>I673*0.06</f>
        <v>420</v>
      </c>
      <c r="AW673" s="1241">
        <f>I673</f>
        <v>7000</v>
      </c>
      <c r="AX673" s="1222"/>
      <c r="AY673" s="1222"/>
      <c r="AZ673" s="1222"/>
      <c r="BA673" s="1222"/>
      <c r="BB673" s="1222"/>
      <c r="BC673" s="1222"/>
      <c r="BD673" s="1222"/>
      <c r="BE673" s="1222"/>
      <c r="BF673" s="1222"/>
      <c r="BG673" s="1222">
        <f>I673</f>
        <v>7000</v>
      </c>
      <c r="BH673" s="1222"/>
      <c r="BI673" s="1222"/>
      <c r="BJ673" s="1222"/>
      <c r="BK673" s="1222"/>
      <c r="BL673" s="1222"/>
      <c r="BM673" s="1222"/>
      <c r="BN673" s="1222"/>
      <c r="BO673" s="1242">
        <f>I673/25</f>
        <v>280</v>
      </c>
      <c r="BP673" s="1242"/>
      <c r="BQ673" s="1222"/>
      <c r="BR673" s="1232"/>
      <c r="BS673" s="1232"/>
      <c r="BT673" s="1222"/>
      <c r="BU673" s="1222"/>
      <c r="BV673" s="1242"/>
      <c r="BW673" s="1222"/>
      <c r="BX673" s="1222"/>
      <c r="BY673" s="1222"/>
      <c r="BZ673" s="1222"/>
      <c r="CA673" s="1222"/>
      <c r="CB673" s="1222"/>
      <c r="CC673" s="1222"/>
      <c r="CD673" s="1222">
        <f t="shared" si="229"/>
        <v>280</v>
      </c>
      <c r="CE673" s="1222">
        <f t="shared" si="220"/>
        <v>0</v>
      </c>
      <c r="CF673" s="1222">
        <f t="shared" si="230"/>
        <v>0</v>
      </c>
      <c r="CG673" s="1222">
        <f t="shared" si="231"/>
        <v>0</v>
      </c>
      <c r="CH673" s="1232"/>
      <c r="CI673" s="1232"/>
      <c r="CJ673" s="1232"/>
      <c r="CK673" s="1222"/>
      <c r="CL673" s="1222"/>
    </row>
    <row r="674" s="1168" customFormat="1" customHeight="1" spans="1:111">
      <c r="A674" s="1245">
        <v>46185</v>
      </c>
      <c r="B674" s="1269" t="s">
        <v>147</v>
      </c>
      <c r="C674" s="1287" t="s">
        <v>148</v>
      </c>
      <c r="D674" s="1270">
        <v>4500211942</v>
      </c>
      <c r="E674" s="1271">
        <v>4400577320</v>
      </c>
      <c r="F674" s="1270" t="s">
        <v>2838</v>
      </c>
      <c r="G674" s="1272" t="s">
        <v>270</v>
      </c>
      <c r="H674" s="1234" t="s">
        <v>104</v>
      </c>
      <c r="I674" s="1273">
        <v>3000</v>
      </c>
      <c r="J674" s="1274">
        <v>0</v>
      </c>
      <c r="K674" s="1274">
        <v>25</v>
      </c>
      <c r="L674" s="1246">
        <f t="shared" si="233"/>
        <v>120</v>
      </c>
      <c r="M674" s="1255">
        <v>46244</v>
      </c>
      <c r="N674" s="1320">
        <v>46242</v>
      </c>
      <c r="O674" s="1255"/>
      <c r="P674" s="1233"/>
      <c r="Q674" s="1233" t="s">
        <v>1410</v>
      </c>
      <c r="R674" s="1234" t="s">
        <v>2528</v>
      </c>
      <c r="S674" s="1234"/>
      <c r="T674" s="1233">
        <v>3000</v>
      </c>
      <c r="U674" s="1233">
        <f t="shared" si="219"/>
        <v>0</v>
      </c>
      <c r="V674" s="1234"/>
      <c r="W674" s="1238">
        <v>46185</v>
      </c>
      <c r="X674" s="1257" t="s">
        <v>95</v>
      </c>
      <c r="Y674" s="1257" t="s">
        <v>1794</v>
      </c>
      <c r="Z674" s="1247" t="s">
        <v>140</v>
      </c>
      <c r="AA674" s="1247"/>
      <c r="AB674" s="1247" t="s">
        <v>2836</v>
      </c>
      <c r="AC674" s="1247" t="s">
        <v>2837</v>
      </c>
      <c r="AD674" s="1275" t="s">
        <v>1142</v>
      </c>
      <c r="AE674" s="1276">
        <v>1.1085</v>
      </c>
      <c r="AF674" s="1248">
        <f>I674*AE674</f>
        <v>3325.5</v>
      </c>
      <c r="AG674" s="1258"/>
      <c r="AH674" s="1253" t="s">
        <v>270</v>
      </c>
      <c r="AI674" s="1234" t="s">
        <v>112</v>
      </c>
      <c r="AJ674" s="1234" t="s">
        <v>113</v>
      </c>
      <c r="AK674" s="1188">
        <f t="shared" si="238"/>
        <v>3000</v>
      </c>
      <c r="AL674" s="1188"/>
      <c r="AM674" s="1188"/>
      <c r="AN674" s="1188"/>
      <c r="AO674" s="1188"/>
      <c r="AP674" s="1188"/>
      <c r="AQ674" s="1240"/>
      <c r="AR674" s="1188"/>
      <c r="AS674" s="1236"/>
      <c r="AT674" s="1236"/>
      <c r="AU674" s="1188"/>
      <c r="AV674" s="1250">
        <f>I674*0.06</f>
        <v>180</v>
      </c>
      <c r="AW674" s="1250">
        <f>I674</f>
        <v>3000</v>
      </c>
      <c r="AX674" s="1188"/>
      <c r="AY674" s="1188"/>
      <c r="AZ674" s="1188"/>
      <c r="BA674" s="1188"/>
      <c r="BB674" s="1188"/>
      <c r="BC674" s="1188"/>
      <c r="BD674" s="1188"/>
      <c r="BE674" s="1188"/>
      <c r="BF674" s="1188"/>
      <c r="BG674" s="1188">
        <f>I674</f>
        <v>3000</v>
      </c>
      <c r="BH674" s="1188"/>
      <c r="BI674" s="1188"/>
      <c r="BJ674" s="1188"/>
      <c r="BK674" s="1188"/>
      <c r="BL674" s="1188"/>
      <c r="BM674" s="1188"/>
      <c r="BN674" s="1188"/>
      <c r="BO674" s="1240">
        <f>I674/25</f>
        <v>120</v>
      </c>
      <c r="BP674" s="1240"/>
      <c r="BQ674" s="1188"/>
      <c r="BR674" s="1236"/>
      <c r="BS674" s="1236"/>
      <c r="BT674" s="1188"/>
      <c r="BU674" s="1188"/>
      <c r="BV674" s="1240"/>
      <c r="BW674" s="1188"/>
      <c r="BX674" s="1188"/>
      <c r="BY674" s="1188"/>
      <c r="BZ674" s="1188"/>
      <c r="CA674" s="1188"/>
      <c r="CB674" s="1188"/>
      <c r="CC674" s="1188"/>
      <c r="CD674" s="1188">
        <f t="shared" si="229"/>
        <v>120</v>
      </c>
      <c r="CE674" s="1188">
        <f t="shared" si="220"/>
        <v>0</v>
      </c>
      <c r="CF674" s="1188">
        <f t="shared" si="230"/>
        <v>0</v>
      </c>
      <c r="CG674" s="1188">
        <f t="shared" si="231"/>
        <v>0</v>
      </c>
      <c r="CH674" s="1236"/>
      <c r="CI674" s="1236"/>
      <c r="CJ674" s="1236"/>
      <c r="CK674" s="1188"/>
      <c r="CL674" s="1188"/>
    </row>
    <row r="675" s="1171" customFormat="1" customHeight="1" spans="1:111">
      <c r="A675" s="1245">
        <v>46185</v>
      </c>
      <c r="B675" s="1269" t="s">
        <v>147</v>
      </c>
      <c r="C675" s="1287" t="s">
        <v>148</v>
      </c>
      <c r="D675" s="1270">
        <v>4500211942</v>
      </c>
      <c r="E675" s="1271">
        <v>4400577748</v>
      </c>
      <c r="F675" s="1270" t="s">
        <v>2839</v>
      </c>
      <c r="G675" s="1272" t="s">
        <v>270</v>
      </c>
      <c r="H675" s="1234" t="s">
        <v>104</v>
      </c>
      <c r="I675" s="1273">
        <v>7000</v>
      </c>
      <c r="J675" s="1274">
        <v>0</v>
      </c>
      <c r="K675" s="1274">
        <v>25</v>
      </c>
      <c r="L675" s="1246">
        <f t="shared" si="233"/>
        <v>280</v>
      </c>
      <c r="M675" s="1255">
        <v>46244</v>
      </c>
      <c r="N675" s="1320">
        <v>46242</v>
      </c>
      <c r="O675" s="1255"/>
      <c r="P675" s="1233"/>
      <c r="Q675" s="1233" t="s">
        <v>1410</v>
      </c>
      <c r="R675" s="1234"/>
      <c r="S675" s="1234"/>
      <c r="T675" s="1233">
        <v>7000</v>
      </c>
      <c r="U675" s="1233">
        <f t="shared" si="219"/>
        <v>0</v>
      </c>
      <c r="V675" s="1234"/>
      <c r="W675" s="1238">
        <v>46185</v>
      </c>
      <c r="X675" s="1227" t="s">
        <v>95</v>
      </c>
      <c r="Y675" s="1227" t="s">
        <v>1794</v>
      </c>
      <c r="Z675" s="1247" t="s">
        <v>140</v>
      </c>
      <c r="AA675" s="1247"/>
      <c r="AB675" s="1247" t="s">
        <v>2836</v>
      </c>
      <c r="AC675" s="1247" t="s">
        <v>2837</v>
      </c>
      <c r="AD675" s="1275" t="s">
        <v>1142</v>
      </c>
      <c r="AE675" s="1276">
        <v>1.1031</v>
      </c>
      <c r="AF675" s="1248">
        <f>I675*AE675</f>
        <v>7721.7</v>
      </c>
      <c r="AG675" s="1258"/>
      <c r="AH675" s="1253" t="s">
        <v>270</v>
      </c>
      <c r="AI675" s="1234" t="s">
        <v>112</v>
      </c>
      <c r="AJ675" s="1234" t="s">
        <v>113</v>
      </c>
      <c r="AK675" s="1188">
        <f t="shared" si="238"/>
        <v>7000</v>
      </c>
      <c r="AL675" s="1188"/>
      <c r="AM675" s="1188"/>
      <c r="AN675" s="1188"/>
      <c r="AO675" s="1188"/>
      <c r="AP675" s="1188"/>
      <c r="AQ675" s="1240"/>
      <c r="AR675" s="1188"/>
      <c r="AS675" s="1236"/>
      <c r="AT675" s="1236"/>
      <c r="AU675" s="1188"/>
      <c r="AV675" s="1250">
        <f>I675*0.06</f>
        <v>420</v>
      </c>
      <c r="AW675" s="1250">
        <f>I675</f>
        <v>7000</v>
      </c>
      <c r="AX675" s="1188"/>
      <c r="AY675" s="1188"/>
      <c r="AZ675" s="1188"/>
      <c r="BA675" s="1188"/>
      <c r="BB675" s="1188"/>
      <c r="BC675" s="1188"/>
      <c r="BD675" s="1188"/>
      <c r="BE675" s="1188"/>
      <c r="BF675" s="1188"/>
      <c r="BG675" s="1188">
        <f>I675</f>
        <v>7000</v>
      </c>
      <c r="BH675" s="1188"/>
      <c r="BI675" s="1188"/>
      <c r="BJ675" s="1188"/>
      <c r="BK675" s="1188"/>
      <c r="BL675" s="1188"/>
      <c r="BM675" s="1188"/>
      <c r="BN675" s="1188"/>
      <c r="BO675" s="1240">
        <f>I675/25</f>
        <v>280</v>
      </c>
      <c r="BP675" s="1240"/>
      <c r="BQ675" s="1188"/>
      <c r="BR675" s="1236"/>
      <c r="BS675" s="1236"/>
      <c r="BT675" s="1188"/>
      <c r="BU675" s="1188"/>
      <c r="BV675" s="1240"/>
      <c r="BW675" s="1188"/>
      <c r="BX675" s="1188"/>
      <c r="BY675" s="1188"/>
      <c r="BZ675" s="1188"/>
      <c r="CA675" s="1188"/>
      <c r="CB675" s="1188"/>
      <c r="CC675" s="1188"/>
      <c r="CD675" s="1188">
        <f t="shared" si="229"/>
        <v>280</v>
      </c>
      <c r="CE675" s="1188">
        <f t="shared" si="220"/>
        <v>0</v>
      </c>
      <c r="CF675" s="1188">
        <f t="shared" si="230"/>
        <v>0</v>
      </c>
      <c r="CG675" s="1188">
        <f t="shared" si="231"/>
        <v>0</v>
      </c>
      <c r="CH675" s="1236"/>
      <c r="CI675" s="1236"/>
      <c r="CJ675" s="1236"/>
      <c r="CK675" s="1188"/>
      <c r="CL675" s="1188"/>
      <c r="CM675" s="1168"/>
      <c r="CN675" s="1168"/>
      <c r="CO675" s="1168"/>
      <c r="CP675" s="1168"/>
      <c r="CQ675" s="1168"/>
      <c r="CR675" s="1168"/>
      <c r="CS675" s="1168"/>
      <c r="CT675" s="1168"/>
      <c r="CU675" s="1168"/>
      <c r="CV675" s="1168"/>
      <c r="CW675" s="1168"/>
      <c r="CX675" s="1168"/>
      <c r="CY675" s="1168"/>
      <c r="CZ675" s="1168"/>
      <c r="DA675" s="1168"/>
      <c r="DB675" s="1168"/>
      <c r="DC675" s="1168"/>
      <c r="DD675" s="1168"/>
      <c r="DE675" s="1168"/>
      <c r="DF675" s="1168"/>
      <c r="DG675" s="1168"/>
    </row>
    <row r="676" s="1171" customFormat="1" customHeight="1" spans="1:111">
      <c r="A676" s="1245">
        <v>46185</v>
      </c>
      <c r="B676" s="1269" t="s">
        <v>147</v>
      </c>
      <c r="C676" s="1287" t="s">
        <v>148</v>
      </c>
      <c r="D676" s="1270">
        <v>4500211942</v>
      </c>
      <c r="E676" s="1271">
        <v>4400577749</v>
      </c>
      <c r="F676" s="1270" t="s">
        <v>2840</v>
      </c>
      <c r="G676" s="1272" t="s">
        <v>270</v>
      </c>
      <c r="H676" s="1234" t="s">
        <v>104</v>
      </c>
      <c r="I676" s="1273">
        <v>3000</v>
      </c>
      <c r="J676" s="1274">
        <v>0</v>
      </c>
      <c r="K676" s="1274">
        <v>25</v>
      </c>
      <c r="L676" s="1246">
        <f t="shared" si="233"/>
        <v>120</v>
      </c>
      <c r="M676" s="1255">
        <v>46244</v>
      </c>
      <c r="N676" s="1320">
        <v>46242</v>
      </c>
      <c r="O676" s="1255"/>
      <c r="P676" s="1233"/>
      <c r="Q676" s="1233" t="s">
        <v>1410</v>
      </c>
      <c r="R676" s="1234" t="s">
        <v>2841</v>
      </c>
      <c r="S676" s="1234"/>
      <c r="T676" s="1233">
        <v>3000</v>
      </c>
      <c r="U676" s="1233">
        <f t="shared" si="219"/>
        <v>0</v>
      </c>
      <c r="V676" s="1234"/>
      <c r="W676" s="1238">
        <v>46185</v>
      </c>
      <c r="X676" s="1227" t="s">
        <v>95</v>
      </c>
      <c r="Y676" s="1227" t="s">
        <v>1794</v>
      </c>
      <c r="Z676" s="1247" t="s">
        <v>140</v>
      </c>
      <c r="AA676" s="1247"/>
      <c r="AB676" s="1247" t="s">
        <v>2836</v>
      </c>
      <c r="AC676" s="1247" t="s">
        <v>2837</v>
      </c>
      <c r="AD676" s="1275" t="s">
        <v>1142</v>
      </c>
      <c r="AE676" s="1276">
        <v>1.1085</v>
      </c>
      <c r="AF676" s="1248">
        <f>I676*AE676</f>
        <v>3325.5</v>
      </c>
      <c r="AG676" s="1258"/>
      <c r="AH676" s="1253" t="s">
        <v>270</v>
      </c>
      <c r="AI676" s="1234" t="s">
        <v>112</v>
      </c>
      <c r="AJ676" s="1234" t="s">
        <v>113</v>
      </c>
      <c r="AK676" s="1188">
        <f t="shared" si="238"/>
        <v>3000</v>
      </c>
      <c r="AL676" s="1188"/>
      <c r="AM676" s="1188"/>
      <c r="AN676" s="1188"/>
      <c r="AO676" s="1188"/>
      <c r="AP676" s="1188"/>
      <c r="AQ676" s="1240"/>
      <c r="AR676" s="1188"/>
      <c r="AS676" s="1236"/>
      <c r="AT676" s="1236"/>
      <c r="AU676" s="1188"/>
      <c r="AV676" s="1250">
        <f>I676*0.06</f>
        <v>180</v>
      </c>
      <c r="AW676" s="1250">
        <f>I676</f>
        <v>3000</v>
      </c>
      <c r="AX676" s="1188"/>
      <c r="AY676" s="1188"/>
      <c r="AZ676" s="1188"/>
      <c r="BA676" s="1188"/>
      <c r="BB676" s="1188"/>
      <c r="BC676" s="1188"/>
      <c r="BD676" s="1188"/>
      <c r="BE676" s="1188"/>
      <c r="BF676" s="1188"/>
      <c r="BG676" s="1188">
        <f>I676</f>
        <v>3000</v>
      </c>
      <c r="BH676" s="1188"/>
      <c r="BI676" s="1188"/>
      <c r="BJ676" s="1188"/>
      <c r="BK676" s="1188"/>
      <c r="BL676" s="1188"/>
      <c r="BM676" s="1188"/>
      <c r="BN676" s="1188"/>
      <c r="BO676" s="1240">
        <f>I676/25</f>
        <v>120</v>
      </c>
      <c r="BP676" s="1240"/>
      <c r="BQ676" s="1188"/>
      <c r="BR676" s="1236"/>
      <c r="BS676" s="1236"/>
      <c r="BT676" s="1188"/>
      <c r="BU676" s="1188"/>
      <c r="BV676" s="1240"/>
      <c r="BW676" s="1188"/>
      <c r="BX676" s="1188"/>
      <c r="BY676" s="1188"/>
      <c r="BZ676" s="1188"/>
      <c r="CA676" s="1188"/>
      <c r="CB676" s="1188"/>
      <c r="CC676" s="1188"/>
      <c r="CD676" s="1188">
        <f t="shared" si="229"/>
        <v>120</v>
      </c>
      <c r="CE676" s="1188">
        <f t="shared" si="220"/>
        <v>0</v>
      </c>
      <c r="CF676" s="1188">
        <f t="shared" si="230"/>
        <v>0</v>
      </c>
      <c r="CG676" s="1188">
        <f t="shared" si="231"/>
        <v>0</v>
      </c>
      <c r="CH676" s="1236"/>
      <c r="CI676" s="1236"/>
      <c r="CJ676" s="1236"/>
      <c r="CK676" s="1188"/>
      <c r="CL676" s="1188"/>
      <c r="CM676" s="1168"/>
      <c r="CN676" s="1168"/>
      <c r="CO676" s="1168"/>
      <c r="CP676" s="1168"/>
      <c r="CQ676" s="1168"/>
      <c r="CR676" s="1168"/>
      <c r="CS676" s="1168"/>
      <c r="CT676" s="1168"/>
      <c r="CU676" s="1168"/>
      <c r="CV676" s="1168"/>
      <c r="CW676" s="1168"/>
      <c r="CX676" s="1168"/>
      <c r="CY676" s="1168"/>
      <c r="CZ676" s="1168"/>
      <c r="DA676" s="1168"/>
      <c r="DB676" s="1168"/>
      <c r="DC676" s="1168"/>
      <c r="DD676" s="1168"/>
      <c r="DE676" s="1168"/>
      <c r="DF676" s="1168"/>
      <c r="DG676" s="1168"/>
    </row>
    <row r="677" s="1168" customFormat="1" customHeight="1" spans="1:111">
      <c r="A677" s="1245">
        <v>46178</v>
      </c>
      <c r="B677" s="1247" t="s">
        <v>507</v>
      </c>
      <c r="C677" s="1234" t="s">
        <v>508</v>
      </c>
      <c r="D677" s="1188">
        <v>4500210792</v>
      </c>
      <c r="E677" s="1234">
        <v>2635322</v>
      </c>
      <c r="F677" s="1188" t="s">
        <v>2842</v>
      </c>
      <c r="G677" s="1253" t="s">
        <v>510</v>
      </c>
      <c r="H677" s="1234" t="s">
        <v>194</v>
      </c>
      <c r="I677" s="1254">
        <v>2769</v>
      </c>
      <c r="J677" s="1234">
        <v>0</v>
      </c>
      <c r="K677" s="1234">
        <v>13</v>
      </c>
      <c r="L677" s="1246">
        <f t="shared" si="233"/>
        <v>213</v>
      </c>
      <c r="M677" s="1255">
        <v>46244</v>
      </c>
      <c r="N677" s="1320">
        <v>46242</v>
      </c>
      <c r="O677" s="1255"/>
      <c r="P677" s="1233"/>
      <c r="Q677" s="1233" t="s">
        <v>1410</v>
      </c>
      <c r="R677" s="1234" t="s">
        <v>1195</v>
      </c>
      <c r="S677" s="1234"/>
      <c r="T677" s="1233">
        <v>2769</v>
      </c>
      <c r="U677" s="1233">
        <f t="shared" ref="U677:U691" si="239">T677-I677</f>
        <v>0</v>
      </c>
      <c r="V677" s="1234"/>
      <c r="W677" s="1256">
        <v>46178</v>
      </c>
      <c r="X677" s="1257" t="s">
        <v>107</v>
      </c>
      <c r="Y677" s="1257" t="s">
        <v>2843</v>
      </c>
      <c r="Z677" s="1247" t="s">
        <v>360</v>
      </c>
      <c r="AA677" s="1247"/>
      <c r="AB677" s="1247" t="s">
        <v>2844</v>
      </c>
      <c r="AC677" s="1247" t="s">
        <v>2352</v>
      </c>
      <c r="AD677" s="1255" t="s">
        <v>513</v>
      </c>
      <c r="AE677" s="1188">
        <v>1.1186</v>
      </c>
      <c r="AF677" s="1248">
        <f>AE677*I677</f>
        <v>3097.4034</v>
      </c>
      <c r="AG677" s="1258"/>
      <c r="AH677" s="1253" t="s">
        <v>510</v>
      </c>
      <c r="AI677" s="1234" t="s">
        <v>112</v>
      </c>
      <c r="AJ677" s="1234" t="s">
        <v>113</v>
      </c>
      <c r="AK677" s="1188">
        <f t="shared" si="238"/>
        <v>2769</v>
      </c>
      <c r="AL677" s="1188"/>
      <c r="AM677" s="1188"/>
      <c r="AN677" s="1188">
        <f>I677</f>
        <v>2769</v>
      </c>
      <c r="AO677" s="1188"/>
      <c r="AP677" s="1188"/>
      <c r="AQ677" s="1240"/>
      <c r="AR677" s="1188"/>
      <c r="AS677" s="1236"/>
      <c r="AT677" s="1236"/>
      <c r="AU677" s="1188"/>
      <c r="AV677" s="1250">
        <f>I677*0.06*2</f>
        <v>332.28</v>
      </c>
      <c r="AW677" s="1250"/>
      <c r="AX677" s="1188">
        <f>I677*2</f>
        <v>5538</v>
      </c>
      <c r="AY677" s="1188"/>
      <c r="AZ677" s="1188"/>
      <c r="BA677" s="1188"/>
      <c r="BB677" s="1188"/>
      <c r="BC677" s="1188"/>
      <c r="BD677" s="1188"/>
      <c r="BE677" s="1188"/>
      <c r="BF677" s="1188"/>
      <c r="BG677" s="1188"/>
      <c r="BH677" s="1188"/>
      <c r="BI677" s="1188"/>
      <c r="BJ677" s="1188"/>
      <c r="BK677" s="1188"/>
      <c r="BL677" s="1188"/>
      <c r="BM677" s="1188"/>
      <c r="BN677" s="1188"/>
      <c r="BO677" s="1240"/>
      <c r="BP677" s="1240">
        <f>I677/13</f>
        <v>213</v>
      </c>
      <c r="BQ677" s="1188"/>
      <c r="BR677" s="1236"/>
      <c r="BS677" s="1236"/>
      <c r="BT677" s="1188"/>
      <c r="BU677" s="1188"/>
      <c r="BV677" s="1240"/>
      <c r="BW677" s="1188"/>
      <c r="BX677" s="1188"/>
      <c r="BY677" s="1188"/>
      <c r="BZ677" s="1188"/>
      <c r="CA677" s="1188"/>
      <c r="CB677" s="1188"/>
      <c r="CC677" s="1188"/>
      <c r="CD677" s="1188">
        <f t="shared" si="229"/>
        <v>0</v>
      </c>
      <c r="CE677" s="1188">
        <f t="shared" ref="CE677:CE692" si="240">BU677</f>
        <v>0</v>
      </c>
      <c r="CF677" s="1188">
        <f t="shared" si="230"/>
        <v>0</v>
      </c>
      <c r="CG677" s="1188">
        <f t="shared" si="231"/>
        <v>0</v>
      </c>
      <c r="CH677" s="1236"/>
      <c r="CI677" s="1236"/>
      <c r="CJ677" s="1236"/>
      <c r="CK677" s="1188"/>
      <c r="CL677" s="1188"/>
    </row>
    <row r="678" s="1170" customFormat="1" customHeight="1" spans="1:111">
      <c r="A678" s="1396">
        <v>46184</v>
      </c>
      <c r="B678" s="1397" t="s">
        <v>2845</v>
      </c>
      <c r="C678" s="498" t="s">
        <v>201</v>
      </c>
      <c r="D678" s="496">
        <v>4500211804</v>
      </c>
      <c r="E678" s="498">
        <v>5200010553</v>
      </c>
      <c r="F678" s="496" t="s">
        <v>2846</v>
      </c>
      <c r="G678" s="499" t="s">
        <v>553</v>
      </c>
      <c r="H678" s="498" t="s">
        <v>390</v>
      </c>
      <c r="I678" s="1399">
        <v>1992</v>
      </c>
      <c r="J678" s="498">
        <v>0</v>
      </c>
      <c r="K678" s="498">
        <v>12</v>
      </c>
      <c r="L678" s="1400">
        <f t="shared" si="233"/>
        <v>166</v>
      </c>
      <c r="M678" s="1401">
        <v>46244</v>
      </c>
      <c r="N678" s="1401">
        <v>46242</v>
      </c>
      <c r="O678" s="495"/>
      <c r="P678" s="500"/>
      <c r="Q678" s="500"/>
      <c r="R678" s="498"/>
      <c r="S678" s="498"/>
      <c r="T678" s="500">
        <v>1992</v>
      </c>
      <c r="U678" s="500">
        <f t="shared" si="239"/>
        <v>0</v>
      </c>
      <c r="V678" s="498"/>
      <c r="W678" s="1404">
        <v>46184</v>
      </c>
      <c r="X678" s="1432" t="s">
        <v>95</v>
      </c>
      <c r="Y678" s="1405" t="s">
        <v>2847</v>
      </c>
      <c r="Z678" s="1397" t="s">
        <v>2848</v>
      </c>
      <c r="AA678" s="1397"/>
      <c r="AB678" s="1397"/>
      <c r="AC678" s="1433" t="s">
        <v>2849</v>
      </c>
      <c r="AD678" s="495" t="s">
        <v>2207</v>
      </c>
      <c r="AE678" s="496">
        <v>2.4945</v>
      </c>
      <c r="AF678" s="497">
        <f>I678*AE678</f>
        <v>4969.044</v>
      </c>
      <c r="AG678" s="1406"/>
      <c r="AH678" s="498" t="s">
        <v>389</v>
      </c>
      <c r="AI678" s="498" t="s">
        <v>112</v>
      </c>
      <c r="AJ678" s="498"/>
      <c r="AK678" s="496">
        <f>I678*2</f>
        <v>3984</v>
      </c>
      <c r="AL678" s="496"/>
      <c r="AM678" s="496"/>
      <c r="AN678" s="496"/>
      <c r="AO678" s="496"/>
      <c r="AP678" s="496"/>
      <c r="AQ678" s="1407">
        <f>I678*2</f>
        <v>3984</v>
      </c>
      <c r="AR678" s="496"/>
      <c r="AS678" s="1408"/>
      <c r="AT678" s="1408"/>
      <c r="AU678" s="496">
        <f>I678*2</f>
        <v>3984</v>
      </c>
      <c r="AV678" s="1409"/>
      <c r="AW678" s="1409"/>
      <c r="AX678" s="496"/>
      <c r="AY678" s="496"/>
      <c r="AZ678" s="496"/>
      <c r="BA678" s="496"/>
      <c r="BB678" s="496"/>
      <c r="BC678" s="496"/>
      <c r="BD678" s="496"/>
      <c r="BE678" s="496"/>
      <c r="BF678" s="496"/>
      <c r="BG678" s="496"/>
      <c r="BH678" s="496"/>
      <c r="BI678" s="496"/>
      <c r="BJ678" s="496"/>
      <c r="BK678" s="496"/>
      <c r="BL678" s="496"/>
      <c r="BM678" s="496"/>
      <c r="BN678" s="496"/>
      <c r="BO678" s="1407"/>
      <c r="BP678" s="1407"/>
      <c r="BQ678" s="496"/>
      <c r="BR678" s="1408"/>
      <c r="BS678" s="1408"/>
      <c r="BT678" s="496"/>
      <c r="BU678" s="496"/>
      <c r="BV678" s="1407"/>
      <c r="BW678" s="496"/>
      <c r="BX678" s="496"/>
      <c r="BY678" s="496"/>
      <c r="BZ678" s="496"/>
      <c r="CA678" s="496"/>
      <c r="CB678" s="496"/>
      <c r="CC678" s="496"/>
      <c r="CD678" s="496">
        <f t="shared" si="229"/>
        <v>0</v>
      </c>
      <c r="CE678" s="496">
        <f t="shared" si="240"/>
        <v>0</v>
      </c>
      <c r="CF678" s="496">
        <f t="shared" si="230"/>
        <v>0</v>
      </c>
      <c r="CG678" s="496">
        <f t="shared" si="231"/>
        <v>0</v>
      </c>
      <c r="CH678" s="1408"/>
      <c r="CI678" s="1408"/>
      <c r="CJ678" s="1408">
        <f>I678</f>
        <v>1992</v>
      </c>
      <c r="CK678" s="496">
        <f>I678</f>
        <v>1992</v>
      </c>
      <c r="CL678" s="496">
        <f>I678</f>
        <v>1992</v>
      </c>
    </row>
    <row r="679" s="1168" customFormat="1" customHeight="1" spans="1:111">
      <c r="A679" s="1245">
        <v>46195</v>
      </c>
      <c r="B679" s="1269" t="s">
        <v>538</v>
      </c>
      <c r="C679" s="1287" t="s">
        <v>135</v>
      </c>
      <c r="D679" s="1459">
        <v>4500213132</v>
      </c>
      <c r="E679" s="1271" t="s">
        <v>2850</v>
      </c>
      <c r="F679" s="1270" t="s">
        <v>2851</v>
      </c>
      <c r="G679" s="1272" t="s">
        <v>753</v>
      </c>
      <c r="H679" s="1234" t="s">
        <v>390</v>
      </c>
      <c r="I679" s="1273">
        <v>2928</v>
      </c>
      <c r="J679" s="1274">
        <v>0</v>
      </c>
      <c r="K679" s="1274">
        <v>12</v>
      </c>
      <c r="L679" s="1246">
        <f t="shared" si="233"/>
        <v>244</v>
      </c>
      <c r="M679" s="1255">
        <v>46244</v>
      </c>
      <c r="N679" s="1320">
        <v>46244</v>
      </c>
      <c r="O679" s="1255"/>
      <c r="P679" s="1233"/>
      <c r="Q679" s="1233" t="s">
        <v>1410</v>
      </c>
      <c r="R679" s="1234"/>
      <c r="S679" s="1234"/>
      <c r="T679" s="1233">
        <v>2928</v>
      </c>
      <c r="U679" s="1233">
        <f t="shared" si="239"/>
        <v>0</v>
      </c>
      <c r="V679" s="1234"/>
      <c r="W679" s="1256" t="s">
        <v>747</v>
      </c>
      <c r="X679" s="1227" t="s">
        <v>107</v>
      </c>
      <c r="Y679" s="1227" t="s">
        <v>2852</v>
      </c>
      <c r="Z679" s="1247" t="s">
        <v>140</v>
      </c>
      <c r="AA679" s="1247"/>
      <c r="AB679" s="1247"/>
      <c r="AC679" s="1334" t="s">
        <v>2853</v>
      </c>
      <c r="AD679" s="1519" t="s">
        <v>2610</v>
      </c>
      <c r="AE679" s="1471">
        <v>2.5332</v>
      </c>
      <c r="AF679" s="1335">
        <f>I679*AE679</f>
        <v>7417.2096</v>
      </c>
      <c r="AG679" s="1336"/>
      <c r="AH679" s="1234" t="s">
        <v>753</v>
      </c>
      <c r="AI679" s="1234" t="s">
        <v>112</v>
      </c>
      <c r="AJ679" s="1234" t="s">
        <v>113</v>
      </c>
      <c r="AK679" s="1188">
        <f>I679*2</f>
        <v>5856</v>
      </c>
      <c r="AL679" s="1188"/>
      <c r="AM679" s="1188"/>
      <c r="AN679" s="1188"/>
      <c r="AO679" s="1188"/>
      <c r="AP679" s="1188"/>
      <c r="AQ679" s="1240"/>
      <c r="AR679" s="1188">
        <f>I679*2</f>
        <v>5856</v>
      </c>
      <c r="AS679" s="1236"/>
      <c r="AT679" s="1236"/>
      <c r="AU679" s="1188"/>
      <c r="AV679" s="1250"/>
      <c r="AW679" s="1250">
        <f>I679*2</f>
        <v>5856</v>
      </c>
      <c r="AX679" s="1188"/>
      <c r="AY679" s="1188"/>
      <c r="AZ679" s="1188"/>
      <c r="BA679" s="1188"/>
      <c r="BB679" s="1188"/>
      <c r="BC679" s="1188"/>
      <c r="BD679" s="1188"/>
      <c r="BE679" s="1188"/>
      <c r="BF679" s="1188"/>
      <c r="BG679" s="1188"/>
      <c r="BH679" s="1188"/>
      <c r="BI679" s="1188"/>
      <c r="BJ679" s="1188"/>
      <c r="BK679" s="1188"/>
      <c r="BL679" s="1188"/>
      <c r="BM679" s="1188"/>
      <c r="BN679" s="1188"/>
      <c r="BO679" s="1240"/>
      <c r="BP679" s="1240"/>
      <c r="BQ679" s="1188"/>
      <c r="BR679" s="1236"/>
      <c r="BS679" s="1236"/>
      <c r="BT679" s="1188"/>
      <c r="BU679" s="1188"/>
      <c r="BV679" s="1240"/>
      <c r="BW679" s="1188"/>
      <c r="BX679" s="1188"/>
      <c r="BY679" s="1188"/>
      <c r="BZ679" s="1188"/>
      <c r="CA679" s="1188"/>
      <c r="CB679" s="1188"/>
      <c r="CC679" s="1188"/>
      <c r="CD679" s="1188">
        <f t="shared" si="229"/>
        <v>0</v>
      </c>
      <c r="CE679" s="1188">
        <f t="shared" si="240"/>
        <v>0</v>
      </c>
      <c r="CF679" s="1188">
        <f t="shared" si="230"/>
        <v>0</v>
      </c>
      <c r="CG679" s="1188">
        <f t="shared" si="231"/>
        <v>0</v>
      </c>
      <c r="CH679" s="1236"/>
      <c r="CI679" s="1236"/>
      <c r="CJ679" s="1236">
        <f>I679</f>
        <v>2928</v>
      </c>
      <c r="CK679" s="1188">
        <f>I679</f>
        <v>2928</v>
      </c>
      <c r="CL679" s="1188">
        <f>I679</f>
        <v>2928</v>
      </c>
    </row>
    <row r="680" s="1168" customFormat="1" customHeight="1" spans="1:111">
      <c r="A680" s="1245">
        <v>46171</v>
      </c>
      <c r="B680" s="1220" t="s">
        <v>2373</v>
      </c>
      <c r="C680" s="1221" t="s">
        <v>101</v>
      </c>
      <c r="D680" s="1303">
        <v>4500207492</v>
      </c>
      <c r="E680" s="1226">
        <v>21798812</v>
      </c>
      <c r="F680" s="1222" t="s">
        <v>2854</v>
      </c>
      <c r="G680" s="1223" t="s">
        <v>510</v>
      </c>
      <c r="H680" s="1221" t="s">
        <v>194</v>
      </c>
      <c r="I680" s="1252">
        <v>208</v>
      </c>
      <c r="J680" s="1221">
        <v>0</v>
      </c>
      <c r="K680" s="1221">
        <v>13</v>
      </c>
      <c r="L680" s="1246">
        <f t="shared" si="233"/>
        <v>16</v>
      </c>
      <c r="M680" s="1225">
        <v>46244</v>
      </c>
      <c r="N680" s="1338">
        <v>46245</v>
      </c>
      <c r="O680" s="1255"/>
      <c r="P680" s="1233"/>
      <c r="Q680" s="1233" t="s">
        <v>1410</v>
      </c>
      <c r="R680" s="1234"/>
      <c r="S680" s="1234"/>
      <c r="T680" s="1233">
        <v>208</v>
      </c>
      <c r="U680" s="1233">
        <f t="shared" si="239"/>
        <v>0</v>
      </c>
      <c r="V680" s="1234"/>
      <c r="W680" s="1256" t="s">
        <v>2658</v>
      </c>
      <c r="X680" s="1257" t="s">
        <v>107</v>
      </c>
      <c r="Y680" s="1257" t="s">
        <v>2843</v>
      </c>
      <c r="Z680" s="1247" t="s">
        <v>360</v>
      </c>
      <c r="AA680" s="1247"/>
      <c r="AB680" s="1247" t="s">
        <v>2376</v>
      </c>
      <c r="AC680" s="1358" t="s">
        <v>2855</v>
      </c>
      <c r="AD680" s="1225" t="s">
        <v>2378</v>
      </c>
      <c r="AE680" s="1188">
        <v>1.124</v>
      </c>
      <c r="AF680" s="1248">
        <f>AE680*I680</f>
        <v>233.792</v>
      </c>
      <c r="AG680" s="1258"/>
      <c r="AH680" s="1253" t="s">
        <v>510</v>
      </c>
      <c r="AI680" s="1234" t="s">
        <v>112</v>
      </c>
      <c r="AJ680" s="1234" t="s">
        <v>113</v>
      </c>
      <c r="AK680" s="1188">
        <f t="shared" ref="AK680:AK686" si="241">I680</f>
        <v>208</v>
      </c>
      <c r="AL680" s="1188"/>
      <c r="AM680" s="1188"/>
      <c r="AN680" s="1188">
        <f>I680</f>
        <v>208</v>
      </c>
      <c r="AO680" s="1188"/>
      <c r="AP680" s="1188"/>
      <c r="AQ680" s="1240"/>
      <c r="AR680" s="1188"/>
      <c r="AS680" s="1236"/>
      <c r="AT680" s="1236"/>
      <c r="AU680" s="1188"/>
      <c r="AV680" s="1250">
        <f>I680*0.06*2</f>
        <v>24.96</v>
      </c>
      <c r="AW680" s="1250"/>
      <c r="AX680" s="1188">
        <f>I680</f>
        <v>208</v>
      </c>
      <c r="AY680" s="1188"/>
      <c r="AZ680" s="1188"/>
      <c r="BA680" s="1188"/>
      <c r="BB680" s="1188"/>
      <c r="BC680" s="1188"/>
      <c r="BD680" s="1188"/>
      <c r="BE680" s="1188"/>
      <c r="BF680" s="1188"/>
      <c r="BG680" s="1188"/>
      <c r="BH680" s="1188"/>
      <c r="BI680" s="1188"/>
      <c r="BJ680" s="1188"/>
      <c r="BK680" s="1188"/>
      <c r="BL680" s="1188"/>
      <c r="BM680" s="1188"/>
      <c r="BN680" s="1188"/>
      <c r="BO680" s="1240"/>
      <c r="BP680" s="1240">
        <f>I680/13</f>
        <v>16</v>
      </c>
      <c r="BQ680" s="1188"/>
      <c r="BR680" s="1236"/>
      <c r="BS680" s="1236"/>
      <c r="BT680" s="1188"/>
      <c r="BU680" s="1188"/>
      <c r="BV680" s="1240"/>
      <c r="BW680" s="1188"/>
      <c r="BX680" s="1188"/>
      <c r="BY680" s="1188"/>
      <c r="BZ680" s="1188"/>
      <c r="CA680" s="1188"/>
      <c r="CB680" s="1188"/>
      <c r="CC680" s="1188"/>
      <c r="CD680" s="1188">
        <f t="shared" si="229"/>
        <v>0</v>
      </c>
      <c r="CE680" s="1188">
        <f t="shared" si="240"/>
        <v>0</v>
      </c>
      <c r="CF680" s="1188">
        <f t="shared" si="230"/>
        <v>0</v>
      </c>
      <c r="CG680" s="1188">
        <f t="shared" si="231"/>
        <v>0</v>
      </c>
      <c r="CH680" s="1236"/>
      <c r="CI680" s="1236"/>
      <c r="CJ680" s="1236"/>
      <c r="CK680" s="1188"/>
      <c r="CL680" s="1188"/>
    </row>
    <row r="681" s="1168" customFormat="1" customHeight="1" spans="1:111">
      <c r="A681" s="1245">
        <v>46171</v>
      </c>
      <c r="B681" s="1247" t="s">
        <v>2379</v>
      </c>
      <c r="C681" s="1234" t="s">
        <v>508</v>
      </c>
      <c r="D681" s="1268">
        <v>4500207489</v>
      </c>
      <c r="E681" s="1233">
        <v>21798805</v>
      </c>
      <c r="F681" s="1188" t="s">
        <v>2856</v>
      </c>
      <c r="G681" s="1253" t="s">
        <v>510</v>
      </c>
      <c r="H681" s="1234" t="s">
        <v>194</v>
      </c>
      <c r="I681" s="1254">
        <v>2782</v>
      </c>
      <c r="J681" s="1234">
        <v>0</v>
      </c>
      <c r="K681" s="1234">
        <v>13</v>
      </c>
      <c r="L681" s="1246">
        <f t="shared" si="233"/>
        <v>214</v>
      </c>
      <c r="M681" s="1225">
        <v>46244</v>
      </c>
      <c r="N681" s="1338">
        <v>46245</v>
      </c>
      <c r="O681" s="1255"/>
      <c r="P681" s="1233"/>
      <c r="Q681" s="1233" t="s">
        <v>1410</v>
      </c>
      <c r="R681" s="1234"/>
      <c r="S681" s="1234"/>
      <c r="T681" s="1233">
        <v>2782</v>
      </c>
      <c r="U681" s="1233">
        <f t="shared" si="239"/>
        <v>0</v>
      </c>
      <c r="V681" s="1234"/>
      <c r="W681" s="1238" t="s">
        <v>2658</v>
      </c>
      <c r="X681" s="1257" t="s">
        <v>107</v>
      </c>
      <c r="Y681" s="1257" t="s">
        <v>2829</v>
      </c>
      <c r="Z681" s="1247" t="s">
        <v>360</v>
      </c>
      <c r="AA681" s="1247"/>
      <c r="AB681" s="1247" t="s">
        <v>2376</v>
      </c>
      <c r="AC681" s="1321" t="s">
        <v>2857</v>
      </c>
      <c r="AD681" s="1255" t="s">
        <v>2378</v>
      </c>
      <c r="AE681" s="1188">
        <v>1.1186</v>
      </c>
      <c r="AF681" s="1248">
        <f>AE681*I681</f>
        <v>3111.9452</v>
      </c>
      <c r="AG681" s="1258"/>
      <c r="AH681" s="1253" t="s">
        <v>510</v>
      </c>
      <c r="AI681" s="1234" t="s">
        <v>112</v>
      </c>
      <c r="AJ681" s="1234" t="s">
        <v>113</v>
      </c>
      <c r="AK681" s="1188">
        <f t="shared" si="241"/>
        <v>2782</v>
      </c>
      <c r="AL681" s="1188"/>
      <c r="AM681" s="1188"/>
      <c r="AN681" s="1188">
        <f>I681</f>
        <v>2782</v>
      </c>
      <c r="AO681" s="1188"/>
      <c r="AP681" s="1188"/>
      <c r="AQ681" s="1240"/>
      <c r="AR681" s="1188"/>
      <c r="AS681" s="1236"/>
      <c r="AT681" s="1236"/>
      <c r="AU681" s="1188"/>
      <c r="AV681" s="1250">
        <f>I681*0.06*2</f>
        <v>333.84</v>
      </c>
      <c r="AW681" s="1250"/>
      <c r="AX681" s="1188">
        <f>I681</f>
        <v>2782</v>
      </c>
      <c r="AY681" s="1188"/>
      <c r="AZ681" s="1188"/>
      <c r="BA681" s="1188"/>
      <c r="BB681" s="1188"/>
      <c r="BC681" s="1188"/>
      <c r="BD681" s="1188"/>
      <c r="BE681" s="1188"/>
      <c r="BF681" s="1188"/>
      <c r="BG681" s="1188"/>
      <c r="BH681" s="1188"/>
      <c r="BI681" s="1188"/>
      <c r="BJ681" s="1188"/>
      <c r="BK681" s="1188"/>
      <c r="BL681" s="1188"/>
      <c r="BM681" s="1188"/>
      <c r="BN681" s="1188"/>
      <c r="BO681" s="1240"/>
      <c r="BP681" s="1240">
        <f>I681/13</f>
        <v>214</v>
      </c>
      <c r="BQ681" s="1188"/>
      <c r="BR681" s="1236"/>
      <c r="BS681" s="1236"/>
      <c r="BT681" s="1188"/>
      <c r="BU681" s="1188"/>
      <c r="BV681" s="1240"/>
      <c r="BW681" s="1188"/>
      <c r="BX681" s="1188"/>
      <c r="BY681" s="1188"/>
      <c r="BZ681" s="1188"/>
      <c r="CA681" s="1188"/>
      <c r="CB681" s="1188"/>
      <c r="CC681" s="1188"/>
      <c r="CD681" s="1188">
        <f t="shared" si="229"/>
        <v>0</v>
      </c>
      <c r="CE681" s="1188">
        <f t="shared" si="240"/>
        <v>0</v>
      </c>
      <c r="CF681" s="1188">
        <f t="shared" si="230"/>
        <v>0</v>
      </c>
      <c r="CG681" s="1188">
        <f t="shared" si="231"/>
        <v>0</v>
      </c>
      <c r="CH681" s="1236"/>
      <c r="CI681" s="1236"/>
      <c r="CJ681" s="1236"/>
      <c r="CK681" s="1188"/>
      <c r="CL681" s="1188"/>
    </row>
    <row r="682" s="1176" customFormat="1" customHeight="1" spans="1:111">
      <c r="A682" s="1396">
        <v>46178</v>
      </c>
      <c r="B682" s="1397" t="s">
        <v>2031</v>
      </c>
      <c r="C682" s="498" t="s">
        <v>608</v>
      </c>
      <c r="D682" s="496">
        <v>4500210831</v>
      </c>
      <c r="E682" s="498" t="s">
        <v>2858</v>
      </c>
      <c r="F682" s="496" t="s">
        <v>2859</v>
      </c>
      <c r="G682" s="499" t="s">
        <v>799</v>
      </c>
      <c r="H682" s="498" t="s">
        <v>800</v>
      </c>
      <c r="I682" s="1399">
        <v>2430</v>
      </c>
      <c r="J682" s="498">
        <v>0</v>
      </c>
      <c r="K682" s="498">
        <v>30</v>
      </c>
      <c r="L682" s="1400">
        <f t="shared" si="233"/>
        <v>81</v>
      </c>
      <c r="M682" s="1444">
        <v>46245</v>
      </c>
      <c r="N682" s="1458">
        <v>46241</v>
      </c>
      <c r="O682" s="1401" t="s">
        <v>2151</v>
      </c>
      <c r="P682" s="500"/>
      <c r="Q682" s="500" t="s">
        <v>1410</v>
      </c>
      <c r="R682" s="498" t="s">
        <v>1663</v>
      </c>
      <c r="S682" s="498"/>
      <c r="T682" s="500">
        <v>2430</v>
      </c>
      <c r="U682" s="500">
        <f t="shared" si="239"/>
        <v>0</v>
      </c>
      <c r="V682" s="498"/>
      <c r="W682" s="1431">
        <v>46183</v>
      </c>
      <c r="X682" s="1432" t="s">
        <v>95</v>
      </c>
      <c r="Y682" s="1432" t="s">
        <v>2860</v>
      </c>
      <c r="Z682" s="1397"/>
      <c r="AA682" s="1397"/>
      <c r="AB682" s="1397"/>
      <c r="AC682" s="1535" t="s">
        <v>2861</v>
      </c>
      <c r="AD682" s="495" t="s">
        <v>2037</v>
      </c>
      <c r="AE682" s="496">
        <v>50.8918</v>
      </c>
      <c r="AF682" s="497">
        <f>AE682*L682</f>
        <v>4122.2358</v>
      </c>
      <c r="AG682" s="1406"/>
      <c r="AH682" s="499" t="s">
        <v>2862</v>
      </c>
      <c r="AI682" s="498" t="s">
        <v>112</v>
      </c>
      <c r="AJ682" s="498" t="s">
        <v>113</v>
      </c>
      <c r="AK682" s="496">
        <f t="shared" si="241"/>
        <v>2430</v>
      </c>
      <c r="AL682" s="496"/>
      <c r="AM682" s="496"/>
      <c r="AN682" s="496">
        <f>I682</f>
        <v>2430</v>
      </c>
      <c r="AO682" s="496"/>
      <c r="AP682" s="496"/>
      <c r="AQ682" s="1407"/>
      <c r="AR682" s="496"/>
      <c r="AS682" s="1408"/>
      <c r="AT682" s="1408"/>
      <c r="AU682" s="496">
        <f>I682</f>
        <v>2430</v>
      </c>
      <c r="AV682" s="1409"/>
      <c r="AW682" s="1409"/>
      <c r="AX682" s="496"/>
      <c r="AY682" s="496"/>
      <c r="AZ682" s="496"/>
      <c r="BA682" s="496"/>
      <c r="BB682" s="496"/>
      <c r="BC682" s="496"/>
      <c r="BD682" s="496"/>
      <c r="BE682" s="496"/>
      <c r="BF682" s="496"/>
      <c r="BG682" s="496"/>
      <c r="BH682" s="496"/>
      <c r="BI682" s="496"/>
      <c r="BJ682" s="496"/>
      <c r="BK682" s="496"/>
      <c r="BL682" s="496"/>
      <c r="BM682" s="496"/>
      <c r="BN682" s="496"/>
      <c r="BO682" s="1407"/>
      <c r="BP682" s="1407"/>
      <c r="BQ682" s="496"/>
      <c r="BR682" s="1408"/>
      <c r="BS682" s="1408"/>
      <c r="BT682" s="496"/>
      <c r="BU682" s="496"/>
      <c r="BV682" s="1407"/>
      <c r="BW682" s="496"/>
      <c r="BX682" s="496"/>
      <c r="BY682" s="496"/>
      <c r="BZ682" s="496"/>
      <c r="CA682" s="496"/>
      <c r="CB682" s="496"/>
      <c r="CC682" s="496">
        <f>I682/30</f>
        <v>81</v>
      </c>
      <c r="CD682" s="496">
        <f t="shared" si="229"/>
        <v>0</v>
      </c>
      <c r="CE682" s="496">
        <f t="shared" si="240"/>
        <v>0</v>
      </c>
      <c r="CF682" s="496">
        <f t="shared" si="230"/>
        <v>81</v>
      </c>
      <c r="CG682" s="496">
        <f t="shared" si="231"/>
        <v>0</v>
      </c>
      <c r="CH682" s="1408"/>
      <c r="CI682" s="1408"/>
      <c r="CJ682" s="1408"/>
      <c r="CK682" s="496"/>
      <c r="CL682" s="496"/>
      <c r="CM682" s="1170"/>
      <c r="CN682" s="1170"/>
      <c r="CO682" s="1170"/>
      <c r="CP682" s="1170"/>
      <c r="CQ682" s="1170"/>
      <c r="CR682" s="1170"/>
      <c r="CS682" s="1170"/>
      <c r="CT682" s="1170"/>
      <c r="CU682" s="1170"/>
      <c r="CV682" s="1170"/>
      <c r="CW682" s="1170"/>
      <c r="CX682" s="1170"/>
      <c r="CY682" s="1170"/>
      <c r="CZ682" s="1170"/>
      <c r="DA682" s="1170"/>
      <c r="DB682" s="1170"/>
      <c r="DC682" s="1170"/>
      <c r="DD682" s="1170"/>
      <c r="DE682" s="1170"/>
      <c r="DF682" s="1170"/>
      <c r="DG682" s="1170"/>
    </row>
    <row r="683" s="1170" customFormat="1" customHeight="1" spans="1:111">
      <c r="A683" s="1396">
        <v>46181</v>
      </c>
      <c r="B683" s="1397" t="s">
        <v>2863</v>
      </c>
      <c r="C683" s="498" t="s">
        <v>115</v>
      </c>
      <c r="D683" s="1398">
        <v>4500210980</v>
      </c>
      <c r="E683" s="500">
        <v>1800133013</v>
      </c>
      <c r="F683" s="496" t="s">
        <v>2864</v>
      </c>
      <c r="G683" s="499" t="s">
        <v>188</v>
      </c>
      <c r="H683" s="498" t="s">
        <v>138</v>
      </c>
      <c r="I683" s="1399">
        <v>1000</v>
      </c>
      <c r="J683" s="498">
        <v>0</v>
      </c>
      <c r="K683" s="498">
        <v>50</v>
      </c>
      <c r="L683" s="1400">
        <f t="shared" si="233"/>
        <v>20</v>
      </c>
      <c r="M683" s="495">
        <v>46245</v>
      </c>
      <c r="N683" s="495">
        <v>46241</v>
      </c>
      <c r="O683" s="495"/>
      <c r="P683" s="500"/>
      <c r="Q683" s="500" t="s">
        <v>2865</v>
      </c>
      <c r="R683" s="498" t="s">
        <v>1322</v>
      </c>
      <c r="S683" s="498"/>
      <c r="T683" s="500">
        <v>1000</v>
      </c>
      <c r="U683" s="500">
        <f t="shared" si="239"/>
        <v>0</v>
      </c>
      <c r="V683" s="498"/>
      <c r="W683" s="1404" t="s">
        <v>1551</v>
      </c>
      <c r="X683" s="1432" t="s">
        <v>95</v>
      </c>
      <c r="Y683" s="1432" t="s">
        <v>95</v>
      </c>
      <c r="Z683" s="1397"/>
      <c r="AA683" s="1397"/>
      <c r="AB683" s="1397"/>
      <c r="AC683" s="1397" t="s">
        <v>2866</v>
      </c>
      <c r="AD683" s="495" t="s">
        <v>2754</v>
      </c>
      <c r="AE683" s="496">
        <v>0.6704</v>
      </c>
      <c r="AF683" s="497">
        <f>AE683*I683</f>
        <v>670.4</v>
      </c>
      <c r="AG683" s="1525" t="s">
        <v>2867</v>
      </c>
      <c r="AH683" s="498" t="s">
        <v>188</v>
      </c>
      <c r="AI683" s="498" t="s">
        <v>112</v>
      </c>
      <c r="AJ683" s="498" t="s">
        <v>113</v>
      </c>
      <c r="AK683" s="496">
        <f t="shared" si="241"/>
        <v>1000</v>
      </c>
      <c r="AL683" s="496"/>
      <c r="AM683" s="496"/>
      <c r="AN683" s="496">
        <f>I683</f>
        <v>1000</v>
      </c>
      <c r="AO683" s="496"/>
      <c r="AP683" s="496"/>
      <c r="AQ683" s="1407"/>
      <c r="AR683" s="496"/>
      <c r="AS683" s="1408"/>
      <c r="AT683" s="1408"/>
      <c r="AU683" s="496">
        <f>I683</f>
        <v>1000</v>
      </c>
      <c r="AV683" s="1409"/>
      <c r="AW683" s="1409"/>
      <c r="AX683" s="496"/>
      <c r="AY683" s="496"/>
      <c r="AZ683" s="496"/>
      <c r="BA683" s="496"/>
      <c r="BB683" s="496"/>
      <c r="BC683" s="496"/>
      <c r="BD683" s="496"/>
      <c r="BE683" s="496"/>
      <c r="BF683" s="496"/>
      <c r="BG683" s="496"/>
      <c r="BH683" s="496"/>
      <c r="BI683" s="496"/>
      <c r="BJ683" s="496"/>
      <c r="BK683" s="496"/>
      <c r="BL683" s="496"/>
      <c r="BM683" s="496"/>
      <c r="BN683" s="496">
        <f>I683/25</f>
        <v>40</v>
      </c>
      <c r="BO683" s="1407"/>
      <c r="BP683" s="1407"/>
      <c r="BQ683" s="496"/>
      <c r="BR683" s="1408"/>
      <c r="BS683" s="1408"/>
      <c r="BT683" s="496"/>
      <c r="BU683" s="496"/>
      <c r="BV683" s="1407"/>
      <c r="BW683" s="496"/>
      <c r="BX683" s="496"/>
      <c r="BY683" s="496"/>
      <c r="BZ683" s="496"/>
      <c r="CA683" s="496"/>
      <c r="CB683" s="496"/>
      <c r="CC683" s="496"/>
      <c r="CD683" s="496">
        <f t="shared" si="229"/>
        <v>40</v>
      </c>
      <c r="CE683" s="496">
        <f t="shared" si="240"/>
        <v>0</v>
      </c>
      <c r="CF683" s="496">
        <f t="shared" si="230"/>
        <v>0</v>
      </c>
      <c r="CG683" s="496">
        <f t="shared" si="231"/>
        <v>0</v>
      </c>
      <c r="CH683" s="1408"/>
      <c r="CI683" s="1408"/>
      <c r="CJ683" s="1408"/>
      <c r="CK683" s="496"/>
      <c r="CL683" s="496"/>
    </row>
    <row r="684" s="1171" customFormat="1" customHeight="1" spans="1:111">
      <c r="A684" s="1245">
        <v>46183</v>
      </c>
      <c r="B684" s="1247" t="s">
        <v>163</v>
      </c>
      <c r="C684" s="1234" t="s">
        <v>164</v>
      </c>
      <c r="D684" s="1188">
        <v>4500211476</v>
      </c>
      <c r="E684" s="1234">
        <v>4400564356</v>
      </c>
      <c r="F684" s="1188" t="s">
        <v>2868</v>
      </c>
      <c r="G684" s="1253" t="s">
        <v>270</v>
      </c>
      <c r="H684" s="1234" t="s">
        <v>104</v>
      </c>
      <c r="I684" s="1254">
        <v>4000</v>
      </c>
      <c r="J684" s="1234">
        <v>0</v>
      </c>
      <c r="K684" s="1234">
        <v>25</v>
      </c>
      <c r="L684" s="1246">
        <f t="shared" si="233"/>
        <v>160</v>
      </c>
      <c r="M684" s="1225">
        <v>46245</v>
      </c>
      <c r="N684" s="1338">
        <v>46242</v>
      </c>
      <c r="O684" s="1255"/>
      <c r="P684" s="1233"/>
      <c r="Q684" s="1233" t="s">
        <v>1410</v>
      </c>
      <c r="R684" s="1234"/>
      <c r="S684" s="1234"/>
      <c r="T684" s="1233">
        <v>4000</v>
      </c>
      <c r="U684" s="1233">
        <f t="shared" si="239"/>
        <v>0</v>
      </c>
      <c r="V684" s="1234"/>
      <c r="W684" s="1238" t="s">
        <v>2869</v>
      </c>
      <c r="X684" s="1227" t="s">
        <v>95</v>
      </c>
      <c r="Y684" s="1227" t="s">
        <v>1794</v>
      </c>
      <c r="Z684" s="1247" t="s">
        <v>140</v>
      </c>
      <c r="AA684" s="1247"/>
      <c r="AB684" s="1247" t="s">
        <v>2870</v>
      </c>
      <c r="AC684" s="1247" t="s">
        <v>2871</v>
      </c>
      <c r="AD684" s="1255" t="s">
        <v>142</v>
      </c>
      <c r="AE684" s="1362">
        <v>1.1467</v>
      </c>
      <c r="AF684" s="1248">
        <f>I684*AE684</f>
        <v>4586.8</v>
      </c>
      <c r="AG684" s="1258"/>
      <c r="AH684" s="1253" t="s">
        <v>270</v>
      </c>
      <c r="AI684" s="1234" t="s">
        <v>112</v>
      </c>
      <c r="AJ684" s="1234" t="s">
        <v>113</v>
      </c>
      <c r="AK684" s="1188">
        <f t="shared" si="241"/>
        <v>4000</v>
      </c>
      <c r="AL684" s="1188"/>
      <c r="AM684" s="1188"/>
      <c r="AN684" s="1188"/>
      <c r="AO684" s="1188"/>
      <c r="AP684" s="1188"/>
      <c r="AQ684" s="1240"/>
      <c r="AR684" s="1188"/>
      <c r="AS684" s="1236"/>
      <c r="AT684" s="1236"/>
      <c r="AU684" s="1188"/>
      <c r="AV684" s="1250">
        <f>I684*0.06</f>
        <v>240</v>
      </c>
      <c r="AW684" s="1250"/>
      <c r="AX684" s="1188"/>
      <c r="AY684" s="1188"/>
      <c r="AZ684" s="1188"/>
      <c r="BA684" s="1188"/>
      <c r="BB684" s="1188"/>
      <c r="BC684" s="1188"/>
      <c r="BD684" s="1188"/>
      <c r="BE684" s="1188"/>
      <c r="BF684" s="1188"/>
      <c r="BG684" s="1188">
        <f>I684</f>
        <v>4000</v>
      </c>
      <c r="BH684" s="1188">
        <f>I684</f>
        <v>4000</v>
      </c>
      <c r="BI684" s="1188"/>
      <c r="BJ684" s="1188"/>
      <c r="BK684" s="1188"/>
      <c r="BL684" s="1188"/>
      <c r="BM684" s="1188"/>
      <c r="BN684" s="1188"/>
      <c r="BO684" s="1240">
        <f>I684/25</f>
        <v>160</v>
      </c>
      <c r="BP684" s="1240"/>
      <c r="BQ684" s="1188"/>
      <c r="BR684" s="1236"/>
      <c r="BS684" s="1236"/>
      <c r="BT684" s="1188"/>
      <c r="BU684" s="1188"/>
      <c r="BV684" s="1240"/>
      <c r="BW684" s="1188"/>
      <c r="BX684" s="1188"/>
      <c r="BY684" s="1188"/>
      <c r="BZ684" s="1188"/>
      <c r="CA684" s="1188"/>
      <c r="CB684" s="1188"/>
      <c r="CC684" s="1188"/>
      <c r="CD684" s="1188">
        <f t="shared" si="229"/>
        <v>160</v>
      </c>
      <c r="CE684" s="1188">
        <f t="shared" si="240"/>
        <v>0</v>
      </c>
      <c r="CF684" s="1188">
        <f t="shared" si="230"/>
        <v>0</v>
      </c>
      <c r="CG684" s="1188">
        <f t="shared" si="231"/>
        <v>0</v>
      </c>
      <c r="CH684" s="1236"/>
      <c r="CI684" s="1236"/>
      <c r="CJ684" s="1236"/>
      <c r="CK684" s="1188"/>
      <c r="CL684" s="1188"/>
      <c r="CM684" s="1168"/>
      <c r="CN684" s="1168"/>
      <c r="CO684" s="1168"/>
      <c r="CP684" s="1168"/>
      <c r="CQ684" s="1168"/>
      <c r="CR684" s="1168"/>
      <c r="CS684" s="1168"/>
      <c r="CT684" s="1168"/>
      <c r="CU684" s="1168"/>
      <c r="CV684" s="1168"/>
      <c r="CW684" s="1168"/>
      <c r="CX684" s="1168"/>
      <c r="CY684" s="1168"/>
      <c r="CZ684" s="1168"/>
      <c r="DA684" s="1168"/>
      <c r="DB684" s="1168"/>
      <c r="DC684" s="1168"/>
      <c r="DD684" s="1168"/>
      <c r="DE684" s="1168"/>
      <c r="DF684" s="1168"/>
      <c r="DG684" s="1168"/>
    </row>
    <row r="685" s="1168" customFormat="1" customHeight="1" spans="1:111">
      <c r="A685" s="1245">
        <v>46196</v>
      </c>
      <c r="B685" s="1220" t="s">
        <v>2872</v>
      </c>
      <c r="C685" s="1221" t="s">
        <v>291</v>
      </c>
      <c r="D685" s="1303">
        <v>4500213351</v>
      </c>
      <c r="E685" s="1226">
        <v>26243</v>
      </c>
      <c r="F685" s="1222" t="s">
        <v>2873</v>
      </c>
      <c r="G685" s="1223" t="s">
        <v>188</v>
      </c>
      <c r="H685" s="1234" t="s">
        <v>138</v>
      </c>
      <c r="I685" s="1252">
        <v>8600</v>
      </c>
      <c r="J685" s="1221">
        <v>0</v>
      </c>
      <c r="K685" s="1221">
        <v>50</v>
      </c>
      <c r="L685" s="1246">
        <f t="shared" si="233"/>
        <v>172</v>
      </c>
      <c r="M685" s="1225">
        <v>46245</v>
      </c>
      <c r="N685" s="1338">
        <v>46242</v>
      </c>
      <c r="O685" s="1225"/>
      <c r="P685" s="1233" t="s">
        <v>2874</v>
      </c>
      <c r="Q685" s="1233" t="s">
        <v>1410</v>
      </c>
      <c r="R685" s="1234" t="s">
        <v>2875</v>
      </c>
      <c r="S685" s="1234"/>
      <c r="T685" s="1233">
        <v>8600</v>
      </c>
      <c r="U685" s="1233">
        <f t="shared" si="239"/>
        <v>0</v>
      </c>
      <c r="V685" s="1234"/>
      <c r="W685" s="1256">
        <v>46213</v>
      </c>
      <c r="X685" s="1257" t="s">
        <v>95</v>
      </c>
      <c r="Y685" s="1257" t="s">
        <v>2876</v>
      </c>
      <c r="Z685" s="1247" t="s">
        <v>2877</v>
      </c>
      <c r="AA685" s="1247"/>
      <c r="AB685" s="1247"/>
      <c r="AC685" s="1520" t="s">
        <v>2878</v>
      </c>
      <c r="AD685" s="1338" t="s">
        <v>1169</v>
      </c>
      <c r="AE685" s="1251">
        <v>1.0924</v>
      </c>
      <c r="AF685" s="1335">
        <f>AE685*I685</f>
        <v>9394.64</v>
      </c>
      <c r="AG685" s="1336"/>
      <c r="AH685" s="1234" t="s">
        <v>314</v>
      </c>
      <c r="AI685" s="1234" t="s">
        <v>112</v>
      </c>
      <c r="AJ685" s="1234" t="s">
        <v>113</v>
      </c>
      <c r="AK685" s="1188">
        <f t="shared" si="241"/>
        <v>8600</v>
      </c>
      <c r="AL685" s="1188"/>
      <c r="AM685" s="1188"/>
      <c r="AN685" s="1188"/>
      <c r="AO685" s="1188"/>
      <c r="AP685" s="1188">
        <f>I685</f>
        <v>8600</v>
      </c>
      <c r="AQ685" s="1240"/>
      <c r="AR685" s="1188"/>
      <c r="AS685" s="1236"/>
      <c r="AT685" s="1236"/>
      <c r="AU685" s="1188">
        <f>I685</f>
        <v>8600</v>
      </c>
      <c r="AV685" s="1250"/>
      <c r="AW685" s="1250"/>
      <c r="AX685" s="1188"/>
      <c r="AY685" s="1188"/>
      <c r="AZ685" s="1188"/>
      <c r="BA685" s="1188"/>
      <c r="BB685" s="1188"/>
      <c r="BC685" s="1188"/>
      <c r="BD685" s="1188"/>
      <c r="BE685" s="1188"/>
      <c r="BF685" s="1188"/>
      <c r="BG685" s="1188"/>
      <c r="BH685" s="1188"/>
      <c r="BI685" s="1188"/>
      <c r="BJ685" s="1188"/>
      <c r="BK685" s="1188"/>
      <c r="BL685" s="1188"/>
      <c r="BM685" s="1188"/>
      <c r="BN685" s="1188"/>
      <c r="BO685" s="1240">
        <f>I685/25</f>
        <v>344</v>
      </c>
      <c r="BP685" s="1240"/>
      <c r="BQ685" s="1188"/>
      <c r="BR685" s="1236"/>
      <c r="BS685" s="1236"/>
      <c r="BT685" s="1188"/>
      <c r="BU685" s="1188"/>
      <c r="BV685" s="1240"/>
      <c r="BW685" s="1188"/>
      <c r="BX685" s="1188"/>
      <c r="BY685" s="1188"/>
      <c r="BZ685" s="1188"/>
      <c r="CA685" s="1188"/>
      <c r="CB685" s="1188"/>
      <c r="CC685" s="1188"/>
      <c r="CD685" s="1188">
        <f t="shared" si="229"/>
        <v>344</v>
      </c>
      <c r="CE685" s="1188">
        <f t="shared" si="240"/>
        <v>0</v>
      </c>
      <c r="CF685" s="1188">
        <f t="shared" si="230"/>
        <v>0</v>
      </c>
      <c r="CG685" s="1188">
        <f t="shared" si="231"/>
        <v>0</v>
      </c>
      <c r="CH685" s="1236"/>
      <c r="CI685" s="1236"/>
      <c r="CJ685" s="1236"/>
      <c r="CK685" s="1188"/>
      <c r="CL685" s="1188"/>
    </row>
    <row r="686" s="1168" customFormat="1" customHeight="1" spans="1:111">
      <c r="A686" s="1219">
        <v>46177</v>
      </c>
      <c r="B686" s="1460" t="s">
        <v>2879</v>
      </c>
      <c r="C686" s="1461" t="s">
        <v>1439</v>
      </c>
      <c r="D686" s="1464">
        <v>4500210497</v>
      </c>
      <c r="E686" s="1463">
        <v>5200009895</v>
      </c>
      <c r="F686" s="1464" t="s">
        <v>2880</v>
      </c>
      <c r="G686" s="1465" t="s">
        <v>193</v>
      </c>
      <c r="H686" s="1221" t="s">
        <v>194</v>
      </c>
      <c r="I686" s="1466">
        <v>2600</v>
      </c>
      <c r="J686" s="1467">
        <v>0</v>
      </c>
      <c r="K686" s="1467">
        <v>13</v>
      </c>
      <c r="L686" s="1224">
        <f t="shared" si="233"/>
        <v>200</v>
      </c>
      <c r="M686" s="1225">
        <v>46245</v>
      </c>
      <c r="N686" s="1338">
        <v>46242</v>
      </c>
      <c r="O686" s="1225"/>
      <c r="P686" s="1226"/>
      <c r="Q686" s="1233" t="s">
        <v>1410</v>
      </c>
      <c r="R686" s="1221" t="s">
        <v>1241</v>
      </c>
      <c r="S686" s="1221"/>
      <c r="T686" s="1226">
        <v>2600</v>
      </c>
      <c r="U686" s="1233">
        <f t="shared" si="239"/>
        <v>0</v>
      </c>
      <c r="V686" s="1221"/>
      <c r="W686" s="1238" t="s">
        <v>2719</v>
      </c>
      <c r="X686" s="1257" t="s">
        <v>95</v>
      </c>
      <c r="Y686" s="1257" t="s">
        <v>2881</v>
      </c>
      <c r="Z686" s="1220" t="s">
        <v>2882</v>
      </c>
      <c r="AA686" s="1220"/>
      <c r="AB686" s="1220"/>
      <c r="AC686" s="1220" t="s">
        <v>2883</v>
      </c>
      <c r="AD686" s="1468" t="s">
        <v>1945</v>
      </c>
      <c r="AE686" s="1534">
        <v>1.0809</v>
      </c>
      <c r="AF686" s="1229">
        <f>I686*AE686</f>
        <v>2810.34</v>
      </c>
      <c r="AG686" s="1230"/>
      <c r="AH686" s="1234" t="s">
        <v>199</v>
      </c>
      <c r="AI686" s="1234" t="s">
        <v>112</v>
      </c>
      <c r="AJ686" s="1221" t="s">
        <v>113</v>
      </c>
      <c r="AK686" s="1222">
        <f t="shared" si="241"/>
        <v>2600</v>
      </c>
      <c r="AL686" s="1222"/>
      <c r="AM686" s="1222"/>
      <c r="AN686" s="1188"/>
      <c r="AO686" s="1222"/>
      <c r="AP686" s="1222">
        <f>I686</f>
        <v>2600</v>
      </c>
      <c r="AQ686" s="1242"/>
      <c r="AR686" s="1222"/>
      <c r="AS686" s="1232"/>
      <c r="AT686" s="1232"/>
      <c r="AU686" s="1188">
        <f>I686</f>
        <v>2600</v>
      </c>
      <c r="AV686" s="1250">
        <f>I686*0.06*2</f>
        <v>312</v>
      </c>
      <c r="AW686" s="1241"/>
      <c r="AX686" s="1222"/>
      <c r="AY686" s="1222"/>
      <c r="AZ686" s="1222"/>
      <c r="BA686" s="1222"/>
      <c r="BB686" s="1222"/>
      <c r="BC686" s="1222"/>
      <c r="BD686" s="1222"/>
      <c r="BE686" s="1222"/>
      <c r="BF686" s="1222"/>
      <c r="BG686" s="1222"/>
      <c r="BH686" s="1222"/>
      <c r="BI686" s="1222"/>
      <c r="BJ686" s="1222"/>
      <c r="BK686" s="1222"/>
      <c r="BL686" s="1222">
        <f>I686/13</f>
        <v>200</v>
      </c>
      <c r="BM686" s="1222"/>
      <c r="BN686" s="1222"/>
      <c r="BO686" s="1242"/>
      <c r="BP686" s="1242"/>
      <c r="BQ686" s="1222"/>
      <c r="BR686" s="1232"/>
      <c r="BS686" s="1232"/>
      <c r="BT686" s="1222"/>
      <c r="BU686" s="1222"/>
      <c r="BV686" s="1242"/>
      <c r="BW686" s="1222"/>
      <c r="BX686" s="1188"/>
      <c r="BY686" s="1222"/>
      <c r="BZ686" s="1222"/>
      <c r="CA686" s="1222"/>
      <c r="CB686" s="1222"/>
      <c r="CC686" s="1222"/>
      <c r="CD686" s="1188">
        <f t="shared" si="229"/>
        <v>0</v>
      </c>
      <c r="CE686" s="1188">
        <f t="shared" si="240"/>
        <v>0</v>
      </c>
      <c r="CF686" s="1188">
        <f t="shared" si="230"/>
        <v>0</v>
      </c>
      <c r="CG686" s="1188">
        <f t="shared" si="231"/>
        <v>0</v>
      </c>
      <c r="CH686" s="1232"/>
      <c r="CI686" s="1232"/>
      <c r="CJ686" s="1232"/>
      <c r="CK686" s="1222"/>
      <c r="CL686" s="1222"/>
    </row>
    <row r="687" s="1170" customFormat="1" customHeight="1" spans="1:111">
      <c r="A687" s="1396">
        <v>46115</v>
      </c>
      <c r="B687" s="1447" t="s">
        <v>2382</v>
      </c>
      <c r="C687" s="1448" t="s">
        <v>201</v>
      </c>
      <c r="D687" s="1450">
        <v>4500200094</v>
      </c>
      <c r="E687" s="1507">
        <v>5710331472</v>
      </c>
      <c r="F687" s="1450" t="s">
        <v>2884</v>
      </c>
      <c r="G687" s="1451" t="s">
        <v>482</v>
      </c>
      <c r="H687" s="1448" t="s">
        <v>483</v>
      </c>
      <c r="I687" s="1452">
        <v>4320</v>
      </c>
      <c r="J687" s="1448">
        <v>0</v>
      </c>
      <c r="K687" s="1448">
        <v>120</v>
      </c>
      <c r="L687" s="1400">
        <f t="shared" si="233"/>
        <v>36</v>
      </c>
      <c r="M687" s="1458">
        <v>46245</v>
      </c>
      <c r="N687" s="1458">
        <v>46243</v>
      </c>
      <c r="O687" s="495"/>
      <c r="P687" s="500"/>
      <c r="Q687" s="500"/>
      <c r="R687" s="498"/>
      <c r="S687" s="498"/>
      <c r="T687" s="715">
        <f>594+1102+1296+1134+194</f>
        <v>4320</v>
      </c>
      <c r="U687" s="500">
        <f t="shared" si="239"/>
        <v>0</v>
      </c>
      <c r="V687" s="498"/>
      <c r="W687" s="1404" t="s">
        <v>2658</v>
      </c>
      <c r="X687" s="1432" t="s">
        <v>107</v>
      </c>
      <c r="Y687" s="1405" t="s">
        <v>95</v>
      </c>
      <c r="Z687" s="1397"/>
      <c r="AA687" s="1397"/>
      <c r="AB687" s="1397"/>
      <c r="AC687" s="1447" t="s">
        <v>636</v>
      </c>
      <c r="AD687" s="1444" t="s">
        <v>488</v>
      </c>
      <c r="AE687" s="496">
        <v>1070</v>
      </c>
      <c r="AF687" s="497">
        <f>I687*AE687</f>
        <v>4622400</v>
      </c>
      <c r="AG687" s="1406"/>
      <c r="AH687" s="498" t="s">
        <v>490</v>
      </c>
      <c r="AI687" s="498" t="s">
        <v>112</v>
      </c>
      <c r="AJ687" s="498" t="s">
        <v>113</v>
      </c>
      <c r="AK687" s="496"/>
      <c r="AL687" s="496">
        <f>I687*3</f>
        <v>12960</v>
      </c>
      <c r="AM687" s="496"/>
      <c r="AN687" s="496"/>
      <c r="AO687" s="496"/>
      <c r="AP687" s="496"/>
      <c r="AQ687" s="1407"/>
      <c r="AR687" s="496"/>
      <c r="AS687" s="1408"/>
      <c r="AT687" s="1408"/>
      <c r="AU687" s="496"/>
      <c r="AV687" s="1409">
        <f>I687*0.06*2</f>
        <v>518.4</v>
      </c>
      <c r="AW687" s="1409"/>
      <c r="AX687" s="496"/>
      <c r="AY687" s="496"/>
      <c r="AZ687" s="496"/>
      <c r="BA687" s="496"/>
      <c r="BB687" s="496">
        <f>I687*3</f>
        <v>12960</v>
      </c>
      <c r="BC687" s="496">
        <f>I687*3</f>
        <v>12960</v>
      </c>
      <c r="BD687" s="496">
        <f>I687*3</f>
        <v>12960</v>
      </c>
      <c r="BE687" s="496">
        <f>I687</f>
        <v>4320</v>
      </c>
      <c r="BF687" s="496">
        <f>I687/6</f>
        <v>720</v>
      </c>
      <c r="BG687" s="496"/>
      <c r="BH687" s="496"/>
      <c r="BI687" s="496"/>
      <c r="BJ687" s="496"/>
      <c r="BK687" s="496"/>
      <c r="BL687" s="496"/>
      <c r="BM687" s="496"/>
      <c r="BN687" s="496"/>
      <c r="BO687" s="1407"/>
      <c r="BP687" s="1407"/>
      <c r="BQ687" s="496"/>
      <c r="BR687" s="1408"/>
      <c r="BS687" s="1408"/>
      <c r="BT687" s="496"/>
      <c r="BU687" s="496"/>
      <c r="BV687" s="1407"/>
      <c r="BW687" s="496"/>
      <c r="BX687" s="496"/>
      <c r="BY687" s="496"/>
      <c r="BZ687" s="496"/>
      <c r="CA687" s="496"/>
      <c r="CB687" s="496"/>
      <c r="CC687" s="496"/>
      <c r="CD687" s="496">
        <f t="shared" si="229"/>
        <v>0</v>
      </c>
      <c r="CE687" s="496">
        <f t="shared" si="240"/>
        <v>0</v>
      </c>
      <c r="CF687" s="496">
        <f t="shared" si="230"/>
        <v>0</v>
      </c>
      <c r="CG687" s="496">
        <f t="shared" si="231"/>
        <v>0</v>
      </c>
      <c r="CH687" s="1408"/>
      <c r="CI687" s="1408"/>
      <c r="CJ687" s="1408"/>
      <c r="CK687" s="496"/>
      <c r="CL687" s="496"/>
    </row>
    <row r="688" s="1170" customFormat="1" customHeight="1" spans="1:111">
      <c r="A688" s="1396">
        <v>46115</v>
      </c>
      <c r="B688" s="1397" t="s">
        <v>2382</v>
      </c>
      <c r="C688" s="498" t="s">
        <v>201</v>
      </c>
      <c r="D688" s="496">
        <v>4500200092</v>
      </c>
      <c r="E688" s="500">
        <v>5710331470</v>
      </c>
      <c r="F688" s="496" t="s">
        <v>2885</v>
      </c>
      <c r="G688" s="499" t="s">
        <v>482</v>
      </c>
      <c r="H688" s="498" t="s">
        <v>483</v>
      </c>
      <c r="I688" s="1399">
        <v>4320</v>
      </c>
      <c r="J688" s="498">
        <v>0</v>
      </c>
      <c r="K688" s="498">
        <v>120</v>
      </c>
      <c r="L688" s="1400">
        <f t="shared" si="233"/>
        <v>36</v>
      </c>
      <c r="M688" s="1401">
        <v>46245</v>
      </c>
      <c r="N688" s="1401">
        <v>46243</v>
      </c>
      <c r="O688" s="1444"/>
      <c r="P688" s="500"/>
      <c r="Q688" s="500" t="s">
        <v>1410</v>
      </c>
      <c r="R688" s="498"/>
      <c r="S688" s="498"/>
      <c r="T688" s="808">
        <f>1296+594+741+555+1134</f>
        <v>4320</v>
      </c>
      <c r="U688" s="500">
        <f t="shared" si="239"/>
        <v>0</v>
      </c>
      <c r="V688" s="498"/>
      <c r="W688" s="1431" t="s">
        <v>2658</v>
      </c>
      <c r="X688" s="1432" t="s">
        <v>107</v>
      </c>
      <c r="Y688" s="1432" t="s">
        <v>95</v>
      </c>
      <c r="Z688" s="1397"/>
      <c r="AA688" s="1397"/>
      <c r="AB688" s="1397"/>
      <c r="AC688" s="1397" t="s">
        <v>636</v>
      </c>
      <c r="AD688" s="495" t="s">
        <v>488</v>
      </c>
      <c r="AE688" s="496">
        <v>1070</v>
      </c>
      <c r="AF688" s="497">
        <f>I688*AE688</f>
        <v>4622400</v>
      </c>
      <c r="AG688" s="1406"/>
      <c r="AH688" s="498" t="s">
        <v>490</v>
      </c>
      <c r="AI688" s="498" t="s">
        <v>112</v>
      </c>
      <c r="AJ688" s="498" t="s">
        <v>113</v>
      </c>
      <c r="AK688" s="496"/>
      <c r="AL688" s="496">
        <f>I688*3</f>
        <v>12960</v>
      </c>
      <c r="AM688" s="496"/>
      <c r="AN688" s="496"/>
      <c r="AO688" s="496"/>
      <c r="AP688" s="496"/>
      <c r="AQ688" s="1407"/>
      <c r="AR688" s="496"/>
      <c r="AS688" s="1408"/>
      <c r="AT688" s="1408"/>
      <c r="AU688" s="496"/>
      <c r="AV688" s="1409">
        <f>I688*0.06*2</f>
        <v>518.4</v>
      </c>
      <c r="AW688" s="1409"/>
      <c r="AX688" s="496"/>
      <c r="AY688" s="496"/>
      <c r="AZ688" s="496"/>
      <c r="BA688" s="496"/>
      <c r="BB688" s="496">
        <f>I688*3</f>
        <v>12960</v>
      </c>
      <c r="BC688" s="496">
        <f>I688*3</f>
        <v>12960</v>
      </c>
      <c r="BD688" s="496">
        <f>I688*3</f>
        <v>12960</v>
      </c>
      <c r="BE688" s="496">
        <f>I688</f>
        <v>4320</v>
      </c>
      <c r="BF688" s="496">
        <f>I688/6</f>
        <v>720</v>
      </c>
      <c r="BG688" s="496"/>
      <c r="BH688" s="496"/>
      <c r="BI688" s="496"/>
      <c r="BJ688" s="496"/>
      <c r="BK688" s="496"/>
      <c r="BL688" s="496"/>
      <c r="BM688" s="496"/>
      <c r="BN688" s="496"/>
      <c r="BO688" s="1407"/>
      <c r="BP688" s="1407"/>
      <c r="BQ688" s="496"/>
      <c r="BR688" s="1408"/>
      <c r="BS688" s="1408"/>
      <c r="BT688" s="496"/>
      <c r="BU688" s="496"/>
      <c r="BV688" s="1407"/>
      <c r="BW688" s="496"/>
      <c r="BX688" s="496"/>
      <c r="BY688" s="496"/>
      <c r="BZ688" s="496"/>
      <c r="CA688" s="496"/>
      <c r="CB688" s="496"/>
      <c r="CC688" s="496"/>
      <c r="CD688" s="496">
        <f t="shared" si="229"/>
        <v>0</v>
      </c>
      <c r="CE688" s="496">
        <f t="shared" si="240"/>
        <v>0</v>
      </c>
      <c r="CF688" s="496">
        <f t="shared" si="230"/>
        <v>0</v>
      </c>
      <c r="CG688" s="496">
        <f t="shared" si="231"/>
        <v>0</v>
      </c>
      <c r="CH688" s="1408"/>
      <c r="CI688" s="1408"/>
      <c r="CJ688" s="1408"/>
      <c r="CK688" s="496"/>
      <c r="CL688" s="496"/>
    </row>
    <row r="689" s="293" customFormat="1" customHeight="1" spans="1:111">
      <c r="A689" s="1309">
        <v>46195</v>
      </c>
      <c r="B689" s="1536" t="s">
        <v>538</v>
      </c>
      <c r="C689" s="1537" t="s">
        <v>135</v>
      </c>
      <c r="D689" s="1538">
        <v>4500213137</v>
      </c>
      <c r="E689" s="1539" t="s">
        <v>2886</v>
      </c>
      <c r="F689" s="1540" t="s">
        <v>2887</v>
      </c>
      <c r="G689" s="1541" t="s">
        <v>753</v>
      </c>
      <c r="H689" s="488" t="s">
        <v>390</v>
      </c>
      <c r="I689" s="1542">
        <v>504</v>
      </c>
      <c r="J689" s="1543">
        <v>0</v>
      </c>
      <c r="K689" s="1543">
        <v>12</v>
      </c>
      <c r="L689" s="1544">
        <f t="shared" si="233"/>
        <v>42</v>
      </c>
      <c r="M689" s="1545">
        <v>46246</v>
      </c>
      <c r="N689" s="1416">
        <v>46246</v>
      </c>
      <c r="O689" s="1545"/>
      <c r="P689" s="1313"/>
      <c r="Q689" s="1313"/>
      <c r="R689" s="488"/>
      <c r="S689" s="488"/>
      <c r="T689" s="1313">
        <v>504</v>
      </c>
      <c r="U689" s="500">
        <f t="shared" si="239"/>
        <v>0</v>
      </c>
      <c r="V689" s="488"/>
      <c r="W689" s="1293" t="s">
        <v>747</v>
      </c>
      <c r="X689" s="1294" t="s">
        <v>107</v>
      </c>
      <c r="Y689" s="1294" t="s">
        <v>2852</v>
      </c>
      <c r="Z689" s="544" t="s">
        <v>140</v>
      </c>
      <c r="AA689" s="544"/>
      <c r="AB689" s="544"/>
      <c r="AC689" s="1482" t="s">
        <v>2888</v>
      </c>
      <c r="AD689" s="1546" t="s">
        <v>2610</v>
      </c>
      <c r="AE689" s="1547">
        <v>2.5332</v>
      </c>
      <c r="AF689" s="1548">
        <f>I689*AE689</f>
        <v>1276.7328</v>
      </c>
      <c r="AG689" s="1368"/>
      <c r="AH689" s="488" t="s">
        <v>753</v>
      </c>
      <c r="AI689" s="488" t="s">
        <v>112</v>
      </c>
      <c r="AJ689" s="498" t="s">
        <v>113</v>
      </c>
      <c r="AK689" s="327">
        <f>I689*2</f>
        <v>1008</v>
      </c>
      <c r="AL689" s="327"/>
      <c r="AM689" s="327"/>
      <c r="AN689" s="327"/>
      <c r="AO689" s="327"/>
      <c r="AP689" s="327"/>
      <c r="AQ689" s="1316"/>
      <c r="AR689" s="438">
        <f>I689*2</f>
        <v>1008</v>
      </c>
      <c r="AS689" s="1317"/>
      <c r="AT689" s="1317"/>
      <c r="AU689" s="327"/>
      <c r="AV689" s="1318"/>
      <c r="AW689" s="1318">
        <f>I689*2</f>
        <v>1008</v>
      </c>
      <c r="AX689" s="327"/>
      <c r="AY689" s="327"/>
      <c r="AZ689" s="327"/>
      <c r="BA689" s="327"/>
      <c r="BB689" s="327"/>
      <c r="BC689" s="327"/>
      <c r="BD689" s="327"/>
      <c r="BE689" s="327"/>
      <c r="BF689" s="327"/>
      <c r="BG689" s="327"/>
      <c r="BH689" s="327"/>
      <c r="BI689" s="327"/>
      <c r="BJ689" s="327"/>
      <c r="BK689" s="327"/>
      <c r="BL689" s="327"/>
      <c r="BM689" s="327"/>
      <c r="BN689" s="327"/>
      <c r="BO689" s="1316"/>
      <c r="BP689" s="1316"/>
      <c r="BQ689" s="327"/>
      <c r="BR689" s="1317"/>
      <c r="BS689" s="1317"/>
      <c r="BT689" s="327"/>
      <c r="BU689" s="327"/>
      <c r="BV689" s="1316"/>
      <c r="BW689" s="327"/>
      <c r="BX689" s="327"/>
      <c r="BY689" s="327"/>
      <c r="BZ689" s="327"/>
      <c r="CA689" s="327"/>
      <c r="CB689" s="327"/>
      <c r="CC689" s="327"/>
      <c r="CD689" s="1218">
        <f t="shared" si="229"/>
        <v>0</v>
      </c>
      <c r="CE689" s="1218">
        <f t="shared" si="240"/>
        <v>0</v>
      </c>
      <c r="CF689" s="502">
        <f t="shared" si="230"/>
        <v>0</v>
      </c>
      <c r="CG689" s="1218">
        <f t="shared" si="231"/>
        <v>0</v>
      </c>
      <c r="CH689" s="1317"/>
      <c r="CI689" s="1317"/>
      <c r="CJ689" s="1299">
        <f>I689</f>
        <v>504</v>
      </c>
      <c r="CK689" s="1218">
        <f>I689</f>
        <v>504</v>
      </c>
      <c r="CL689" s="1218">
        <f>I689</f>
        <v>504</v>
      </c>
      <c r="CM689" s="1180"/>
      <c r="CN689" s="1180"/>
      <c r="CO689" s="1180"/>
      <c r="CP689" s="1180"/>
      <c r="CQ689" s="1180"/>
      <c r="CR689" s="1180"/>
      <c r="CS689" s="1180"/>
      <c r="CT689" s="1180"/>
      <c r="CU689" s="1180"/>
      <c r="CV689" s="1180"/>
      <c r="CW689" s="1180"/>
      <c r="CX689" s="1180"/>
      <c r="CY689" s="1180"/>
      <c r="CZ689" s="1180"/>
      <c r="DA689" s="1180"/>
      <c r="DB689" s="1180"/>
      <c r="DC689" s="1180"/>
      <c r="DD689" s="1180"/>
      <c r="DE689" s="1180"/>
      <c r="DF689" s="1180"/>
      <c r="DG689" s="1180"/>
    </row>
    <row r="690" s="1168" customFormat="1" customHeight="1" spans="1:111">
      <c r="A690" s="1245">
        <v>46169</v>
      </c>
      <c r="B690" s="1220" t="s">
        <v>2889</v>
      </c>
      <c r="C690" s="1221" t="s">
        <v>2890</v>
      </c>
      <c r="D690" s="1303">
        <v>4500209354</v>
      </c>
      <c r="E690" s="1221" t="s">
        <v>2891</v>
      </c>
      <c r="F690" s="1222" t="s">
        <v>2892</v>
      </c>
      <c r="G690" s="1223" t="s">
        <v>174</v>
      </c>
      <c r="H690" s="1234" t="s">
        <v>175</v>
      </c>
      <c r="I690" s="1252">
        <v>15028</v>
      </c>
      <c r="J690" s="1221">
        <v>0</v>
      </c>
      <c r="K690" s="1221">
        <v>52</v>
      </c>
      <c r="L690" s="1234">
        <f t="shared" si="233"/>
        <v>289</v>
      </c>
      <c r="M690" s="1225">
        <v>46246</v>
      </c>
      <c r="N690" s="1338">
        <v>46247</v>
      </c>
      <c r="O690" s="1225"/>
      <c r="P690" s="1233"/>
      <c r="Q690" s="1233" t="s">
        <v>1410</v>
      </c>
      <c r="R690" s="1234" t="s">
        <v>2893</v>
      </c>
      <c r="S690" s="1234"/>
      <c r="T690" s="1233">
        <f>13988+1040</f>
        <v>15028</v>
      </c>
      <c r="U690" s="1233">
        <f t="shared" si="239"/>
        <v>0</v>
      </c>
      <c r="V690" s="1234"/>
      <c r="W690" s="1238">
        <v>46183</v>
      </c>
      <c r="X690" s="1257" t="s">
        <v>95</v>
      </c>
      <c r="Y690" s="1257" t="s">
        <v>2894</v>
      </c>
      <c r="Z690" s="1247"/>
      <c r="AA690" s="1247"/>
      <c r="AB690" s="1247"/>
      <c r="AC690" s="1227" t="s">
        <v>2895</v>
      </c>
      <c r="AD690" s="1225" t="s">
        <v>1169</v>
      </c>
      <c r="AE690" s="1332">
        <v>1.0451</v>
      </c>
      <c r="AF690" s="1248">
        <f>I690*AE690</f>
        <v>15705.7628</v>
      </c>
      <c r="AG690" s="1258"/>
      <c r="AH690" s="1234" t="s">
        <v>1027</v>
      </c>
      <c r="AI690" s="1234" t="s">
        <v>112</v>
      </c>
      <c r="AJ690" s="1234" t="s">
        <v>113</v>
      </c>
      <c r="AK690" s="1188">
        <f>I690*2</f>
        <v>30056</v>
      </c>
      <c r="AL690" s="1188"/>
      <c r="AM690" s="1188"/>
      <c r="AN690" s="1188"/>
      <c r="AO690" s="1188"/>
      <c r="AP690" s="1188">
        <f>I690</f>
        <v>15028</v>
      </c>
      <c r="AQ690" s="1240"/>
      <c r="AR690" s="1188"/>
      <c r="AS690" s="1236"/>
      <c r="AT690" s="1236"/>
      <c r="AU690" s="1188">
        <f>I690</f>
        <v>15028</v>
      </c>
      <c r="AV690" s="1250">
        <f>I690*0.06*2</f>
        <v>1803.36</v>
      </c>
      <c r="AW690" s="1250"/>
      <c r="AX690" s="1188"/>
      <c r="AY690" s="1188"/>
      <c r="AZ690" s="1188"/>
      <c r="BA690" s="1188"/>
      <c r="BB690" s="1188"/>
      <c r="BC690" s="1188"/>
      <c r="BD690" s="1188"/>
      <c r="BE690" s="1188"/>
      <c r="BF690" s="1188"/>
      <c r="BG690" s="1188"/>
      <c r="BH690" s="1188"/>
      <c r="BI690" s="1188"/>
      <c r="BJ690" s="1188"/>
      <c r="BK690" s="1188"/>
      <c r="BL690" s="1188">
        <f>I690/13</f>
        <v>1156</v>
      </c>
      <c r="BM690" s="1188"/>
      <c r="BN690" s="1188"/>
      <c r="BO690" s="1240"/>
      <c r="BP690" s="1240"/>
      <c r="BQ690" s="1188"/>
      <c r="BR690" s="1236"/>
      <c r="BS690" s="1236"/>
      <c r="BT690" s="1188"/>
      <c r="BU690" s="1188"/>
      <c r="BV690" s="1240"/>
      <c r="BW690" s="1188"/>
      <c r="BX690" s="1188"/>
      <c r="BY690" s="1188"/>
      <c r="BZ690" s="1188"/>
      <c r="CA690" s="1188"/>
      <c r="CB690" s="1188"/>
      <c r="CC690" s="1188"/>
      <c r="CD690" s="1188">
        <f t="shared" si="229"/>
        <v>0</v>
      </c>
      <c r="CE690" s="1188">
        <f t="shared" si="240"/>
        <v>0</v>
      </c>
      <c r="CF690" s="1188">
        <f t="shared" si="230"/>
        <v>0</v>
      </c>
      <c r="CG690" s="1188">
        <f t="shared" si="231"/>
        <v>0</v>
      </c>
      <c r="CH690" s="1236"/>
      <c r="CI690" s="1236"/>
      <c r="CJ690" s="1236"/>
      <c r="CK690" s="1188"/>
      <c r="CL690" s="1188"/>
    </row>
    <row r="691" s="293" customFormat="1" customHeight="1" spans="1:111">
      <c r="A691" s="1289">
        <v>46163</v>
      </c>
      <c r="B691" s="543" t="s">
        <v>2896</v>
      </c>
      <c r="C691" s="504" t="s">
        <v>1439</v>
      </c>
      <c r="D691" s="1549">
        <v>4500208451</v>
      </c>
      <c r="E691" s="506">
        <v>5510075778</v>
      </c>
      <c r="F691" s="502" t="s">
        <v>2897</v>
      </c>
      <c r="G691" s="505" t="s">
        <v>726</v>
      </c>
      <c r="H691" s="504" t="s">
        <v>483</v>
      </c>
      <c r="I691" s="1290">
        <v>1920</v>
      </c>
      <c r="J691" s="504">
        <v>0</v>
      </c>
      <c r="K691" s="504">
        <v>120</v>
      </c>
      <c r="L691" s="1291">
        <f t="shared" si="233"/>
        <v>16</v>
      </c>
      <c r="M691" s="501">
        <v>46246</v>
      </c>
      <c r="N691" s="1365">
        <v>46262</v>
      </c>
      <c r="O691" s="1550" t="s">
        <v>2898</v>
      </c>
      <c r="P691" s="1313" t="s">
        <v>2899</v>
      </c>
      <c r="Q691" s="506"/>
      <c r="R691" s="504"/>
      <c r="S691" s="504"/>
      <c r="T691" s="506"/>
      <c r="U691" s="500">
        <f t="shared" si="239"/>
        <v>-1920</v>
      </c>
      <c r="V691" s="504"/>
      <c r="W691" s="1324">
        <v>46177</v>
      </c>
      <c r="X691" s="1325" t="s">
        <v>107</v>
      </c>
      <c r="Y691" s="1294" t="s">
        <v>2900</v>
      </c>
      <c r="Z691" s="544" t="s">
        <v>140</v>
      </c>
      <c r="AA691" s="544"/>
      <c r="AB691" s="543"/>
      <c r="AC691" s="1533" t="s">
        <v>2901</v>
      </c>
      <c r="AD691" s="501" t="s">
        <v>730</v>
      </c>
      <c r="AE691" s="502">
        <v>1118</v>
      </c>
      <c r="AF691" s="503">
        <f>L691*AE691</f>
        <v>17888</v>
      </c>
      <c r="AG691" s="1295"/>
      <c r="AH691" s="1454" t="s">
        <v>490</v>
      </c>
      <c r="AI691" s="504" t="s">
        <v>112</v>
      </c>
      <c r="AJ691" s="498" t="s">
        <v>113</v>
      </c>
      <c r="AK691" s="502"/>
      <c r="AL691" s="502">
        <f>I691*3</f>
        <v>5760</v>
      </c>
      <c r="AM691" s="1218"/>
      <c r="AN691" s="502"/>
      <c r="AO691" s="502"/>
      <c r="AP691" s="502"/>
      <c r="AQ691" s="1296"/>
      <c r="AR691" s="438"/>
      <c r="AS691" s="1297"/>
      <c r="AT691" s="1297"/>
      <c r="AU691" s="502"/>
      <c r="AV691" s="1298">
        <f>I691*0.06*2</f>
        <v>230.4</v>
      </c>
      <c r="AW691" s="1551"/>
      <c r="AX691" s="502"/>
      <c r="AY691" s="502"/>
      <c r="AZ691" s="502"/>
      <c r="BA691" s="502"/>
      <c r="BB691" s="502">
        <f>I691*3</f>
        <v>5760</v>
      </c>
      <c r="BC691" s="502">
        <f>I691*3</f>
        <v>5760</v>
      </c>
      <c r="BD691" s="502">
        <f>I691*3</f>
        <v>5760</v>
      </c>
      <c r="BE691" s="502">
        <f>I691</f>
        <v>1920</v>
      </c>
      <c r="BF691" s="502">
        <f>I691/6</f>
        <v>320</v>
      </c>
      <c r="BG691" s="502"/>
      <c r="BH691" s="502"/>
      <c r="BI691" s="502"/>
      <c r="BJ691" s="502"/>
      <c r="BK691" s="502"/>
      <c r="BL691" s="502"/>
      <c r="BM691" s="502"/>
      <c r="BN691" s="502"/>
      <c r="BO691" s="1296"/>
      <c r="BP691" s="1296"/>
      <c r="BQ691" s="1218"/>
      <c r="BR691" s="1297"/>
      <c r="BS691" s="1297"/>
      <c r="BT691" s="502"/>
      <c r="BU691" s="502"/>
      <c r="BV691" s="1296"/>
      <c r="BW691" s="1218"/>
      <c r="BX691" s="1218"/>
      <c r="BY691" s="1218"/>
      <c r="BZ691" s="1218"/>
      <c r="CA691" s="1218"/>
      <c r="CB691" s="1218"/>
      <c r="CC691" s="1218"/>
      <c r="CD691" s="1218">
        <f t="shared" si="229"/>
        <v>0</v>
      </c>
      <c r="CE691" s="1218">
        <f t="shared" si="240"/>
        <v>0</v>
      </c>
      <c r="CF691" s="502">
        <f t="shared" si="230"/>
        <v>0</v>
      </c>
      <c r="CG691" s="1218">
        <f t="shared" si="231"/>
        <v>0</v>
      </c>
      <c r="CH691" s="1299"/>
      <c r="CI691" s="1299"/>
      <c r="CJ691" s="1297"/>
      <c r="CK691" s="502"/>
      <c r="CL691" s="502"/>
    </row>
    <row r="692" s="293" customFormat="1" customHeight="1" spans="1:111">
      <c r="A692" s="1309">
        <v>46237</v>
      </c>
      <c r="B692" s="1552"/>
      <c r="C692" s="1553" t="s">
        <v>597</v>
      </c>
      <c r="D692" s="1554" t="s">
        <v>2902</v>
      </c>
      <c r="E692" s="1553"/>
      <c r="F692" s="1555" t="s">
        <v>2903</v>
      </c>
      <c r="G692" s="1556" t="s">
        <v>702</v>
      </c>
      <c r="H692" s="488" t="s">
        <v>151</v>
      </c>
      <c r="I692" s="1557" t="s">
        <v>2904</v>
      </c>
      <c r="J692" s="1553"/>
      <c r="K692" s="1553"/>
      <c r="L692" s="1544"/>
      <c r="M692" s="1545">
        <v>46246</v>
      </c>
      <c r="N692" s="1545">
        <v>46242</v>
      </c>
      <c r="O692" s="1545"/>
      <c r="P692" s="1313"/>
      <c r="Q692" s="1313"/>
      <c r="R692" s="488"/>
      <c r="S692" s="488"/>
      <c r="T692" s="1313"/>
      <c r="U692" s="500"/>
      <c r="V692" s="488"/>
      <c r="W692" s="1293" t="s">
        <v>94</v>
      </c>
      <c r="X692" s="1294"/>
      <c r="Y692" s="1294"/>
      <c r="Z692" s="544"/>
      <c r="AA692" s="544"/>
      <c r="AB692" s="544"/>
      <c r="AC692" s="1552" t="s">
        <v>2905</v>
      </c>
      <c r="AD692" s="1545" t="s">
        <v>2906</v>
      </c>
      <c r="AE692" s="327"/>
      <c r="AF692" s="1315"/>
      <c r="AG692" s="1295"/>
      <c r="AH692" s="488" t="s">
        <v>705</v>
      </c>
      <c r="AI692" s="488" t="s">
        <v>99</v>
      </c>
      <c r="AJ692" s="488"/>
      <c r="AK692" s="502" t="str">
        <f>I692</f>
        <v>3套Demo</v>
      </c>
      <c r="AL692" s="327"/>
      <c r="AM692" s="327"/>
      <c r="AN692" s="327"/>
      <c r="AO692" s="327"/>
      <c r="AP692" s="327"/>
      <c r="AQ692" s="1316"/>
      <c r="AR692" s="327"/>
      <c r="AS692" s="1317"/>
      <c r="AT692" s="1317"/>
      <c r="AU692" s="327"/>
      <c r="AV692" s="1318"/>
      <c r="AW692" s="1318"/>
      <c r="AX692" s="327"/>
      <c r="AY692" s="327"/>
      <c r="AZ692" s="327"/>
      <c r="BA692" s="327"/>
      <c r="BB692" s="327"/>
      <c r="BC692" s="327"/>
      <c r="BD692" s="327"/>
      <c r="BE692" s="327"/>
      <c r="BF692" s="327"/>
      <c r="BG692" s="327"/>
      <c r="BH692" s="327"/>
      <c r="BI692" s="327"/>
      <c r="BJ692" s="327"/>
      <c r="BK692" s="327"/>
      <c r="BL692" s="327"/>
      <c r="BM692" s="327"/>
      <c r="BN692" s="327"/>
      <c r="BO692" s="1316"/>
      <c r="BP692" s="1316"/>
      <c r="BQ692" s="327"/>
      <c r="BR692" s="1317"/>
      <c r="BS692" s="1317"/>
      <c r="BT692" s="327"/>
      <c r="BU692" s="327"/>
      <c r="BV692" s="1316"/>
      <c r="BW692" s="327"/>
      <c r="BX692" s="1218"/>
      <c r="BY692" s="327"/>
      <c r="BZ692" s="327"/>
      <c r="CA692" s="327"/>
      <c r="CB692" s="327"/>
      <c r="CC692" s="327"/>
      <c r="CD692" s="1218">
        <f t="shared" si="229"/>
        <v>0</v>
      </c>
      <c r="CE692" s="1218">
        <f t="shared" si="240"/>
        <v>0</v>
      </c>
      <c r="CF692" s="502">
        <f t="shared" si="230"/>
        <v>0</v>
      </c>
      <c r="CG692" s="1218">
        <f t="shared" si="231"/>
        <v>0</v>
      </c>
      <c r="CH692" s="1317"/>
      <c r="CI692" s="1317"/>
      <c r="CJ692" s="1317"/>
      <c r="CK692" s="327"/>
      <c r="CL692" s="327"/>
      <c r="CM692" s="1180"/>
      <c r="CN692" s="1180"/>
      <c r="CO692" s="1180"/>
      <c r="CP692" s="1180"/>
      <c r="CQ692" s="1180"/>
      <c r="CR692" s="1180"/>
      <c r="CS692" s="1180"/>
      <c r="CT692" s="1180"/>
      <c r="CU692" s="1180"/>
      <c r="CV692" s="1180"/>
      <c r="CW692" s="1180"/>
      <c r="CX692" s="1180"/>
      <c r="CY692" s="1180"/>
      <c r="CZ692" s="1180"/>
      <c r="DA692" s="1180"/>
      <c r="DB692" s="1180"/>
      <c r="DC692" s="1180"/>
      <c r="DD692" s="1180"/>
      <c r="DE692" s="1180"/>
      <c r="DF692" s="1180"/>
      <c r="DG692" s="1180"/>
    </row>
    <row r="693" s="1177" customFormat="1" customHeight="1" spans="1:111">
      <c r="A693" s="1289">
        <v>46224</v>
      </c>
      <c r="B693" s="1417"/>
      <c r="C693" s="1434"/>
      <c r="D693" s="1434" t="s">
        <v>2907</v>
      </c>
      <c r="E693" s="1434"/>
      <c r="F693" s="1555" t="s">
        <v>2908</v>
      </c>
      <c r="G693" s="1438" t="s">
        <v>91</v>
      </c>
      <c r="H693" s="504"/>
      <c r="I693" s="1439" t="s">
        <v>93</v>
      </c>
      <c r="J693" s="1434"/>
      <c r="K693" s="1434"/>
      <c r="L693" s="1291"/>
      <c r="M693" s="507">
        <v>46247</v>
      </c>
      <c r="N693" s="507">
        <v>46244</v>
      </c>
      <c r="O693" s="507"/>
      <c r="P693" s="1313"/>
      <c r="Q693" s="506"/>
      <c r="R693" s="504"/>
      <c r="S693" s="504"/>
      <c r="T693" s="506"/>
      <c r="U693" s="500" t="e">
        <f t="shared" ref="U693:U756" si="242">T693-I693</f>
        <v>#VALUE!</v>
      </c>
      <c r="V693" s="504"/>
      <c r="W693" s="1293" t="s">
        <v>94</v>
      </c>
      <c r="X693" s="1325" t="s">
        <v>95</v>
      </c>
      <c r="Y693" s="1325" t="s">
        <v>95</v>
      </c>
      <c r="Z693" s="544"/>
      <c r="AA693" s="544"/>
      <c r="AB693" s="543"/>
      <c r="AC693" s="1552" t="s">
        <v>2909</v>
      </c>
      <c r="AD693" s="507" t="s">
        <v>2910</v>
      </c>
      <c r="AE693" s="502"/>
      <c r="AF693" s="503"/>
      <c r="AG693" s="1295"/>
      <c r="AH693" s="488" t="s">
        <v>99</v>
      </c>
      <c r="AI693" s="488" t="s">
        <v>99</v>
      </c>
      <c r="AJ693" s="504"/>
      <c r="AK693" s="502"/>
      <c r="AL693" s="502"/>
      <c r="AM693" s="1218"/>
      <c r="AN693" s="502"/>
      <c r="AO693" s="502"/>
      <c r="AP693" s="502"/>
      <c r="AQ693" s="1296"/>
      <c r="AR693" s="438"/>
      <c r="AS693" s="1297"/>
      <c r="AT693" s="1297"/>
      <c r="AU693" s="502"/>
      <c r="AV693" s="1298"/>
      <c r="AW693" s="1298"/>
      <c r="AX693" s="502"/>
      <c r="AY693" s="502"/>
      <c r="AZ693" s="502"/>
      <c r="BA693" s="502"/>
      <c r="BB693" s="502"/>
      <c r="BC693" s="502"/>
      <c r="BD693" s="502"/>
      <c r="BE693" s="502"/>
      <c r="BF693" s="502"/>
      <c r="BG693" s="502"/>
      <c r="BH693" s="502"/>
      <c r="BI693" s="502"/>
      <c r="BJ693" s="502"/>
      <c r="BK693" s="502"/>
      <c r="BL693" s="502"/>
      <c r="BM693" s="502"/>
      <c r="BN693" s="502"/>
      <c r="BO693" s="1296"/>
      <c r="BP693" s="1296"/>
      <c r="BQ693" s="1218"/>
      <c r="BR693" s="1297"/>
      <c r="BS693" s="1297"/>
      <c r="BT693" s="502"/>
      <c r="BU693" s="502"/>
      <c r="BV693" s="1296"/>
      <c r="BW693" s="1218"/>
      <c r="BX693" s="1218"/>
      <c r="BY693" s="1218"/>
      <c r="BZ693" s="1218"/>
      <c r="CA693" s="1218"/>
      <c r="CB693" s="1218"/>
      <c r="CC693" s="1218"/>
      <c r="CD693" s="1218">
        <f t="shared" ref="CD693:CD756" si="243">BN693+BO693+BQ693+BS693+BR693</f>
        <v>0</v>
      </c>
      <c r="CE693" s="1218">
        <f t="shared" ref="CE693:CE756" si="244">BU693</f>
        <v>0</v>
      </c>
      <c r="CF693" s="502">
        <f t="shared" ref="CF693:CF756" si="245">CC693</f>
        <v>0</v>
      </c>
      <c r="CG693" s="1218">
        <f t="shared" ref="CG693:CG748" si="246">BV693+BW693+BX693</f>
        <v>0</v>
      </c>
      <c r="CH693" s="1299"/>
      <c r="CI693" s="1299"/>
      <c r="CJ693" s="1297"/>
      <c r="CK693" s="502"/>
      <c r="CL693" s="502"/>
      <c r="CM693" s="293"/>
      <c r="CN693" s="293"/>
      <c r="CO693" s="293"/>
      <c r="CP693" s="293"/>
      <c r="CQ693" s="293"/>
      <c r="CR693" s="293"/>
      <c r="CS693" s="293"/>
      <c r="CT693" s="293"/>
      <c r="CU693" s="293"/>
      <c r="CV693" s="293"/>
      <c r="CW693" s="293"/>
      <c r="CX693" s="293"/>
      <c r="CY693" s="293"/>
      <c r="CZ693" s="293"/>
      <c r="DA693" s="293"/>
      <c r="DB693" s="293"/>
      <c r="DC693" s="293"/>
      <c r="DD693" s="293"/>
      <c r="DE693" s="293"/>
      <c r="DF693" s="293"/>
      <c r="DG693" s="293"/>
    </row>
    <row r="694" s="293" customFormat="1" customHeight="1" spans="1:111">
      <c r="A694" s="1289">
        <v>46177</v>
      </c>
      <c r="B694" s="1417" t="s">
        <v>378</v>
      </c>
      <c r="C694" s="1434" t="s">
        <v>201</v>
      </c>
      <c r="D694" s="1435">
        <v>4500210722</v>
      </c>
      <c r="E694" s="1558">
        <v>2551020509</v>
      </c>
      <c r="F694" s="1437" t="s">
        <v>2911</v>
      </c>
      <c r="G694" s="1438" t="s">
        <v>380</v>
      </c>
      <c r="H694" s="504" t="s">
        <v>381</v>
      </c>
      <c r="I694" s="1439">
        <v>9056</v>
      </c>
      <c r="J694" s="1434">
        <v>0</v>
      </c>
      <c r="K694" s="1434">
        <v>16</v>
      </c>
      <c r="L694" s="1291">
        <f t="shared" ref="L694:L734" si="247">I694/K694</f>
        <v>566</v>
      </c>
      <c r="M694" s="507">
        <v>46247</v>
      </c>
      <c r="N694" s="507">
        <v>46244</v>
      </c>
      <c r="O694" s="507"/>
      <c r="P694" s="1559" t="s">
        <v>2912</v>
      </c>
      <c r="Q694" s="506"/>
      <c r="R694" s="488" t="s">
        <v>2913</v>
      </c>
      <c r="S694" s="504"/>
      <c r="T694" s="506">
        <v>9008</v>
      </c>
      <c r="U694" s="500">
        <f t="shared" si="242"/>
        <v>-48</v>
      </c>
      <c r="V694" s="504"/>
      <c r="W694" s="1293">
        <v>46209</v>
      </c>
      <c r="X694" s="1294" t="s">
        <v>95</v>
      </c>
      <c r="Y694" s="1294" t="s">
        <v>2251</v>
      </c>
      <c r="Z694" s="544"/>
      <c r="AA694" s="544"/>
      <c r="AB694" s="543"/>
      <c r="AC694" s="1560" t="s">
        <v>2914</v>
      </c>
      <c r="AD694" s="507" t="s">
        <v>384</v>
      </c>
      <c r="AE694" s="502">
        <v>1.3</v>
      </c>
      <c r="AF694" s="503">
        <f>AE694*I694</f>
        <v>11772.8</v>
      </c>
      <c r="AG694" s="1295"/>
      <c r="AH694" s="1561" t="s">
        <v>385</v>
      </c>
      <c r="AI694" s="488" t="s">
        <v>112</v>
      </c>
      <c r="AJ694" s="498" t="s">
        <v>113</v>
      </c>
      <c r="AK694" s="502">
        <f>I694</f>
        <v>9056</v>
      </c>
      <c r="AL694" s="502"/>
      <c r="AM694" s="1218"/>
      <c r="AN694" s="502"/>
      <c r="AO694" s="502"/>
      <c r="AP694" s="502">
        <f>I694</f>
        <v>9056</v>
      </c>
      <c r="AQ694" s="1296"/>
      <c r="AR694" s="438"/>
      <c r="AS694" s="1297"/>
      <c r="AT694" s="1297"/>
      <c r="AU694" s="502">
        <f>I694</f>
        <v>9056</v>
      </c>
      <c r="AV694" s="1298"/>
      <c r="AW694" s="1298"/>
      <c r="AX694" s="502"/>
      <c r="AY694" s="502"/>
      <c r="AZ694" s="502"/>
      <c r="BA694" s="502"/>
      <c r="BB694" s="502"/>
      <c r="BC694" s="502"/>
      <c r="BD694" s="502"/>
      <c r="BE694" s="502"/>
      <c r="BF694" s="502"/>
      <c r="BG694" s="502"/>
      <c r="BH694" s="502"/>
      <c r="BI694" s="502"/>
      <c r="BJ694" s="502"/>
      <c r="BK694" s="502"/>
      <c r="BL694" s="502"/>
      <c r="BM694" s="502"/>
      <c r="BN694" s="502"/>
      <c r="BO694" s="1296"/>
      <c r="BP694" s="1296"/>
      <c r="BQ694" s="1218"/>
      <c r="BR694" s="1297"/>
      <c r="BS694" s="327">
        <f>I694/16</f>
        <v>566</v>
      </c>
      <c r="BT694" s="502"/>
      <c r="BU694" s="502"/>
      <c r="BV694" s="1296"/>
      <c r="BW694" s="1218"/>
      <c r="BX694" s="1218"/>
      <c r="BY694" s="1218"/>
      <c r="BZ694" s="1218"/>
      <c r="CA694" s="1218"/>
      <c r="CB694" s="1218"/>
      <c r="CC694" s="1218"/>
      <c r="CD694" s="1218">
        <f t="shared" si="243"/>
        <v>566</v>
      </c>
      <c r="CE694" s="1218">
        <f t="shared" si="244"/>
        <v>0</v>
      </c>
      <c r="CF694" s="502">
        <f t="shared" si="245"/>
        <v>0</v>
      </c>
      <c r="CG694" s="1218">
        <f t="shared" si="246"/>
        <v>0</v>
      </c>
      <c r="CH694" s="1299"/>
      <c r="CI694" s="1299"/>
      <c r="CJ694" s="1297"/>
      <c r="CK694" s="502"/>
      <c r="CL694" s="502"/>
    </row>
    <row r="695" s="293" customFormat="1" customHeight="1" spans="1:111">
      <c r="A695" s="1289">
        <v>46162</v>
      </c>
      <c r="B695" s="543" t="s">
        <v>386</v>
      </c>
      <c r="C695" s="504" t="s">
        <v>115</v>
      </c>
      <c r="D695" s="1305">
        <v>4500207323</v>
      </c>
      <c r="E695" s="504" t="s">
        <v>2915</v>
      </c>
      <c r="F695" s="502" t="s">
        <v>2916</v>
      </c>
      <c r="G695" s="505" t="s">
        <v>389</v>
      </c>
      <c r="H695" s="504" t="s">
        <v>390</v>
      </c>
      <c r="I695" s="1290">
        <v>1368</v>
      </c>
      <c r="J695" s="504">
        <v>0</v>
      </c>
      <c r="K695" s="504">
        <v>12</v>
      </c>
      <c r="L695" s="1291">
        <f t="shared" si="247"/>
        <v>114</v>
      </c>
      <c r="M695" s="501">
        <v>46247</v>
      </c>
      <c r="N695" s="1323">
        <v>46247</v>
      </c>
      <c r="O695" s="501"/>
      <c r="P695" s="506"/>
      <c r="Q695" s="506"/>
      <c r="R695" s="504"/>
      <c r="S695" s="504"/>
      <c r="T695" s="506"/>
      <c r="U695" s="500">
        <f t="shared" si="242"/>
        <v>-1368</v>
      </c>
      <c r="V695" s="504"/>
      <c r="W695" s="1324">
        <v>46162</v>
      </c>
      <c r="X695" s="1325" t="s">
        <v>107</v>
      </c>
      <c r="Y695" s="1301" t="s">
        <v>2917</v>
      </c>
      <c r="Z695" s="543"/>
      <c r="AA695" s="543"/>
      <c r="AB695" s="543"/>
      <c r="AC695" s="1443" t="s">
        <v>2918</v>
      </c>
      <c r="AD695" s="501" t="s">
        <v>393</v>
      </c>
      <c r="AE695" s="502">
        <v>1.374</v>
      </c>
      <c r="AF695" s="503">
        <f>I695*AE695</f>
        <v>1879.632</v>
      </c>
      <c r="AG695" s="1295"/>
      <c r="AH695" s="504" t="s">
        <v>389</v>
      </c>
      <c r="AI695" s="504" t="s">
        <v>112</v>
      </c>
      <c r="AJ695" s="498" t="s">
        <v>113</v>
      </c>
      <c r="AK695" s="327">
        <f>I695*2</f>
        <v>2736</v>
      </c>
      <c r="AL695" s="502"/>
      <c r="AM695" s="502"/>
      <c r="AN695" s="502"/>
      <c r="AO695" s="502"/>
      <c r="AP695" s="502"/>
      <c r="AQ695" s="1296">
        <f>I695*2</f>
        <v>2736</v>
      </c>
      <c r="AR695" s="438"/>
      <c r="AS695" s="1299"/>
      <c r="AT695" s="1299"/>
      <c r="AU695" s="1218">
        <f>I695*2</f>
        <v>2736</v>
      </c>
      <c r="AV695" s="1298">
        <f>I695*0.06*2</f>
        <v>164.16</v>
      </c>
      <c r="AW695" s="1298"/>
      <c r="AX695" s="502"/>
      <c r="AY695" s="502"/>
      <c r="AZ695" s="502"/>
      <c r="BA695" s="502"/>
      <c r="BB695" s="502"/>
      <c r="BC695" s="502"/>
      <c r="BD695" s="502"/>
      <c r="BE695" s="502"/>
      <c r="BF695" s="502"/>
      <c r="BG695" s="502"/>
      <c r="BH695" s="502"/>
      <c r="BI695" s="502"/>
      <c r="BJ695" s="502"/>
      <c r="BK695" s="502"/>
      <c r="BL695" s="502"/>
      <c r="BM695" s="502"/>
      <c r="BN695" s="502"/>
      <c r="BO695" s="1296"/>
      <c r="BP695" s="1296"/>
      <c r="BQ695" s="502"/>
      <c r="BR695" s="1297"/>
      <c r="BS695" s="1297"/>
      <c r="BT695" s="502"/>
      <c r="BU695" s="502"/>
      <c r="BV695" s="1296"/>
      <c r="BW695" s="502"/>
      <c r="BX695" s="502"/>
      <c r="BY695" s="502"/>
      <c r="BZ695" s="502"/>
      <c r="CA695" s="502"/>
      <c r="CB695" s="502"/>
      <c r="CC695" s="502"/>
      <c r="CD695" s="1218">
        <f t="shared" si="243"/>
        <v>0</v>
      </c>
      <c r="CE695" s="1218">
        <f t="shared" si="244"/>
        <v>0</v>
      </c>
      <c r="CF695" s="502">
        <f t="shared" si="245"/>
        <v>0</v>
      </c>
      <c r="CG695" s="1218">
        <f t="shared" si="246"/>
        <v>0</v>
      </c>
      <c r="CH695" s="1299"/>
      <c r="CI695" s="1299"/>
      <c r="CJ695" s="1299">
        <f>I695</f>
        <v>1368</v>
      </c>
      <c r="CK695" s="1218">
        <f>I695</f>
        <v>1368</v>
      </c>
      <c r="CL695" s="1218">
        <f>I695</f>
        <v>1368</v>
      </c>
      <c r="CM695" s="294"/>
      <c r="CN695" s="294"/>
      <c r="CO695" s="294"/>
      <c r="CP695" s="294"/>
      <c r="CQ695" s="294"/>
      <c r="CR695" s="294"/>
      <c r="CS695" s="294"/>
      <c r="CT695" s="294"/>
      <c r="CU695" s="294"/>
      <c r="CV695" s="294"/>
      <c r="CW695" s="294"/>
      <c r="CX695" s="294"/>
      <c r="CY695" s="294"/>
      <c r="CZ695" s="294"/>
      <c r="DA695" s="294"/>
      <c r="DB695" s="294"/>
      <c r="DC695" s="294"/>
      <c r="DD695" s="294"/>
      <c r="DE695" s="294"/>
      <c r="DF695" s="294"/>
      <c r="DG695" s="294"/>
    </row>
    <row r="696" s="1168" customFormat="1" customHeight="1" spans="1:111">
      <c r="A696" s="1219">
        <v>46205</v>
      </c>
      <c r="B696" s="1220" t="s">
        <v>114</v>
      </c>
      <c r="C696" s="1221" t="s">
        <v>115</v>
      </c>
      <c r="D696" s="1303">
        <v>4500214710</v>
      </c>
      <c r="E696" s="1221" t="s">
        <v>2919</v>
      </c>
      <c r="F696" s="1222" t="s">
        <v>2920</v>
      </c>
      <c r="G696" s="1223" t="s">
        <v>118</v>
      </c>
      <c r="H696" s="1221" t="s">
        <v>104</v>
      </c>
      <c r="I696" s="1252">
        <v>16775</v>
      </c>
      <c r="J696" s="1221">
        <v>0</v>
      </c>
      <c r="K696" s="1221">
        <v>25</v>
      </c>
      <c r="L696" s="1224">
        <f t="shared" si="247"/>
        <v>671</v>
      </c>
      <c r="M696" s="1225">
        <v>46247</v>
      </c>
      <c r="N696" s="1225">
        <v>46244</v>
      </c>
      <c r="O696" s="1225"/>
      <c r="P696" s="1226" t="s">
        <v>2921</v>
      </c>
      <c r="Q696" s="1233" t="s">
        <v>1410</v>
      </c>
      <c r="R696" s="1221"/>
      <c r="S696" s="1221"/>
      <c r="T696" s="1226">
        <v>16775</v>
      </c>
      <c r="U696" s="1233">
        <f t="shared" si="242"/>
        <v>0</v>
      </c>
      <c r="V696" s="1221"/>
      <c r="W696" s="1238" t="s">
        <v>2922</v>
      </c>
      <c r="X696" s="1257" t="s">
        <v>107</v>
      </c>
      <c r="Y696" s="1227" t="s">
        <v>2923</v>
      </c>
      <c r="Z696" s="1247"/>
      <c r="AA696" s="1220"/>
      <c r="AB696" s="1220"/>
      <c r="AC696" s="1247" t="s">
        <v>2660</v>
      </c>
      <c r="AD696" s="1225" t="s">
        <v>123</v>
      </c>
      <c r="AE696" s="1222">
        <v>0.6478</v>
      </c>
      <c r="AF696" s="1229">
        <f>AE696*I696</f>
        <v>10866.845</v>
      </c>
      <c r="AG696" s="1230"/>
      <c r="AH696" s="1221" t="s">
        <v>118</v>
      </c>
      <c r="AI696" s="1221" t="s">
        <v>112</v>
      </c>
      <c r="AJ696" s="1234" t="s">
        <v>113</v>
      </c>
      <c r="AK696" s="1222"/>
      <c r="AL696" s="1222"/>
      <c r="AM696" s="1222">
        <f>I696</f>
        <v>16775</v>
      </c>
      <c r="AN696" s="1222"/>
      <c r="AO696" s="1222"/>
      <c r="AP696" s="1222"/>
      <c r="AQ696" s="1242"/>
      <c r="AR696" s="1222"/>
      <c r="AS696" s="1232"/>
      <c r="AT696" s="1236">
        <f>I696</f>
        <v>16775</v>
      </c>
      <c r="AU696" s="1188">
        <f>I696</f>
        <v>16775</v>
      </c>
      <c r="AV696" s="1250">
        <f>I696*0.06</f>
        <v>1006.5</v>
      </c>
      <c r="AW696" s="1250"/>
      <c r="AX696" s="1222"/>
      <c r="AY696" s="1222"/>
      <c r="AZ696" s="1222"/>
      <c r="BA696" s="1222"/>
      <c r="BB696" s="1222"/>
      <c r="BC696" s="1222"/>
      <c r="BD696" s="1222"/>
      <c r="BE696" s="1222"/>
      <c r="BF696" s="1222"/>
      <c r="BG696" s="1222"/>
      <c r="BH696" s="1222"/>
      <c r="BI696" s="1222"/>
      <c r="BJ696" s="1222"/>
      <c r="BK696" s="1222"/>
      <c r="BL696" s="1222"/>
      <c r="BM696" s="1222"/>
      <c r="BN696" s="1222"/>
      <c r="BO696" s="1242"/>
      <c r="BP696" s="1242"/>
      <c r="BQ696" s="1222"/>
      <c r="BR696" s="1232"/>
      <c r="BS696" s="1232"/>
      <c r="BT696" s="1222"/>
      <c r="BU696" s="1222">
        <f>I696/25</f>
        <v>671</v>
      </c>
      <c r="BV696" s="1242"/>
      <c r="BW696" s="1222"/>
      <c r="BX696" s="1222"/>
      <c r="BY696" s="1222"/>
      <c r="BZ696" s="1222"/>
      <c r="CA696" s="1222"/>
      <c r="CB696" s="1222"/>
      <c r="CC696" s="1222"/>
      <c r="CD696" s="1222">
        <f t="shared" si="243"/>
        <v>0</v>
      </c>
      <c r="CE696" s="1222">
        <f t="shared" si="244"/>
        <v>671</v>
      </c>
      <c r="CF696" s="1222">
        <f t="shared" si="245"/>
        <v>0</v>
      </c>
      <c r="CG696" s="1222">
        <f t="shared" si="246"/>
        <v>0</v>
      </c>
      <c r="CH696" s="1232"/>
      <c r="CI696" s="1232"/>
      <c r="CJ696" s="1232"/>
      <c r="CK696" s="1222"/>
      <c r="CL696" s="1222"/>
    </row>
    <row r="697" s="1178" customFormat="1" customHeight="1" spans="1:111">
      <c r="A697" s="1562">
        <v>46217</v>
      </c>
      <c r="B697" s="1563" t="s">
        <v>134</v>
      </c>
      <c r="C697" s="1564" t="s">
        <v>135</v>
      </c>
      <c r="D697" s="1565">
        <v>4500216477</v>
      </c>
      <c r="E697" s="1566">
        <v>4400583620</v>
      </c>
      <c r="F697" s="1567" t="s">
        <v>2924</v>
      </c>
      <c r="G697" s="1568" t="s">
        <v>270</v>
      </c>
      <c r="H697" s="1569" t="s">
        <v>104</v>
      </c>
      <c r="I697" s="1570">
        <v>20000</v>
      </c>
      <c r="J697" s="1564">
        <v>0</v>
      </c>
      <c r="K697" s="1564">
        <v>25</v>
      </c>
      <c r="L697" s="1571">
        <f t="shared" si="247"/>
        <v>800</v>
      </c>
      <c r="M697" s="1572">
        <v>46247</v>
      </c>
      <c r="N697" s="1573">
        <v>46245</v>
      </c>
      <c r="O697" s="1572"/>
      <c r="P697" s="1574" t="s">
        <v>2833</v>
      </c>
      <c r="Q697" s="1574" t="s">
        <v>1410</v>
      </c>
      <c r="R697" s="1569" t="s">
        <v>1368</v>
      </c>
      <c r="S697" s="1569"/>
      <c r="T697" s="1574"/>
      <c r="U697" s="1574">
        <f t="shared" si="242"/>
        <v>-20000</v>
      </c>
      <c r="V697" s="1569"/>
      <c r="W697" s="1575">
        <v>46183</v>
      </c>
      <c r="X697" s="1576" t="s">
        <v>95</v>
      </c>
      <c r="Y697" s="1576" t="s">
        <v>1794</v>
      </c>
      <c r="Z697" s="1577" t="s">
        <v>140</v>
      </c>
      <c r="AA697" s="1577"/>
      <c r="AB697" s="1577" t="s">
        <v>2870</v>
      </c>
      <c r="AC697" s="1563" t="s">
        <v>2834</v>
      </c>
      <c r="AD697" s="1572" t="s">
        <v>142</v>
      </c>
      <c r="AE697" s="1578">
        <v>1.0856</v>
      </c>
      <c r="AF697" s="1579">
        <f>I697*AE697</f>
        <v>21712</v>
      </c>
      <c r="AG697" s="1295"/>
      <c r="AH697" s="1569" t="s">
        <v>270</v>
      </c>
      <c r="AI697" s="1569" t="s">
        <v>112</v>
      </c>
      <c r="AJ697" s="1569" t="s">
        <v>113</v>
      </c>
      <c r="AK697" s="1578">
        <f>I697</f>
        <v>20000</v>
      </c>
      <c r="AL697" s="1578"/>
      <c r="AM697" s="1578"/>
      <c r="AN697" s="1578"/>
      <c r="AO697" s="1578"/>
      <c r="AP697" s="1578"/>
      <c r="AQ697" s="1580"/>
      <c r="AR697" s="1578"/>
      <c r="AS697" s="1581"/>
      <c r="AT697" s="1581"/>
      <c r="AU697" s="1578"/>
      <c r="AV697" s="1582">
        <f>I697*0.06</f>
        <v>1200</v>
      </c>
      <c r="AW697" s="1582"/>
      <c r="AX697" s="1578"/>
      <c r="AY697" s="1578"/>
      <c r="AZ697" s="1578"/>
      <c r="BA697" s="1578"/>
      <c r="BB697" s="1578"/>
      <c r="BC697" s="1578"/>
      <c r="BD697" s="1578"/>
      <c r="BE697" s="1578"/>
      <c r="BF697" s="1578"/>
      <c r="BG697" s="1578">
        <f>I697</f>
        <v>20000</v>
      </c>
      <c r="BH697" s="1578">
        <f>I697</f>
        <v>20000</v>
      </c>
      <c r="BI697" s="1578"/>
      <c r="BJ697" s="1578"/>
      <c r="BK697" s="1578"/>
      <c r="BL697" s="1578"/>
      <c r="BM697" s="1578"/>
      <c r="BN697" s="1578"/>
      <c r="BO697" s="1583">
        <f>I697/25</f>
        <v>800</v>
      </c>
      <c r="BP697" s="1580"/>
      <c r="BQ697" s="1578"/>
      <c r="BR697" s="1581"/>
      <c r="BS697" s="1581"/>
      <c r="BT697" s="1578"/>
      <c r="BU697" s="1578"/>
      <c r="BV697" s="1580"/>
      <c r="BW697" s="1578"/>
      <c r="BX697" s="1578"/>
      <c r="BY697" s="1578"/>
      <c r="BZ697" s="1578"/>
      <c r="CA697" s="1578"/>
      <c r="CB697" s="1578"/>
      <c r="CC697" s="1578"/>
      <c r="CD697" s="1578">
        <f t="shared" si="243"/>
        <v>800</v>
      </c>
      <c r="CE697" s="1578">
        <f t="shared" si="244"/>
        <v>0</v>
      </c>
      <c r="CF697" s="1578">
        <f t="shared" si="245"/>
        <v>0</v>
      </c>
      <c r="CG697" s="1578">
        <f t="shared" si="246"/>
        <v>0</v>
      </c>
      <c r="CH697" s="1581"/>
      <c r="CI697" s="1581"/>
      <c r="CJ697" s="1581"/>
      <c r="CK697" s="1578"/>
      <c r="CL697" s="1578"/>
    </row>
    <row r="698" s="1168" customFormat="1" customHeight="1" spans="1:111">
      <c r="A698" s="1245">
        <v>46157</v>
      </c>
      <c r="B698" s="1269" t="s">
        <v>2373</v>
      </c>
      <c r="C698" s="1287" t="s">
        <v>101</v>
      </c>
      <c r="D698" s="1270">
        <v>4500207492</v>
      </c>
      <c r="E698" s="1269">
        <v>21667410</v>
      </c>
      <c r="F698" s="1270" t="s">
        <v>2925</v>
      </c>
      <c r="G698" s="1272" t="s">
        <v>2724</v>
      </c>
      <c r="H698" s="1247" t="s">
        <v>804</v>
      </c>
      <c r="I698" s="1273">
        <v>186</v>
      </c>
      <c r="J698" s="1274">
        <v>0</v>
      </c>
      <c r="K698" s="1274">
        <v>6</v>
      </c>
      <c r="L698" s="1246">
        <f t="shared" si="247"/>
        <v>31</v>
      </c>
      <c r="M698" s="1320">
        <v>46247</v>
      </c>
      <c r="N698" s="1320">
        <f>M698-2</f>
        <v>46245</v>
      </c>
      <c r="O698" s="1255"/>
      <c r="P698" s="1233"/>
      <c r="Q698" s="1233" t="s">
        <v>1410</v>
      </c>
      <c r="R698" s="1234"/>
      <c r="S698" s="1234"/>
      <c r="T698" s="1233"/>
      <c r="U698" s="1233">
        <f t="shared" si="242"/>
        <v>-186</v>
      </c>
      <c r="V698" s="1234"/>
      <c r="W698" s="1256" t="s">
        <v>2658</v>
      </c>
      <c r="X698" s="1227" t="s">
        <v>107</v>
      </c>
      <c r="Y698" s="1257" t="s">
        <v>2843</v>
      </c>
      <c r="Z698" s="1247" t="s">
        <v>360</v>
      </c>
      <c r="AA698" s="1247"/>
      <c r="AB698" s="1247" t="s">
        <v>2376</v>
      </c>
      <c r="AC698" s="1394" t="s">
        <v>2926</v>
      </c>
      <c r="AD698" s="1275" t="s">
        <v>2378</v>
      </c>
      <c r="AE698" s="1276">
        <v>8.5</v>
      </c>
      <c r="AF698" s="1248">
        <f>AE698*I698</f>
        <v>1581</v>
      </c>
      <c r="AG698" s="1258"/>
      <c r="AH698" s="1234" t="s">
        <v>2727</v>
      </c>
      <c r="AI698" s="1234" t="s">
        <v>112</v>
      </c>
      <c r="AJ698" s="1234" t="s">
        <v>113</v>
      </c>
      <c r="AK698" s="1188">
        <f t="shared" ref="AK698:AK704" si="248">I698*2</f>
        <v>372</v>
      </c>
      <c r="AL698" s="1188"/>
      <c r="AM698" s="1188"/>
      <c r="AN698" s="1188">
        <f>I698*2</f>
        <v>372</v>
      </c>
      <c r="AO698" s="1188"/>
      <c r="AP698" s="1188"/>
      <c r="AQ698" s="1240"/>
      <c r="AR698" s="1188"/>
      <c r="AS698" s="1236"/>
      <c r="AT698" s="1236"/>
      <c r="AU698" s="1188"/>
      <c r="AV698" s="1250">
        <f>I698*0.06*2</f>
        <v>22.32</v>
      </c>
      <c r="AW698" s="1250"/>
      <c r="AX698" s="1188">
        <f>I698*2</f>
        <v>372</v>
      </c>
      <c r="AY698" s="1188"/>
      <c r="AZ698" s="1188"/>
      <c r="BA698" s="1188"/>
      <c r="BB698" s="1188"/>
      <c r="BC698" s="1188"/>
      <c r="BD698" s="1188"/>
      <c r="BE698" s="1188"/>
      <c r="BF698" s="1188"/>
      <c r="BG698" s="1188"/>
      <c r="BH698" s="1188"/>
      <c r="BI698" s="1188"/>
      <c r="BJ698" s="1188"/>
      <c r="BK698" s="1188"/>
      <c r="BL698" s="1188"/>
      <c r="BM698" s="1188"/>
      <c r="BN698" s="1188"/>
      <c r="BO698" s="1240"/>
      <c r="BP698" s="1240"/>
      <c r="BQ698" s="1188"/>
      <c r="BR698" s="1236"/>
      <c r="BS698" s="1236"/>
      <c r="BT698" s="1188"/>
      <c r="BU698" s="1188"/>
      <c r="BV698" s="1240"/>
      <c r="BW698" s="1188"/>
      <c r="BX698" s="1188"/>
      <c r="BY698" s="1188"/>
      <c r="BZ698" s="1188"/>
      <c r="CA698" s="1188"/>
      <c r="CB698" s="1188"/>
      <c r="CC698" s="1188"/>
      <c r="CD698" s="1188">
        <f t="shared" si="243"/>
        <v>0</v>
      </c>
      <c r="CE698" s="1188">
        <f t="shared" si="244"/>
        <v>0</v>
      </c>
      <c r="CF698" s="1188">
        <f t="shared" si="245"/>
        <v>0</v>
      </c>
      <c r="CG698" s="1188">
        <f t="shared" si="246"/>
        <v>0</v>
      </c>
      <c r="CH698" s="1236"/>
      <c r="CI698" s="1236"/>
      <c r="CJ698" s="1236"/>
      <c r="CK698" s="1188"/>
      <c r="CL698" s="1188"/>
    </row>
    <row r="699" s="1168" customFormat="1" customHeight="1" spans="1:111">
      <c r="A699" s="1245">
        <v>46157</v>
      </c>
      <c r="B699" s="1269" t="s">
        <v>2373</v>
      </c>
      <c r="C699" s="1287" t="s">
        <v>101</v>
      </c>
      <c r="D699" s="1270">
        <v>4500207492</v>
      </c>
      <c r="E699" s="1269">
        <v>21667409</v>
      </c>
      <c r="F699" s="1270" t="s">
        <v>2927</v>
      </c>
      <c r="G699" s="1272" t="s">
        <v>2724</v>
      </c>
      <c r="H699" s="1247" t="s">
        <v>804</v>
      </c>
      <c r="I699" s="1273">
        <v>114</v>
      </c>
      <c r="J699" s="1274">
        <v>0</v>
      </c>
      <c r="K699" s="1274">
        <v>6</v>
      </c>
      <c r="L699" s="1246">
        <f t="shared" si="247"/>
        <v>19</v>
      </c>
      <c r="M699" s="1320">
        <v>46247</v>
      </c>
      <c r="N699" s="1320">
        <f>M699-2</f>
        <v>46245</v>
      </c>
      <c r="O699" s="1255"/>
      <c r="P699" s="1233"/>
      <c r="Q699" s="1233" t="s">
        <v>1410</v>
      </c>
      <c r="R699" s="1234"/>
      <c r="S699" s="1234"/>
      <c r="T699" s="1233"/>
      <c r="U699" s="1233">
        <f t="shared" si="242"/>
        <v>-114</v>
      </c>
      <c r="V699" s="1234"/>
      <c r="W699" s="1256" t="s">
        <v>2658</v>
      </c>
      <c r="X699" s="1227" t="s">
        <v>107</v>
      </c>
      <c r="Y699" s="1257" t="s">
        <v>2843</v>
      </c>
      <c r="Z699" s="1247" t="s">
        <v>360</v>
      </c>
      <c r="AA699" s="1247"/>
      <c r="AB699" s="1247" t="s">
        <v>2376</v>
      </c>
      <c r="AC699" s="1394" t="s">
        <v>2926</v>
      </c>
      <c r="AD699" s="1275" t="s">
        <v>2378</v>
      </c>
      <c r="AE699" s="1276">
        <v>8.5</v>
      </c>
      <c r="AF699" s="1248">
        <f>AE699*I699</f>
        <v>969</v>
      </c>
      <c r="AG699" s="1258"/>
      <c r="AH699" s="1234" t="s">
        <v>2727</v>
      </c>
      <c r="AI699" s="1234" t="s">
        <v>112</v>
      </c>
      <c r="AJ699" s="1234" t="s">
        <v>113</v>
      </c>
      <c r="AK699" s="1188">
        <f t="shared" si="248"/>
        <v>228</v>
      </c>
      <c r="AL699" s="1188"/>
      <c r="AM699" s="1188"/>
      <c r="AN699" s="1188">
        <f>I699*2</f>
        <v>228</v>
      </c>
      <c r="AO699" s="1188"/>
      <c r="AP699" s="1188"/>
      <c r="AQ699" s="1240"/>
      <c r="AR699" s="1188"/>
      <c r="AS699" s="1236"/>
      <c r="AT699" s="1236"/>
      <c r="AU699" s="1188"/>
      <c r="AV699" s="1250">
        <f>I699*0.06*2</f>
        <v>13.68</v>
      </c>
      <c r="AW699" s="1250"/>
      <c r="AX699" s="1188">
        <f>I699*2</f>
        <v>228</v>
      </c>
      <c r="AY699" s="1188"/>
      <c r="AZ699" s="1188"/>
      <c r="BA699" s="1188"/>
      <c r="BB699" s="1188"/>
      <c r="BC699" s="1188"/>
      <c r="BD699" s="1188"/>
      <c r="BE699" s="1188"/>
      <c r="BF699" s="1188"/>
      <c r="BG699" s="1188"/>
      <c r="BH699" s="1188"/>
      <c r="BI699" s="1188"/>
      <c r="BJ699" s="1188"/>
      <c r="BK699" s="1188"/>
      <c r="BL699" s="1188"/>
      <c r="BM699" s="1188"/>
      <c r="BN699" s="1188"/>
      <c r="BO699" s="1240"/>
      <c r="BP699" s="1240"/>
      <c r="BQ699" s="1188"/>
      <c r="BR699" s="1236"/>
      <c r="BS699" s="1236"/>
      <c r="BT699" s="1188"/>
      <c r="BU699" s="1188"/>
      <c r="BV699" s="1240"/>
      <c r="BW699" s="1188"/>
      <c r="BX699" s="1188"/>
      <c r="BY699" s="1188"/>
      <c r="BZ699" s="1188"/>
      <c r="CA699" s="1188"/>
      <c r="CB699" s="1188"/>
      <c r="CC699" s="1188"/>
      <c r="CD699" s="1188">
        <f t="shared" si="243"/>
        <v>0</v>
      </c>
      <c r="CE699" s="1188">
        <f t="shared" si="244"/>
        <v>0</v>
      </c>
      <c r="CF699" s="1188">
        <f t="shared" si="245"/>
        <v>0</v>
      </c>
      <c r="CG699" s="1188">
        <f t="shared" si="246"/>
        <v>0</v>
      </c>
      <c r="CH699" s="1236"/>
      <c r="CI699" s="1236"/>
      <c r="CJ699" s="1236"/>
      <c r="CK699" s="1188"/>
      <c r="CL699" s="1188"/>
    </row>
    <row r="700" s="293" customFormat="1" customHeight="1" spans="1:111">
      <c r="A700" s="1309">
        <v>46185</v>
      </c>
      <c r="B700" s="1421" t="s">
        <v>743</v>
      </c>
      <c r="C700" s="1422" t="s">
        <v>164</v>
      </c>
      <c r="D700" s="1584">
        <v>4500211856</v>
      </c>
      <c r="E700" s="1585" t="s">
        <v>2928</v>
      </c>
      <c r="F700" s="1423" t="s">
        <v>2929</v>
      </c>
      <c r="G700" s="1424" t="s">
        <v>753</v>
      </c>
      <c r="H700" s="504" t="s">
        <v>390</v>
      </c>
      <c r="I700" s="1425">
        <v>4992</v>
      </c>
      <c r="J700" s="1426">
        <v>0</v>
      </c>
      <c r="K700" s="1426">
        <v>12</v>
      </c>
      <c r="L700" s="1291">
        <f t="shared" si="247"/>
        <v>416</v>
      </c>
      <c r="M700" s="1586">
        <v>46247</v>
      </c>
      <c r="N700" s="1587">
        <v>46248</v>
      </c>
      <c r="O700" s="501"/>
      <c r="P700" s="506"/>
      <c r="Q700" s="506"/>
      <c r="R700" s="504"/>
      <c r="S700" s="504"/>
      <c r="T700" s="506">
        <v>4992</v>
      </c>
      <c r="U700" s="500">
        <f t="shared" si="242"/>
        <v>0</v>
      </c>
      <c r="V700" s="504"/>
      <c r="W700" s="1293" t="s">
        <v>2502</v>
      </c>
      <c r="X700" s="1301" t="s">
        <v>95</v>
      </c>
      <c r="Y700" s="1294" t="s">
        <v>2816</v>
      </c>
      <c r="Z700" s="543" t="s">
        <v>140</v>
      </c>
      <c r="AA700" s="543"/>
      <c r="AB700" s="543"/>
      <c r="AC700" s="1443" t="s">
        <v>2930</v>
      </c>
      <c r="AD700" s="1427" t="s">
        <v>2610</v>
      </c>
      <c r="AE700" s="548">
        <v>2.4837</v>
      </c>
      <c r="AF700" s="503">
        <f t="shared" ref="AF700:AF705" si="249">I700*AE700</f>
        <v>12398.6304</v>
      </c>
      <c r="AG700" s="1295"/>
      <c r="AH700" s="488" t="s">
        <v>753</v>
      </c>
      <c r="AI700" s="488" t="s">
        <v>112</v>
      </c>
      <c r="AJ700" s="498" t="s">
        <v>113</v>
      </c>
      <c r="AK700" s="327">
        <f t="shared" si="248"/>
        <v>9984</v>
      </c>
      <c r="AL700" s="502"/>
      <c r="AM700" s="502"/>
      <c r="AN700" s="502"/>
      <c r="AO700" s="502"/>
      <c r="AP700" s="502"/>
      <c r="AQ700" s="1296"/>
      <c r="AR700" s="327">
        <f>I700*2</f>
        <v>9984</v>
      </c>
      <c r="AS700" s="1297"/>
      <c r="AT700" s="1297"/>
      <c r="AU700" s="327"/>
      <c r="AV700" s="1298">
        <f>I700*0.06</f>
        <v>299.52</v>
      </c>
      <c r="AW700" s="1298">
        <f>I700*2</f>
        <v>9984</v>
      </c>
      <c r="AX700" s="502"/>
      <c r="AY700" s="502"/>
      <c r="AZ700" s="502"/>
      <c r="BA700" s="502"/>
      <c r="BB700" s="502"/>
      <c r="BC700" s="502"/>
      <c r="BD700" s="502"/>
      <c r="BE700" s="502"/>
      <c r="BF700" s="502"/>
      <c r="BG700" s="502"/>
      <c r="BH700" s="502"/>
      <c r="BI700" s="502"/>
      <c r="BJ700" s="502"/>
      <c r="BK700" s="502"/>
      <c r="BL700" s="502"/>
      <c r="BM700" s="502"/>
      <c r="BN700" s="502"/>
      <c r="BO700" s="1296"/>
      <c r="BP700" s="1296"/>
      <c r="BQ700" s="502"/>
      <c r="BR700" s="1297"/>
      <c r="BS700" s="1297"/>
      <c r="BT700" s="502"/>
      <c r="BU700" s="502"/>
      <c r="BV700" s="1296"/>
      <c r="BW700" s="502"/>
      <c r="BX700" s="502"/>
      <c r="BY700" s="502"/>
      <c r="BZ700" s="1218"/>
      <c r="CA700" s="1218"/>
      <c r="CB700" s="1218"/>
      <c r="CC700" s="1218"/>
      <c r="CD700" s="1218">
        <f t="shared" si="243"/>
        <v>0</v>
      </c>
      <c r="CE700" s="1218">
        <f t="shared" si="244"/>
        <v>0</v>
      </c>
      <c r="CF700" s="502">
        <f t="shared" si="245"/>
        <v>0</v>
      </c>
      <c r="CG700" s="1218">
        <f t="shared" si="246"/>
        <v>0</v>
      </c>
      <c r="CH700" s="1299"/>
      <c r="CI700" s="1299"/>
      <c r="CJ700" s="1299">
        <f>I700</f>
        <v>4992</v>
      </c>
      <c r="CK700" s="1218">
        <f>I700</f>
        <v>4992</v>
      </c>
      <c r="CL700" s="1218">
        <f>I700</f>
        <v>4992</v>
      </c>
    </row>
    <row r="701" s="1179" customFormat="1" customHeight="1" spans="1:111">
      <c r="A701" s="1588">
        <v>46185</v>
      </c>
      <c r="B701" s="1589" t="s">
        <v>743</v>
      </c>
      <c r="C701" s="1590" t="s">
        <v>164</v>
      </c>
      <c r="D701" s="1591">
        <v>4500211856</v>
      </c>
      <c r="E701" s="1592" t="s">
        <v>2931</v>
      </c>
      <c r="F701" s="1593" t="s">
        <v>2932</v>
      </c>
      <c r="G701" s="1594" t="s">
        <v>753</v>
      </c>
      <c r="H701" s="1454" t="s">
        <v>390</v>
      </c>
      <c r="I701" s="1595">
        <v>2016</v>
      </c>
      <c r="J701" s="1596">
        <v>0</v>
      </c>
      <c r="K701" s="1596">
        <v>12</v>
      </c>
      <c r="L701" s="1597">
        <f t="shared" si="247"/>
        <v>168</v>
      </c>
      <c r="M701" s="1586">
        <v>46247</v>
      </c>
      <c r="N701" s="1587">
        <v>46248</v>
      </c>
      <c r="O701" s="1586"/>
      <c r="P701" s="1292"/>
      <c r="Q701" s="1292"/>
      <c r="R701" s="1454"/>
      <c r="S701" s="1454"/>
      <c r="T701" s="1292"/>
      <c r="U701" s="500">
        <f t="shared" si="242"/>
        <v>-2016</v>
      </c>
      <c r="V701" s="1454"/>
      <c r="W701" s="1300" t="s">
        <v>2502</v>
      </c>
      <c r="X701" s="1294" t="s">
        <v>95</v>
      </c>
      <c r="Y701" s="1294" t="s">
        <v>2816</v>
      </c>
      <c r="Z701" s="543" t="s">
        <v>140</v>
      </c>
      <c r="AA701" s="543"/>
      <c r="AB701" s="543"/>
      <c r="AC701" s="1443" t="s">
        <v>2930</v>
      </c>
      <c r="AD701" s="1598" t="s">
        <v>2610</v>
      </c>
      <c r="AE701" s="1599">
        <v>2.4837</v>
      </c>
      <c r="AF701" s="1600">
        <f t="shared" si="249"/>
        <v>5007.1392</v>
      </c>
      <c r="AG701" s="1295"/>
      <c r="AH701" s="488" t="s">
        <v>753</v>
      </c>
      <c r="AI701" s="488" t="s">
        <v>112</v>
      </c>
      <c r="AJ701" s="498" t="s">
        <v>113</v>
      </c>
      <c r="AK701" s="327">
        <f t="shared" si="248"/>
        <v>4032</v>
      </c>
      <c r="AL701" s="1601"/>
      <c r="AM701" s="1601"/>
      <c r="AN701" s="1601"/>
      <c r="AO701" s="1601"/>
      <c r="AP701" s="1601"/>
      <c r="AQ701" s="1601"/>
      <c r="AR701" s="1187">
        <f>I701*2</f>
        <v>4032</v>
      </c>
      <c r="AS701" s="1601"/>
      <c r="AT701" s="1601"/>
      <c r="AU701" s="1187"/>
      <c r="AV701" s="1298">
        <f>I701*0.06</f>
        <v>120.96</v>
      </c>
      <c r="AW701" s="1298">
        <f>I701*2</f>
        <v>4032</v>
      </c>
      <c r="AX701" s="1601"/>
      <c r="AY701" s="1601"/>
      <c r="AZ701" s="1601"/>
      <c r="BA701" s="1601"/>
      <c r="BB701" s="1601"/>
      <c r="BC701" s="1601"/>
      <c r="BD701" s="1601"/>
      <c r="BE701" s="1601"/>
      <c r="BF701" s="1601"/>
      <c r="BG701" s="502"/>
      <c r="BH701" s="502"/>
      <c r="BI701" s="1601"/>
      <c r="BJ701" s="1601"/>
      <c r="BK701" s="1601"/>
      <c r="BL701" s="1601"/>
      <c r="BM701" s="1601"/>
      <c r="BN701" s="1601"/>
      <c r="BO701" s="1296"/>
      <c r="BP701" s="1601"/>
      <c r="BQ701" s="1601"/>
      <c r="BR701" s="1601"/>
      <c r="BS701" s="1601"/>
      <c r="BT701" s="1601"/>
      <c r="BU701" s="1601"/>
      <c r="BV701" s="1601"/>
      <c r="BW701" s="1601"/>
      <c r="BX701" s="1601"/>
      <c r="BY701" s="1601"/>
      <c r="BZ701" s="1182"/>
      <c r="CA701" s="1182"/>
      <c r="CB701" s="1182"/>
      <c r="CC701" s="1182"/>
      <c r="CD701" s="1218">
        <f t="shared" si="243"/>
        <v>0</v>
      </c>
      <c r="CE701" s="1218">
        <f t="shared" si="244"/>
        <v>0</v>
      </c>
      <c r="CF701" s="502">
        <f t="shared" si="245"/>
        <v>0</v>
      </c>
      <c r="CG701" s="1218">
        <f t="shared" si="246"/>
        <v>0</v>
      </c>
      <c r="CH701" s="1218"/>
      <c r="CI701" s="1218"/>
      <c r="CJ701" s="1182">
        <f>I701</f>
        <v>2016</v>
      </c>
      <c r="CK701" s="1182">
        <f>I701</f>
        <v>2016</v>
      </c>
      <c r="CL701" s="1182">
        <f>I701</f>
        <v>2016</v>
      </c>
      <c r="CM701" s="293"/>
      <c r="CN701" s="293"/>
      <c r="CO701" s="293"/>
      <c r="CP701" s="293"/>
      <c r="CQ701" s="293"/>
      <c r="CR701" s="293"/>
      <c r="CS701" s="293"/>
      <c r="CT701" s="293"/>
      <c r="CU701" s="293"/>
      <c r="CV701" s="293"/>
      <c r="CW701" s="293"/>
      <c r="CX701" s="293"/>
      <c r="CY701" s="293"/>
      <c r="CZ701" s="293"/>
      <c r="DA701" s="293"/>
      <c r="DB701" s="293"/>
      <c r="DC701" s="293"/>
      <c r="DD701" s="293"/>
      <c r="DE701" s="293"/>
      <c r="DF701" s="293"/>
      <c r="DG701" s="293"/>
    </row>
    <row r="702" s="1180" customFormat="1" customHeight="1" spans="1:111">
      <c r="A702" s="1309">
        <v>46185</v>
      </c>
      <c r="B702" s="1410" t="s">
        <v>743</v>
      </c>
      <c r="C702" s="1411" t="s">
        <v>1439</v>
      </c>
      <c r="D702" s="1602">
        <v>4500211856</v>
      </c>
      <c r="E702" s="1603" t="s">
        <v>2933</v>
      </c>
      <c r="F702" s="1412" t="s">
        <v>2934</v>
      </c>
      <c r="G702" s="1413" t="s">
        <v>753</v>
      </c>
      <c r="H702" s="1454" t="s">
        <v>390</v>
      </c>
      <c r="I702" s="1414">
        <v>10392</v>
      </c>
      <c r="J702" s="1415">
        <v>0</v>
      </c>
      <c r="K702" s="1415">
        <v>12</v>
      </c>
      <c r="L702" s="1291">
        <f t="shared" si="247"/>
        <v>866</v>
      </c>
      <c r="M702" s="507">
        <v>46247</v>
      </c>
      <c r="N702" s="1440">
        <v>46248</v>
      </c>
      <c r="O702" s="507"/>
      <c r="P702" s="506"/>
      <c r="Q702" s="506"/>
      <c r="R702" s="504"/>
      <c r="S702" s="504"/>
      <c r="T702" s="506">
        <f>9660+732</f>
        <v>10392</v>
      </c>
      <c r="U702" s="500">
        <f t="shared" si="242"/>
        <v>0</v>
      </c>
      <c r="V702" s="504"/>
      <c r="W702" s="1300" t="s">
        <v>2502</v>
      </c>
      <c r="X702" s="1301" t="s">
        <v>95</v>
      </c>
      <c r="Y702" s="1301" t="s">
        <v>2816</v>
      </c>
      <c r="Z702" s="543" t="s">
        <v>140</v>
      </c>
      <c r="AA702" s="543"/>
      <c r="AB702" s="543"/>
      <c r="AC702" s="1560" t="s">
        <v>2930</v>
      </c>
      <c r="AD702" s="547" t="s">
        <v>2610</v>
      </c>
      <c r="AE702" s="548">
        <v>2.5115</v>
      </c>
      <c r="AF702" s="503">
        <f t="shared" si="249"/>
        <v>26099.508</v>
      </c>
      <c r="AG702" s="1295"/>
      <c r="AH702" s="488" t="s">
        <v>753</v>
      </c>
      <c r="AI702" s="488" t="s">
        <v>112</v>
      </c>
      <c r="AJ702" s="498" t="s">
        <v>113</v>
      </c>
      <c r="AK702" s="327">
        <f t="shared" si="248"/>
        <v>20784</v>
      </c>
      <c r="AL702" s="502"/>
      <c r="AM702" s="502"/>
      <c r="AN702" s="502"/>
      <c r="AO702" s="502"/>
      <c r="AP702" s="502"/>
      <c r="AQ702" s="1296"/>
      <c r="AR702" s="327">
        <f>I702*2</f>
        <v>20784</v>
      </c>
      <c r="AS702" s="1297"/>
      <c r="AT702" s="1297"/>
      <c r="AU702" s="327"/>
      <c r="AV702" s="1298">
        <f>I702*0.06</f>
        <v>623.52</v>
      </c>
      <c r="AW702" s="1298">
        <f>I702*2</f>
        <v>20784</v>
      </c>
      <c r="AX702" s="1437"/>
      <c r="AY702" s="502"/>
      <c r="AZ702" s="502"/>
      <c r="BA702" s="502"/>
      <c r="BB702" s="502"/>
      <c r="BC702" s="502"/>
      <c r="BD702" s="502"/>
      <c r="BE702" s="502"/>
      <c r="BF702" s="502"/>
      <c r="BG702" s="502"/>
      <c r="BH702" s="502"/>
      <c r="BI702" s="502"/>
      <c r="BJ702" s="502"/>
      <c r="BK702" s="502"/>
      <c r="BL702" s="502"/>
      <c r="BM702" s="502"/>
      <c r="BN702" s="502"/>
      <c r="BO702" s="1296"/>
      <c r="BP702" s="1296"/>
      <c r="BQ702" s="502"/>
      <c r="BR702" s="1297"/>
      <c r="BS702" s="1297"/>
      <c r="BT702" s="502"/>
      <c r="BU702" s="502"/>
      <c r="BV702" s="1296"/>
      <c r="BW702" s="502"/>
      <c r="BX702" s="502"/>
      <c r="BY702" s="502"/>
      <c r="BZ702" s="1218"/>
      <c r="CA702" s="1218"/>
      <c r="CB702" s="1218"/>
      <c r="CC702" s="1218"/>
      <c r="CD702" s="1218">
        <f t="shared" si="243"/>
        <v>0</v>
      </c>
      <c r="CE702" s="1218">
        <f t="shared" si="244"/>
        <v>0</v>
      </c>
      <c r="CF702" s="502">
        <f t="shared" si="245"/>
        <v>0</v>
      </c>
      <c r="CG702" s="1218">
        <f t="shared" si="246"/>
        <v>0</v>
      </c>
      <c r="CH702" s="1299"/>
      <c r="CI702" s="1299"/>
      <c r="CJ702" s="1299">
        <f>I702</f>
        <v>10392</v>
      </c>
      <c r="CK702" s="1218">
        <f>I702</f>
        <v>10392</v>
      </c>
      <c r="CL702" s="1218">
        <f>I702</f>
        <v>10392</v>
      </c>
      <c r="CM702" s="293"/>
      <c r="CN702" s="293"/>
      <c r="CO702" s="293"/>
      <c r="CP702" s="293"/>
      <c r="CQ702" s="293"/>
      <c r="CR702" s="293"/>
      <c r="CS702" s="293"/>
      <c r="CT702" s="293"/>
      <c r="CU702" s="293"/>
      <c r="CV702" s="293"/>
      <c r="CW702" s="293"/>
      <c r="CX702" s="293"/>
      <c r="CY702" s="293"/>
      <c r="CZ702" s="293"/>
      <c r="DA702" s="293"/>
      <c r="DB702" s="293"/>
      <c r="DC702" s="293"/>
      <c r="DD702" s="293"/>
      <c r="DE702" s="293"/>
      <c r="DF702" s="293"/>
      <c r="DG702" s="293"/>
    </row>
    <row r="703" s="1179" customFormat="1" customHeight="1" spans="1:111">
      <c r="A703" s="1588">
        <v>46185</v>
      </c>
      <c r="B703" s="1589" t="s">
        <v>743</v>
      </c>
      <c r="C703" s="1590" t="s">
        <v>148</v>
      </c>
      <c r="D703" s="1591">
        <v>4500211856</v>
      </c>
      <c r="E703" s="1592" t="s">
        <v>2935</v>
      </c>
      <c r="F703" s="1593" t="s">
        <v>2936</v>
      </c>
      <c r="G703" s="1594" t="s">
        <v>753</v>
      </c>
      <c r="H703" s="1454" t="s">
        <v>390</v>
      </c>
      <c r="I703" s="1595">
        <v>3972</v>
      </c>
      <c r="J703" s="1596">
        <v>0</v>
      </c>
      <c r="K703" s="1596">
        <v>12</v>
      </c>
      <c r="L703" s="1597">
        <f t="shared" si="247"/>
        <v>331</v>
      </c>
      <c r="M703" s="1586">
        <v>46247</v>
      </c>
      <c r="N703" s="1587">
        <v>46248</v>
      </c>
      <c r="O703" s="1586"/>
      <c r="P703" s="1292"/>
      <c r="Q703" s="1292"/>
      <c r="R703" s="1454"/>
      <c r="S703" s="1454"/>
      <c r="T703" s="1292">
        <v>3972</v>
      </c>
      <c r="U703" s="500">
        <f t="shared" si="242"/>
        <v>0</v>
      </c>
      <c r="V703" s="1454"/>
      <c r="W703" s="1300" t="s">
        <v>2502</v>
      </c>
      <c r="X703" s="1294" t="s">
        <v>95</v>
      </c>
      <c r="Y703" s="1294" t="s">
        <v>2816</v>
      </c>
      <c r="Z703" s="543" t="s">
        <v>140</v>
      </c>
      <c r="AA703" s="543"/>
      <c r="AB703" s="543"/>
      <c r="AC703" s="1604" t="s">
        <v>2930</v>
      </c>
      <c r="AD703" s="1598" t="s">
        <v>2610</v>
      </c>
      <c r="AE703" s="1599">
        <v>2.5332</v>
      </c>
      <c r="AF703" s="1600">
        <f t="shared" si="249"/>
        <v>10061.8704</v>
      </c>
      <c r="AG703" s="1295"/>
      <c r="AH703" s="488" t="s">
        <v>753</v>
      </c>
      <c r="AI703" s="488" t="s">
        <v>112</v>
      </c>
      <c r="AJ703" s="498" t="s">
        <v>113</v>
      </c>
      <c r="AK703" s="327">
        <f t="shared" si="248"/>
        <v>7944</v>
      </c>
      <c r="AL703" s="1601"/>
      <c r="AM703" s="1601"/>
      <c r="AN703" s="1601"/>
      <c r="AO703" s="1601"/>
      <c r="AP703" s="1601"/>
      <c r="AQ703" s="1601"/>
      <c r="AR703" s="1187">
        <f>I703*2</f>
        <v>7944</v>
      </c>
      <c r="AS703" s="1601"/>
      <c r="AT703" s="1601"/>
      <c r="AU703" s="1187"/>
      <c r="AV703" s="1298">
        <f>I703*0.06</f>
        <v>238.32</v>
      </c>
      <c r="AW703" s="1298">
        <f>I703*2</f>
        <v>7944</v>
      </c>
      <c r="AX703" s="1601"/>
      <c r="AY703" s="1601"/>
      <c r="AZ703" s="1601"/>
      <c r="BA703" s="1601"/>
      <c r="BB703" s="1601"/>
      <c r="BC703" s="1601"/>
      <c r="BD703" s="1601"/>
      <c r="BE703" s="1601"/>
      <c r="BF703" s="1601"/>
      <c r="BG703" s="502"/>
      <c r="BH703" s="502"/>
      <c r="BI703" s="1601"/>
      <c r="BJ703" s="1601"/>
      <c r="BK703" s="1601"/>
      <c r="BL703" s="1601"/>
      <c r="BM703" s="1601"/>
      <c r="BN703" s="1601"/>
      <c r="BO703" s="1296"/>
      <c r="BP703" s="1601"/>
      <c r="BQ703" s="1601"/>
      <c r="BR703" s="1601"/>
      <c r="BS703" s="1601"/>
      <c r="BT703" s="1601"/>
      <c r="BU703" s="1601"/>
      <c r="BV703" s="1601"/>
      <c r="BW703" s="1601"/>
      <c r="BX703" s="1601"/>
      <c r="BY703" s="1601"/>
      <c r="BZ703" s="1182"/>
      <c r="CA703" s="1182"/>
      <c r="CB703" s="1182"/>
      <c r="CC703" s="1182"/>
      <c r="CD703" s="1218">
        <f t="shared" si="243"/>
        <v>0</v>
      </c>
      <c r="CE703" s="1218">
        <f t="shared" si="244"/>
        <v>0</v>
      </c>
      <c r="CF703" s="502">
        <f t="shared" si="245"/>
        <v>0</v>
      </c>
      <c r="CG703" s="1218">
        <f t="shared" si="246"/>
        <v>0</v>
      </c>
      <c r="CH703" s="1218"/>
      <c r="CI703" s="1218"/>
      <c r="CJ703" s="1182">
        <f>I703</f>
        <v>3972</v>
      </c>
      <c r="CK703" s="1182">
        <f>I703</f>
        <v>3972</v>
      </c>
      <c r="CL703" s="1182">
        <f>I703</f>
        <v>3972</v>
      </c>
      <c r="CM703" s="293"/>
      <c r="CN703" s="293"/>
      <c r="CO703" s="293"/>
      <c r="CP703" s="293"/>
      <c r="CQ703" s="293"/>
      <c r="CR703" s="293"/>
      <c r="CS703" s="293"/>
      <c r="CT703" s="293"/>
      <c r="CU703" s="293"/>
      <c r="CV703" s="293"/>
      <c r="CW703" s="293"/>
      <c r="CX703" s="293"/>
      <c r="CY703" s="293"/>
      <c r="CZ703" s="293"/>
      <c r="DA703" s="293"/>
      <c r="DB703" s="293"/>
      <c r="DC703" s="293"/>
      <c r="DD703" s="293"/>
      <c r="DE703" s="293"/>
      <c r="DF703" s="293"/>
      <c r="DG703" s="293"/>
    </row>
    <row r="704" s="1179" customFormat="1" customHeight="1" spans="1:111">
      <c r="A704" s="1588">
        <v>46185</v>
      </c>
      <c r="B704" s="1589" t="s">
        <v>743</v>
      </c>
      <c r="C704" s="1590" t="s">
        <v>810</v>
      </c>
      <c r="D704" s="1591">
        <v>4500211856</v>
      </c>
      <c r="E704" s="1592" t="s">
        <v>2937</v>
      </c>
      <c r="F704" s="1593" t="s">
        <v>2938</v>
      </c>
      <c r="G704" s="1594" t="s">
        <v>753</v>
      </c>
      <c r="H704" s="1454" t="s">
        <v>390</v>
      </c>
      <c r="I704" s="1595">
        <v>3480</v>
      </c>
      <c r="J704" s="1596">
        <v>0</v>
      </c>
      <c r="K704" s="1596">
        <v>12</v>
      </c>
      <c r="L704" s="1597">
        <f t="shared" si="247"/>
        <v>290</v>
      </c>
      <c r="M704" s="1586">
        <v>46247</v>
      </c>
      <c r="N704" s="1587">
        <v>46248</v>
      </c>
      <c r="O704" s="1586"/>
      <c r="P704" s="1292"/>
      <c r="Q704" s="1292"/>
      <c r="R704" s="1454"/>
      <c r="S704" s="1454"/>
      <c r="T704" s="1292">
        <v>3480</v>
      </c>
      <c r="U704" s="500">
        <f t="shared" si="242"/>
        <v>0</v>
      </c>
      <c r="V704" s="1454"/>
      <c r="W704" s="1300" t="s">
        <v>2502</v>
      </c>
      <c r="X704" s="1294" t="s">
        <v>95</v>
      </c>
      <c r="Y704" s="1294" t="s">
        <v>2816</v>
      </c>
      <c r="Z704" s="543" t="s">
        <v>140</v>
      </c>
      <c r="AA704" s="543"/>
      <c r="AB704" s="543"/>
      <c r="AC704" s="1604" t="s">
        <v>2930</v>
      </c>
      <c r="AD704" s="1598" t="s">
        <v>2610</v>
      </c>
      <c r="AE704" s="1599">
        <v>2.5332</v>
      </c>
      <c r="AF704" s="1600">
        <f t="shared" si="249"/>
        <v>8815.536</v>
      </c>
      <c r="AG704" s="1295"/>
      <c r="AH704" s="488" t="s">
        <v>753</v>
      </c>
      <c r="AI704" s="488" t="s">
        <v>112</v>
      </c>
      <c r="AJ704" s="498" t="s">
        <v>113</v>
      </c>
      <c r="AK704" s="327">
        <f t="shared" si="248"/>
        <v>6960</v>
      </c>
      <c r="AL704" s="1601"/>
      <c r="AM704" s="1601"/>
      <c r="AN704" s="1601"/>
      <c r="AO704" s="1601"/>
      <c r="AP704" s="1601"/>
      <c r="AQ704" s="1601"/>
      <c r="AR704" s="1187">
        <f>I704*2</f>
        <v>6960</v>
      </c>
      <c r="AS704" s="1601"/>
      <c r="AT704" s="1601"/>
      <c r="AU704" s="1187"/>
      <c r="AV704" s="1298">
        <f>I704*0.06</f>
        <v>208.8</v>
      </c>
      <c r="AW704" s="1298">
        <f>I704*2</f>
        <v>6960</v>
      </c>
      <c r="AX704" s="1601"/>
      <c r="AY704" s="1601"/>
      <c r="AZ704" s="1601"/>
      <c r="BA704" s="1601"/>
      <c r="BB704" s="1601"/>
      <c r="BC704" s="1601"/>
      <c r="BD704" s="1601"/>
      <c r="BE704" s="1601"/>
      <c r="BF704" s="1601"/>
      <c r="BG704" s="502"/>
      <c r="BH704" s="502"/>
      <c r="BI704" s="1601"/>
      <c r="BJ704" s="1601"/>
      <c r="BK704" s="1601"/>
      <c r="BL704" s="1601"/>
      <c r="BM704" s="1601"/>
      <c r="BN704" s="1601"/>
      <c r="BO704" s="1296"/>
      <c r="BP704" s="1601"/>
      <c r="BQ704" s="1601"/>
      <c r="BR704" s="1601"/>
      <c r="BS704" s="1601"/>
      <c r="BT704" s="1601"/>
      <c r="BU704" s="1601"/>
      <c r="BV704" s="1601"/>
      <c r="BW704" s="1601"/>
      <c r="BX704" s="1601"/>
      <c r="BY704" s="1601"/>
      <c r="BZ704" s="1182"/>
      <c r="CA704" s="1182"/>
      <c r="CB704" s="1182"/>
      <c r="CC704" s="1182"/>
      <c r="CD704" s="1218">
        <f t="shared" si="243"/>
        <v>0</v>
      </c>
      <c r="CE704" s="1218">
        <f t="shared" si="244"/>
        <v>0</v>
      </c>
      <c r="CF704" s="502">
        <f t="shared" si="245"/>
        <v>0</v>
      </c>
      <c r="CG704" s="1218">
        <f t="shared" si="246"/>
        <v>0</v>
      </c>
      <c r="CH704" s="1218"/>
      <c r="CI704" s="1218"/>
      <c r="CJ704" s="1182">
        <f>I704</f>
        <v>3480</v>
      </c>
      <c r="CK704" s="1182">
        <f>I704</f>
        <v>3480</v>
      </c>
      <c r="CL704" s="1182">
        <f>I704</f>
        <v>3480</v>
      </c>
      <c r="CM704" s="293"/>
      <c r="CN704" s="293"/>
      <c r="CO704" s="293"/>
      <c r="CP704" s="293"/>
      <c r="CQ704" s="293"/>
      <c r="CR704" s="293"/>
      <c r="CS704" s="293"/>
      <c r="CT704" s="293"/>
      <c r="CU704" s="293"/>
      <c r="CV704" s="293"/>
      <c r="CW704" s="293"/>
      <c r="CX704" s="293"/>
      <c r="CY704" s="293"/>
      <c r="CZ704" s="293"/>
      <c r="DA704" s="293"/>
      <c r="DB704" s="293"/>
      <c r="DC704" s="293"/>
      <c r="DD704" s="293"/>
      <c r="DE704" s="293"/>
      <c r="DF704" s="293"/>
      <c r="DG704" s="293"/>
    </row>
    <row r="705" s="1170" customFormat="1" customHeight="1" spans="1:111">
      <c r="A705" s="1396">
        <v>46190</v>
      </c>
      <c r="B705" s="1397" t="s">
        <v>602</v>
      </c>
      <c r="C705" s="498" t="s">
        <v>508</v>
      </c>
      <c r="D705" s="1398">
        <v>4500212942</v>
      </c>
      <c r="E705" s="500">
        <v>86931</v>
      </c>
      <c r="F705" s="496" t="s">
        <v>2939</v>
      </c>
      <c r="G705" s="499" t="s">
        <v>604</v>
      </c>
      <c r="H705" s="498" t="s">
        <v>893</v>
      </c>
      <c r="I705" s="1399">
        <v>2500</v>
      </c>
      <c r="J705" s="498">
        <v>0</v>
      </c>
      <c r="K705" s="498">
        <v>25</v>
      </c>
      <c r="L705" s="1400">
        <f t="shared" si="247"/>
        <v>100</v>
      </c>
      <c r="M705" s="495">
        <v>46247</v>
      </c>
      <c r="N705" s="1401">
        <v>46249</v>
      </c>
      <c r="O705" s="495"/>
      <c r="P705" s="500"/>
      <c r="Q705" s="500"/>
      <c r="R705" s="498"/>
      <c r="S705" s="498"/>
      <c r="T705" s="500">
        <v>2500</v>
      </c>
      <c r="U705" s="500">
        <f t="shared" si="242"/>
        <v>0</v>
      </c>
      <c r="V705" s="498"/>
      <c r="W705" s="1431">
        <v>46210</v>
      </c>
      <c r="X705" s="1405" t="s">
        <v>95</v>
      </c>
      <c r="Y705" s="1432" t="s">
        <v>2940</v>
      </c>
      <c r="Z705" s="1397" t="s">
        <v>360</v>
      </c>
      <c r="AA705" s="1397"/>
      <c r="AB705" s="1397" t="s">
        <v>2941</v>
      </c>
      <c r="AC705" s="1397" t="s">
        <v>2942</v>
      </c>
      <c r="AD705" s="495" t="s">
        <v>362</v>
      </c>
      <c r="AE705" s="496">
        <v>1.1085</v>
      </c>
      <c r="AF705" s="497">
        <f t="shared" si="249"/>
        <v>2771.25</v>
      </c>
      <c r="AG705" s="1406"/>
      <c r="AH705" s="498" t="s">
        <v>146</v>
      </c>
      <c r="AI705" s="498" t="s">
        <v>112</v>
      </c>
      <c r="AJ705" s="498" t="s">
        <v>113</v>
      </c>
      <c r="AK705" s="496">
        <f>I705</f>
        <v>2500</v>
      </c>
      <c r="AL705" s="496"/>
      <c r="AM705" s="496"/>
      <c r="AN705" s="496">
        <f>I705</f>
        <v>2500</v>
      </c>
      <c r="AO705" s="496"/>
      <c r="AP705" s="496"/>
      <c r="AQ705" s="1407"/>
      <c r="AR705" s="496"/>
      <c r="AS705" s="1408"/>
      <c r="AT705" s="1408"/>
      <c r="AU705" s="496"/>
      <c r="AV705" s="1409">
        <f>I705*0.06*2</f>
        <v>300</v>
      </c>
      <c r="AW705" s="1409"/>
      <c r="AX705" s="496">
        <f>I705*2</f>
        <v>5000</v>
      </c>
      <c r="AY705" s="496"/>
      <c r="AZ705" s="496"/>
      <c r="BA705" s="496"/>
      <c r="BB705" s="496"/>
      <c r="BC705" s="496"/>
      <c r="BD705" s="496"/>
      <c r="BE705" s="496"/>
      <c r="BF705" s="496"/>
      <c r="BG705" s="496"/>
      <c r="BH705" s="496"/>
      <c r="BI705" s="496"/>
      <c r="BJ705" s="496"/>
      <c r="BK705" s="496"/>
      <c r="BL705" s="496"/>
      <c r="BM705" s="496"/>
      <c r="BN705" s="496"/>
      <c r="BO705" s="1407"/>
      <c r="BP705" s="1407"/>
      <c r="BQ705" s="496">
        <f>I705/25</f>
        <v>100</v>
      </c>
      <c r="BR705" s="1408"/>
      <c r="BS705" s="1408"/>
      <c r="BT705" s="496"/>
      <c r="BU705" s="496"/>
      <c r="BV705" s="1407"/>
      <c r="BW705" s="496"/>
      <c r="BX705" s="496"/>
      <c r="BY705" s="496"/>
      <c r="BZ705" s="496"/>
      <c r="CA705" s="496"/>
      <c r="CB705" s="496"/>
      <c r="CC705" s="496"/>
      <c r="CD705" s="496">
        <f t="shared" si="243"/>
        <v>100</v>
      </c>
      <c r="CE705" s="496">
        <f t="shared" si="244"/>
        <v>0</v>
      </c>
      <c r="CF705" s="496">
        <f t="shared" si="245"/>
        <v>0</v>
      </c>
      <c r="CG705" s="496">
        <f t="shared" si="246"/>
        <v>0</v>
      </c>
      <c r="CH705" s="1408"/>
      <c r="CI705" s="1408"/>
      <c r="CJ705" s="1408"/>
      <c r="CK705" s="496"/>
      <c r="CL705" s="496"/>
    </row>
    <row r="706" s="1170" customFormat="1" customHeight="1" spans="1:111">
      <c r="A706" s="1396">
        <v>46205</v>
      </c>
      <c r="B706" s="1397" t="s">
        <v>114</v>
      </c>
      <c r="C706" s="498" t="s">
        <v>115</v>
      </c>
      <c r="D706" s="1398">
        <v>4500214711</v>
      </c>
      <c r="E706" s="498" t="s">
        <v>2943</v>
      </c>
      <c r="F706" s="496" t="s">
        <v>2944</v>
      </c>
      <c r="G706" s="499" t="s">
        <v>118</v>
      </c>
      <c r="H706" s="498" t="s">
        <v>104</v>
      </c>
      <c r="I706" s="1399">
        <v>75775</v>
      </c>
      <c r="J706" s="498">
        <v>0</v>
      </c>
      <c r="K706" s="498">
        <v>25</v>
      </c>
      <c r="L706" s="1400">
        <f t="shared" si="247"/>
        <v>3031</v>
      </c>
      <c r="M706" s="495">
        <v>46248</v>
      </c>
      <c r="N706" s="495">
        <v>46244</v>
      </c>
      <c r="O706" s="495"/>
      <c r="P706" s="500" t="s">
        <v>2945</v>
      </c>
      <c r="Q706" s="500"/>
      <c r="R706" s="498"/>
      <c r="S706" s="498"/>
      <c r="T706" s="500">
        <f>61125+14650</f>
        <v>75775</v>
      </c>
      <c r="U706" s="500">
        <f t="shared" si="242"/>
        <v>0</v>
      </c>
      <c r="V706" s="498"/>
      <c r="W706" s="1431" t="s">
        <v>2922</v>
      </c>
      <c r="X706" s="1432" t="s">
        <v>107</v>
      </c>
      <c r="Y706" s="1432" t="s">
        <v>2923</v>
      </c>
      <c r="Z706" s="1397"/>
      <c r="AA706" s="1397"/>
      <c r="AB706" s="1397"/>
      <c r="AC706" s="1397" t="s">
        <v>2660</v>
      </c>
      <c r="AD706" s="495" t="s">
        <v>123</v>
      </c>
      <c r="AE706" s="496">
        <v>0.6291</v>
      </c>
      <c r="AF706" s="497">
        <f>AE706*I706</f>
        <v>47670.0525</v>
      </c>
      <c r="AG706" s="1406"/>
      <c r="AH706" s="498" t="s">
        <v>118</v>
      </c>
      <c r="AI706" s="498" t="s">
        <v>112</v>
      </c>
      <c r="AJ706" s="498" t="s">
        <v>113</v>
      </c>
      <c r="AK706" s="496"/>
      <c r="AL706" s="496"/>
      <c r="AM706" s="496">
        <f>I706</f>
        <v>75775</v>
      </c>
      <c r="AN706" s="496"/>
      <c r="AO706" s="496"/>
      <c r="AP706" s="496"/>
      <c r="AQ706" s="1407"/>
      <c r="AR706" s="496"/>
      <c r="AS706" s="1408"/>
      <c r="AT706" s="1408">
        <f>I706</f>
        <v>75775</v>
      </c>
      <c r="AU706" s="496">
        <f>I706</f>
        <v>75775</v>
      </c>
      <c r="AV706" s="1409">
        <f>I706*0.06</f>
        <v>4546.5</v>
      </c>
      <c r="AW706" s="1409"/>
      <c r="AX706" s="496"/>
      <c r="AY706" s="496"/>
      <c r="AZ706" s="496"/>
      <c r="BA706" s="496"/>
      <c r="BB706" s="496"/>
      <c r="BC706" s="496"/>
      <c r="BD706" s="496"/>
      <c r="BE706" s="496"/>
      <c r="BF706" s="496"/>
      <c r="BG706" s="496"/>
      <c r="BH706" s="496"/>
      <c r="BI706" s="496"/>
      <c r="BJ706" s="496"/>
      <c r="BK706" s="496"/>
      <c r="BL706" s="496"/>
      <c r="BM706" s="496"/>
      <c r="BN706" s="496"/>
      <c r="BO706" s="1407"/>
      <c r="BP706" s="1407"/>
      <c r="BQ706" s="496"/>
      <c r="BR706" s="1408"/>
      <c r="BS706" s="1408"/>
      <c r="BT706" s="496"/>
      <c r="BU706" s="496">
        <f>I706/25</f>
        <v>3031</v>
      </c>
      <c r="BV706" s="1407"/>
      <c r="BW706" s="496"/>
      <c r="BX706" s="496"/>
      <c r="BY706" s="496"/>
      <c r="BZ706" s="496"/>
      <c r="CA706" s="496"/>
      <c r="CB706" s="496"/>
      <c r="CC706" s="496"/>
      <c r="CD706" s="496">
        <f t="shared" si="243"/>
        <v>0</v>
      </c>
      <c r="CE706" s="496">
        <f t="shared" si="244"/>
        <v>3031</v>
      </c>
      <c r="CF706" s="496">
        <f t="shared" si="245"/>
        <v>0</v>
      </c>
      <c r="CG706" s="496">
        <f t="shared" si="246"/>
        <v>0</v>
      </c>
      <c r="CH706" s="1408"/>
      <c r="CI706" s="1408"/>
      <c r="CJ706" s="1408"/>
      <c r="CK706" s="496"/>
      <c r="CL706" s="496"/>
    </row>
    <row r="707" s="293" customFormat="1" customHeight="1" spans="1:111">
      <c r="A707" s="1289">
        <v>46151</v>
      </c>
      <c r="B707" s="1410" t="s">
        <v>2457</v>
      </c>
      <c r="C707" s="1411" t="s">
        <v>2458</v>
      </c>
      <c r="D707" s="1412">
        <v>4500206065</v>
      </c>
      <c r="E707" s="1410">
        <v>5000002205</v>
      </c>
      <c r="F707" s="1412" t="s">
        <v>2946</v>
      </c>
      <c r="G707" s="1413" t="s">
        <v>2460</v>
      </c>
      <c r="H707" s="544" t="s">
        <v>2461</v>
      </c>
      <c r="I707" s="1414">
        <v>3601</v>
      </c>
      <c r="J707" s="1415">
        <v>0</v>
      </c>
      <c r="K707" s="1415">
        <v>13</v>
      </c>
      <c r="L707" s="1291">
        <f t="shared" si="247"/>
        <v>277</v>
      </c>
      <c r="M707" s="507">
        <v>46248</v>
      </c>
      <c r="N707" s="507">
        <v>46244</v>
      </c>
      <c r="O707" s="434" t="s">
        <v>2463</v>
      </c>
      <c r="P707" s="506"/>
      <c r="Q707" s="506"/>
      <c r="R707" s="504"/>
      <c r="S707" s="504"/>
      <c r="T707" s="506"/>
      <c r="U707" s="500">
        <f t="shared" si="242"/>
        <v>-3601</v>
      </c>
      <c r="V707" s="504"/>
      <c r="W707" s="1300" t="s">
        <v>2464</v>
      </c>
      <c r="X707" s="1308" t="s">
        <v>95</v>
      </c>
      <c r="Y707" s="1308" t="s">
        <v>2465</v>
      </c>
      <c r="Z707" s="543"/>
      <c r="AA707" s="543"/>
      <c r="AB707" s="543"/>
      <c r="AC707" s="543" t="s">
        <v>2466</v>
      </c>
      <c r="AD707" s="547" t="s">
        <v>2467</v>
      </c>
      <c r="AE707" s="548">
        <v>0.9996</v>
      </c>
      <c r="AF707" s="503">
        <f>I707*AE707</f>
        <v>3599.5596</v>
      </c>
      <c r="AG707" s="1295"/>
      <c r="AH707" s="488" t="s">
        <v>2468</v>
      </c>
      <c r="AI707" s="488" t="s">
        <v>112</v>
      </c>
      <c r="AJ707" s="498" t="s">
        <v>113</v>
      </c>
      <c r="AK707" s="1605">
        <f>I707*2</f>
        <v>7202</v>
      </c>
      <c r="AL707" s="502"/>
      <c r="AM707" s="502"/>
      <c r="AN707" s="1418">
        <f>I707</f>
        <v>3601</v>
      </c>
      <c r="AO707" s="502"/>
      <c r="AP707" s="502"/>
      <c r="AQ707" s="1296"/>
      <c r="AR707" s="502"/>
      <c r="AS707" s="1297"/>
      <c r="AT707" s="1297"/>
      <c r="AU707" s="502"/>
      <c r="AV707" s="1298"/>
      <c r="AW707" s="1298"/>
      <c r="AX707" s="502"/>
      <c r="AY707" s="502"/>
      <c r="AZ707" s="502">
        <f>I707</f>
        <v>3601</v>
      </c>
      <c r="BA707" s="1419">
        <f>I707/36</f>
        <v>100.027777777778</v>
      </c>
      <c r="BB707" s="502"/>
      <c r="BC707" s="502"/>
      <c r="BD707" s="502"/>
      <c r="BE707" s="502"/>
      <c r="BF707" s="502"/>
      <c r="BG707" s="502"/>
      <c r="BH707" s="502"/>
      <c r="BI707" s="502"/>
      <c r="BJ707" s="502"/>
      <c r="BK707" s="1420">
        <f>I707/13</f>
        <v>277</v>
      </c>
      <c r="BL707" s="502"/>
      <c r="BM707" s="502"/>
      <c r="BN707" s="502"/>
      <c r="BO707" s="1296"/>
      <c r="BP707" s="1296"/>
      <c r="BQ707" s="502"/>
      <c r="BR707" s="1297"/>
      <c r="BS707" s="1297"/>
      <c r="BT707" s="502"/>
      <c r="BU707" s="502"/>
      <c r="BV707" s="1296"/>
      <c r="BW707" s="502"/>
      <c r="BX707" s="502"/>
      <c r="BY707" s="502"/>
      <c r="BZ707" s="502"/>
      <c r="CA707" s="502"/>
      <c r="CB707" s="502"/>
      <c r="CC707" s="1218"/>
      <c r="CD707" s="1218">
        <f t="shared" si="243"/>
        <v>0</v>
      </c>
      <c r="CE707" s="1218">
        <f t="shared" si="244"/>
        <v>0</v>
      </c>
      <c r="CF707" s="502">
        <f t="shared" si="245"/>
        <v>0</v>
      </c>
      <c r="CG707" s="1218">
        <f t="shared" si="246"/>
        <v>0</v>
      </c>
      <c r="CH707" s="1299"/>
      <c r="CI707" s="1299"/>
      <c r="CJ707" s="1297"/>
      <c r="CK707" s="502"/>
      <c r="CL707" s="502"/>
    </row>
    <row r="708" s="293" customFormat="1" customHeight="1" spans="1:111">
      <c r="A708" s="1606">
        <v>46151</v>
      </c>
      <c r="B708" s="1410" t="s">
        <v>2457</v>
      </c>
      <c r="C708" s="1411" t="s">
        <v>2458</v>
      </c>
      <c r="D708" s="1412">
        <v>4500206065</v>
      </c>
      <c r="E708" s="1410">
        <v>5000002205</v>
      </c>
      <c r="F708" s="1412" t="s">
        <v>2947</v>
      </c>
      <c r="G708" s="1413" t="s">
        <v>2460</v>
      </c>
      <c r="H708" s="1552" t="s">
        <v>2461</v>
      </c>
      <c r="I708" s="1414">
        <v>30004</v>
      </c>
      <c r="J708" s="1415">
        <v>0</v>
      </c>
      <c r="K708" s="1415">
        <v>13</v>
      </c>
      <c r="L708" s="1607">
        <f t="shared" si="247"/>
        <v>2308</v>
      </c>
      <c r="M708" s="507">
        <v>46248</v>
      </c>
      <c r="N708" s="507">
        <v>46244</v>
      </c>
      <c r="O708" s="434" t="s">
        <v>2463</v>
      </c>
      <c r="P708" s="506"/>
      <c r="Q708" s="1436"/>
      <c r="R708" s="1434"/>
      <c r="S708" s="1434"/>
      <c r="T708" s="1436"/>
      <c r="U708" s="500">
        <f t="shared" si="242"/>
        <v>-30004</v>
      </c>
      <c r="V708" s="504"/>
      <c r="W708" s="1293" t="s">
        <v>2464</v>
      </c>
      <c r="X708" s="1325" t="s">
        <v>95</v>
      </c>
      <c r="Y708" s="1325" t="s">
        <v>2465</v>
      </c>
      <c r="Z708" s="1417"/>
      <c r="AA708" s="1417"/>
      <c r="AB708" s="1417"/>
      <c r="AC708" s="543" t="s">
        <v>2466</v>
      </c>
      <c r="AD708" s="547" t="s">
        <v>2467</v>
      </c>
      <c r="AE708" s="1608">
        <v>0.9996</v>
      </c>
      <c r="AF708" s="1609">
        <f>I708*AE708</f>
        <v>29991.9984</v>
      </c>
      <c r="AG708" s="1610"/>
      <c r="AH708" s="488" t="s">
        <v>2468</v>
      </c>
      <c r="AI708" s="488" t="s">
        <v>112</v>
      </c>
      <c r="AJ708" s="498" t="s">
        <v>113</v>
      </c>
      <c r="AK708" s="1611">
        <f>I708*2</f>
        <v>60008</v>
      </c>
      <c r="AL708" s="1437"/>
      <c r="AM708" s="1437"/>
      <c r="AN708" s="1418">
        <f>I708</f>
        <v>30004</v>
      </c>
      <c r="AO708" s="502"/>
      <c r="AP708" s="502"/>
      <c r="AQ708" s="1296"/>
      <c r="AR708" s="502"/>
      <c r="AS708" s="1297"/>
      <c r="AT708" s="1297"/>
      <c r="AU708" s="502"/>
      <c r="AV708" s="1612"/>
      <c r="AW708" s="1612"/>
      <c r="AX708" s="1437"/>
      <c r="AY708" s="1437"/>
      <c r="AZ708" s="1437">
        <f>I708</f>
        <v>30004</v>
      </c>
      <c r="BA708" s="1613">
        <f>I708/36</f>
        <v>833.444444444444</v>
      </c>
      <c r="BB708" s="1437"/>
      <c r="BC708" s="1437"/>
      <c r="BD708" s="1437"/>
      <c r="BE708" s="1437"/>
      <c r="BF708" s="1437"/>
      <c r="BG708" s="1437"/>
      <c r="BH708" s="1437"/>
      <c r="BI708" s="1437"/>
      <c r="BJ708" s="1437"/>
      <c r="BK708" s="1614">
        <f>I708/13</f>
        <v>2308</v>
      </c>
      <c r="BL708" s="1437"/>
      <c r="BM708" s="1437"/>
      <c r="BN708" s="1437"/>
      <c r="BO708" s="1615"/>
      <c r="BP708" s="1615"/>
      <c r="BQ708" s="1437"/>
      <c r="BR708" s="1616"/>
      <c r="BS708" s="1616"/>
      <c r="BT708" s="1437"/>
      <c r="BU708" s="1437"/>
      <c r="BV708" s="1615"/>
      <c r="BW708" s="1437"/>
      <c r="BX708" s="1437"/>
      <c r="BY708" s="1437"/>
      <c r="BZ708" s="1437"/>
      <c r="CA708" s="1437"/>
      <c r="CB708" s="1437"/>
      <c r="CC708" s="1617"/>
      <c r="CD708" s="1218">
        <f t="shared" si="243"/>
        <v>0</v>
      </c>
      <c r="CE708" s="1218">
        <f t="shared" si="244"/>
        <v>0</v>
      </c>
      <c r="CF708" s="502">
        <f t="shared" si="245"/>
        <v>0</v>
      </c>
      <c r="CG708" s="1218">
        <f t="shared" si="246"/>
        <v>0</v>
      </c>
      <c r="CH708" s="1618"/>
      <c r="CI708" s="1618"/>
      <c r="CJ708" s="1616"/>
      <c r="CK708" s="1437"/>
      <c r="CL708" s="1437"/>
    </row>
    <row r="709" s="293" customFormat="1" customHeight="1" spans="1:111">
      <c r="A709" s="1289">
        <v>46151</v>
      </c>
      <c r="B709" s="1410" t="s">
        <v>2457</v>
      </c>
      <c r="C709" s="1411" t="s">
        <v>2458</v>
      </c>
      <c r="D709" s="1412">
        <v>4500206065</v>
      </c>
      <c r="E709" s="1410">
        <v>5000002205</v>
      </c>
      <c r="F709" s="1412" t="s">
        <v>2948</v>
      </c>
      <c r="G709" s="1413" t="s">
        <v>2460</v>
      </c>
      <c r="H709" s="544" t="s">
        <v>2461</v>
      </c>
      <c r="I709" s="1414">
        <v>30004</v>
      </c>
      <c r="J709" s="1415">
        <v>0</v>
      </c>
      <c r="K709" s="1415">
        <v>13</v>
      </c>
      <c r="L709" s="1291">
        <f t="shared" si="247"/>
        <v>2308</v>
      </c>
      <c r="M709" s="507">
        <v>46248</v>
      </c>
      <c r="N709" s="507">
        <v>46244</v>
      </c>
      <c r="O709" s="434" t="s">
        <v>2463</v>
      </c>
      <c r="P709" s="506"/>
      <c r="Q709" s="506"/>
      <c r="R709" s="504"/>
      <c r="S709" s="504"/>
      <c r="T709" s="506"/>
      <c r="U709" s="500">
        <f t="shared" si="242"/>
        <v>-30004</v>
      </c>
      <c r="V709" s="504"/>
      <c r="W709" s="1300" t="s">
        <v>2464</v>
      </c>
      <c r="X709" s="1325" t="s">
        <v>95</v>
      </c>
      <c r="Y709" s="1308" t="s">
        <v>2465</v>
      </c>
      <c r="Z709" s="1417"/>
      <c r="AA709" s="1417"/>
      <c r="AB709" s="543"/>
      <c r="AC709" s="543" t="s">
        <v>2466</v>
      </c>
      <c r="AD709" s="547" t="s">
        <v>2467</v>
      </c>
      <c r="AE709" s="548">
        <v>0.9996</v>
      </c>
      <c r="AF709" s="503">
        <f>I709*AE709</f>
        <v>29991.9984</v>
      </c>
      <c r="AG709" s="1295"/>
      <c r="AH709" s="488" t="s">
        <v>2468</v>
      </c>
      <c r="AI709" s="488" t="s">
        <v>112</v>
      </c>
      <c r="AJ709" s="498" t="s">
        <v>113</v>
      </c>
      <c r="AK709" s="1605">
        <f>I709*2</f>
        <v>60008</v>
      </c>
      <c r="AL709" s="502"/>
      <c r="AM709" s="502"/>
      <c r="AN709" s="1418">
        <f>I709</f>
        <v>30004</v>
      </c>
      <c r="AO709" s="502"/>
      <c r="AP709" s="502"/>
      <c r="AQ709" s="1296"/>
      <c r="AR709" s="502"/>
      <c r="AS709" s="1297"/>
      <c r="AT709" s="1297"/>
      <c r="AU709" s="502"/>
      <c r="AV709" s="1298"/>
      <c r="AW709" s="1298"/>
      <c r="AX709" s="502"/>
      <c r="AY709" s="502"/>
      <c r="AZ709" s="502">
        <f>I709</f>
        <v>30004</v>
      </c>
      <c r="BA709" s="1419">
        <f>I709/36</f>
        <v>833.444444444444</v>
      </c>
      <c r="BB709" s="502"/>
      <c r="BC709" s="502"/>
      <c r="BD709" s="502"/>
      <c r="BE709" s="502"/>
      <c r="BF709" s="502"/>
      <c r="BG709" s="502"/>
      <c r="BH709" s="502"/>
      <c r="BI709" s="502"/>
      <c r="BJ709" s="502"/>
      <c r="BK709" s="1420">
        <f>I709/13</f>
        <v>2308</v>
      </c>
      <c r="BL709" s="502"/>
      <c r="BM709" s="502"/>
      <c r="BN709" s="502"/>
      <c r="BO709" s="1296"/>
      <c r="BP709" s="1296"/>
      <c r="BQ709" s="502"/>
      <c r="BR709" s="1297"/>
      <c r="BS709" s="1297"/>
      <c r="BT709" s="502"/>
      <c r="BU709" s="502"/>
      <c r="BV709" s="1296"/>
      <c r="BW709" s="502"/>
      <c r="BX709" s="502"/>
      <c r="BY709" s="502"/>
      <c r="BZ709" s="502"/>
      <c r="CA709" s="502"/>
      <c r="CB709" s="502"/>
      <c r="CC709" s="1218"/>
      <c r="CD709" s="1218">
        <f t="shared" si="243"/>
        <v>0</v>
      </c>
      <c r="CE709" s="1218">
        <f t="shared" si="244"/>
        <v>0</v>
      </c>
      <c r="CF709" s="502">
        <f t="shared" si="245"/>
        <v>0</v>
      </c>
      <c r="CG709" s="1218">
        <f t="shared" si="246"/>
        <v>0</v>
      </c>
      <c r="CH709" s="1299"/>
      <c r="CI709" s="1299"/>
      <c r="CJ709" s="1297"/>
      <c r="CK709" s="502"/>
      <c r="CL709" s="502"/>
    </row>
    <row r="710" s="293" customFormat="1" customHeight="1" spans="1:111">
      <c r="A710" s="1289">
        <v>46151</v>
      </c>
      <c r="B710" s="1421" t="s">
        <v>2457</v>
      </c>
      <c r="C710" s="1422" t="s">
        <v>2458</v>
      </c>
      <c r="D710" s="1423">
        <v>4500206065</v>
      </c>
      <c r="E710" s="1421">
        <v>5000002205</v>
      </c>
      <c r="F710" s="1423" t="s">
        <v>2949</v>
      </c>
      <c r="G710" s="1424" t="s">
        <v>2460</v>
      </c>
      <c r="H710" s="544" t="s">
        <v>2461</v>
      </c>
      <c r="I710" s="1425">
        <v>5811</v>
      </c>
      <c r="J710" s="1426">
        <v>0</v>
      </c>
      <c r="K710" s="1426">
        <v>13</v>
      </c>
      <c r="L710" s="1291">
        <f t="shared" si="247"/>
        <v>447</v>
      </c>
      <c r="M710" s="507">
        <v>46248</v>
      </c>
      <c r="N710" s="507">
        <v>46244</v>
      </c>
      <c r="O710" s="434" t="s">
        <v>2463</v>
      </c>
      <c r="P710" s="506"/>
      <c r="Q710" s="506"/>
      <c r="R710" s="504"/>
      <c r="S710" s="504"/>
      <c r="T710" s="506"/>
      <c r="U710" s="500">
        <f t="shared" si="242"/>
        <v>-5811</v>
      </c>
      <c r="V710" s="504"/>
      <c r="W710" s="1293" t="s">
        <v>2464</v>
      </c>
      <c r="X710" s="1325" t="s">
        <v>95</v>
      </c>
      <c r="Y710" s="1308" t="s">
        <v>2465</v>
      </c>
      <c r="Z710" s="543"/>
      <c r="AA710" s="543"/>
      <c r="AB710" s="543"/>
      <c r="AC710" s="543" t="s">
        <v>2466</v>
      </c>
      <c r="AD710" s="1427" t="s">
        <v>2467</v>
      </c>
      <c r="AE710" s="548">
        <v>0.9996</v>
      </c>
      <c r="AF710" s="503">
        <f>I710*AE710</f>
        <v>5808.6756</v>
      </c>
      <c r="AG710" s="1295"/>
      <c r="AH710" s="488" t="s">
        <v>2468</v>
      </c>
      <c r="AI710" s="488" t="s">
        <v>112</v>
      </c>
      <c r="AJ710" s="498" t="s">
        <v>113</v>
      </c>
      <c r="AK710" s="1605">
        <f>I710*2</f>
        <v>11622</v>
      </c>
      <c r="AL710" s="502"/>
      <c r="AM710" s="502"/>
      <c r="AN710" s="1418">
        <f>I710</f>
        <v>5811</v>
      </c>
      <c r="AO710" s="502"/>
      <c r="AP710" s="502"/>
      <c r="AQ710" s="1296"/>
      <c r="AR710" s="502"/>
      <c r="AS710" s="1297"/>
      <c r="AT710" s="1297"/>
      <c r="AU710" s="502"/>
      <c r="AV710" s="1298"/>
      <c r="AW710" s="1298"/>
      <c r="AX710" s="502"/>
      <c r="AY710" s="502"/>
      <c r="AZ710" s="502">
        <f>I710</f>
        <v>5811</v>
      </c>
      <c r="BA710" s="1419">
        <f>I710/36</f>
        <v>161.416666666667</v>
      </c>
      <c r="BB710" s="502"/>
      <c r="BC710" s="502"/>
      <c r="BD710" s="502"/>
      <c r="BE710" s="502"/>
      <c r="BF710" s="502"/>
      <c r="BG710" s="502"/>
      <c r="BH710" s="502"/>
      <c r="BI710" s="502"/>
      <c r="BJ710" s="502"/>
      <c r="BK710" s="1420">
        <f>I710/13</f>
        <v>447</v>
      </c>
      <c r="BL710" s="502"/>
      <c r="BM710" s="502"/>
      <c r="BN710" s="502"/>
      <c r="BO710" s="1296"/>
      <c r="BP710" s="1296"/>
      <c r="BQ710" s="502"/>
      <c r="BR710" s="1297"/>
      <c r="BS710" s="1297"/>
      <c r="BT710" s="502"/>
      <c r="BU710" s="502"/>
      <c r="BV710" s="1296"/>
      <c r="BW710" s="502"/>
      <c r="BX710" s="502"/>
      <c r="BY710" s="502"/>
      <c r="BZ710" s="502"/>
      <c r="CA710" s="502"/>
      <c r="CB710" s="502"/>
      <c r="CC710" s="1218"/>
      <c r="CD710" s="1218">
        <f t="shared" si="243"/>
        <v>0</v>
      </c>
      <c r="CE710" s="1218">
        <f t="shared" si="244"/>
        <v>0</v>
      </c>
      <c r="CF710" s="502">
        <f t="shared" si="245"/>
        <v>0</v>
      </c>
      <c r="CG710" s="1218">
        <f t="shared" si="246"/>
        <v>0</v>
      </c>
      <c r="CH710" s="1299"/>
      <c r="CI710" s="1299"/>
      <c r="CJ710" s="1297"/>
      <c r="CK710" s="502"/>
      <c r="CL710" s="502"/>
    </row>
    <row r="711" s="1174" customFormat="1" customHeight="1" spans="1:111">
      <c r="A711" s="1396">
        <v>46168</v>
      </c>
      <c r="B711" s="1447" t="s">
        <v>2950</v>
      </c>
      <c r="C711" s="1448" t="s">
        <v>508</v>
      </c>
      <c r="D711" s="1450" t="s">
        <v>2951</v>
      </c>
      <c r="E711" s="1448" t="s">
        <v>2952</v>
      </c>
      <c r="F711" s="1450" t="s">
        <v>2953</v>
      </c>
      <c r="G711" s="1451" t="s">
        <v>2954</v>
      </c>
      <c r="H711" s="498" t="s">
        <v>2955</v>
      </c>
      <c r="I711" s="1452">
        <v>19360</v>
      </c>
      <c r="J711" s="1448">
        <v>0</v>
      </c>
      <c r="K711" s="1448">
        <v>22</v>
      </c>
      <c r="L711" s="1400">
        <f t="shared" si="247"/>
        <v>880</v>
      </c>
      <c r="M711" s="1444">
        <v>46248</v>
      </c>
      <c r="N711" s="1444">
        <v>46244</v>
      </c>
      <c r="O711" s="1444"/>
      <c r="P711" s="500"/>
      <c r="Q711" s="500"/>
      <c r="R711" s="498" t="s">
        <v>2956</v>
      </c>
      <c r="S711" s="498"/>
      <c r="T711" s="500">
        <v>19360</v>
      </c>
      <c r="U711" s="500">
        <f t="shared" si="242"/>
        <v>0</v>
      </c>
      <c r="V711" s="498"/>
      <c r="W711" s="1404" t="s">
        <v>94</v>
      </c>
      <c r="X711" s="1405" t="s">
        <v>95</v>
      </c>
      <c r="Y711" s="1405" t="s">
        <v>2957</v>
      </c>
      <c r="Z711" s="1397" t="s">
        <v>360</v>
      </c>
      <c r="AA711" s="1397"/>
      <c r="AB711" s="1397"/>
      <c r="AC711" s="1619" t="s">
        <v>2958</v>
      </c>
      <c r="AD711" s="1444" t="s">
        <v>2959</v>
      </c>
      <c r="AE711" s="1620">
        <v>1.1</v>
      </c>
      <c r="AF711" s="496">
        <f>AE711*I711</f>
        <v>21296</v>
      </c>
      <c r="AG711" s="1406"/>
      <c r="AH711" s="498" t="s">
        <v>2954</v>
      </c>
      <c r="AI711" s="498" t="s">
        <v>112</v>
      </c>
      <c r="AJ711" s="498" t="s">
        <v>113</v>
      </c>
      <c r="AK711" s="496">
        <f>I711</f>
        <v>19360</v>
      </c>
      <c r="AL711" s="496"/>
      <c r="AM711" s="496"/>
      <c r="AN711" s="496">
        <f>I711</f>
        <v>19360</v>
      </c>
      <c r="AO711" s="496"/>
      <c r="AP711" s="496"/>
      <c r="AQ711" s="1407"/>
      <c r="AR711" s="496"/>
      <c r="AS711" s="1408"/>
      <c r="AT711" s="1408"/>
      <c r="AU711" s="496"/>
      <c r="AV711" s="1409">
        <f>I711*0.06*2</f>
        <v>2323.2</v>
      </c>
      <c r="AW711" s="1409"/>
      <c r="AX711" s="496">
        <f>I711</f>
        <v>19360</v>
      </c>
      <c r="AY711" s="496"/>
      <c r="AZ711" s="496"/>
      <c r="BA711" s="496"/>
      <c r="BB711" s="496"/>
      <c r="BC711" s="496"/>
      <c r="BD711" s="496"/>
      <c r="BE711" s="496"/>
      <c r="BF711" s="496"/>
      <c r="BG711" s="496"/>
      <c r="BH711" s="496"/>
      <c r="BI711" s="496"/>
      <c r="BJ711" s="496"/>
      <c r="BK711" s="496"/>
      <c r="BL711" s="496"/>
      <c r="BM711" s="496"/>
      <c r="BN711" s="496"/>
      <c r="BO711" s="1407"/>
      <c r="BP711" s="1407"/>
      <c r="BQ711" s="496"/>
      <c r="BR711" s="1408"/>
      <c r="BS711" s="1408"/>
      <c r="BT711" s="496"/>
      <c r="BU711" s="496"/>
      <c r="BV711" s="1407"/>
      <c r="BW711" s="496"/>
      <c r="BX711" s="496"/>
      <c r="BY711" s="496"/>
      <c r="BZ711" s="496"/>
      <c r="CA711" s="496"/>
      <c r="CB711" s="496"/>
      <c r="CC711" s="496"/>
      <c r="CD711" s="496">
        <f t="shared" si="243"/>
        <v>0</v>
      </c>
      <c r="CE711" s="496">
        <f t="shared" si="244"/>
        <v>0</v>
      </c>
      <c r="CF711" s="496">
        <f t="shared" si="245"/>
        <v>0</v>
      </c>
      <c r="CG711" s="496">
        <f t="shared" si="246"/>
        <v>0</v>
      </c>
      <c r="CH711" s="1408"/>
      <c r="CI711" s="1408"/>
      <c r="CJ711" s="1408"/>
      <c r="CK711" s="496"/>
      <c r="CL711" s="496"/>
      <c r="CM711" s="1170"/>
      <c r="CN711" s="1170"/>
      <c r="CO711" s="1170"/>
      <c r="CP711" s="1170"/>
      <c r="CQ711" s="1170"/>
      <c r="CR711" s="1170"/>
      <c r="CS711" s="1170"/>
      <c r="CT711" s="1170"/>
      <c r="CU711" s="1170"/>
      <c r="CV711" s="1170"/>
      <c r="CW711" s="1170"/>
      <c r="CX711" s="1170"/>
      <c r="CY711" s="1170"/>
      <c r="CZ711" s="1170"/>
      <c r="DA711" s="1170"/>
      <c r="DB711" s="1170"/>
      <c r="DC711" s="1170"/>
      <c r="DD711" s="1170"/>
      <c r="DE711" s="1170"/>
      <c r="DF711" s="1170"/>
      <c r="DG711" s="1170"/>
    </row>
    <row r="712" s="1180" customFormat="1" customHeight="1" spans="1:111">
      <c r="A712" s="1606">
        <v>46188</v>
      </c>
      <c r="B712" s="1417" t="s">
        <v>1567</v>
      </c>
      <c r="C712" s="1434" t="s">
        <v>115</v>
      </c>
      <c r="D712" s="1437" t="s">
        <v>2960</v>
      </c>
      <c r="E712" s="1434" t="s">
        <v>1569</v>
      </c>
      <c r="F712" s="1437" t="s">
        <v>2961</v>
      </c>
      <c r="G712" s="1438" t="s">
        <v>1016</v>
      </c>
      <c r="H712" s="1434" t="s">
        <v>350</v>
      </c>
      <c r="I712" s="1439">
        <v>130560</v>
      </c>
      <c r="J712" s="1434">
        <v>0</v>
      </c>
      <c r="K712" s="1434">
        <v>960</v>
      </c>
      <c r="L712" s="1607">
        <f t="shared" si="247"/>
        <v>136</v>
      </c>
      <c r="M712" s="507">
        <v>46248</v>
      </c>
      <c r="N712" s="1416" t="s">
        <v>1165</v>
      </c>
      <c r="O712" s="1545"/>
      <c r="P712" s="1436"/>
      <c r="Q712" s="1621" t="s">
        <v>2826</v>
      </c>
      <c r="R712" s="1434"/>
      <c r="S712" s="1434"/>
      <c r="T712" s="1436"/>
      <c r="U712" s="500">
        <f t="shared" si="242"/>
        <v>-130560</v>
      </c>
      <c r="V712" s="1434"/>
      <c r="W712" s="1300" t="s">
        <v>459</v>
      </c>
      <c r="X712" s="1294" t="s">
        <v>95</v>
      </c>
      <c r="Y712" s="1294" t="s">
        <v>2962</v>
      </c>
      <c r="Z712" s="1552"/>
      <c r="AA712" s="1552"/>
      <c r="AB712" s="1417"/>
      <c r="AC712" s="1552" t="s">
        <v>2963</v>
      </c>
      <c r="AD712" s="507"/>
      <c r="AE712" s="1437"/>
      <c r="AF712" s="1609"/>
      <c r="AG712" s="1610"/>
      <c r="AH712" s="505" t="s">
        <v>356</v>
      </c>
      <c r="AI712" s="488" t="s">
        <v>112</v>
      </c>
      <c r="AJ712" s="498" t="s">
        <v>113</v>
      </c>
      <c r="AK712" s="1437">
        <f>I712</f>
        <v>130560</v>
      </c>
      <c r="AL712" s="1437"/>
      <c r="AM712" s="1617"/>
      <c r="AN712" s="1601"/>
      <c r="AO712" s="1437"/>
      <c r="AP712" s="1437"/>
      <c r="AQ712" s="1615"/>
      <c r="AR712" s="456"/>
      <c r="AS712" s="1616"/>
      <c r="AT712" s="1616">
        <f>I712</f>
        <v>130560</v>
      </c>
      <c r="AU712" s="502">
        <f>I712</f>
        <v>130560</v>
      </c>
      <c r="AV712" s="1612"/>
      <c r="AW712" s="1612"/>
      <c r="AX712" s="1437"/>
      <c r="AY712" s="1437"/>
      <c r="AZ712" s="1437"/>
      <c r="BA712" s="1437"/>
      <c r="BB712" s="1437"/>
      <c r="BC712" s="1437"/>
      <c r="BD712" s="1437"/>
      <c r="BE712" s="1437"/>
      <c r="BF712" s="1437"/>
      <c r="BG712" s="1437"/>
      <c r="BH712" s="1437"/>
      <c r="BI712" s="1437"/>
      <c r="BJ712" s="1437"/>
      <c r="BK712" s="1437"/>
      <c r="BL712" s="1437"/>
      <c r="BM712" s="1437"/>
      <c r="BN712" s="1437"/>
      <c r="BO712" s="1615"/>
      <c r="BP712" s="1615"/>
      <c r="BQ712" s="1617"/>
      <c r="BR712" s="1616">
        <f>I712/16</f>
        <v>8160</v>
      </c>
      <c r="BS712" s="1616"/>
      <c r="BT712" s="1437"/>
      <c r="BU712" s="1437"/>
      <c r="BV712" s="1615"/>
      <c r="BW712" s="1617"/>
      <c r="BX712" s="1218"/>
      <c r="BY712" s="1617"/>
      <c r="BZ712" s="1617"/>
      <c r="CA712" s="1617"/>
      <c r="CB712" s="1617"/>
      <c r="CC712" s="1617"/>
      <c r="CD712" s="1218">
        <f t="shared" si="243"/>
        <v>8160</v>
      </c>
      <c r="CE712" s="1218">
        <f t="shared" si="244"/>
        <v>0</v>
      </c>
      <c r="CF712" s="502">
        <f t="shared" si="245"/>
        <v>0</v>
      </c>
      <c r="CG712" s="1218">
        <f t="shared" si="246"/>
        <v>0</v>
      </c>
      <c r="CH712" s="1618"/>
      <c r="CI712" s="1618"/>
      <c r="CJ712" s="1616"/>
      <c r="CK712" s="1437"/>
      <c r="CL712" s="1437"/>
      <c r="CM712" s="293"/>
      <c r="CN712" s="293"/>
      <c r="CO712" s="293"/>
      <c r="CP712" s="293"/>
      <c r="CQ712" s="293"/>
      <c r="CR712" s="293"/>
      <c r="CS712" s="293"/>
      <c r="CT712" s="293"/>
      <c r="CU712" s="293"/>
      <c r="CV712" s="293"/>
      <c r="CW712" s="293"/>
      <c r="CX712" s="293"/>
      <c r="CY712" s="293"/>
      <c r="CZ712" s="293"/>
      <c r="DA712" s="293"/>
      <c r="DB712" s="293"/>
      <c r="DC712" s="293"/>
      <c r="DD712" s="293"/>
      <c r="DE712" s="293"/>
      <c r="DF712" s="293"/>
      <c r="DG712" s="293"/>
    </row>
    <row r="713" s="293" customFormat="1" customHeight="1" spans="1:111">
      <c r="A713" s="1309">
        <v>46226</v>
      </c>
      <c r="B713" s="1421" t="s">
        <v>669</v>
      </c>
      <c r="C713" s="1422" t="s">
        <v>101</v>
      </c>
      <c r="D713" s="1423">
        <v>4500217456</v>
      </c>
      <c r="E713" s="1585">
        <v>29652569</v>
      </c>
      <c r="F713" s="1423" t="s">
        <v>2964</v>
      </c>
      <c r="G713" s="1622" t="s">
        <v>2628</v>
      </c>
      <c r="H713" s="544" t="s">
        <v>138</v>
      </c>
      <c r="I713" s="1425">
        <v>5000</v>
      </c>
      <c r="J713" s="1426">
        <v>0</v>
      </c>
      <c r="K713" s="1426">
        <v>50</v>
      </c>
      <c r="L713" s="1291">
        <f t="shared" si="247"/>
        <v>100</v>
      </c>
      <c r="M713" s="501">
        <v>46248</v>
      </c>
      <c r="N713" s="1365">
        <v>46246</v>
      </c>
      <c r="O713" s="501"/>
      <c r="P713" s="1313"/>
      <c r="Q713" s="506"/>
      <c r="R713" s="488"/>
      <c r="S713" s="504"/>
      <c r="T713" s="506"/>
      <c r="U713" s="500">
        <f t="shared" si="242"/>
        <v>-5000</v>
      </c>
      <c r="V713" s="504"/>
      <c r="W713" s="1300" t="s">
        <v>2965</v>
      </c>
      <c r="X713" s="1308" t="s">
        <v>95</v>
      </c>
      <c r="Y713" s="1325" t="s">
        <v>95</v>
      </c>
      <c r="Z713" s="544" t="s">
        <v>2966</v>
      </c>
      <c r="AA713" s="543"/>
      <c r="AB713" s="543"/>
      <c r="AC713" s="544" t="s">
        <v>2967</v>
      </c>
      <c r="AD713" s="1427" t="s">
        <v>673</v>
      </c>
      <c r="AE713" s="548">
        <v>1.1533</v>
      </c>
      <c r="AF713" s="503">
        <f>I713*AE713</f>
        <v>5766.5</v>
      </c>
      <c r="AG713" s="1295"/>
      <c r="AH713" s="1054" t="s">
        <v>2631</v>
      </c>
      <c r="AI713" s="488" t="s">
        <v>112</v>
      </c>
      <c r="AJ713" s="504"/>
      <c r="AK713" s="502">
        <f>I713</f>
        <v>5000</v>
      </c>
      <c r="AL713" s="502"/>
      <c r="AM713" s="502"/>
      <c r="AN713" s="1418">
        <f>I713</f>
        <v>5000</v>
      </c>
      <c r="AO713" s="502"/>
      <c r="AP713" s="502"/>
      <c r="AQ713" s="1296"/>
      <c r="AR713" s="502"/>
      <c r="AS713" s="1297"/>
      <c r="AT713" s="1297"/>
      <c r="AU713" s="327"/>
      <c r="AV713" s="1298">
        <f>I713*0.06</f>
        <v>300</v>
      </c>
      <c r="AW713" s="1298"/>
      <c r="AX713" s="327">
        <f>I713</f>
        <v>5000</v>
      </c>
      <c r="AY713" s="1218"/>
      <c r="AZ713" s="502"/>
      <c r="BA713" s="502"/>
      <c r="BB713" s="502"/>
      <c r="BC713" s="502"/>
      <c r="BD713" s="502"/>
      <c r="BE713" s="502"/>
      <c r="BF713" s="502"/>
      <c r="BG713" s="502"/>
      <c r="BH713" s="502"/>
      <c r="BI713" s="502"/>
      <c r="BJ713" s="502"/>
      <c r="BK713" s="502"/>
      <c r="BL713" s="502"/>
      <c r="BM713" s="502"/>
      <c r="BN713" s="502"/>
      <c r="BO713" s="1296"/>
      <c r="BP713" s="1296"/>
      <c r="BQ713" s="1218">
        <f>I713/25</f>
        <v>200</v>
      </c>
      <c r="BR713" s="1297"/>
      <c r="BS713" s="1297"/>
      <c r="BT713" s="502"/>
      <c r="BU713" s="502"/>
      <c r="BV713" s="1296"/>
      <c r="BW713" s="502"/>
      <c r="BX713" s="502"/>
      <c r="BY713" s="502"/>
      <c r="BZ713" s="1218"/>
      <c r="CA713" s="1218"/>
      <c r="CB713" s="1218"/>
      <c r="CC713" s="1218"/>
      <c r="CD713" s="1218">
        <f t="shared" si="243"/>
        <v>200</v>
      </c>
      <c r="CE713" s="1218">
        <f t="shared" si="244"/>
        <v>0</v>
      </c>
      <c r="CF713" s="502">
        <f t="shared" si="245"/>
        <v>0</v>
      </c>
      <c r="CG713" s="1218">
        <f t="shared" si="246"/>
        <v>0</v>
      </c>
      <c r="CH713" s="1299"/>
      <c r="CI713" s="1299"/>
      <c r="CJ713" s="1297"/>
      <c r="CK713" s="502"/>
      <c r="CL713" s="502"/>
    </row>
    <row r="714" s="1180" customFormat="1" customHeight="1" spans="1:111">
      <c r="A714" s="1289">
        <v>46115</v>
      </c>
      <c r="B714" s="1417" t="s">
        <v>2382</v>
      </c>
      <c r="C714" s="1434" t="s">
        <v>201</v>
      </c>
      <c r="D714" s="1437">
        <v>4500200104</v>
      </c>
      <c r="E714" s="1436">
        <v>5730331537</v>
      </c>
      <c r="F714" s="1437" t="s">
        <v>2968</v>
      </c>
      <c r="G714" s="1438" t="s">
        <v>482</v>
      </c>
      <c r="H714" s="504" t="s">
        <v>483</v>
      </c>
      <c r="I714" s="1439">
        <v>4320</v>
      </c>
      <c r="J714" s="1434">
        <v>0</v>
      </c>
      <c r="K714" s="1434">
        <v>120</v>
      </c>
      <c r="L714" s="1291">
        <f t="shared" si="247"/>
        <v>36</v>
      </c>
      <c r="M714" s="1440">
        <v>46248</v>
      </c>
      <c r="N714" s="1440">
        <v>46246</v>
      </c>
      <c r="O714" s="1545"/>
      <c r="P714" s="506"/>
      <c r="Q714" s="506"/>
      <c r="R714" s="504"/>
      <c r="S714" s="504"/>
      <c r="T714" s="506"/>
      <c r="U714" s="500">
        <f t="shared" si="242"/>
        <v>-4320</v>
      </c>
      <c r="V714" s="504"/>
      <c r="W714" s="1300" t="s">
        <v>2658</v>
      </c>
      <c r="X714" s="1308" t="s">
        <v>107</v>
      </c>
      <c r="Y714" s="1308" t="s">
        <v>95</v>
      </c>
      <c r="Z714" s="543"/>
      <c r="AA714" s="543"/>
      <c r="AB714" s="543"/>
      <c r="AC714" s="543" t="s">
        <v>636</v>
      </c>
      <c r="AD714" s="507" t="s">
        <v>488</v>
      </c>
      <c r="AE714" s="502">
        <v>1070</v>
      </c>
      <c r="AF714" s="503">
        <f>I714*AE714</f>
        <v>4622400</v>
      </c>
      <c r="AG714" s="1295"/>
      <c r="AH714" s="504" t="s">
        <v>490</v>
      </c>
      <c r="AI714" s="504" t="s">
        <v>112</v>
      </c>
      <c r="AJ714" s="498" t="s">
        <v>113</v>
      </c>
      <c r="AK714" s="502"/>
      <c r="AL714" s="502">
        <f>I714*3</f>
        <v>12960</v>
      </c>
      <c r="AM714" s="1218"/>
      <c r="AN714" s="502"/>
      <c r="AO714" s="502"/>
      <c r="AP714" s="502"/>
      <c r="AQ714" s="1296"/>
      <c r="AR714" s="438"/>
      <c r="AS714" s="1297"/>
      <c r="AT714" s="1297"/>
      <c r="AU714" s="502"/>
      <c r="AV714" s="1612">
        <f>I714*0.06*2</f>
        <v>518.4</v>
      </c>
      <c r="AW714" s="1298"/>
      <c r="AX714" s="502"/>
      <c r="AY714" s="502"/>
      <c r="AZ714" s="502"/>
      <c r="BA714" s="502"/>
      <c r="BB714" s="502">
        <f>I714*3</f>
        <v>12960</v>
      </c>
      <c r="BC714" s="502">
        <f>I714*3</f>
        <v>12960</v>
      </c>
      <c r="BD714" s="502">
        <f>I714*3</f>
        <v>12960</v>
      </c>
      <c r="BE714" s="502">
        <f>I714</f>
        <v>4320</v>
      </c>
      <c r="BF714" s="502">
        <f>I714/6</f>
        <v>720</v>
      </c>
      <c r="BG714" s="502"/>
      <c r="BH714" s="502"/>
      <c r="BI714" s="502"/>
      <c r="BJ714" s="502"/>
      <c r="BK714" s="502"/>
      <c r="BL714" s="502"/>
      <c r="BM714" s="502"/>
      <c r="BN714" s="502"/>
      <c r="BO714" s="1296"/>
      <c r="BP714" s="1296"/>
      <c r="BQ714" s="1218"/>
      <c r="BR714" s="1297"/>
      <c r="BS714" s="1297"/>
      <c r="BT714" s="502"/>
      <c r="BU714" s="502"/>
      <c r="BV714" s="1296"/>
      <c r="BW714" s="1218"/>
      <c r="BX714" s="1218"/>
      <c r="BY714" s="1218"/>
      <c r="BZ714" s="1218"/>
      <c r="CA714" s="1218"/>
      <c r="CB714" s="1218"/>
      <c r="CC714" s="1218"/>
      <c r="CD714" s="1218">
        <f t="shared" si="243"/>
        <v>0</v>
      </c>
      <c r="CE714" s="1218">
        <f t="shared" si="244"/>
        <v>0</v>
      </c>
      <c r="CF714" s="502">
        <f t="shared" si="245"/>
        <v>0</v>
      </c>
      <c r="CG714" s="1218">
        <f t="shared" si="246"/>
        <v>0</v>
      </c>
      <c r="CH714" s="1299"/>
      <c r="CI714" s="1299"/>
      <c r="CJ714" s="1297"/>
      <c r="CK714" s="502"/>
      <c r="CL714" s="502"/>
      <c r="CM714" s="293"/>
      <c r="CN714" s="293"/>
      <c r="CO714" s="293"/>
      <c r="CP714" s="293"/>
      <c r="CQ714" s="293"/>
      <c r="CR714" s="293"/>
      <c r="CS714" s="293"/>
      <c r="CT714" s="293"/>
      <c r="CU714" s="293"/>
      <c r="CV714" s="293"/>
      <c r="CW714" s="293"/>
      <c r="CX714" s="293"/>
      <c r="CY714" s="293"/>
      <c r="CZ714" s="293"/>
      <c r="DA714" s="293"/>
      <c r="DB714" s="293"/>
      <c r="DC714" s="293"/>
      <c r="DD714" s="293"/>
      <c r="DE714" s="293"/>
      <c r="DF714" s="293"/>
      <c r="DG714" s="293"/>
    </row>
    <row r="715" s="1180" customFormat="1" customHeight="1" spans="1:111">
      <c r="A715" s="1289">
        <v>46115</v>
      </c>
      <c r="B715" s="1417" t="s">
        <v>2382</v>
      </c>
      <c r="C715" s="1434" t="s">
        <v>201</v>
      </c>
      <c r="D715" s="1437">
        <v>4500200098</v>
      </c>
      <c r="E715" s="1436">
        <v>10340331267</v>
      </c>
      <c r="F715" s="1437" t="s">
        <v>2969</v>
      </c>
      <c r="G715" s="1438" t="s">
        <v>482</v>
      </c>
      <c r="H715" s="504" t="s">
        <v>483</v>
      </c>
      <c r="I715" s="1439">
        <v>4320</v>
      </c>
      <c r="J715" s="1434">
        <v>0</v>
      </c>
      <c r="K715" s="1434">
        <v>120</v>
      </c>
      <c r="L715" s="1291">
        <f t="shared" si="247"/>
        <v>36</v>
      </c>
      <c r="M715" s="1440">
        <v>46248</v>
      </c>
      <c r="N715" s="1440">
        <v>46246</v>
      </c>
      <c r="O715" s="1545"/>
      <c r="P715" s="506"/>
      <c r="Q715" s="506"/>
      <c r="R715" s="504"/>
      <c r="S715" s="504"/>
      <c r="T715" s="506"/>
      <c r="U715" s="500">
        <f t="shared" si="242"/>
        <v>-4320</v>
      </c>
      <c r="V715" s="504"/>
      <c r="W715" s="1300" t="s">
        <v>2658</v>
      </c>
      <c r="X715" s="1308" t="s">
        <v>107</v>
      </c>
      <c r="Y715" s="1308" t="s">
        <v>95</v>
      </c>
      <c r="Z715" s="543"/>
      <c r="AA715" s="543"/>
      <c r="AB715" s="543"/>
      <c r="AC715" s="543" t="s">
        <v>636</v>
      </c>
      <c r="AD715" s="507" t="s">
        <v>488</v>
      </c>
      <c r="AE715" s="502">
        <v>1070</v>
      </c>
      <c r="AF715" s="503">
        <f>I715*AE715</f>
        <v>4622400</v>
      </c>
      <c r="AG715" s="1295"/>
      <c r="AH715" s="504" t="s">
        <v>490</v>
      </c>
      <c r="AI715" s="504" t="s">
        <v>112</v>
      </c>
      <c r="AJ715" s="498" t="s">
        <v>113</v>
      </c>
      <c r="AK715" s="502"/>
      <c r="AL715" s="502">
        <f>I715*3</f>
        <v>12960</v>
      </c>
      <c r="AM715" s="1218"/>
      <c r="AN715" s="502"/>
      <c r="AO715" s="502"/>
      <c r="AP715" s="502"/>
      <c r="AQ715" s="1296"/>
      <c r="AR715" s="438"/>
      <c r="AS715" s="1297"/>
      <c r="AT715" s="1297"/>
      <c r="AU715" s="502"/>
      <c r="AV715" s="1612">
        <f>I715*0.06*2</f>
        <v>518.4</v>
      </c>
      <c r="AW715" s="1298"/>
      <c r="AX715" s="502"/>
      <c r="AY715" s="502"/>
      <c r="AZ715" s="502"/>
      <c r="BA715" s="502"/>
      <c r="BB715" s="502">
        <f>I715*3</f>
        <v>12960</v>
      </c>
      <c r="BC715" s="502">
        <f>I715*3</f>
        <v>12960</v>
      </c>
      <c r="BD715" s="502">
        <f>I715*3</f>
        <v>12960</v>
      </c>
      <c r="BE715" s="502">
        <f>I715</f>
        <v>4320</v>
      </c>
      <c r="BF715" s="502">
        <f>I715/6</f>
        <v>720</v>
      </c>
      <c r="BG715" s="502"/>
      <c r="BH715" s="502"/>
      <c r="BI715" s="502"/>
      <c r="BJ715" s="502"/>
      <c r="BK715" s="502"/>
      <c r="BL715" s="502"/>
      <c r="BM715" s="502"/>
      <c r="BN715" s="502"/>
      <c r="BO715" s="1296"/>
      <c r="BP715" s="1296"/>
      <c r="BQ715" s="1218"/>
      <c r="BR715" s="1297"/>
      <c r="BS715" s="1297"/>
      <c r="BT715" s="502"/>
      <c r="BU715" s="502"/>
      <c r="BV715" s="1296"/>
      <c r="BW715" s="1218"/>
      <c r="BX715" s="1218"/>
      <c r="BY715" s="1218"/>
      <c r="BZ715" s="1218"/>
      <c r="CA715" s="1218"/>
      <c r="CB715" s="1218"/>
      <c r="CC715" s="1218"/>
      <c r="CD715" s="1218">
        <f t="shared" si="243"/>
        <v>0</v>
      </c>
      <c r="CE715" s="1218">
        <f t="shared" si="244"/>
        <v>0</v>
      </c>
      <c r="CF715" s="502">
        <f t="shared" si="245"/>
        <v>0</v>
      </c>
      <c r="CG715" s="1218">
        <f t="shared" si="246"/>
        <v>0</v>
      </c>
      <c r="CH715" s="1299"/>
      <c r="CI715" s="1299"/>
      <c r="CJ715" s="1297"/>
      <c r="CK715" s="502"/>
      <c r="CL715" s="502"/>
      <c r="CM715" s="293"/>
      <c r="CN715" s="293"/>
      <c r="CO715" s="293"/>
      <c r="CP715" s="293"/>
      <c r="CQ715" s="293"/>
      <c r="CR715" s="293"/>
      <c r="CS715" s="293"/>
      <c r="CT715" s="293"/>
      <c r="CU715" s="293"/>
      <c r="CV715" s="293"/>
      <c r="CW715" s="293"/>
      <c r="CX715" s="293"/>
      <c r="CY715" s="293"/>
      <c r="CZ715" s="293"/>
      <c r="DA715" s="293"/>
      <c r="DB715" s="293"/>
      <c r="DC715" s="293"/>
      <c r="DD715" s="293"/>
      <c r="DE715" s="293"/>
      <c r="DF715" s="293"/>
      <c r="DG715" s="293"/>
    </row>
    <row r="716" s="1180" customFormat="1" customHeight="1" spans="1:111">
      <c r="A716" s="1289">
        <v>46115</v>
      </c>
      <c r="B716" s="1417" t="s">
        <v>2382</v>
      </c>
      <c r="C716" s="1434" t="s">
        <v>201</v>
      </c>
      <c r="D716" s="1437">
        <v>4500200103</v>
      </c>
      <c r="E716" s="1436">
        <v>10340331269</v>
      </c>
      <c r="F716" s="1437" t="s">
        <v>2970</v>
      </c>
      <c r="G716" s="1438" t="s">
        <v>482</v>
      </c>
      <c r="H716" s="504" t="s">
        <v>483</v>
      </c>
      <c r="I716" s="1439">
        <v>4320</v>
      </c>
      <c r="J716" s="1434">
        <v>0</v>
      </c>
      <c r="K716" s="1434">
        <v>120</v>
      </c>
      <c r="L716" s="1291">
        <f t="shared" si="247"/>
        <v>36</v>
      </c>
      <c r="M716" s="1440">
        <v>46248</v>
      </c>
      <c r="N716" s="1440">
        <v>46246</v>
      </c>
      <c r="O716" s="1545"/>
      <c r="P716" s="506"/>
      <c r="Q716" s="506"/>
      <c r="R716" s="504"/>
      <c r="S716" s="504"/>
      <c r="T716" s="506"/>
      <c r="U716" s="500">
        <f t="shared" si="242"/>
        <v>-4320</v>
      </c>
      <c r="V716" s="504"/>
      <c r="W716" s="1300" t="s">
        <v>2658</v>
      </c>
      <c r="X716" s="1308" t="s">
        <v>107</v>
      </c>
      <c r="Y716" s="1308" t="s">
        <v>95</v>
      </c>
      <c r="Z716" s="543"/>
      <c r="AA716" s="543"/>
      <c r="AB716" s="543"/>
      <c r="AC716" s="543" t="s">
        <v>636</v>
      </c>
      <c r="AD716" s="507" t="s">
        <v>488</v>
      </c>
      <c r="AE716" s="502">
        <v>1070</v>
      </c>
      <c r="AF716" s="503">
        <f>I716*AE716</f>
        <v>4622400</v>
      </c>
      <c r="AG716" s="1295"/>
      <c r="AH716" s="504" t="s">
        <v>490</v>
      </c>
      <c r="AI716" s="504" t="s">
        <v>112</v>
      </c>
      <c r="AJ716" s="498" t="s">
        <v>113</v>
      </c>
      <c r="AK716" s="1437"/>
      <c r="AL716" s="502">
        <f>I716*3</f>
        <v>12960</v>
      </c>
      <c r="AM716" s="1218"/>
      <c r="AN716" s="502"/>
      <c r="AO716" s="502"/>
      <c r="AP716" s="502"/>
      <c r="AQ716" s="1296"/>
      <c r="AR716" s="438"/>
      <c r="AS716" s="1297"/>
      <c r="AT716" s="1297"/>
      <c r="AU716" s="502"/>
      <c r="AV716" s="1612">
        <f>I716*0.06*2</f>
        <v>518.4</v>
      </c>
      <c r="AW716" s="1298"/>
      <c r="AX716" s="502"/>
      <c r="AY716" s="502"/>
      <c r="AZ716" s="502"/>
      <c r="BA716" s="502"/>
      <c r="BB716" s="502">
        <f>I716*3</f>
        <v>12960</v>
      </c>
      <c r="BC716" s="502">
        <f>I716*3</f>
        <v>12960</v>
      </c>
      <c r="BD716" s="502">
        <f>I716*3</f>
        <v>12960</v>
      </c>
      <c r="BE716" s="502">
        <f>I716</f>
        <v>4320</v>
      </c>
      <c r="BF716" s="502">
        <f>I716/6</f>
        <v>720</v>
      </c>
      <c r="BG716" s="502"/>
      <c r="BH716" s="502"/>
      <c r="BI716" s="502"/>
      <c r="BJ716" s="502"/>
      <c r="BK716" s="502"/>
      <c r="BL716" s="502"/>
      <c r="BM716" s="502"/>
      <c r="BN716" s="502"/>
      <c r="BO716" s="1296"/>
      <c r="BP716" s="1296"/>
      <c r="BQ716" s="1218"/>
      <c r="BR716" s="1297"/>
      <c r="BS716" s="1297"/>
      <c r="BT716" s="502"/>
      <c r="BU716" s="502"/>
      <c r="BV716" s="1296"/>
      <c r="BW716" s="1218"/>
      <c r="BX716" s="1218"/>
      <c r="BY716" s="1218"/>
      <c r="BZ716" s="1218"/>
      <c r="CA716" s="1218"/>
      <c r="CB716" s="1218"/>
      <c r="CC716" s="1218"/>
      <c r="CD716" s="1218">
        <f t="shared" si="243"/>
        <v>0</v>
      </c>
      <c r="CE716" s="1218">
        <f t="shared" si="244"/>
        <v>0</v>
      </c>
      <c r="CF716" s="502">
        <f t="shared" si="245"/>
        <v>0</v>
      </c>
      <c r="CG716" s="1218">
        <f t="shared" si="246"/>
        <v>0</v>
      </c>
      <c r="CH716" s="1299"/>
      <c r="CI716" s="1299"/>
      <c r="CJ716" s="1297"/>
      <c r="CK716" s="502"/>
      <c r="CL716" s="502"/>
      <c r="CM716" s="293"/>
      <c r="CN716" s="293"/>
      <c r="CO716" s="293"/>
      <c r="CP716" s="293"/>
      <c r="CQ716" s="293"/>
      <c r="CR716" s="293"/>
      <c r="CS716" s="293"/>
      <c r="CT716" s="293"/>
      <c r="CU716" s="293"/>
      <c r="CV716" s="293"/>
      <c r="CW716" s="293"/>
      <c r="CX716" s="293"/>
      <c r="CY716" s="293"/>
      <c r="CZ716" s="293"/>
      <c r="DA716" s="293"/>
      <c r="DB716" s="293"/>
      <c r="DC716" s="293"/>
      <c r="DD716" s="293"/>
      <c r="DE716" s="293"/>
      <c r="DF716" s="293"/>
      <c r="DG716" s="293"/>
    </row>
    <row r="717" s="1170" customFormat="1" customHeight="1" spans="1:111">
      <c r="A717" s="1396">
        <v>46212</v>
      </c>
      <c r="B717" s="1397" t="s">
        <v>346</v>
      </c>
      <c r="C717" s="498" t="s">
        <v>115</v>
      </c>
      <c r="D717" s="496">
        <v>4500215859</v>
      </c>
      <c r="E717" s="1897" t="s">
        <v>2971</v>
      </c>
      <c r="F717" s="496" t="s">
        <v>2972</v>
      </c>
      <c r="G717" s="1623" t="s">
        <v>1016</v>
      </c>
      <c r="H717" s="498" t="s">
        <v>350</v>
      </c>
      <c r="I717" s="1399">
        <v>13440</v>
      </c>
      <c r="J717" s="498">
        <v>0</v>
      </c>
      <c r="K717" s="498">
        <v>960</v>
      </c>
      <c r="L717" s="1400">
        <f t="shared" si="247"/>
        <v>14</v>
      </c>
      <c r="M717" s="1401">
        <v>46248</v>
      </c>
      <c r="N717" s="1401">
        <f>M717-2</f>
        <v>46246</v>
      </c>
      <c r="O717" s="495"/>
      <c r="P717" s="500" t="s">
        <v>2912</v>
      </c>
      <c r="Q717" s="500"/>
      <c r="R717" s="1207" t="s">
        <v>2809</v>
      </c>
      <c r="S717" s="498"/>
      <c r="T717" s="500">
        <v>13440</v>
      </c>
      <c r="U717" s="500">
        <f t="shared" si="242"/>
        <v>0</v>
      </c>
      <c r="V717" s="498" t="s">
        <v>120</v>
      </c>
      <c r="W717" s="1404" t="s">
        <v>1572</v>
      </c>
      <c r="X717" s="1405" t="s">
        <v>95</v>
      </c>
      <c r="Y717" s="1432" t="s">
        <v>2801</v>
      </c>
      <c r="Z717" s="1397"/>
      <c r="AA717" s="1397"/>
      <c r="AB717" s="1397"/>
      <c r="AC717" s="1535" t="s">
        <v>2973</v>
      </c>
      <c r="AD717" s="495" t="s">
        <v>354</v>
      </c>
      <c r="AE717" s="496">
        <v>665.145</v>
      </c>
      <c r="AF717" s="497">
        <f t="shared" ref="AF717:AF722" si="250">AE717*L717</f>
        <v>9312.03</v>
      </c>
      <c r="AG717" s="1406"/>
      <c r="AH717" s="499" t="s">
        <v>356</v>
      </c>
      <c r="AI717" s="498" t="s">
        <v>112</v>
      </c>
      <c r="AJ717" s="498" t="s">
        <v>113</v>
      </c>
      <c r="AK717" s="496">
        <f t="shared" ref="AK717:AK725" si="251">I717</f>
        <v>13440</v>
      </c>
      <c r="AL717" s="496"/>
      <c r="AM717" s="496"/>
      <c r="AN717" s="496"/>
      <c r="AO717" s="496"/>
      <c r="AP717" s="496"/>
      <c r="AQ717" s="1407"/>
      <c r="AR717" s="496"/>
      <c r="AS717" s="1408"/>
      <c r="AT717" s="1408">
        <f>I717</f>
        <v>13440</v>
      </c>
      <c r="AU717" s="496">
        <f t="shared" ref="AU717:AU723" si="252">I717</f>
        <v>13440</v>
      </c>
      <c r="AV717" s="1409"/>
      <c r="AW717" s="1409"/>
      <c r="AX717" s="496"/>
      <c r="AY717" s="496"/>
      <c r="AZ717" s="496"/>
      <c r="BA717" s="496"/>
      <c r="BB717" s="496"/>
      <c r="BC717" s="496"/>
      <c r="BD717" s="496"/>
      <c r="BE717" s="496"/>
      <c r="BF717" s="496"/>
      <c r="BG717" s="496"/>
      <c r="BH717" s="496"/>
      <c r="BI717" s="496"/>
      <c r="BJ717" s="496"/>
      <c r="BK717" s="496"/>
      <c r="BL717" s="496"/>
      <c r="BM717" s="496"/>
      <c r="BN717" s="496"/>
      <c r="BO717" s="1407"/>
      <c r="BP717" s="1407"/>
      <c r="BQ717" s="496"/>
      <c r="BR717" s="1408">
        <f>I717/16</f>
        <v>840</v>
      </c>
      <c r="BS717" s="1408"/>
      <c r="BT717" s="496"/>
      <c r="BU717" s="496"/>
      <c r="BV717" s="1407"/>
      <c r="BW717" s="496"/>
      <c r="BX717" s="496"/>
      <c r="BY717" s="496"/>
      <c r="BZ717" s="496"/>
      <c r="CA717" s="496"/>
      <c r="CB717" s="496"/>
      <c r="CC717" s="496"/>
      <c r="CD717" s="496">
        <f t="shared" si="243"/>
        <v>840</v>
      </c>
      <c r="CE717" s="496">
        <f t="shared" si="244"/>
        <v>0</v>
      </c>
      <c r="CF717" s="496">
        <f t="shared" si="245"/>
        <v>0</v>
      </c>
      <c r="CG717" s="496">
        <f t="shared" si="246"/>
        <v>0</v>
      </c>
      <c r="CH717" s="1408"/>
      <c r="CI717" s="1408"/>
      <c r="CJ717" s="1408"/>
      <c r="CK717" s="496"/>
      <c r="CL717" s="496"/>
    </row>
    <row r="718" s="1170" customFormat="1" customHeight="1" spans="1:111">
      <c r="A718" s="1396">
        <v>46212</v>
      </c>
      <c r="B718" s="1447" t="s">
        <v>346</v>
      </c>
      <c r="C718" s="1448" t="s">
        <v>115</v>
      </c>
      <c r="D718" s="1450">
        <v>4500215859</v>
      </c>
      <c r="E718" s="1898" t="s">
        <v>2974</v>
      </c>
      <c r="F718" s="1450" t="s">
        <v>2975</v>
      </c>
      <c r="G718" s="1623" t="s">
        <v>1016</v>
      </c>
      <c r="H718" s="1448" t="s">
        <v>350</v>
      </c>
      <c r="I718" s="1452">
        <v>13440</v>
      </c>
      <c r="J718" s="1448">
        <v>0</v>
      </c>
      <c r="K718" s="1448">
        <v>960</v>
      </c>
      <c r="L718" s="1400">
        <f t="shared" si="247"/>
        <v>14</v>
      </c>
      <c r="M718" s="1458">
        <v>46248</v>
      </c>
      <c r="N718" s="1401">
        <f>M718-2</f>
        <v>46246</v>
      </c>
      <c r="O718" s="1444"/>
      <c r="P718" s="500" t="s">
        <v>2912</v>
      </c>
      <c r="Q718" s="500"/>
      <c r="R718" s="498"/>
      <c r="S718" s="498"/>
      <c r="T718" s="500">
        <v>13440</v>
      </c>
      <c r="U718" s="500">
        <f t="shared" si="242"/>
        <v>0</v>
      </c>
      <c r="V718" s="498" t="s">
        <v>120</v>
      </c>
      <c r="W718" s="1404" t="s">
        <v>1572</v>
      </c>
      <c r="X718" s="1405" t="s">
        <v>95</v>
      </c>
      <c r="Y718" s="1432" t="s">
        <v>2801</v>
      </c>
      <c r="Z718" s="1397"/>
      <c r="AA718" s="1397"/>
      <c r="AB718" s="1397"/>
      <c r="AC718" s="1535" t="s">
        <v>2973</v>
      </c>
      <c r="AD718" s="1444" t="s">
        <v>354</v>
      </c>
      <c r="AE718" s="496">
        <v>665.145</v>
      </c>
      <c r="AF718" s="497">
        <f t="shared" si="250"/>
        <v>9312.03</v>
      </c>
      <c r="AG718" s="1406"/>
      <c r="AH718" s="499" t="s">
        <v>356</v>
      </c>
      <c r="AI718" s="498" t="s">
        <v>112</v>
      </c>
      <c r="AJ718" s="498" t="s">
        <v>113</v>
      </c>
      <c r="AK718" s="496">
        <f t="shared" si="251"/>
        <v>13440</v>
      </c>
      <c r="AL718" s="496"/>
      <c r="AM718" s="496"/>
      <c r="AN718" s="496"/>
      <c r="AO718" s="496"/>
      <c r="AP718" s="496"/>
      <c r="AQ718" s="1407"/>
      <c r="AR718" s="496"/>
      <c r="AS718" s="1408"/>
      <c r="AT718" s="1408">
        <f>I718</f>
        <v>13440</v>
      </c>
      <c r="AU718" s="496">
        <f t="shared" si="252"/>
        <v>13440</v>
      </c>
      <c r="AV718" s="1409"/>
      <c r="AW718" s="1409"/>
      <c r="AX718" s="496"/>
      <c r="AY718" s="496"/>
      <c r="AZ718" s="496"/>
      <c r="BA718" s="496"/>
      <c r="BB718" s="496"/>
      <c r="BC718" s="496"/>
      <c r="BD718" s="496"/>
      <c r="BE718" s="496"/>
      <c r="BF718" s="496"/>
      <c r="BG718" s="496"/>
      <c r="BH718" s="496"/>
      <c r="BI718" s="496"/>
      <c r="BJ718" s="496"/>
      <c r="BK718" s="496"/>
      <c r="BL718" s="496"/>
      <c r="BM718" s="496"/>
      <c r="BN718" s="496"/>
      <c r="BO718" s="1407"/>
      <c r="BP718" s="1407"/>
      <c r="BQ718" s="496"/>
      <c r="BR718" s="1408">
        <f>I718/16</f>
        <v>840</v>
      </c>
      <c r="BS718" s="1408"/>
      <c r="BT718" s="496"/>
      <c r="BU718" s="496"/>
      <c r="BV718" s="1407"/>
      <c r="BW718" s="496"/>
      <c r="BX718" s="496"/>
      <c r="BY718" s="496"/>
      <c r="BZ718" s="496"/>
      <c r="CA718" s="496"/>
      <c r="CB718" s="496"/>
      <c r="CC718" s="496"/>
      <c r="CD718" s="496">
        <f t="shared" si="243"/>
        <v>840</v>
      </c>
      <c r="CE718" s="496">
        <f t="shared" si="244"/>
        <v>0</v>
      </c>
      <c r="CF718" s="496">
        <f t="shared" si="245"/>
        <v>0</v>
      </c>
      <c r="CG718" s="496">
        <f t="shared" si="246"/>
        <v>0</v>
      </c>
      <c r="CH718" s="1408"/>
      <c r="CI718" s="1408"/>
      <c r="CJ718" s="1408"/>
      <c r="CK718" s="496"/>
      <c r="CL718" s="496"/>
    </row>
    <row r="719" s="1170" customFormat="1" customHeight="1" spans="1:111">
      <c r="A719" s="1396">
        <v>46212</v>
      </c>
      <c r="B719" s="1447" t="s">
        <v>346</v>
      </c>
      <c r="C719" s="1448" t="s">
        <v>115</v>
      </c>
      <c r="D719" s="1450">
        <v>4500215859</v>
      </c>
      <c r="E719" s="1898" t="s">
        <v>2976</v>
      </c>
      <c r="F719" s="1450" t="s">
        <v>2977</v>
      </c>
      <c r="G719" s="1623" t="s">
        <v>1016</v>
      </c>
      <c r="H719" s="1448" t="s">
        <v>350</v>
      </c>
      <c r="I719" s="1452">
        <v>18240</v>
      </c>
      <c r="J719" s="1448">
        <v>0</v>
      </c>
      <c r="K719" s="1448">
        <v>960</v>
      </c>
      <c r="L719" s="1400">
        <f t="shared" si="247"/>
        <v>19</v>
      </c>
      <c r="M719" s="1458">
        <v>46248</v>
      </c>
      <c r="N719" s="1401">
        <f>M719-2</f>
        <v>46246</v>
      </c>
      <c r="O719" s="1444"/>
      <c r="P719" s="500" t="s">
        <v>2912</v>
      </c>
      <c r="Q719" s="500"/>
      <c r="R719" s="498" t="s">
        <v>2652</v>
      </c>
      <c r="S719" s="498"/>
      <c r="T719" s="500">
        <v>18240</v>
      </c>
      <c r="U719" s="500">
        <f t="shared" si="242"/>
        <v>0</v>
      </c>
      <c r="V719" s="498" t="s">
        <v>120</v>
      </c>
      <c r="W719" s="1431" t="s">
        <v>1572</v>
      </c>
      <c r="X719" s="1405" t="s">
        <v>95</v>
      </c>
      <c r="Y719" s="1432" t="s">
        <v>2801</v>
      </c>
      <c r="Z719" s="1397"/>
      <c r="AA719" s="1397"/>
      <c r="AB719" s="1397"/>
      <c r="AC719" s="1535" t="s">
        <v>2973</v>
      </c>
      <c r="AD719" s="1444" t="s">
        <v>354</v>
      </c>
      <c r="AE719" s="496">
        <v>665.1447</v>
      </c>
      <c r="AF719" s="497">
        <f t="shared" si="250"/>
        <v>12637.7493</v>
      </c>
      <c r="AG719" s="1406"/>
      <c r="AH719" s="499" t="s">
        <v>356</v>
      </c>
      <c r="AI719" s="498" t="s">
        <v>112</v>
      </c>
      <c r="AJ719" s="498" t="s">
        <v>113</v>
      </c>
      <c r="AK719" s="496">
        <f t="shared" si="251"/>
        <v>18240</v>
      </c>
      <c r="AL719" s="496"/>
      <c r="AM719" s="496"/>
      <c r="AN719" s="496"/>
      <c r="AO719" s="496"/>
      <c r="AP719" s="496"/>
      <c r="AQ719" s="1407"/>
      <c r="AR719" s="496"/>
      <c r="AS719" s="1408"/>
      <c r="AT719" s="1408">
        <f>I719</f>
        <v>18240</v>
      </c>
      <c r="AU719" s="496">
        <f t="shared" si="252"/>
        <v>18240</v>
      </c>
      <c r="AV719" s="1409"/>
      <c r="AW719" s="1409"/>
      <c r="AX719" s="496"/>
      <c r="AY719" s="496"/>
      <c r="AZ719" s="496"/>
      <c r="BA719" s="496"/>
      <c r="BB719" s="496"/>
      <c r="BC719" s="496"/>
      <c r="BD719" s="496"/>
      <c r="BE719" s="496"/>
      <c r="BF719" s="496"/>
      <c r="BG719" s="496"/>
      <c r="BH719" s="496"/>
      <c r="BI719" s="496"/>
      <c r="BJ719" s="496"/>
      <c r="BK719" s="496"/>
      <c r="BL719" s="496"/>
      <c r="BM719" s="496"/>
      <c r="BN719" s="496"/>
      <c r="BO719" s="1407"/>
      <c r="BP719" s="1407"/>
      <c r="BQ719" s="496"/>
      <c r="BR719" s="1408">
        <f>I719/16</f>
        <v>1140</v>
      </c>
      <c r="BS719" s="1408"/>
      <c r="BT719" s="496"/>
      <c r="BU719" s="496"/>
      <c r="BV719" s="1407"/>
      <c r="BW719" s="496"/>
      <c r="BX719" s="496"/>
      <c r="BY719" s="496"/>
      <c r="BZ719" s="496"/>
      <c r="CA719" s="496"/>
      <c r="CB719" s="496"/>
      <c r="CC719" s="496"/>
      <c r="CD719" s="496">
        <f t="shared" si="243"/>
        <v>1140</v>
      </c>
      <c r="CE719" s="496">
        <f t="shared" si="244"/>
        <v>0</v>
      </c>
      <c r="CF719" s="496">
        <f t="shared" si="245"/>
        <v>0</v>
      </c>
      <c r="CG719" s="496">
        <f t="shared" si="246"/>
        <v>0</v>
      </c>
      <c r="CH719" s="1408"/>
      <c r="CI719" s="1408"/>
      <c r="CJ719" s="1408"/>
      <c r="CK719" s="496"/>
      <c r="CL719" s="496"/>
    </row>
    <row r="720" s="1170" customFormat="1" customHeight="1" spans="1:111">
      <c r="A720" s="1396">
        <v>46212</v>
      </c>
      <c r="B720" s="1447" t="s">
        <v>346</v>
      </c>
      <c r="C720" s="1448" t="s">
        <v>115</v>
      </c>
      <c r="D720" s="1450">
        <v>4500215859</v>
      </c>
      <c r="E720" s="1898" t="s">
        <v>2978</v>
      </c>
      <c r="F720" s="1624" t="s">
        <v>2979</v>
      </c>
      <c r="G720" s="1625" t="s">
        <v>380</v>
      </c>
      <c r="H720" s="1448" t="s">
        <v>350</v>
      </c>
      <c r="I720" s="1452">
        <v>10560</v>
      </c>
      <c r="J720" s="1448">
        <v>0</v>
      </c>
      <c r="K720" s="1505">
        <v>16</v>
      </c>
      <c r="L720" s="1626">
        <f t="shared" si="247"/>
        <v>660</v>
      </c>
      <c r="M720" s="1458">
        <v>46248</v>
      </c>
      <c r="N720" s="1401">
        <f>M720-2</f>
        <v>46246</v>
      </c>
      <c r="O720" s="1444"/>
      <c r="P720" s="500" t="s">
        <v>2912</v>
      </c>
      <c r="Q720" s="500"/>
      <c r="R720" s="498"/>
      <c r="S720" s="498"/>
      <c r="T720" s="500">
        <v>10560</v>
      </c>
      <c r="U720" s="500">
        <f t="shared" si="242"/>
        <v>0</v>
      </c>
      <c r="V720" s="498" t="s">
        <v>120</v>
      </c>
      <c r="W720" s="1404" t="s">
        <v>1572</v>
      </c>
      <c r="X720" s="1405" t="s">
        <v>95</v>
      </c>
      <c r="Y720" s="1432" t="s">
        <v>2801</v>
      </c>
      <c r="Z720" s="1397"/>
      <c r="AA720" s="1397"/>
      <c r="AB720" s="1397"/>
      <c r="AC720" s="1535" t="s">
        <v>2973</v>
      </c>
      <c r="AD720" s="1444" t="s">
        <v>354</v>
      </c>
      <c r="AE720" s="496">
        <v>665.1445</v>
      </c>
      <c r="AF720" s="497">
        <f t="shared" si="250"/>
        <v>438995.37</v>
      </c>
      <c r="AG720" s="1406"/>
      <c r="AH720" s="499" t="s">
        <v>356</v>
      </c>
      <c r="AI720" s="498" t="s">
        <v>112</v>
      </c>
      <c r="AJ720" s="498" t="s">
        <v>113</v>
      </c>
      <c r="AK720" s="496">
        <f t="shared" si="251"/>
        <v>10560</v>
      </c>
      <c r="AL720" s="496"/>
      <c r="AM720" s="496"/>
      <c r="AN720" s="496"/>
      <c r="AO720" s="496"/>
      <c r="AP720" s="496"/>
      <c r="AQ720" s="1407"/>
      <c r="AR720" s="496"/>
      <c r="AS720" s="1408"/>
      <c r="AT720" s="1408">
        <f>I720</f>
        <v>10560</v>
      </c>
      <c r="AU720" s="496">
        <f t="shared" si="252"/>
        <v>10560</v>
      </c>
      <c r="AV720" s="1409"/>
      <c r="AW720" s="1409"/>
      <c r="AX720" s="496"/>
      <c r="AY720" s="496"/>
      <c r="AZ720" s="496"/>
      <c r="BA720" s="496"/>
      <c r="BB720" s="496"/>
      <c r="BC720" s="496"/>
      <c r="BD720" s="496"/>
      <c r="BE720" s="496"/>
      <c r="BF720" s="496"/>
      <c r="BG720" s="496"/>
      <c r="BH720" s="496"/>
      <c r="BI720" s="496"/>
      <c r="BJ720" s="496"/>
      <c r="BK720" s="496"/>
      <c r="BL720" s="496"/>
      <c r="BM720" s="496"/>
      <c r="BN720" s="496"/>
      <c r="BO720" s="1407"/>
      <c r="BP720" s="1407"/>
      <c r="BQ720" s="496"/>
      <c r="BR720" s="1408">
        <f>I720/16</f>
        <v>660</v>
      </c>
      <c r="BS720" s="1408"/>
      <c r="BT720" s="496"/>
      <c r="BU720" s="496"/>
      <c r="BV720" s="1407"/>
      <c r="BW720" s="496"/>
      <c r="BX720" s="496"/>
      <c r="BY720" s="496"/>
      <c r="BZ720" s="496"/>
      <c r="CA720" s="496"/>
      <c r="CB720" s="496"/>
      <c r="CC720" s="496"/>
      <c r="CD720" s="496">
        <f t="shared" si="243"/>
        <v>660</v>
      </c>
      <c r="CE720" s="496">
        <f t="shared" si="244"/>
        <v>0</v>
      </c>
      <c r="CF720" s="496">
        <f t="shared" si="245"/>
        <v>0</v>
      </c>
      <c r="CG720" s="496">
        <f t="shared" si="246"/>
        <v>0</v>
      </c>
      <c r="CH720" s="1408"/>
      <c r="CI720" s="1408"/>
      <c r="CJ720" s="1408"/>
      <c r="CK720" s="496"/>
      <c r="CL720" s="496"/>
    </row>
    <row r="721" s="1170" customFormat="1" customHeight="1" spans="1:111">
      <c r="A721" s="1396">
        <v>46212</v>
      </c>
      <c r="B721" s="1397" t="s">
        <v>346</v>
      </c>
      <c r="C721" s="498" t="s">
        <v>115</v>
      </c>
      <c r="D721" s="496">
        <v>4500215859</v>
      </c>
      <c r="E721" s="1899" t="s">
        <v>2980</v>
      </c>
      <c r="F721" s="496" t="s">
        <v>2981</v>
      </c>
      <c r="G721" s="1623" t="s">
        <v>1016</v>
      </c>
      <c r="H721" s="498" t="s">
        <v>350</v>
      </c>
      <c r="I721" s="1399">
        <v>19200</v>
      </c>
      <c r="J721" s="498">
        <v>0</v>
      </c>
      <c r="K721" s="498">
        <v>960</v>
      </c>
      <c r="L721" s="1400">
        <f t="shared" si="247"/>
        <v>20</v>
      </c>
      <c r="M721" s="1401">
        <v>46248</v>
      </c>
      <c r="N721" s="1401">
        <f>M721-2</f>
        <v>46246</v>
      </c>
      <c r="O721" s="1444"/>
      <c r="P721" s="500" t="s">
        <v>2912</v>
      </c>
      <c r="Q721" s="500"/>
      <c r="R721" s="498"/>
      <c r="S721" s="498"/>
      <c r="T721" s="500">
        <v>19200</v>
      </c>
      <c r="U721" s="500">
        <f t="shared" si="242"/>
        <v>0</v>
      </c>
      <c r="V721" s="498" t="s">
        <v>120</v>
      </c>
      <c r="W721" s="1404" t="s">
        <v>1572</v>
      </c>
      <c r="X721" s="1432" t="s">
        <v>95</v>
      </c>
      <c r="Y721" s="1432" t="s">
        <v>2801</v>
      </c>
      <c r="Z721" s="1397"/>
      <c r="AA721" s="1397"/>
      <c r="AB721" s="1397"/>
      <c r="AC721" s="1535" t="s">
        <v>2973</v>
      </c>
      <c r="AD721" s="495" t="s">
        <v>354</v>
      </c>
      <c r="AE721" s="496">
        <v>657.8405</v>
      </c>
      <c r="AF721" s="497">
        <f t="shared" si="250"/>
        <v>13156.81</v>
      </c>
      <c r="AG721" s="1406"/>
      <c r="AH721" s="499" t="s">
        <v>356</v>
      </c>
      <c r="AI721" s="498" t="s">
        <v>112</v>
      </c>
      <c r="AJ721" s="498" t="s">
        <v>113</v>
      </c>
      <c r="AK721" s="496">
        <f t="shared" si="251"/>
        <v>19200</v>
      </c>
      <c r="AL721" s="496"/>
      <c r="AM721" s="496"/>
      <c r="AN721" s="496"/>
      <c r="AO721" s="496"/>
      <c r="AP721" s="496"/>
      <c r="AQ721" s="1407"/>
      <c r="AR721" s="496"/>
      <c r="AS721" s="1408"/>
      <c r="AT721" s="1408">
        <f>I721</f>
        <v>19200</v>
      </c>
      <c r="AU721" s="496">
        <f t="shared" si="252"/>
        <v>19200</v>
      </c>
      <c r="AV721" s="1409"/>
      <c r="AW721" s="1409"/>
      <c r="AX721" s="496"/>
      <c r="AY721" s="496"/>
      <c r="AZ721" s="496"/>
      <c r="BA721" s="496"/>
      <c r="BB721" s="496"/>
      <c r="BC721" s="496"/>
      <c r="BD721" s="496"/>
      <c r="BE721" s="496"/>
      <c r="BF721" s="496"/>
      <c r="BG721" s="496"/>
      <c r="BH721" s="496"/>
      <c r="BI721" s="496"/>
      <c r="BJ721" s="496"/>
      <c r="BK721" s="496"/>
      <c r="BL721" s="496"/>
      <c r="BM721" s="496"/>
      <c r="BN721" s="496"/>
      <c r="BO721" s="1407"/>
      <c r="BP721" s="1407"/>
      <c r="BQ721" s="496"/>
      <c r="BR721" s="1408">
        <f>I721/16</f>
        <v>1200</v>
      </c>
      <c r="BS721" s="1408"/>
      <c r="BT721" s="496"/>
      <c r="BU721" s="496"/>
      <c r="BV721" s="1407"/>
      <c r="BW721" s="496"/>
      <c r="BX721" s="496"/>
      <c r="BY721" s="496"/>
      <c r="BZ721" s="496"/>
      <c r="CA721" s="496"/>
      <c r="CB721" s="496"/>
      <c r="CC721" s="496"/>
      <c r="CD721" s="496">
        <f t="shared" si="243"/>
        <v>1200</v>
      </c>
      <c r="CE721" s="496">
        <f t="shared" si="244"/>
        <v>0</v>
      </c>
      <c r="CF721" s="496">
        <f t="shared" si="245"/>
        <v>0</v>
      </c>
      <c r="CG721" s="496">
        <f t="shared" si="246"/>
        <v>0</v>
      </c>
      <c r="CH721" s="1408"/>
      <c r="CI721" s="1408"/>
      <c r="CJ721" s="1408"/>
      <c r="CK721" s="496"/>
      <c r="CL721" s="496"/>
    </row>
    <row r="722" s="293" customFormat="1" customHeight="1" spans="1:111">
      <c r="A722" s="1309">
        <v>46178</v>
      </c>
      <c r="B722" s="1552" t="s">
        <v>1934</v>
      </c>
      <c r="C722" s="1553" t="s">
        <v>291</v>
      </c>
      <c r="D722" s="1555">
        <v>4500210803</v>
      </c>
      <c r="E722" s="1628">
        <v>17409536</v>
      </c>
      <c r="F722" s="1555" t="s">
        <v>2982</v>
      </c>
      <c r="G722" s="1556" t="s">
        <v>799</v>
      </c>
      <c r="H722" s="1553" t="s">
        <v>800</v>
      </c>
      <c r="I722" s="1557">
        <v>1200</v>
      </c>
      <c r="J722" s="1553">
        <v>0</v>
      </c>
      <c r="K722" s="1553">
        <v>30</v>
      </c>
      <c r="L722" s="1544">
        <f t="shared" si="247"/>
        <v>40</v>
      </c>
      <c r="M722" s="1545">
        <v>46248</v>
      </c>
      <c r="N722" s="1416">
        <v>46248</v>
      </c>
      <c r="O722" s="1545"/>
      <c r="P722" s="1313" t="s">
        <v>1937</v>
      </c>
      <c r="Q722" s="1313"/>
      <c r="R722" s="488"/>
      <c r="S722" s="488"/>
      <c r="T722" s="1313">
        <v>1200</v>
      </c>
      <c r="U722" s="500">
        <f t="shared" si="242"/>
        <v>0</v>
      </c>
      <c r="V722" s="488"/>
      <c r="W722" s="1300" t="s">
        <v>2922</v>
      </c>
      <c r="X722" s="1301" t="s">
        <v>95</v>
      </c>
      <c r="Y722" s="1301" t="s">
        <v>2983</v>
      </c>
      <c r="Z722" s="544"/>
      <c r="AA722" s="544"/>
      <c r="AB722" s="544"/>
      <c r="AC722" s="1560" t="s">
        <v>2984</v>
      </c>
      <c r="AD722" s="1416" t="s">
        <v>450</v>
      </c>
      <c r="AE722" s="327">
        <v>42.021</v>
      </c>
      <c r="AF722" s="1315">
        <f t="shared" si="250"/>
        <v>1680.84</v>
      </c>
      <c r="AG722" s="1295"/>
      <c r="AH722" s="505" t="s">
        <v>799</v>
      </c>
      <c r="AI722" s="488" t="s">
        <v>112</v>
      </c>
      <c r="AJ722" s="498" t="s">
        <v>113</v>
      </c>
      <c r="AK722" s="327">
        <f t="shared" si="251"/>
        <v>1200</v>
      </c>
      <c r="AL722" s="327"/>
      <c r="AM722" s="327"/>
      <c r="AN722" s="327"/>
      <c r="AO722" s="502"/>
      <c r="AP722" s="502">
        <f>I722</f>
        <v>1200</v>
      </c>
      <c r="AQ722" s="1296"/>
      <c r="AR722" s="438"/>
      <c r="AS722" s="1297"/>
      <c r="AT722" s="1297"/>
      <c r="AU722" s="502">
        <f t="shared" si="252"/>
        <v>1200</v>
      </c>
      <c r="AV722" s="1298">
        <f>I722*0.06*2</f>
        <v>144</v>
      </c>
      <c r="AW722" s="1318"/>
      <c r="AX722" s="327"/>
      <c r="AY722" s="327"/>
      <c r="AZ722" s="327"/>
      <c r="BA722" s="327"/>
      <c r="BB722" s="327"/>
      <c r="BC722" s="327"/>
      <c r="BD722" s="327"/>
      <c r="BE722" s="327"/>
      <c r="BF722" s="327"/>
      <c r="BG722" s="327"/>
      <c r="BH722" s="327"/>
      <c r="BI722" s="327"/>
      <c r="BJ722" s="327"/>
      <c r="BK722" s="327"/>
      <c r="BL722" s="327"/>
      <c r="BM722" s="327"/>
      <c r="BN722" s="327"/>
      <c r="BO722" s="1316"/>
      <c r="BP722" s="1316"/>
      <c r="BQ722" s="327"/>
      <c r="BR722" s="1317"/>
      <c r="BS722" s="1317"/>
      <c r="BT722" s="327"/>
      <c r="BU722" s="327"/>
      <c r="BV722" s="1316"/>
      <c r="BW722" s="327"/>
      <c r="BX722" s="327"/>
      <c r="BY722" s="327"/>
      <c r="BZ722" s="327"/>
      <c r="CA722" s="327"/>
      <c r="CB722" s="327"/>
      <c r="CC722" s="327">
        <f>I722/30</f>
        <v>40</v>
      </c>
      <c r="CD722" s="1218">
        <f t="shared" si="243"/>
        <v>0</v>
      </c>
      <c r="CE722" s="1218">
        <f t="shared" si="244"/>
        <v>0</v>
      </c>
      <c r="CF722" s="502">
        <f t="shared" si="245"/>
        <v>40</v>
      </c>
      <c r="CG722" s="1218">
        <f t="shared" si="246"/>
        <v>0</v>
      </c>
      <c r="CH722" s="1317"/>
      <c r="CI722" s="1317"/>
      <c r="CJ722" s="1317"/>
      <c r="CK722" s="327"/>
      <c r="CL722" s="327"/>
    </row>
    <row r="723" s="1170" customFormat="1" customHeight="1" spans="1:111">
      <c r="A723" s="1396">
        <v>46168</v>
      </c>
      <c r="B723" s="1447" t="s">
        <v>418</v>
      </c>
      <c r="C723" s="1448" t="s">
        <v>115</v>
      </c>
      <c r="D723" s="1457">
        <v>4500209131</v>
      </c>
      <c r="E723" s="1507">
        <v>22409759</v>
      </c>
      <c r="F723" s="1450" t="s">
        <v>2985</v>
      </c>
      <c r="G723" s="1451" t="s">
        <v>188</v>
      </c>
      <c r="H723" s="1448" t="s">
        <v>138</v>
      </c>
      <c r="I723" s="1452">
        <v>3000</v>
      </c>
      <c r="J723" s="1448">
        <v>0</v>
      </c>
      <c r="K723" s="1448">
        <v>50</v>
      </c>
      <c r="L723" s="1400">
        <f t="shared" si="247"/>
        <v>60</v>
      </c>
      <c r="M723" s="1444">
        <v>46248</v>
      </c>
      <c r="N723" s="1458">
        <v>46249</v>
      </c>
      <c r="O723" s="495"/>
      <c r="P723" s="500"/>
      <c r="Q723" s="500"/>
      <c r="R723" s="498" t="s">
        <v>2913</v>
      </c>
      <c r="S723" s="498"/>
      <c r="T723" s="500">
        <v>3000</v>
      </c>
      <c r="U723" s="500">
        <f t="shared" si="242"/>
        <v>0</v>
      </c>
      <c r="V723" s="498"/>
      <c r="W723" s="1404" t="s">
        <v>2922</v>
      </c>
      <c r="X723" s="1405" t="s">
        <v>95</v>
      </c>
      <c r="Y723" s="1405" t="s">
        <v>95</v>
      </c>
      <c r="Z723" s="1397"/>
      <c r="AA723" s="1397"/>
      <c r="AB723" s="1397"/>
      <c r="AC723" s="1453" t="s">
        <v>2986</v>
      </c>
      <c r="AD723" s="1444" t="s">
        <v>421</v>
      </c>
      <c r="AE723" s="496">
        <v>0.6587</v>
      </c>
      <c r="AF723" s="497">
        <f>AE723*I723</f>
        <v>1976.1</v>
      </c>
      <c r="AG723" s="1406"/>
      <c r="AH723" s="498" t="s">
        <v>188</v>
      </c>
      <c r="AI723" s="498" t="s">
        <v>112</v>
      </c>
      <c r="AJ723" s="498" t="s">
        <v>113</v>
      </c>
      <c r="AK723" s="496">
        <f t="shared" si="251"/>
        <v>3000</v>
      </c>
      <c r="AL723" s="496"/>
      <c r="AM723" s="496"/>
      <c r="AN723" s="496">
        <f>I723</f>
        <v>3000</v>
      </c>
      <c r="AO723" s="496"/>
      <c r="AP723" s="496"/>
      <c r="AQ723" s="1407"/>
      <c r="AR723" s="496"/>
      <c r="AS723" s="1408"/>
      <c r="AT723" s="1408"/>
      <c r="AU723" s="496">
        <f t="shared" si="252"/>
        <v>3000</v>
      </c>
      <c r="AV723" s="1409">
        <f>I723*0.06*2</f>
        <v>360</v>
      </c>
      <c r="AW723" s="1409"/>
      <c r="AX723" s="496"/>
      <c r="AY723" s="496"/>
      <c r="AZ723" s="496"/>
      <c r="BA723" s="496"/>
      <c r="BB723" s="496"/>
      <c r="BC723" s="496"/>
      <c r="BD723" s="496"/>
      <c r="BE723" s="496"/>
      <c r="BF723" s="496"/>
      <c r="BG723" s="496"/>
      <c r="BH723" s="496"/>
      <c r="BI723" s="496"/>
      <c r="BJ723" s="496"/>
      <c r="BK723" s="496"/>
      <c r="BL723" s="496"/>
      <c r="BM723" s="496"/>
      <c r="BN723" s="1629">
        <f>I723/25</f>
        <v>120</v>
      </c>
      <c r="BO723" s="1407"/>
      <c r="BP723" s="1407"/>
      <c r="BQ723" s="496"/>
      <c r="BR723" s="1408"/>
      <c r="BS723" s="1408"/>
      <c r="BT723" s="496"/>
      <c r="BU723" s="496"/>
      <c r="BV723" s="1407"/>
      <c r="BW723" s="496"/>
      <c r="BX723" s="496"/>
      <c r="BY723" s="496"/>
      <c r="BZ723" s="496"/>
      <c r="CA723" s="496"/>
      <c r="CB723" s="496"/>
      <c r="CC723" s="496"/>
      <c r="CD723" s="496">
        <f t="shared" si="243"/>
        <v>120</v>
      </c>
      <c r="CE723" s="496">
        <f t="shared" si="244"/>
        <v>0</v>
      </c>
      <c r="CF723" s="496">
        <f t="shared" si="245"/>
        <v>0</v>
      </c>
      <c r="CG723" s="496">
        <f t="shared" si="246"/>
        <v>0</v>
      </c>
      <c r="CH723" s="1408"/>
      <c r="CI723" s="1408"/>
      <c r="CJ723" s="1408"/>
      <c r="CK723" s="496"/>
      <c r="CL723" s="496"/>
    </row>
    <row r="724" s="1168" customFormat="1" customHeight="1" spans="1:111">
      <c r="A724" s="1245">
        <v>46185</v>
      </c>
      <c r="B724" s="1460" t="s">
        <v>280</v>
      </c>
      <c r="C724" s="1461" t="s">
        <v>135</v>
      </c>
      <c r="D724" s="1464">
        <v>4500211844</v>
      </c>
      <c r="E724" s="1463" t="s">
        <v>2987</v>
      </c>
      <c r="F724" s="1464" t="s">
        <v>2988</v>
      </c>
      <c r="G724" s="1465" t="s">
        <v>283</v>
      </c>
      <c r="H724" s="1221" t="s">
        <v>194</v>
      </c>
      <c r="I724" s="1466">
        <v>8060</v>
      </c>
      <c r="J724" s="1467">
        <v>0</v>
      </c>
      <c r="K724" s="1467">
        <v>13</v>
      </c>
      <c r="L724" s="1246">
        <f t="shared" si="247"/>
        <v>620</v>
      </c>
      <c r="M724" s="1225">
        <v>46248</v>
      </c>
      <c r="N724" s="1338">
        <v>46249</v>
      </c>
      <c r="O724" s="1255" t="s">
        <v>2989</v>
      </c>
      <c r="P724" s="1233"/>
      <c r="Q724" s="1233" t="s">
        <v>1410</v>
      </c>
      <c r="R724" s="1234"/>
      <c r="S724" s="1234"/>
      <c r="T724" s="1233">
        <v>8060</v>
      </c>
      <c r="U724" s="1233">
        <f t="shared" si="242"/>
        <v>0</v>
      </c>
      <c r="V724" s="1234"/>
      <c r="W724" s="1238" t="s">
        <v>2990</v>
      </c>
      <c r="X724" s="1227" t="s">
        <v>95</v>
      </c>
      <c r="Y724" s="1227" t="s">
        <v>2493</v>
      </c>
      <c r="Z724" s="1247" t="s">
        <v>2494</v>
      </c>
      <c r="AA724" s="1247"/>
      <c r="AB724" s="1247"/>
      <c r="AC724" s="1358" t="s">
        <v>2604</v>
      </c>
      <c r="AD724" s="1468" t="s">
        <v>1207</v>
      </c>
      <c r="AE724" s="1276">
        <v>1.0755</v>
      </c>
      <c r="AF724" s="1248">
        <f t="shared" ref="AF724:AF732" si="253">I724*AE724</f>
        <v>8668.53</v>
      </c>
      <c r="AG724" s="1258"/>
      <c r="AH724" s="1272" t="s">
        <v>283</v>
      </c>
      <c r="AI724" s="1234" t="s">
        <v>112</v>
      </c>
      <c r="AJ724" s="1234" t="s">
        <v>113</v>
      </c>
      <c r="AK724" s="1188">
        <f t="shared" si="251"/>
        <v>8060</v>
      </c>
      <c r="AL724" s="1188"/>
      <c r="AM724" s="1188"/>
      <c r="AN724" s="1188">
        <f>I724</f>
        <v>8060</v>
      </c>
      <c r="AO724" s="1188"/>
      <c r="AP724" s="1188"/>
      <c r="AQ724" s="1240"/>
      <c r="AR724" s="1188"/>
      <c r="AS724" s="1236"/>
      <c r="AT724" s="1236"/>
      <c r="AU724" s="1188"/>
      <c r="AV724" s="1250">
        <f>I724*0.06</f>
        <v>483.6</v>
      </c>
      <c r="AW724" s="1250">
        <f>I724</f>
        <v>8060</v>
      </c>
      <c r="AX724" s="1188"/>
      <c r="AY724" s="1188"/>
      <c r="AZ724" s="1188"/>
      <c r="BA724" s="1188"/>
      <c r="BB724" s="1188"/>
      <c r="BC724" s="1188"/>
      <c r="BD724" s="1188"/>
      <c r="BE724" s="1188"/>
      <c r="BF724" s="1188"/>
      <c r="BG724" s="1188"/>
      <c r="BH724" s="1188"/>
      <c r="BI724" s="1188"/>
      <c r="BJ724" s="1188"/>
      <c r="BK724" s="1188">
        <f>I724/13</f>
        <v>620</v>
      </c>
      <c r="BL724" s="1188"/>
      <c r="BM724" s="1188"/>
      <c r="BN724" s="1188"/>
      <c r="BO724" s="1240"/>
      <c r="BP724" s="1240"/>
      <c r="BQ724" s="1188"/>
      <c r="BR724" s="1236"/>
      <c r="BS724" s="1236"/>
      <c r="BT724" s="1188"/>
      <c r="BU724" s="1188"/>
      <c r="BV724" s="1240"/>
      <c r="BW724" s="1188"/>
      <c r="BX724" s="1188"/>
      <c r="BY724" s="1188"/>
      <c r="BZ724" s="1188"/>
      <c r="CA724" s="1188"/>
      <c r="CB724" s="1188"/>
      <c r="CC724" s="1188"/>
      <c r="CD724" s="1188">
        <f t="shared" si="243"/>
        <v>0</v>
      </c>
      <c r="CE724" s="1188">
        <f t="shared" si="244"/>
        <v>0</v>
      </c>
      <c r="CF724" s="1188">
        <f t="shared" si="245"/>
        <v>0</v>
      </c>
      <c r="CG724" s="1188">
        <f t="shared" si="246"/>
        <v>0</v>
      </c>
      <c r="CH724" s="1236"/>
      <c r="CI724" s="1236"/>
      <c r="CJ724" s="1236"/>
      <c r="CK724" s="1188"/>
      <c r="CL724" s="1188"/>
    </row>
    <row r="725" s="1168" customFormat="1" customHeight="1" spans="1:111">
      <c r="A725" s="1245">
        <v>46185</v>
      </c>
      <c r="B725" s="1269" t="s">
        <v>280</v>
      </c>
      <c r="C725" s="1287" t="s">
        <v>135</v>
      </c>
      <c r="D725" s="1270">
        <v>4500211844</v>
      </c>
      <c r="E725" s="1271" t="s">
        <v>2991</v>
      </c>
      <c r="F725" s="1270" t="s">
        <v>2992</v>
      </c>
      <c r="G725" s="1272" t="s">
        <v>283</v>
      </c>
      <c r="H725" s="1234" t="s">
        <v>194</v>
      </c>
      <c r="I725" s="1273">
        <v>8060</v>
      </c>
      <c r="J725" s="1274">
        <v>0</v>
      </c>
      <c r="K725" s="1274">
        <v>13</v>
      </c>
      <c r="L725" s="1246">
        <f t="shared" si="247"/>
        <v>620</v>
      </c>
      <c r="M725" s="1255">
        <v>46248</v>
      </c>
      <c r="N725" s="1320">
        <v>46249</v>
      </c>
      <c r="O725" s="1255" t="s">
        <v>2989</v>
      </c>
      <c r="P725" s="1233"/>
      <c r="Q725" s="1233" t="s">
        <v>1410</v>
      </c>
      <c r="R725" s="1234"/>
      <c r="S725" s="1234"/>
      <c r="T725" s="1233">
        <v>8060</v>
      </c>
      <c r="U725" s="1233">
        <f t="shared" si="242"/>
        <v>0</v>
      </c>
      <c r="V725" s="1234"/>
      <c r="W725" s="1238" t="s">
        <v>2990</v>
      </c>
      <c r="X725" s="1257" t="s">
        <v>95</v>
      </c>
      <c r="Y725" s="1227" t="s">
        <v>2493</v>
      </c>
      <c r="Z725" s="1247" t="s">
        <v>2494</v>
      </c>
      <c r="AA725" s="1247"/>
      <c r="AB725" s="1247"/>
      <c r="AC725" s="1321" t="s">
        <v>2604</v>
      </c>
      <c r="AD725" s="1275" t="s">
        <v>1207</v>
      </c>
      <c r="AE725" s="1276">
        <v>1.0755</v>
      </c>
      <c r="AF725" s="1248">
        <f t="shared" si="253"/>
        <v>8668.53</v>
      </c>
      <c r="AG725" s="1258"/>
      <c r="AH725" s="1272" t="s">
        <v>283</v>
      </c>
      <c r="AI725" s="1342" t="s">
        <v>112</v>
      </c>
      <c r="AJ725" s="1234" t="s">
        <v>113</v>
      </c>
      <c r="AK725" s="1188">
        <f t="shared" si="251"/>
        <v>8060</v>
      </c>
      <c r="AL725" s="1188"/>
      <c r="AM725" s="1188"/>
      <c r="AN725" s="1188">
        <f>I725</f>
        <v>8060</v>
      </c>
      <c r="AO725" s="1188"/>
      <c r="AP725" s="1188"/>
      <c r="AQ725" s="1240"/>
      <c r="AR725" s="1188"/>
      <c r="AS725" s="1236"/>
      <c r="AT725" s="1236"/>
      <c r="AU725" s="1188"/>
      <c r="AV725" s="1250">
        <f>I725*0.06</f>
        <v>483.6</v>
      </c>
      <c r="AW725" s="1250">
        <f>I725</f>
        <v>8060</v>
      </c>
      <c r="AX725" s="1188"/>
      <c r="AY725" s="1188"/>
      <c r="AZ725" s="1188"/>
      <c r="BA725" s="1188"/>
      <c r="BB725" s="1188"/>
      <c r="BC725" s="1188"/>
      <c r="BD725" s="1188"/>
      <c r="BE725" s="1188"/>
      <c r="BF725" s="1188"/>
      <c r="BG725" s="1188"/>
      <c r="BH725" s="1188"/>
      <c r="BI725" s="1188"/>
      <c r="BJ725" s="1188"/>
      <c r="BK725" s="1188">
        <f>I725/13</f>
        <v>620</v>
      </c>
      <c r="BL725" s="1172"/>
      <c r="BM725" s="1188"/>
      <c r="BN725" s="1188"/>
      <c r="BO725" s="1240"/>
      <c r="BP725" s="1240"/>
      <c r="BQ725" s="1188"/>
      <c r="BR725" s="1236"/>
      <c r="BS725" s="1236"/>
      <c r="BT725" s="1188"/>
      <c r="BU725" s="1188"/>
      <c r="BV725" s="1240"/>
      <c r="BW725" s="1188"/>
      <c r="BX725" s="1188"/>
      <c r="BY725" s="1188"/>
      <c r="BZ725" s="1188"/>
      <c r="CA725" s="1188"/>
      <c r="CB725" s="1188"/>
      <c r="CC725" s="1188"/>
      <c r="CD725" s="1188">
        <f t="shared" si="243"/>
        <v>0</v>
      </c>
      <c r="CE725" s="1188">
        <f t="shared" si="244"/>
        <v>0</v>
      </c>
      <c r="CF725" s="1188">
        <f t="shared" si="245"/>
        <v>0</v>
      </c>
      <c r="CG725" s="1188">
        <f t="shared" si="246"/>
        <v>0</v>
      </c>
      <c r="CH725" s="1236"/>
      <c r="CI725" s="1236"/>
      <c r="CJ725" s="1236"/>
      <c r="CK725" s="1188"/>
      <c r="CL725" s="1188"/>
    </row>
    <row r="726" s="1169" customFormat="1" customHeight="1" spans="1:111">
      <c r="A726" s="1245">
        <v>46128</v>
      </c>
      <c r="B726" s="1247" t="s">
        <v>1782</v>
      </c>
      <c r="C726" s="1234" t="s">
        <v>115</v>
      </c>
      <c r="D726" s="1188">
        <v>4500202450</v>
      </c>
      <c r="E726" s="1234">
        <v>2173458</v>
      </c>
      <c r="F726" s="1188" t="s">
        <v>2993</v>
      </c>
      <c r="G726" s="1253" t="s">
        <v>389</v>
      </c>
      <c r="H726" s="1234" t="s">
        <v>390</v>
      </c>
      <c r="I726" s="1254">
        <v>504</v>
      </c>
      <c r="J726" s="1234">
        <v>0</v>
      </c>
      <c r="K726" s="1234">
        <v>12</v>
      </c>
      <c r="L726" s="1246">
        <f t="shared" si="247"/>
        <v>42</v>
      </c>
      <c r="M726" s="1320">
        <v>46248</v>
      </c>
      <c r="N726" s="1320">
        <v>46249</v>
      </c>
      <c r="O726" s="1255"/>
      <c r="P726" s="1233"/>
      <c r="Q726" s="1233" t="s">
        <v>1410</v>
      </c>
      <c r="R726" s="1234"/>
      <c r="S726" s="1234"/>
      <c r="T726" s="1233">
        <v>504</v>
      </c>
      <c r="U726" s="1233">
        <f t="shared" si="242"/>
        <v>0</v>
      </c>
      <c r="V726" s="1234"/>
      <c r="W726" s="1238">
        <v>46128</v>
      </c>
      <c r="X726" s="1257" t="s">
        <v>107</v>
      </c>
      <c r="Y726" s="1257" t="s">
        <v>1784</v>
      </c>
      <c r="Z726" s="1247"/>
      <c r="AA726" s="1247"/>
      <c r="AB726" s="1247"/>
      <c r="AC726" s="1247" t="s">
        <v>1788</v>
      </c>
      <c r="AD726" s="1255" t="s">
        <v>421</v>
      </c>
      <c r="AE726" s="1188">
        <v>1.374</v>
      </c>
      <c r="AF726" s="1248">
        <f t="shared" si="253"/>
        <v>692.496</v>
      </c>
      <c r="AG726" s="1266" t="s">
        <v>2994</v>
      </c>
      <c r="AH726" s="1234" t="s">
        <v>389</v>
      </c>
      <c r="AI726" s="1234" t="s">
        <v>112</v>
      </c>
      <c r="AJ726" s="1234" t="s">
        <v>113</v>
      </c>
      <c r="AK726" s="1188">
        <f t="shared" ref="AK726:AK732" si="254">I726*2</f>
        <v>1008</v>
      </c>
      <c r="AL726" s="1188"/>
      <c r="AM726" s="1188"/>
      <c r="AN726" s="1188">
        <f>I726*2</f>
        <v>1008</v>
      </c>
      <c r="AO726" s="1188"/>
      <c r="AP726" s="1188"/>
      <c r="AQ726" s="1240"/>
      <c r="AR726" s="1188"/>
      <c r="AS726" s="1236"/>
      <c r="AT726" s="1236"/>
      <c r="AU726" s="1188">
        <f>I726*2</f>
        <v>1008</v>
      </c>
      <c r="AV726" s="1250">
        <f>I726*0.06*2</f>
        <v>60.48</v>
      </c>
      <c r="AW726" s="1250"/>
      <c r="AX726" s="1188"/>
      <c r="AY726" s="1188"/>
      <c r="AZ726" s="1188"/>
      <c r="BA726" s="1188"/>
      <c r="BB726" s="1188"/>
      <c r="BC726" s="1188"/>
      <c r="BD726" s="1188"/>
      <c r="BE726" s="1188"/>
      <c r="BF726" s="1188"/>
      <c r="BG726" s="1188"/>
      <c r="BH726" s="1188"/>
      <c r="BI726" s="1188"/>
      <c r="BJ726" s="1188"/>
      <c r="BK726" s="1188"/>
      <c r="BL726" s="1188"/>
      <c r="BM726" s="1188"/>
      <c r="BN726" s="1188"/>
      <c r="BO726" s="1240"/>
      <c r="BP726" s="1240"/>
      <c r="BQ726" s="1188"/>
      <c r="BR726" s="1236"/>
      <c r="BS726" s="1236"/>
      <c r="BT726" s="1188"/>
      <c r="BU726" s="1188"/>
      <c r="BV726" s="1240"/>
      <c r="BW726" s="1188"/>
      <c r="BX726" s="1188"/>
      <c r="BY726" s="1188"/>
      <c r="BZ726" s="1188"/>
      <c r="CA726" s="1188"/>
      <c r="CB726" s="1188"/>
      <c r="CC726" s="1188"/>
      <c r="CD726" s="1188">
        <f t="shared" si="243"/>
        <v>0</v>
      </c>
      <c r="CE726" s="1188">
        <f t="shared" si="244"/>
        <v>0</v>
      </c>
      <c r="CF726" s="1188">
        <f t="shared" si="245"/>
        <v>0</v>
      </c>
      <c r="CG726" s="1188">
        <f t="shared" si="246"/>
        <v>0</v>
      </c>
      <c r="CH726" s="1236"/>
      <c r="CI726" s="1236"/>
      <c r="CJ726" s="1236">
        <f t="shared" ref="CJ726:CJ732" si="255">I726</f>
        <v>504</v>
      </c>
      <c r="CK726" s="1188">
        <f t="shared" ref="CK726:CK732" si="256">I726</f>
        <v>504</v>
      </c>
      <c r="CL726" s="1188">
        <f t="shared" ref="CL726:CL732" si="257">I726</f>
        <v>504</v>
      </c>
      <c r="CM726" s="1168"/>
      <c r="CN726" s="1168"/>
      <c r="CO726" s="1168"/>
      <c r="CP726" s="1168"/>
      <c r="CQ726" s="1168"/>
      <c r="CR726" s="1168"/>
      <c r="CS726" s="1168"/>
      <c r="CT726" s="1168"/>
      <c r="CU726" s="1168"/>
      <c r="CV726" s="1168"/>
      <c r="CW726" s="1168"/>
      <c r="CX726" s="1168"/>
      <c r="CY726" s="1168"/>
      <c r="CZ726" s="1168"/>
      <c r="DA726" s="1168"/>
      <c r="DB726" s="1168"/>
      <c r="DC726" s="1168"/>
      <c r="DD726" s="1168"/>
      <c r="DE726" s="1168"/>
      <c r="DF726" s="1168"/>
      <c r="DG726" s="1168"/>
    </row>
    <row r="727" s="1168" customFormat="1" customHeight="1" spans="1:111">
      <c r="A727" s="1245">
        <v>46128</v>
      </c>
      <c r="B727" s="1247" t="s">
        <v>1782</v>
      </c>
      <c r="C727" s="1234" t="s">
        <v>115</v>
      </c>
      <c r="D727" s="1188">
        <v>4500202450</v>
      </c>
      <c r="E727" s="1234">
        <v>2173457</v>
      </c>
      <c r="F727" s="1188" t="s">
        <v>2995</v>
      </c>
      <c r="G727" s="1253" t="s">
        <v>389</v>
      </c>
      <c r="H727" s="1234" t="s">
        <v>390</v>
      </c>
      <c r="I727" s="1254">
        <v>1500</v>
      </c>
      <c r="J727" s="1234">
        <v>0</v>
      </c>
      <c r="K727" s="1234">
        <v>12</v>
      </c>
      <c r="L727" s="1246">
        <f t="shared" si="247"/>
        <v>125</v>
      </c>
      <c r="M727" s="1320">
        <v>46248</v>
      </c>
      <c r="N727" s="1320">
        <v>46249</v>
      </c>
      <c r="O727" s="1255"/>
      <c r="P727" s="1233" t="s">
        <v>2996</v>
      </c>
      <c r="Q727" s="1233" t="s">
        <v>1410</v>
      </c>
      <c r="R727" s="1234"/>
      <c r="S727" s="1234"/>
      <c r="T727" s="1233">
        <v>1500</v>
      </c>
      <c r="U727" s="1233">
        <f t="shared" si="242"/>
        <v>0</v>
      </c>
      <c r="V727" s="1234"/>
      <c r="W727" s="1238">
        <v>46128</v>
      </c>
      <c r="X727" s="1257" t="s">
        <v>107</v>
      </c>
      <c r="Y727" s="1257" t="s">
        <v>1784</v>
      </c>
      <c r="Z727" s="1247"/>
      <c r="AA727" s="1247"/>
      <c r="AB727" s="1247"/>
      <c r="AC727" s="1247" t="s">
        <v>1788</v>
      </c>
      <c r="AD727" s="1255" t="s">
        <v>421</v>
      </c>
      <c r="AE727" s="1188">
        <v>1.374</v>
      </c>
      <c r="AF727" s="1248">
        <f t="shared" si="253"/>
        <v>2061</v>
      </c>
      <c r="AG727" s="1249" t="s">
        <v>2997</v>
      </c>
      <c r="AH727" s="1234" t="s">
        <v>389</v>
      </c>
      <c r="AI727" s="1234" t="s">
        <v>112</v>
      </c>
      <c r="AJ727" s="1234" t="s">
        <v>113</v>
      </c>
      <c r="AK727" s="1188">
        <f t="shared" si="254"/>
        <v>3000</v>
      </c>
      <c r="AL727" s="1188"/>
      <c r="AM727" s="1188"/>
      <c r="AN727" s="1188">
        <f>I727*2</f>
        <v>3000</v>
      </c>
      <c r="AO727" s="1188"/>
      <c r="AP727" s="1188"/>
      <c r="AQ727" s="1240"/>
      <c r="AR727" s="1188"/>
      <c r="AS727" s="1236"/>
      <c r="AT727" s="1236"/>
      <c r="AU727" s="1188">
        <f>I727*2</f>
        <v>3000</v>
      </c>
      <c r="AV727" s="1250">
        <f>I727*0.06*2</f>
        <v>180</v>
      </c>
      <c r="AW727" s="1250"/>
      <c r="AX727" s="1188"/>
      <c r="AY727" s="1188"/>
      <c r="AZ727" s="1188"/>
      <c r="BA727" s="1188"/>
      <c r="BB727" s="1188"/>
      <c r="BC727" s="1188"/>
      <c r="BD727" s="1188"/>
      <c r="BE727" s="1188"/>
      <c r="BF727" s="1188"/>
      <c r="BG727" s="1188"/>
      <c r="BH727" s="1188"/>
      <c r="BI727" s="1188"/>
      <c r="BJ727" s="1188"/>
      <c r="BK727" s="1188"/>
      <c r="BL727" s="1188"/>
      <c r="BM727" s="1188"/>
      <c r="BN727" s="1188"/>
      <c r="BO727" s="1240"/>
      <c r="BP727" s="1240"/>
      <c r="BQ727" s="1188"/>
      <c r="BR727" s="1236"/>
      <c r="BS727" s="1236"/>
      <c r="BT727" s="1188"/>
      <c r="BU727" s="1188"/>
      <c r="BV727" s="1240"/>
      <c r="BW727" s="1188"/>
      <c r="BX727" s="1188"/>
      <c r="BY727" s="1188"/>
      <c r="BZ727" s="1188"/>
      <c r="CA727" s="1188"/>
      <c r="CB727" s="1188"/>
      <c r="CC727" s="1188"/>
      <c r="CD727" s="1188">
        <f t="shared" si="243"/>
        <v>0</v>
      </c>
      <c r="CE727" s="1188">
        <f t="shared" si="244"/>
        <v>0</v>
      </c>
      <c r="CF727" s="1188">
        <f t="shared" si="245"/>
        <v>0</v>
      </c>
      <c r="CG727" s="1188">
        <f t="shared" si="246"/>
        <v>0</v>
      </c>
      <c r="CH727" s="1236"/>
      <c r="CI727" s="1236"/>
      <c r="CJ727" s="1236">
        <f t="shared" si="255"/>
        <v>1500</v>
      </c>
      <c r="CK727" s="1188">
        <f t="shared" si="256"/>
        <v>1500</v>
      </c>
      <c r="CL727" s="1188">
        <f t="shared" si="257"/>
        <v>1500</v>
      </c>
    </row>
    <row r="728" s="1180" customFormat="1" customHeight="1" spans="1:111">
      <c r="A728" s="1289">
        <v>46185</v>
      </c>
      <c r="B728" s="1417" t="s">
        <v>1782</v>
      </c>
      <c r="C728" s="1434" t="s">
        <v>115</v>
      </c>
      <c r="D728" s="1437">
        <v>4500202450</v>
      </c>
      <c r="E728" s="1436">
        <v>2173457</v>
      </c>
      <c r="F728" s="1437" t="s">
        <v>2998</v>
      </c>
      <c r="G728" s="1438" t="s">
        <v>389</v>
      </c>
      <c r="H728" s="1434" t="s">
        <v>390</v>
      </c>
      <c r="I728" s="1439">
        <v>1260</v>
      </c>
      <c r="J728" s="1434">
        <v>0</v>
      </c>
      <c r="K728" s="1434">
        <v>12</v>
      </c>
      <c r="L728" s="1291">
        <f t="shared" si="247"/>
        <v>105</v>
      </c>
      <c r="M728" s="507">
        <v>46248</v>
      </c>
      <c r="N728" s="1440">
        <v>46249</v>
      </c>
      <c r="O728" s="1545"/>
      <c r="P728" s="506"/>
      <c r="Q728" s="506"/>
      <c r="R728" s="504"/>
      <c r="S728" s="504"/>
      <c r="T728" s="506"/>
      <c r="U728" s="500">
        <f t="shared" si="242"/>
        <v>-1260</v>
      </c>
      <c r="V728" s="504"/>
      <c r="W728" s="1300" t="s">
        <v>2131</v>
      </c>
      <c r="X728" s="1301" t="s">
        <v>95</v>
      </c>
      <c r="Y728" s="1301" t="s">
        <v>1784</v>
      </c>
      <c r="Z728" s="544"/>
      <c r="AA728" s="544"/>
      <c r="AB728" s="543"/>
      <c r="AC728" s="1630" t="s">
        <v>2999</v>
      </c>
      <c r="AD728" s="1630" t="s">
        <v>421</v>
      </c>
      <c r="AE728" s="1631">
        <v>1.5692</v>
      </c>
      <c r="AF728" s="503">
        <f t="shared" si="253"/>
        <v>1977.192</v>
      </c>
      <c r="AG728" s="1456" t="s">
        <v>2997</v>
      </c>
      <c r="AH728" s="488" t="s">
        <v>389</v>
      </c>
      <c r="AI728" s="488" t="s">
        <v>112</v>
      </c>
      <c r="AJ728" s="498" t="s">
        <v>113</v>
      </c>
      <c r="AK728" s="327">
        <f t="shared" si="254"/>
        <v>2520</v>
      </c>
      <c r="AL728" s="502"/>
      <c r="AM728" s="1218"/>
      <c r="AN728" s="1418">
        <f>I728</f>
        <v>1260</v>
      </c>
      <c r="AO728" s="327"/>
      <c r="AP728" s="327"/>
      <c r="AQ728" s="1316"/>
      <c r="AR728" s="327"/>
      <c r="AS728" s="1317"/>
      <c r="AT728" s="1317"/>
      <c r="AU728" s="502">
        <f>I728</f>
        <v>1260</v>
      </c>
      <c r="AV728" s="1298"/>
      <c r="AW728" s="1298"/>
      <c r="AX728" s="502"/>
      <c r="AY728" s="502"/>
      <c r="AZ728" s="502"/>
      <c r="BA728" s="502"/>
      <c r="BB728" s="502"/>
      <c r="BC728" s="502"/>
      <c r="BD728" s="502"/>
      <c r="BE728" s="502"/>
      <c r="BF728" s="502"/>
      <c r="BG728" s="502"/>
      <c r="BH728" s="502"/>
      <c r="BI728" s="502"/>
      <c r="BJ728" s="502"/>
      <c r="BK728" s="502"/>
      <c r="BL728" s="502"/>
      <c r="BM728" s="502"/>
      <c r="BN728" s="502"/>
      <c r="BO728" s="1296"/>
      <c r="BP728" s="1296"/>
      <c r="BQ728" s="1218"/>
      <c r="BR728" s="1297"/>
      <c r="BS728" s="1297"/>
      <c r="BT728" s="502"/>
      <c r="BU728" s="502"/>
      <c r="BV728" s="1296"/>
      <c r="BW728" s="1218"/>
      <c r="BX728" s="1218"/>
      <c r="BY728" s="1218"/>
      <c r="BZ728" s="1218"/>
      <c r="CA728" s="1218"/>
      <c r="CB728" s="1218"/>
      <c r="CC728" s="1218"/>
      <c r="CD728" s="1218">
        <f t="shared" si="243"/>
        <v>0</v>
      </c>
      <c r="CE728" s="1218">
        <f t="shared" si="244"/>
        <v>0</v>
      </c>
      <c r="CF728" s="502">
        <f t="shared" si="245"/>
        <v>0</v>
      </c>
      <c r="CG728" s="1218">
        <f t="shared" si="246"/>
        <v>0</v>
      </c>
      <c r="CH728" s="1299"/>
      <c r="CI728" s="1299"/>
      <c r="CJ728" s="1297">
        <f t="shared" si="255"/>
        <v>1260</v>
      </c>
      <c r="CK728" s="502">
        <f t="shared" si="256"/>
        <v>1260</v>
      </c>
      <c r="CL728" s="502">
        <f t="shared" si="257"/>
        <v>1260</v>
      </c>
      <c r="CM728" s="293"/>
      <c r="CN728" s="293"/>
      <c r="CO728" s="293"/>
      <c r="CP728" s="293"/>
      <c r="CQ728" s="293"/>
      <c r="CR728" s="293"/>
      <c r="CS728" s="293"/>
      <c r="CT728" s="293"/>
      <c r="CU728" s="293"/>
      <c r="CV728" s="293"/>
      <c r="CW728" s="293"/>
      <c r="CX728" s="293"/>
      <c r="CY728" s="293"/>
      <c r="CZ728" s="293"/>
      <c r="DA728" s="293"/>
      <c r="DB728" s="293"/>
      <c r="DC728" s="293"/>
      <c r="DD728" s="293"/>
      <c r="DE728" s="293"/>
      <c r="DF728" s="293"/>
      <c r="DG728" s="293"/>
    </row>
    <row r="729" s="293" customFormat="1" customHeight="1" spans="1:111">
      <c r="A729" s="1289">
        <v>46185</v>
      </c>
      <c r="B729" s="1417" t="s">
        <v>1782</v>
      </c>
      <c r="C729" s="1434" t="s">
        <v>115</v>
      </c>
      <c r="D729" s="1437">
        <v>4500202450</v>
      </c>
      <c r="E729" s="1436">
        <v>2173458</v>
      </c>
      <c r="F729" s="1437" t="s">
        <v>3000</v>
      </c>
      <c r="G729" s="1438" t="s">
        <v>389</v>
      </c>
      <c r="H729" s="1434" t="s">
        <v>390</v>
      </c>
      <c r="I729" s="1439">
        <v>540</v>
      </c>
      <c r="J729" s="1434">
        <v>0</v>
      </c>
      <c r="K729" s="1434">
        <v>12</v>
      </c>
      <c r="L729" s="1291">
        <f t="shared" si="247"/>
        <v>45</v>
      </c>
      <c r="M729" s="507">
        <v>46248</v>
      </c>
      <c r="N729" s="1440">
        <v>46249</v>
      </c>
      <c r="O729" s="1545"/>
      <c r="P729" s="506"/>
      <c r="Q729" s="506"/>
      <c r="R729" s="504"/>
      <c r="S729" s="504"/>
      <c r="T729" s="506"/>
      <c r="U729" s="500">
        <f t="shared" si="242"/>
        <v>-540</v>
      </c>
      <c r="V729" s="504"/>
      <c r="W729" s="1300" t="s">
        <v>2131</v>
      </c>
      <c r="X729" s="1301" t="s">
        <v>95</v>
      </c>
      <c r="Y729" s="1301" t="s">
        <v>1784</v>
      </c>
      <c r="Z729" s="544"/>
      <c r="AA729" s="544"/>
      <c r="AB729" s="543"/>
      <c r="AC729" s="1632" t="s">
        <v>2999</v>
      </c>
      <c r="AD729" s="1630" t="s">
        <v>421</v>
      </c>
      <c r="AE729" s="1631">
        <v>1.5692</v>
      </c>
      <c r="AF729" s="503">
        <f t="shared" si="253"/>
        <v>847.368</v>
      </c>
      <c r="AG729" s="1633" t="s">
        <v>2994</v>
      </c>
      <c r="AH729" s="488" t="s">
        <v>389</v>
      </c>
      <c r="AI729" s="488" t="s">
        <v>112</v>
      </c>
      <c r="AJ729" s="498" t="s">
        <v>113</v>
      </c>
      <c r="AK729" s="327">
        <f t="shared" si="254"/>
        <v>1080</v>
      </c>
      <c r="AL729" s="502"/>
      <c r="AM729" s="1218"/>
      <c r="AN729" s="1418">
        <f>I729</f>
        <v>540</v>
      </c>
      <c r="AO729" s="327"/>
      <c r="AP729" s="327"/>
      <c r="AQ729" s="1316"/>
      <c r="AR729" s="327"/>
      <c r="AS729" s="1317"/>
      <c r="AT729" s="1317"/>
      <c r="AU729" s="502">
        <f>I729</f>
        <v>540</v>
      </c>
      <c r="AV729" s="1298"/>
      <c r="AW729" s="1298"/>
      <c r="AX729" s="502"/>
      <c r="AY729" s="502"/>
      <c r="AZ729" s="502"/>
      <c r="BA729" s="502"/>
      <c r="BB729" s="502"/>
      <c r="BC729" s="502"/>
      <c r="BD729" s="502"/>
      <c r="BE729" s="502"/>
      <c r="BF729" s="502"/>
      <c r="BG729" s="502"/>
      <c r="BH729" s="502"/>
      <c r="BI729" s="502"/>
      <c r="BJ729" s="502"/>
      <c r="BK729" s="502"/>
      <c r="BL729" s="502"/>
      <c r="BM729" s="502"/>
      <c r="BN729" s="502"/>
      <c r="BO729" s="1296"/>
      <c r="BP729" s="1296"/>
      <c r="BQ729" s="1218"/>
      <c r="BR729" s="1297"/>
      <c r="BS729" s="1297"/>
      <c r="BT729" s="502"/>
      <c r="BU729" s="502"/>
      <c r="BV729" s="1296"/>
      <c r="BW729" s="1218"/>
      <c r="BX729" s="1218"/>
      <c r="BY729" s="1218"/>
      <c r="BZ729" s="1218"/>
      <c r="CA729" s="1218"/>
      <c r="CB729" s="1218"/>
      <c r="CC729" s="1218"/>
      <c r="CD729" s="1218">
        <f t="shared" si="243"/>
        <v>0</v>
      </c>
      <c r="CE729" s="1218">
        <f t="shared" si="244"/>
        <v>0</v>
      </c>
      <c r="CF729" s="502">
        <f t="shared" si="245"/>
        <v>0</v>
      </c>
      <c r="CG729" s="1218">
        <f t="shared" si="246"/>
        <v>0</v>
      </c>
      <c r="CH729" s="1299"/>
      <c r="CI729" s="1299"/>
      <c r="CJ729" s="1297">
        <f t="shared" si="255"/>
        <v>540</v>
      </c>
      <c r="CK729" s="502">
        <f t="shared" si="256"/>
        <v>540</v>
      </c>
      <c r="CL729" s="502">
        <f t="shared" si="257"/>
        <v>540</v>
      </c>
    </row>
    <row r="730" s="1180" customFormat="1" customHeight="1" spans="1:111">
      <c r="A730" s="1289">
        <v>46189</v>
      </c>
      <c r="B730" s="1417" t="s">
        <v>386</v>
      </c>
      <c r="C730" s="1434" t="s">
        <v>115</v>
      </c>
      <c r="D730" s="1435">
        <v>4500212614</v>
      </c>
      <c r="E730" s="1434" t="s">
        <v>3001</v>
      </c>
      <c r="F730" s="1437" t="s">
        <v>3002</v>
      </c>
      <c r="G730" s="1438" t="s">
        <v>389</v>
      </c>
      <c r="H730" s="1434" t="s">
        <v>390</v>
      </c>
      <c r="I730" s="1439">
        <v>13932</v>
      </c>
      <c r="J730" s="1434">
        <v>0</v>
      </c>
      <c r="K730" s="1434">
        <v>12</v>
      </c>
      <c r="L730" s="1291">
        <f t="shared" si="247"/>
        <v>1161</v>
      </c>
      <c r="M730" s="507">
        <v>46249</v>
      </c>
      <c r="N730" s="489" t="s">
        <v>1165</v>
      </c>
      <c r="O730" s="1416" t="s">
        <v>2188</v>
      </c>
      <c r="P730" s="506"/>
      <c r="Q730" s="506"/>
      <c r="R730" s="488" t="s">
        <v>3003</v>
      </c>
      <c r="S730" s="504"/>
      <c r="T730" s="506">
        <f>60+13872</f>
        <v>13932</v>
      </c>
      <c r="U730" s="500">
        <f t="shared" si="242"/>
        <v>0</v>
      </c>
      <c r="V730" s="504"/>
      <c r="W730" s="1324">
        <v>46189</v>
      </c>
      <c r="X730" s="1301" t="s">
        <v>107</v>
      </c>
      <c r="Y730" s="1301" t="s">
        <v>3004</v>
      </c>
      <c r="Z730" s="544"/>
      <c r="AA730" s="544"/>
      <c r="AB730" s="543"/>
      <c r="AC730" s="1552" t="s">
        <v>3005</v>
      </c>
      <c r="AD730" s="507" t="s">
        <v>557</v>
      </c>
      <c r="AE730" s="502">
        <v>1.5069</v>
      </c>
      <c r="AF730" s="503">
        <f t="shared" si="253"/>
        <v>20994.1308</v>
      </c>
      <c r="AG730" s="1633" t="s">
        <v>3006</v>
      </c>
      <c r="AH730" s="488" t="s">
        <v>389</v>
      </c>
      <c r="AI730" s="488" t="s">
        <v>112</v>
      </c>
      <c r="AJ730" s="498" t="s">
        <v>113</v>
      </c>
      <c r="AK730" s="327">
        <f t="shared" si="254"/>
        <v>27864</v>
      </c>
      <c r="AL730" s="502"/>
      <c r="AM730" s="1218"/>
      <c r="AN730" s="502"/>
      <c r="AO730" s="502"/>
      <c r="AP730" s="502"/>
      <c r="AQ730" s="1296">
        <f>I730*2</f>
        <v>27864</v>
      </c>
      <c r="AR730" s="438"/>
      <c r="AS730" s="1297"/>
      <c r="AT730" s="1297"/>
      <c r="AU730" s="502">
        <f>I730*2</f>
        <v>27864</v>
      </c>
      <c r="AV730" s="1298"/>
      <c r="AW730" s="1298"/>
      <c r="AX730" s="502"/>
      <c r="AY730" s="502"/>
      <c r="AZ730" s="502"/>
      <c r="BA730" s="502"/>
      <c r="BB730" s="502"/>
      <c r="BC730" s="502"/>
      <c r="BD730" s="502"/>
      <c r="BE730" s="502"/>
      <c r="BF730" s="502"/>
      <c r="BG730" s="502"/>
      <c r="BH730" s="502"/>
      <c r="BI730" s="502"/>
      <c r="BJ730" s="502"/>
      <c r="BK730" s="502"/>
      <c r="BL730" s="502"/>
      <c r="BM730" s="502"/>
      <c r="BN730" s="502"/>
      <c r="BO730" s="1296"/>
      <c r="BP730" s="1296"/>
      <c r="BQ730" s="1218"/>
      <c r="BR730" s="1297"/>
      <c r="BS730" s="1297"/>
      <c r="BT730" s="502"/>
      <c r="BU730" s="502"/>
      <c r="BV730" s="1296"/>
      <c r="BW730" s="1218"/>
      <c r="BX730" s="1218"/>
      <c r="BY730" s="1218"/>
      <c r="BZ730" s="1218"/>
      <c r="CA730" s="1218"/>
      <c r="CB730" s="1218"/>
      <c r="CC730" s="1218"/>
      <c r="CD730" s="1218">
        <f t="shared" si="243"/>
        <v>0</v>
      </c>
      <c r="CE730" s="1218">
        <f t="shared" si="244"/>
        <v>0</v>
      </c>
      <c r="CF730" s="502">
        <f t="shared" si="245"/>
        <v>0</v>
      </c>
      <c r="CG730" s="1218">
        <f t="shared" si="246"/>
        <v>0</v>
      </c>
      <c r="CH730" s="1299"/>
      <c r="CI730" s="1299"/>
      <c r="CJ730" s="1297">
        <f t="shared" si="255"/>
        <v>13932</v>
      </c>
      <c r="CK730" s="502">
        <f t="shared" si="256"/>
        <v>13932</v>
      </c>
      <c r="CL730" s="502">
        <f t="shared" si="257"/>
        <v>13932</v>
      </c>
      <c r="CM730" s="293"/>
      <c r="CN730" s="293"/>
      <c r="CO730" s="293"/>
      <c r="CP730" s="293"/>
      <c r="CQ730" s="293"/>
      <c r="CR730" s="293"/>
      <c r="CS730" s="293"/>
      <c r="CT730" s="293"/>
      <c r="CU730" s="293"/>
      <c r="CV730" s="293"/>
      <c r="CW730" s="293"/>
      <c r="CX730" s="293"/>
      <c r="CY730" s="293"/>
      <c r="CZ730" s="293"/>
      <c r="DA730" s="293"/>
      <c r="DB730" s="293"/>
      <c r="DC730" s="293"/>
      <c r="DD730" s="293"/>
      <c r="DE730" s="293"/>
      <c r="DF730" s="293"/>
      <c r="DG730" s="293"/>
    </row>
    <row r="731" s="1180" customFormat="1" customHeight="1" spans="1:111">
      <c r="A731" s="1289">
        <v>46189</v>
      </c>
      <c r="B731" s="1417" t="s">
        <v>386</v>
      </c>
      <c r="C731" s="1434" t="s">
        <v>115</v>
      </c>
      <c r="D731" s="1435">
        <v>4500212614</v>
      </c>
      <c r="E731" s="1434" t="s">
        <v>3007</v>
      </c>
      <c r="F731" s="1437" t="s">
        <v>3008</v>
      </c>
      <c r="G731" s="1438" t="s">
        <v>389</v>
      </c>
      <c r="H731" s="1434" t="s">
        <v>390</v>
      </c>
      <c r="I731" s="1439">
        <v>8268</v>
      </c>
      <c r="J731" s="1434">
        <v>0</v>
      </c>
      <c r="K731" s="1434">
        <v>12</v>
      </c>
      <c r="L731" s="1291">
        <f t="shared" si="247"/>
        <v>689</v>
      </c>
      <c r="M731" s="507">
        <v>46249</v>
      </c>
      <c r="N731" s="489" t="s">
        <v>1165</v>
      </c>
      <c r="O731" s="1416" t="s">
        <v>2188</v>
      </c>
      <c r="P731" s="506"/>
      <c r="Q731" s="506"/>
      <c r="R731" s="488" t="s">
        <v>3003</v>
      </c>
      <c r="S731" s="504"/>
      <c r="T731" s="506">
        <v>8268</v>
      </c>
      <c r="U731" s="500">
        <f t="shared" si="242"/>
        <v>0</v>
      </c>
      <c r="V731" s="504"/>
      <c r="W731" s="1324">
        <v>46189</v>
      </c>
      <c r="X731" s="1301" t="s">
        <v>107</v>
      </c>
      <c r="Y731" s="1301" t="s">
        <v>3004</v>
      </c>
      <c r="Z731" s="544"/>
      <c r="AA731" s="544"/>
      <c r="AB731" s="543"/>
      <c r="AC731" s="1552" t="s">
        <v>3005</v>
      </c>
      <c r="AD731" s="507" t="s">
        <v>557</v>
      </c>
      <c r="AE731" s="502">
        <v>1.5134</v>
      </c>
      <c r="AF731" s="503">
        <f t="shared" si="253"/>
        <v>12512.7912</v>
      </c>
      <c r="AG731" s="1633" t="s">
        <v>3009</v>
      </c>
      <c r="AH731" s="488" t="s">
        <v>389</v>
      </c>
      <c r="AI731" s="488" t="s">
        <v>112</v>
      </c>
      <c r="AJ731" s="498" t="s">
        <v>113</v>
      </c>
      <c r="AK731" s="327">
        <f t="shared" si="254"/>
        <v>16536</v>
      </c>
      <c r="AL731" s="502"/>
      <c r="AM731" s="1218"/>
      <c r="AN731" s="502"/>
      <c r="AO731" s="502"/>
      <c r="AP731" s="502"/>
      <c r="AQ731" s="1296">
        <f>I731*2</f>
        <v>16536</v>
      </c>
      <c r="AR731" s="438"/>
      <c r="AS731" s="1297"/>
      <c r="AT731" s="1297"/>
      <c r="AU731" s="502">
        <f>I731*2</f>
        <v>16536</v>
      </c>
      <c r="AV731" s="1298"/>
      <c r="AW731" s="1298"/>
      <c r="AX731" s="502"/>
      <c r="AY731" s="502"/>
      <c r="AZ731" s="502"/>
      <c r="BA731" s="502"/>
      <c r="BB731" s="502"/>
      <c r="BC731" s="502"/>
      <c r="BD731" s="502"/>
      <c r="BE731" s="502"/>
      <c r="BF731" s="502"/>
      <c r="BG731" s="502"/>
      <c r="BH731" s="502"/>
      <c r="BI731" s="502"/>
      <c r="BJ731" s="502"/>
      <c r="BK731" s="502"/>
      <c r="BL731" s="502"/>
      <c r="BM731" s="502"/>
      <c r="BN731" s="502"/>
      <c r="BO731" s="1296"/>
      <c r="BP731" s="1296"/>
      <c r="BQ731" s="1218"/>
      <c r="BR731" s="1297"/>
      <c r="BS731" s="1297"/>
      <c r="BT731" s="502"/>
      <c r="BU731" s="502"/>
      <c r="BV731" s="1296"/>
      <c r="BW731" s="1218"/>
      <c r="BX731" s="1218"/>
      <c r="BY731" s="1218"/>
      <c r="BZ731" s="1218"/>
      <c r="CA731" s="1218"/>
      <c r="CB731" s="1218"/>
      <c r="CC731" s="1218"/>
      <c r="CD731" s="1218">
        <f t="shared" si="243"/>
        <v>0</v>
      </c>
      <c r="CE731" s="1218">
        <f t="shared" si="244"/>
        <v>0</v>
      </c>
      <c r="CF731" s="502">
        <f t="shared" si="245"/>
        <v>0</v>
      </c>
      <c r="CG731" s="1218">
        <f t="shared" si="246"/>
        <v>0</v>
      </c>
      <c r="CH731" s="1299"/>
      <c r="CI731" s="1299"/>
      <c r="CJ731" s="1297">
        <f t="shared" si="255"/>
        <v>8268</v>
      </c>
      <c r="CK731" s="502">
        <f t="shared" si="256"/>
        <v>8268</v>
      </c>
      <c r="CL731" s="502">
        <f t="shared" si="257"/>
        <v>8268</v>
      </c>
      <c r="CM731" s="1455"/>
      <c r="CN731" s="1455"/>
      <c r="CO731" s="1455"/>
      <c r="CP731" s="1455"/>
      <c r="CQ731" s="1455"/>
      <c r="CR731" s="1455"/>
      <c r="CS731" s="1455"/>
      <c r="CT731" s="1455"/>
      <c r="CU731" s="1455"/>
      <c r="CV731" s="1455"/>
      <c r="CW731" s="1455"/>
      <c r="CX731" s="1455"/>
      <c r="CY731" s="1455"/>
      <c r="CZ731" s="1455"/>
      <c r="DA731" s="1455"/>
      <c r="DB731" s="1455"/>
      <c r="DC731" s="1455"/>
      <c r="DD731" s="1455"/>
      <c r="DE731" s="1455"/>
      <c r="DF731" s="1455"/>
      <c r="DG731" s="1455"/>
    </row>
    <row r="732" s="293" customFormat="1" customHeight="1" spans="1:111">
      <c r="A732" s="1289">
        <v>46189</v>
      </c>
      <c r="B732" s="1417" t="s">
        <v>386</v>
      </c>
      <c r="C732" s="1434" t="s">
        <v>115</v>
      </c>
      <c r="D732" s="1435">
        <v>4500212614</v>
      </c>
      <c r="E732" s="1434" t="s">
        <v>3010</v>
      </c>
      <c r="F732" s="1437" t="s">
        <v>3011</v>
      </c>
      <c r="G732" s="1438" t="s">
        <v>389</v>
      </c>
      <c r="H732" s="504" t="s">
        <v>390</v>
      </c>
      <c r="I732" s="1439">
        <v>5808</v>
      </c>
      <c r="J732" s="1434">
        <v>0</v>
      </c>
      <c r="K732" s="1434">
        <v>12</v>
      </c>
      <c r="L732" s="1291">
        <f t="shared" si="247"/>
        <v>484</v>
      </c>
      <c r="M732" s="507">
        <v>46249</v>
      </c>
      <c r="N732" s="489" t="s">
        <v>1165</v>
      </c>
      <c r="O732" s="1416" t="s">
        <v>2188</v>
      </c>
      <c r="P732" s="506"/>
      <c r="Q732" s="506"/>
      <c r="R732" s="488" t="s">
        <v>3003</v>
      </c>
      <c r="S732" s="504"/>
      <c r="T732" s="506">
        <v>5808</v>
      </c>
      <c r="U732" s="500">
        <f t="shared" si="242"/>
        <v>0</v>
      </c>
      <c r="V732" s="504"/>
      <c r="W732" s="1307">
        <v>46189</v>
      </c>
      <c r="X732" s="1294" t="s">
        <v>107</v>
      </c>
      <c r="Y732" s="1301" t="s">
        <v>3004</v>
      </c>
      <c r="Z732" s="544"/>
      <c r="AA732" s="544"/>
      <c r="AB732" s="543"/>
      <c r="AC732" s="1552" t="s">
        <v>3005</v>
      </c>
      <c r="AD732" s="507" t="s">
        <v>557</v>
      </c>
      <c r="AE732" s="502">
        <v>1.5199</v>
      </c>
      <c r="AF732" s="503">
        <f t="shared" si="253"/>
        <v>8827.5792</v>
      </c>
      <c r="AG732" s="1633" t="s">
        <v>3009</v>
      </c>
      <c r="AH732" s="488" t="s">
        <v>389</v>
      </c>
      <c r="AI732" s="488" t="s">
        <v>112</v>
      </c>
      <c r="AJ732" s="498" t="s">
        <v>113</v>
      </c>
      <c r="AK732" s="327">
        <f t="shared" si="254"/>
        <v>11616</v>
      </c>
      <c r="AL732" s="502"/>
      <c r="AM732" s="1218"/>
      <c r="AN732" s="502"/>
      <c r="AO732" s="502"/>
      <c r="AP732" s="502"/>
      <c r="AQ732" s="1296">
        <f>I732*2</f>
        <v>11616</v>
      </c>
      <c r="AR732" s="438"/>
      <c r="AS732" s="1297"/>
      <c r="AT732" s="1297"/>
      <c r="AU732" s="502">
        <f>I732*2</f>
        <v>11616</v>
      </c>
      <c r="AV732" s="1298"/>
      <c r="AW732" s="1298"/>
      <c r="AX732" s="502"/>
      <c r="AY732" s="502"/>
      <c r="AZ732" s="502"/>
      <c r="BA732" s="502"/>
      <c r="BB732" s="502"/>
      <c r="BC732" s="502"/>
      <c r="BD732" s="502"/>
      <c r="BE732" s="502"/>
      <c r="BF732" s="502"/>
      <c r="BG732" s="502"/>
      <c r="BH732" s="502"/>
      <c r="BI732" s="502"/>
      <c r="BJ732" s="502"/>
      <c r="BK732" s="502"/>
      <c r="BL732" s="502"/>
      <c r="BM732" s="502"/>
      <c r="BN732" s="502"/>
      <c r="BO732" s="1296"/>
      <c r="BP732" s="1296"/>
      <c r="BQ732" s="1218"/>
      <c r="BR732" s="1297"/>
      <c r="BS732" s="1297"/>
      <c r="BT732" s="502"/>
      <c r="BU732" s="502"/>
      <c r="BV732" s="1296"/>
      <c r="BW732" s="1218"/>
      <c r="BX732" s="1218"/>
      <c r="BY732" s="1218"/>
      <c r="BZ732" s="1218"/>
      <c r="CA732" s="1218"/>
      <c r="CB732" s="1218"/>
      <c r="CC732" s="1218"/>
      <c r="CD732" s="1218">
        <f t="shared" si="243"/>
        <v>0</v>
      </c>
      <c r="CE732" s="1218">
        <f t="shared" si="244"/>
        <v>0</v>
      </c>
      <c r="CF732" s="502">
        <f t="shared" si="245"/>
        <v>0</v>
      </c>
      <c r="CG732" s="1218">
        <f t="shared" si="246"/>
        <v>0</v>
      </c>
      <c r="CH732" s="1299"/>
      <c r="CI732" s="1299"/>
      <c r="CJ732" s="1297">
        <f t="shared" si="255"/>
        <v>5808</v>
      </c>
      <c r="CK732" s="502">
        <f t="shared" si="256"/>
        <v>5808</v>
      </c>
      <c r="CL732" s="502">
        <f t="shared" si="257"/>
        <v>5808</v>
      </c>
    </row>
    <row r="733" s="1175" customFormat="1" customHeight="1" spans="1:111">
      <c r="A733" s="1562">
        <v>46178</v>
      </c>
      <c r="B733" s="1577" t="s">
        <v>2473</v>
      </c>
      <c r="C733" s="1569" t="s">
        <v>1054</v>
      </c>
      <c r="D733" s="1578">
        <v>4500210828</v>
      </c>
      <c r="E733" s="1569" t="s">
        <v>3012</v>
      </c>
      <c r="F733" s="1578" t="s">
        <v>3013</v>
      </c>
      <c r="G733" s="1634" t="s">
        <v>188</v>
      </c>
      <c r="H733" s="1569" t="s">
        <v>138</v>
      </c>
      <c r="I733" s="1635">
        <v>4000</v>
      </c>
      <c r="J733" s="1569">
        <v>0</v>
      </c>
      <c r="K733" s="1569">
        <v>50</v>
      </c>
      <c r="L733" s="1571">
        <f t="shared" si="247"/>
        <v>80</v>
      </c>
      <c r="M733" s="1636">
        <v>46249</v>
      </c>
      <c r="N733" s="1637">
        <v>46249</v>
      </c>
      <c r="O733" s="1636"/>
      <c r="P733" s="1574"/>
      <c r="Q733" s="1574" t="s">
        <v>1410</v>
      </c>
      <c r="R733" s="1569"/>
      <c r="S733" s="1569"/>
      <c r="T733" s="1574">
        <v>4000</v>
      </c>
      <c r="U733" s="1574">
        <f t="shared" si="242"/>
        <v>0</v>
      </c>
      <c r="V733" s="1569"/>
      <c r="W733" s="1638">
        <v>46197</v>
      </c>
      <c r="X733" s="1576" t="s">
        <v>95</v>
      </c>
      <c r="Y733" s="1639" t="s">
        <v>3014</v>
      </c>
      <c r="Z733" s="1577"/>
      <c r="AA733" s="1577"/>
      <c r="AB733" s="1577"/>
      <c r="AC733" s="1577" t="s">
        <v>3015</v>
      </c>
      <c r="AD733" s="1636" t="s">
        <v>659</v>
      </c>
      <c r="AE733" s="1578">
        <v>1.0979</v>
      </c>
      <c r="AF733" s="1579">
        <f>AE733*I733</f>
        <v>4391.6</v>
      </c>
      <c r="AG733" s="1295"/>
      <c r="AH733" s="1569" t="s">
        <v>188</v>
      </c>
      <c r="AI733" s="1569" t="s">
        <v>112</v>
      </c>
      <c r="AJ733" s="1569" t="s">
        <v>113</v>
      </c>
      <c r="AK733" s="1578">
        <f>I733</f>
        <v>4000</v>
      </c>
      <c r="AL733" s="1578"/>
      <c r="AM733" s="1578"/>
      <c r="AN733" s="1578">
        <f>I733</f>
        <v>4000</v>
      </c>
      <c r="AO733" s="1578"/>
      <c r="AP733" s="1578"/>
      <c r="AQ733" s="1580"/>
      <c r="AR733" s="1578"/>
      <c r="AS733" s="1581"/>
      <c r="AT733" s="1581"/>
      <c r="AU733" s="1578">
        <f>I733</f>
        <v>4000</v>
      </c>
      <c r="AV733" s="1582">
        <f>I733*0.06*2</f>
        <v>480</v>
      </c>
      <c r="AW733" s="1582"/>
      <c r="AX733" s="1578"/>
      <c r="AY733" s="1578"/>
      <c r="AZ733" s="1578"/>
      <c r="BA733" s="1578"/>
      <c r="BB733" s="1578"/>
      <c r="BC733" s="1578"/>
      <c r="BD733" s="1578"/>
      <c r="BE733" s="1578"/>
      <c r="BF733" s="1578"/>
      <c r="BG733" s="1578"/>
      <c r="BH733" s="1578"/>
      <c r="BI733" s="1578"/>
      <c r="BJ733" s="1578"/>
      <c r="BK733" s="1578"/>
      <c r="BL733" s="1578"/>
      <c r="BM733" s="1578"/>
      <c r="BN733" s="1640">
        <f>I733/25</f>
        <v>160</v>
      </c>
      <c r="BO733" s="1580"/>
      <c r="BP733" s="1580"/>
      <c r="BQ733" s="1578"/>
      <c r="BR733" s="1581"/>
      <c r="BS733" s="1581"/>
      <c r="BT733" s="1578"/>
      <c r="BU733" s="1578"/>
      <c r="BV733" s="1580"/>
      <c r="BW733" s="1578"/>
      <c r="BX733" s="1578"/>
      <c r="BY733" s="1578"/>
      <c r="BZ733" s="1578"/>
      <c r="CA733" s="1578"/>
      <c r="CB733" s="1578"/>
      <c r="CC733" s="1578"/>
      <c r="CD733" s="1578">
        <f t="shared" si="243"/>
        <v>160</v>
      </c>
      <c r="CE733" s="1578">
        <f t="shared" si="244"/>
        <v>0</v>
      </c>
      <c r="CF733" s="1578">
        <f t="shared" si="245"/>
        <v>0</v>
      </c>
      <c r="CG733" s="1578">
        <f t="shared" si="246"/>
        <v>0</v>
      </c>
      <c r="CH733" s="1581"/>
      <c r="CI733" s="1581"/>
      <c r="CJ733" s="1581"/>
      <c r="CK733" s="1578"/>
      <c r="CL733" s="1578"/>
    </row>
    <row r="734" s="293" customFormat="1" customHeight="1" spans="1:111">
      <c r="A734" s="1309">
        <v>46230</v>
      </c>
      <c r="B734" s="1552"/>
      <c r="C734" s="1553" t="s">
        <v>597</v>
      </c>
      <c r="D734" s="1553" t="s">
        <v>3016</v>
      </c>
      <c r="E734" s="1553"/>
      <c r="F734" s="1555" t="s">
        <v>3017</v>
      </c>
      <c r="G734" s="1556" t="s">
        <v>91</v>
      </c>
      <c r="H734" s="1553" t="s">
        <v>600</v>
      </c>
      <c r="I734" s="1557">
        <v>720</v>
      </c>
      <c r="J734" s="1553">
        <v>0</v>
      </c>
      <c r="K734" s="1553">
        <v>24</v>
      </c>
      <c r="L734" s="1544">
        <f t="shared" si="247"/>
        <v>30</v>
      </c>
      <c r="M734" s="1545">
        <v>46250</v>
      </c>
      <c r="N734" s="1545">
        <v>46246</v>
      </c>
      <c r="O734" s="1545"/>
      <c r="P734" s="1313"/>
      <c r="Q734" s="1313"/>
      <c r="R734" s="488"/>
      <c r="S734" s="488"/>
      <c r="T734" s="1313"/>
      <c r="U734" s="500">
        <f t="shared" si="242"/>
        <v>-720</v>
      </c>
      <c r="V734" s="488"/>
      <c r="W734" s="1300" t="s">
        <v>94</v>
      </c>
      <c r="X734" s="1294" t="s">
        <v>95</v>
      </c>
      <c r="Y734" s="1294" t="s">
        <v>95</v>
      </c>
      <c r="Z734" s="544"/>
      <c r="AA734" s="544"/>
      <c r="AB734" s="544"/>
      <c r="AC734" s="544" t="s">
        <v>577</v>
      </c>
      <c r="AD734" s="1545" t="s">
        <v>1191</v>
      </c>
      <c r="AE734" s="327"/>
      <c r="AF734" s="1315"/>
      <c r="AG734" s="1295"/>
      <c r="AH734" s="1234" t="s">
        <v>91</v>
      </c>
      <c r="AI734" s="488" t="s">
        <v>112</v>
      </c>
      <c r="AJ734" s="498" t="s">
        <v>113</v>
      </c>
      <c r="AK734" s="327">
        <f>I734</f>
        <v>720</v>
      </c>
      <c r="AL734" s="327"/>
      <c r="AM734" s="327"/>
      <c r="AN734" s="327">
        <f>I734</f>
        <v>720</v>
      </c>
      <c r="AO734" s="327"/>
      <c r="AP734" s="327"/>
      <c r="AQ734" s="1316"/>
      <c r="AR734" s="327"/>
      <c r="AS734" s="1317"/>
      <c r="AT734" s="1317"/>
      <c r="AU734" s="327">
        <f>I734</f>
        <v>720</v>
      </c>
      <c r="AV734" s="1318">
        <f>I734*0.06</f>
        <v>43.2</v>
      </c>
      <c r="AW734" s="1318"/>
      <c r="AX734" s="327"/>
      <c r="AY734" s="327"/>
      <c r="AZ734" s="327"/>
      <c r="BA734" s="327"/>
      <c r="BB734" s="327"/>
      <c r="BC734" s="327"/>
      <c r="BD734" s="327"/>
      <c r="BE734" s="327"/>
      <c r="BF734" s="327"/>
      <c r="BG734" s="327"/>
      <c r="BH734" s="327"/>
      <c r="BI734" s="327"/>
      <c r="BJ734" s="327"/>
      <c r="BK734" s="327"/>
      <c r="BL734" s="327"/>
      <c r="BM734" s="327"/>
      <c r="BN734" s="327"/>
      <c r="BO734" s="1316"/>
      <c r="BP734" s="1316"/>
      <c r="BQ734" s="327"/>
      <c r="BR734" s="1317"/>
      <c r="BS734" s="1317"/>
      <c r="BT734" s="327"/>
      <c r="BU734" s="327"/>
      <c r="BV734" s="1316"/>
      <c r="BW734" s="327"/>
      <c r="BX734" s="327"/>
      <c r="BY734" s="327"/>
      <c r="BZ734" s="327"/>
      <c r="CA734" s="327"/>
      <c r="CB734" s="327"/>
      <c r="CC734" s="327"/>
      <c r="CD734" s="327">
        <f t="shared" si="243"/>
        <v>0</v>
      </c>
      <c r="CE734" s="327">
        <f t="shared" si="244"/>
        <v>0</v>
      </c>
      <c r="CF734" s="327">
        <f t="shared" si="245"/>
        <v>0</v>
      </c>
      <c r="CG734" s="327">
        <f t="shared" si="246"/>
        <v>0</v>
      </c>
      <c r="CH734" s="1317"/>
      <c r="CI734" s="1317"/>
      <c r="CJ734" s="1317"/>
      <c r="CK734" s="327"/>
      <c r="CL734" s="327"/>
      <c r="CM734" s="1180"/>
      <c r="CN734" s="1180"/>
      <c r="CO734" s="1180"/>
      <c r="CP734" s="1180"/>
      <c r="CQ734" s="1180"/>
      <c r="CR734" s="1180"/>
      <c r="CS734" s="1180"/>
      <c r="CT734" s="1180"/>
      <c r="CU734" s="1180"/>
      <c r="CV734" s="1180"/>
      <c r="CW734" s="1180"/>
      <c r="CX734" s="1180"/>
      <c r="CY734" s="1180"/>
      <c r="CZ734" s="1180"/>
      <c r="DA734" s="1180"/>
      <c r="DB734" s="1180"/>
      <c r="DC734" s="1180"/>
      <c r="DD734" s="1180"/>
      <c r="DE734" s="1180"/>
      <c r="DF734" s="1180"/>
      <c r="DG734" s="1180"/>
    </row>
    <row r="735" s="294" customFormat="1" customHeight="1" spans="1:111">
      <c r="A735" s="1309">
        <v>46230</v>
      </c>
      <c r="B735" s="544"/>
      <c r="C735" s="488" t="s">
        <v>597</v>
      </c>
      <c r="D735" s="327" t="s">
        <v>3018</v>
      </c>
      <c r="E735" s="488"/>
      <c r="F735" s="327" t="s">
        <v>3019</v>
      </c>
      <c r="G735" s="1310" t="s">
        <v>174</v>
      </c>
      <c r="H735" s="488" t="s">
        <v>175</v>
      </c>
      <c r="I735" s="1311" t="s">
        <v>3020</v>
      </c>
      <c r="J735" s="488"/>
      <c r="K735" s="488"/>
      <c r="L735" s="1544"/>
      <c r="M735" s="1312">
        <v>46251</v>
      </c>
      <c r="N735" s="1312">
        <v>46247</v>
      </c>
      <c r="O735" s="1312"/>
      <c r="P735" s="1313"/>
      <c r="Q735" s="1313"/>
      <c r="R735" s="488"/>
      <c r="S735" s="488"/>
      <c r="T735" s="1313"/>
      <c r="U735" s="500" t="e">
        <f t="shared" si="242"/>
        <v>#VALUE!</v>
      </c>
      <c r="V735" s="488"/>
      <c r="W735" s="1300" t="s">
        <v>94</v>
      </c>
      <c r="X735" s="1301" t="s">
        <v>95</v>
      </c>
      <c r="Y735" s="1301" t="s">
        <v>95</v>
      </c>
      <c r="Z735" s="544"/>
      <c r="AA735" s="544"/>
      <c r="AB735" s="544"/>
      <c r="AC735" s="1294" t="s">
        <v>3021</v>
      </c>
      <c r="AD735" s="1312" t="s">
        <v>1191</v>
      </c>
      <c r="AE735" s="327"/>
      <c r="AF735" s="1315"/>
      <c r="AG735" s="1295"/>
      <c r="AH735" s="488" t="s">
        <v>99</v>
      </c>
      <c r="AI735" s="488" t="s">
        <v>99</v>
      </c>
      <c r="AJ735" s="488"/>
      <c r="AK735" s="327"/>
      <c r="AL735" s="327"/>
      <c r="AM735" s="327"/>
      <c r="AN735" s="327"/>
      <c r="AO735" s="327"/>
      <c r="AP735" s="327"/>
      <c r="AQ735" s="1316"/>
      <c r="AR735" s="327"/>
      <c r="AS735" s="1317"/>
      <c r="AT735" s="1317"/>
      <c r="AU735" s="327"/>
      <c r="AV735" s="1318"/>
      <c r="AW735" s="1318"/>
      <c r="AX735" s="327"/>
      <c r="AY735" s="327"/>
      <c r="AZ735" s="327"/>
      <c r="BA735" s="327"/>
      <c r="BB735" s="327"/>
      <c r="BC735" s="327"/>
      <c r="BD735" s="327"/>
      <c r="BE735" s="327"/>
      <c r="BF735" s="327"/>
      <c r="BG735" s="327"/>
      <c r="BH735" s="327"/>
      <c r="BI735" s="327"/>
      <c r="BJ735" s="327"/>
      <c r="BK735" s="327">
        <v>60</v>
      </c>
      <c r="BL735" s="327"/>
      <c r="BM735" s="327"/>
      <c r="BN735" s="327"/>
      <c r="BO735" s="1316"/>
      <c r="BP735" s="1316"/>
      <c r="BQ735" s="327"/>
      <c r="BR735" s="1317"/>
      <c r="BS735" s="1317"/>
      <c r="BT735" s="327"/>
      <c r="BU735" s="327"/>
      <c r="BV735" s="1316"/>
      <c r="BW735" s="327"/>
      <c r="BX735" s="327"/>
      <c r="BY735" s="327"/>
      <c r="BZ735" s="327"/>
      <c r="CA735" s="327"/>
      <c r="CB735" s="327"/>
      <c r="CC735" s="327"/>
      <c r="CD735" s="327">
        <f t="shared" si="243"/>
        <v>0</v>
      </c>
      <c r="CE735" s="327">
        <f t="shared" si="244"/>
        <v>0</v>
      </c>
      <c r="CF735" s="327">
        <f t="shared" si="245"/>
        <v>0</v>
      </c>
      <c r="CG735" s="327">
        <f t="shared" si="246"/>
        <v>0</v>
      </c>
      <c r="CH735" s="1317"/>
      <c r="CI735" s="1317"/>
      <c r="CJ735" s="1317"/>
      <c r="CK735" s="327"/>
      <c r="CL735" s="327"/>
      <c r="CM735" s="1180"/>
      <c r="CN735" s="1180"/>
      <c r="CO735" s="1180"/>
      <c r="CP735" s="1180"/>
      <c r="CQ735" s="1180"/>
      <c r="CR735" s="1180"/>
      <c r="CS735" s="1180"/>
      <c r="CT735" s="1180"/>
      <c r="CU735" s="1180"/>
      <c r="CV735" s="1180"/>
      <c r="CW735" s="1180"/>
      <c r="CX735" s="1180"/>
      <c r="CY735" s="1180"/>
      <c r="CZ735" s="1180"/>
      <c r="DA735" s="1180"/>
      <c r="DB735" s="1180"/>
      <c r="DC735" s="1180"/>
      <c r="DD735" s="1180"/>
      <c r="DE735" s="1180"/>
      <c r="DF735" s="1180"/>
      <c r="DG735" s="1180"/>
    </row>
    <row r="736" s="293" customFormat="1" customHeight="1" spans="1:111">
      <c r="A736" s="1309">
        <v>46230</v>
      </c>
      <c r="B736" s="544"/>
      <c r="C736" s="488" t="s">
        <v>597</v>
      </c>
      <c r="D736" s="327" t="s">
        <v>3018</v>
      </c>
      <c r="E736" s="488"/>
      <c r="F736" s="327" t="s">
        <v>3022</v>
      </c>
      <c r="G736" s="1310" t="s">
        <v>188</v>
      </c>
      <c r="H736" s="488"/>
      <c r="I736" s="1311" t="s">
        <v>3020</v>
      </c>
      <c r="J736" s="488"/>
      <c r="K736" s="488"/>
      <c r="L736" s="1544"/>
      <c r="M736" s="1312">
        <v>46251</v>
      </c>
      <c r="N736" s="1312">
        <v>46247</v>
      </c>
      <c r="O736" s="1545"/>
      <c r="P736" s="1313"/>
      <c r="Q736" s="1313"/>
      <c r="R736" s="488"/>
      <c r="S736" s="488"/>
      <c r="T736" s="1313"/>
      <c r="U736" s="500" t="e">
        <f t="shared" si="242"/>
        <v>#VALUE!</v>
      </c>
      <c r="V736" s="488"/>
      <c r="W736" s="1300" t="s">
        <v>94</v>
      </c>
      <c r="X736" s="1301" t="s">
        <v>95</v>
      </c>
      <c r="Y736" s="1301" t="s">
        <v>95</v>
      </c>
      <c r="Z736" s="544"/>
      <c r="AA736" s="544"/>
      <c r="AB736" s="544"/>
      <c r="AC736" s="1294" t="s">
        <v>3021</v>
      </c>
      <c r="AD736" s="1312" t="s">
        <v>1191</v>
      </c>
      <c r="AE736" s="327"/>
      <c r="AF736" s="1315"/>
      <c r="AG736" s="1295"/>
      <c r="AH736" s="488" t="s">
        <v>99</v>
      </c>
      <c r="AI736" s="488" t="s">
        <v>99</v>
      </c>
      <c r="AJ736" s="488"/>
      <c r="AK736" s="327"/>
      <c r="AL736" s="327"/>
      <c r="AM736" s="327"/>
      <c r="AN736" s="327"/>
      <c r="AO736" s="327"/>
      <c r="AP736" s="327"/>
      <c r="AQ736" s="1316"/>
      <c r="AR736" s="327"/>
      <c r="AS736" s="1317"/>
      <c r="AT736" s="1317"/>
      <c r="AU736" s="327"/>
      <c r="AV736" s="1318"/>
      <c r="AW736" s="1318"/>
      <c r="AX736" s="327"/>
      <c r="AY736" s="327"/>
      <c r="AZ736" s="327"/>
      <c r="BA736" s="327"/>
      <c r="BB736" s="327"/>
      <c r="BC736" s="327"/>
      <c r="BD736" s="327"/>
      <c r="BE736" s="327"/>
      <c r="BF736" s="327"/>
      <c r="BG736" s="327"/>
      <c r="BH736" s="327"/>
      <c r="BI736" s="327"/>
      <c r="BJ736" s="327"/>
      <c r="BK736" s="327"/>
      <c r="BL736" s="327"/>
      <c r="BM736" s="327"/>
      <c r="BN736" s="327">
        <v>60</v>
      </c>
      <c r="BO736" s="1316"/>
      <c r="BP736" s="1316"/>
      <c r="BQ736" s="327"/>
      <c r="BR736" s="1317"/>
      <c r="BS736" s="1317"/>
      <c r="BT736" s="327"/>
      <c r="BU736" s="327"/>
      <c r="BV736" s="1316"/>
      <c r="BW736" s="327"/>
      <c r="BX736" s="327"/>
      <c r="BY736" s="327"/>
      <c r="BZ736" s="327"/>
      <c r="CA736" s="327"/>
      <c r="CB736" s="327"/>
      <c r="CC736" s="327"/>
      <c r="CD736" s="327">
        <f t="shared" si="243"/>
        <v>60</v>
      </c>
      <c r="CE736" s="327">
        <f t="shared" si="244"/>
        <v>0</v>
      </c>
      <c r="CF736" s="327">
        <f t="shared" si="245"/>
        <v>0</v>
      </c>
      <c r="CG736" s="327">
        <f t="shared" si="246"/>
        <v>0</v>
      </c>
      <c r="CH736" s="1317"/>
      <c r="CI736" s="1317"/>
      <c r="CJ736" s="1317"/>
      <c r="CK736" s="327"/>
      <c r="CL736" s="327"/>
      <c r="CM736" s="1180"/>
      <c r="CN736" s="1180"/>
      <c r="CO736" s="1180"/>
      <c r="CP736" s="1180"/>
      <c r="CQ736" s="1180"/>
      <c r="CR736" s="1180"/>
      <c r="CS736" s="1180"/>
      <c r="CT736" s="1180"/>
      <c r="CU736" s="1180"/>
      <c r="CV736" s="1180"/>
      <c r="CW736" s="1180"/>
      <c r="CX736" s="1180"/>
      <c r="CY736" s="1180"/>
      <c r="CZ736" s="1180"/>
      <c r="DA736" s="1180"/>
      <c r="DB736" s="1180"/>
      <c r="DC736" s="1180"/>
      <c r="DD736" s="1180"/>
      <c r="DE736" s="1180"/>
      <c r="DF736" s="1180"/>
      <c r="DG736" s="1180"/>
    </row>
    <row r="737" s="293" customFormat="1" customHeight="1" spans="1:111">
      <c r="A737" s="1309">
        <v>46230</v>
      </c>
      <c r="B737" s="544"/>
      <c r="C737" s="488" t="s">
        <v>597</v>
      </c>
      <c r="D737" s="327" t="s">
        <v>3018</v>
      </c>
      <c r="E737" s="488"/>
      <c r="F737" s="327" t="s">
        <v>3023</v>
      </c>
      <c r="G737" s="1310" t="s">
        <v>91</v>
      </c>
      <c r="H737" s="1553"/>
      <c r="I737" s="1311" t="s">
        <v>1189</v>
      </c>
      <c r="J737" s="488"/>
      <c r="K737" s="488"/>
      <c r="L737" s="1544"/>
      <c r="M737" s="1312">
        <v>46251</v>
      </c>
      <c r="N737" s="1312">
        <v>46247</v>
      </c>
      <c r="O737" s="1312"/>
      <c r="P737" s="1313"/>
      <c r="Q737" s="1313"/>
      <c r="R737" s="488"/>
      <c r="S737" s="488"/>
      <c r="T737" s="1313"/>
      <c r="U737" s="500" t="e">
        <f t="shared" si="242"/>
        <v>#VALUE!</v>
      </c>
      <c r="V737" s="488"/>
      <c r="W737" s="1293" t="s">
        <v>94</v>
      </c>
      <c r="X737" s="1294" t="s">
        <v>95</v>
      </c>
      <c r="Y737" s="1294" t="s">
        <v>95</v>
      </c>
      <c r="Z737" s="544"/>
      <c r="AA737" s="544"/>
      <c r="AB737" s="544"/>
      <c r="AC737" s="1294" t="s">
        <v>3024</v>
      </c>
      <c r="AD737" s="1312" t="s">
        <v>1191</v>
      </c>
      <c r="AE737" s="327"/>
      <c r="AF737" s="1315"/>
      <c r="AG737" s="1295"/>
      <c r="AH737" s="488" t="s">
        <v>99</v>
      </c>
      <c r="AI737" s="488" t="s">
        <v>99</v>
      </c>
      <c r="AJ737" s="488"/>
      <c r="AK737" s="327"/>
      <c r="AL737" s="327"/>
      <c r="AM737" s="327"/>
      <c r="AN737" s="327"/>
      <c r="AO737" s="327"/>
      <c r="AP737" s="327"/>
      <c r="AQ737" s="1316"/>
      <c r="AR737" s="327"/>
      <c r="AS737" s="1317"/>
      <c r="AT737" s="1317"/>
      <c r="AU737" s="327"/>
      <c r="AV737" s="1318"/>
      <c r="AW737" s="1318"/>
      <c r="AX737" s="327"/>
      <c r="AY737" s="327"/>
      <c r="AZ737" s="327"/>
      <c r="BA737" s="327"/>
      <c r="BB737" s="327"/>
      <c r="BC737" s="327"/>
      <c r="BD737" s="327"/>
      <c r="BE737" s="327"/>
      <c r="BF737" s="327"/>
      <c r="BG737" s="327"/>
      <c r="BH737" s="327"/>
      <c r="BI737" s="327"/>
      <c r="BJ737" s="327"/>
      <c r="BK737" s="327"/>
      <c r="BL737" s="327"/>
      <c r="BM737" s="327"/>
      <c r="BN737" s="327"/>
      <c r="BO737" s="1316"/>
      <c r="BP737" s="1316"/>
      <c r="BQ737" s="327"/>
      <c r="BR737" s="1317"/>
      <c r="BS737" s="327"/>
      <c r="BT737" s="327"/>
      <c r="BU737" s="327"/>
      <c r="BV737" s="1316"/>
      <c r="BW737" s="327"/>
      <c r="BX737" s="327"/>
      <c r="BY737" s="327"/>
      <c r="BZ737" s="327"/>
      <c r="CA737" s="327"/>
      <c r="CB737" s="327"/>
      <c r="CC737" s="327"/>
      <c r="CD737" s="327">
        <f t="shared" si="243"/>
        <v>0</v>
      </c>
      <c r="CE737" s="327">
        <f t="shared" si="244"/>
        <v>0</v>
      </c>
      <c r="CF737" s="327">
        <f t="shared" si="245"/>
        <v>0</v>
      </c>
      <c r="CG737" s="327">
        <f t="shared" si="246"/>
        <v>0</v>
      </c>
      <c r="CH737" s="1317"/>
      <c r="CI737" s="1317"/>
      <c r="CJ737" s="1317"/>
      <c r="CK737" s="327"/>
      <c r="CL737" s="327"/>
      <c r="CM737" s="1180"/>
      <c r="CN737" s="1180"/>
      <c r="CO737" s="1180"/>
      <c r="CP737" s="1180"/>
      <c r="CQ737" s="1180"/>
      <c r="CR737" s="1180"/>
      <c r="CS737" s="1180"/>
      <c r="CT737" s="1180"/>
      <c r="CU737" s="1180"/>
      <c r="CV737" s="1180"/>
      <c r="CW737" s="1180"/>
      <c r="CX737" s="1180"/>
      <c r="CY737" s="1180"/>
      <c r="CZ737" s="1180"/>
      <c r="DA737" s="1180"/>
      <c r="DB737" s="1180"/>
      <c r="DC737" s="1180"/>
      <c r="DD737" s="1180"/>
      <c r="DE737" s="1180"/>
      <c r="DF737" s="1180"/>
      <c r="DG737" s="1180"/>
    </row>
    <row r="738" s="1175" customFormat="1" customHeight="1" spans="1:111">
      <c r="A738" s="1562">
        <v>46174</v>
      </c>
      <c r="B738" s="1577" t="s">
        <v>3025</v>
      </c>
      <c r="C738" s="1569" t="s">
        <v>291</v>
      </c>
      <c r="D738" s="1641">
        <v>4500210228</v>
      </c>
      <c r="E738" s="1569"/>
      <c r="F738" s="1578" t="s">
        <v>3026</v>
      </c>
      <c r="G738" s="1634" t="s">
        <v>188</v>
      </c>
      <c r="H738" s="1569" t="s">
        <v>138</v>
      </c>
      <c r="I738" s="1635">
        <v>3250</v>
      </c>
      <c r="J738" s="1569">
        <v>0</v>
      </c>
      <c r="K738" s="1569">
        <v>50</v>
      </c>
      <c r="L738" s="1571">
        <f t="shared" ref="L738:L749" si="258">I738/K738</f>
        <v>65</v>
      </c>
      <c r="M738" s="1636">
        <v>46251</v>
      </c>
      <c r="N738" s="1637">
        <v>46249</v>
      </c>
      <c r="O738" s="1636"/>
      <c r="P738" s="1574"/>
      <c r="Q738" s="1574" t="s">
        <v>1410</v>
      </c>
      <c r="R738" s="1569"/>
      <c r="S738" s="1569"/>
      <c r="T738" s="1574"/>
      <c r="U738" s="1574">
        <f t="shared" si="242"/>
        <v>-3250</v>
      </c>
      <c r="V738" s="1569"/>
      <c r="W738" s="1638">
        <v>46220</v>
      </c>
      <c r="X738" s="1639" t="s">
        <v>95</v>
      </c>
      <c r="Y738" s="1639" t="s">
        <v>3027</v>
      </c>
      <c r="Z738" s="1577"/>
      <c r="AA738" s="1577"/>
      <c r="AB738" s="1577"/>
      <c r="AC738" s="1642" t="s">
        <v>3028</v>
      </c>
      <c r="AD738" s="1636" t="s">
        <v>450</v>
      </c>
      <c r="AE738" s="1578">
        <v>1.1174</v>
      </c>
      <c r="AF738" s="1579">
        <f>AE738*I738</f>
        <v>3631.55</v>
      </c>
      <c r="AG738" s="1295"/>
      <c r="AH738" s="1569" t="s">
        <v>314</v>
      </c>
      <c r="AI738" s="1569" t="s">
        <v>112</v>
      </c>
      <c r="AJ738" s="1569" t="s">
        <v>113</v>
      </c>
      <c r="AK738" s="1578">
        <f t="shared" ref="AK738:AK743" si="259">I738</f>
        <v>3250</v>
      </c>
      <c r="AL738" s="1578"/>
      <c r="AM738" s="1578"/>
      <c r="AN738" s="1578"/>
      <c r="AO738" s="1578"/>
      <c r="AP738" s="1578">
        <f>I738</f>
        <v>3250</v>
      </c>
      <c r="AQ738" s="1580"/>
      <c r="AR738" s="1578"/>
      <c r="AS738" s="1581"/>
      <c r="AT738" s="1581"/>
      <c r="AU738" s="1578">
        <f>I738</f>
        <v>3250</v>
      </c>
      <c r="AV738" s="1582">
        <f>I738*0.06*2</f>
        <v>390</v>
      </c>
      <c r="AW738" s="1582"/>
      <c r="AX738" s="1578"/>
      <c r="AY738" s="1578"/>
      <c r="AZ738" s="1578"/>
      <c r="BA738" s="1578"/>
      <c r="BB738" s="1578"/>
      <c r="BC738" s="1578"/>
      <c r="BD738" s="1578"/>
      <c r="BE738" s="1578"/>
      <c r="BF738" s="1578"/>
      <c r="BG738" s="1578"/>
      <c r="BH738" s="1578"/>
      <c r="BI738" s="1578"/>
      <c r="BJ738" s="1578"/>
      <c r="BK738" s="1578"/>
      <c r="BL738" s="1578"/>
      <c r="BM738" s="1578"/>
      <c r="BN738" s="1578"/>
      <c r="BO738" s="1580">
        <f>I738/25</f>
        <v>130</v>
      </c>
      <c r="BP738" s="1580"/>
      <c r="BQ738" s="1578"/>
      <c r="BR738" s="1581"/>
      <c r="BS738" s="1581"/>
      <c r="BT738" s="1578"/>
      <c r="BU738" s="1578"/>
      <c r="BV738" s="1580"/>
      <c r="BW738" s="1578"/>
      <c r="BX738" s="1578"/>
      <c r="BY738" s="1578"/>
      <c r="BZ738" s="1578"/>
      <c r="CA738" s="1578"/>
      <c r="CB738" s="1578"/>
      <c r="CC738" s="1578"/>
      <c r="CD738" s="1578">
        <f t="shared" si="243"/>
        <v>130</v>
      </c>
      <c r="CE738" s="1578">
        <f t="shared" si="244"/>
        <v>0</v>
      </c>
      <c r="CF738" s="1643">
        <f t="shared" si="245"/>
        <v>0</v>
      </c>
      <c r="CG738" s="1643">
        <f t="shared" si="246"/>
        <v>0</v>
      </c>
      <c r="CH738" s="1581"/>
      <c r="CI738" s="1581"/>
      <c r="CJ738" s="1581"/>
      <c r="CK738" s="1578"/>
      <c r="CL738" s="1578"/>
    </row>
    <row r="739" s="1175" customFormat="1" customHeight="1" spans="1:111">
      <c r="A739" s="1562">
        <v>46174</v>
      </c>
      <c r="B739" s="1577" t="s">
        <v>3025</v>
      </c>
      <c r="C739" s="1569" t="s">
        <v>291</v>
      </c>
      <c r="D739" s="1641">
        <v>4500210231</v>
      </c>
      <c r="E739" s="1569"/>
      <c r="F739" s="1578" t="s">
        <v>3029</v>
      </c>
      <c r="G739" s="1634" t="s">
        <v>188</v>
      </c>
      <c r="H739" s="1569" t="s">
        <v>138</v>
      </c>
      <c r="I739" s="1635">
        <v>4000</v>
      </c>
      <c r="J739" s="1569">
        <v>0</v>
      </c>
      <c r="K739" s="1569">
        <v>50</v>
      </c>
      <c r="L739" s="1571">
        <f t="shared" si="258"/>
        <v>80</v>
      </c>
      <c r="M739" s="1636">
        <v>46251</v>
      </c>
      <c r="N739" s="1637">
        <v>46249</v>
      </c>
      <c r="O739" s="1636"/>
      <c r="P739" s="1574"/>
      <c r="Q739" s="1574" t="s">
        <v>1410</v>
      </c>
      <c r="R739" s="1569"/>
      <c r="S739" s="1569"/>
      <c r="T739" s="1574"/>
      <c r="U739" s="1574">
        <f t="shared" si="242"/>
        <v>-4000</v>
      </c>
      <c r="V739" s="1569"/>
      <c r="W739" s="1638">
        <v>46220</v>
      </c>
      <c r="X739" s="1576" t="s">
        <v>95</v>
      </c>
      <c r="Y739" s="1639" t="s">
        <v>3030</v>
      </c>
      <c r="Z739" s="1577"/>
      <c r="AA739" s="1577"/>
      <c r="AB739" s="1577"/>
      <c r="AC739" s="1642" t="s">
        <v>3031</v>
      </c>
      <c r="AD739" s="1636" t="s">
        <v>450</v>
      </c>
      <c r="AE739" s="1578">
        <v>1.1174</v>
      </c>
      <c r="AF739" s="1579">
        <f>AE739*I739</f>
        <v>4469.6</v>
      </c>
      <c r="AG739" s="1295"/>
      <c r="AH739" s="1569" t="s">
        <v>314</v>
      </c>
      <c r="AI739" s="1569" t="s">
        <v>112</v>
      </c>
      <c r="AJ739" s="1569" t="s">
        <v>113</v>
      </c>
      <c r="AK739" s="1578">
        <f t="shared" si="259"/>
        <v>4000</v>
      </c>
      <c r="AL739" s="1578"/>
      <c r="AM739" s="1578"/>
      <c r="AN739" s="1578"/>
      <c r="AO739" s="1578"/>
      <c r="AP739" s="1578">
        <f>I739</f>
        <v>4000</v>
      </c>
      <c r="AQ739" s="1580"/>
      <c r="AR739" s="1578"/>
      <c r="AS739" s="1581"/>
      <c r="AT739" s="1581"/>
      <c r="AU739" s="1578">
        <f>I739</f>
        <v>4000</v>
      </c>
      <c r="AV739" s="1582">
        <f>I739*0.06*2</f>
        <v>480</v>
      </c>
      <c r="AW739" s="1582"/>
      <c r="AX739" s="1578"/>
      <c r="AY739" s="1578"/>
      <c r="AZ739" s="1578"/>
      <c r="BA739" s="1578"/>
      <c r="BB739" s="1578"/>
      <c r="BC739" s="1578"/>
      <c r="BD739" s="1578"/>
      <c r="BE739" s="1578"/>
      <c r="BF739" s="1578"/>
      <c r="BG739" s="1578"/>
      <c r="BH739" s="1578"/>
      <c r="BI739" s="1578"/>
      <c r="BJ739" s="1578"/>
      <c r="BK739" s="1578"/>
      <c r="BL739" s="1578"/>
      <c r="BM739" s="1578"/>
      <c r="BN739" s="1578"/>
      <c r="BO739" s="1580">
        <f>I739/25</f>
        <v>160</v>
      </c>
      <c r="BP739" s="1580"/>
      <c r="BQ739" s="1578"/>
      <c r="BR739" s="1581"/>
      <c r="BS739" s="1581"/>
      <c r="BT739" s="1578"/>
      <c r="BU739" s="1578"/>
      <c r="BV739" s="1580"/>
      <c r="BW739" s="1578"/>
      <c r="BX739" s="1578"/>
      <c r="BY739" s="1578"/>
      <c r="BZ739" s="1578"/>
      <c r="CA739" s="1578"/>
      <c r="CB739" s="1578"/>
      <c r="CC739" s="1578"/>
      <c r="CD739" s="1578">
        <f t="shared" si="243"/>
        <v>160</v>
      </c>
      <c r="CE739" s="1578">
        <f t="shared" si="244"/>
        <v>0</v>
      </c>
      <c r="CF739" s="1643">
        <f t="shared" si="245"/>
        <v>0</v>
      </c>
      <c r="CG739" s="1643">
        <f t="shared" si="246"/>
        <v>0</v>
      </c>
      <c r="CH739" s="1581"/>
      <c r="CI739" s="1581"/>
      <c r="CJ739" s="1581"/>
      <c r="CK739" s="1578"/>
      <c r="CL739" s="1578"/>
    </row>
    <row r="740" s="1170" customFormat="1" customHeight="1" spans="1:111">
      <c r="A740" s="1396">
        <v>46174</v>
      </c>
      <c r="B740" s="1397" t="s">
        <v>3025</v>
      </c>
      <c r="C740" s="498" t="s">
        <v>291</v>
      </c>
      <c r="D740" s="1398">
        <v>4500210225</v>
      </c>
      <c r="E740" s="498"/>
      <c r="F740" s="496" t="s">
        <v>3032</v>
      </c>
      <c r="G740" s="499" t="s">
        <v>188</v>
      </c>
      <c r="H740" s="498" t="s">
        <v>138</v>
      </c>
      <c r="I740" s="1399">
        <v>2500</v>
      </c>
      <c r="J740" s="498">
        <v>0</v>
      </c>
      <c r="K740" s="498">
        <v>50</v>
      </c>
      <c r="L740" s="1400">
        <f t="shared" si="258"/>
        <v>50</v>
      </c>
      <c r="M740" s="495">
        <v>46251</v>
      </c>
      <c r="N740" s="1401">
        <v>46249</v>
      </c>
      <c r="O740" s="495"/>
      <c r="P740" s="500"/>
      <c r="Q740" s="500" t="s">
        <v>1410</v>
      </c>
      <c r="R740" s="498"/>
      <c r="S740" s="498"/>
      <c r="T740" s="500"/>
      <c r="U740" s="500">
        <f t="shared" si="242"/>
        <v>-2500</v>
      </c>
      <c r="V740" s="498"/>
      <c r="W740" s="1404">
        <v>46220</v>
      </c>
      <c r="X740" s="1432" t="s">
        <v>95</v>
      </c>
      <c r="Y740" s="1432" t="s">
        <v>3027</v>
      </c>
      <c r="Z740" s="1397"/>
      <c r="AA740" s="1397"/>
      <c r="AB740" s="1397"/>
      <c r="AC740" s="1397" t="s">
        <v>3033</v>
      </c>
      <c r="AD740" s="495" t="s">
        <v>450</v>
      </c>
      <c r="AE740" s="496">
        <v>1.1174</v>
      </c>
      <c r="AF740" s="497">
        <f>AE740*I740</f>
        <v>2793.5</v>
      </c>
      <c r="AG740" s="1295"/>
      <c r="AH740" s="498" t="s">
        <v>314</v>
      </c>
      <c r="AI740" s="498" t="s">
        <v>112</v>
      </c>
      <c r="AJ740" s="498" t="s">
        <v>113</v>
      </c>
      <c r="AK740" s="496">
        <f t="shared" si="259"/>
        <v>2500</v>
      </c>
      <c r="AL740" s="496"/>
      <c r="AM740" s="496"/>
      <c r="AN740" s="496"/>
      <c r="AO740" s="496"/>
      <c r="AP740" s="496">
        <f>I740</f>
        <v>2500</v>
      </c>
      <c r="AQ740" s="1407"/>
      <c r="AR740" s="496"/>
      <c r="AS740" s="1408"/>
      <c r="AT740" s="1408"/>
      <c r="AU740" s="496">
        <f>I740</f>
        <v>2500</v>
      </c>
      <c r="AV740" s="1409">
        <f>I740*0.06*2</f>
        <v>300</v>
      </c>
      <c r="AW740" s="1409"/>
      <c r="AX740" s="496"/>
      <c r="AY740" s="496"/>
      <c r="AZ740" s="496"/>
      <c r="BA740" s="496"/>
      <c r="BB740" s="496"/>
      <c r="BC740" s="496"/>
      <c r="BD740" s="496"/>
      <c r="BE740" s="496"/>
      <c r="BF740" s="496"/>
      <c r="BG740" s="496"/>
      <c r="BH740" s="496"/>
      <c r="BI740" s="496"/>
      <c r="BJ740" s="496"/>
      <c r="BK740" s="496"/>
      <c r="BL740" s="496"/>
      <c r="BM740" s="496"/>
      <c r="BN740" s="496"/>
      <c r="BO740" s="1407">
        <f>I740/25</f>
        <v>100</v>
      </c>
      <c r="BP740" s="1407"/>
      <c r="BQ740" s="496"/>
      <c r="BR740" s="1408"/>
      <c r="BS740" s="1408"/>
      <c r="BT740" s="496"/>
      <c r="BU740" s="496"/>
      <c r="BV740" s="1407"/>
      <c r="BW740" s="496"/>
      <c r="BX740" s="496"/>
      <c r="BY740" s="496"/>
      <c r="BZ740" s="496"/>
      <c r="CA740" s="496"/>
      <c r="CB740" s="496"/>
      <c r="CC740" s="496"/>
      <c r="CD740" s="496">
        <f t="shared" si="243"/>
        <v>100</v>
      </c>
      <c r="CE740" s="496">
        <f t="shared" si="244"/>
        <v>0</v>
      </c>
      <c r="CF740" s="1644">
        <f t="shared" si="245"/>
        <v>0</v>
      </c>
      <c r="CG740" s="1644">
        <f t="shared" si="246"/>
        <v>0</v>
      </c>
      <c r="CH740" s="1408"/>
      <c r="CI740" s="1408"/>
      <c r="CJ740" s="1408"/>
      <c r="CK740" s="496"/>
      <c r="CL740" s="496"/>
    </row>
    <row r="741" s="293" customFormat="1" customHeight="1" spans="1:111">
      <c r="A741" s="1289">
        <v>46151</v>
      </c>
      <c r="B741" s="543" t="s">
        <v>2026</v>
      </c>
      <c r="C741" s="504" t="s">
        <v>2027</v>
      </c>
      <c r="D741" s="1305">
        <v>4500206045</v>
      </c>
      <c r="E741" s="504" t="s">
        <v>628</v>
      </c>
      <c r="F741" s="502" t="s">
        <v>3034</v>
      </c>
      <c r="G741" s="505" t="s">
        <v>188</v>
      </c>
      <c r="H741" s="543" t="s">
        <v>138</v>
      </c>
      <c r="I741" s="504">
        <v>5600</v>
      </c>
      <c r="J741" s="504">
        <v>0</v>
      </c>
      <c r="K741" s="504">
        <v>50</v>
      </c>
      <c r="L741" s="1291">
        <f t="shared" si="258"/>
        <v>112</v>
      </c>
      <c r="M741" s="501">
        <v>46251</v>
      </c>
      <c r="N741" s="1365">
        <v>46249</v>
      </c>
      <c r="O741" s="501"/>
      <c r="P741" s="506"/>
      <c r="Q741" s="506"/>
      <c r="R741" s="488" t="s">
        <v>2652</v>
      </c>
      <c r="S741" s="504"/>
      <c r="T741" s="506"/>
      <c r="U741" s="500">
        <f t="shared" si="242"/>
        <v>-5600</v>
      </c>
      <c r="V741" s="504"/>
      <c r="W741" s="1307">
        <v>46206</v>
      </c>
      <c r="X741" s="1325" t="s">
        <v>95</v>
      </c>
      <c r="Y741" s="1301" t="s">
        <v>3035</v>
      </c>
      <c r="Z741" s="502"/>
      <c r="AA741" s="502"/>
      <c r="AB741" s="543"/>
      <c r="AC741" s="543" t="s">
        <v>3036</v>
      </c>
      <c r="AD741" s="501" t="s">
        <v>1252</v>
      </c>
      <c r="AE741" s="1483">
        <v>1.0647</v>
      </c>
      <c r="AF741" s="503">
        <f>AE741*I741</f>
        <v>5962.32</v>
      </c>
      <c r="AG741" s="1295"/>
      <c r="AH741" s="504" t="s">
        <v>314</v>
      </c>
      <c r="AI741" s="488" t="s">
        <v>112</v>
      </c>
      <c r="AJ741" s="498" t="s">
        <v>113</v>
      </c>
      <c r="AK741" s="502">
        <f t="shared" si="259"/>
        <v>5600</v>
      </c>
      <c r="AL741" s="504"/>
      <c r="AM741" s="502"/>
      <c r="AN741" s="504"/>
      <c r="AO741" s="502"/>
      <c r="AP741" s="502">
        <f>I741</f>
        <v>5600</v>
      </c>
      <c r="AQ741" s="1296"/>
      <c r="AR741" s="502"/>
      <c r="AS741" s="1297"/>
      <c r="AT741" s="1297"/>
      <c r="AU741" s="502">
        <f>I741</f>
        <v>5600</v>
      </c>
      <c r="AV741" s="1298">
        <f>I741*0.06*2</f>
        <v>672</v>
      </c>
      <c r="AW741" s="1298"/>
      <c r="AX741" s="504"/>
      <c r="AY741" s="504"/>
      <c r="AZ741" s="504"/>
      <c r="BA741" s="504"/>
      <c r="BB741" s="504"/>
      <c r="BC741" s="504"/>
      <c r="BD741" s="504"/>
      <c r="BE741" s="502"/>
      <c r="BF741" s="502"/>
      <c r="BG741" s="502"/>
      <c r="BH741" s="502"/>
      <c r="BI741" s="502"/>
      <c r="BJ741" s="502"/>
      <c r="BK741" s="502"/>
      <c r="BL741" s="502"/>
      <c r="BM741" s="502"/>
      <c r="BN741" s="502"/>
      <c r="BO741" s="1296">
        <f>I741/25</f>
        <v>224</v>
      </c>
      <c r="BP741" s="1296"/>
      <c r="BQ741" s="502"/>
      <c r="BR741" s="1297"/>
      <c r="BS741" s="1297"/>
      <c r="BT741" s="502"/>
      <c r="BU741" s="502"/>
      <c r="BV741" s="1296"/>
      <c r="BW741" s="502"/>
      <c r="BX741" s="502"/>
      <c r="BY741" s="502"/>
      <c r="BZ741" s="502"/>
      <c r="CA741" s="502"/>
      <c r="CB741" s="502"/>
      <c r="CC741" s="502"/>
      <c r="CD741" s="1218">
        <f t="shared" si="243"/>
        <v>224</v>
      </c>
      <c r="CE741" s="1218">
        <f t="shared" si="244"/>
        <v>0</v>
      </c>
      <c r="CF741" s="502">
        <f t="shared" si="245"/>
        <v>0</v>
      </c>
      <c r="CG741" s="1218">
        <f t="shared" si="246"/>
        <v>0</v>
      </c>
      <c r="CH741" s="1299"/>
      <c r="CI741" s="1299"/>
      <c r="CJ741" s="1297"/>
      <c r="CK741" s="502"/>
      <c r="CL741" s="502"/>
    </row>
    <row r="742" s="1170" customFormat="1" customHeight="1" spans="1:111">
      <c r="A742" s="1396">
        <v>46196</v>
      </c>
      <c r="B742" s="1397" t="s">
        <v>3037</v>
      </c>
      <c r="C742" s="498" t="s">
        <v>508</v>
      </c>
      <c r="D742" s="1398">
        <v>4500213385</v>
      </c>
      <c r="E742" s="500">
        <v>2641670</v>
      </c>
      <c r="F742" s="496" t="s">
        <v>3038</v>
      </c>
      <c r="G742" s="499" t="s">
        <v>510</v>
      </c>
      <c r="H742" s="498" t="s">
        <v>194</v>
      </c>
      <c r="I742" s="1399">
        <v>2015</v>
      </c>
      <c r="J742" s="498">
        <v>0</v>
      </c>
      <c r="K742" s="498">
        <v>13</v>
      </c>
      <c r="L742" s="1400">
        <f t="shared" si="258"/>
        <v>155</v>
      </c>
      <c r="M742" s="495">
        <v>46251</v>
      </c>
      <c r="N742" s="1401">
        <v>46249</v>
      </c>
      <c r="O742" s="495"/>
      <c r="P742" s="500"/>
      <c r="Q742" s="500"/>
      <c r="R742" s="498" t="s">
        <v>2406</v>
      </c>
      <c r="S742" s="498"/>
      <c r="T742" s="500">
        <v>2015</v>
      </c>
      <c r="U742" s="500">
        <f t="shared" si="242"/>
        <v>0</v>
      </c>
      <c r="V742" s="498"/>
      <c r="W742" s="1431">
        <v>46197</v>
      </c>
      <c r="X742" s="1405" t="s">
        <v>107</v>
      </c>
      <c r="Y742" s="1432" t="s">
        <v>3039</v>
      </c>
      <c r="Z742" s="1397" t="s">
        <v>360</v>
      </c>
      <c r="AA742" s="1397"/>
      <c r="AB742" s="1397"/>
      <c r="AC742" s="1397" t="s">
        <v>3040</v>
      </c>
      <c r="AD742" s="1401" t="s">
        <v>3041</v>
      </c>
      <c r="AE742" s="1644">
        <v>1.1186</v>
      </c>
      <c r="AF742" s="1645">
        <f>AE742*I742</f>
        <v>2253.979</v>
      </c>
      <c r="AG742" s="1646"/>
      <c r="AH742" s="499" t="s">
        <v>510</v>
      </c>
      <c r="AI742" s="498" t="s">
        <v>112</v>
      </c>
      <c r="AJ742" s="498"/>
      <c r="AK742" s="496">
        <f t="shared" si="259"/>
        <v>2015</v>
      </c>
      <c r="AL742" s="496"/>
      <c r="AM742" s="496"/>
      <c r="AN742" s="496">
        <f>I742</f>
        <v>2015</v>
      </c>
      <c r="AO742" s="496"/>
      <c r="AP742" s="496"/>
      <c r="AQ742" s="1407"/>
      <c r="AR742" s="496"/>
      <c r="AS742" s="1408"/>
      <c r="AT742" s="1408"/>
      <c r="AU742" s="496"/>
      <c r="AV742" s="1409">
        <f>I742*0.06</f>
        <v>120.9</v>
      </c>
      <c r="AW742" s="1409"/>
      <c r="AX742" s="496">
        <f>I742</f>
        <v>2015</v>
      </c>
      <c r="AY742" s="496"/>
      <c r="AZ742" s="496"/>
      <c r="BA742" s="496"/>
      <c r="BB742" s="496"/>
      <c r="BC742" s="496"/>
      <c r="BD742" s="496"/>
      <c r="BE742" s="496"/>
      <c r="BF742" s="496"/>
      <c r="BG742" s="496"/>
      <c r="BH742" s="496"/>
      <c r="BI742" s="496"/>
      <c r="BJ742" s="496"/>
      <c r="BK742" s="496"/>
      <c r="BL742" s="496"/>
      <c r="BM742" s="496"/>
      <c r="BN742" s="496"/>
      <c r="BO742" s="1407"/>
      <c r="BP742" s="1407">
        <f>I742/13</f>
        <v>155</v>
      </c>
      <c r="BQ742" s="496"/>
      <c r="BR742" s="1408"/>
      <c r="BS742" s="1408"/>
      <c r="BT742" s="496"/>
      <c r="BU742" s="496"/>
      <c r="BV742" s="1407"/>
      <c r="BW742" s="496"/>
      <c r="BX742" s="496"/>
      <c r="BY742" s="496"/>
      <c r="BZ742" s="496"/>
      <c r="CA742" s="496"/>
      <c r="CB742" s="496"/>
      <c r="CC742" s="496"/>
      <c r="CD742" s="496">
        <f t="shared" si="243"/>
        <v>0</v>
      </c>
      <c r="CE742" s="496">
        <f t="shared" si="244"/>
        <v>0</v>
      </c>
      <c r="CF742" s="496">
        <f t="shared" si="245"/>
        <v>0</v>
      </c>
      <c r="CG742" s="496">
        <f t="shared" si="246"/>
        <v>0</v>
      </c>
      <c r="CH742" s="1408"/>
      <c r="CI742" s="1408"/>
      <c r="CJ742" s="1408"/>
      <c r="CK742" s="496"/>
      <c r="CL742" s="496"/>
    </row>
    <row r="743" s="1170" customFormat="1" customHeight="1" spans="1:111">
      <c r="A743" s="1396">
        <v>46136</v>
      </c>
      <c r="B743" s="1494" t="s">
        <v>191</v>
      </c>
      <c r="C743" s="1495" t="s">
        <v>164</v>
      </c>
      <c r="D743" s="1498">
        <v>4500204102</v>
      </c>
      <c r="E743" s="1494">
        <v>5200009697</v>
      </c>
      <c r="F743" s="1498" t="s">
        <v>3042</v>
      </c>
      <c r="G743" s="1499" t="s">
        <v>193</v>
      </c>
      <c r="H743" s="1448" t="s">
        <v>194</v>
      </c>
      <c r="I743" s="1500">
        <v>15002</v>
      </c>
      <c r="J743" s="1501">
        <v>0</v>
      </c>
      <c r="K743" s="1501">
        <v>13</v>
      </c>
      <c r="L743" s="1400">
        <f t="shared" si="258"/>
        <v>1154</v>
      </c>
      <c r="M743" s="1444">
        <v>46251</v>
      </c>
      <c r="N743" s="1458">
        <v>46249</v>
      </c>
      <c r="O743" s="1444"/>
      <c r="P743" s="500"/>
      <c r="Q743" s="500"/>
      <c r="R743" s="498" t="s">
        <v>2406</v>
      </c>
      <c r="S743" s="498"/>
      <c r="T743" s="500">
        <f>7020+7982</f>
        <v>15002</v>
      </c>
      <c r="U743" s="500">
        <f t="shared" si="242"/>
        <v>0</v>
      </c>
      <c r="V743" s="498"/>
      <c r="W743" s="1431" t="s">
        <v>2922</v>
      </c>
      <c r="X743" s="1432" t="s">
        <v>95</v>
      </c>
      <c r="Y743" s="1432" t="s">
        <v>3043</v>
      </c>
      <c r="Z743" s="1397" t="s">
        <v>920</v>
      </c>
      <c r="AA743" s="1397"/>
      <c r="AB743" s="1397"/>
      <c r="AC743" s="1447" t="s">
        <v>3044</v>
      </c>
      <c r="AD743" s="1502" t="s">
        <v>895</v>
      </c>
      <c r="AE743" s="1503">
        <v>1.2</v>
      </c>
      <c r="AF743" s="497">
        <f>I743*AE743</f>
        <v>18002.4</v>
      </c>
      <c r="AG743" s="1406"/>
      <c r="AH743" s="498" t="s">
        <v>199</v>
      </c>
      <c r="AI743" s="498" t="s">
        <v>112</v>
      </c>
      <c r="AJ743" s="498" t="s">
        <v>113</v>
      </c>
      <c r="AK743" s="496">
        <f t="shared" si="259"/>
        <v>15002</v>
      </c>
      <c r="AL743" s="496"/>
      <c r="AM743" s="496"/>
      <c r="AN743" s="496"/>
      <c r="AO743" s="496"/>
      <c r="AP743" s="496">
        <f>I743</f>
        <v>15002</v>
      </c>
      <c r="AQ743" s="1407"/>
      <c r="AR743" s="496"/>
      <c r="AS743" s="1408"/>
      <c r="AT743" s="1408"/>
      <c r="AU743" s="496">
        <f>I743</f>
        <v>15002</v>
      </c>
      <c r="AV743" s="1409">
        <f>I743*0.06*2</f>
        <v>1800.24</v>
      </c>
      <c r="AW743" s="1409"/>
      <c r="AX743" s="496"/>
      <c r="AY743" s="496"/>
      <c r="AZ743" s="496"/>
      <c r="BA743" s="496"/>
      <c r="BB743" s="496"/>
      <c r="BC743" s="496"/>
      <c r="BD743" s="496"/>
      <c r="BE743" s="496"/>
      <c r="BF743" s="496"/>
      <c r="BG743" s="496"/>
      <c r="BH743" s="496"/>
      <c r="BI743" s="496"/>
      <c r="BJ743" s="496"/>
      <c r="BK743" s="496"/>
      <c r="BL743" s="496">
        <f>I743/13</f>
        <v>1154</v>
      </c>
      <c r="BM743" s="496"/>
      <c r="BN743" s="496"/>
      <c r="BO743" s="1407"/>
      <c r="BP743" s="1407"/>
      <c r="BQ743" s="496"/>
      <c r="BR743" s="1408"/>
      <c r="BS743" s="1408"/>
      <c r="BT743" s="496"/>
      <c r="BU743" s="496"/>
      <c r="BV743" s="1407"/>
      <c r="BW743" s="496"/>
      <c r="BX743" s="496"/>
      <c r="BY743" s="496"/>
      <c r="BZ743" s="496"/>
      <c r="CA743" s="496"/>
      <c r="CB743" s="496"/>
      <c r="CC743" s="496"/>
      <c r="CD743" s="496">
        <f t="shared" si="243"/>
        <v>0</v>
      </c>
      <c r="CE743" s="496">
        <f t="shared" si="244"/>
        <v>0</v>
      </c>
      <c r="CF743" s="496">
        <f t="shared" si="245"/>
        <v>0</v>
      </c>
      <c r="CG743" s="496">
        <f t="shared" si="246"/>
        <v>0</v>
      </c>
      <c r="CH743" s="1408"/>
      <c r="CI743" s="1408"/>
      <c r="CJ743" s="1408"/>
      <c r="CK743" s="496"/>
      <c r="CL743" s="496"/>
    </row>
    <row r="744" s="293" customFormat="1" customHeight="1" spans="1:111">
      <c r="A744" s="1289">
        <v>46115</v>
      </c>
      <c r="B744" s="543" t="s">
        <v>2382</v>
      </c>
      <c r="C744" s="504" t="s">
        <v>201</v>
      </c>
      <c r="D744" s="502">
        <v>4500200105</v>
      </c>
      <c r="E744" s="506">
        <v>5710331473</v>
      </c>
      <c r="F744" s="502" t="s">
        <v>3045</v>
      </c>
      <c r="G744" s="505" t="s">
        <v>482</v>
      </c>
      <c r="H744" s="504" t="s">
        <v>483</v>
      </c>
      <c r="I744" s="1290">
        <v>4320</v>
      </c>
      <c r="J744" s="504">
        <v>0</v>
      </c>
      <c r="K744" s="504">
        <v>120</v>
      </c>
      <c r="L744" s="1291">
        <f t="shared" si="258"/>
        <v>36</v>
      </c>
      <c r="M744" s="1365">
        <v>46251</v>
      </c>
      <c r="N744" s="1365">
        <v>46249</v>
      </c>
      <c r="O744" s="1312"/>
      <c r="P744" s="506"/>
      <c r="Q744" s="506"/>
      <c r="R744" s="504"/>
      <c r="S744" s="504"/>
      <c r="T744" s="506"/>
      <c r="U744" s="500">
        <f t="shared" si="242"/>
        <v>-4320</v>
      </c>
      <c r="V744" s="504"/>
      <c r="W744" s="1300" t="s">
        <v>3046</v>
      </c>
      <c r="X744" s="1325" t="s">
        <v>107</v>
      </c>
      <c r="Y744" s="1325" t="s">
        <v>95</v>
      </c>
      <c r="Z744" s="543"/>
      <c r="AA744" s="543"/>
      <c r="AB744" s="543"/>
      <c r="AC744" s="543" t="s">
        <v>636</v>
      </c>
      <c r="AD744" s="501" t="s">
        <v>488</v>
      </c>
      <c r="AE744" s="502">
        <v>1070</v>
      </c>
      <c r="AF744" s="503">
        <f>I744*AE744</f>
        <v>4622400</v>
      </c>
      <c r="AG744" s="1295"/>
      <c r="AH744" s="504" t="s">
        <v>490</v>
      </c>
      <c r="AI744" s="504" t="s">
        <v>112</v>
      </c>
      <c r="AJ744" s="498" t="s">
        <v>113</v>
      </c>
      <c r="AK744" s="502"/>
      <c r="AL744" s="502">
        <f>I744*3</f>
        <v>12960</v>
      </c>
      <c r="AM744" s="1218"/>
      <c r="AN744" s="502"/>
      <c r="AO744" s="502"/>
      <c r="AP744" s="502"/>
      <c r="AQ744" s="1296"/>
      <c r="AR744" s="438"/>
      <c r="AS744" s="1297"/>
      <c r="AT744" s="1297"/>
      <c r="AU744" s="502"/>
      <c r="AV744" s="1298">
        <f>I744*0.06*2</f>
        <v>518.4</v>
      </c>
      <c r="AW744" s="1298"/>
      <c r="AX744" s="502"/>
      <c r="AY744" s="502"/>
      <c r="AZ744" s="502"/>
      <c r="BA744" s="502"/>
      <c r="BB744" s="502">
        <f>I744*3</f>
        <v>12960</v>
      </c>
      <c r="BC744" s="502">
        <f>I744*3</f>
        <v>12960</v>
      </c>
      <c r="BD744" s="502">
        <f>I744*3</f>
        <v>12960</v>
      </c>
      <c r="BE744" s="502">
        <f>I744</f>
        <v>4320</v>
      </c>
      <c r="BF744" s="502">
        <f>I744/6</f>
        <v>720</v>
      </c>
      <c r="BG744" s="502"/>
      <c r="BH744" s="502"/>
      <c r="BI744" s="502"/>
      <c r="BJ744" s="502"/>
      <c r="BK744" s="502"/>
      <c r="BL744" s="502"/>
      <c r="BM744" s="502"/>
      <c r="BN744" s="502"/>
      <c r="BO744" s="1296"/>
      <c r="BP744" s="1296"/>
      <c r="BQ744" s="1218"/>
      <c r="BR744" s="1297"/>
      <c r="BS744" s="1297"/>
      <c r="BT744" s="502"/>
      <c r="BU744" s="502"/>
      <c r="BV744" s="1296"/>
      <c r="BW744" s="1218"/>
      <c r="BX744" s="1218"/>
      <c r="BY744" s="1218"/>
      <c r="BZ744" s="1218"/>
      <c r="CA744" s="1218"/>
      <c r="CB744" s="1218"/>
      <c r="CC744" s="1218"/>
      <c r="CD744" s="1218">
        <f t="shared" si="243"/>
        <v>0</v>
      </c>
      <c r="CE744" s="1218">
        <f t="shared" si="244"/>
        <v>0</v>
      </c>
      <c r="CF744" s="502">
        <f t="shared" si="245"/>
        <v>0</v>
      </c>
      <c r="CG744" s="1218">
        <f t="shared" si="246"/>
        <v>0</v>
      </c>
      <c r="CH744" s="1299"/>
      <c r="CI744" s="1299"/>
      <c r="CJ744" s="1297"/>
      <c r="CK744" s="502"/>
      <c r="CL744" s="502"/>
    </row>
    <row r="745" s="1170" customFormat="1" customHeight="1" spans="1:111">
      <c r="A745" s="1396">
        <v>46174</v>
      </c>
      <c r="B745" s="1397" t="s">
        <v>3025</v>
      </c>
      <c r="C745" s="498" t="s">
        <v>291</v>
      </c>
      <c r="D745" s="1398">
        <v>4500210229</v>
      </c>
      <c r="E745" s="498"/>
      <c r="F745" s="496" t="s">
        <v>3047</v>
      </c>
      <c r="G745" s="499" t="s">
        <v>91</v>
      </c>
      <c r="H745" s="498" t="s">
        <v>600</v>
      </c>
      <c r="I745" s="1399">
        <v>4992</v>
      </c>
      <c r="J745" s="498">
        <v>0</v>
      </c>
      <c r="K745" s="498">
        <v>24</v>
      </c>
      <c r="L745" s="1400">
        <f t="shared" si="258"/>
        <v>208</v>
      </c>
      <c r="M745" s="1401">
        <v>46251</v>
      </c>
      <c r="N745" s="1401">
        <f>M745-2</f>
        <v>46249</v>
      </c>
      <c r="O745" s="495"/>
      <c r="P745" s="500"/>
      <c r="Q745" s="500"/>
      <c r="R745" s="498"/>
      <c r="S745" s="498"/>
      <c r="T745" s="500"/>
      <c r="U745" s="500">
        <f t="shared" si="242"/>
        <v>-4992</v>
      </c>
      <c r="V745" s="498"/>
      <c r="W745" s="1431">
        <v>46220</v>
      </c>
      <c r="X745" s="1405" t="s">
        <v>95</v>
      </c>
      <c r="Y745" s="1432" t="s">
        <v>3027</v>
      </c>
      <c r="Z745" s="1397"/>
      <c r="AA745" s="1397"/>
      <c r="AB745" s="1397"/>
      <c r="AC745" s="1397" t="s">
        <v>3048</v>
      </c>
      <c r="AD745" s="495" t="s">
        <v>450</v>
      </c>
      <c r="AE745" s="496">
        <v>1.0336</v>
      </c>
      <c r="AF745" s="497">
        <f>I745*AE745</f>
        <v>5159.7312</v>
      </c>
      <c r="AG745" s="1406"/>
      <c r="AH745" s="498" t="s">
        <v>903</v>
      </c>
      <c r="AI745" s="498" t="s">
        <v>112</v>
      </c>
      <c r="AJ745" s="498" t="s">
        <v>113</v>
      </c>
      <c r="AK745" s="496">
        <f>I745</f>
        <v>4992</v>
      </c>
      <c r="AL745" s="496"/>
      <c r="AM745" s="496"/>
      <c r="AN745" s="496"/>
      <c r="AO745" s="496"/>
      <c r="AP745" s="496">
        <f>I745</f>
        <v>4992</v>
      </c>
      <c r="AQ745" s="1407"/>
      <c r="AR745" s="496"/>
      <c r="AS745" s="1408"/>
      <c r="AT745" s="1408"/>
      <c r="AU745" s="496">
        <f>I745</f>
        <v>4992</v>
      </c>
      <c r="AV745" s="1409">
        <f>I745*0.06*2</f>
        <v>599.04</v>
      </c>
      <c r="AW745" s="1409"/>
      <c r="AX745" s="496"/>
      <c r="AY745" s="496"/>
      <c r="AZ745" s="496"/>
      <c r="BA745" s="496"/>
      <c r="BB745" s="496"/>
      <c r="BC745" s="496"/>
      <c r="BD745" s="496"/>
      <c r="BE745" s="496"/>
      <c r="BF745" s="496"/>
      <c r="BG745" s="496"/>
      <c r="BH745" s="496"/>
      <c r="BI745" s="496"/>
      <c r="BJ745" s="496"/>
      <c r="BK745" s="496"/>
      <c r="BL745" s="496"/>
      <c r="BM745" s="496"/>
      <c r="BN745" s="496"/>
      <c r="BO745" s="1407"/>
      <c r="BP745" s="1407"/>
      <c r="BQ745" s="496"/>
      <c r="BR745" s="1408"/>
      <c r="BS745" s="1408"/>
      <c r="BT745" s="496"/>
      <c r="BU745" s="496"/>
      <c r="BV745" s="1407"/>
      <c r="BW745" s="496"/>
      <c r="BX745" s="496"/>
      <c r="BY745" s="496"/>
      <c r="BZ745" s="496"/>
      <c r="CA745" s="496"/>
      <c r="CB745" s="496"/>
      <c r="CC745" s="496"/>
      <c r="CD745" s="496">
        <f t="shared" si="243"/>
        <v>0</v>
      </c>
      <c r="CE745" s="496">
        <f t="shared" si="244"/>
        <v>0</v>
      </c>
      <c r="CF745" s="1644">
        <f t="shared" si="245"/>
        <v>0</v>
      </c>
      <c r="CG745" s="1644">
        <f t="shared" si="246"/>
        <v>0</v>
      </c>
      <c r="CH745" s="1408"/>
      <c r="CI745" s="1408"/>
      <c r="CJ745" s="1408"/>
      <c r="CK745" s="496"/>
      <c r="CL745" s="496"/>
    </row>
    <row r="746" s="293" customFormat="1" customHeight="1" spans="1:111">
      <c r="A746" s="1289">
        <v>46199</v>
      </c>
      <c r="B746" s="543" t="s">
        <v>3049</v>
      </c>
      <c r="C746" s="504" t="s">
        <v>135</v>
      </c>
      <c r="D746" s="1305">
        <v>4500213970</v>
      </c>
      <c r="E746" s="504" t="s">
        <v>3050</v>
      </c>
      <c r="F746" s="502" t="s">
        <v>3051</v>
      </c>
      <c r="G746" s="505" t="s">
        <v>753</v>
      </c>
      <c r="H746" s="504" t="s">
        <v>390</v>
      </c>
      <c r="I746" s="1290">
        <v>4020</v>
      </c>
      <c r="J746" s="504">
        <v>0</v>
      </c>
      <c r="K746" s="504">
        <v>12</v>
      </c>
      <c r="L746" s="1291">
        <f t="shared" si="258"/>
        <v>335</v>
      </c>
      <c r="M746" s="501">
        <v>46251</v>
      </c>
      <c r="N746" s="1365">
        <v>46251</v>
      </c>
      <c r="O746" s="1312"/>
      <c r="P746" s="506"/>
      <c r="Q746" s="506"/>
      <c r="R746" s="504"/>
      <c r="S746" s="504"/>
      <c r="T746" s="506"/>
      <c r="U746" s="500">
        <f t="shared" si="242"/>
        <v>-4020</v>
      </c>
      <c r="V746" s="504"/>
      <c r="W746" s="1300" t="s">
        <v>2502</v>
      </c>
      <c r="X746" s="1294" t="s">
        <v>107</v>
      </c>
      <c r="Y746" s="1294" t="s">
        <v>3052</v>
      </c>
      <c r="Z746" s="544" t="s">
        <v>140</v>
      </c>
      <c r="AA746" s="544"/>
      <c r="AB746" s="543"/>
      <c r="AC746" s="544" t="s">
        <v>3053</v>
      </c>
      <c r="AD746" s="1365" t="s">
        <v>2505</v>
      </c>
      <c r="AE746" s="1366">
        <v>2.5332</v>
      </c>
      <c r="AF746" s="1367">
        <f>I746*AE746</f>
        <v>10183.464</v>
      </c>
      <c r="AG746" s="1368"/>
      <c r="AH746" s="488" t="s">
        <v>753</v>
      </c>
      <c r="AI746" s="488" t="s">
        <v>112</v>
      </c>
      <c r="AJ746" s="498" t="s">
        <v>113</v>
      </c>
      <c r="AK746" s="327">
        <f>I746*2</f>
        <v>8040</v>
      </c>
      <c r="AL746" s="502"/>
      <c r="AM746" s="1218"/>
      <c r="AN746" s="502"/>
      <c r="AO746" s="502"/>
      <c r="AP746" s="502"/>
      <c r="AQ746" s="1296"/>
      <c r="AR746" s="438">
        <f>I746*2</f>
        <v>8040</v>
      </c>
      <c r="AS746" s="1317"/>
      <c r="AT746" s="1317"/>
      <c r="AU746" s="327"/>
      <c r="AV746" s="1318"/>
      <c r="AW746" s="1318">
        <f>I746*2</f>
        <v>8040</v>
      </c>
      <c r="AX746" s="502"/>
      <c r="AY746" s="502"/>
      <c r="AZ746" s="502"/>
      <c r="BA746" s="502"/>
      <c r="BB746" s="502"/>
      <c r="BC746" s="502"/>
      <c r="BD746" s="502"/>
      <c r="BE746" s="502"/>
      <c r="BF746" s="502"/>
      <c r="BG746" s="502"/>
      <c r="BH746" s="502"/>
      <c r="BI746" s="502"/>
      <c r="BJ746" s="502"/>
      <c r="BK746" s="502"/>
      <c r="BL746" s="502"/>
      <c r="BM746" s="502"/>
      <c r="BN746" s="502"/>
      <c r="BO746" s="1296"/>
      <c r="BP746" s="1296"/>
      <c r="BQ746" s="1218"/>
      <c r="BR746" s="1297"/>
      <c r="BS746" s="1297"/>
      <c r="BT746" s="502"/>
      <c r="BU746" s="502"/>
      <c r="BV746" s="1296"/>
      <c r="BW746" s="1218"/>
      <c r="BX746" s="1218"/>
      <c r="BY746" s="1218"/>
      <c r="BZ746" s="1218"/>
      <c r="CA746" s="1218"/>
      <c r="CB746" s="1218"/>
      <c r="CC746" s="1218"/>
      <c r="CD746" s="1218">
        <f t="shared" si="243"/>
        <v>0</v>
      </c>
      <c r="CE746" s="1218">
        <f t="shared" si="244"/>
        <v>0</v>
      </c>
      <c r="CF746" s="502">
        <f t="shared" si="245"/>
        <v>0</v>
      </c>
      <c r="CG746" s="1218">
        <f t="shared" si="246"/>
        <v>0</v>
      </c>
      <c r="CH746" s="1299"/>
      <c r="CI746" s="1299"/>
      <c r="CJ746" s="1297">
        <f>I746</f>
        <v>4020</v>
      </c>
      <c r="CK746" s="502">
        <f>I746</f>
        <v>4020</v>
      </c>
      <c r="CL746" s="502">
        <f>I746</f>
        <v>4020</v>
      </c>
    </row>
    <row r="747" s="1170" customFormat="1" customHeight="1" spans="1:111">
      <c r="A747" s="1396">
        <v>46183</v>
      </c>
      <c r="B747" s="1397" t="s">
        <v>583</v>
      </c>
      <c r="C747" s="498" t="s">
        <v>135</v>
      </c>
      <c r="D747" s="496">
        <v>4500211620</v>
      </c>
      <c r="E747" s="498">
        <v>2950868336</v>
      </c>
      <c r="F747" s="496" t="s">
        <v>3054</v>
      </c>
      <c r="G747" s="499" t="s">
        <v>3055</v>
      </c>
      <c r="H747" s="498" t="s">
        <v>586</v>
      </c>
      <c r="I747" s="1399">
        <v>2080</v>
      </c>
      <c r="J747" s="498">
        <v>0</v>
      </c>
      <c r="K747" s="498">
        <v>1040</v>
      </c>
      <c r="L747" s="1400">
        <f t="shared" si="258"/>
        <v>2</v>
      </c>
      <c r="M747" s="495">
        <v>46251</v>
      </c>
      <c r="N747" s="1401">
        <v>46252</v>
      </c>
      <c r="O747" s="495"/>
      <c r="P747" s="500"/>
      <c r="Q747" s="500"/>
      <c r="R747" s="498"/>
      <c r="S747" s="498"/>
      <c r="T747" s="500">
        <v>2080</v>
      </c>
      <c r="U747" s="500">
        <f t="shared" si="242"/>
        <v>0</v>
      </c>
      <c r="V747" s="498"/>
      <c r="W747" s="1431">
        <v>46183</v>
      </c>
      <c r="X747" s="1432" t="s">
        <v>95</v>
      </c>
      <c r="Y747" s="1432" t="s">
        <v>3056</v>
      </c>
      <c r="Z747" s="1397" t="s">
        <v>2279</v>
      </c>
      <c r="AA747" s="1397"/>
      <c r="AB747" s="1397"/>
      <c r="AC747" s="1535" t="s">
        <v>3057</v>
      </c>
      <c r="AD747" s="495" t="s">
        <v>288</v>
      </c>
      <c r="AE747" s="496">
        <v>1116.2134</v>
      </c>
      <c r="AF747" s="497">
        <f>AE747*L747</f>
        <v>2232.4268</v>
      </c>
      <c r="AG747" s="1406"/>
      <c r="AH747" s="498" t="s">
        <v>3058</v>
      </c>
      <c r="AI747" s="498" t="s">
        <v>112</v>
      </c>
      <c r="AJ747" s="498" t="s">
        <v>113</v>
      </c>
      <c r="AK747" s="496">
        <f>I747</f>
        <v>2080</v>
      </c>
      <c r="AL747" s="496"/>
      <c r="AM747" s="496"/>
      <c r="AN747" s="496">
        <f>I747</f>
        <v>2080</v>
      </c>
      <c r="AO747" s="496"/>
      <c r="AP747" s="496"/>
      <c r="AQ747" s="1407"/>
      <c r="AR747" s="496"/>
      <c r="AS747" s="1408"/>
      <c r="AT747" s="1408"/>
      <c r="AU747" s="496"/>
      <c r="AV747" s="1409">
        <f>I747*0.06</f>
        <v>124.8</v>
      </c>
      <c r="AW747" s="1409">
        <f>I747</f>
        <v>2080</v>
      </c>
      <c r="AX747" s="496"/>
      <c r="AY747" s="496"/>
      <c r="AZ747" s="496"/>
      <c r="BA747" s="496"/>
      <c r="BB747" s="496"/>
      <c r="BC747" s="496"/>
      <c r="BD747" s="496"/>
      <c r="BE747" s="496"/>
      <c r="BF747" s="496"/>
      <c r="BG747" s="496"/>
      <c r="BH747" s="496"/>
      <c r="BI747" s="496"/>
      <c r="BJ747" s="496"/>
      <c r="BK747" s="496">
        <f>I747/13</f>
        <v>160</v>
      </c>
      <c r="BL747" s="496"/>
      <c r="BM747" s="496"/>
      <c r="BN747" s="496"/>
      <c r="BO747" s="1407"/>
      <c r="BP747" s="1407"/>
      <c r="BQ747" s="496"/>
      <c r="BR747" s="1408"/>
      <c r="BS747" s="1408"/>
      <c r="BT747" s="496"/>
      <c r="BU747" s="496"/>
      <c r="BV747" s="1407"/>
      <c r="BW747" s="496"/>
      <c r="BX747" s="496"/>
      <c r="BY747" s="496"/>
      <c r="BZ747" s="496"/>
      <c r="CA747" s="496"/>
      <c r="CB747" s="496"/>
      <c r="CC747" s="496"/>
      <c r="CD747" s="496">
        <f t="shared" si="243"/>
        <v>0</v>
      </c>
      <c r="CE747" s="496">
        <f t="shared" si="244"/>
        <v>0</v>
      </c>
      <c r="CF747" s="496">
        <f t="shared" si="245"/>
        <v>0</v>
      </c>
      <c r="CG747" s="496">
        <f t="shared" si="246"/>
        <v>0</v>
      </c>
      <c r="CH747" s="1408"/>
      <c r="CI747" s="1408"/>
      <c r="CJ747" s="1408"/>
      <c r="CK747" s="496"/>
      <c r="CL747" s="496"/>
    </row>
    <row r="748" s="1170" customFormat="1" customHeight="1" spans="1:111">
      <c r="A748" s="1396">
        <v>46183</v>
      </c>
      <c r="B748" s="1397" t="s">
        <v>583</v>
      </c>
      <c r="C748" s="498" t="s">
        <v>135</v>
      </c>
      <c r="D748" s="496">
        <v>4500211620</v>
      </c>
      <c r="E748" s="498">
        <v>2950868348</v>
      </c>
      <c r="F748" s="496" t="s">
        <v>3059</v>
      </c>
      <c r="G748" s="499" t="s">
        <v>1201</v>
      </c>
      <c r="H748" s="498" t="s">
        <v>586</v>
      </c>
      <c r="I748" s="1399">
        <v>3120</v>
      </c>
      <c r="J748" s="498">
        <v>0</v>
      </c>
      <c r="K748" s="498">
        <v>1040</v>
      </c>
      <c r="L748" s="1400">
        <f t="shared" si="258"/>
        <v>3</v>
      </c>
      <c r="M748" s="495">
        <v>46251</v>
      </c>
      <c r="N748" s="1401">
        <v>46252</v>
      </c>
      <c r="O748" s="495"/>
      <c r="P748" s="500"/>
      <c r="Q748" s="500"/>
      <c r="R748" s="498"/>
      <c r="S748" s="498"/>
      <c r="T748" s="500">
        <v>3120</v>
      </c>
      <c r="U748" s="500">
        <f t="shared" si="242"/>
        <v>0</v>
      </c>
      <c r="V748" s="498"/>
      <c r="W748" s="1404">
        <v>46183</v>
      </c>
      <c r="X748" s="1432" t="s">
        <v>95</v>
      </c>
      <c r="Y748" s="1432" t="s">
        <v>3056</v>
      </c>
      <c r="Z748" s="1397" t="s">
        <v>2279</v>
      </c>
      <c r="AA748" s="1397"/>
      <c r="AB748" s="1397"/>
      <c r="AC748" s="1535" t="s">
        <v>3057</v>
      </c>
      <c r="AD748" s="495" t="s">
        <v>288</v>
      </c>
      <c r="AE748" s="496">
        <v>1116.2134</v>
      </c>
      <c r="AF748" s="497">
        <f>AE748*L748</f>
        <v>3348.6402</v>
      </c>
      <c r="AG748" s="1406"/>
      <c r="AH748" s="499" t="s">
        <v>1201</v>
      </c>
      <c r="AI748" s="498" t="s">
        <v>112</v>
      </c>
      <c r="AJ748" s="498" t="s">
        <v>113</v>
      </c>
      <c r="AK748" s="496">
        <f>I748</f>
        <v>3120</v>
      </c>
      <c r="AL748" s="496"/>
      <c r="AM748" s="496"/>
      <c r="AN748" s="496">
        <f>I748</f>
        <v>3120</v>
      </c>
      <c r="AO748" s="496"/>
      <c r="AP748" s="496"/>
      <c r="AQ748" s="1407"/>
      <c r="AR748" s="496"/>
      <c r="AS748" s="1408"/>
      <c r="AT748" s="1408"/>
      <c r="AU748" s="496"/>
      <c r="AV748" s="1409">
        <f>I748*0.06</f>
        <v>187.2</v>
      </c>
      <c r="AW748" s="1409">
        <f>I748</f>
        <v>3120</v>
      </c>
      <c r="AX748" s="496"/>
      <c r="AY748" s="496"/>
      <c r="AZ748" s="496"/>
      <c r="BA748" s="496"/>
      <c r="BB748" s="496"/>
      <c r="BC748" s="496"/>
      <c r="BD748" s="496"/>
      <c r="BE748" s="496"/>
      <c r="BF748" s="496"/>
      <c r="BG748" s="496"/>
      <c r="BH748" s="496"/>
      <c r="BI748" s="496"/>
      <c r="BJ748" s="496"/>
      <c r="BK748" s="496">
        <f>I748/13</f>
        <v>240</v>
      </c>
      <c r="BL748" s="496"/>
      <c r="BM748" s="496"/>
      <c r="BN748" s="496"/>
      <c r="BO748" s="1407"/>
      <c r="BP748" s="1407"/>
      <c r="BQ748" s="496"/>
      <c r="BR748" s="1408"/>
      <c r="BS748" s="1408"/>
      <c r="BT748" s="496"/>
      <c r="BU748" s="496"/>
      <c r="BV748" s="1407"/>
      <c r="BW748" s="496"/>
      <c r="BX748" s="496"/>
      <c r="BY748" s="496"/>
      <c r="BZ748" s="496"/>
      <c r="CA748" s="496"/>
      <c r="CB748" s="496"/>
      <c r="CC748" s="496"/>
      <c r="CD748" s="496">
        <f t="shared" si="243"/>
        <v>0</v>
      </c>
      <c r="CE748" s="496">
        <f t="shared" si="244"/>
        <v>0</v>
      </c>
      <c r="CF748" s="496">
        <f t="shared" si="245"/>
        <v>0</v>
      </c>
      <c r="CG748" s="496">
        <f t="shared" si="246"/>
        <v>0</v>
      </c>
      <c r="CH748" s="1408"/>
      <c r="CI748" s="1408"/>
      <c r="CJ748" s="1408"/>
      <c r="CK748" s="496"/>
      <c r="CL748" s="496"/>
    </row>
    <row r="749" s="1181" customFormat="1" customHeight="1" spans="1:111">
      <c r="A749" s="1647">
        <v>46244</v>
      </c>
      <c r="B749" s="1648" t="s">
        <v>3060</v>
      </c>
      <c r="C749" s="1649" t="s">
        <v>265</v>
      </c>
      <c r="D749" s="1650">
        <v>4500219369</v>
      </c>
      <c r="E749" s="1651">
        <v>4400584550</v>
      </c>
      <c r="F749" s="1652" t="s">
        <v>3061</v>
      </c>
      <c r="G749" s="1653" t="s">
        <v>270</v>
      </c>
      <c r="H749" s="1654" t="s">
        <v>104</v>
      </c>
      <c r="I749" s="1655">
        <v>3300</v>
      </c>
      <c r="J749" s="1649">
        <v>0</v>
      </c>
      <c r="K749" s="1649">
        <v>25</v>
      </c>
      <c r="L749" s="1656">
        <f t="shared" si="258"/>
        <v>132</v>
      </c>
      <c r="M749" s="1657">
        <v>46251</v>
      </c>
      <c r="N749" s="1657">
        <v>46247</v>
      </c>
      <c r="O749" s="1657"/>
      <c r="P749" s="1651" t="s">
        <v>3062</v>
      </c>
      <c r="Q749" s="1651"/>
      <c r="R749" s="1649" t="s">
        <v>3063</v>
      </c>
      <c r="S749" s="1649"/>
      <c r="T749" s="1651">
        <v>3300</v>
      </c>
      <c r="U749" s="1658"/>
      <c r="V749" s="1649"/>
      <c r="W749" s="1659" t="s">
        <v>3064</v>
      </c>
      <c r="X749" s="1660" t="s">
        <v>95</v>
      </c>
      <c r="Y749" s="1660" t="s">
        <v>1794</v>
      </c>
      <c r="Z749" s="1648" t="s">
        <v>140</v>
      </c>
      <c r="AA749" s="1648"/>
      <c r="AB749" s="1648" t="s">
        <v>2870</v>
      </c>
      <c r="AC749" s="1648" t="s">
        <v>3065</v>
      </c>
      <c r="AD749" s="1657" t="s">
        <v>3066</v>
      </c>
      <c r="AE749" s="1652">
        <v>1.1085</v>
      </c>
      <c r="AF749" s="1661">
        <f>I749*AE749</f>
        <v>3658.05</v>
      </c>
      <c r="AG749" s="1662"/>
      <c r="AH749" s="1649" t="s">
        <v>270</v>
      </c>
      <c r="AI749" s="1649" t="s">
        <v>112</v>
      </c>
      <c r="AJ749" s="1663"/>
      <c r="AK749" s="1652">
        <f>I749</f>
        <v>3300</v>
      </c>
      <c r="AL749" s="1652"/>
      <c r="AM749" s="1652"/>
      <c r="AN749" s="1652"/>
      <c r="AO749" s="1652"/>
      <c r="AP749" s="1652"/>
      <c r="AQ749" s="1664"/>
      <c r="AR749" s="1652"/>
      <c r="AS749" s="1665"/>
      <c r="AT749" s="1665"/>
      <c r="AU749" s="1652"/>
      <c r="AV749" s="1666">
        <f>I749*0.06</f>
        <v>198</v>
      </c>
      <c r="AW749" s="1666">
        <f>I749</f>
        <v>3300</v>
      </c>
      <c r="AX749" s="1652"/>
      <c r="AY749" s="1652"/>
      <c r="AZ749" s="1652"/>
      <c r="BA749" s="1652"/>
      <c r="BB749" s="1652"/>
      <c r="BC749" s="1652"/>
      <c r="BD749" s="1652"/>
      <c r="BE749" s="1652"/>
      <c r="BF749" s="1652"/>
      <c r="BG749" s="1652">
        <f>I749</f>
        <v>3300</v>
      </c>
      <c r="BH749" s="1652">
        <f>I749</f>
        <v>3300</v>
      </c>
      <c r="BI749" s="1652"/>
      <c r="BJ749" s="1652"/>
      <c r="BK749" s="1652"/>
      <c r="BL749" s="1652"/>
      <c r="BM749" s="1652"/>
      <c r="BN749" s="1652"/>
      <c r="BO749" s="1667">
        <f>I749/25</f>
        <v>132</v>
      </c>
      <c r="BP749" s="1664"/>
      <c r="BQ749" s="1652"/>
      <c r="BR749" s="1665"/>
      <c r="BS749" s="1652"/>
      <c r="BT749" s="1652"/>
      <c r="BU749" s="1652"/>
      <c r="BV749" s="1664"/>
      <c r="BW749" s="1652"/>
      <c r="BX749" s="1652"/>
      <c r="BY749" s="1652"/>
      <c r="BZ749" s="1652"/>
      <c r="CA749" s="1652"/>
      <c r="CB749" s="1652"/>
      <c r="CC749" s="1652"/>
      <c r="CD749" s="1668">
        <f t="shared" si="243"/>
        <v>132</v>
      </c>
      <c r="CE749" s="1668">
        <f t="shared" si="244"/>
        <v>0</v>
      </c>
      <c r="CF749" s="1669">
        <f t="shared" si="245"/>
        <v>0</v>
      </c>
      <c r="CG749" s="1668"/>
      <c r="CH749" s="1665"/>
      <c r="CI749" s="1665"/>
      <c r="CJ749" s="1665"/>
      <c r="CK749" s="1652"/>
      <c r="CL749" s="1652"/>
    </row>
    <row r="750" s="1180" customFormat="1" customHeight="1" spans="1:111">
      <c r="A750" s="1670">
        <v>46185</v>
      </c>
      <c r="B750" s="1410" t="s">
        <v>114</v>
      </c>
      <c r="C750" s="1411" t="s">
        <v>115</v>
      </c>
      <c r="D750" s="1412">
        <v>4500211962</v>
      </c>
      <c r="E750" s="1671" t="s">
        <v>3067</v>
      </c>
      <c r="F750" s="1672" t="s">
        <v>3068</v>
      </c>
      <c r="G750" s="1413" t="s">
        <v>702</v>
      </c>
      <c r="H750" s="1434" t="s">
        <v>151</v>
      </c>
      <c r="I750" s="1414">
        <v>168168</v>
      </c>
      <c r="J750" s="1415">
        <v>0</v>
      </c>
      <c r="K750" s="1415">
        <v>84</v>
      </c>
      <c r="L750" s="1607">
        <f t="shared" ref="L750:L802" si="260">I750/K750</f>
        <v>2002</v>
      </c>
      <c r="M750" s="1440">
        <v>46252</v>
      </c>
      <c r="N750" s="1440">
        <f>M750-4</f>
        <v>46248</v>
      </c>
      <c r="O750" s="507"/>
      <c r="P750" s="1436"/>
      <c r="Q750" s="1436"/>
      <c r="R750" s="1434"/>
      <c r="S750" s="1434"/>
      <c r="T750" s="1436">
        <f>52852+29066+28175+13955+13956+33026</f>
        <v>171030</v>
      </c>
      <c r="U750" s="500">
        <f t="shared" ref="U750:U757" si="261">T750-I750</f>
        <v>2862</v>
      </c>
      <c r="V750" s="1434"/>
      <c r="W750" s="1300" t="s">
        <v>1551</v>
      </c>
      <c r="X750" s="1301" t="s">
        <v>107</v>
      </c>
      <c r="Y750" s="1301" t="s">
        <v>3069</v>
      </c>
      <c r="Z750" s="1417"/>
      <c r="AA750" s="1417"/>
      <c r="AB750" s="1417"/>
      <c r="AC750" s="1560" t="s">
        <v>3070</v>
      </c>
      <c r="AD750" s="547" t="s">
        <v>123</v>
      </c>
      <c r="AE750" s="1608">
        <v>128.7422</v>
      </c>
      <c r="AF750" s="1609">
        <f>L750*AE750</f>
        <v>257741.8844</v>
      </c>
      <c r="AG750" s="1610"/>
      <c r="AH750" s="488" t="s">
        <v>705</v>
      </c>
      <c r="AI750" s="488" t="s">
        <v>112</v>
      </c>
      <c r="AJ750" s="498" t="s">
        <v>113</v>
      </c>
      <c r="AK750" s="1437"/>
      <c r="AL750" s="1437"/>
      <c r="AM750" s="1617">
        <f>I750</f>
        <v>168168</v>
      </c>
      <c r="AN750" s="502"/>
      <c r="AO750" s="1437"/>
      <c r="AP750" s="1437"/>
      <c r="AQ750" s="1615"/>
      <c r="AR750" s="1437"/>
      <c r="AS750" s="1616"/>
      <c r="AT750" s="1616">
        <f>I750</f>
        <v>168168</v>
      </c>
      <c r="AU750" s="502">
        <f>I750</f>
        <v>168168</v>
      </c>
      <c r="AV750" s="1298">
        <f>I750*0.06</f>
        <v>10090.08</v>
      </c>
      <c r="AW750" s="1612"/>
      <c r="AX750" s="1437"/>
      <c r="AY750" s="1437"/>
      <c r="AZ750" s="1437"/>
      <c r="BA750" s="1437"/>
      <c r="BB750" s="1437"/>
      <c r="BC750" s="1437"/>
      <c r="BD750" s="1437"/>
      <c r="BE750" s="1437"/>
      <c r="BF750" s="1437"/>
      <c r="BG750" s="1437"/>
      <c r="BH750" s="1437"/>
      <c r="BI750" s="1437"/>
      <c r="BJ750" s="1437"/>
      <c r="BK750" s="1437"/>
      <c r="BL750" s="1437"/>
      <c r="BM750" s="1437"/>
      <c r="BN750" s="1437"/>
      <c r="BO750" s="1615"/>
      <c r="BP750" s="1615"/>
      <c r="BQ750" s="1437"/>
      <c r="BR750" s="1616"/>
      <c r="BS750" s="1616"/>
      <c r="BT750" s="1437"/>
      <c r="BU750" s="1437"/>
      <c r="BV750" s="1615"/>
      <c r="BW750" s="1437"/>
      <c r="BX750" s="502"/>
      <c r="BY750" s="1437">
        <f>L750</f>
        <v>2002</v>
      </c>
      <c r="BZ750" s="1617"/>
      <c r="CA750" s="1617"/>
      <c r="CB750" s="1617"/>
      <c r="CC750" s="1617"/>
      <c r="CD750" s="1218">
        <f t="shared" ref="CD750:CD757" si="262">BN750+BO750+BQ750+BS750+BR750</f>
        <v>0</v>
      </c>
      <c r="CE750" s="1218">
        <f t="shared" ref="CE750:CE757" si="263">BU750</f>
        <v>0</v>
      </c>
      <c r="CF750" s="502">
        <f t="shared" ref="CF750:CF757" si="264">CC750</f>
        <v>0</v>
      </c>
      <c r="CG750" s="1218">
        <f>BV750+BW750+BX750+BY750</f>
        <v>2002</v>
      </c>
      <c r="CH750" s="1618"/>
      <c r="CI750" s="1618"/>
      <c r="CJ750" s="1616"/>
      <c r="CK750" s="1437"/>
      <c r="CL750" s="1437"/>
      <c r="CM750" s="293"/>
      <c r="CN750" s="293"/>
      <c r="CO750" s="293"/>
      <c r="CP750" s="293"/>
      <c r="CQ750" s="293"/>
      <c r="CR750" s="293"/>
      <c r="CS750" s="293"/>
      <c r="CT750" s="293"/>
      <c r="CU750" s="293"/>
      <c r="CV750" s="293"/>
      <c r="CW750" s="293"/>
      <c r="CX750" s="293"/>
      <c r="CY750" s="293"/>
      <c r="CZ750" s="293"/>
      <c r="DA750" s="293"/>
      <c r="DB750" s="293"/>
      <c r="DC750" s="293"/>
      <c r="DD750" s="293"/>
      <c r="DE750" s="293"/>
      <c r="DF750" s="293"/>
      <c r="DG750" s="293"/>
    </row>
    <row r="751" s="1180" customFormat="1" customHeight="1" spans="1:111">
      <c r="A751" s="1606">
        <v>46190</v>
      </c>
      <c r="B751" s="1417" t="s">
        <v>3071</v>
      </c>
      <c r="C751" s="1434" t="s">
        <v>115</v>
      </c>
      <c r="D751" s="1435">
        <v>4500212804</v>
      </c>
      <c r="E751" s="1558">
        <v>62700611</v>
      </c>
      <c r="F751" s="1437" t="s">
        <v>3072</v>
      </c>
      <c r="G751" s="1438" t="s">
        <v>248</v>
      </c>
      <c r="H751" s="1434" t="s">
        <v>249</v>
      </c>
      <c r="I751" s="1439">
        <v>19386</v>
      </c>
      <c r="J751" s="1434">
        <v>0</v>
      </c>
      <c r="K751" s="1434">
        <v>6</v>
      </c>
      <c r="L751" s="1607">
        <f t="shared" si="260"/>
        <v>3231</v>
      </c>
      <c r="M751" s="507">
        <v>46252</v>
      </c>
      <c r="N751" s="1440">
        <v>46249</v>
      </c>
      <c r="O751" s="507"/>
      <c r="P751" s="1436"/>
      <c r="Q751" s="1436"/>
      <c r="R751" s="1553" t="s">
        <v>3073</v>
      </c>
      <c r="S751" s="1434"/>
      <c r="T751" s="1436"/>
      <c r="U751" s="500">
        <f t="shared" si="261"/>
        <v>-19386</v>
      </c>
      <c r="V751" s="1434"/>
      <c r="W751" s="1300">
        <v>46195</v>
      </c>
      <c r="X751" s="1301" t="s">
        <v>107</v>
      </c>
      <c r="Y751" s="1301" t="s">
        <v>3074</v>
      </c>
      <c r="Z751" s="1552"/>
      <c r="AA751" s="1552"/>
      <c r="AB751" s="1552" t="s">
        <v>3075</v>
      </c>
      <c r="AC751" s="1560" t="s">
        <v>3076</v>
      </c>
      <c r="AD751" s="507" t="s">
        <v>3077</v>
      </c>
      <c r="AE751" s="1437">
        <v>0.6949</v>
      </c>
      <c r="AF751" s="1609">
        <f>I751*AE751</f>
        <v>13471.3314</v>
      </c>
      <c r="AG751" s="1610"/>
      <c r="AH751" s="504" t="s">
        <v>248</v>
      </c>
      <c r="AI751" s="504" t="s">
        <v>112</v>
      </c>
      <c r="AJ751" s="498" t="s">
        <v>113</v>
      </c>
      <c r="AK751" s="1437">
        <f t="shared" ref="AK751:AK758" si="265">I751</f>
        <v>19386</v>
      </c>
      <c r="AL751" s="1437"/>
      <c r="AM751" s="1617"/>
      <c r="AN751" s="1418">
        <f>I751</f>
        <v>19386</v>
      </c>
      <c r="AO751" s="1437"/>
      <c r="AP751" s="1437"/>
      <c r="AQ751" s="1615"/>
      <c r="AR751" s="456"/>
      <c r="AS751" s="1616"/>
      <c r="AT751" s="1616"/>
      <c r="AU751" s="502">
        <f>I751</f>
        <v>19386</v>
      </c>
      <c r="AV751" s="1298"/>
      <c r="AW751" s="1612"/>
      <c r="AX751" s="1437"/>
      <c r="AY751" s="1437"/>
      <c r="AZ751" s="1437"/>
      <c r="BA751" s="1437"/>
      <c r="BB751" s="1437"/>
      <c r="BC751" s="1437"/>
      <c r="BD751" s="1437"/>
      <c r="BE751" s="1437"/>
      <c r="BF751" s="1437"/>
      <c r="BG751" s="1437"/>
      <c r="BH751" s="1437"/>
      <c r="BI751" s="1437"/>
      <c r="BJ751" s="1437"/>
      <c r="BK751" s="1437"/>
      <c r="BL751" s="1437"/>
      <c r="BM751" s="1437"/>
      <c r="BN751" s="1437"/>
      <c r="BO751" s="1615"/>
      <c r="BP751" s="1615"/>
      <c r="BQ751" s="1617"/>
      <c r="BR751" s="1616"/>
      <c r="BS751" s="1616"/>
      <c r="BT751" s="1437">
        <f>I751/6</f>
        <v>3231</v>
      </c>
      <c r="BU751" s="1437"/>
      <c r="BV751" s="1615"/>
      <c r="BW751" s="1617"/>
      <c r="BX751" s="1218"/>
      <c r="BY751" s="1617"/>
      <c r="BZ751" s="1617"/>
      <c r="CA751" s="1617"/>
      <c r="CB751" s="1617"/>
      <c r="CC751" s="1617"/>
      <c r="CD751" s="1218">
        <f t="shared" si="262"/>
        <v>0</v>
      </c>
      <c r="CE751" s="1218">
        <f t="shared" si="263"/>
        <v>0</v>
      </c>
      <c r="CF751" s="502">
        <f t="shared" si="264"/>
        <v>0</v>
      </c>
      <c r="CG751" s="1218">
        <f t="shared" ref="CG751:CG814" si="266">BV751+BW751+BX751</f>
        <v>0</v>
      </c>
      <c r="CH751" s="1618"/>
      <c r="CI751" s="1618"/>
      <c r="CJ751" s="1616"/>
      <c r="CK751" s="1437"/>
      <c r="CL751" s="1437"/>
      <c r="CM751" s="293"/>
      <c r="CN751" s="293"/>
      <c r="CO751" s="293"/>
      <c r="CP751" s="293"/>
      <c r="CQ751" s="293"/>
      <c r="CR751" s="293"/>
      <c r="CS751" s="293"/>
      <c r="CT751" s="293"/>
      <c r="CU751" s="293"/>
      <c r="CV751" s="293"/>
      <c r="CW751" s="293"/>
      <c r="CX751" s="293"/>
      <c r="CY751" s="293"/>
      <c r="CZ751" s="293"/>
      <c r="DA751" s="293"/>
      <c r="DB751" s="293"/>
      <c r="DC751" s="293"/>
      <c r="DD751" s="293"/>
      <c r="DE751" s="293"/>
      <c r="DF751" s="293"/>
      <c r="DG751" s="293"/>
    </row>
    <row r="752" s="1170" customFormat="1" customHeight="1" spans="1:111">
      <c r="A752" s="1504">
        <v>46196</v>
      </c>
      <c r="B752" s="1447" t="s">
        <v>770</v>
      </c>
      <c r="C752" s="1448" t="s">
        <v>771</v>
      </c>
      <c r="D752" s="1673">
        <v>4500212711</v>
      </c>
      <c r="E752" s="1448"/>
      <c r="F752" s="1450" t="s">
        <v>3078</v>
      </c>
      <c r="G752" s="1451" t="s">
        <v>146</v>
      </c>
      <c r="H752" s="1448" t="s">
        <v>104</v>
      </c>
      <c r="I752" s="1452">
        <v>725</v>
      </c>
      <c r="J752" s="1448">
        <v>0</v>
      </c>
      <c r="K752" s="1448">
        <v>25</v>
      </c>
      <c r="L752" s="1506">
        <f t="shared" si="260"/>
        <v>29</v>
      </c>
      <c r="M752" s="1444">
        <v>46252</v>
      </c>
      <c r="N752" s="1458">
        <v>46251</v>
      </c>
      <c r="O752" s="1444"/>
      <c r="P752" s="1507"/>
      <c r="Q752" s="1507"/>
      <c r="R752" s="1448"/>
      <c r="S752" s="1448"/>
      <c r="T752" s="1507">
        <v>725</v>
      </c>
      <c r="U752" s="500">
        <f t="shared" si="261"/>
        <v>0</v>
      </c>
      <c r="V752" s="1448"/>
      <c r="W752" s="1431" t="s">
        <v>1774</v>
      </c>
      <c r="X752" s="1432" t="s">
        <v>95</v>
      </c>
      <c r="Y752" s="1432" t="s">
        <v>2058</v>
      </c>
      <c r="Z752" s="1447"/>
      <c r="AA752" s="1447"/>
      <c r="AB752" s="1447"/>
      <c r="AC752" s="1674" t="s">
        <v>3079</v>
      </c>
      <c r="AD752" s="1444" t="s">
        <v>2060</v>
      </c>
      <c r="AE752" s="1450">
        <v>1.1281</v>
      </c>
      <c r="AF752" s="1508">
        <f>I752*AE752</f>
        <v>817.8725</v>
      </c>
      <c r="AG752" s="1509"/>
      <c r="AH752" s="498" t="s">
        <v>111</v>
      </c>
      <c r="AI752" s="498" t="s">
        <v>112</v>
      </c>
      <c r="AJ752" s="1448" t="s">
        <v>113</v>
      </c>
      <c r="AK752" s="1450">
        <f t="shared" si="265"/>
        <v>725</v>
      </c>
      <c r="AL752" s="1450"/>
      <c r="AM752" s="1450"/>
      <c r="AN752" s="496"/>
      <c r="AO752" s="1450"/>
      <c r="AP752" s="1450">
        <f>I752</f>
        <v>725</v>
      </c>
      <c r="AQ752" s="1510"/>
      <c r="AR752" s="1450"/>
      <c r="AS752" s="1511"/>
      <c r="AT752" s="1511"/>
      <c r="AU752" s="496">
        <f>I752</f>
        <v>725</v>
      </c>
      <c r="AV752" s="1409"/>
      <c r="AW752" s="1512"/>
      <c r="AX752" s="1450"/>
      <c r="AY752" s="1450"/>
      <c r="AZ752" s="1450"/>
      <c r="BA752" s="1450"/>
      <c r="BB752" s="1450"/>
      <c r="BC752" s="1450"/>
      <c r="BD752" s="1450"/>
      <c r="BE752" s="1450"/>
      <c r="BF752" s="1450"/>
      <c r="BG752" s="1450"/>
      <c r="BH752" s="1450"/>
      <c r="BI752" s="1450"/>
      <c r="BJ752" s="1450"/>
      <c r="BK752" s="1450"/>
      <c r="BL752" s="1450"/>
      <c r="BM752" s="1450"/>
      <c r="BN752" s="1450"/>
      <c r="BO752" s="1510">
        <f>I752/25</f>
        <v>29</v>
      </c>
      <c r="BP752" s="1510"/>
      <c r="BQ752" s="1450"/>
      <c r="BR752" s="1511"/>
      <c r="BS752" s="1511"/>
      <c r="BT752" s="1450"/>
      <c r="BU752" s="1450"/>
      <c r="BV752" s="1510"/>
      <c r="BW752" s="1450"/>
      <c r="BX752" s="496"/>
      <c r="BY752" s="1450"/>
      <c r="BZ752" s="1450"/>
      <c r="CA752" s="1450"/>
      <c r="CB752" s="1450"/>
      <c r="CC752" s="1450"/>
      <c r="CD752" s="496">
        <f t="shared" si="262"/>
        <v>29</v>
      </c>
      <c r="CE752" s="496">
        <f t="shared" si="263"/>
        <v>0</v>
      </c>
      <c r="CF752" s="496">
        <f t="shared" si="264"/>
        <v>0</v>
      </c>
      <c r="CG752" s="496">
        <f t="shared" si="266"/>
        <v>0</v>
      </c>
      <c r="CH752" s="1511"/>
      <c r="CI752" s="1511"/>
      <c r="CJ752" s="1511"/>
      <c r="CK752" s="1450"/>
      <c r="CL752" s="1450"/>
    </row>
    <row r="753" s="293" customFormat="1" customHeight="1" spans="1:111">
      <c r="A753" s="1670">
        <v>46209</v>
      </c>
      <c r="B753" s="1552" t="s">
        <v>3080</v>
      </c>
      <c r="C753" s="1553" t="s">
        <v>1439</v>
      </c>
      <c r="D753" s="1555">
        <v>4500214935</v>
      </c>
      <c r="E753" s="1621">
        <v>93038601</v>
      </c>
      <c r="F753" s="1555" t="s">
        <v>3081</v>
      </c>
      <c r="G753" s="1556" t="s">
        <v>188</v>
      </c>
      <c r="H753" s="1553" t="s">
        <v>138</v>
      </c>
      <c r="I753" s="1557">
        <v>6050</v>
      </c>
      <c r="J753" s="1553">
        <v>0</v>
      </c>
      <c r="K753" s="1553">
        <v>50</v>
      </c>
      <c r="L753" s="1675">
        <f t="shared" si="260"/>
        <v>121</v>
      </c>
      <c r="M753" s="1545">
        <v>46252</v>
      </c>
      <c r="N753" s="1416">
        <v>46253</v>
      </c>
      <c r="O753" s="1545"/>
      <c r="P753" s="1676" t="s">
        <v>3082</v>
      </c>
      <c r="Q753" s="1621"/>
      <c r="R753" s="1553"/>
      <c r="S753" s="1553"/>
      <c r="T753" s="1621"/>
      <c r="U753" s="500">
        <f t="shared" si="261"/>
        <v>-6050</v>
      </c>
      <c r="V753" s="1553"/>
      <c r="W753" s="1300" t="s">
        <v>3083</v>
      </c>
      <c r="X753" s="1301" t="s">
        <v>107</v>
      </c>
      <c r="Y753" s="1301" t="s">
        <v>3084</v>
      </c>
      <c r="Z753" s="1552"/>
      <c r="AA753" s="1552"/>
      <c r="AB753" s="1552"/>
      <c r="AC753" s="1552" t="s">
        <v>3085</v>
      </c>
      <c r="AD753" s="1545" t="s">
        <v>2600</v>
      </c>
      <c r="AE753" s="1555">
        <v>1.1119</v>
      </c>
      <c r="AF753" s="1677">
        <f>AE753*I753</f>
        <v>6726.995</v>
      </c>
      <c r="AG753" s="1610"/>
      <c r="AH753" s="504" t="s">
        <v>314</v>
      </c>
      <c r="AI753" s="488" t="s">
        <v>112</v>
      </c>
      <c r="AJ753" s="498" t="s">
        <v>113</v>
      </c>
      <c r="AK753" s="1555">
        <f t="shared" si="265"/>
        <v>6050</v>
      </c>
      <c r="AL753" s="1555"/>
      <c r="AM753" s="1555"/>
      <c r="AN753" s="327"/>
      <c r="AO753" s="327"/>
      <c r="AP753" s="327">
        <f>I753</f>
        <v>6050</v>
      </c>
      <c r="AQ753" s="1316"/>
      <c r="AR753" s="327"/>
      <c r="AS753" s="1317"/>
      <c r="AT753" s="1317"/>
      <c r="AU753" s="327">
        <f>I753</f>
        <v>6050</v>
      </c>
      <c r="AV753" s="1678"/>
      <c r="AW753" s="1678"/>
      <c r="AX753" s="1555"/>
      <c r="AY753" s="1555"/>
      <c r="AZ753" s="1555"/>
      <c r="BA753" s="1555"/>
      <c r="BB753" s="1555"/>
      <c r="BC753" s="1555"/>
      <c r="BD753" s="1555"/>
      <c r="BE753" s="1555"/>
      <c r="BF753" s="1555"/>
      <c r="BG753" s="1555"/>
      <c r="BH753" s="1555"/>
      <c r="BI753" s="1555"/>
      <c r="BJ753" s="1555"/>
      <c r="BK753" s="1555"/>
      <c r="BL753" s="1555"/>
      <c r="BM753" s="1555"/>
      <c r="BN753" s="1555"/>
      <c r="BO753" s="1679">
        <f>I753/25</f>
        <v>242</v>
      </c>
      <c r="BP753" s="1679"/>
      <c r="BQ753" s="1555"/>
      <c r="BR753" s="1680"/>
      <c r="BS753" s="1680"/>
      <c r="BT753" s="1555"/>
      <c r="BU753" s="1555"/>
      <c r="BV753" s="1679"/>
      <c r="BW753" s="1555"/>
      <c r="BX753" s="1555"/>
      <c r="BY753" s="1555"/>
      <c r="BZ753" s="1555"/>
      <c r="CA753" s="1555"/>
      <c r="CB753" s="1555"/>
      <c r="CC753" s="1555"/>
      <c r="CD753" s="1218">
        <f t="shared" si="262"/>
        <v>242</v>
      </c>
      <c r="CE753" s="1218">
        <f t="shared" si="263"/>
        <v>0</v>
      </c>
      <c r="CF753" s="502">
        <f t="shared" si="264"/>
        <v>0</v>
      </c>
      <c r="CG753" s="1218">
        <f t="shared" si="266"/>
        <v>0</v>
      </c>
      <c r="CH753" s="1680"/>
      <c r="CI753" s="1680"/>
      <c r="CJ753" s="1680"/>
      <c r="CK753" s="1555"/>
      <c r="CL753" s="1555"/>
      <c r="CM753" s="1180"/>
      <c r="CN753" s="1180"/>
      <c r="CO753" s="1180"/>
      <c r="CP753" s="1180"/>
      <c r="CQ753" s="1180"/>
      <c r="CR753" s="1180"/>
      <c r="CS753" s="1180"/>
      <c r="CT753" s="1180"/>
      <c r="CU753" s="1180"/>
      <c r="CV753" s="1180"/>
      <c r="CW753" s="1180"/>
      <c r="CX753" s="1180"/>
      <c r="CY753" s="1180"/>
      <c r="CZ753" s="1180"/>
      <c r="DA753" s="1180"/>
      <c r="DB753" s="1180"/>
      <c r="DC753" s="1180"/>
      <c r="DD753" s="1180"/>
      <c r="DE753" s="1180"/>
      <c r="DF753" s="1180"/>
      <c r="DG753" s="1180"/>
    </row>
    <row r="754" s="1180" customFormat="1" customHeight="1" spans="1:111">
      <c r="A754" s="1309">
        <v>46209</v>
      </c>
      <c r="B754" s="1552" t="s">
        <v>3080</v>
      </c>
      <c r="C754" s="1553" t="s">
        <v>1439</v>
      </c>
      <c r="D754" s="1555">
        <v>4500214935</v>
      </c>
      <c r="E754" s="1621">
        <v>93038602</v>
      </c>
      <c r="F754" s="1555" t="s">
        <v>3086</v>
      </c>
      <c r="G754" s="1556" t="s">
        <v>188</v>
      </c>
      <c r="H754" s="1553" t="s">
        <v>138</v>
      </c>
      <c r="I754" s="1557">
        <v>2050</v>
      </c>
      <c r="J754" s="1553">
        <v>0</v>
      </c>
      <c r="K754" s="1553">
        <v>50</v>
      </c>
      <c r="L754" s="1544">
        <f t="shared" si="260"/>
        <v>41</v>
      </c>
      <c r="M754" s="1312">
        <v>46252</v>
      </c>
      <c r="N754" s="1416">
        <v>46253</v>
      </c>
      <c r="O754" s="1545"/>
      <c r="P754" s="1676" t="s">
        <v>3082</v>
      </c>
      <c r="Q754" s="1313"/>
      <c r="R754" s="488"/>
      <c r="S754" s="488"/>
      <c r="T754" s="1313"/>
      <c r="U754" s="500">
        <f t="shared" si="261"/>
        <v>-2050</v>
      </c>
      <c r="V754" s="488"/>
      <c r="W754" s="1300" t="s">
        <v>3083</v>
      </c>
      <c r="X754" s="1301" t="s">
        <v>107</v>
      </c>
      <c r="Y754" s="1301" t="s">
        <v>3084</v>
      </c>
      <c r="Z754" s="544"/>
      <c r="AA754" s="544"/>
      <c r="AB754" s="544"/>
      <c r="AC754" s="1552" t="s">
        <v>3085</v>
      </c>
      <c r="AD754" s="1545" t="s">
        <v>2600</v>
      </c>
      <c r="AE754" s="327">
        <v>1.1119</v>
      </c>
      <c r="AF754" s="1315">
        <f>AE754*I754</f>
        <v>2279.395</v>
      </c>
      <c r="AG754" s="1295"/>
      <c r="AH754" s="504" t="s">
        <v>314</v>
      </c>
      <c r="AI754" s="488" t="s">
        <v>112</v>
      </c>
      <c r="AJ754" s="498" t="s">
        <v>113</v>
      </c>
      <c r="AK754" s="327">
        <f t="shared" si="265"/>
        <v>2050</v>
      </c>
      <c r="AL754" s="327"/>
      <c r="AM754" s="327"/>
      <c r="AN754" s="327"/>
      <c r="AO754" s="327"/>
      <c r="AP754" s="327">
        <f>I754</f>
        <v>2050</v>
      </c>
      <c r="AQ754" s="1316"/>
      <c r="AR754" s="327"/>
      <c r="AS754" s="1317"/>
      <c r="AT754" s="1317"/>
      <c r="AU754" s="327">
        <f>I754</f>
        <v>2050</v>
      </c>
      <c r="AV754" s="1318"/>
      <c r="AW754" s="1318"/>
      <c r="AX754" s="327"/>
      <c r="AY754" s="327"/>
      <c r="AZ754" s="327"/>
      <c r="BA754" s="327"/>
      <c r="BB754" s="327"/>
      <c r="BC754" s="327"/>
      <c r="BD754" s="327"/>
      <c r="BE754" s="327"/>
      <c r="BF754" s="327"/>
      <c r="BG754" s="327"/>
      <c r="BH754" s="327"/>
      <c r="BI754" s="327"/>
      <c r="BJ754" s="327"/>
      <c r="BK754" s="327"/>
      <c r="BL754" s="327"/>
      <c r="BM754" s="327"/>
      <c r="BN754" s="327"/>
      <c r="BO754" s="1316">
        <f>I754/25</f>
        <v>82</v>
      </c>
      <c r="BP754" s="1316"/>
      <c r="BQ754" s="327"/>
      <c r="BR754" s="1317"/>
      <c r="BS754" s="1317"/>
      <c r="BT754" s="327"/>
      <c r="BU754" s="327"/>
      <c r="BV754" s="1316"/>
      <c r="BW754" s="327"/>
      <c r="BX754" s="327"/>
      <c r="BY754" s="327"/>
      <c r="BZ754" s="327"/>
      <c r="CA754" s="327"/>
      <c r="CB754" s="327"/>
      <c r="CC754" s="327"/>
      <c r="CD754" s="1218">
        <f t="shared" si="262"/>
        <v>82</v>
      </c>
      <c r="CE754" s="1218">
        <f t="shared" si="263"/>
        <v>0</v>
      </c>
      <c r="CF754" s="502">
        <f t="shared" si="264"/>
        <v>0</v>
      </c>
      <c r="CG754" s="1218">
        <f t="shared" si="266"/>
        <v>0</v>
      </c>
      <c r="CH754" s="1317"/>
      <c r="CI754" s="1317"/>
      <c r="CJ754" s="1317"/>
      <c r="CK754" s="327"/>
      <c r="CL754" s="327"/>
    </row>
    <row r="755" s="1180" customFormat="1" customHeight="1" spans="1:111">
      <c r="A755" s="1606">
        <v>46198</v>
      </c>
      <c r="B755" s="1417" t="s">
        <v>296</v>
      </c>
      <c r="C755" s="1434" t="s">
        <v>115</v>
      </c>
      <c r="D755" s="1435">
        <v>4500213639</v>
      </c>
      <c r="E755" s="1558">
        <v>219602809</v>
      </c>
      <c r="F755" s="1681" t="s">
        <v>3087</v>
      </c>
      <c r="G755" s="1438" t="s">
        <v>289</v>
      </c>
      <c r="H755" s="1434" t="s">
        <v>194</v>
      </c>
      <c r="I755" s="1439">
        <v>4030</v>
      </c>
      <c r="J755" s="1434">
        <v>0</v>
      </c>
      <c r="K755" s="1434">
        <v>13</v>
      </c>
      <c r="L755" s="1607">
        <f t="shared" si="260"/>
        <v>310</v>
      </c>
      <c r="M755" s="507">
        <v>46252</v>
      </c>
      <c r="N755" s="1440">
        <v>46256</v>
      </c>
      <c r="O755" s="507"/>
      <c r="P755" s="1436"/>
      <c r="Q755" s="1436"/>
      <c r="R755" s="1434"/>
      <c r="S755" s="1434"/>
      <c r="T755" s="1436"/>
      <c r="U755" s="500">
        <f t="shared" si="261"/>
        <v>-4030</v>
      </c>
      <c r="V755" s="1434"/>
      <c r="W755" s="1300" t="s">
        <v>3088</v>
      </c>
      <c r="X755" s="1301" t="s">
        <v>95</v>
      </c>
      <c r="Y755" s="1301" t="s">
        <v>2362</v>
      </c>
      <c r="Z755" s="1552"/>
      <c r="AA755" s="1552"/>
      <c r="AB755" s="1417"/>
      <c r="AC755" s="1552" t="s">
        <v>3089</v>
      </c>
      <c r="AD755" s="1440" t="s">
        <v>299</v>
      </c>
      <c r="AE755" s="1682">
        <v>0.6379</v>
      </c>
      <c r="AF755" s="1683">
        <f>I755*AE755</f>
        <v>2570.737</v>
      </c>
      <c r="AG755" s="1684"/>
      <c r="AH755" s="504" t="s">
        <v>289</v>
      </c>
      <c r="AI755" s="488" t="s">
        <v>112</v>
      </c>
      <c r="AJ755" s="498" t="s">
        <v>113</v>
      </c>
      <c r="AK755" s="1437">
        <f t="shared" si="265"/>
        <v>4030</v>
      </c>
      <c r="AL755" s="1437"/>
      <c r="AM755" s="1617"/>
      <c r="AN755" s="1420">
        <f>I755</f>
        <v>4030</v>
      </c>
      <c r="AO755" s="1555"/>
      <c r="AP755" s="1555"/>
      <c r="AQ755" s="1679"/>
      <c r="AR755" s="1555"/>
      <c r="AS755" s="1680"/>
      <c r="AT755" s="1680"/>
      <c r="AU755" s="327"/>
      <c r="AV755" s="1318"/>
      <c r="AW755" s="1678">
        <f>I755</f>
        <v>4030</v>
      </c>
      <c r="AX755" s="1437"/>
      <c r="AY755" s="1437"/>
      <c r="AZ755" s="1437"/>
      <c r="BA755" s="1437"/>
      <c r="BB755" s="1437"/>
      <c r="BC755" s="1437"/>
      <c r="BD755" s="1437"/>
      <c r="BE755" s="1437"/>
      <c r="BF755" s="1437"/>
      <c r="BG755" s="1437"/>
      <c r="BH755" s="1437"/>
      <c r="BI755" s="1437"/>
      <c r="BJ755" s="1437"/>
      <c r="BK755" s="1614">
        <f>I755/13</f>
        <v>310</v>
      </c>
      <c r="BL755" s="1437"/>
      <c r="BM755" s="1437"/>
      <c r="BN755" s="1437"/>
      <c r="BO755" s="1615"/>
      <c r="BP755" s="1615"/>
      <c r="BQ755" s="1617"/>
      <c r="BR755" s="1616"/>
      <c r="BS755" s="1616"/>
      <c r="BT755" s="1437"/>
      <c r="BU755" s="1437"/>
      <c r="BV755" s="1615"/>
      <c r="BW755" s="1617"/>
      <c r="BX755" s="1218"/>
      <c r="BY755" s="1617"/>
      <c r="BZ755" s="1617"/>
      <c r="CA755" s="1617"/>
      <c r="CB755" s="1617"/>
      <c r="CC755" s="1617"/>
      <c r="CD755" s="1218">
        <f t="shared" si="262"/>
        <v>0</v>
      </c>
      <c r="CE755" s="1218">
        <f t="shared" si="263"/>
        <v>0</v>
      </c>
      <c r="CF755" s="502">
        <f t="shared" si="264"/>
        <v>0</v>
      </c>
      <c r="CG755" s="1218">
        <f t="shared" si="266"/>
        <v>0</v>
      </c>
      <c r="CH755" s="1618"/>
      <c r="CI755" s="1618"/>
      <c r="CJ755" s="1616"/>
      <c r="CK755" s="1437"/>
      <c r="CL755" s="1437"/>
      <c r="CM755" s="293"/>
      <c r="CN755" s="293"/>
      <c r="CO755" s="293"/>
      <c r="CP755" s="293"/>
      <c r="CQ755" s="293"/>
      <c r="CR755" s="293"/>
      <c r="CS755" s="293"/>
      <c r="CT755" s="293"/>
      <c r="CU755" s="293"/>
      <c r="CV755" s="293"/>
      <c r="CW755" s="293"/>
      <c r="CX755" s="293"/>
      <c r="CY755" s="293"/>
      <c r="CZ755" s="293"/>
      <c r="DA755" s="293"/>
      <c r="DB755" s="293"/>
      <c r="DC755" s="293"/>
      <c r="DD755" s="293"/>
      <c r="DE755" s="293"/>
      <c r="DF755" s="293"/>
      <c r="DG755" s="293"/>
    </row>
    <row r="756" s="293" customFormat="1" customHeight="1" spans="1:111">
      <c r="A756" s="1289">
        <v>46198</v>
      </c>
      <c r="B756" s="543" t="s">
        <v>296</v>
      </c>
      <c r="C756" s="504" t="s">
        <v>115</v>
      </c>
      <c r="D756" s="1305">
        <v>4500213639</v>
      </c>
      <c r="E756" s="1531">
        <v>219602810</v>
      </c>
      <c r="F756" s="1527" t="s">
        <v>3090</v>
      </c>
      <c r="G756" s="505" t="s">
        <v>289</v>
      </c>
      <c r="H756" s="504" t="s">
        <v>194</v>
      </c>
      <c r="I756" s="1290">
        <v>1989</v>
      </c>
      <c r="J756" s="504">
        <v>0</v>
      </c>
      <c r="K756" s="504">
        <v>13</v>
      </c>
      <c r="L756" s="1291">
        <f t="shared" si="260"/>
        <v>153</v>
      </c>
      <c r="M756" s="501">
        <v>46252</v>
      </c>
      <c r="N756" s="1365">
        <v>46256</v>
      </c>
      <c r="O756" s="501"/>
      <c r="P756" s="506"/>
      <c r="Q756" s="506"/>
      <c r="R756" s="504"/>
      <c r="S756" s="504"/>
      <c r="T756" s="506"/>
      <c r="U756" s="500">
        <f t="shared" si="261"/>
        <v>-1989</v>
      </c>
      <c r="V756" s="504"/>
      <c r="W756" s="1300" t="s">
        <v>3088</v>
      </c>
      <c r="X756" s="1301" t="s">
        <v>95</v>
      </c>
      <c r="Y756" s="1301" t="s">
        <v>2362</v>
      </c>
      <c r="Z756" s="544"/>
      <c r="AA756" s="544"/>
      <c r="AB756" s="543"/>
      <c r="AC756" s="544" t="s">
        <v>3089</v>
      </c>
      <c r="AD756" s="1365" t="s">
        <v>299</v>
      </c>
      <c r="AE756" s="1366">
        <v>0.6485</v>
      </c>
      <c r="AF756" s="1367">
        <f>I756*AE756</f>
        <v>1289.8665</v>
      </c>
      <c r="AG756" s="1368"/>
      <c r="AH756" s="504" t="s">
        <v>289</v>
      </c>
      <c r="AI756" s="488" t="s">
        <v>112</v>
      </c>
      <c r="AJ756" s="504"/>
      <c r="AK756" s="502">
        <f t="shared" si="265"/>
        <v>1989</v>
      </c>
      <c r="AL756" s="502"/>
      <c r="AM756" s="1218"/>
      <c r="AN756" s="1420">
        <f>I756</f>
        <v>1989</v>
      </c>
      <c r="AO756" s="327"/>
      <c r="AP756" s="327"/>
      <c r="AQ756" s="1316"/>
      <c r="AR756" s="327"/>
      <c r="AS756" s="1317"/>
      <c r="AT756" s="1317"/>
      <c r="AU756" s="327"/>
      <c r="AV756" s="1318"/>
      <c r="AW756" s="1318">
        <f>I756</f>
        <v>1989</v>
      </c>
      <c r="AX756" s="502"/>
      <c r="AY756" s="502"/>
      <c r="AZ756" s="502"/>
      <c r="BA756" s="502"/>
      <c r="BB756" s="502"/>
      <c r="BC756" s="502"/>
      <c r="BD756" s="502"/>
      <c r="BE756" s="502"/>
      <c r="BF756" s="502"/>
      <c r="BG756" s="502"/>
      <c r="BH756" s="502"/>
      <c r="BI756" s="502"/>
      <c r="BJ756" s="502"/>
      <c r="BK756" s="1420">
        <f>I756/13</f>
        <v>153</v>
      </c>
      <c r="BL756" s="502"/>
      <c r="BM756" s="502"/>
      <c r="BN756" s="502"/>
      <c r="BO756" s="1296"/>
      <c r="BP756" s="1296"/>
      <c r="BQ756" s="1218"/>
      <c r="BR756" s="1297"/>
      <c r="BS756" s="1297"/>
      <c r="BT756" s="502"/>
      <c r="BU756" s="502"/>
      <c r="BV756" s="1296"/>
      <c r="BW756" s="1218"/>
      <c r="BX756" s="1218"/>
      <c r="BY756" s="1218"/>
      <c r="BZ756" s="1218"/>
      <c r="CA756" s="1218"/>
      <c r="CB756" s="1218"/>
      <c r="CC756" s="1218"/>
      <c r="CD756" s="1218">
        <f t="shared" si="262"/>
        <v>0</v>
      </c>
      <c r="CE756" s="1218">
        <f t="shared" si="263"/>
        <v>0</v>
      </c>
      <c r="CF756" s="502">
        <f t="shared" si="264"/>
        <v>0</v>
      </c>
      <c r="CG756" s="1218">
        <f t="shared" si="266"/>
        <v>0</v>
      </c>
      <c r="CH756" s="1299"/>
      <c r="CI756" s="1299"/>
      <c r="CJ756" s="1297"/>
      <c r="CK756" s="502"/>
      <c r="CL756" s="502"/>
    </row>
    <row r="757" s="293" customFormat="1" customHeight="1" spans="1:111">
      <c r="A757" s="1309">
        <v>46210</v>
      </c>
      <c r="B757" s="544" t="s">
        <v>1634</v>
      </c>
      <c r="C757" s="488" t="s">
        <v>1635</v>
      </c>
      <c r="D757" s="327">
        <v>4500215347</v>
      </c>
      <c r="E757" s="488"/>
      <c r="F757" s="1527" t="s">
        <v>3091</v>
      </c>
      <c r="G757" s="1530" t="s">
        <v>188</v>
      </c>
      <c r="H757" s="488" t="s">
        <v>893</v>
      </c>
      <c r="I757" s="1685">
        <v>5050</v>
      </c>
      <c r="J757" s="488">
        <v>0</v>
      </c>
      <c r="K757" s="1526">
        <v>50</v>
      </c>
      <c r="L757" s="1544">
        <f t="shared" si="260"/>
        <v>101</v>
      </c>
      <c r="M757" s="1323">
        <v>46252</v>
      </c>
      <c r="N757" s="1323">
        <v>46260</v>
      </c>
      <c r="O757" s="1545"/>
      <c r="P757" s="1313"/>
      <c r="Q757" s="1313"/>
      <c r="R757" s="488"/>
      <c r="S757" s="488"/>
      <c r="T757" s="1313"/>
      <c r="U757" s="500">
        <f t="shared" si="261"/>
        <v>-5050</v>
      </c>
      <c r="V757" s="488"/>
      <c r="W757" s="1300">
        <v>46210</v>
      </c>
      <c r="X757" s="1294" t="s">
        <v>95</v>
      </c>
      <c r="Y757" s="1301" t="s">
        <v>3092</v>
      </c>
      <c r="Z757" s="544"/>
      <c r="AA757" s="544"/>
      <c r="AB757" s="544"/>
      <c r="AC757" s="1533" t="s">
        <v>3093</v>
      </c>
      <c r="AD757" s="1312" t="s">
        <v>1059</v>
      </c>
      <c r="AE757" s="327">
        <v>1.1381</v>
      </c>
      <c r="AF757" s="1315">
        <f>AE757*I757</f>
        <v>5747.405</v>
      </c>
      <c r="AG757" s="1295"/>
      <c r="AH757" s="504" t="s">
        <v>188</v>
      </c>
      <c r="AI757" s="488" t="s">
        <v>112</v>
      </c>
      <c r="AJ757" s="498" t="s">
        <v>113</v>
      </c>
      <c r="AK757" s="327">
        <f t="shared" si="265"/>
        <v>5050</v>
      </c>
      <c r="AL757" s="327"/>
      <c r="AM757" s="327"/>
      <c r="AN757" s="1420">
        <f>I757</f>
        <v>5050</v>
      </c>
      <c r="AO757" s="327"/>
      <c r="AP757" s="327"/>
      <c r="AQ757" s="1316"/>
      <c r="AR757" s="327"/>
      <c r="AS757" s="1317"/>
      <c r="AT757" s="1317"/>
      <c r="AU757" s="327">
        <f>I757</f>
        <v>5050</v>
      </c>
      <c r="AV757" s="1318"/>
      <c r="AW757" s="1318"/>
      <c r="AX757" s="327"/>
      <c r="AY757" s="327"/>
      <c r="AZ757" s="327"/>
      <c r="BA757" s="327"/>
      <c r="BB757" s="327"/>
      <c r="BC757" s="327"/>
      <c r="BD757" s="327"/>
      <c r="BE757" s="327"/>
      <c r="BF757" s="327"/>
      <c r="BG757" s="327"/>
      <c r="BH757" s="327"/>
      <c r="BI757" s="327"/>
      <c r="BJ757" s="327"/>
      <c r="BK757" s="327"/>
      <c r="BL757" s="327"/>
      <c r="BM757" s="327"/>
      <c r="BN757" s="1686">
        <f>I757/24</f>
        <v>210.416666666667</v>
      </c>
      <c r="BO757" s="1316"/>
      <c r="BP757" s="1316"/>
      <c r="BQ757" s="327"/>
      <c r="BR757" s="1317"/>
      <c r="BS757" s="1317"/>
      <c r="BT757" s="327"/>
      <c r="BU757" s="327"/>
      <c r="BV757" s="1316"/>
      <c r="BW757" s="327"/>
      <c r="BX757" s="327"/>
      <c r="BY757" s="327"/>
      <c r="BZ757" s="327"/>
      <c r="CA757" s="327"/>
      <c r="CB757" s="327"/>
      <c r="CC757" s="327"/>
      <c r="CD757" s="1218">
        <f t="shared" si="262"/>
        <v>210.416666666667</v>
      </c>
      <c r="CE757" s="1218">
        <f t="shared" si="263"/>
        <v>0</v>
      </c>
      <c r="CF757" s="502">
        <f t="shared" si="264"/>
        <v>0</v>
      </c>
      <c r="CG757" s="1218">
        <f t="shared" si="266"/>
        <v>0</v>
      </c>
      <c r="CH757" s="1317"/>
      <c r="CI757" s="1317"/>
      <c r="CJ757" s="1317"/>
      <c r="CK757" s="327"/>
      <c r="CL757" s="327"/>
      <c r="CM757" s="1180"/>
      <c r="CN757" s="1180"/>
      <c r="CO757" s="1180"/>
      <c r="CP757" s="1180"/>
      <c r="CQ757" s="1180"/>
      <c r="CR757" s="1180"/>
      <c r="CS757" s="1180"/>
      <c r="CT757" s="1180"/>
      <c r="CU757" s="1180"/>
      <c r="CV757" s="1180"/>
      <c r="CW757" s="1180"/>
      <c r="CX757" s="1180"/>
      <c r="CY757" s="1180"/>
      <c r="CZ757" s="1180"/>
      <c r="DA757" s="1180"/>
      <c r="DB757" s="1180"/>
      <c r="DC757" s="1180"/>
      <c r="DD757" s="1180"/>
      <c r="DE757" s="1180"/>
      <c r="DF757" s="1180"/>
      <c r="DG757" s="1180"/>
    </row>
    <row r="758" s="293" customFormat="1" customHeight="1" spans="1:111">
      <c r="A758" s="1289">
        <v>46198</v>
      </c>
      <c r="B758" s="543" t="s">
        <v>3094</v>
      </c>
      <c r="C758" s="504" t="s">
        <v>115</v>
      </c>
      <c r="D758" s="1305">
        <v>4500213779</v>
      </c>
      <c r="E758" s="506">
        <v>498342</v>
      </c>
      <c r="F758" s="502" t="s">
        <v>3095</v>
      </c>
      <c r="G758" s="505" t="s">
        <v>188</v>
      </c>
      <c r="H758" s="504" t="s">
        <v>138</v>
      </c>
      <c r="I758" s="1290">
        <v>6850</v>
      </c>
      <c r="J758" s="504">
        <v>0</v>
      </c>
      <c r="K758" s="504">
        <v>50</v>
      </c>
      <c r="L758" s="1291">
        <f t="shared" si="260"/>
        <v>137</v>
      </c>
      <c r="M758" s="501">
        <v>46253</v>
      </c>
      <c r="N758" s="1365">
        <v>46256</v>
      </c>
      <c r="O758" s="507"/>
      <c r="P758" s="506"/>
      <c r="Q758" s="506"/>
      <c r="R758" s="504"/>
      <c r="S758" s="504"/>
      <c r="T758" s="506"/>
      <c r="U758" s="500">
        <f t="shared" ref="U758:U821" si="267">T758-I758</f>
        <v>-6850</v>
      </c>
      <c r="V758" s="504"/>
      <c r="W758" s="1300" t="s">
        <v>3096</v>
      </c>
      <c r="X758" s="1301" t="s">
        <v>95</v>
      </c>
      <c r="Y758" s="1301" t="s">
        <v>3097</v>
      </c>
      <c r="Z758" s="544"/>
      <c r="AA758" s="544"/>
      <c r="AB758" s="543"/>
      <c r="AC758" s="544" t="s">
        <v>3098</v>
      </c>
      <c r="AD758" s="1365" t="s">
        <v>1032</v>
      </c>
      <c r="AE758" s="1366">
        <v>0.6671</v>
      </c>
      <c r="AF758" s="1367">
        <f>AE758*I758</f>
        <v>4569.635</v>
      </c>
      <c r="AG758" s="1633" t="s">
        <v>3099</v>
      </c>
      <c r="AH758" s="504" t="s">
        <v>188</v>
      </c>
      <c r="AI758" s="488" t="s">
        <v>112</v>
      </c>
      <c r="AJ758" s="498" t="s">
        <v>113</v>
      </c>
      <c r="AK758" s="502">
        <f t="shared" si="265"/>
        <v>6850</v>
      </c>
      <c r="AL758" s="502"/>
      <c r="AM758" s="1218"/>
      <c r="AN758" s="1420">
        <f>I758</f>
        <v>6850</v>
      </c>
      <c r="AO758" s="327"/>
      <c r="AP758" s="327"/>
      <c r="AQ758" s="1316"/>
      <c r="AR758" s="327"/>
      <c r="AS758" s="1317"/>
      <c r="AT758" s="1317"/>
      <c r="AU758" s="327"/>
      <c r="AV758" s="1318"/>
      <c r="AW758" s="1318">
        <f>I758</f>
        <v>6850</v>
      </c>
      <c r="AX758" s="502"/>
      <c r="AY758" s="502"/>
      <c r="AZ758" s="502"/>
      <c r="BA758" s="502"/>
      <c r="BB758" s="502"/>
      <c r="BC758" s="502"/>
      <c r="BD758" s="502"/>
      <c r="BE758" s="502"/>
      <c r="BF758" s="502"/>
      <c r="BG758" s="502"/>
      <c r="BH758" s="502"/>
      <c r="BI758" s="502"/>
      <c r="BJ758" s="502"/>
      <c r="BK758" s="502"/>
      <c r="BL758" s="502"/>
      <c r="BM758" s="502"/>
      <c r="BN758" s="1420">
        <f>I758/25</f>
        <v>274</v>
      </c>
      <c r="BO758" s="1296"/>
      <c r="BP758" s="1296"/>
      <c r="BQ758" s="1218"/>
      <c r="BR758" s="1297"/>
      <c r="BS758" s="1297"/>
      <c r="BT758" s="502"/>
      <c r="BU758" s="502"/>
      <c r="BV758" s="1296"/>
      <c r="BW758" s="1218"/>
      <c r="BX758" s="1218"/>
      <c r="BY758" s="1218"/>
      <c r="BZ758" s="1218"/>
      <c r="CA758" s="1218"/>
      <c r="CB758" s="1218"/>
      <c r="CC758" s="1218"/>
      <c r="CD758" s="1218">
        <f t="shared" ref="CD758:CD821" si="268">BN758+BO758+BQ758+BS758+BR758</f>
        <v>274</v>
      </c>
      <c r="CE758" s="1218">
        <f t="shared" ref="CE758:CE821" si="269">BU758</f>
        <v>0</v>
      </c>
      <c r="CF758" s="502">
        <f t="shared" ref="CF758:CF821" si="270">CC758</f>
        <v>0</v>
      </c>
      <c r="CG758" s="1218">
        <f t="shared" si="266"/>
        <v>0</v>
      </c>
      <c r="CH758" s="1299"/>
      <c r="CI758" s="1299"/>
      <c r="CJ758" s="1297"/>
      <c r="CK758" s="502"/>
      <c r="CL758" s="502"/>
    </row>
    <row r="759" s="293" customFormat="1" customHeight="1" spans="1:111">
      <c r="A759" s="1289">
        <v>46162</v>
      </c>
      <c r="B759" s="543" t="s">
        <v>386</v>
      </c>
      <c r="C759" s="504" t="s">
        <v>115</v>
      </c>
      <c r="D759" s="1305">
        <v>4500207515</v>
      </c>
      <c r="E759" s="504" t="s">
        <v>3100</v>
      </c>
      <c r="F759" s="502" t="s">
        <v>3101</v>
      </c>
      <c r="G759" s="505" t="s">
        <v>389</v>
      </c>
      <c r="H759" s="504" t="s">
        <v>390</v>
      </c>
      <c r="I759" s="1290">
        <v>1368</v>
      </c>
      <c r="J759" s="504">
        <v>0</v>
      </c>
      <c r="K759" s="504">
        <v>12</v>
      </c>
      <c r="L759" s="1291">
        <f t="shared" si="260"/>
        <v>114</v>
      </c>
      <c r="M759" s="501">
        <v>46254</v>
      </c>
      <c r="N759" s="501">
        <v>46251</v>
      </c>
      <c r="O759" s="501"/>
      <c r="P759" s="506"/>
      <c r="Q759" s="506"/>
      <c r="R759" s="504"/>
      <c r="S759" s="504"/>
      <c r="T759" s="506"/>
      <c r="U759" s="500">
        <f t="shared" si="267"/>
        <v>-1368</v>
      </c>
      <c r="V759" s="504"/>
      <c r="W759" s="1324">
        <v>46162</v>
      </c>
      <c r="X759" s="1325" t="s">
        <v>107</v>
      </c>
      <c r="Y759" s="1301" t="s">
        <v>3102</v>
      </c>
      <c r="Z759" s="543"/>
      <c r="AA759" s="543"/>
      <c r="AB759" s="543"/>
      <c r="AC759" s="543" t="s">
        <v>3103</v>
      </c>
      <c r="AD759" s="501" t="s">
        <v>393</v>
      </c>
      <c r="AE759" s="502">
        <v>1.374</v>
      </c>
      <c r="AF759" s="503">
        <f>I759*AE759</f>
        <v>1879.632</v>
      </c>
      <c r="AG759" s="1295"/>
      <c r="AH759" s="504" t="s">
        <v>389</v>
      </c>
      <c r="AI759" s="504" t="s">
        <v>112</v>
      </c>
      <c r="AJ759" s="498" t="s">
        <v>113</v>
      </c>
      <c r="AK759" s="327">
        <f>I759*2</f>
        <v>2736</v>
      </c>
      <c r="AL759" s="502"/>
      <c r="AM759" s="502"/>
      <c r="AN759" s="502"/>
      <c r="AO759" s="502"/>
      <c r="AP759" s="502"/>
      <c r="AQ759" s="1296">
        <f>I759*2</f>
        <v>2736</v>
      </c>
      <c r="AR759" s="438"/>
      <c r="AS759" s="1299"/>
      <c r="AT759" s="1299"/>
      <c r="AU759" s="1218">
        <f>I759*2</f>
        <v>2736</v>
      </c>
      <c r="AV759" s="1298">
        <f>I759*0.06*2</f>
        <v>164.16</v>
      </c>
      <c r="AW759" s="1298"/>
      <c r="AX759" s="502"/>
      <c r="AY759" s="502"/>
      <c r="AZ759" s="502"/>
      <c r="BA759" s="502"/>
      <c r="BB759" s="502"/>
      <c r="BC759" s="502"/>
      <c r="BD759" s="502"/>
      <c r="BE759" s="502"/>
      <c r="BF759" s="502"/>
      <c r="BG759" s="502"/>
      <c r="BH759" s="502"/>
      <c r="BI759" s="502"/>
      <c r="BJ759" s="502"/>
      <c r="BK759" s="502"/>
      <c r="BL759" s="502"/>
      <c r="BM759" s="502"/>
      <c r="BN759" s="502"/>
      <c r="BO759" s="1296"/>
      <c r="BP759" s="1296"/>
      <c r="BQ759" s="502"/>
      <c r="BR759" s="1297"/>
      <c r="BS759" s="1297"/>
      <c r="BT759" s="502"/>
      <c r="BU759" s="502"/>
      <c r="BV759" s="1296"/>
      <c r="BW759" s="502"/>
      <c r="BX759" s="502"/>
      <c r="BY759" s="502"/>
      <c r="BZ759" s="502"/>
      <c r="CA759" s="502"/>
      <c r="CB759" s="502"/>
      <c r="CC759" s="502"/>
      <c r="CD759" s="1218">
        <f t="shared" si="268"/>
        <v>0</v>
      </c>
      <c r="CE759" s="1218">
        <f t="shared" si="269"/>
        <v>0</v>
      </c>
      <c r="CF759" s="502">
        <f t="shared" si="270"/>
        <v>0</v>
      </c>
      <c r="CG759" s="1218">
        <f t="shared" si="266"/>
        <v>0</v>
      </c>
      <c r="CH759" s="1299"/>
      <c r="CI759" s="1299"/>
      <c r="CJ759" s="1297">
        <f>I759</f>
        <v>1368</v>
      </c>
      <c r="CK759" s="502">
        <f>I759</f>
        <v>1368</v>
      </c>
      <c r="CL759" s="502">
        <f>I759</f>
        <v>1368</v>
      </c>
      <c r="CM759" s="294"/>
      <c r="CN759" s="294"/>
      <c r="CO759" s="294"/>
      <c r="CP759" s="294"/>
      <c r="CQ759" s="294"/>
      <c r="CR759" s="294"/>
      <c r="CS759" s="294"/>
      <c r="CT759" s="294"/>
      <c r="CU759" s="294"/>
      <c r="CV759" s="294"/>
      <c r="CW759" s="294"/>
      <c r="CX759" s="294"/>
      <c r="CY759" s="294"/>
      <c r="CZ759" s="294"/>
      <c r="DA759" s="294"/>
      <c r="DB759" s="294"/>
      <c r="DC759" s="294"/>
      <c r="DD759" s="294"/>
      <c r="DE759" s="294"/>
      <c r="DF759" s="294"/>
      <c r="DG759" s="294"/>
    </row>
    <row r="760" s="1170" customFormat="1" customHeight="1" spans="1:111">
      <c r="A760" s="1396">
        <v>46198</v>
      </c>
      <c r="B760" s="1397" t="s">
        <v>602</v>
      </c>
      <c r="C760" s="498" t="s">
        <v>508</v>
      </c>
      <c r="D760" s="1398">
        <v>4500213824</v>
      </c>
      <c r="E760" s="1492">
        <v>86815</v>
      </c>
      <c r="F760" s="496" t="s">
        <v>3104</v>
      </c>
      <c r="G760" s="1487" t="s">
        <v>604</v>
      </c>
      <c r="H760" s="498" t="s">
        <v>893</v>
      </c>
      <c r="I760" s="1399">
        <v>20000</v>
      </c>
      <c r="J760" s="498">
        <v>0</v>
      </c>
      <c r="K760" s="498">
        <v>25</v>
      </c>
      <c r="L760" s="1400">
        <f t="shared" si="260"/>
        <v>800</v>
      </c>
      <c r="M760" s="495">
        <v>46254</v>
      </c>
      <c r="N760" s="1401">
        <v>46252</v>
      </c>
      <c r="O760" s="495"/>
      <c r="P760" s="500"/>
      <c r="Q760" s="500"/>
      <c r="R760" s="498" t="s">
        <v>3105</v>
      </c>
      <c r="S760" s="498"/>
      <c r="T760" s="500">
        <v>20000</v>
      </c>
      <c r="U760" s="500">
        <f t="shared" si="267"/>
        <v>0</v>
      </c>
      <c r="V760" s="498"/>
      <c r="W760" s="1431">
        <v>46220</v>
      </c>
      <c r="X760" s="1432" t="s">
        <v>95</v>
      </c>
      <c r="Y760" s="1432" t="s">
        <v>1886</v>
      </c>
      <c r="Z760" s="1397" t="s">
        <v>360</v>
      </c>
      <c r="AA760" s="1397"/>
      <c r="AB760" s="1397" t="s">
        <v>2941</v>
      </c>
      <c r="AC760" s="1485" t="s">
        <v>3106</v>
      </c>
      <c r="AD760" s="1491" t="s">
        <v>362</v>
      </c>
      <c r="AE760" s="1687">
        <v>1.0676</v>
      </c>
      <c r="AF760" s="1645">
        <f>I760*AE760</f>
        <v>21352</v>
      </c>
      <c r="AG760" s="1646"/>
      <c r="AH760" s="498" t="s">
        <v>1304</v>
      </c>
      <c r="AI760" s="498" t="s">
        <v>112</v>
      </c>
      <c r="AJ760" s="498" t="s">
        <v>113</v>
      </c>
      <c r="AK760" s="496">
        <f t="shared" ref="AK760:AK774" si="271">I760</f>
        <v>20000</v>
      </c>
      <c r="AL760" s="496"/>
      <c r="AM760" s="496"/>
      <c r="AN760" s="496">
        <f>I760</f>
        <v>20000</v>
      </c>
      <c r="AO760" s="496"/>
      <c r="AP760" s="496"/>
      <c r="AQ760" s="1407"/>
      <c r="AR760" s="496"/>
      <c r="AS760" s="1408"/>
      <c r="AT760" s="1408"/>
      <c r="AU760" s="496"/>
      <c r="AV760" s="1409">
        <f>I760*0.06</f>
        <v>1200</v>
      </c>
      <c r="AW760" s="1409"/>
      <c r="AX760" s="496">
        <f>I760</f>
        <v>20000</v>
      </c>
      <c r="AY760" s="496"/>
      <c r="AZ760" s="496"/>
      <c r="BA760" s="496"/>
      <c r="BB760" s="496"/>
      <c r="BC760" s="496"/>
      <c r="BD760" s="496"/>
      <c r="BE760" s="496"/>
      <c r="BF760" s="496"/>
      <c r="BG760" s="496"/>
      <c r="BH760" s="496"/>
      <c r="BI760" s="496"/>
      <c r="BJ760" s="496"/>
      <c r="BK760" s="496"/>
      <c r="BL760" s="496"/>
      <c r="BM760" s="496"/>
      <c r="BN760" s="496"/>
      <c r="BO760" s="1407"/>
      <c r="BP760" s="1407"/>
      <c r="BQ760" s="496">
        <f>I760/25</f>
        <v>800</v>
      </c>
      <c r="BR760" s="1408"/>
      <c r="BS760" s="1408"/>
      <c r="BT760" s="496"/>
      <c r="BU760" s="496"/>
      <c r="BV760" s="1407"/>
      <c r="BW760" s="496"/>
      <c r="BX760" s="496"/>
      <c r="BY760" s="496"/>
      <c r="BZ760" s="496"/>
      <c r="CA760" s="496"/>
      <c r="CB760" s="496"/>
      <c r="CC760" s="496"/>
      <c r="CD760" s="496">
        <f t="shared" si="268"/>
        <v>800</v>
      </c>
      <c r="CE760" s="496">
        <f t="shared" si="269"/>
        <v>0</v>
      </c>
      <c r="CF760" s="496">
        <f t="shared" si="270"/>
        <v>0</v>
      </c>
      <c r="CG760" s="496">
        <f t="shared" si="266"/>
        <v>0</v>
      </c>
      <c r="CH760" s="1408"/>
      <c r="CI760" s="1408"/>
      <c r="CJ760" s="1408"/>
      <c r="CK760" s="496"/>
      <c r="CL760" s="496"/>
    </row>
    <row r="761" s="1170" customFormat="1" customHeight="1" spans="1:111">
      <c r="A761" s="1396">
        <v>46156</v>
      </c>
      <c r="B761" s="1494" t="s">
        <v>1295</v>
      </c>
      <c r="C761" s="1495" t="s">
        <v>201</v>
      </c>
      <c r="D761" s="1498">
        <v>4500207214</v>
      </c>
      <c r="E761" s="1688" t="s">
        <v>3107</v>
      </c>
      <c r="F761" s="1498" t="s">
        <v>3108</v>
      </c>
      <c r="G761" s="1689" t="s">
        <v>289</v>
      </c>
      <c r="H761" s="498" t="s">
        <v>194</v>
      </c>
      <c r="I761" s="1500">
        <v>611</v>
      </c>
      <c r="J761" s="1501">
        <v>0</v>
      </c>
      <c r="K761" s="1501">
        <v>13</v>
      </c>
      <c r="L761" s="1400">
        <f t="shared" si="260"/>
        <v>47</v>
      </c>
      <c r="M761" s="495">
        <v>46254</v>
      </c>
      <c r="N761" s="1401">
        <v>46252</v>
      </c>
      <c r="O761" s="1444"/>
      <c r="P761" s="500"/>
      <c r="Q761" s="500"/>
      <c r="R761" s="498"/>
      <c r="S761" s="498"/>
      <c r="T761" s="500">
        <v>611</v>
      </c>
      <c r="U761" s="500">
        <f t="shared" si="267"/>
        <v>0</v>
      </c>
      <c r="V761" s="498"/>
      <c r="W761" s="1431" t="s">
        <v>1774</v>
      </c>
      <c r="X761" s="1432" t="s">
        <v>95</v>
      </c>
      <c r="Y761" s="1432" t="s">
        <v>3109</v>
      </c>
      <c r="Z761" s="1397"/>
      <c r="AA761" s="1397"/>
      <c r="AB761" s="1397"/>
      <c r="AC761" s="1453" t="s">
        <v>3110</v>
      </c>
      <c r="AD761" s="1502" t="s">
        <v>204</v>
      </c>
      <c r="AE761" s="1503">
        <v>1.0588</v>
      </c>
      <c r="AF761" s="497">
        <f>I761*AE761</f>
        <v>646.9268</v>
      </c>
      <c r="AG761" s="1406"/>
      <c r="AH761" s="498" t="s">
        <v>199</v>
      </c>
      <c r="AI761" s="498" t="s">
        <v>112</v>
      </c>
      <c r="AJ761" s="498" t="s">
        <v>113</v>
      </c>
      <c r="AK761" s="496">
        <f t="shared" si="271"/>
        <v>611</v>
      </c>
      <c r="AL761" s="496"/>
      <c r="AM761" s="496"/>
      <c r="AN761" s="496"/>
      <c r="AO761" s="496"/>
      <c r="AP761" s="496">
        <f>I761</f>
        <v>611</v>
      </c>
      <c r="AQ761" s="1407"/>
      <c r="AR761" s="496"/>
      <c r="AS761" s="1408"/>
      <c r="AT761" s="1408"/>
      <c r="AU761" s="496">
        <f t="shared" ref="AU761:AU771" si="272">I761</f>
        <v>611</v>
      </c>
      <c r="AV761" s="1409">
        <f>I761*0.06*2</f>
        <v>73.32</v>
      </c>
      <c r="AW761" s="1409"/>
      <c r="AX761" s="496"/>
      <c r="AY761" s="496"/>
      <c r="AZ761" s="496"/>
      <c r="BA761" s="496"/>
      <c r="BB761" s="496"/>
      <c r="BC761" s="496"/>
      <c r="BD761" s="496"/>
      <c r="BE761" s="496"/>
      <c r="BF761" s="496"/>
      <c r="BG761" s="496"/>
      <c r="BH761" s="496"/>
      <c r="BI761" s="496"/>
      <c r="BJ761" s="496"/>
      <c r="BK761" s="496"/>
      <c r="BL761" s="496">
        <f>I761/13</f>
        <v>47</v>
      </c>
      <c r="BM761" s="496"/>
      <c r="BN761" s="496"/>
      <c r="BO761" s="1407"/>
      <c r="BP761" s="1407"/>
      <c r="BQ761" s="496"/>
      <c r="BR761" s="1408"/>
      <c r="BS761" s="1408"/>
      <c r="BT761" s="496"/>
      <c r="BU761" s="496"/>
      <c r="BV761" s="1407"/>
      <c r="BW761" s="496"/>
      <c r="BX761" s="496"/>
      <c r="BY761" s="496"/>
      <c r="BZ761" s="496"/>
      <c r="CA761" s="496"/>
      <c r="CB761" s="496"/>
      <c r="CC761" s="496"/>
      <c r="CD761" s="496">
        <f t="shared" si="268"/>
        <v>0</v>
      </c>
      <c r="CE761" s="496">
        <f t="shared" si="269"/>
        <v>0</v>
      </c>
      <c r="CF761" s="496">
        <f t="shared" si="270"/>
        <v>0</v>
      </c>
      <c r="CG761" s="496">
        <f t="shared" si="266"/>
        <v>0</v>
      </c>
      <c r="CH761" s="1408"/>
      <c r="CI761" s="1408"/>
      <c r="CJ761" s="1408"/>
      <c r="CK761" s="496"/>
      <c r="CL761" s="496"/>
    </row>
    <row r="762" s="1170" customFormat="1" customHeight="1" spans="1:111">
      <c r="A762" s="1396">
        <v>46136</v>
      </c>
      <c r="B762" s="1494" t="s">
        <v>3111</v>
      </c>
      <c r="C762" s="1495" t="s">
        <v>135</v>
      </c>
      <c r="D762" s="1498">
        <v>4500204040</v>
      </c>
      <c r="E762" s="1690" t="s">
        <v>3112</v>
      </c>
      <c r="F762" s="1498" t="s">
        <v>3113</v>
      </c>
      <c r="G762" s="1689" t="s">
        <v>3114</v>
      </c>
      <c r="H762" s="1397" t="s">
        <v>600</v>
      </c>
      <c r="I762" s="1500">
        <v>1008</v>
      </c>
      <c r="J762" s="1501">
        <v>0</v>
      </c>
      <c r="K762" s="1501">
        <v>24</v>
      </c>
      <c r="L762" s="1400">
        <f t="shared" si="260"/>
        <v>42</v>
      </c>
      <c r="M762" s="1401">
        <v>46254</v>
      </c>
      <c r="N762" s="1401">
        <f t="shared" ref="N762:N767" si="273">M762-2</f>
        <v>46252</v>
      </c>
      <c r="O762" s="1444"/>
      <c r="P762" s="500"/>
      <c r="Q762" s="500"/>
      <c r="R762" s="498" t="s">
        <v>3115</v>
      </c>
      <c r="S762" s="498"/>
      <c r="T762" s="500">
        <v>1008</v>
      </c>
      <c r="U762" s="500">
        <f t="shared" si="267"/>
        <v>0</v>
      </c>
      <c r="V762" s="498"/>
      <c r="W762" s="1431">
        <v>46156</v>
      </c>
      <c r="X762" s="1432" t="s">
        <v>107</v>
      </c>
      <c r="Y762" s="1432" t="s">
        <v>3116</v>
      </c>
      <c r="Z762" s="1397" t="s">
        <v>2494</v>
      </c>
      <c r="AA762" s="1397"/>
      <c r="AB762" s="1397"/>
      <c r="AC762" s="1453" t="s">
        <v>3117</v>
      </c>
      <c r="AD762" s="1502" t="s">
        <v>1207</v>
      </c>
      <c r="AE762" s="1503">
        <v>1.0073</v>
      </c>
      <c r="AF762" s="497">
        <f>I762*AE762</f>
        <v>1015.3584</v>
      </c>
      <c r="AG762" s="1406"/>
      <c r="AH762" s="498" t="s">
        <v>91</v>
      </c>
      <c r="AI762" s="498" t="s">
        <v>112</v>
      </c>
      <c r="AJ762" s="498" t="s">
        <v>113</v>
      </c>
      <c r="AK762" s="496">
        <f t="shared" si="271"/>
        <v>1008</v>
      </c>
      <c r="AL762" s="496"/>
      <c r="AM762" s="496"/>
      <c r="AN762" s="496">
        <f t="shared" ref="AN762:AN767" si="274">I762</f>
        <v>1008</v>
      </c>
      <c r="AO762" s="496"/>
      <c r="AP762" s="496"/>
      <c r="AQ762" s="1407"/>
      <c r="AR762" s="496"/>
      <c r="AS762" s="1408"/>
      <c r="AT762" s="1408"/>
      <c r="AU762" s="496">
        <f t="shared" si="272"/>
        <v>1008</v>
      </c>
      <c r="AV762" s="1409">
        <f>I762*0.06*2</f>
        <v>120.96</v>
      </c>
      <c r="AW762" s="1409"/>
      <c r="AX762" s="496"/>
      <c r="AY762" s="496"/>
      <c r="AZ762" s="496"/>
      <c r="BA762" s="496"/>
      <c r="BB762" s="496"/>
      <c r="BC762" s="496"/>
      <c r="BD762" s="496"/>
      <c r="BE762" s="496"/>
      <c r="BF762" s="496"/>
      <c r="BG762" s="496"/>
      <c r="BH762" s="496"/>
      <c r="BI762" s="496"/>
      <c r="BJ762" s="496"/>
      <c r="BK762" s="496"/>
      <c r="BL762" s="496"/>
      <c r="BM762" s="496"/>
      <c r="BN762" s="496"/>
      <c r="BO762" s="1407"/>
      <c r="BP762" s="1407"/>
      <c r="BQ762" s="496"/>
      <c r="BR762" s="1408"/>
      <c r="BS762" s="1408"/>
      <c r="BT762" s="496"/>
      <c r="BU762" s="496"/>
      <c r="BV762" s="1407"/>
      <c r="BW762" s="496"/>
      <c r="BX762" s="496"/>
      <c r="BY762" s="496"/>
      <c r="BZ762" s="496"/>
      <c r="CA762" s="496"/>
      <c r="CB762" s="496"/>
      <c r="CC762" s="496"/>
      <c r="CD762" s="496">
        <f t="shared" si="268"/>
        <v>0</v>
      </c>
      <c r="CE762" s="496">
        <f t="shared" si="269"/>
        <v>0</v>
      </c>
      <c r="CF762" s="496">
        <f t="shared" si="270"/>
        <v>0</v>
      </c>
      <c r="CG762" s="496">
        <f t="shared" si="266"/>
        <v>0</v>
      </c>
      <c r="CH762" s="1408"/>
      <c r="CI762" s="1408"/>
      <c r="CJ762" s="1408"/>
      <c r="CK762" s="496"/>
      <c r="CL762" s="496"/>
    </row>
    <row r="763" s="1180" customFormat="1" customHeight="1" spans="1:111">
      <c r="A763" s="1309">
        <v>46212</v>
      </c>
      <c r="B763" s="1552" t="s">
        <v>3118</v>
      </c>
      <c r="C763" s="1553" t="s">
        <v>115</v>
      </c>
      <c r="D763" s="1555">
        <v>4500215867</v>
      </c>
      <c r="E763" s="1900" t="s">
        <v>3119</v>
      </c>
      <c r="F763" s="1555" t="s">
        <v>3120</v>
      </c>
      <c r="G763" s="1691" t="s">
        <v>702</v>
      </c>
      <c r="H763" s="488" t="s">
        <v>151</v>
      </c>
      <c r="I763" s="1557">
        <v>2436</v>
      </c>
      <c r="J763" s="1553">
        <v>0</v>
      </c>
      <c r="K763" s="1553">
        <v>84</v>
      </c>
      <c r="L763" s="1544">
        <f t="shared" si="260"/>
        <v>29</v>
      </c>
      <c r="M763" s="1323">
        <v>46254</v>
      </c>
      <c r="N763" s="1323">
        <f t="shared" si="273"/>
        <v>46252</v>
      </c>
      <c r="O763" s="1545"/>
      <c r="P763" s="1313" t="s">
        <v>3121</v>
      </c>
      <c r="Q763" s="1313"/>
      <c r="R763" s="488"/>
      <c r="S763" s="488"/>
      <c r="T763" s="1313">
        <v>1348</v>
      </c>
      <c r="U763" s="500">
        <f t="shared" si="267"/>
        <v>-1088</v>
      </c>
      <c r="V763" s="488"/>
      <c r="W763" s="1300">
        <v>46217</v>
      </c>
      <c r="X763" s="1301" t="s">
        <v>107</v>
      </c>
      <c r="Y763" s="1301" t="s">
        <v>3122</v>
      </c>
      <c r="Z763" s="544"/>
      <c r="AA763" s="544"/>
      <c r="AB763" s="544"/>
      <c r="AC763" s="1552" t="s">
        <v>3123</v>
      </c>
      <c r="AD763" s="1545" t="s">
        <v>1032</v>
      </c>
      <c r="AE763" s="327">
        <v>149.7597</v>
      </c>
      <c r="AF763" s="1315">
        <f>L763*AE763</f>
        <v>4343.0313</v>
      </c>
      <c r="AG763" s="1295"/>
      <c r="AH763" s="488" t="s">
        <v>705</v>
      </c>
      <c r="AI763" s="488" t="s">
        <v>112</v>
      </c>
      <c r="AJ763" s="498" t="s">
        <v>113</v>
      </c>
      <c r="AK763" s="327">
        <f t="shared" si="271"/>
        <v>2436</v>
      </c>
      <c r="AL763" s="327"/>
      <c r="AM763" s="327"/>
      <c r="AN763" s="1418">
        <f t="shared" si="274"/>
        <v>2436</v>
      </c>
      <c r="AO763" s="327"/>
      <c r="AP763" s="327"/>
      <c r="AQ763" s="1316"/>
      <c r="AR763" s="327"/>
      <c r="AS763" s="1317"/>
      <c r="AT763" s="1317"/>
      <c r="AU763" s="502">
        <f t="shared" si="272"/>
        <v>2436</v>
      </c>
      <c r="AV763" s="1318"/>
      <c r="AW763" s="1318"/>
      <c r="AX763" s="327"/>
      <c r="AY763" s="327"/>
      <c r="AZ763" s="327"/>
      <c r="BA763" s="327"/>
      <c r="BB763" s="327"/>
      <c r="BC763" s="327"/>
      <c r="BD763" s="327"/>
      <c r="BE763" s="327"/>
      <c r="BF763" s="327"/>
      <c r="BG763" s="327"/>
      <c r="BH763" s="327"/>
      <c r="BI763" s="327"/>
      <c r="BJ763" s="327"/>
      <c r="BK763" s="327"/>
      <c r="BL763" s="327"/>
      <c r="BM763" s="327"/>
      <c r="BN763" s="327"/>
      <c r="BO763" s="1316"/>
      <c r="BP763" s="1316"/>
      <c r="BQ763" s="327"/>
      <c r="BR763" s="1317"/>
      <c r="BS763" s="1317"/>
      <c r="BT763" s="327"/>
      <c r="BU763" s="327"/>
      <c r="BV763" s="1316"/>
      <c r="BW763" s="327"/>
      <c r="BX763" s="1218">
        <f>L763</f>
        <v>29</v>
      </c>
      <c r="BY763" s="327"/>
      <c r="BZ763" s="327"/>
      <c r="CA763" s="327"/>
      <c r="CB763" s="327"/>
      <c r="CC763" s="327"/>
      <c r="CD763" s="1218">
        <f t="shared" si="268"/>
        <v>0</v>
      </c>
      <c r="CE763" s="1218">
        <f t="shared" si="269"/>
        <v>0</v>
      </c>
      <c r="CF763" s="502">
        <f t="shared" si="270"/>
        <v>0</v>
      </c>
      <c r="CG763" s="1218">
        <f t="shared" si="266"/>
        <v>29</v>
      </c>
      <c r="CH763" s="1317"/>
      <c r="CI763" s="1317"/>
      <c r="CJ763" s="1317"/>
      <c r="CK763" s="327"/>
      <c r="CL763" s="327"/>
    </row>
    <row r="764" s="293" customFormat="1" customHeight="1" spans="1:111">
      <c r="A764" s="1309">
        <v>46212</v>
      </c>
      <c r="B764" s="544" t="s">
        <v>3118</v>
      </c>
      <c r="C764" s="488" t="s">
        <v>115</v>
      </c>
      <c r="D764" s="327">
        <v>4500215867</v>
      </c>
      <c r="E764" s="1900" t="s">
        <v>3124</v>
      </c>
      <c r="F764" s="327" t="s">
        <v>3125</v>
      </c>
      <c r="G764" s="1691" t="s">
        <v>702</v>
      </c>
      <c r="H764" s="488" t="s">
        <v>151</v>
      </c>
      <c r="I764" s="1311">
        <v>588</v>
      </c>
      <c r="J764" s="488">
        <v>0</v>
      </c>
      <c r="K764" s="488">
        <v>84</v>
      </c>
      <c r="L764" s="1544">
        <f t="shared" si="260"/>
        <v>7</v>
      </c>
      <c r="M764" s="1323">
        <v>46254</v>
      </c>
      <c r="N764" s="1323">
        <f t="shared" si="273"/>
        <v>46252</v>
      </c>
      <c r="O764" s="1312"/>
      <c r="P764" s="1313"/>
      <c r="Q764" s="1313"/>
      <c r="R764" s="488"/>
      <c r="S764" s="488"/>
      <c r="T764" s="1313"/>
      <c r="U764" s="500">
        <f t="shared" si="267"/>
        <v>-588</v>
      </c>
      <c r="V764" s="488"/>
      <c r="W764" s="1300">
        <v>46217</v>
      </c>
      <c r="X764" s="1301" t="s">
        <v>107</v>
      </c>
      <c r="Y764" s="1301" t="s">
        <v>3122</v>
      </c>
      <c r="Z764" s="544"/>
      <c r="AA764" s="544"/>
      <c r="AB764" s="544"/>
      <c r="AC764" s="544" t="s">
        <v>3123</v>
      </c>
      <c r="AD764" s="1312" t="s">
        <v>1032</v>
      </c>
      <c r="AE764" s="1187">
        <v>150.0314</v>
      </c>
      <c r="AF764" s="1315">
        <f>L764*AE764</f>
        <v>1050.2198</v>
      </c>
      <c r="AG764" s="1295"/>
      <c r="AH764" s="488" t="s">
        <v>705</v>
      </c>
      <c r="AI764" s="488" t="s">
        <v>112</v>
      </c>
      <c r="AJ764" s="498" t="s">
        <v>113</v>
      </c>
      <c r="AK764" s="1555">
        <f t="shared" si="271"/>
        <v>588</v>
      </c>
      <c r="AL764" s="327"/>
      <c r="AM764" s="327"/>
      <c r="AN764" s="1418">
        <f t="shared" si="274"/>
        <v>588</v>
      </c>
      <c r="AO764" s="327"/>
      <c r="AP764" s="327"/>
      <c r="AQ764" s="1316"/>
      <c r="AR764" s="327"/>
      <c r="AS764" s="1317"/>
      <c r="AT764" s="1317"/>
      <c r="AU764" s="502">
        <f t="shared" si="272"/>
        <v>588</v>
      </c>
      <c r="AV764" s="1318"/>
      <c r="AW764" s="1318"/>
      <c r="AX764" s="327"/>
      <c r="AY764" s="327"/>
      <c r="AZ764" s="327"/>
      <c r="BA764" s="327"/>
      <c r="BB764" s="327"/>
      <c r="BC764" s="327"/>
      <c r="BD764" s="327"/>
      <c r="BE764" s="327"/>
      <c r="BF764" s="327"/>
      <c r="BG764" s="327"/>
      <c r="BH764" s="327"/>
      <c r="BI764" s="327"/>
      <c r="BJ764" s="327"/>
      <c r="BK764" s="327"/>
      <c r="BL764" s="327"/>
      <c r="BM764" s="327"/>
      <c r="BN764" s="327"/>
      <c r="BO764" s="1316"/>
      <c r="BP764" s="1316"/>
      <c r="BQ764" s="327"/>
      <c r="BR764" s="1317"/>
      <c r="BS764" s="1317"/>
      <c r="BT764" s="327"/>
      <c r="BU764" s="327"/>
      <c r="BV764" s="1316"/>
      <c r="BW764" s="327"/>
      <c r="BX764" s="1218">
        <f>L764</f>
        <v>7</v>
      </c>
      <c r="BY764" s="327"/>
      <c r="BZ764" s="327"/>
      <c r="CA764" s="327"/>
      <c r="CB764" s="327"/>
      <c r="CC764" s="327"/>
      <c r="CD764" s="1218">
        <f t="shared" si="268"/>
        <v>0</v>
      </c>
      <c r="CE764" s="1218">
        <f t="shared" si="269"/>
        <v>0</v>
      </c>
      <c r="CF764" s="502">
        <f t="shared" si="270"/>
        <v>0</v>
      </c>
      <c r="CG764" s="1218">
        <f t="shared" si="266"/>
        <v>7</v>
      </c>
      <c r="CH764" s="1317"/>
      <c r="CI764" s="1317"/>
      <c r="CJ764" s="1317"/>
      <c r="CK764" s="327"/>
      <c r="CL764" s="327"/>
      <c r="CM764" s="1180"/>
      <c r="CN764" s="1180"/>
      <c r="CO764" s="1180"/>
      <c r="CP764" s="1180"/>
      <c r="CQ764" s="1180"/>
      <c r="CR764" s="1180"/>
      <c r="CS764" s="1180"/>
      <c r="CT764" s="1180"/>
      <c r="CU764" s="1180"/>
      <c r="CV764" s="1180"/>
      <c r="CW764" s="1180"/>
      <c r="CX764" s="1180"/>
      <c r="CY764" s="1180"/>
      <c r="CZ764" s="1180"/>
      <c r="DA764" s="1180"/>
      <c r="DB764" s="1180"/>
      <c r="DC764" s="1180"/>
      <c r="DD764" s="1180"/>
      <c r="DE764" s="1180"/>
      <c r="DF764" s="1180"/>
      <c r="DG764" s="1180"/>
    </row>
    <row r="765" s="293" customFormat="1" customHeight="1" spans="1:111">
      <c r="A765" s="1309">
        <v>46212</v>
      </c>
      <c r="B765" s="544" t="s">
        <v>3118</v>
      </c>
      <c r="C765" s="488" t="s">
        <v>115</v>
      </c>
      <c r="D765" s="327">
        <v>4500215867</v>
      </c>
      <c r="E765" s="1901" t="s">
        <v>3126</v>
      </c>
      <c r="F765" s="327" t="s">
        <v>3127</v>
      </c>
      <c r="G765" s="1692" t="s">
        <v>702</v>
      </c>
      <c r="H765" s="488" t="s">
        <v>151</v>
      </c>
      <c r="I765" s="1311">
        <v>2772</v>
      </c>
      <c r="J765" s="488">
        <v>0</v>
      </c>
      <c r="K765" s="488">
        <v>84</v>
      </c>
      <c r="L765" s="1544">
        <f t="shared" si="260"/>
        <v>33</v>
      </c>
      <c r="M765" s="1323">
        <v>46254</v>
      </c>
      <c r="N765" s="1323">
        <f t="shared" si="273"/>
        <v>46252</v>
      </c>
      <c r="O765" s="1312"/>
      <c r="P765" s="1313"/>
      <c r="Q765" s="1313"/>
      <c r="R765" s="488"/>
      <c r="S765" s="488"/>
      <c r="T765" s="1313"/>
      <c r="U765" s="500">
        <f t="shared" si="267"/>
        <v>-2772</v>
      </c>
      <c r="V765" s="488"/>
      <c r="W765" s="1300">
        <v>46217</v>
      </c>
      <c r="X765" s="1294" t="s">
        <v>107</v>
      </c>
      <c r="Y765" s="1294" t="s">
        <v>3122</v>
      </c>
      <c r="Z765" s="544"/>
      <c r="AA765" s="544"/>
      <c r="AB765" s="544"/>
      <c r="AC765" s="544" t="s">
        <v>3123</v>
      </c>
      <c r="AD765" s="1312" t="s">
        <v>1032</v>
      </c>
      <c r="AE765" s="327">
        <v>149.7597</v>
      </c>
      <c r="AF765" s="1315">
        <f>L765*AE765</f>
        <v>4942.0701</v>
      </c>
      <c r="AG765" s="1295"/>
      <c r="AH765" s="488" t="s">
        <v>705</v>
      </c>
      <c r="AI765" s="488" t="s">
        <v>112</v>
      </c>
      <c r="AJ765" s="498" t="s">
        <v>113</v>
      </c>
      <c r="AK765" s="327">
        <f t="shared" si="271"/>
        <v>2772</v>
      </c>
      <c r="AL765" s="327"/>
      <c r="AM765" s="327"/>
      <c r="AN765" s="1418">
        <f t="shared" si="274"/>
        <v>2772</v>
      </c>
      <c r="AO765" s="327"/>
      <c r="AP765" s="327"/>
      <c r="AQ765" s="1316"/>
      <c r="AR765" s="327"/>
      <c r="AS765" s="1317"/>
      <c r="AT765" s="1317"/>
      <c r="AU765" s="502">
        <f t="shared" si="272"/>
        <v>2772</v>
      </c>
      <c r="AV765" s="1318"/>
      <c r="AW765" s="1318"/>
      <c r="AX765" s="327"/>
      <c r="AY765" s="327"/>
      <c r="AZ765" s="327"/>
      <c r="BA765" s="327"/>
      <c r="BB765" s="327"/>
      <c r="BC765" s="327"/>
      <c r="BD765" s="327"/>
      <c r="BE765" s="327"/>
      <c r="BF765" s="327"/>
      <c r="BG765" s="327"/>
      <c r="BH765" s="327"/>
      <c r="BI765" s="327"/>
      <c r="BJ765" s="327"/>
      <c r="BK765" s="327"/>
      <c r="BL765" s="327"/>
      <c r="BM765" s="327"/>
      <c r="BN765" s="327"/>
      <c r="BO765" s="1316"/>
      <c r="BP765" s="1316"/>
      <c r="BQ765" s="327"/>
      <c r="BR765" s="1317"/>
      <c r="BS765" s="1317"/>
      <c r="BT765" s="327"/>
      <c r="BU765" s="327"/>
      <c r="BV765" s="1316"/>
      <c r="BW765" s="327"/>
      <c r="BX765" s="1218">
        <f>L765</f>
        <v>33</v>
      </c>
      <c r="BY765" s="327"/>
      <c r="BZ765" s="327"/>
      <c r="CA765" s="327"/>
      <c r="CB765" s="327"/>
      <c r="CC765" s="327"/>
      <c r="CD765" s="1218">
        <f t="shared" si="268"/>
        <v>0</v>
      </c>
      <c r="CE765" s="1218">
        <f t="shared" si="269"/>
        <v>0</v>
      </c>
      <c r="CF765" s="502">
        <f t="shared" si="270"/>
        <v>0</v>
      </c>
      <c r="CG765" s="1218">
        <f t="shared" si="266"/>
        <v>33</v>
      </c>
      <c r="CH765" s="1317"/>
      <c r="CI765" s="1317"/>
      <c r="CJ765" s="1317"/>
      <c r="CK765" s="327"/>
      <c r="CL765" s="327"/>
      <c r="CM765" s="1180"/>
      <c r="CN765" s="1180"/>
      <c r="CO765" s="1180"/>
      <c r="CP765" s="1180"/>
      <c r="CQ765" s="1180"/>
      <c r="CR765" s="1180"/>
      <c r="CS765" s="1180"/>
      <c r="CT765" s="1180"/>
      <c r="CU765" s="1180"/>
      <c r="CV765" s="1180"/>
      <c r="CW765" s="1180"/>
      <c r="CX765" s="1180"/>
      <c r="CY765" s="1180"/>
      <c r="CZ765" s="1180"/>
      <c r="DA765" s="1180"/>
      <c r="DB765" s="1180"/>
      <c r="DC765" s="1180"/>
      <c r="DD765" s="1180"/>
      <c r="DE765" s="1180"/>
      <c r="DF765" s="1180"/>
      <c r="DG765" s="1180"/>
    </row>
    <row r="766" s="293" customFormat="1" customHeight="1" spans="1:111">
      <c r="A766" s="1309">
        <v>46212</v>
      </c>
      <c r="B766" s="544" t="s">
        <v>3118</v>
      </c>
      <c r="C766" s="488" t="s">
        <v>115</v>
      </c>
      <c r="D766" s="327">
        <v>4500215867</v>
      </c>
      <c r="E766" s="1901" t="s">
        <v>3128</v>
      </c>
      <c r="F766" s="327" t="s">
        <v>3129</v>
      </c>
      <c r="G766" s="1692" t="s">
        <v>702</v>
      </c>
      <c r="H766" s="488" t="s">
        <v>151</v>
      </c>
      <c r="I766" s="1311">
        <v>1680</v>
      </c>
      <c r="J766" s="488">
        <v>0</v>
      </c>
      <c r="K766" s="488">
        <v>84</v>
      </c>
      <c r="L766" s="1544">
        <f t="shared" si="260"/>
        <v>20</v>
      </c>
      <c r="M766" s="1323">
        <v>46254</v>
      </c>
      <c r="N766" s="1323">
        <f t="shared" si="273"/>
        <v>46252</v>
      </c>
      <c r="O766" s="1312"/>
      <c r="P766" s="1313"/>
      <c r="Q766" s="1313"/>
      <c r="R766" s="488"/>
      <c r="S766" s="488"/>
      <c r="T766" s="1313"/>
      <c r="U766" s="500">
        <f t="shared" si="267"/>
        <v>-1680</v>
      </c>
      <c r="V766" s="488"/>
      <c r="W766" s="1300">
        <v>46217</v>
      </c>
      <c r="X766" s="1294" t="s">
        <v>107</v>
      </c>
      <c r="Y766" s="1294" t="s">
        <v>3122</v>
      </c>
      <c r="Z766" s="544"/>
      <c r="AA766" s="544"/>
      <c r="AB766" s="544"/>
      <c r="AC766" s="544" t="s">
        <v>3123</v>
      </c>
      <c r="AD766" s="1312" t="s">
        <v>1032</v>
      </c>
      <c r="AE766" s="327">
        <v>149.7595</v>
      </c>
      <c r="AF766" s="1315">
        <f>L766*AE766</f>
        <v>2995.19</v>
      </c>
      <c r="AG766" s="1295"/>
      <c r="AH766" s="488" t="s">
        <v>705</v>
      </c>
      <c r="AI766" s="488" t="s">
        <v>112</v>
      </c>
      <c r="AJ766" s="498" t="s">
        <v>113</v>
      </c>
      <c r="AK766" s="327">
        <f t="shared" si="271"/>
        <v>1680</v>
      </c>
      <c r="AL766" s="327"/>
      <c r="AM766" s="327"/>
      <c r="AN766" s="1418">
        <f t="shared" si="274"/>
        <v>1680</v>
      </c>
      <c r="AO766" s="327"/>
      <c r="AP766" s="327"/>
      <c r="AQ766" s="1316"/>
      <c r="AR766" s="327"/>
      <c r="AS766" s="1317"/>
      <c r="AT766" s="1317"/>
      <c r="AU766" s="502">
        <f t="shared" si="272"/>
        <v>1680</v>
      </c>
      <c r="AV766" s="1318"/>
      <c r="AW766" s="1318"/>
      <c r="AX766" s="327"/>
      <c r="AY766" s="327"/>
      <c r="AZ766" s="327"/>
      <c r="BA766" s="327"/>
      <c r="BB766" s="327"/>
      <c r="BC766" s="327"/>
      <c r="BD766" s="327"/>
      <c r="BE766" s="327"/>
      <c r="BF766" s="327"/>
      <c r="BG766" s="327"/>
      <c r="BH766" s="327"/>
      <c r="BI766" s="327"/>
      <c r="BJ766" s="327"/>
      <c r="BK766" s="327"/>
      <c r="BL766" s="327"/>
      <c r="BM766" s="327"/>
      <c r="BN766" s="327"/>
      <c r="BO766" s="1316"/>
      <c r="BP766" s="1316"/>
      <c r="BQ766" s="327"/>
      <c r="BR766" s="1317"/>
      <c r="BS766" s="1317"/>
      <c r="BT766" s="327"/>
      <c r="BU766" s="327"/>
      <c r="BV766" s="1316"/>
      <c r="BW766" s="327"/>
      <c r="BX766" s="1218">
        <f>L766</f>
        <v>20</v>
      </c>
      <c r="BY766" s="327"/>
      <c r="BZ766" s="327"/>
      <c r="CA766" s="327"/>
      <c r="CB766" s="327"/>
      <c r="CC766" s="327"/>
      <c r="CD766" s="1218">
        <f t="shared" si="268"/>
        <v>0</v>
      </c>
      <c r="CE766" s="1218">
        <f t="shared" si="269"/>
        <v>0</v>
      </c>
      <c r="CF766" s="502">
        <f t="shared" si="270"/>
        <v>0</v>
      </c>
      <c r="CG766" s="1218">
        <f t="shared" si="266"/>
        <v>20</v>
      </c>
      <c r="CH766" s="1317"/>
      <c r="CI766" s="1317"/>
      <c r="CJ766" s="1317"/>
      <c r="CK766" s="327"/>
      <c r="CL766" s="327"/>
      <c r="CM766" s="1180"/>
      <c r="CN766" s="1180"/>
      <c r="CO766" s="1180"/>
      <c r="CP766" s="1180"/>
      <c r="CQ766" s="1180"/>
      <c r="CR766" s="1180"/>
      <c r="CS766" s="1180"/>
      <c r="CT766" s="1180"/>
      <c r="CU766" s="1180"/>
      <c r="CV766" s="1180"/>
      <c r="CW766" s="1180"/>
      <c r="CX766" s="1180"/>
      <c r="CY766" s="1180"/>
      <c r="CZ766" s="1180"/>
      <c r="DA766" s="1180"/>
      <c r="DB766" s="1180"/>
      <c r="DC766" s="1180"/>
      <c r="DD766" s="1180"/>
      <c r="DE766" s="1180"/>
      <c r="DF766" s="1180"/>
      <c r="DG766" s="1180"/>
    </row>
    <row r="767" s="293" customFormat="1" customHeight="1" spans="1:111">
      <c r="A767" s="1309">
        <v>46212</v>
      </c>
      <c r="B767" s="544" t="s">
        <v>3118</v>
      </c>
      <c r="C767" s="488" t="s">
        <v>115</v>
      </c>
      <c r="D767" s="327">
        <v>4500215867</v>
      </c>
      <c r="E767" s="1901" t="s">
        <v>3130</v>
      </c>
      <c r="F767" s="327" t="s">
        <v>3131</v>
      </c>
      <c r="G767" s="1692" t="s">
        <v>702</v>
      </c>
      <c r="H767" s="488" t="s">
        <v>151</v>
      </c>
      <c r="I767" s="1311">
        <v>924</v>
      </c>
      <c r="J767" s="488">
        <v>0</v>
      </c>
      <c r="K767" s="488">
        <v>84</v>
      </c>
      <c r="L767" s="1544">
        <f t="shared" si="260"/>
        <v>11</v>
      </c>
      <c r="M767" s="1323">
        <v>46254</v>
      </c>
      <c r="N767" s="1323">
        <f t="shared" si="273"/>
        <v>46252</v>
      </c>
      <c r="O767" s="1312"/>
      <c r="P767" s="1313"/>
      <c r="Q767" s="1313"/>
      <c r="R767" s="488"/>
      <c r="S767" s="488"/>
      <c r="T767" s="1313"/>
      <c r="U767" s="500">
        <f t="shared" si="267"/>
        <v>-924</v>
      </c>
      <c r="V767" s="488"/>
      <c r="W767" s="1300">
        <v>46217</v>
      </c>
      <c r="X767" s="1294" t="s">
        <v>107</v>
      </c>
      <c r="Y767" s="1294" t="s">
        <v>3122</v>
      </c>
      <c r="Z767" s="544"/>
      <c r="AA767" s="544"/>
      <c r="AB767" s="544"/>
      <c r="AC767" s="544" t="s">
        <v>3123</v>
      </c>
      <c r="AD767" s="1312" t="s">
        <v>1032</v>
      </c>
      <c r="AE767" s="327">
        <v>150.0318</v>
      </c>
      <c r="AF767" s="1315">
        <f>L767*AE767</f>
        <v>1650.3498</v>
      </c>
      <c r="AG767" s="1295"/>
      <c r="AH767" s="488" t="s">
        <v>705</v>
      </c>
      <c r="AI767" s="488" t="s">
        <v>112</v>
      </c>
      <c r="AJ767" s="498" t="s">
        <v>113</v>
      </c>
      <c r="AK767" s="327">
        <f t="shared" si="271"/>
        <v>924</v>
      </c>
      <c r="AL767" s="327"/>
      <c r="AM767" s="327"/>
      <c r="AN767" s="1418">
        <f t="shared" si="274"/>
        <v>924</v>
      </c>
      <c r="AO767" s="327"/>
      <c r="AP767" s="327"/>
      <c r="AQ767" s="1316"/>
      <c r="AR767" s="327"/>
      <c r="AS767" s="1317"/>
      <c r="AT767" s="1317"/>
      <c r="AU767" s="502">
        <f t="shared" si="272"/>
        <v>924</v>
      </c>
      <c r="AV767" s="1318"/>
      <c r="AW767" s="1318"/>
      <c r="AX767" s="327"/>
      <c r="AY767" s="327"/>
      <c r="AZ767" s="327"/>
      <c r="BA767" s="327"/>
      <c r="BB767" s="327"/>
      <c r="BC767" s="327"/>
      <c r="BD767" s="327"/>
      <c r="BE767" s="327"/>
      <c r="BF767" s="327"/>
      <c r="BG767" s="327"/>
      <c r="BH767" s="327"/>
      <c r="BI767" s="327"/>
      <c r="BJ767" s="327"/>
      <c r="BK767" s="327"/>
      <c r="BL767" s="327"/>
      <c r="BM767" s="327"/>
      <c r="BN767" s="327"/>
      <c r="BO767" s="1316"/>
      <c r="BP767" s="1316"/>
      <c r="BQ767" s="327"/>
      <c r="BR767" s="1317"/>
      <c r="BS767" s="1317"/>
      <c r="BT767" s="327"/>
      <c r="BU767" s="327"/>
      <c r="BV767" s="1316"/>
      <c r="BW767" s="327"/>
      <c r="BX767" s="1218">
        <f>L767</f>
        <v>11</v>
      </c>
      <c r="BY767" s="327"/>
      <c r="BZ767" s="327"/>
      <c r="CA767" s="327"/>
      <c r="CB767" s="327"/>
      <c r="CC767" s="327"/>
      <c r="CD767" s="1218">
        <f t="shared" si="268"/>
        <v>0</v>
      </c>
      <c r="CE767" s="1218">
        <f t="shared" si="269"/>
        <v>0</v>
      </c>
      <c r="CF767" s="502">
        <f t="shared" si="270"/>
        <v>0</v>
      </c>
      <c r="CG767" s="1218">
        <f t="shared" si="266"/>
        <v>11</v>
      </c>
      <c r="CH767" s="1317"/>
      <c r="CI767" s="1317"/>
      <c r="CJ767" s="1317"/>
      <c r="CK767" s="327"/>
      <c r="CL767" s="327"/>
      <c r="CM767" s="1180"/>
      <c r="CN767" s="1180"/>
      <c r="CO767" s="1180"/>
      <c r="CP767" s="1180"/>
      <c r="CQ767" s="1180"/>
      <c r="CR767" s="1180"/>
      <c r="CS767" s="1180"/>
      <c r="CT767" s="1180"/>
      <c r="CU767" s="1180"/>
      <c r="CV767" s="1180"/>
      <c r="CW767" s="1180"/>
      <c r="CX767" s="1180"/>
      <c r="CY767" s="1180"/>
      <c r="CZ767" s="1180"/>
      <c r="DA767" s="1180"/>
      <c r="DB767" s="1180"/>
      <c r="DC767" s="1180"/>
      <c r="DD767" s="1180"/>
      <c r="DE767" s="1180"/>
      <c r="DF767" s="1180"/>
      <c r="DG767" s="1180"/>
    </row>
    <row r="768" s="294" customFormat="1" customHeight="1" spans="1:111">
      <c r="A768" s="1289">
        <v>46190</v>
      </c>
      <c r="B768" s="543" t="s">
        <v>3132</v>
      </c>
      <c r="C768" s="504" t="s">
        <v>2138</v>
      </c>
      <c r="D768" s="1305">
        <v>4500212758</v>
      </c>
      <c r="E768" s="504" t="s">
        <v>628</v>
      </c>
      <c r="F768" s="502" t="s">
        <v>3133</v>
      </c>
      <c r="G768" s="1693" t="s">
        <v>799</v>
      </c>
      <c r="H768" s="504" t="s">
        <v>800</v>
      </c>
      <c r="I768" s="1290">
        <v>180</v>
      </c>
      <c r="J768" s="504">
        <v>0</v>
      </c>
      <c r="K768" s="504">
        <v>30</v>
      </c>
      <c r="L768" s="1291">
        <f t="shared" si="260"/>
        <v>6</v>
      </c>
      <c r="M768" s="1365">
        <v>46254</v>
      </c>
      <c r="N768" s="1365">
        <v>46252</v>
      </c>
      <c r="O768" s="501"/>
      <c r="P768" s="506"/>
      <c r="Q768" s="506"/>
      <c r="R768" s="504"/>
      <c r="S768" s="504"/>
      <c r="T768" s="506">
        <v>180</v>
      </c>
      <c r="U768" s="500">
        <f t="shared" si="267"/>
        <v>0</v>
      </c>
      <c r="V768" s="504"/>
      <c r="W768" s="1300">
        <v>46205</v>
      </c>
      <c r="X768" s="1301" t="s">
        <v>95</v>
      </c>
      <c r="Y768" s="1301" t="s">
        <v>3134</v>
      </c>
      <c r="Z768" s="544"/>
      <c r="AA768" s="544"/>
      <c r="AB768" s="543"/>
      <c r="AC768" s="1533" t="s">
        <v>3135</v>
      </c>
      <c r="AD768" s="501" t="s">
        <v>1477</v>
      </c>
      <c r="AE768" s="502">
        <v>51.0538</v>
      </c>
      <c r="AF768" s="503">
        <f>AE768*L768</f>
        <v>306.3228</v>
      </c>
      <c r="AG768" s="1295"/>
      <c r="AH768" s="505" t="s">
        <v>799</v>
      </c>
      <c r="AI768" s="488" t="s">
        <v>112</v>
      </c>
      <c r="AJ768" s="498" t="s">
        <v>113</v>
      </c>
      <c r="AK768" s="502">
        <f t="shared" si="271"/>
        <v>180</v>
      </c>
      <c r="AL768" s="502"/>
      <c r="AM768" s="1218"/>
      <c r="AN768" s="502"/>
      <c r="AO768" s="502"/>
      <c r="AP768" s="502">
        <f>I768</f>
        <v>180</v>
      </c>
      <c r="AQ768" s="1296"/>
      <c r="AR768" s="438"/>
      <c r="AS768" s="1297"/>
      <c r="AT768" s="1297"/>
      <c r="AU768" s="502">
        <f t="shared" si="272"/>
        <v>180</v>
      </c>
      <c r="AV768" s="1298"/>
      <c r="AW768" s="1298"/>
      <c r="AX768" s="502"/>
      <c r="AY768" s="502"/>
      <c r="AZ768" s="502"/>
      <c r="BA768" s="502"/>
      <c r="BB768" s="502"/>
      <c r="BC768" s="502"/>
      <c r="BD768" s="502"/>
      <c r="BE768" s="502"/>
      <c r="BF768" s="502"/>
      <c r="BG768" s="502"/>
      <c r="BH768" s="502"/>
      <c r="BI768" s="502"/>
      <c r="BJ768" s="502"/>
      <c r="BK768" s="502"/>
      <c r="BL768" s="502"/>
      <c r="BM768" s="502"/>
      <c r="BN768" s="502"/>
      <c r="BO768" s="1296"/>
      <c r="BP768" s="1296"/>
      <c r="BQ768" s="1218"/>
      <c r="BR768" s="1297"/>
      <c r="BS768" s="1297"/>
      <c r="BT768" s="502"/>
      <c r="BU768" s="502"/>
      <c r="BV768" s="1296"/>
      <c r="BW768" s="1218"/>
      <c r="BX768" s="1218"/>
      <c r="BY768" s="1218"/>
      <c r="BZ768" s="1218"/>
      <c r="CA768" s="1218"/>
      <c r="CB768" s="1218"/>
      <c r="CC768" s="1218">
        <f>I768/30</f>
        <v>6</v>
      </c>
      <c r="CD768" s="1218">
        <f t="shared" si="268"/>
        <v>0</v>
      </c>
      <c r="CE768" s="1218">
        <f t="shared" si="269"/>
        <v>0</v>
      </c>
      <c r="CF768" s="502">
        <f t="shared" si="270"/>
        <v>6</v>
      </c>
      <c r="CG768" s="1218">
        <f t="shared" si="266"/>
        <v>0</v>
      </c>
      <c r="CH768" s="1299"/>
      <c r="CI768" s="1299"/>
      <c r="CJ768" s="1297"/>
      <c r="CK768" s="502"/>
      <c r="CL768" s="502"/>
      <c r="CM768" s="293"/>
      <c r="CN768" s="293"/>
      <c r="CO768" s="293"/>
      <c r="CP768" s="293"/>
      <c r="CQ768" s="293"/>
      <c r="CR768" s="293"/>
      <c r="CS768" s="293"/>
      <c r="CT768" s="293"/>
      <c r="CU768" s="293"/>
      <c r="CV768" s="293"/>
      <c r="CW768" s="293"/>
      <c r="CX768" s="293"/>
      <c r="CY768" s="293"/>
      <c r="CZ768" s="293"/>
      <c r="DA768" s="293"/>
      <c r="DB768" s="293"/>
      <c r="DC768" s="293"/>
      <c r="DD768" s="293"/>
      <c r="DE768" s="293"/>
      <c r="DF768" s="293"/>
      <c r="DG768" s="293"/>
    </row>
    <row r="769" s="1174" customFormat="1" customHeight="1" spans="1:111">
      <c r="A769" s="1396">
        <v>46190</v>
      </c>
      <c r="B769" s="1397" t="s">
        <v>3132</v>
      </c>
      <c r="C769" s="498" t="s">
        <v>2138</v>
      </c>
      <c r="D769" s="1398">
        <v>4500212758</v>
      </c>
      <c r="E769" s="498" t="s">
        <v>628</v>
      </c>
      <c r="F769" s="496" t="s">
        <v>3136</v>
      </c>
      <c r="G769" s="499" t="s">
        <v>174</v>
      </c>
      <c r="H769" s="498" t="s">
        <v>175</v>
      </c>
      <c r="I769" s="1399">
        <v>260</v>
      </c>
      <c r="J769" s="498">
        <v>0</v>
      </c>
      <c r="K769" s="498">
        <v>52</v>
      </c>
      <c r="L769" s="1400">
        <f t="shared" si="260"/>
        <v>5</v>
      </c>
      <c r="M769" s="1401">
        <v>46254</v>
      </c>
      <c r="N769" s="1401">
        <v>46252</v>
      </c>
      <c r="O769" s="495"/>
      <c r="P769" s="500"/>
      <c r="Q769" s="500"/>
      <c r="R769" s="498"/>
      <c r="S769" s="498"/>
      <c r="T769" s="500">
        <v>260</v>
      </c>
      <c r="U769" s="500">
        <f t="shared" si="267"/>
        <v>0</v>
      </c>
      <c r="V769" s="498"/>
      <c r="W769" s="1431">
        <v>46205</v>
      </c>
      <c r="X769" s="1405" t="s">
        <v>95</v>
      </c>
      <c r="Y769" s="1405" t="s">
        <v>3134</v>
      </c>
      <c r="Z769" s="1397"/>
      <c r="AA769" s="1397"/>
      <c r="AB769" s="1397"/>
      <c r="AC769" s="1535" t="s">
        <v>3137</v>
      </c>
      <c r="AD769" s="495" t="s">
        <v>1477</v>
      </c>
      <c r="AE769" s="496">
        <v>1.084</v>
      </c>
      <c r="AF769" s="497">
        <f>I769*AE769</f>
        <v>281.84</v>
      </c>
      <c r="AG769" s="1406"/>
      <c r="AH769" s="498" t="s">
        <v>1027</v>
      </c>
      <c r="AI769" s="498" t="s">
        <v>112</v>
      </c>
      <c r="AJ769" s="498" t="s">
        <v>113</v>
      </c>
      <c r="AK769" s="496">
        <f t="shared" si="271"/>
        <v>260</v>
      </c>
      <c r="AL769" s="496"/>
      <c r="AM769" s="496"/>
      <c r="AN769" s="496"/>
      <c r="AO769" s="496"/>
      <c r="AP769" s="496">
        <f>I769</f>
        <v>260</v>
      </c>
      <c r="AQ769" s="1407"/>
      <c r="AR769" s="496"/>
      <c r="AS769" s="1408"/>
      <c r="AT769" s="1408"/>
      <c r="AU769" s="496">
        <f t="shared" si="272"/>
        <v>260</v>
      </c>
      <c r="AV769" s="1409"/>
      <c r="AW769" s="1409"/>
      <c r="AX769" s="496"/>
      <c r="AY769" s="496"/>
      <c r="AZ769" s="496"/>
      <c r="BA769" s="496"/>
      <c r="BB769" s="496"/>
      <c r="BC769" s="496"/>
      <c r="BD769" s="496"/>
      <c r="BE769" s="496"/>
      <c r="BF769" s="496"/>
      <c r="BG769" s="496"/>
      <c r="BH769" s="496"/>
      <c r="BI769" s="496"/>
      <c r="BJ769" s="496"/>
      <c r="BK769" s="496"/>
      <c r="BL769" s="496">
        <f>I769/13</f>
        <v>20</v>
      </c>
      <c r="BM769" s="496"/>
      <c r="BN769" s="496"/>
      <c r="BO769" s="1407"/>
      <c r="BP769" s="1407"/>
      <c r="BQ769" s="496"/>
      <c r="BR769" s="1408"/>
      <c r="BS769" s="1408"/>
      <c r="BT769" s="496"/>
      <c r="BU769" s="496"/>
      <c r="BV769" s="1407"/>
      <c r="BW769" s="496"/>
      <c r="BX769" s="496"/>
      <c r="BY769" s="496"/>
      <c r="BZ769" s="496"/>
      <c r="CA769" s="496"/>
      <c r="CB769" s="496"/>
      <c r="CC769" s="496"/>
      <c r="CD769" s="496">
        <f t="shared" si="268"/>
        <v>0</v>
      </c>
      <c r="CE769" s="496">
        <f t="shared" si="269"/>
        <v>0</v>
      </c>
      <c r="CF769" s="496">
        <f t="shared" si="270"/>
        <v>0</v>
      </c>
      <c r="CG769" s="496">
        <f t="shared" si="266"/>
        <v>0</v>
      </c>
      <c r="CH769" s="1408"/>
      <c r="CI769" s="1408"/>
      <c r="CJ769" s="1408"/>
      <c r="CK769" s="496"/>
      <c r="CL769" s="496"/>
      <c r="CM769" s="1170"/>
      <c r="CN769" s="1170"/>
      <c r="CO769" s="1170"/>
      <c r="CP769" s="1170"/>
      <c r="CQ769" s="1170"/>
      <c r="CR769" s="1170"/>
      <c r="CS769" s="1170"/>
      <c r="CT769" s="1170"/>
      <c r="CU769" s="1170"/>
      <c r="CV769" s="1170"/>
      <c r="CW769" s="1170"/>
      <c r="CX769" s="1170"/>
      <c r="CY769" s="1170"/>
      <c r="CZ769" s="1170"/>
      <c r="DA769" s="1170"/>
      <c r="DB769" s="1170"/>
      <c r="DC769" s="1170"/>
      <c r="DD769" s="1170"/>
      <c r="DE769" s="1170"/>
      <c r="DF769" s="1170"/>
      <c r="DG769" s="1170"/>
    </row>
    <row r="770" s="1170" customFormat="1" customHeight="1" spans="1:111">
      <c r="A770" s="1396">
        <v>46190</v>
      </c>
      <c r="B770" s="1397" t="s">
        <v>3132</v>
      </c>
      <c r="C770" s="498" t="s">
        <v>2138</v>
      </c>
      <c r="D770" s="1398">
        <v>4500212758</v>
      </c>
      <c r="E770" s="498" t="s">
        <v>628</v>
      </c>
      <c r="F770" s="496" t="s">
        <v>3138</v>
      </c>
      <c r="G770" s="499" t="s">
        <v>188</v>
      </c>
      <c r="H770" s="498" t="s">
        <v>138</v>
      </c>
      <c r="I770" s="1399">
        <v>250</v>
      </c>
      <c r="J770" s="498">
        <v>0</v>
      </c>
      <c r="K770" s="498">
        <v>50</v>
      </c>
      <c r="L770" s="1400">
        <f t="shared" si="260"/>
        <v>5</v>
      </c>
      <c r="M770" s="1401">
        <v>46254</v>
      </c>
      <c r="N770" s="1401">
        <v>46252</v>
      </c>
      <c r="O770" s="495"/>
      <c r="P770" s="500"/>
      <c r="Q770" s="500"/>
      <c r="R770" s="498"/>
      <c r="S770" s="498"/>
      <c r="T770" s="500">
        <v>250</v>
      </c>
      <c r="U770" s="500">
        <f t="shared" si="267"/>
        <v>0</v>
      </c>
      <c r="V770" s="498"/>
      <c r="W770" s="1431">
        <v>46205</v>
      </c>
      <c r="X770" s="1432" t="s">
        <v>95</v>
      </c>
      <c r="Y770" s="1432" t="s">
        <v>3134</v>
      </c>
      <c r="Z770" s="1397"/>
      <c r="AA770" s="1397"/>
      <c r="AB770" s="1397"/>
      <c r="AC770" s="1535" t="s">
        <v>3139</v>
      </c>
      <c r="AD770" s="495" t="s">
        <v>1477</v>
      </c>
      <c r="AE770" s="496">
        <v>1.1228</v>
      </c>
      <c r="AF770" s="497">
        <f>AE770*I770</f>
        <v>280.7</v>
      </c>
      <c r="AG770" s="1406"/>
      <c r="AH770" s="498" t="s">
        <v>314</v>
      </c>
      <c r="AI770" s="498" t="s">
        <v>112</v>
      </c>
      <c r="AJ770" s="498" t="s">
        <v>113</v>
      </c>
      <c r="AK770" s="496">
        <f t="shared" si="271"/>
        <v>250</v>
      </c>
      <c r="AL770" s="496"/>
      <c r="AM770" s="496"/>
      <c r="AN770" s="496"/>
      <c r="AO770" s="496"/>
      <c r="AP770" s="496">
        <f>I770</f>
        <v>250</v>
      </c>
      <c r="AQ770" s="1407"/>
      <c r="AR770" s="496"/>
      <c r="AS770" s="1408"/>
      <c r="AT770" s="1408"/>
      <c r="AU770" s="496">
        <f t="shared" si="272"/>
        <v>250</v>
      </c>
      <c r="AV770" s="1409"/>
      <c r="AW770" s="1409"/>
      <c r="AX770" s="496"/>
      <c r="AY770" s="496"/>
      <c r="AZ770" s="496"/>
      <c r="BA770" s="496"/>
      <c r="BB770" s="496"/>
      <c r="BC770" s="496"/>
      <c r="BD770" s="496"/>
      <c r="BE770" s="496"/>
      <c r="BF770" s="496"/>
      <c r="BG770" s="496"/>
      <c r="BH770" s="496"/>
      <c r="BI770" s="496"/>
      <c r="BJ770" s="496"/>
      <c r="BK770" s="496"/>
      <c r="BL770" s="496"/>
      <c r="BM770" s="496"/>
      <c r="BN770" s="496"/>
      <c r="BO770" s="1407">
        <f>I770/25</f>
        <v>10</v>
      </c>
      <c r="BP770" s="1407"/>
      <c r="BQ770" s="496"/>
      <c r="BR770" s="1408"/>
      <c r="BS770" s="1408"/>
      <c r="BT770" s="496"/>
      <c r="BU770" s="496"/>
      <c r="BV770" s="1407"/>
      <c r="BW770" s="496"/>
      <c r="BX770" s="496"/>
      <c r="BY770" s="496"/>
      <c r="BZ770" s="496"/>
      <c r="CA770" s="496"/>
      <c r="CB770" s="496"/>
      <c r="CC770" s="496"/>
      <c r="CD770" s="496">
        <f t="shared" si="268"/>
        <v>10</v>
      </c>
      <c r="CE770" s="496">
        <f t="shared" si="269"/>
        <v>0</v>
      </c>
      <c r="CF770" s="496">
        <f t="shared" si="270"/>
        <v>0</v>
      </c>
      <c r="CG770" s="496">
        <f t="shared" si="266"/>
        <v>0</v>
      </c>
      <c r="CH770" s="1408"/>
      <c r="CI770" s="1408"/>
      <c r="CJ770" s="1408"/>
      <c r="CK770" s="496"/>
      <c r="CL770" s="496"/>
    </row>
    <row r="771" s="1170" customFormat="1" customHeight="1" spans="1:111">
      <c r="A771" s="1504">
        <v>46199</v>
      </c>
      <c r="B771" s="1447" t="s">
        <v>3140</v>
      </c>
      <c r="C771" s="1448" t="s">
        <v>608</v>
      </c>
      <c r="D771" s="1457">
        <v>4500213979</v>
      </c>
      <c r="E771" s="1448" t="s">
        <v>628</v>
      </c>
      <c r="F771" s="1450" t="s">
        <v>3141</v>
      </c>
      <c r="G771" s="1451" t="s">
        <v>146</v>
      </c>
      <c r="H771" s="1448" t="s">
        <v>104</v>
      </c>
      <c r="I771" s="1452">
        <v>1200</v>
      </c>
      <c r="J771" s="1448">
        <v>0</v>
      </c>
      <c r="K771" s="1448">
        <v>25</v>
      </c>
      <c r="L771" s="1506">
        <f t="shared" si="260"/>
        <v>48</v>
      </c>
      <c r="M771" s="1444">
        <v>46254</v>
      </c>
      <c r="N771" s="1458">
        <v>46256</v>
      </c>
      <c r="O771" s="1444"/>
      <c r="P771" s="1507"/>
      <c r="Q771" s="1507" t="s">
        <v>1410</v>
      </c>
      <c r="R771" s="1448"/>
      <c r="S771" s="1448"/>
      <c r="T771" s="1507">
        <v>1200</v>
      </c>
      <c r="U771" s="500">
        <f t="shared" si="267"/>
        <v>0</v>
      </c>
      <c r="V771" s="1448"/>
      <c r="W771" s="1431" t="s">
        <v>2719</v>
      </c>
      <c r="X771" s="1405" t="s">
        <v>95</v>
      </c>
      <c r="Y771" s="1405" t="s">
        <v>3142</v>
      </c>
      <c r="Z771" s="1397"/>
      <c r="AA771" s="1447"/>
      <c r="AB771" s="1447"/>
      <c r="AC771" s="1453" t="s">
        <v>3143</v>
      </c>
      <c r="AD771" s="1458" t="s">
        <v>1148</v>
      </c>
      <c r="AE771" s="1624">
        <v>1.1085</v>
      </c>
      <c r="AF771" s="1694">
        <f>I771*AE771</f>
        <v>1330.2</v>
      </c>
      <c r="AG771" s="1684"/>
      <c r="AH771" s="498" t="s">
        <v>111</v>
      </c>
      <c r="AI771" s="498" t="s">
        <v>112</v>
      </c>
      <c r="AJ771" s="498" t="s">
        <v>113</v>
      </c>
      <c r="AK771" s="1450">
        <f t="shared" si="271"/>
        <v>1200</v>
      </c>
      <c r="AL771" s="1450"/>
      <c r="AM771" s="1450"/>
      <c r="AN771" s="496"/>
      <c r="AO771" s="496"/>
      <c r="AP771" s="496">
        <f>I771</f>
        <v>1200</v>
      </c>
      <c r="AQ771" s="1407"/>
      <c r="AR771" s="496"/>
      <c r="AS771" s="1408"/>
      <c r="AT771" s="1408"/>
      <c r="AU771" s="496">
        <f t="shared" si="272"/>
        <v>1200</v>
      </c>
      <c r="AV771" s="1409"/>
      <c r="AW771" s="1409"/>
      <c r="AX771" s="1450"/>
      <c r="AY771" s="1450"/>
      <c r="AZ771" s="496"/>
      <c r="BA771" s="496"/>
      <c r="BB771" s="1450"/>
      <c r="BC771" s="1450"/>
      <c r="BD771" s="1450"/>
      <c r="BE771" s="1450"/>
      <c r="BF771" s="1450"/>
      <c r="BG771" s="1450"/>
      <c r="BH771" s="1450"/>
      <c r="BI771" s="1450"/>
      <c r="BJ771" s="1450"/>
      <c r="BK771" s="1450"/>
      <c r="BL771" s="1450"/>
      <c r="BM771" s="1450"/>
      <c r="BN771" s="1450"/>
      <c r="BO771" s="1510">
        <f>I771/25</f>
        <v>48</v>
      </c>
      <c r="BP771" s="1510"/>
      <c r="BQ771" s="1450"/>
      <c r="BR771" s="1511"/>
      <c r="BS771" s="1511"/>
      <c r="BT771" s="1450"/>
      <c r="BU771" s="1450"/>
      <c r="BV771" s="1510"/>
      <c r="BW771" s="1450"/>
      <c r="BX771" s="1450"/>
      <c r="BY771" s="1450"/>
      <c r="BZ771" s="1450"/>
      <c r="CA771" s="1450"/>
      <c r="CB771" s="1450"/>
      <c r="CC771" s="1450"/>
      <c r="CD771" s="496">
        <f t="shared" si="268"/>
        <v>48</v>
      </c>
      <c r="CE771" s="496">
        <f t="shared" si="269"/>
        <v>0</v>
      </c>
      <c r="CF771" s="496">
        <f t="shared" si="270"/>
        <v>0</v>
      </c>
      <c r="CG771" s="496">
        <f t="shared" si="266"/>
        <v>0</v>
      </c>
      <c r="CH771" s="1511"/>
      <c r="CI771" s="1511"/>
      <c r="CJ771" s="1511"/>
      <c r="CK771" s="1450"/>
      <c r="CL771" s="1450"/>
    </row>
    <row r="772" s="1170" customFormat="1" customHeight="1" spans="1:111">
      <c r="A772" s="1396">
        <v>46212</v>
      </c>
      <c r="B772" s="1397" t="s">
        <v>3144</v>
      </c>
      <c r="C772" s="498" t="s">
        <v>101</v>
      </c>
      <c r="D772" s="496">
        <v>4500215733</v>
      </c>
      <c r="E772" s="498">
        <v>11500</v>
      </c>
      <c r="F772" s="496" t="s">
        <v>3145</v>
      </c>
      <c r="G772" s="499" t="s">
        <v>510</v>
      </c>
      <c r="H772" s="1448" t="s">
        <v>194</v>
      </c>
      <c r="I772" s="1399">
        <v>650</v>
      </c>
      <c r="J772" s="498">
        <v>0</v>
      </c>
      <c r="K772" s="498">
        <v>13</v>
      </c>
      <c r="L772" s="1400">
        <f t="shared" si="260"/>
        <v>50</v>
      </c>
      <c r="M772" s="495">
        <v>46255</v>
      </c>
      <c r="N772" s="495">
        <v>46251</v>
      </c>
      <c r="O772" s="1695" t="s">
        <v>3146</v>
      </c>
      <c r="P772" s="500"/>
      <c r="Q772" s="500"/>
      <c r="R772" s="498"/>
      <c r="S772" s="498"/>
      <c r="T772" s="500">
        <v>650</v>
      </c>
      <c r="U772" s="500">
        <f t="shared" si="267"/>
        <v>0</v>
      </c>
      <c r="V772" s="498"/>
      <c r="W772" s="1431">
        <v>46219</v>
      </c>
      <c r="X772" s="1432" t="s">
        <v>95</v>
      </c>
      <c r="Y772" s="1405" t="s">
        <v>95</v>
      </c>
      <c r="Z772" s="1397" t="s">
        <v>3147</v>
      </c>
      <c r="AA772" s="1397"/>
      <c r="AB772" s="1397"/>
      <c r="AC772" s="1397" t="s">
        <v>3148</v>
      </c>
      <c r="AD772" s="495" t="s">
        <v>3149</v>
      </c>
      <c r="AE772" s="496">
        <v>1.0686</v>
      </c>
      <c r="AF772" s="497">
        <f>AE772*I772</f>
        <v>694.59</v>
      </c>
      <c r="AG772" s="1406"/>
      <c r="AH772" s="499" t="s">
        <v>510</v>
      </c>
      <c r="AI772" s="498" t="s">
        <v>112</v>
      </c>
      <c r="AJ772" s="498" t="s">
        <v>113</v>
      </c>
      <c r="AK772" s="496">
        <f t="shared" si="271"/>
        <v>650</v>
      </c>
      <c r="AL772" s="496"/>
      <c r="AM772" s="496"/>
      <c r="AN772" s="496">
        <f>I772</f>
        <v>650</v>
      </c>
      <c r="AO772" s="496"/>
      <c r="AP772" s="496"/>
      <c r="AQ772" s="1407"/>
      <c r="AR772" s="496"/>
      <c r="AS772" s="1408"/>
      <c r="AT772" s="1408"/>
      <c r="AU772" s="496"/>
      <c r="AV772" s="1409">
        <f>I772*0.06</f>
        <v>39</v>
      </c>
      <c r="AW772" s="1409"/>
      <c r="AX772" s="496">
        <f>I772</f>
        <v>650</v>
      </c>
      <c r="AY772" s="496"/>
      <c r="AZ772" s="496"/>
      <c r="BA772" s="496"/>
      <c r="BB772" s="496"/>
      <c r="BC772" s="496"/>
      <c r="BD772" s="496"/>
      <c r="BE772" s="496"/>
      <c r="BF772" s="496"/>
      <c r="BG772" s="496"/>
      <c r="BH772" s="496"/>
      <c r="BI772" s="496"/>
      <c r="BJ772" s="496"/>
      <c r="BK772" s="496"/>
      <c r="BL772" s="496"/>
      <c r="BM772" s="496"/>
      <c r="BN772" s="496"/>
      <c r="BO772" s="1407"/>
      <c r="BP772" s="1407">
        <f>I772/13</f>
        <v>50</v>
      </c>
      <c r="BQ772" s="496"/>
      <c r="BR772" s="1408"/>
      <c r="BS772" s="496"/>
      <c r="BT772" s="496"/>
      <c r="BU772" s="496"/>
      <c r="BV772" s="1407"/>
      <c r="BW772" s="496"/>
      <c r="BX772" s="496"/>
      <c r="BY772" s="496"/>
      <c r="BZ772" s="496"/>
      <c r="CA772" s="496"/>
      <c r="CB772" s="496"/>
      <c r="CC772" s="496"/>
      <c r="CD772" s="496">
        <f t="shared" si="268"/>
        <v>0</v>
      </c>
      <c r="CE772" s="496">
        <f t="shared" si="269"/>
        <v>0</v>
      </c>
      <c r="CF772" s="496">
        <f t="shared" si="270"/>
        <v>0</v>
      </c>
      <c r="CG772" s="496">
        <f t="shared" si="266"/>
        <v>0</v>
      </c>
      <c r="CH772" s="1408"/>
      <c r="CI772" s="1408"/>
      <c r="CJ772" s="1408"/>
      <c r="CK772" s="496"/>
      <c r="CL772" s="496"/>
    </row>
    <row r="773" s="1170" customFormat="1" customHeight="1" spans="1:111">
      <c r="A773" s="1396">
        <v>46178</v>
      </c>
      <c r="B773" s="1397" t="s">
        <v>3150</v>
      </c>
      <c r="C773" s="498" t="s">
        <v>101</v>
      </c>
      <c r="D773" s="496">
        <v>4500210838</v>
      </c>
      <c r="E773" s="498"/>
      <c r="F773" s="496" t="s">
        <v>3151</v>
      </c>
      <c r="G773" s="499" t="s">
        <v>510</v>
      </c>
      <c r="H773" s="498" t="s">
        <v>194</v>
      </c>
      <c r="I773" s="1399">
        <v>1950</v>
      </c>
      <c r="J773" s="498">
        <v>0</v>
      </c>
      <c r="K773" s="498">
        <v>13</v>
      </c>
      <c r="L773" s="1400">
        <f t="shared" si="260"/>
        <v>150</v>
      </c>
      <c r="M773" s="495">
        <v>46255</v>
      </c>
      <c r="N773" s="495">
        <v>46251</v>
      </c>
      <c r="O773" s="1695" t="s">
        <v>3146</v>
      </c>
      <c r="P773" s="500"/>
      <c r="Q773" s="500"/>
      <c r="R773" s="498"/>
      <c r="S773" s="498"/>
      <c r="T773" s="500">
        <v>1950</v>
      </c>
      <c r="U773" s="500">
        <f t="shared" si="267"/>
        <v>0</v>
      </c>
      <c r="V773" s="498"/>
      <c r="W773" s="1431">
        <v>46203</v>
      </c>
      <c r="X773" s="1432" t="s">
        <v>95</v>
      </c>
      <c r="Y773" s="1432" t="s">
        <v>3152</v>
      </c>
      <c r="Z773" s="1397" t="s">
        <v>360</v>
      </c>
      <c r="AA773" s="1397"/>
      <c r="AB773" s="1397" t="s">
        <v>3153</v>
      </c>
      <c r="AC773" s="1397" t="s">
        <v>3154</v>
      </c>
      <c r="AD773" s="495" t="s">
        <v>3155</v>
      </c>
      <c r="AE773" s="496">
        <v>1.0809</v>
      </c>
      <c r="AF773" s="497">
        <f>AE773*I773</f>
        <v>2107.755</v>
      </c>
      <c r="AG773" s="1406"/>
      <c r="AH773" s="499" t="s">
        <v>510</v>
      </c>
      <c r="AI773" s="498" t="s">
        <v>112</v>
      </c>
      <c r="AJ773" s="498" t="s">
        <v>113</v>
      </c>
      <c r="AK773" s="496">
        <f t="shared" si="271"/>
        <v>1950</v>
      </c>
      <c r="AL773" s="496"/>
      <c r="AM773" s="496"/>
      <c r="AN773" s="496">
        <f>I773</f>
        <v>1950</v>
      </c>
      <c r="AO773" s="496"/>
      <c r="AP773" s="496"/>
      <c r="AQ773" s="1407"/>
      <c r="AR773" s="496"/>
      <c r="AS773" s="1408"/>
      <c r="AT773" s="1408"/>
      <c r="AU773" s="496"/>
      <c r="AV773" s="1409">
        <f>I773*0.06</f>
        <v>117</v>
      </c>
      <c r="AW773" s="1409"/>
      <c r="AX773" s="496">
        <f>I773</f>
        <v>1950</v>
      </c>
      <c r="AY773" s="496"/>
      <c r="AZ773" s="496"/>
      <c r="BA773" s="496"/>
      <c r="BB773" s="496"/>
      <c r="BC773" s="496"/>
      <c r="BD773" s="496"/>
      <c r="BE773" s="496"/>
      <c r="BF773" s="496"/>
      <c r="BG773" s="496"/>
      <c r="BH773" s="496"/>
      <c r="BI773" s="496"/>
      <c r="BJ773" s="496"/>
      <c r="BK773" s="496"/>
      <c r="BL773" s="496"/>
      <c r="BM773" s="496"/>
      <c r="BN773" s="496"/>
      <c r="BO773" s="1407"/>
      <c r="BP773" s="1407">
        <f>I773/13</f>
        <v>150</v>
      </c>
      <c r="BQ773" s="496"/>
      <c r="BR773" s="1408"/>
      <c r="BS773" s="1408"/>
      <c r="BT773" s="496"/>
      <c r="BU773" s="496"/>
      <c r="BV773" s="1407"/>
      <c r="BW773" s="496"/>
      <c r="BX773" s="496"/>
      <c r="BY773" s="496"/>
      <c r="BZ773" s="496"/>
      <c r="CA773" s="496"/>
      <c r="CB773" s="496"/>
      <c r="CC773" s="496"/>
      <c r="CD773" s="496">
        <f t="shared" si="268"/>
        <v>0</v>
      </c>
      <c r="CE773" s="496">
        <f t="shared" si="269"/>
        <v>0</v>
      </c>
      <c r="CF773" s="496">
        <f t="shared" si="270"/>
        <v>0</v>
      </c>
      <c r="CG773" s="496">
        <f t="shared" si="266"/>
        <v>0</v>
      </c>
      <c r="CH773" s="1408"/>
      <c r="CI773" s="1408"/>
      <c r="CJ773" s="1408"/>
      <c r="CK773" s="496"/>
      <c r="CL773" s="496"/>
    </row>
    <row r="774" s="294" customFormat="1" customHeight="1" spans="1:111">
      <c r="A774" s="1289">
        <v>46199</v>
      </c>
      <c r="B774" s="543" t="s">
        <v>3156</v>
      </c>
      <c r="C774" s="504" t="s">
        <v>101</v>
      </c>
      <c r="D774" s="327" t="s">
        <v>3157</v>
      </c>
      <c r="E774" s="504"/>
      <c r="F774" s="502"/>
      <c r="G774" s="505" t="s">
        <v>510</v>
      </c>
      <c r="H774" s="504" t="s">
        <v>194</v>
      </c>
      <c r="I774" s="1290">
        <v>650</v>
      </c>
      <c r="J774" s="504">
        <v>0</v>
      </c>
      <c r="K774" s="504">
        <v>13</v>
      </c>
      <c r="L774" s="1291">
        <f t="shared" si="260"/>
        <v>50</v>
      </c>
      <c r="M774" s="501">
        <v>46255</v>
      </c>
      <c r="N774" s="501">
        <v>46251</v>
      </c>
      <c r="O774" s="501"/>
      <c r="P774" s="506"/>
      <c r="Q774" s="506"/>
      <c r="R774" s="504"/>
      <c r="S774" s="504"/>
      <c r="T774" s="506"/>
      <c r="U774" s="1313">
        <f t="shared" si="267"/>
        <v>-650</v>
      </c>
      <c r="V774" s="504"/>
      <c r="W774" s="1293"/>
      <c r="X774" s="1301"/>
      <c r="Y774" s="1301"/>
      <c r="Z774" s="544" t="s">
        <v>360</v>
      </c>
      <c r="AA774" s="544"/>
      <c r="AB774" s="543"/>
      <c r="AC774" s="544" t="s">
        <v>3158</v>
      </c>
      <c r="AD774" s="1365" t="s">
        <v>3149</v>
      </c>
      <c r="AE774" s="1366">
        <v>0.693</v>
      </c>
      <c r="AF774" s="1367">
        <f>AE774*I774</f>
        <v>450.45</v>
      </c>
      <c r="AG774" s="1368"/>
      <c r="AH774" s="1310" t="s">
        <v>510</v>
      </c>
      <c r="AI774" s="488" t="s">
        <v>99</v>
      </c>
      <c r="AJ774" s="504"/>
      <c r="AK774" s="502">
        <f t="shared" si="271"/>
        <v>650</v>
      </c>
      <c r="AL774" s="502"/>
      <c r="AM774" s="1218"/>
      <c r="AN774" s="327">
        <f>I774</f>
        <v>650</v>
      </c>
      <c r="AO774" s="502"/>
      <c r="AP774" s="502"/>
      <c r="AQ774" s="1296"/>
      <c r="AR774" s="438"/>
      <c r="AS774" s="1297"/>
      <c r="AT774" s="1297"/>
      <c r="AU774" s="502"/>
      <c r="AV774" s="1298">
        <f>I774*0.06</f>
        <v>39</v>
      </c>
      <c r="AW774" s="1298"/>
      <c r="AX774" s="327">
        <f>I774</f>
        <v>650</v>
      </c>
      <c r="AY774" s="327"/>
      <c r="AZ774" s="502"/>
      <c r="BA774" s="502"/>
      <c r="BB774" s="502"/>
      <c r="BC774" s="502"/>
      <c r="BD774" s="502"/>
      <c r="BE774" s="502"/>
      <c r="BF774" s="502"/>
      <c r="BG774" s="502"/>
      <c r="BH774" s="502"/>
      <c r="BI774" s="502"/>
      <c r="BJ774" s="502"/>
      <c r="BK774" s="502"/>
      <c r="BL774" s="502"/>
      <c r="BM774" s="502"/>
      <c r="BN774" s="327"/>
      <c r="BO774" s="1296"/>
      <c r="BP774" s="1316">
        <f>I774/13</f>
        <v>50</v>
      </c>
      <c r="BQ774" s="1218"/>
      <c r="BR774" s="1297"/>
      <c r="BS774" s="1297"/>
      <c r="BT774" s="502"/>
      <c r="BU774" s="502"/>
      <c r="BV774" s="1296"/>
      <c r="BW774" s="1218"/>
      <c r="BX774" s="1218"/>
      <c r="BY774" s="1218"/>
      <c r="BZ774" s="1218"/>
      <c r="CA774" s="1218"/>
      <c r="CB774" s="1218"/>
      <c r="CC774" s="1218"/>
      <c r="CD774" s="1218">
        <f t="shared" si="268"/>
        <v>0</v>
      </c>
      <c r="CE774" s="1218">
        <f t="shared" si="269"/>
        <v>0</v>
      </c>
      <c r="CF774" s="502">
        <f t="shared" si="270"/>
        <v>0</v>
      </c>
      <c r="CG774" s="1218">
        <f t="shared" si="266"/>
        <v>0</v>
      </c>
      <c r="CH774" s="1299"/>
      <c r="CI774" s="1299"/>
      <c r="CJ774" s="1297"/>
      <c r="CK774" s="502"/>
      <c r="CL774" s="502"/>
      <c r="CM774" s="293"/>
      <c r="CN774" s="293"/>
      <c r="CO774" s="293"/>
      <c r="CP774" s="293"/>
      <c r="CQ774" s="293"/>
      <c r="CR774" s="293"/>
      <c r="CS774" s="293"/>
      <c r="CT774" s="293"/>
      <c r="CU774" s="293"/>
      <c r="CV774" s="293"/>
      <c r="CW774" s="293"/>
      <c r="CX774" s="293"/>
      <c r="CY774" s="293"/>
      <c r="CZ774" s="293"/>
      <c r="DA774" s="293"/>
      <c r="DB774" s="293"/>
      <c r="DC774" s="293"/>
      <c r="DD774" s="293"/>
      <c r="DE774" s="293"/>
      <c r="DF774" s="293"/>
      <c r="DG774" s="293"/>
    </row>
    <row r="775" s="1174" customFormat="1" customHeight="1" spans="1:111">
      <c r="A775" s="1504">
        <v>46205</v>
      </c>
      <c r="B775" s="1447" t="s">
        <v>114</v>
      </c>
      <c r="C775" s="1448" t="s">
        <v>115</v>
      </c>
      <c r="D775" s="1457">
        <v>4500214714</v>
      </c>
      <c r="E775" s="1448" t="s">
        <v>3159</v>
      </c>
      <c r="F775" s="1450" t="s">
        <v>3160</v>
      </c>
      <c r="G775" s="1451" t="s">
        <v>118</v>
      </c>
      <c r="H775" s="1448" t="s">
        <v>104</v>
      </c>
      <c r="I775" s="1452">
        <v>23800</v>
      </c>
      <c r="J775" s="1448">
        <v>0</v>
      </c>
      <c r="K775" s="1448">
        <v>25</v>
      </c>
      <c r="L775" s="1506">
        <f t="shared" si="260"/>
        <v>952</v>
      </c>
      <c r="M775" s="495">
        <v>46255</v>
      </c>
      <c r="N775" s="495">
        <v>46251</v>
      </c>
      <c r="O775" s="1444"/>
      <c r="P775" s="500"/>
      <c r="Q775" s="1507" t="s">
        <v>1410</v>
      </c>
      <c r="R775" s="1448"/>
      <c r="S775" s="1448"/>
      <c r="T775" s="1507">
        <f>5425+18375</f>
        <v>23800</v>
      </c>
      <c r="U775" s="500">
        <f t="shared" si="267"/>
        <v>0</v>
      </c>
      <c r="V775" s="1448"/>
      <c r="W775" s="1431" t="s">
        <v>3161</v>
      </c>
      <c r="X775" s="1432" t="s">
        <v>107</v>
      </c>
      <c r="Y775" s="1432" t="s">
        <v>3162</v>
      </c>
      <c r="Z775" s="1397"/>
      <c r="AA775" s="1447"/>
      <c r="AB775" s="1447"/>
      <c r="AC775" s="1447" t="s">
        <v>2660</v>
      </c>
      <c r="AD775" s="1444" t="s">
        <v>123</v>
      </c>
      <c r="AE775" s="1450">
        <v>0.6406</v>
      </c>
      <c r="AF775" s="1508">
        <f>AE775*I775</f>
        <v>15246.28</v>
      </c>
      <c r="AG775" s="1610"/>
      <c r="AH775" s="498" t="s">
        <v>118</v>
      </c>
      <c r="AI775" s="1448" t="s">
        <v>112</v>
      </c>
      <c r="AJ775" s="498" t="s">
        <v>113</v>
      </c>
      <c r="AK775" s="496"/>
      <c r="AL775" s="1450"/>
      <c r="AM775" s="1450">
        <f>I775</f>
        <v>23800</v>
      </c>
      <c r="AN775" s="1450"/>
      <c r="AO775" s="1450"/>
      <c r="AP775" s="1450"/>
      <c r="AQ775" s="1510"/>
      <c r="AR775" s="1450"/>
      <c r="AS775" s="1511"/>
      <c r="AT775" s="1408">
        <f>I775</f>
        <v>23800</v>
      </c>
      <c r="AU775" s="496">
        <f>I775</f>
        <v>23800</v>
      </c>
      <c r="AV775" s="1409">
        <f>I775*0.06</f>
        <v>1428</v>
      </c>
      <c r="AW775" s="1409"/>
      <c r="AX775" s="1450"/>
      <c r="AY775" s="1450"/>
      <c r="AZ775" s="1450"/>
      <c r="BA775" s="1450"/>
      <c r="BB775" s="1450"/>
      <c r="BC775" s="1450"/>
      <c r="BD775" s="1450"/>
      <c r="BE775" s="1450"/>
      <c r="BF775" s="1450"/>
      <c r="BG775" s="1450"/>
      <c r="BH775" s="1450"/>
      <c r="BI775" s="1450"/>
      <c r="BJ775" s="1450"/>
      <c r="BK775" s="1450"/>
      <c r="BL775" s="1450"/>
      <c r="BM775" s="1450"/>
      <c r="BN775" s="1450"/>
      <c r="BO775" s="1510"/>
      <c r="BP775" s="1510"/>
      <c r="BQ775" s="1450"/>
      <c r="BR775" s="1511"/>
      <c r="BS775" s="1511"/>
      <c r="BT775" s="1450"/>
      <c r="BU775" s="1450">
        <f>I775/25</f>
        <v>952</v>
      </c>
      <c r="BV775" s="1510"/>
      <c r="BW775" s="1450"/>
      <c r="BX775" s="1450"/>
      <c r="BY775" s="1450"/>
      <c r="BZ775" s="1450"/>
      <c r="CA775" s="1450"/>
      <c r="CB775" s="1450"/>
      <c r="CC775" s="1450"/>
      <c r="CD775" s="1450">
        <f t="shared" si="268"/>
        <v>0</v>
      </c>
      <c r="CE775" s="1450">
        <f t="shared" si="269"/>
        <v>952</v>
      </c>
      <c r="CF775" s="1450">
        <f t="shared" si="270"/>
        <v>0</v>
      </c>
      <c r="CG775" s="1450">
        <f t="shared" si="266"/>
        <v>0</v>
      </c>
      <c r="CH775" s="1511"/>
      <c r="CI775" s="1511"/>
      <c r="CJ775" s="1511"/>
      <c r="CK775" s="1450"/>
      <c r="CL775" s="1450"/>
      <c r="CM775" s="1170"/>
      <c r="CN775" s="1170"/>
      <c r="CO775" s="1170"/>
      <c r="CP775" s="1170"/>
      <c r="CQ775" s="1170"/>
      <c r="CR775" s="1170"/>
      <c r="CS775" s="1170"/>
      <c r="CT775" s="1170"/>
      <c r="CU775" s="1170"/>
      <c r="CV775" s="1170"/>
      <c r="CW775" s="1170"/>
      <c r="CX775" s="1170"/>
      <c r="CY775" s="1170"/>
      <c r="CZ775" s="1170"/>
      <c r="DA775" s="1170"/>
      <c r="DB775" s="1170"/>
      <c r="DC775" s="1170"/>
      <c r="DD775" s="1170"/>
      <c r="DE775" s="1170"/>
      <c r="DF775" s="1170"/>
      <c r="DG775" s="1170"/>
    </row>
    <row r="776" s="293" customFormat="1" customHeight="1" spans="1:111">
      <c r="A776" s="1606">
        <v>46188</v>
      </c>
      <c r="B776" s="1417" t="s">
        <v>1567</v>
      </c>
      <c r="C776" s="1434" t="s">
        <v>115</v>
      </c>
      <c r="D776" s="1437" t="s">
        <v>2960</v>
      </c>
      <c r="E776" s="1434" t="s">
        <v>1569</v>
      </c>
      <c r="F776" s="1437" t="s">
        <v>3163</v>
      </c>
      <c r="G776" s="1438" t="s">
        <v>1016</v>
      </c>
      <c r="H776" s="1434" t="s">
        <v>350</v>
      </c>
      <c r="I776" s="1439">
        <v>102720</v>
      </c>
      <c r="J776" s="1434">
        <v>0</v>
      </c>
      <c r="K776" s="1434">
        <v>960</v>
      </c>
      <c r="L776" s="1607">
        <f t="shared" si="260"/>
        <v>107</v>
      </c>
      <c r="M776" s="501">
        <v>46255</v>
      </c>
      <c r="N776" s="1323" t="s">
        <v>1165</v>
      </c>
      <c r="O776" s="507"/>
      <c r="P776" s="506"/>
      <c r="Q776" s="1621" t="s">
        <v>2826</v>
      </c>
      <c r="R776" s="1434"/>
      <c r="S776" s="1434"/>
      <c r="T776" s="1436"/>
      <c r="U776" s="500">
        <f t="shared" si="267"/>
        <v>-102720</v>
      </c>
      <c r="V776" s="1434"/>
      <c r="W776" s="1300" t="s">
        <v>459</v>
      </c>
      <c r="X776" s="1301" t="s">
        <v>95</v>
      </c>
      <c r="Y776" s="1301" t="s">
        <v>2962</v>
      </c>
      <c r="Z776" s="1552"/>
      <c r="AA776" s="1552"/>
      <c r="AB776" s="1417"/>
      <c r="AC776" s="1552" t="s">
        <v>2963</v>
      </c>
      <c r="AD776" s="507"/>
      <c r="AE776" s="1437"/>
      <c r="AF776" s="1609"/>
      <c r="AG776" s="1610"/>
      <c r="AH776" s="505" t="s">
        <v>356</v>
      </c>
      <c r="AI776" s="488" t="s">
        <v>112</v>
      </c>
      <c r="AJ776" s="498" t="s">
        <v>113</v>
      </c>
      <c r="AK776" s="1437">
        <f>I776</f>
        <v>102720</v>
      </c>
      <c r="AL776" s="1437"/>
      <c r="AM776" s="1617"/>
      <c r="AN776" s="502"/>
      <c r="AO776" s="502"/>
      <c r="AP776" s="502"/>
      <c r="AQ776" s="1296"/>
      <c r="AR776" s="438"/>
      <c r="AS776" s="1297"/>
      <c r="AT776" s="1297">
        <f>I776</f>
        <v>102720</v>
      </c>
      <c r="AU776" s="502">
        <f>I776</f>
        <v>102720</v>
      </c>
      <c r="AV776" s="1612"/>
      <c r="AW776" s="1612"/>
      <c r="AX776" s="1437"/>
      <c r="AY776" s="1437"/>
      <c r="AZ776" s="502"/>
      <c r="BA776" s="502"/>
      <c r="BB776" s="1437"/>
      <c r="BC776" s="1437"/>
      <c r="BD776" s="1437"/>
      <c r="BE776" s="1437"/>
      <c r="BF776" s="1437"/>
      <c r="BG776" s="1437"/>
      <c r="BH776" s="1437"/>
      <c r="BI776" s="1437"/>
      <c r="BJ776" s="1437"/>
      <c r="BK776" s="1437"/>
      <c r="BL776" s="1437"/>
      <c r="BM776" s="1437"/>
      <c r="BN776" s="1437"/>
      <c r="BO776" s="1615"/>
      <c r="BP776" s="1615"/>
      <c r="BQ776" s="1617"/>
      <c r="BR776" s="1616">
        <f>I776/16</f>
        <v>6420</v>
      </c>
      <c r="BS776" s="1616"/>
      <c r="BT776" s="1437"/>
      <c r="BU776" s="1437"/>
      <c r="BV776" s="1615"/>
      <c r="BW776" s="1617"/>
      <c r="BX776" s="1617"/>
      <c r="BY776" s="1617"/>
      <c r="BZ776" s="1617"/>
      <c r="CA776" s="1617"/>
      <c r="CB776" s="1617"/>
      <c r="CC776" s="1617"/>
      <c r="CD776" s="1218">
        <f t="shared" si="268"/>
        <v>6420</v>
      </c>
      <c r="CE776" s="1218">
        <f t="shared" si="269"/>
        <v>0</v>
      </c>
      <c r="CF776" s="502">
        <f t="shared" si="270"/>
        <v>0</v>
      </c>
      <c r="CG776" s="1218">
        <f t="shared" si="266"/>
        <v>0</v>
      </c>
      <c r="CH776" s="1618"/>
      <c r="CI776" s="1618"/>
      <c r="CJ776" s="1616"/>
      <c r="CK776" s="1437"/>
      <c r="CL776" s="1437"/>
    </row>
    <row r="777" s="293" customFormat="1" customHeight="1" spans="1:111">
      <c r="A777" s="1606">
        <v>46204</v>
      </c>
      <c r="B777" s="1417" t="s">
        <v>3164</v>
      </c>
      <c r="C777" s="1434" t="s">
        <v>1439</v>
      </c>
      <c r="D777" s="1435">
        <v>4500214563</v>
      </c>
      <c r="E777" s="1434" t="s">
        <v>628</v>
      </c>
      <c r="F777" s="1437" t="s">
        <v>3165</v>
      </c>
      <c r="G777" s="1438" t="s">
        <v>188</v>
      </c>
      <c r="H777" s="1434" t="s">
        <v>138</v>
      </c>
      <c r="I777" s="1439">
        <v>4000</v>
      </c>
      <c r="J777" s="1434">
        <v>0</v>
      </c>
      <c r="K777" s="1434">
        <v>50</v>
      </c>
      <c r="L777" s="1607">
        <f t="shared" si="260"/>
        <v>80</v>
      </c>
      <c r="M777" s="501">
        <v>46255</v>
      </c>
      <c r="N777" s="1365">
        <v>46253</v>
      </c>
      <c r="O777" s="507"/>
      <c r="P777" s="506"/>
      <c r="Q777" s="1436"/>
      <c r="R777" s="1434"/>
      <c r="S777" s="1434"/>
      <c r="T777" s="1436"/>
      <c r="U777" s="500">
        <f t="shared" si="267"/>
        <v>-4000</v>
      </c>
      <c r="V777" s="1434"/>
      <c r="W777" s="1300">
        <v>46227</v>
      </c>
      <c r="X777" s="1301" t="s">
        <v>95</v>
      </c>
      <c r="Y777" s="1301" t="s">
        <v>3166</v>
      </c>
      <c r="Z777" s="1552"/>
      <c r="AA777" s="1552"/>
      <c r="AB777" s="1552" t="s">
        <v>3167</v>
      </c>
      <c r="AC777" s="1482" t="s">
        <v>3168</v>
      </c>
      <c r="AD777" s="507" t="s">
        <v>2600</v>
      </c>
      <c r="AE777" s="1437">
        <v>1.0979</v>
      </c>
      <c r="AF777" s="1609">
        <f>AE777*I777</f>
        <v>4391.6</v>
      </c>
      <c r="AG777" s="1610"/>
      <c r="AH777" s="504" t="s">
        <v>314</v>
      </c>
      <c r="AI777" s="488" t="s">
        <v>112</v>
      </c>
      <c r="AJ777" s="498" t="s">
        <v>113</v>
      </c>
      <c r="AK777" s="1555">
        <f>I777</f>
        <v>4000</v>
      </c>
      <c r="AL777" s="1437"/>
      <c r="AM777" s="1617"/>
      <c r="AN777" s="502"/>
      <c r="AO777" s="502"/>
      <c r="AP777" s="502">
        <f>I777</f>
        <v>4000</v>
      </c>
      <c r="AQ777" s="1296"/>
      <c r="AR777" s="438"/>
      <c r="AS777" s="1297"/>
      <c r="AT777" s="1297"/>
      <c r="AU777" s="502">
        <f>I777</f>
        <v>4000</v>
      </c>
      <c r="AV777" s="1612"/>
      <c r="AW777" s="1612"/>
      <c r="AX777" s="1437"/>
      <c r="AY777" s="1437"/>
      <c r="AZ777" s="502"/>
      <c r="BA777" s="502"/>
      <c r="BB777" s="1437"/>
      <c r="BC777" s="1437"/>
      <c r="BD777" s="1437"/>
      <c r="BE777" s="1437"/>
      <c r="BF777" s="1437"/>
      <c r="BG777" s="1437"/>
      <c r="BH777" s="1437"/>
      <c r="BI777" s="1437"/>
      <c r="BJ777" s="1437"/>
      <c r="BK777" s="1437"/>
      <c r="BL777" s="1437"/>
      <c r="BM777" s="1437"/>
      <c r="BN777" s="1437"/>
      <c r="BO777" s="1296">
        <f>I777/25</f>
        <v>160</v>
      </c>
      <c r="BP777" s="1615"/>
      <c r="BQ777" s="1617"/>
      <c r="BR777" s="1616"/>
      <c r="BS777" s="1616"/>
      <c r="BT777" s="1437"/>
      <c r="BU777" s="1437"/>
      <c r="BV777" s="1615"/>
      <c r="BW777" s="1617"/>
      <c r="BX777" s="1617"/>
      <c r="BY777" s="1617"/>
      <c r="BZ777" s="1617"/>
      <c r="CA777" s="1617"/>
      <c r="CB777" s="1617"/>
      <c r="CC777" s="1617"/>
      <c r="CD777" s="1218">
        <f t="shared" si="268"/>
        <v>160</v>
      </c>
      <c r="CE777" s="1218">
        <f t="shared" si="269"/>
        <v>0</v>
      </c>
      <c r="CF777" s="502">
        <f t="shared" si="270"/>
        <v>0</v>
      </c>
      <c r="CG777" s="1218">
        <f t="shared" si="266"/>
        <v>0</v>
      </c>
      <c r="CH777" s="1618"/>
      <c r="CI777" s="1618"/>
      <c r="CJ777" s="1616"/>
      <c r="CK777" s="1437"/>
      <c r="CL777" s="1437"/>
    </row>
    <row r="778" s="293" customFormat="1" customHeight="1" spans="1:111">
      <c r="A778" s="1289">
        <v>46198</v>
      </c>
      <c r="B778" s="543" t="s">
        <v>3169</v>
      </c>
      <c r="C778" s="504" t="s">
        <v>810</v>
      </c>
      <c r="D778" s="1305">
        <v>4500211316</v>
      </c>
      <c r="E778" s="504" t="s">
        <v>628</v>
      </c>
      <c r="F778" s="502" t="s">
        <v>3170</v>
      </c>
      <c r="G778" s="505" t="s">
        <v>188</v>
      </c>
      <c r="H778" s="504" t="s">
        <v>138</v>
      </c>
      <c r="I778" s="1290">
        <v>1850</v>
      </c>
      <c r="J778" s="504">
        <v>0</v>
      </c>
      <c r="K778" s="504">
        <v>50</v>
      </c>
      <c r="L778" s="1291">
        <f t="shared" si="260"/>
        <v>37</v>
      </c>
      <c r="M778" s="501">
        <v>46255</v>
      </c>
      <c r="N778" s="1365">
        <v>46253</v>
      </c>
      <c r="O778" s="501"/>
      <c r="P778" s="506"/>
      <c r="Q778" s="506"/>
      <c r="R778" s="504"/>
      <c r="S778" s="504"/>
      <c r="T778" s="506"/>
      <c r="U778" s="500">
        <f t="shared" si="267"/>
        <v>-1850</v>
      </c>
      <c r="V778" s="504"/>
      <c r="W778" s="1300" t="s">
        <v>3083</v>
      </c>
      <c r="X778" s="1294" t="s">
        <v>95</v>
      </c>
      <c r="Y778" s="1301" t="s">
        <v>3171</v>
      </c>
      <c r="Z778" s="544"/>
      <c r="AA778" s="544"/>
      <c r="AB778" s="543"/>
      <c r="AC778" s="544" t="s">
        <v>3172</v>
      </c>
      <c r="AD778" s="1365" t="s">
        <v>1945</v>
      </c>
      <c r="AE778" s="1366">
        <v>1.1174</v>
      </c>
      <c r="AF778" s="1367">
        <f>AE778*I778</f>
        <v>2067.19</v>
      </c>
      <c r="AG778" s="1368"/>
      <c r="AH778" s="504" t="s">
        <v>314</v>
      </c>
      <c r="AI778" s="488" t="s">
        <v>112</v>
      </c>
      <c r="AJ778" s="498" t="s">
        <v>113</v>
      </c>
      <c r="AK778" s="502">
        <f>I778</f>
        <v>1850</v>
      </c>
      <c r="AL778" s="502"/>
      <c r="AM778" s="1218"/>
      <c r="AN778" s="502"/>
      <c r="AO778" s="502"/>
      <c r="AP778" s="502">
        <f>I778</f>
        <v>1850</v>
      </c>
      <c r="AQ778" s="1296"/>
      <c r="AR778" s="438"/>
      <c r="AS778" s="1297"/>
      <c r="AT778" s="1297"/>
      <c r="AU778" s="327">
        <f>I778</f>
        <v>1850</v>
      </c>
      <c r="AV778" s="1298"/>
      <c r="AW778" s="1298"/>
      <c r="AX778" s="502"/>
      <c r="AY778" s="502"/>
      <c r="AZ778" s="502"/>
      <c r="BA778" s="502"/>
      <c r="BB778" s="502"/>
      <c r="BC778" s="502"/>
      <c r="BD778" s="502"/>
      <c r="BE778" s="502"/>
      <c r="BF778" s="502"/>
      <c r="BG778" s="502"/>
      <c r="BH778" s="502"/>
      <c r="BI778" s="502"/>
      <c r="BJ778" s="502"/>
      <c r="BK778" s="502"/>
      <c r="BL778" s="502"/>
      <c r="BM778" s="502"/>
      <c r="BN778" s="502"/>
      <c r="BO778" s="1316">
        <f>I778/25</f>
        <v>74</v>
      </c>
      <c r="BP778" s="1296"/>
      <c r="BQ778" s="1218"/>
      <c r="BR778" s="1297"/>
      <c r="BS778" s="1297"/>
      <c r="BT778" s="502"/>
      <c r="BU778" s="502"/>
      <c r="BV778" s="1296"/>
      <c r="BW778" s="1218"/>
      <c r="BX778" s="1218"/>
      <c r="BY778" s="1218"/>
      <c r="BZ778" s="1218"/>
      <c r="CA778" s="1218"/>
      <c r="CB778" s="1218"/>
      <c r="CC778" s="1218"/>
      <c r="CD778" s="1218">
        <f t="shared" si="268"/>
        <v>74</v>
      </c>
      <c r="CE778" s="1218">
        <f t="shared" si="269"/>
        <v>0</v>
      </c>
      <c r="CF778" s="502">
        <f t="shared" si="270"/>
        <v>0</v>
      </c>
      <c r="CG778" s="1218">
        <f t="shared" si="266"/>
        <v>0</v>
      </c>
      <c r="CH778" s="1299"/>
      <c r="CI778" s="1299"/>
      <c r="CJ778" s="1297"/>
      <c r="CK778" s="502"/>
      <c r="CL778" s="502"/>
    </row>
    <row r="779" s="293" customFormat="1" customHeight="1" spans="1:111">
      <c r="A779" s="1289">
        <v>46199</v>
      </c>
      <c r="B779" s="543" t="s">
        <v>3173</v>
      </c>
      <c r="C779" s="504" t="s">
        <v>135</v>
      </c>
      <c r="D779" s="1305">
        <v>4500214102</v>
      </c>
      <c r="E779" s="504" t="s">
        <v>3174</v>
      </c>
      <c r="F779" s="502" t="s">
        <v>3175</v>
      </c>
      <c r="G779" s="505" t="s">
        <v>3176</v>
      </c>
      <c r="H779" s="488" t="s">
        <v>804</v>
      </c>
      <c r="I779" s="1290">
        <v>8160</v>
      </c>
      <c r="J779" s="504">
        <v>0</v>
      </c>
      <c r="K779" s="504">
        <v>6</v>
      </c>
      <c r="L779" s="1291">
        <f t="shared" si="260"/>
        <v>1360</v>
      </c>
      <c r="M779" s="1365">
        <v>46255</v>
      </c>
      <c r="N779" s="1365">
        <f t="shared" ref="N779:N785" si="275">M779-2</f>
        <v>46253</v>
      </c>
      <c r="O779" s="501"/>
      <c r="P779" s="506"/>
      <c r="Q779" s="506"/>
      <c r="R779" s="488" t="s">
        <v>3115</v>
      </c>
      <c r="S779" s="504"/>
      <c r="T779" s="506"/>
      <c r="U779" s="500">
        <f t="shared" si="267"/>
        <v>-8160</v>
      </c>
      <c r="V779" s="504"/>
      <c r="W779" s="1300">
        <v>46199</v>
      </c>
      <c r="X779" s="1301" t="s">
        <v>95</v>
      </c>
      <c r="Y779" s="1301" t="s">
        <v>3177</v>
      </c>
      <c r="Z779" s="544" t="s">
        <v>2494</v>
      </c>
      <c r="AA779" s="544"/>
      <c r="AB779" s="543"/>
      <c r="AC779" s="1443" t="s">
        <v>3178</v>
      </c>
      <c r="AD779" s="1365" t="s">
        <v>3179</v>
      </c>
      <c r="AE779" s="1366">
        <v>8.15</v>
      </c>
      <c r="AF779" s="1367">
        <f>L779*AE779</f>
        <v>11084</v>
      </c>
      <c r="AG779" s="1368"/>
      <c r="AH779" s="1424" t="s">
        <v>2727</v>
      </c>
      <c r="AI779" s="488" t="s">
        <v>112</v>
      </c>
      <c r="AJ779" s="498" t="s">
        <v>113</v>
      </c>
      <c r="AK779" s="327">
        <f>I779*2</f>
        <v>16320</v>
      </c>
      <c r="AL779" s="502"/>
      <c r="AM779" s="1218"/>
      <c r="AN779" s="1420">
        <f>I779*2</f>
        <v>16320</v>
      </c>
      <c r="AO779" s="502"/>
      <c r="AP779" s="502"/>
      <c r="AQ779" s="1296"/>
      <c r="AR779" s="438"/>
      <c r="AS779" s="1297"/>
      <c r="AT779" s="1297"/>
      <c r="AU779" s="502"/>
      <c r="AV779" s="1298">
        <f>I779*0.06</f>
        <v>489.6</v>
      </c>
      <c r="AW779" s="1298">
        <f>I779</f>
        <v>8160</v>
      </c>
      <c r="AX779" s="502"/>
      <c r="AY779" s="502"/>
      <c r="AZ779" s="502"/>
      <c r="BA779" s="502"/>
      <c r="BB779" s="502"/>
      <c r="BC779" s="502"/>
      <c r="BD779" s="502"/>
      <c r="BE779" s="502"/>
      <c r="BF779" s="502"/>
      <c r="BG779" s="502"/>
      <c r="BH779" s="502"/>
      <c r="BI779" s="502"/>
      <c r="BJ779" s="502"/>
      <c r="BK779" s="502"/>
      <c r="BL779" s="502"/>
      <c r="BM779" s="502"/>
      <c r="BN779" s="502"/>
      <c r="BO779" s="1296"/>
      <c r="BP779" s="1296"/>
      <c r="BQ779" s="1218"/>
      <c r="BR779" s="1297"/>
      <c r="BS779" s="1297"/>
      <c r="BT779" s="502"/>
      <c r="BU779" s="502"/>
      <c r="BV779" s="1296"/>
      <c r="BW779" s="1218"/>
      <c r="BX779" s="1218"/>
      <c r="BY779" s="1218"/>
      <c r="BZ779" s="1218"/>
      <c r="CA779" s="1218"/>
      <c r="CB779" s="1218"/>
      <c r="CC779" s="1218"/>
      <c r="CD779" s="1218">
        <f t="shared" si="268"/>
        <v>0</v>
      </c>
      <c r="CE779" s="1218">
        <f t="shared" si="269"/>
        <v>0</v>
      </c>
      <c r="CF779" s="502">
        <f t="shared" si="270"/>
        <v>0</v>
      </c>
      <c r="CG779" s="1218">
        <f t="shared" si="266"/>
        <v>0</v>
      </c>
      <c r="CH779" s="1299"/>
      <c r="CI779" s="1299"/>
      <c r="CJ779" s="1297"/>
      <c r="CK779" s="502"/>
      <c r="CL779" s="502"/>
    </row>
    <row r="780" s="293" customFormat="1" customHeight="1" spans="1:111">
      <c r="A780" s="1670">
        <v>46212</v>
      </c>
      <c r="B780" s="1552" t="s">
        <v>346</v>
      </c>
      <c r="C780" s="1553" t="s">
        <v>115</v>
      </c>
      <c r="D780" s="1555">
        <v>4500215861</v>
      </c>
      <c r="E780" s="1902" t="s">
        <v>3180</v>
      </c>
      <c r="F780" s="1555" t="s">
        <v>3181</v>
      </c>
      <c r="G780" s="1556" t="s">
        <v>1016</v>
      </c>
      <c r="H780" s="1553" t="s">
        <v>350</v>
      </c>
      <c r="I780" s="1557">
        <v>14400</v>
      </c>
      <c r="J780" s="1553">
        <v>0</v>
      </c>
      <c r="K780" s="1553">
        <v>960</v>
      </c>
      <c r="L780" s="1675">
        <f t="shared" si="260"/>
        <v>15</v>
      </c>
      <c r="M780" s="1545">
        <v>46255</v>
      </c>
      <c r="N780" s="1416">
        <f t="shared" si="275"/>
        <v>46253</v>
      </c>
      <c r="O780" s="1545"/>
      <c r="P780" s="1621" t="s">
        <v>3182</v>
      </c>
      <c r="Q780" s="1621"/>
      <c r="R780" s="1553"/>
      <c r="S780" s="1553"/>
      <c r="T780" s="1621"/>
      <c r="U780" s="500">
        <f t="shared" si="267"/>
        <v>-14400</v>
      </c>
      <c r="V780" s="1553" t="s">
        <v>120</v>
      </c>
      <c r="W780" s="1300" t="s">
        <v>1572</v>
      </c>
      <c r="X780" s="1301" t="s">
        <v>95</v>
      </c>
      <c r="Y780" s="1301" t="s">
        <v>2801</v>
      </c>
      <c r="Z780" s="544"/>
      <c r="AA780" s="1552"/>
      <c r="AB780" s="1552"/>
      <c r="AC780" s="1552" t="s">
        <v>2396</v>
      </c>
      <c r="AD780" s="1545" t="s">
        <v>354</v>
      </c>
      <c r="AE780" s="1555">
        <v>665.1447</v>
      </c>
      <c r="AF780" s="1677">
        <f t="shared" ref="AF780:AF785" si="276">AE780*L780</f>
        <v>9977.1705</v>
      </c>
      <c r="AG780" s="1610"/>
      <c r="AH780" s="1310" t="s">
        <v>356</v>
      </c>
      <c r="AI780" s="488" t="s">
        <v>112</v>
      </c>
      <c r="AJ780" s="498" t="s">
        <v>113</v>
      </c>
      <c r="AK780" s="1555">
        <f t="shared" ref="AK780:AK786" si="277">I780</f>
        <v>14400</v>
      </c>
      <c r="AL780" s="1555"/>
      <c r="AM780" s="1555"/>
      <c r="AN780" s="327"/>
      <c r="AO780" s="502"/>
      <c r="AP780" s="502"/>
      <c r="AQ780" s="1296"/>
      <c r="AR780" s="438"/>
      <c r="AS780" s="1297"/>
      <c r="AT780" s="1297">
        <f t="shared" ref="AT780:AT785" si="278">I780</f>
        <v>14400</v>
      </c>
      <c r="AU780" s="327">
        <f t="shared" ref="AU780:AU789" si="279">I780</f>
        <v>14400</v>
      </c>
      <c r="AV780" s="1678"/>
      <c r="AW780" s="1678"/>
      <c r="AX780" s="1555"/>
      <c r="AY780" s="1555"/>
      <c r="AZ780" s="327"/>
      <c r="BA780" s="327"/>
      <c r="BB780" s="1555"/>
      <c r="BC780" s="1555"/>
      <c r="BD780" s="1555"/>
      <c r="BE780" s="1555"/>
      <c r="BF780" s="1555"/>
      <c r="BG780" s="1555"/>
      <c r="BH780" s="1555"/>
      <c r="BI780" s="1555"/>
      <c r="BJ780" s="1555"/>
      <c r="BK780" s="1555"/>
      <c r="BL780" s="1555"/>
      <c r="BM780" s="1555"/>
      <c r="BN780" s="1555"/>
      <c r="BO780" s="1679"/>
      <c r="BP780" s="1316"/>
      <c r="BQ780" s="327"/>
      <c r="BR780" s="1680">
        <f t="shared" ref="BR780:BR785" si="280">I780/16</f>
        <v>900</v>
      </c>
      <c r="BS780" s="1680"/>
      <c r="BT780" s="1555"/>
      <c r="BU780" s="1555"/>
      <c r="BV780" s="1679"/>
      <c r="BW780" s="1555"/>
      <c r="BX780" s="1555"/>
      <c r="BY780" s="1555"/>
      <c r="BZ780" s="1555"/>
      <c r="CA780" s="1555"/>
      <c r="CB780" s="1555"/>
      <c r="CC780" s="1555"/>
      <c r="CD780" s="1218">
        <f t="shared" si="268"/>
        <v>900</v>
      </c>
      <c r="CE780" s="1218">
        <f t="shared" si="269"/>
        <v>0</v>
      </c>
      <c r="CF780" s="502">
        <f t="shared" si="270"/>
        <v>0</v>
      </c>
      <c r="CG780" s="1218">
        <f t="shared" si="266"/>
        <v>0</v>
      </c>
      <c r="CH780" s="1680"/>
      <c r="CI780" s="1680"/>
      <c r="CJ780" s="1680"/>
      <c r="CK780" s="1555"/>
      <c r="CL780" s="1555"/>
      <c r="CM780" s="1180"/>
      <c r="CN780" s="1180"/>
      <c r="CO780" s="1180"/>
      <c r="CP780" s="1180"/>
      <c r="CQ780" s="1180"/>
      <c r="CR780" s="1180"/>
      <c r="CS780" s="1180"/>
      <c r="CT780" s="1180"/>
      <c r="CU780" s="1180"/>
      <c r="CV780" s="1180"/>
      <c r="CW780" s="1180"/>
      <c r="CX780" s="1180"/>
      <c r="CY780" s="1180"/>
      <c r="CZ780" s="1180"/>
      <c r="DA780" s="1180"/>
      <c r="DB780" s="1180"/>
      <c r="DC780" s="1180"/>
      <c r="DD780" s="1180"/>
      <c r="DE780" s="1180"/>
      <c r="DF780" s="1180"/>
      <c r="DG780" s="1180"/>
    </row>
    <row r="781" s="1180" customFormat="1" customHeight="1" spans="1:111">
      <c r="A781" s="1309">
        <v>46212</v>
      </c>
      <c r="B781" s="1552" t="s">
        <v>346</v>
      </c>
      <c r="C781" s="1553" t="s">
        <v>115</v>
      </c>
      <c r="D781" s="1555">
        <v>4500215861</v>
      </c>
      <c r="E781" s="1902" t="s">
        <v>3183</v>
      </c>
      <c r="F781" s="1555" t="s">
        <v>3184</v>
      </c>
      <c r="G781" s="1556" t="s">
        <v>1016</v>
      </c>
      <c r="H781" s="1553" t="s">
        <v>350</v>
      </c>
      <c r="I781" s="1557">
        <v>19200</v>
      </c>
      <c r="J781" s="1553">
        <v>0</v>
      </c>
      <c r="K781" s="1553">
        <v>960</v>
      </c>
      <c r="L781" s="1544">
        <f t="shared" si="260"/>
        <v>20</v>
      </c>
      <c r="M781" s="1312">
        <v>46255</v>
      </c>
      <c r="N781" s="1323">
        <f t="shared" si="275"/>
        <v>46253</v>
      </c>
      <c r="O781" s="1545"/>
      <c r="P781" s="1313" t="s">
        <v>3182</v>
      </c>
      <c r="Q781" s="1313"/>
      <c r="R781" s="488" t="s">
        <v>2406</v>
      </c>
      <c r="S781" s="488"/>
      <c r="T781" s="1313"/>
      <c r="U781" s="500">
        <f t="shared" si="267"/>
        <v>-19200</v>
      </c>
      <c r="V781" s="488"/>
      <c r="W781" s="1300" t="s">
        <v>1572</v>
      </c>
      <c r="X781" s="1301" t="s">
        <v>95</v>
      </c>
      <c r="Y781" s="1301" t="s">
        <v>3185</v>
      </c>
      <c r="Z781" s="544"/>
      <c r="AA781" s="544"/>
      <c r="AB781" s="544"/>
      <c r="AC781" s="1552" t="s">
        <v>2396</v>
      </c>
      <c r="AD781" s="1545" t="s">
        <v>354</v>
      </c>
      <c r="AE781" s="327">
        <v>657.8405</v>
      </c>
      <c r="AF781" s="1315">
        <f t="shared" si="276"/>
        <v>13156.81</v>
      </c>
      <c r="AG781" s="1295"/>
      <c r="AH781" s="1310" t="s">
        <v>356</v>
      </c>
      <c r="AI781" s="488" t="s">
        <v>112</v>
      </c>
      <c r="AJ781" s="498" t="s">
        <v>113</v>
      </c>
      <c r="AK781" s="327">
        <f t="shared" si="277"/>
        <v>19200</v>
      </c>
      <c r="AL781" s="327"/>
      <c r="AM781" s="327"/>
      <c r="AN781" s="327"/>
      <c r="AO781" s="502"/>
      <c r="AP781" s="502"/>
      <c r="AQ781" s="1296"/>
      <c r="AR781" s="438"/>
      <c r="AS781" s="1297"/>
      <c r="AT781" s="1297">
        <f t="shared" si="278"/>
        <v>19200</v>
      </c>
      <c r="AU781" s="327">
        <f t="shared" si="279"/>
        <v>19200</v>
      </c>
      <c r="AV781" s="1318"/>
      <c r="AW781" s="1318"/>
      <c r="AX781" s="327"/>
      <c r="AY781" s="327"/>
      <c r="AZ781" s="327"/>
      <c r="BA781" s="327"/>
      <c r="BB781" s="327"/>
      <c r="BC781" s="327"/>
      <c r="BD781" s="327"/>
      <c r="BE781" s="327"/>
      <c r="BF781" s="327"/>
      <c r="BG781" s="327"/>
      <c r="BH781" s="327"/>
      <c r="BI781" s="327"/>
      <c r="BJ781" s="327"/>
      <c r="BK781" s="327"/>
      <c r="BL781" s="327"/>
      <c r="BM781" s="327"/>
      <c r="BN781" s="327"/>
      <c r="BO781" s="1316"/>
      <c r="BP781" s="1316"/>
      <c r="BQ781" s="327"/>
      <c r="BR781" s="1317">
        <f t="shared" si="280"/>
        <v>1200</v>
      </c>
      <c r="BS781" s="1317"/>
      <c r="BT781" s="327"/>
      <c r="BU781" s="327"/>
      <c r="BV781" s="1316"/>
      <c r="BW781" s="327"/>
      <c r="BX781" s="327"/>
      <c r="BY781" s="327"/>
      <c r="BZ781" s="327"/>
      <c r="CA781" s="327"/>
      <c r="CB781" s="327"/>
      <c r="CC781" s="327"/>
      <c r="CD781" s="1218">
        <f t="shared" si="268"/>
        <v>1200</v>
      </c>
      <c r="CE781" s="1218">
        <f t="shared" si="269"/>
        <v>0</v>
      </c>
      <c r="CF781" s="502">
        <f t="shared" si="270"/>
        <v>0</v>
      </c>
      <c r="CG781" s="1218">
        <f t="shared" si="266"/>
        <v>0</v>
      </c>
      <c r="CH781" s="1317"/>
      <c r="CI781" s="1317"/>
      <c r="CJ781" s="1317"/>
      <c r="CK781" s="327"/>
      <c r="CL781" s="327"/>
    </row>
    <row r="782" s="1177" customFormat="1" customHeight="1" spans="1:111">
      <c r="A782" s="1309">
        <v>46212</v>
      </c>
      <c r="B782" s="544" t="s">
        <v>346</v>
      </c>
      <c r="C782" s="488" t="s">
        <v>115</v>
      </c>
      <c r="D782" s="327">
        <v>4500215861</v>
      </c>
      <c r="E782" s="1903" t="s">
        <v>3186</v>
      </c>
      <c r="F782" s="327" t="s">
        <v>3187</v>
      </c>
      <c r="G782" s="1310" t="s">
        <v>1016</v>
      </c>
      <c r="H782" s="488" t="s">
        <v>350</v>
      </c>
      <c r="I782" s="1311">
        <v>21120</v>
      </c>
      <c r="J782" s="488">
        <v>0</v>
      </c>
      <c r="K782" s="488">
        <v>960</v>
      </c>
      <c r="L782" s="1544">
        <f t="shared" si="260"/>
        <v>22</v>
      </c>
      <c r="M782" s="1312">
        <v>46255</v>
      </c>
      <c r="N782" s="1323">
        <f t="shared" si="275"/>
        <v>46253</v>
      </c>
      <c r="O782" s="1312"/>
      <c r="P782" s="1313" t="s">
        <v>3182</v>
      </c>
      <c r="Q782" s="1313"/>
      <c r="R782" s="488" t="s">
        <v>2841</v>
      </c>
      <c r="S782" s="488"/>
      <c r="T782" s="1313"/>
      <c r="U782" s="500">
        <f t="shared" si="267"/>
        <v>-21120</v>
      </c>
      <c r="V782" s="488"/>
      <c r="W782" s="1300" t="s">
        <v>1572</v>
      </c>
      <c r="X782" s="1294" t="s">
        <v>95</v>
      </c>
      <c r="Y782" s="1294" t="s">
        <v>3185</v>
      </c>
      <c r="Z782" s="544"/>
      <c r="AA782" s="544"/>
      <c r="AB782" s="544"/>
      <c r="AC782" s="544" t="s">
        <v>2396</v>
      </c>
      <c r="AD782" s="1312" t="s">
        <v>354</v>
      </c>
      <c r="AE782" s="327">
        <v>654.73</v>
      </c>
      <c r="AF782" s="1315">
        <f t="shared" si="276"/>
        <v>14404.06</v>
      </c>
      <c r="AG782" s="1295"/>
      <c r="AH782" s="1310" t="s">
        <v>356</v>
      </c>
      <c r="AI782" s="488" t="s">
        <v>112</v>
      </c>
      <c r="AJ782" s="498" t="s">
        <v>113</v>
      </c>
      <c r="AK782" s="327">
        <f t="shared" si="277"/>
        <v>21120</v>
      </c>
      <c r="AL782" s="327"/>
      <c r="AM782" s="327"/>
      <c r="AN782" s="327"/>
      <c r="AO782" s="502"/>
      <c r="AP782" s="502"/>
      <c r="AQ782" s="1296"/>
      <c r="AR782" s="438"/>
      <c r="AS782" s="1297"/>
      <c r="AT782" s="1297">
        <f t="shared" si="278"/>
        <v>21120</v>
      </c>
      <c r="AU782" s="327">
        <f t="shared" si="279"/>
        <v>21120</v>
      </c>
      <c r="AV782" s="1318"/>
      <c r="AW782" s="1318"/>
      <c r="AX782" s="327"/>
      <c r="AY782" s="327"/>
      <c r="AZ782" s="327"/>
      <c r="BA782" s="327"/>
      <c r="BB782" s="327"/>
      <c r="BC782" s="327"/>
      <c r="BD782" s="327"/>
      <c r="BE782" s="327"/>
      <c r="BF782" s="327"/>
      <c r="BG782" s="327"/>
      <c r="BH782" s="327"/>
      <c r="BI782" s="327"/>
      <c r="BJ782" s="327"/>
      <c r="BK782" s="327"/>
      <c r="BL782" s="327"/>
      <c r="BM782" s="327"/>
      <c r="BN782" s="327"/>
      <c r="BO782" s="1316"/>
      <c r="BP782" s="1316"/>
      <c r="BQ782" s="327"/>
      <c r="BR782" s="1317">
        <f t="shared" si="280"/>
        <v>1320</v>
      </c>
      <c r="BS782" s="1317"/>
      <c r="BT782" s="327"/>
      <c r="BU782" s="327"/>
      <c r="BV782" s="1316"/>
      <c r="BW782" s="327"/>
      <c r="BX782" s="327"/>
      <c r="BY782" s="327"/>
      <c r="BZ782" s="327"/>
      <c r="CA782" s="327"/>
      <c r="CB782" s="327"/>
      <c r="CC782" s="327"/>
      <c r="CD782" s="1218">
        <f t="shared" si="268"/>
        <v>1320</v>
      </c>
      <c r="CE782" s="1218">
        <f t="shared" si="269"/>
        <v>0</v>
      </c>
      <c r="CF782" s="502">
        <f t="shared" si="270"/>
        <v>0</v>
      </c>
      <c r="CG782" s="1218">
        <f t="shared" si="266"/>
        <v>0</v>
      </c>
      <c r="CH782" s="1317"/>
      <c r="CI782" s="1317"/>
      <c r="CJ782" s="1317"/>
      <c r="CK782" s="327"/>
      <c r="CL782" s="327"/>
      <c r="CM782" s="1180"/>
      <c r="CN782" s="1180"/>
      <c r="CO782" s="1180"/>
      <c r="CP782" s="1180"/>
      <c r="CQ782" s="1180"/>
      <c r="CR782" s="1180"/>
      <c r="CS782" s="1180"/>
      <c r="CT782" s="1180"/>
      <c r="CU782" s="1180"/>
      <c r="CV782" s="1180"/>
      <c r="CW782" s="1180"/>
      <c r="CX782" s="1180"/>
      <c r="CY782" s="1180"/>
      <c r="CZ782" s="1180"/>
      <c r="DA782" s="1180"/>
      <c r="DB782" s="1180"/>
      <c r="DC782" s="1180"/>
      <c r="DD782" s="1180"/>
      <c r="DE782" s="1180"/>
      <c r="DF782" s="1180"/>
      <c r="DG782" s="1180"/>
    </row>
    <row r="783" s="293" customFormat="1" customHeight="1" spans="1:111">
      <c r="A783" s="1309">
        <v>46212</v>
      </c>
      <c r="B783" s="544" t="s">
        <v>346</v>
      </c>
      <c r="C783" s="488" t="s">
        <v>115</v>
      </c>
      <c r="D783" s="327">
        <v>4500215861</v>
      </c>
      <c r="E783" s="1903" t="s">
        <v>3188</v>
      </c>
      <c r="F783" s="327" t="s">
        <v>3189</v>
      </c>
      <c r="G783" s="1310" t="s">
        <v>1016</v>
      </c>
      <c r="H783" s="488" t="s">
        <v>350</v>
      </c>
      <c r="I783" s="1311">
        <v>26880</v>
      </c>
      <c r="J783" s="488">
        <v>0</v>
      </c>
      <c r="K783" s="488">
        <v>960</v>
      </c>
      <c r="L783" s="1544">
        <f t="shared" si="260"/>
        <v>28</v>
      </c>
      <c r="M783" s="1312">
        <v>46255</v>
      </c>
      <c r="N783" s="1323">
        <f t="shared" si="275"/>
        <v>46253</v>
      </c>
      <c r="O783" s="1312"/>
      <c r="P783" s="1313" t="s">
        <v>3182</v>
      </c>
      <c r="Q783" s="1313"/>
      <c r="R783" s="488"/>
      <c r="S783" s="488"/>
      <c r="T783" s="1313"/>
      <c r="U783" s="500">
        <f t="shared" si="267"/>
        <v>-26880</v>
      </c>
      <c r="V783" s="488"/>
      <c r="W783" s="1300" t="s">
        <v>1572</v>
      </c>
      <c r="X783" s="1294" t="s">
        <v>95</v>
      </c>
      <c r="Y783" s="1294" t="s">
        <v>3185</v>
      </c>
      <c r="Z783" s="544"/>
      <c r="AA783" s="544"/>
      <c r="AB783" s="544"/>
      <c r="AC783" s="544" t="s">
        <v>2396</v>
      </c>
      <c r="AD783" s="1312" t="s">
        <v>354</v>
      </c>
      <c r="AE783" s="327">
        <v>654.73</v>
      </c>
      <c r="AF783" s="1315">
        <f t="shared" si="276"/>
        <v>18332.44</v>
      </c>
      <c r="AG783" s="1295"/>
      <c r="AH783" s="1310" t="s">
        <v>356</v>
      </c>
      <c r="AI783" s="488" t="s">
        <v>112</v>
      </c>
      <c r="AJ783" s="498" t="s">
        <v>113</v>
      </c>
      <c r="AK783" s="327">
        <f t="shared" si="277"/>
        <v>26880</v>
      </c>
      <c r="AL783" s="327"/>
      <c r="AM783" s="327"/>
      <c r="AN783" s="327"/>
      <c r="AO783" s="502"/>
      <c r="AP783" s="502"/>
      <c r="AQ783" s="1296"/>
      <c r="AR783" s="438"/>
      <c r="AS783" s="1297"/>
      <c r="AT783" s="1297">
        <f t="shared" si="278"/>
        <v>26880</v>
      </c>
      <c r="AU783" s="327">
        <f t="shared" si="279"/>
        <v>26880</v>
      </c>
      <c r="AV783" s="1318"/>
      <c r="AW783" s="1318"/>
      <c r="AX783" s="1555"/>
      <c r="AY783" s="327"/>
      <c r="AZ783" s="327"/>
      <c r="BA783" s="327"/>
      <c r="BB783" s="327"/>
      <c r="BC783" s="327"/>
      <c r="BD783" s="327"/>
      <c r="BE783" s="327"/>
      <c r="BF783" s="327"/>
      <c r="BG783" s="327"/>
      <c r="BH783" s="327"/>
      <c r="BI783" s="327"/>
      <c r="BJ783" s="327"/>
      <c r="BK783" s="327"/>
      <c r="BL783" s="327"/>
      <c r="BM783" s="327"/>
      <c r="BN783" s="327"/>
      <c r="BO783" s="1316"/>
      <c r="BP783" s="1316"/>
      <c r="BQ783" s="327"/>
      <c r="BR783" s="1317">
        <f t="shared" si="280"/>
        <v>1680</v>
      </c>
      <c r="BS783" s="1317"/>
      <c r="BT783" s="327"/>
      <c r="BU783" s="327"/>
      <c r="BV783" s="1316"/>
      <c r="BW783" s="327"/>
      <c r="BX783" s="327"/>
      <c r="BY783" s="327"/>
      <c r="BZ783" s="327"/>
      <c r="CA783" s="327"/>
      <c r="CB783" s="327"/>
      <c r="CC783" s="327"/>
      <c r="CD783" s="1218">
        <f t="shared" si="268"/>
        <v>1680</v>
      </c>
      <c r="CE783" s="1218">
        <f t="shared" si="269"/>
        <v>0</v>
      </c>
      <c r="CF783" s="502">
        <f t="shared" si="270"/>
        <v>0</v>
      </c>
      <c r="CG783" s="1218">
        <f t="shared" si="266"/>
        <v>0</v>
      </c>
      <c r="CH783" s="1317"/>
      <c r="CI783" s="1317"/>
      <c r="CJ783" s="1317"/>
      <c r="CK783" s="327"/>
      <c r="CL783" s="327"/>
      <c r="CM783" s="1180"/>
      <c r="CN783" s="1180"/>
      <c r="CO783" s="1180"/>
      <c r="CP783" s="1180"/>
      <c r="CQ783" s="1180"/>
      <c r="CR783" s="1180"/>
      <c r="CS783" s="1180"/>
      <c r="CT783" s="1180"/>
      <c r="CU783" s="1180"/>
      <c r="CV783" s="1180"/>
      <c r="CW783" s="1180"/>
      <c r="CX783" s="1180"/>
      <c r="CY783" s="1180"/>
      <c r="CZ783" s="1180"/>
      <c r="DA783" s="1180"/>
      <c r="DB783" s="1180"/>
      <c r="DC783" s="1180"/>
      <c r="DD783" s="1180"/>
      <c r="DE783" s="1180"/>
      <c r="DF783" s="1180"/>
      <c r="DG783" s="1180"/>
    </row>
    <row r="784" s="294" customFormat="1" customHeight="1" spans="1:111">
      <c r="A784" s="1309">
        <v>46212</v>
      </c>
      <c r="B784" s="544" t="s">
        <v>346</v>
      </c>
      <c r="C784" s="488" t="s">
        <v>115</v>
      </c>
      <c r="D784" s="327">
        <v>4500215861</v>
      </c>
      <c r="E784" s="1903" t="s">
        <v>3190</v>
      </c>
      <c r="F784" s="327" t="s">
        <v>3191</v>
      </c>
      <c r="G784" s="1310" t="s">
        <v>1016</v>
      </c>
      <c r="H784" s="488" t="s">
        <v>350</v>
      </c>
      <c r="I784" s="1311">
        <v>18240</v>
      </c>
      <c r="J784" s="488">
        <v>0</v>
      </c>
      <c r="K784" s="488">
        <v>960</v>
      </c>
      <c r="L784" s="1544">
        <f t="shared" si="260"/>
        <v>19</v>
      </c>
      <c r="M784" s="1312">
        <v>46255</v>
      </c>
      <c r="N784" s="1323">
        <f t="shared" si="275"/>
        <v>46253</v>
      </c>
      <c r="O784" s="1312"/>
      <c r="P784" s="1313" t="s">
        <v>3182</v>
      </c>
      <c r="Q784" s="1313"/>
      <c r="R784" s="488"/>
      <c r="S784" s="488"/>
      <c r="T784" s="1313"/>
      <c r="U784" s="500">
        <f t="shared" si="267"/>
        <v>-18240</v>
      </c>
      <c r="V784" s="488"/>
      <c r="W784" s="1300" t="s">
        <v>1572</v>
      </c>
      <c r="X784" s="1294" t="s">
        <v>95</v>
      </c>
      <c r="Y784" s="1301" t="s">
        <v>3192</v>
      </c>
      <c r="Z784" s="544"/>
      <c r="AA784" s="544"/>
      <c r="AB784" s="544"/>
      <c r="AC784" s="544" t="s">
        <v>2396</v>
      </c>
      <c r="AD784" s="1312" t="s">
        <v>354</v>
      </c>
      <c r="AE784" s="327">
        <v>665.1447</v>
      </c>
      <c r="AF784" s="1315">
        <f t="shared" si="276"/>
        <v>12637.7493</v>
      </c>
      <c r="AG784" s="1295"/>
      <c r="AH784" s="1310" t="s">
        <v>356</v>
      </c>
      <c r="AI784" s="488" t="s">
        <v>112</v>
      </c>
      <c r="AJ784" s="498" t="s">
        <v>113</v>
      </c>
      <c r="AK784" s="327">
        <f t="shared" si="277"/>
        <v>18240</v>
      </c>
      <c r="AL784" s="327"/>
      <c r="AM784" s="327"/>
      <c r="AN784" s="327"/>
      <c r="AO784" s="502"/>
      <c r="AP784" s="502"/>
      <c r="AQ784" s="1296"/>
      <c r="AR784" s="438"/>
      <c r="AS784" s="1297"/>
      <c r="AT784" s="1297">
        <f t="shared" si="278"/>
        <v>18240</v>
      </c>
      <c r="AU784" s="327">
        <f t="shared" si="279"/>
        <v>18240</v>
      </c>
      <c r="AV784" s="1318"/>
      <c r="AW784" s="1318"/>
      <c r="AX784" s="327"/>
      <c r="AY784" s="327"/>
      <c r="AZ784" s="327"/>
      <c r="BA784" s="327"/>
      <c r="BB784" s="327"/>
      <c r="BC784" s="327"/>
      <c r="BD784" s="327"/>
      <c r="BE784" s="327"/>
      <c r="BF784" s="327"/>
      <c r="BG784" s="327"/>
      <c r="BH784" s="327"/>
      <c r="BI784" s="327"/>
      <c r="BJ784" s="327"/>
      <c r="BK784" s="327"/>
      <c r="BL784" s="327"/>
      <c r="BM784" s="327"/>
      <c r="BN784" s="327"/>
      <c r="BO784" s="1316"/>
      <c r="BP784" s="1316"/>
      <c r="BQ784" s="327"/>
      <c r="BR784" s="1317">
        <f t="shared" si="280"/>
        <v>1140</v>
      </c>
      <c r="BS784" s="1317"/>
      <c r="BT784" s="327"/>
      <c r="BU784" s="327"/>
      <c r="BV784" s="1316"/>
      <c r="BW784" s="327"/>
      <c r="BX784" s="327"/>
      <c r="BY784" s="327"/>
      <c r="BZ784" s="327"/>
      <c r="CA784" s="327"/>
      <c r="CB784" s="327"/>
      <c r="CC784" s="327"/>
      <c r="CD784" s="1218">
        <f t="shared" si="268"/>
        <v>1140</v>
      </c>
      <c r="CE784" s="1218">
        <f t="shared" si="269"/>
        <v>0</v>
      </c>
      <c r="CF784" s="502">
        <f t="shared" si="270"/>
        <v>0</v>
      </c>
      <c r="CG784" s="1218">
        <f t="shared" si="266"/>
        <v>0</v>
      </c>
      <c r="CH784" s="1317"/>
      <c r="CI784" s="1317"/>
      <c r="CJ784" s="1317"/>
      <c r="CK784" s="327"/>
      <c r="CL784" s="327"/>
      <c r="CM784" s="1180"/>
      <c r="CN784" s="1180"/>
      <c r="CO784" s="1180"/>
      <c r="CP784" s="1180"/>
      <c r="CQ784" s="1180"/>
      <c r="CR784" s="1180"/>
      <c r="CS784" s="1180"/>
      <c r="CT784" s="1180"/>
      <c r="CU784" s="1180"/>
      <c r="CV784" s="1180"/>
      <c r="CW784" s="1180"/>
      <c r="CX784" s="1180"/>
      <c r="CY784" s="1180"/>
      <c r="CZ784" s="1180"/>
      <c r="DA784" s="1180"/>
      <c r="DB784" s="1180"/>
      <c r="DC784" s="1180"/>
      <c r="DD784" s="1180"/>
      <c r="DE784" s="1180"/>
      <c r="DF784" s="1180"/>
      <c r="DG784" s="1180"/>
    </row>
    <row r="785" s="293" customFormat="1" customHeight="1" spans="1:111">
      <c r="A785" s="1670">
        <v>46212</v>
      </c>
      <c r="B785" s="1552" t="s">
        <v>346</v>
      </c>
      <c r="C785" s="1553" t="s">
        <v>115</v>
      </c>
      <c r="D785" s="1555">
        <v>4500215861</v>
      </c>
      <c r="E785" s="1902" t="s">
        <v>3193</v>
      </c>
      <c r="F785" s="1555" t="s">
        <v>3194</v>
      </c>
      <c r="G785" s="1556" t="s">
        <v>1016</v>
      </c>
      <c r="H785" s="1553" t="s">
        <v>350</v>
      </c>
      <c r="I785" s="1557">
        <v>17280</v>
      </c>
      <c r="J785" s="1553">
        <v>0</v>
      </c>
      <c r="K785" s="1553">
        <v>960</v>
      </c>
      <c r="L785" s="1675">
        <f t="shared" si="260"/>
        <v>18</v>
      </c>
      <c r="M785" s="1545">
        <v>46255</v>
      </c>
      <c r="N785" s="1416">
        <f t="shared" si="275"/>
        <v>46253</v>
      </c>
      <c r="O785" s="1545"/>
      <c r="P785" s="1621" t="s">
        <v>3182</v>
      </c>
      <c r="Q785" s="1621"/>
      <c r="R785" s="1553" t="s">
        <v>3195</v>
      </c>
      <c r="S785" s="1553"/>
      <c r="T785" s="1621"/>
      <c r="U785" s="500">
        <f t="shared" si="267"/>
        <v>-17280</v>
      </c>
      <c r="V785" s="1553"/>
      <c r="W785" s="1300" t="s">
        <v>1572</v>
      </c>
      <c r="X785" s="1301" t="s">
        <v>95</v>
      </c>
      <c r="Y785" s="1301" t="s">
        <v>3192</v>
      </c>
      <c r="Z785" s="544"/>
      <c r="AA785" s="1552"/>
      <c r="AB785" s="1552"/>
      <c r="AC785" s="1552" t="s">
        <v>2396</v>
      </c>
      <c r="AD785" s="1545" t="s">
        <v>354</v>
      </c>
      <c r="AE785" s="1555">
        <v>665.145</v>
      </c>
      <c r="AF785" s="1677">
        <f t="shared" si="276"/>
        <v>11972.61</v>
      </c>
      <c r="AG785" s="1610"/>
      <c r="AH785" s="1310" t="s">
        <v>356</v>
      </c>
      <c r="AI785" s="488" t="s">
        <v>112</v>
      </c>
      <c r="AJ785" s="498" t="s">
        <v>113</v>
      </c>
      <c r="AK785" s="1555">
        <f t="shared" si="277"/>
        <v>17280</v>
      </c>
      <c r="AL785" s="1555"/>
      <c r="AM785" s="1555"/>
      <c r="AN785" s="327"/>
      <c r="AO785" s="502"/>
      <c r="AP785" s="502"/>
      <c r="AQ785" s="1296"/>
      <c r="AR785" s="438"/>
      <c r="AS785" s="1297"/>
      <c r="AT785" s="1297">
        <f t="shared" si="278"/>
        <v>17280</v>
      </c>
      <c r="AU785" s="327">
        <f t="shared" si="279"/>
        <v>17280</v>
      </c>
      <c r="AV785" s="1678"/>
      <c r="AW785" s="1678"/>
      <c r="AX785" s="1555"/>
      <c r="AY785" s="1555"/>
      <c r="AZ785" s="327"/>
      <c r="BA785" s="327"/>
      <c r="BB785" s="1555"/>
      <c r="BC785" s="1555"/>
      <c r="BD785" s="1555"/>
      <c r="BE785" s="1555"/>
      <c r="BF785" s="1555"/>
      <c r="BG785" s="1555"/>
      <c r="BH785" s="1555"/>
      <c r="BI785" s="1555"/>
      <c r="BJ785" s="1555"/>
      <c r="BK785" s="1555"/>
      <c r="BL785" s="1555"/>
      <c r="BM785" s="1555"/>
      <c r="BN785" s="327"/>
      <c r="BO785" s="1679"/>
      <c r="BP785" s="1316"/>
      <c r="BQ785" s="1555"/>
      <c r="BR785" s="1680">
        <f t="shared" si="280"/>
        <v>1080</v>
      </c>
      <c r="BS785" s="1680"/>
      <c r="BT785" s="1555"/>
      <c r="BU785" s="1555"/>
      <c r="BV785" s="1679"/>
      <c r="BW785" s="1555"/>
      <c r="BX785" s="1555"/>
      <c r="BY785" s="1555"/>
      <c r="BZ785" s="1555"/>
      <c r="CA785" s="1555"/>
      <c r="CB785" s="1555"/>
      <c r="CC785" s="1555"/>
      <c r="CD785" s="1218">
        <f t="shared" si="268"/>
        <v>1080</v>
      </c>
      <c r="CE785" s="1218">
        <f t="shared" si="269"/>
        <v>0</v>
      </c>
      <c r="CF785" s="502">
        <f t="shared" si="270"/>
        <v>0</v>
      </c>
      <c r="CG785" s="1218">
        <f t="shared" si="266"/>
        <v>0</v>
      </c>
      <c r="CH785" s="1680"/>
      <c r="CI785" s="1680"/>
      <c r="CJ785" s="1680"/>
      <c r="CK785" s="1555"/>
      <c r="CL785" s="1555"/>
      <c r="CM785" s="1180"/>
      <c r="CN785" s="1180"/>
      <c r="CO785" s="1180"/>
      <c r="CP785" s="1180"/>
      <c r="CQ785" s="1180"/>
      <c r="CR785" s="1180"/>
      <c r="CS785" s="1180"/>
      <c r="CT785" s="1180"/>
      <c r="CU785" s="1180"/>
      <c r="CV785" s="1180"/>
      <c r="CW785" s="1180"/>
      <c r="CX785" s="1180"/>
      <c r="CY785" s="1180"/>
      <c r="CZ785" s="1180"/>
      <c r="DA785" s="1180"/>
      <c r="DB785" s="1180"/>
      <c r="DC785" s="1180"/>
      <c r="DD785" s="1180"/>
      <c r="DE785" s="1180"/>
      <c r="DF785" s="1180"/>
      <c r="DG785" s="1180"/>
    </row>
    <row r="786" s="293" customFormat="1" customHeight="1" spans="1:111">
      <c r="A786" s="1670">
        <v>46196</v>
      </c>
      <c r="B786" s="1552" t="s">
        <v>1950</v>
      </c>
      <c r="C786" s="1553" t="s">
        <v>115</v>
      </c>
      <c r="D786" s="1554">
        <v>4500213080</v>
      </c>
      <c r="E786" s="1621">
        <v>45380599</v>
      </c>
      <c r="F786" s="1555" t="s">
        <v>3196</v>
      </c>
      <c r="G786" s="1556" t="s">
        <v>146</v>
      </c>
      <c r="H786" s="1553" t="s">
        <v>104</v>
      </c>
      <c r="I786" s="1557">
        <v>10500</v>
      </c>
      <c r="J786" s="1553">
        <v>0</v>
      </c>
      <c r="K786" s="1553">
        <v>25</v>
      </c>
      <c r="L786" s="1675">
        <f t="shared" si="260"/>
        <v>420</v>
      </c>
      <c r="M786" s="1545">
        <v>46255</v>
      </c>
      <c r="N786" s="1416">
        <v>46256</v>
      </c>
      <c r="O786" s="1545"/>
      <c r="P786" s="1621"/>
      <c r="Q786" s="1621"/>
      <c r="R786" s="1553" t="s">
        <v>3197</v>
      </c>
      <c r="S786" s="1553"/>
      <c r="T786" s="1621"/>
      <c r="U786" s="500">
        <f t="shared" si="267"/>
        <v>-10500</v>
      </c>
      <c r="V786" s="1553"/>
      <c r="W786" s="1300" t="s">
        <v>3198</v>
      </c>
      <c r="X786" s="1301" t="s">
        <v>95</v>
      </c>
      <c r="Y786" s="1301" t="s">
        <v>95</v>
      </c>
      <c r="Z786" s="544"/>
      <c r="AA786" s="1552"/>
      <c r="AB786" s="1552"/>
      <c r="AC786" s="1552" t="s">
        <v>3199</v>
      </c>
      <c r="AD786" s="1416" t="s">
        <v>1955</v>
      </c>
      <c r="AE786" s="1681">
        <v>0.6586</v>
      </c>
      <c r="AF786" s="1696">
        <f>I786*AE786</f>
        <v>6915.3</v>
      </c>
      <c r="AG786" s="1684"/>
      <c r="AH786" s="504" t="s">
        <v>146</v>
      </c>
      <c r="AI786" s="488" t="s">
        <v>112</v>
      </c>
      <c r="AJ786" s="498" t="s">
        <v>113</v>
      </c>
      <c r="AK786" s="1555">
        <f t="shared" si="277"/>
        <v>10500</v>
      </c>
      <c r="AL786" s="1555"/>
      <c r="AM786" s="1555"/>
      <c r="AN786" s="1420">
        <f>I786</f>
        <v>10500</v>
      </c>
      <c r="AO786" s="502"/>
      <c r="AP786" s="502"/>
      <c r="AQ786" s="1296"/>
      <c r="AR786" s="438"/>
      <c r="AS786" s="1297"/>
      <c r="AT786" s="1297"/>
      <c r="AU786" s="327">
        <f t="shared" si="279"/>
        <v>10500</v>
      </c>
      <c r="AV786" s="1678"/>
      <c r="AW786" s="1318"/>
      <c r="AX786" s="1555"/>
      <c r="AY786" s="1555"/>
      <c r="AZ786" s="327"/>
      <c r="BA786" s="327"/>
      <c r="BB786" s="1555"/>
      <c r="BC786" s="1555"/>
      <c r="BD786" s="1555"/>
      <c r="BE786" s="1555"/>
      <c r="BF786" s="1555"/>
      <c r="BG786" s="1555"/>
      <c r="BH786" s="1555"/>
      <c r="BI786" s="1555"/>
      <c r="BJ786" s="1555"/>
      <c r="BK786" s="1555"/>
      <c r="BL786" s="1555"/>
      <c r="BM786" s="1555"/>
      <c r="BN786" s="1614">
        <f>I786/25</f>
        <v>420</v>
      </c>
      <c r="BO786" s="1679"/>
      <c r="BP786" s="1679"/>
      <c r="BQ786" s="1555"/>
      <c r="BR786" s="1680"/>
      <c r="BS786" s="1680"/>
      <c r="BT786" s="1555"/>
      <c r="BU786" s="1555"/>
      <c r="BV786" s="1679"/>
      <c r="BW786" s="1555"/>
      <c r="BX786" s="1555"/>
      <c r="BY786" s="1555"/>
      <c r="BZ786" s="1555"/>
      <c r="CA786" s="1555"/>
      <c r="CB786" s="1555"/>
      <c r="CC786" s="1555"/>
      <c r="CD786" s="1218">
        <f t="shared" si="268"/>
        <v>420</v>
      </c>
      <c r="CE786" s="1218">
        <f t="shared" si="269"/>
        <v>0</v>
      </c>
      <c r="CF786" s="502">
        <f t="shared" si="270"/>
        <v>0</v>
      </c>
      <c r="CG786" s="1218">
        <f t="shared" si="266"/>
        <v>0</v>
      </c>
      <c r="CH786" s="1680"/>
      <c r="CI786" s="1680"/>
      <c r="CJ786" s="1680"/>
      <c r="CK786" s="1555"/>
      <c r="CL786" s="1555"/>
      <c r="CM786" s="1180"/>
      <c r="CN786" s="1180"/>
      <c r="CO786" s="1180"/>
      <c r="CP786" s="1180"/>
      <c r="CQ786" s="1180"/>
      <c r="CR786" s="1180"/>
      <c r="CS786" s="1180"/>
      <c r="CT786" s="1180"/>
      <c r="CU786" s="1180"/>
      <c r="CV786" s="1180"/>
      <c r="CW786" s="1180"/>
      <c r="CX786" s="1180"/>
      <c r="CY786" s="1180"/>
      <c r="CZ786" s="1180"/>
      <c r="DA786" s="1180"/>
      <c r="DB786" s="1180"/>
      <c r="DC786" s="1180"/>
      <c r="DD786" s="1180"/>
      <c r="DE786" s="1180"/>
      <c r="DF786" s="1180"/>
      <c r="DG786" s="1180"/>
    </row>
    <row r="787" s="293" customFormat="1" customHeight="1" spans="1:111">
      <c r="A787" s="1309">
        <v>46205</v>
      </c>
      <c r="B787" s="544" t="s">
        <v>2123</v>
      </c>
      <c r="C787" s="488" t="s">
        <v>2124</v>
      </c>
      <c r="D787" s="1445">
        <v>4500214846</v>
      </c>
      <c r="E787" s="488"/>
      <c r="F787" s="327" t="s">
        <v>3200</v>
      </c>
      <c r="G787" s="1310" t="s">
        <v>389</v>
      </c>
      <c r="H787" s="488" t="s">
        <v>390</v>
      </c>
      <c r="I787" s="1311">
        <v>2124</v>
      </c>
      <c r="J787" s="488">
        <v>0</v>
      </c>
      <c r="K787" s="488">
        <v>12</v>
      </c>
      <c r="L787" s="1544">
        <f t="shared" si="260"/>
        <v>177</v>
      </c>
      <c r="M787" s="1312">
        <v>46256</v>
      </c>
      <c r="N787" s="1323">
        <v>46254</v>
      </c>
      <c r="O787" s="1312"/>
      <c r="P787" s="1313"/>
      <c r="Q787" s="1313"/>
      <c r="R787" s="488"/>
      <c r="S787" s="488"/>
      <c r="T787" s="1313"/>
      <c r="U787" s="500">
        <f t="shared" si="267"/>
        <v>-2124</v>
      </c>
      <c r="V787" s="488"/>
      <c r="W787" s="1300">
        <v>46205</v>
      </c>
      <c r="X787" s="1294" t="s">
        <v>95</v>
      </c>
      <c r="Y787" s="1301" t="s">
        <v>95</v>
      </c>
      <c r="Z787" s="544"/>
      <c r="AA787" s="544"/>
      <c r="AB787" s="544"/>
      <c r="AC787" s="1533" t="s">
        <v>3201</v>
      </c>
      <c r="AD787" s="1312" t="s">
        <v>222</v>
      </c>
      <c r="AE787" s="327">
        <v>2.5332</v>
      </c>
      <c r="AF787" s="1315">
        <f>I787*AE787</f>
        <v>5380.5168</v>
      </c>
      <c r="AG787" s="1295"/>
      <c r="AH787" s="488" t="s">
        <v>389</v>
      </c>
      <c r="AI787" s="488" t="s">
        <v>112</v>
      </c>
      <c r="AJ787" s="498" t="s">
        <v>113</v>
      </c>
      <c r="AK787" s="327">
        <f>I787*2</f>
        <v>4248</v>
      </c>
      <c r="AL787" s="327"/>
      <c r="AM787" s="327"/>
      <c r="AN787" s="1418">
        <f>I787</f>
        <v>2124</v>
      </c>
      <c r="AO787" s="502"/>
      <c r="AP787" s="502"/>
      <c r="AQ787" s="1296"/>
      <c r="AR787" s="438"/>
      <c r="AS787" s="1297"/>
      <c r="AT787" s="1297"/>
      <c r="AU787" s="502">
        <f t="shared" si="279"/>
        <v>2124</v>
      </c>
      <c r="AV787" s="1318"/>
      <c r="AW787" s="1318"/>
      <c r="AX787" s="327"/>
      <c r="AY787" s="327"/>
      <c r="AZ787" s="327"/>
      <c r="BA787" s="327"/>
      <c r="BB787" s="327"/>
      <c r="BC787" s="327"/>
      <c r="BD787" s="327"/>
      <c r="BE787" s="327"/>
      <c r="BF787" s="327"/>
      <c r="BG787" s="327"/>
      <c r="BH787" s="327"/>
      <c r="BI787" s="327"/>
      <c r="BJ787" s="327"/>
      <c r="BK787" s="327"/>
      <c r="BL787" s="327"/>
      <c r="BM787" s="327"/>
      <c r="BN787" s="327"/>
      <c r="BO787" s="1316"/>
      <c r="BP787" s="1316"/>
      <c r="BQ787" s="327"/>
      <c r="BR787" s="1317"/>
      <c r="BS787" s="1317"/>
      <c r="BT787" s="327"/>
      <c r="BU787" s="327"/>
      <c r="BV787" s="1316"/>
      <c r="BW787" s="327"/>
      <c r="BX787" s="327"/>
      <c r="BY787" s="327"/>
      <c r="BZ787" s="327"/>
      <c r="CA787" s="327"/>
      <c r="CB787" s="327"/>
      <c r="CC787" s="327"/>
      <c r="CD787" s="1218">
        <f t="shared" si="268"/>
        <v>0</v>
      </c>
      <c r="CE787" s="1218">
        <f t="shared" si="269"/>
        <v>0</v>
      </c>
      <c r="CF787" s="502">
        <f t="shared" si="270"/>
        <v>0</v>
      </c>
      <c r="CG787" s="1218">
        <f t="shared" si="266"/>
        <v>0</v>
      </c>
      <c r="CH787" s="1317"/>
      <c r="CI787" s="1317"/>
      <c r="CJ787" s="1297">
        <f>I787</f>
        <v>2124</v>
      </c>
      <c r="CK787" s="502">
        <f>I787</f>
        <v>2124</v>
      </c>
      <c r="CL787" s="502">
        <f>I787</f>
        <v>2124</v>
      </c>
      <c r="CM787" s="1180"/>
      <c r="CN787" s="1180"/>
      <c r="CO787" s="1180"/>
      <c r="CP787" s="1180"/>
      <c r="CQ787" s="1180"/>
      <c r="CR787" s="1180"/>
      <c r="CS787" s="1180"/>
      <c r="CT787" s="1180"/>
      <c r="CU787" s="1180"/>
      <c r="CV787" s="1180"/>
      <c r="CW787" s="1180"/>
      <c r="CX787" s="1180"/>
      <c r="CY787" s="1180"/>
      <c r="CZ787" s="1180"/>
      <c r="DA787" s="1180"/>
      <c r="DB787" s="1180"/>
      <c r="DC787" s="1180"/>
      <c r="DD787" s="1180"/>
      <c r="DE787" s="1180"/>
      <c r="DF787" s="1180"/>
      <c r="DG787" s="1180"/>
    </row>
    <row r="788" s="293" customFormat="1" customHeight="1" spans="1:111">
      <c r="A788" s="1289">
        <v>46205</v>
      </c>
      <c r="B788" s="543" t="s">
        <v>2123</v>
      </c>
      <c r="C788" s="504" t="s">
        <v>2124</v>
      </c>
      <c r="D788" s="1305">
        <v>4500214846</v>
      </c>
      <c r="E788" s="504" t="s">
        <v>628</v>
      </c>
      <c r="F788" s="502" t="s">
        <v>3202</v>
      </c>
      <c r="G788" s="505" t="s">
        <v>803</v>
      </c>
      <c r="H788" s="504" t="s">
        <v>804</v>
      </c>
      <c r="I788" s="1290">
        <v>1002</v>
      </c>
      <c r="J788" s="504">
        <v>0</v>
      </c>
      <c r="K788" s="504">
        <v>6</v>
      </c>
      <c r="L788" s="1291">
        <f t="shared" si="260"/>
        <v>167</v>
      </c>
      <c r="M788" s="1365">
        <v>46256</v>
      </c>
      <c r="N788" s="1365">
        <f>M788-2</f>
        <v>46254</v>
      </c>
      <c r="O788" s="501"/>
      <c r="P788" s="506"/>
      <c r="Q788" s="506"/>
      <c r="R788" s="504"/>
      <c r="S788" s="504"/>
      <c r="T788" s="506"/>
      <c r="U788" s="500">
        <f t="shared" si="267"/>
        <v>-1002</v>
      </c>
      <c r="V788" s="504"/>
      <c r="W788" s="1300">
        <v>46205</v>
      </c>
      <c r="X788" s="1301" t="s">
        <v>95</v>
      </c>
      <c r="Y788" s="1301" t="s">
        <v>95</v>
      </c>
      <c r="Z788" s="543" t="s">
        <v>360</v>
      </c>
      <c r="AA788" s="544"/>
      <c r="AB788" s="543"/>
      <c r="AC788" s="1697" t="s">
        <v>3203</v>
      </c>
      <c r="AD788" s="1586" t="s">
        <v>222</v>
      </c>
      <c r="AE788" s="1601">
        <v>7.7731</v>
      </c>
      <c r="AF788" s="503">
        <f>AE788*I788</f>
        <v>7788.6462</v>
      </c>
      <c r="AG788" s="1295"/>
      <c r="AH788" s="1234" t="s">
        <v>806</v>
      </c>
      <c r="AI788" s="488" t="s">
        <v>112</v>
      </c>
      <c r="AJ788" s="498" t="s">
        <v>113</v>
      </c>
      <c r="AK788" s="327">
        <f>I788*2</f>
        <v>2004</v>
      </c>
      <c r="AL788" s="502"/>
      <c r="AM788" s="1218"/>
      <c r="AN788" s="1418">
        <f>I788</f>
        <v>1002</v>
      </c>
      <c r="AO788" s="502"/>
      <c r="AP788" s="502"/>
      <c r="AQ788" s="1296"/>
      <c r="AR788" s="438"/>
      <c r="AS788" s="1297"/>
      <c r="AT788" s="1297"/>
      <c r="AU788" s="502">
        <f t="shared" si="279"/>
        <v>1002</v>
      </c>
      <c r="AV788" s="1298"/>
      <c r="AW788" s="1298"/>
      <c r="AX788" s="502"/>
      <c r="AY788" s="502"/>
      <c r="AZ788" s="502"/>
      <c r="BA788" s="502"/>
      <c r="BB788" s="502"/>
      <c r="BC788" s="502"/>
      <c r="BD788" s="502"/>
      <c r="BE788" s="502"/>
      <c r="BF788" s="502"/>
      <c r="BG788" s="502"/>
      <c r="BH788" s="502"/>
      <c r="BI788" s="502"/>
      <c r="BJ788" s="502"/>
      <c r="BK788" s="502"/>
      <c r="BL788" s="502"/>
      <c r="BM788" s="502"/>
      <c r="BN788" s="502"/>
      <c r="BO788" s="1296"/>
      <c r="BP788" s="1296"/>
      <c r="BQ788" s="1218"/>
      <c r="BR788" s="1297"/>
      <c r="BS788" s="1297"/>
      <c r="BT788" s="502"/>
      <c r="BU788" s="502"/>
      <c r="BV788" s="1296"/>
      <c r="BW788" s="1218"/>
      <c r="BX788" s="1218"/>
      <c r="BY788" s="1218"/>
      <c r="BZ788" s="1218"/>
      <c r="CA788" s="1218"/>
      <c r="CB788" s="1218"/>
      <c r="CC788" s="1218"/>
      <c r="CD788" s="1218">
        <f t="shared" si="268"/>
        <v>0</v>
      </c>
      <c r="CE788" s="1218">
        <f t="shared" si="269"/>
        <v>0</v>
      </c>
      <c r="CF788" s="502">
        <f t="shared" si="270"/>
        <v>0</v>
      </c>
      <c r="CG788" s="1218">
        <f t="shared" si="266"/>
        <v>0</v>
      </c>
      <c r="CH788" s="1299"/>
      <c r="CI788" s="1299"/>
      <c r="CJ788" s="1297"/>
      <c r="CK788" s="502"/>
      <c r="CL788" s="502"/>
    </row>
    <row r="789" s="294" customFormat="1" customHeight="1" spans="1:111">
      <c r="A789" s="1289">
        <v>46205</v>
      </c>
      <c r="B789" s="543" t="s">
        <v>3204</v>
      </c>
      <c r="C789" s="504" t="s">
        <v>2124</v>
      </c>
      <c r="D789" s="1305">
        <v>4500214857</v>
      </c>
      <c r="E789" s="504" t="s">
        <v>628</v>
      </c>
      <c r="F789" s="502" t="s">
        <v>3205</v>
      </c>
      <c r="G789" s="505" t="s">
        <v>188</v>
      </c>
      <c r="H789" s="504" t="s">
        <v>138</v>
      </c>
      <c r="I789" s="1290">
        <v>1500</v>
      </c>
      <c r="J789" s="504">
        <v>0</v>
      </c>
      <c r="K789" s="504">
        <v>50</v>
      </c>
      <c r="L789" s="1291">
        <f t="shared" si="260"/>
        <v>30</v>
      </c>
      <c r="M789" s="501">
        <v>46258</v>
      </c>
      <c r="N789" s="1365">
        <v>46254</v>
      </c>
      <c r="O789" s="501"/>
      <c r="P789" s="506"/>
      <c r="Q789" s="506"/>
      <c r="R789" s="504"/>
      <c r="S789" s="504"/>
      <c r="T789" s="506"/>
      <c r="U789" s="500">
        <f t="shared" si="267"/>
        <v>-1500</v>
      </c>
      <c r="V789" s="504"/>
      <c r="W789" s="1300">
        <v>46205</v>
      </c>
      <c r="X789" s="1294" t="s">
        <v>95</v>
      </c>
      <c r="Y789" s="1294" t="s">
        <v>95</v>
      </c>
      <c r="Z789" s="544"/>
      <c r="AA789" s="544"/>
      <c r="AB789" s="543"/>
      <c r="AC789" s="544" t="s">
        <v>3206</v>
      </c>
      <c r="AD789" s="501" t="s">
        <v>2332</v>
      </c>
      <c r="AE789" s="502">
        <v>1.1174</v>
      </c>
      <c r="AF789" s="503">
        <f>AE789*I789</f>
        <v>1676.1</v>
      </c>
      <c r="AG789" s="1295"/>
      <c r="AH789" s="504" t="s">
        <v>188</v>
      </c>
      <c r="AI789" s="488" t="s">
        <v>112</v>
      </c>
      <c r="AJ789" s="498" t="s">
        <v>113</v>
      </c>
      <c r="AK789" s="327">
        <f>I789</f>
        <v>1500</v>
      </c>
      <c r="AL789" s="502"/>
      <c r="AM789" s="1218"/>
      <c r="AN789" s="1418">
        <f>I789</f>
        <v>1500</v>
      </c>
      <c r="AO789" s="502"/>
      <c r="AP789" s="502"/>
      <c r="AQ789" s="1296"/>
      <c r="AR789" s="438"/>
      <c r="AS789" s="1297"/>
      <c r="AT789" s="1297"/>
      <c r="AU789" s="502">
        <f t="shared" si="279"/>
        <v>1500</v>
      </c>
      <c r="AV789" s="1298"/>
      <c r="AW789" s="1298"/>
      <c r="AX789" s="502"/>
      <c r="AY789" s="502"/>
      <c r="AZ789" s="502"/>
      <c r="BA789" s="502"/>
      <c r="BB789" s="502"/>
      <c r="BC789" s="502"/>
      <c r="BD789" s="502"/>
      <c r="BE789" s="502"/>
      <c r="BF789" s="502"/>
      <c r="BG789" s="502"/>
      <c r="BH789" s="502"/>
      <c r="BI789" s="502"/>
      <c r="BJ789" s="502"/>
      <c r="BK789" s="502"/>
      <c r="BL789" s="502"/>
      <c r="BM789" s="502"/>
      <c r="BN789" s="1418">
        <f>I789/25</f>
        <v>60</v>
      </c>
      <c r="BO789" s="1296"/>
      <c r="BP789" s="1296"/>
      <c r="BQ789" s="1218"/>
      <c r="BR789" s="1297"/>
      <c r="BS789" s="1297"/>
      <c r="BT789" s="502"/>
      <c r="BU789" s="502"/>
      <c r="BV789" s="1296"/>
      <c r="BW789" s="1218"/>
      <c r="BX789" s="1218"/>
      <c r="BY789" s="1218"/>
      <c r="BZ789" s="1218"/>
      <c r="CA789" s="1218"/>
      <c r="CB789" s="1218"/>
      <c r="CC789" s="1218"/>
      <c r="CD789" s="1218">
        <f t="shared" si="268"/>
        <v>60</v>
      </c>
      <c r="CE789" s="1218">
        <f t="shared" si="269"/>
        <v>0</v>
      </c>
      <c r="CF789" s="502">
        <f t="shared" si="270"/>
        <v>0</v>
      </c>
      <c r="CG789" s="1218">
        <f t="shared" si="266"/>
        <v>0</v>
      </c>
      <c r="CH789" s="1299"/>
      <c r="CI789" s="1299"/>
      <c r="CJ789" s="1297"/>
      <c r="CK789" s="502"/>
      <c r="CL789" s="502"/>
      <c r="CM789" s="293"/>
      <c r="CN789" s="293"/>
      <c r="CO789" s="293"/>
      <c r="CP789" s="293"/>
      <c r="CQ789" s="293"/>
      <c r="CR789" s="293"/>
      <c r="CS789" s="293"/>
      <c r="CT789" s="293"/>
      <c r="CU789" s="293"/>
      <c r="CV789" s="293"/>
      <c r="CW789" s="293"/>
      <c r="CX789" s="293"/>
      <c r="CY789" s="293"/>
      <c r="CZ789" s="293"/>
      <c r="DA789" s="293"/>
      <c r="DB789" s="293"/>
      <c r="DC789" s="293"/>
      <c r="DD789" s="293"/>
      <c r="DE789" s="293"/>
      <c r="DF789" s="293"/>
      <c r="DG789" s="293"/>
    </row>
    <row r="790" s="1177" customFormat="1" customHeight="1" spans="1:111">
      <c r="A790" s="1309">
        <v>46217</v>
      </c>
      <c r="B790" s="544" t="s">
        <v>264</v>
      </c>
      <c r="C790" s="488" t="s">
        <v>265</v>
      </c>
      <c r="D790" s="1445">
        <v>4500216448</v>
      </c>
      <c r="E790" s="1313">
        <v>4400561423</v>
      </c>
      <c r="F790" s="327" t="s">
        <v>3207</v>
      </c>
      <c r="G790" s="1310" t="s">
        <v>270</v>
      </c>
      <c r="H790" s="504" t="s">
        <v>104</v>
      </c>
      <c r="I790" s="1311">
        <v>3000</v>
      </c>
      <c r="J790" s="488">
        <v>0</v>
      </c>
      <c r="K790" s="488">
        <v>25</v>
      </c>
      <c r="L790" s="1544">
        <f t="shared" si="260"/>
        <v>120</v>
      </c>
      <c r="M790" s="1312">
        <v>46258</v>
      </c>
      <c r="N790" s="1312">
        <v>46254</v>
      </c>
      <c r="O790" s="1312"/>
      <c r="P790" s="1313" t="s">
        <v>3208</v>
      </c>
      <c r="Q790" s="1313"/>
      <c r="R790" s="488" t="s">
        <v>1368</v>
      </c>
      <c r="S790" s="488"/>
      <c r="T790" s="1313"/>
      <c r="U790" s="500">
        <f t="shared" si="267"/>
        <v>-3000</v>
      </c>
      <c r="V790" s="488"/>
      <c r="W790" s="1300">
        <v>46185</v>
      </c>
      <c r="X790" s="1294" t="s">
        <v>95</v>
      </c>
      <c r="Y790" s="1294" t="s">
        <v>1794</v>
      </c>
      <c r="Z790" s="544" t="s">
        <v>140</v>
      </c>
      <c r="AA790" s="544"/>
      <c r="AB790" s="544" t="s">
        <v>2870</v>
      </c>
      <c r="AC790" s="544" t="s">
        <v>2834</v>
      </c>
      <c r="AD790" s="1312" t="s">
        <v>1142</v>
      </c>
      <c r="AE790" s="327">
        <v>1.1085</v>
      </c>
      <c r="AF790" s="1315">
        <f>I790*AE790</f>
        <v>3325.5</v>
      </c>
      <c r="AG790" s="1295"/>
      <c r="AH790" s="488" t="s">
        <v>270</v>
      </c>
      <c r="AI790" s="488" t="s">
        <v>112</v>
      </c>
      <c r="AJ790" s="498" t="s">
        <v>113</v>
      </c>
      <c r="AK790" s="327">
        <f>I790</f>
        <v>3000</v>
      </c>
      <c r="AL790" s="327"/>
      <c r="AM790" s="327"/>
      <c r="AN790" s="327"/>
      <c r="AO790" s="327"/>
      <c r="AP790" s="327"/>
      <c r="AQ790" s="1316"/>
      <c r="AR790" s="327"/>
      <c r="AS790" s="1317"/>
      <c r="AT790" s="1317"/>
      <c r="AU790" s="327"/>
      <c r="AV790" s="1318">
        <f>I790*0.06</f>
        <v>180</v>
      </c>
      <c r="AW790" s="1318"/>
      <c r="AX790" s="327"/>
      <c r="AY790" s="327"/>
      <c r="AZ790" s="327"/>
      <c r="BA790" s="327"/>
      <c r="BB790" s="327"/>
      <c r="BC790" s="327"/>
      <c r="BD790" s="327"/>
      <c r="BE790" s="327"/>
      <c r="BF790" s="327"/>
      <c r="BG790" s="327">
        <f>I790</f>
        <v>3000</v>
      </c>
      <c r="BH790" s="327">
        <f>I790</f>
        <v>3000</v>
      </c>
      <c r="BI790" s="327"/>
      <c r="BJ790" s="327"/>
      <c r="BK790" s="327"/>
      <c r="BL790" s="327"/>
      <c r="BM790" s="327"/>
      <c r="BN790" s="327"/>
      <c r="BO790" s="1698">
        <f>I790/25</f>
        <v>120</v>
      </c>
      <c r="BP790" s="1316"/>
      <c r="BQ790" s="327"/>
      <c r="BR790" s="1317"/>
      <c r="BS790" s="327"/>
      <c r="BT790" s="327"/>
      <c r="BU790" s="327"/>
      <c r="BV790" s="1316"/>
      <c r="BW790" s="327"/>
      <c r="BX790" s="327"/>
      <c r="BY790" s="327"/>
      <c r="BZ790" s="327"/>
      <c r="CA790" s="327"/>
      <c r="CB790" s="327"/>
      <c r="CC790" s="327"/>
      <c r="CD790" s="1218">
        <f t="shared" si="268"/>
        <v>120</v>
      </c>
      <c r="CE790" s="1218">
        <f t="shared" si="269"/>
        <v>0</v>
      </c>
      <c r="CF790" s="502">
        <f t="shared" si="270"/>
        <v>0</v>
      </c>
      <c r="CG790" s="1218">
        <f t="shared" si="266"/>
        <v>0</v>
      </c>
      <c r="CH790" s="1317"/>
      <c r="CI790" s="1317"/>
      <c r="CJ790" s="1317"/>
      <c r="CK790" s="327"/>
      <c r="CL790" s="327"/>
    </row>
    <row r="791" s="1180" customFormat="1" customHeight="1" spans="1:111">
      <c r="A791" s="1289">
        <v>46217</v>
      </c>
      <c r="B791" s="1417" t="s">
        <v>1243</v>
      </c>
      <c r="C791" s="1434" t="s">
        <v>291</v>
      </c>
      <c r="D791" s="1435">
        <v>4500216463</v>
      </c>
      <c r="E791" s="1434"/>
      <c r="F791" s="1437" t="s">
        <v>3209</v>
      </c>
      <c r="G791" s="1438" t="s">
        <v>146</v>
      </c>
      <c r="H791" s="1434" t="s">
        <v>104</v>
      </c>
      <c r="I791" s="1439">
        <v>37325</v>
      </c>
      <c r="J791" s="1434">
        <v>0</v>
      </c>
      <c r="K791" s="1434">
        <v>25</v>
      </c>
      <c r="L791" s="1291">
        <f t="shared" si="260"/>
        <v>1493</v>
      </c>
      <c r="M791" s="501">
        <v>46258</v>
      </c>
      <c r="N791" s="1323">
        <v>46256</v>
      </c>
      <c r="O791" s="507"/>
      <c r="P791" s="506"/>
      <c r="Q791" s="506"/>
      <c r="R791" s="504"/>
      <c r="S791" s="504"/>
      <c r="T791" s="506"/>
      <c r="U791" s="500">
        <f t="shared" si="267"/>
        <v>-37325</v>
      </c>
      <c r="V791" s="504"/>
      <c r="W791" s="1300">
        <v>46237</v>
      </c>
      <c r="X791" s="1301" t="s">
        <v>95</v>
      </c>
      <c r="Y791" s="1301" t="s">
        <v>3210</v>
      </c>
      <c r="Z791" s="544" t="s">
        <v>3211</v>
      </c>
      <c r="AA791" s="544"/>
      <c r="AB791" s="543"/>
      <c r="AC791" s="1552" t="s">
        <v>3212</v>
      </c>
      <c r="AD791" s="507" t="s">
        <v>450</v>
      </c>
      <c r="AE791" s="502">
        <v>1.0676</v>
      </c>
      <c r="AF791" s="503">
        <f>I791*AE791</f>
        <v>39848.17</v>
      </c>
      <c r="AG791" s="1295"/>
      <c r="AH791" s="504" t="s">
        <v>111</v>
      </c>
      <c r="AI791" s="488" t="s">
        <v>112</v>
      </c>
      <c r="AJ791" s="498" t="s">
        <v>113</v>
      </c>
      <c r="AK791" s="327">
        <f>I791</f>
        <v>37325</v>
      </c>
      <c r="AL791" s="502"/>
      <c r="AM791" s="1218"/>
      <c r="AN791" s="502"/>
      <c r="AO791" s="502"/>
      <c r="AP791" s="502">
        <f>I791</f>
        <v>37325</v>
      </c>
      <c r="AQ791" s="1296"/>
      <c r="AR791" s="438"/>
      <c r="AS791" s="1297"/>
      <c r="AT791" s="1297"/>
      <c r="AU791" s="502">
        <f>I791</f>
        <v>37325</v>
      </c>
      <c r="AV791" s="1298"/>
      <c r="AW791" s="1298"/>
      <c r="AX791" s="502"/>
      <c r="AY791" s="502"/>
      <c r="AZ791" s="502"/>
      <c r="BA791" s="502"/>
      <c r="BB791" s="502"/>
      <c r="BC791" s="502"/>
      <c r="BD791" s="502"/>
      <c r="BE791" s="502"/>
      <c r="BF791" s="502"/>
      <c r="BG791" s="502"/>
      <c r="BH791" s="502"/>
      <c r="BI791" s="502"/>
      <c r="BJ791" s="502"/>
      <c r="BK791" s="502"/>
      <c r="BL791" s="502"/>
      <c r="BM791" s="502"/>
      <c r="BN791" s="502"/>
      <c r="BO791" s="1296">
        <f>I791/25</f>
        <v>1493</v>
      </c>
      <c r="BP791" s="1296"/>
      <c r="BQ791" s="1218"/>
      <c r="BR791" s="1297"/>
      <c r="BS791" s="1297"/>
      <c r="BT791" s="502"/>
      <c r="BU791" s="502"/>
      <c r="BV791" s="1296"/>
      <c r="BW791" s="1218"/>
      <c r="BX791" s="1218"/>
      <c r="BY791" s="1218"/>
      <c r="BZ791" s="1218"/>
      <c r="CA791" s="1218"/>
      <c r="CB791" s="1218"/>
      <c r="CC791" s="1218"/>
      <c r="CD791" s="1218">
        <f t="shared" si="268"/>
        <v>1493</v>
      </c>
      <c r="CE791" s="1218">
        <f t="shared" si="269"/>
        <v>0</v>
      </c>
      <c r="CF791" s="502">
        <f t="shared" si="270"/>
        <v>0</v>
      </c>
      <c r="CG791" s="1218">
        <f t="shared" si="266"/>
        <v>0</v>
      </c>
      <c r="CH791" s="1299"/>
      <c r="CI791" s="1299"/>
      <c r="CJ791" s="1297"/>
      <c r="CK791" s="502"/>
      <c r="CL791" s="502"/>
      <c r="CM791" s="294"/>
      <c r="CN791" s="294"/>
      <c r="CO791" s="294"/>
      <c r="CP791" s="294"/>
      <c r="CQ791" s="294"/>
      <c r="CR791" s="294"/>
      <c r="CS791" s="294"/>
      <c r="CT791" s="294"/>
      <c r="CU791" s="294"/>
      <c r="CV791" s="294"/>
      <c r="CW791" s="294"/>
      <c r="CX791" s="294"/>
      <c r="CY791" s="294"/>
      <c r="CZ791" s="294"/>
      <c r="DA791" s="294"/>
      <c r="DB791" s="294"/>
      <c r="DC791" s="294"/>
      <c r="DD791" s="294"/>
      <c r="DE791" s="294"/>
      <c r="DF791" s="294"/>
      <c r="DG791" s="294"/>
    </row>
    <row r="792" s="293" customFormat="1" customHeight="1" spans="1:111">
      <c r="A792" s="1670">
        <v>46217</v>
      </c>
      <c r="B792" s="1552" t="s">
        <v>134</v>
      </c>
      <c r="C792" s="1553" t="s">
        <v>135</v>
      </c>
      <c r="D792" s="1555">
        <v>4500216454</v>
      </c>
      <c r="E792" s="1621">
        <v>4400577339</v>
      </c>
      <c r="F792" s="1555" t="s">
        <v>3213</v>
      </c>
      <c r="G792" s="1556" t="s">
        <v>270</v>
      </c>
      <c r="H792" s="1434" t="s">
        <v>104</v>
      </c>
      <c r="I792" s="1557">
        <v>59150</v>
      </c>
      <c r="J792" s="1553">
        <v>0</v>
      </c>
      <c r="K792" s="1553">
        <v>25</v>
      </c>
      <c r="L792" s="1675">
        <f t="shared" si="260"/>
        <v>2366</v>
      </c>
      <c r="M792" s="1545">
        <v>46258</v>
      </c>
      <c r="N792" s="1416">
        <v>46256</v>
      </c>
      <c r="O792" s="1545"/>
      <c r="P792" s="1621" t="s">
        <v>3214</v>
      </c>
      <c r="Q792" s="1621"/>
      <c r="R792" s="1553" t="s">
        <v>1368</v>
      </c>
      <c r="S792" s="1553"/>
      <c r="T792" s="1621"/>
      <c r="U792" s="500">
        <f t="shared" si="267"/>
        <v>-59150</v>
      </c>
      <c r="V792" s="1553"/>
      <c r="W792" s="1300">
        <v>46185</v>
      </c>
      <c r="X792" s="1294" t="s">
        <v>95</v>
      </c>
      <c r="Y792" s="1294" t="s">
        <v>1794</v>
      </c>
      <c r="Z792" s="544" t="s">
        <v>140</v>
      </c>
      <c r="AA792" s="1552"/>
      <c r="AB792" s="1552" t="s">
        <v>2870</v>
      </c>
      <c r="AC792" s="1552" t="s">
        <v>3215</v>
      </c>
      <c r="AD792" s="1545" t="s">
        <v>1142</v>
      </c>
      <c r="AE792" s="1555">
        <v>1.0485</v>
      </c>
      <c r="AF792" s="1677">
        <f>I792*AE792</f>
        <v>62018.775</v>
      </c>
      <c r="AG792" s="1610"/>
      <c r="AH792" s="488" t="s">
        <v>270</v>
      </c>
      <c r="AI792" s="1553" t="s">
        <v>112</v>
      </c>
      <c r="AJ792" s="498" t="s">
        <v>113</v>
      </c>
      <c r="AK792" s="327">
        <f>I792</f>
        <v>59150</v>
      </c>
      <c r="AL792" s="1555"/>
      <c r="AM792" s="1555"/>
      <c r="AN792" s="327"/>
      <c r="AO792" s="1555"/>
      <c r="AP792" s="1555"/>
      <c r="AQ792" s="1679"/>
      <c r="AR792" s="1555"/>
      <c r="AS792" s="1680"/>
      <c r="AT792" s="1680"/>
      <c r="AU792" s="1555"/>
      <c r="AV792" s="1678">
        <f>I792*0.06</f>
        <v>3549</v>
      </c>
      <c r="AW792" s="1678"/>
      <c r="AX792" s="1555"/>
      <c r="AY792" s="1555"/>
      <c r="AZ792" s="1555"/>
      <c r="BA792" s="1555"/>
      <c r="BB792" s="1555"/>
      <c r="BC792" s="1555"/>
      <c r="BD792" s="1555"/>
      <c r="BE792" s="1555"/>
      <c r="BF792" s="1555"/>
      <c r="BG792" s="1555">
        <f>I792</f>
        <v>59150</v>
      </c>
      <c r="BH792" s="1555">
        <f>I792</f>
        <v>59150</v>
      </c>
      <c r="BI792" s="1555"/>
      <c r="BJ792" s="1555"/>
      <c r="BK792" s="327"/>
      <c r="BL792" s="1555"/>
      <c r="BM792" s="1555"/>
      <c r="BN792" s="1555"/>
      <c r="BO792" s="1699">
        <f>I792/25</f>
        <v>2366</v>
      </c>
      <c r="BP792" s="1316"/>
      <c r="BQ792" s="1555"/>
      <c r="BR792" s="1680"/>
      <c r="BS792" s="1680"/>
      <c r="BT792" s="1555"/>
      <c r="BU792" s="1555"/>
      <c r="BV792" s="1679"/>
      <c r="BW792" s="1555"/>
      <c r="BX792" s="1555"/>
      <c r="BY792" s="1555"/>
      <c r="BZ792" s="1555"/>
      <c r="CA792" s="1555"/>
      <c r="CB792" s="1555"/>
      <c r="CC792" s="1555"/>
      <c r="CD792" s="1218">
        <f t="shared" si="268"/>
        <v>2366</v>
      </c>
      <c r="CE792" s="1218">
        <f t="shared" si="269"/>
        <v>0</v>
      </c>
      <c r="CF792" s="502">
        <f t="shared" si="270"/>
        <v>0</v>
      </c>
      <c r="CG792" s="1218">
        <f t="shared" si="266"/>
        <v>0</v>
      </c>
      <c r="CH792" s="1680"/>
      <c r="CI792" s="1680"/>
      <c r="CJ792" s="1680"/>
      <c r="CK792" s="1555"/>
      <c r="CL792" s="1555"/>
      <c r="CM792" s="1177"/>
      <c r="CN792" s="1177"/>
      <c r="CO792" s="1177"/>
      <c r="CP792" s="1177"/>
      <c r="CQ792" s="1177"/>
      <c r="CR792" s="1177"/>
      <c r="CS792" s="1177"/>
      <c r="CT792" s="1177"/>
      <c r="CU792" s="1177"/>
      <c r="CV792" s="1177"/>
      <c r="CW792" s="1177"/>
      <c r="CX792" s="1177"/>
      <c r="CY792" s="1177"/>
      <c r="CZ792" s="1177"/>
      <c r="DA792" s="1177"/>
      <c r="DB792" s="1177"/>
      <c r="DC792" s="1177"/>
      <c r="DD792" s="1177"/>
      <c r="DE792" s="1177"/>
      <c r="DF792" s="1177"/>
      <c r="DG792" s="1177"/>
    </row>
    <row r="793" s="1170" customFormat="1" customHeight="1" spans="1:111">
      <c r="A793" s="1396">
        <v>46196</v>
      </c>
      <c r="B793" s="1447" t="s">
        <v>3216</v>
      </c>
      <c r="C793" s="1448" t="s">
        <v>2712</v>
      </c>
      <c r="D793" s="1457">
        <v>4500213304</v>
      </c>
      <c r="E793" s="1448"/>
      <c r="F793" s="1450" t="s">
        <v>3217</v>
      </c>
      <c r="G793" s="1451" t="s">
        <v>146</v>
      </c>
      <c r="H793" s="498" t="s">
        <v>104</v>
      </c>
      <c r="I793" s="1452">
        <v>3000</v>
      </c>
      <c r="J793" s="1448">
        <v>0</v>
      </c>
      <c r="K793" s="1448">
        <v>25</v>
      </c>
      <c r="L793" s="1400">
        <f t="shared" si="260"/>
        <v>120</v>
      </c>
      <c r="M793" s="1444">
        <v>46258</v>
      </c>
      <c r="N793" s="1458">
        <v>46256</v>
      </c>
      <c r="O793" s="1444"/>
      <c r="P793" s="500"/>
      <c r="Q793" s="500" t="s">
        <v>1410</v>
      </c>
      <c r="R793" s="498" t="s">
        <v>3218</v>
      </c>
      <c r="S793" s="498"/>
      <c r="T793" s="500">
        <v>3000</v>
      </c>
      <c r="U793" s="500">
        <f t="shared" si="267"/>
        <v>0</v>
      </c>
      <c r="V793" s="498"/>
      <c r="W793" s="1431">
        <v>46196</v>
      </c>
      <c r="X793" s="1432" t="s">
        <v>95</v>
      </c>
      <c r="Y793" s="1432" t="s">
        <v>3219</v>
      </c>
      <c r="Z793" s="1397"/>
      <c r="AA793" s="1397"/>
      <c r="AB793" s="1397"/>
      <c r="AC793" s="1674" t="s">
        <v>3220</v>
      </c>
      <c r="AD793" s="1458" t="s">
        <v>722</v>
      </c>
      <c r="AE793" s="1644">
        <v>1.1085</v>
      </c>
      <c r="AF793" s="1645">
        <f>I793*AE793</f>
        <v>3325.5</v>
      </c>
      <c r="AG793" s="1368"/>
      <c r="AH793" s="498" t="s">
        <v>111</v>
      </c>
      <c r="AI793" s="498" t="s">
        <v>112</v>
      </c>
      <c r="AJ793" s="498" t="s">
        <v>113</v>
      </c>
      <c r="AK793" s="496">
        <f>I793</f>
        <v>3000</v>
      </c>
      <c r="AL793" s="496"/>
      <c r="AM793" s="496"/>
      <c r="AN793" s="496"/>
      <c r="AO793" s="496"/>
      <c r="AP793" s="496">
        <f>I793</f>
        <v>3000</v>
      </c>
      <c r="AQ793" s="1407"/>
      <c r="AR793" s="496"/>
      <c r="AS793" s="1408"/>
      <c r="AT793" s="1408"/>
      <c r="AU793" s="496">
        <f>I793</f>
        <v>3000</v>
      </c>
      <c r="AV793" s="1409"/>
      <c r="AW793" s="1409"/>
      <c r="AX793" s="496"/>
      <c r="AY793" s="496"/>
      <c r="AZ793" s="496"/>
      <c r="BA793" s="496"/>
      <c r="BB793" s="496"/>
      <c r="BC793" s="496"/>
      <c r="BD793" s="496"/>
      <c r="BE793" s="496"/>
      <c r="BF793" s="496"/>
      <c r="BG793" s="496"/>
      <c r="BH793" s="496"/>
      <c r="BI793" s="496"/>
      <c r="BJ793" s="496"/>
      <c r="BK793" s="496"/>
      <c r="BL793" s="496"/>
      <c r="BM793" s="496"/>
      <c r="BN793" s="496"/>
      <c r="BO793" s="1407">
        <f>I793/25</f>
        <v>120</v>
      </c>
      <c r="BP793" s="1407"/>
      <c r="BQ793" s="496"/>
      <c r="BR793" s="1408"/>
      <c r="BS793" s="1408"/>
      <c r="BT793" s="496"/>
      <c r="BU793" s="496"/>
      <c r="BV793" s="1407"/>
      <c r="BW793" s="496"/>
      <c r="BX793" s="496"/>
      <c r="BY793" s="496"/>
      <c r="BZ793" s="496"/>
      <c r="CA793" s="496"/>
      <c r="CB793" s="496"/>
      <c r="CC793" s="496"/>
      <c r="CD793" s="496">
        <f t="shared" si="268"/>
        <v>120</v>
      </c>
      <c r="CE793" s="496">
        <f t="shared" si="269"/>
        <v>0</v>
      </c>
      <c r="CF793" s="496">
        <f t="shared" si="270"/>
        <v>0</v>
      </c>
      <c r="CG793" s="496">
        <f t="shared" si="266"/>
        <v>0</v>
      </c>
      <c r="CH793" s="1408"/>
      <c r="CI793" s="1408"/>
      <c r="CJ793" s="1408"/>
      <c r="CK793" s="496"/>
      <c r="CL793" s="496"/>
    </row>
    <row r="794" s="293" customFormat="1" customHeight="1" spans="1:111">
      <c r="A794" s="1289">
        <v>46199</v>
      </c>
      <c r="B794" s="1417" t="s">
        <v>3140</v>
      </c>
      <c r="C794" s="1434" t="s">
        <v>608</v>
      </c>
      <c r="D794" s="1435">
        <v>4500213979</v>
      </c>
      <c r="E794" s="1434" t="s">
        <v>628</v>
      </c>
      <c r="F794" s="1437" t="s">
        <v>3221</v>
      </c>
      <c r="G794" s="1438" t="s">
        <v>803</v>
      </c>
      <c r="H794" s="504" t="s">
        <v>804</v>
      </c>
      <c r="I794" s="1439">
        <v>1200</v>
      </c>
      <c r="J794" s="1434">
        <v>0</v>
      </c>
      <c r="K794" s="1434">
        <v>6</v>
      </c>
      <c r="L794" s="1291">
        <f t="shared" si="260"/>
        <v>200</v>
      </c>
      <c r="M794" s="1440">
        <v>46258</v>
      </c>
      <c r="N794" s="1440">
        <f>M794-2</f>
        <v>46256</v>
      </c>
      <c r="O794" s="501"/>
      <c r="P794" s="506"/>
      <c r="Q794" s="506"/>
      <c r="R794" s="504"/>
      <c r="S794" s="504"/>
      <c r="T794" s="506"/>
      <c r="U794" s="500">
        <f t="shared" si="267"/>
        <v>-1200</v>
      </c>
      <c r="V794" s="504"/>
      <c r="W794" s="1300" t="s">
        <v>2719</v>
      </c>
      <c r="X794" s="1301" t="s">
        <v>107</v>
      </c>
      <c r="Y794" s="1301" t="s">
        <v>3222</v>
      </c>
      <c r="Z794" s="544"/>
      <c r="AA794" s="544"/>
      <c r="AB794" s="543"/>
      <c r="AC794" s="1552" t="s">
        <v>3223</v>
      </c>
      <c r="AD794" s="1440" t="s">
        <v>1148</v>
      </c>
      <c r="AE794" s="1366">
        <v>8.15</v>
      </c>
      <c r="AF794" s="1367">
        <f>AE794*I794</f>
        <v>9780</v>
      </c>
      <c r="AG794" s="1368"/>
      <c r="AH794" s="488" t="s">
        <v>952</v>
      </c>
      <c r="AI794" s="488" t="s">
        <v>112</v>
      </c>
      <c r="AJ794" s="498" t="s">
        <v>113</v>
      </c>
      <c r="AK794" s="327">
        <f>I794*2</f>
        <v>2400</v>
      </c>
      <c r="AL794" s="502"/>
      <c r="AM794" s="1218"/>
      <c r="AN794" s="502"/>
      <c r="AO794" s="502"/>
      <c r="AP794" s="502">
        <f>I794*2</f>
        <v>2400</v>
      </c>
      <c r="AQ794" s="1296"/>
      <c r="AR794" s="438"/>
      <c r="AS794" s="1297"/>
      <c r="AT794" s="1297"/>
      <c r="AU794" s="327">
        <f>I794*2</f>
        <v>2400</v>
      </c>
      <c r="AV794" s="1298"/>
      <c r="AW794" s="1298"/>
      <c r="AX794" s="502"/>
      <c r="AY794" s="502"/>
      <c r="AZ794" s="502"/>
      <c r="BA794" s="502"/>
      <c r="BB794" s="502"/>
      <c r="BC794" s="502"/>
      <c r="BD794" s="502"/>
      <c r="BE794" s="502"/>
      <c r="BF794" s="502"/>
      <c r="BG794" s="502"/>
      <c r="BH794" s="502"/>
      <c r="BI794" s="502"/>
      <c r="BJ794" s="502"/>
      <c r="BK794" s="502"/>
      <c r="BL794" s="502"/>
      <c r="BM794" s="502"/>
      <c r="BN794" s="502"/>
      <c r="BO794" s="1296"/>
      <c r="BP794" s="1296"/>
      <c r="BQ794" s="1218"/>
      <c r="BR794" s="1297"/>
      <c r="BS794" s="1297"/>
      <c r="BT794" s="502"/>
      <c r="BU794" s="502"/>
      <c r="BV794" s="1296"/>
      <c r="BW794" s="1218"/>
      <c r="BX794" s="1218"/>
      <c r="BY794" s="1218"/>
      <c r="BZ794" s="1218"/>
      <c r="CA794" s="1218"/>
      <c r="CB794" s="1218"/>
      <c r="CC794" s="1218"/>
      <c r="CD794" s="1218">
        <f t="shared" si="268"/>
        <v>0</v>
      </c>
      <c r="CE794" s="1218">
        <f t="shared" si="269"/>
        <v>0</v>
      </c>
      <c r="CF794" s="502">
        <f t="shared" si="270"/>
        <v>0</v>
      </c>
      <c r="CG794" s="1218">
        <f t="shared" si="266"/>
        <v>0</v>
      </c>
      <c r="CH794" s="1299"/>
      <c r="CI794" s="1299"/>
      <c r="CJ794" s="1297"/>
      <c r="CK794" s="502"/>
      <c r="CL794" s="502"/>
    </row>
    <row r="795" s="294" customFormat="1" customHeight="1" spans="1:111">
      <c r="A795" s="1309">
        <v>46212</v>
      </c>
      <c r="B795" s="1552" t="s">
        <v>346</v>
      </c>
      <c r="C795" s="1553" t="s">
        <v>115</v>
      </c>
      <c r="D795" s="1555">
        <v>4500215861</v>
      </c>
      <c r="E795" s="1902" t="s">
        <v>3224</v>
      </c>
      <c r="F795" s="1555" t="s">
        <v>3225</v>
      </c>
      <c r="G795" s="1556" t="s">
        <v>1016</v>
      </c>
      <c r="H795" s="488" t="s">
        <v>350</v>
      </c>
      <c r="I795" s="1557">
        <v>23040</v>
      </c>
      <c r="J795" s="1553">
        <v>0</v>
      </c>
      <c r="K795" s="1553">
        <v>960</v>
      </c>
      <c r="L795" s="1544">
        <f t="shared" si="260"/>
        <v>24</v>
      </c>
      <c r="M795" s="1545">
        <v>46258</v>
      </c>
      <c r="N795" s="1416">
        <f>M795-2</f>
        <v>46256</v>
      </c>
      <c r="O795" s="1312"/>
      <c r="P795" s="1313" t="s">
        <v>3226</v>
      </c>
      <c r="Q795" s="1313"/>
      <c r="R795" s="488"/>
      <c r="S795" s="488"/>
      <c r="T795" s="1313"/>
      <c r="U795" s="500">
        <f t="shared" si="267"/>
        <v>-23040</v>
      </c>
      <c r="V795" s="488"/>
      <c r="W795" s="1300" t="s">
        <v>1572</v>
      </c>
      <c r="X795" s="1301" t="s">
        <v>95</v>
      </c>
      <c r="Y795" s="1301" t="s">
        <v>3185</v>
      </c>
      <c r="Z795" s="544"/>
      <c r="AA795" s="544"/>
      <c r="AB795" s="544"/>
      <c r="AC795" s="1552" t="s">
        <v>2396</v>
      </c>
      <c r="AD795" s="1545" t="s">
        <v>354</v>
      </c>
      <c r="AE795" s="327">
        <v>654.7304</v>
      </c>
      <c r="AF795" s="1315">
        <f>AE795*L795</f>
        <v>15713.5296</v>
      </c>
      <c r="AG795" s="1295"/>
      <c r="AH795" s="1310" t="s">
        <v>356</v>
      </c>
      <c r="AI795" s="488" t="s">
        <v>112</v>
      </c>
      <c r="AJ795" s="498" t="s">
        <v>113</v>
      </c>
      <c r="AK795" s="327">
        <f t="shared" ref="AK795:AK800" si="281">I795</f>
        <v>23040</v>
      </c>
      <c r="AL795" s="327"/>
      <c r="AM795" s="327"/>
      <c r="AN795" s="327"/>
      <c r="AO795" s="502"/>
      <c r="AP795" s="502"/>
      <c r="AQ795" s="1296"/>
      <c r="AR795" s="438"/>
      <c r="AS795" s="1297"/>
      <c r="AT795" s="1297">
        <f>I795</f>
        <v>23040</v>
      </c>
      <c r="AU795" s="327">
        <f>I795</f>
        <v>23040</v>
      </c>
      <c r="AV795" s="1318"/>
      <c r="AW795" s="1318"/>
      <c r="AX795" s="327"/>
      <c r="AY795" s="327"/>
      <c r="AZ795" s="327"/>
      <c r="BA795" s="327"/>
      <c r="BB795" s="327"/>
      <c r="BC795" s="327"/>
      <c r="BD795" s="327"/>
      <c r="BE795" s="327"/>
      <c r="BF795" s="327"/>
      <c r="BG795" s="327"/>
      <c r="BH795" s="327"/>
      <c r="BI795" s="327"/>
      <c r="BJ795" s="327"/>
      <c r="BK795" s="327"/>
      <c r="BL795" s="327"/>
      <c r="BM795" s="327"/>
      <c r="BN795" s="327"/>
      <c r="BO795" s="1316"/>
      <c r="BP795" s="1316"/>
      <c r="BQ795" s="327"/>
      <c r="BR795" s="1317">
        <f>I795/16</f>
        <v>1440</v>
      </c>
      <c r="BS795" s="1317"/>
      <c r="BT795" s="327"/>
      <c r="BU795" s="327"/>
      <c r="BV795" s="1316"/>
      <c r="BW795" s="327"/>
      <c r="BX795" s="327"/>
      <c r="BY795" s="327"/>
      <c r="BZ795" s="327"/>
      <c r="CA795" s="327"/>
      <c r="CB795" s="327"/>
      <c r="CC795" s="327"/>
      <c r="CD795" s="1218">
        <f t="shared" si="268"/>
        <v>1440</v>
      </c>
      <c r="CE795" s="1218">
        <f t="shared" si="269"/>
        <v>0</v>
      </c>
      <c r="CF795" s="502">
        <f t="shared" si="270"/>
        <v>0</v>
      </c>
      <c r="CG795" s="1218">
        <f t="shared" si="266"/>
        <v>0</v>
      </c>
      <c r="CH795" s="1317"/>
      <c r="CI795" s="1317"/>
      <c r="CJ795" s="1317"/>
      <c r="CK795" s="327"/>
      <c r="CL795" s="327"/>
      <c r="CM795" s="1180"/>
      <c r="CN795" s="1180"/>
      <c r="CO795" s="1180"/>
      <c r="CP795" s="1180"/>
      <c r="CQ795" s="1180"/>
      <c r="CR795" s="1180"/>
      <c r="CS795" s="1180"/>
      <c r="CT795" s="1180"/>
      <c r="CU795" s="1180"/>
      <c r="CV795" s="1180"/>
      <c r="CW795" s="1180"/>
      <c r="CX795" s="1180"/>
      <c r="CY795" s="1180"/>
      <c r="CZ795" s="1180"/>
      <c r="DA795" s="1180"/>
      <c r="DB795" s="1180"/>
      <c r="DC795" s="1180"/>
      <c r="DD795" s="1180"/>
      <c r="DE795" s="1180"/>
      <c r="DF795" s="1180"/>
      <c r="DG795" s="1180"/>
    </row>
    <row r="796" s="293" customFormat="1" customHeight="1" spans="1:111">
      <c r="A796" s="1309">
        <v>46212</v>
      </c>
      <c r="B796" s="1552" t="s">
        <v>346</v>
      </c>
      <c r="C796" s="1553" t="s">
        <v>115</v>
      </c>
      <c r="D796" s="1555">
        <v>4500215861</v>
      </c>
      <c r="E796" s="1902" t="s">
        <v>3227</v>
      </c>
      <c r="F796" s="1555" t="s">
        <v>3228</v>
      </c>
      <c r="G796" s="1556" t="s">
        <v>1016</v>
      </c>
      <c r="H796" s="1553" t="s">
        <v>350</v>
      </c>
      <c r="I796" s="1557">
        <v>25920</v>
      </c>
      <c r="J796" s="1553">
        <v>0</v>
      </c>
      <c r="K796" s="1553">
        <v>960</v>
      </c>
      <c r="L796" s="1544">
        <f t="shared" si="260"/>
        <v>27</v>
      </c>
      <c r="M796" s="1545">
        <v>46258</v>
      </c>
      <c r="N796" s="1416">
        <f>M796-2</f>
        <v>46256</v>
      </c>
      <c r="O796" s="1545"/>
      <c r="P796" s="1313" t="s">
        <v>3226</v>
      </c>
      <c r="Q796" s="1313"/>
      <c r="R796" s="488"/>
      <c r="S796" s="488"/>
      <c r="T796" s="1313"/>
      <c r="U796" s="500">
        <f t="shared" si="267"/>
        <v>-25920</v>
      </c>
      <c r="V796" s="488" t="s">
        <v>120</v>
      </c>
      <c r="W796" s="1300" t="s">
        <v>1572</v>
      </c>
      <c r="X796" s="1301" t="s">
        <v>95</v>
      </c>
      <c r="Y796" s="1301" t="s">
        <v>2801</v>
      </c>
      <c r="Z796" s="544"/>
      <c r="AA796" s="544"/>
      <c r="AB796" s="544"/>
      <c r="AC796" s="1552" t="s">
        <v>2396</v>
      </c>
      <c r="AD796" s="1545" t="s">
        <v>354</v>
      </c>
      <c r="AE796" s="327">
        <v>654.7304</v>
      </c>
      <c r="AF796" s="1315">
        <f>AE796*L796</f>
        <v>17677.7208</v>
      </c>
      <c r="AG796" s="1295"/>
      <c r="AH796" s="1310" t="s">
        <v>356</v>
      </c>
      <c r="AI796" s="488" t="s">
        <v>112</v>
      </c>
      <c r="AJ796" s="498" t="s">
        <v>113</v>
      </c>
      <c r="AK796" s="327">
        <f t="shared" si="281"/>
        <v>25920</v>
      </c>
      <c r="AL796" s="327"/>
      <c r="AM796" s="327"/>
      <c r="AN796" s="327"/>
      <c r="AO796" s="502"/>
      <c r="AP796" s="502"/>
      <c r="AQ796" s="1296"/>
      <c r="AR796" s="438"/>
      <c r="AS796" s="1297"/>
      <c r="AT796" s="1297">
        <f>I796</f>
        <v>25920</v>
      </c>
      <c r="AU796" s="327">
        <f>I796</f>
        <v>25920</v>
      </c>
      <c r="AV796" s="1298">
        <f>I796*0.06</f>
        <v>1555.2</v>
      </c>
      <c r="AW796" s="1318"/>
      <c r="AX796" s="327"/>
      <c r="AY796" s="327"/>
      <c r="AZ796" s="327"/>
      <c r="BA796" s="327"/>
      <c r="BB796" s="327"/>
      <c r="BC796" s="327"/>
      <c r="BD796" s="327"/>
      <c r="BE796" s="327"/>
      <c r="BF796" s="327"/>
      <c r="BG796" s="327"/>
      <c r="BH796" s="327"/>
      <c r="BI796" s="327"/>
      <c r="BJ796" s="327"/>
      <c r="BK796" s="327"/>
      <c r="BL796" s="327"/>
      <c r="BM796" s="327"/>
      <c r="BN796" s="327"/>
      <c r="BO796" s="1316"/>
      <c r="BP796" s="1316"/>
      <c r="BQ796" s="327"/>
      <c r="BR796" s="1317">
        <f>I796/16</f>
        <v>1620</v>
      </c>
      <c r="BS796" s="1317"/>
      <c r="BT796" s="327"/>
      <c r="BU796" s="327"/>
      <c r="BV796" s="1316"/>
      <c r="BW796" s="327"/>
      <c r="BX796" s="327"/>
      <c r="BY796" s="327"/>
      <c r="BZ796" s="327"/>
      <c r="CA796" s="327"/>
      <c r="CB796" s="327"/>
      <c r="CC796" s="327"/>
      <c r="CD796" s="1218">
        <f t="shared" si="268"/>
        <v>1620</v>
      </c>
      <c r="CE796" s="1218">
        <f t="shared" si="269"/>
        <v>0</v>
      </c>
      <c r="CF796" s="502">
        <f t="shared" si="270"/>
        <v>0</v>
      </c>
      <c r="CG796" s="1218">
        <f t="shared" si="266"/>
        <v>0</v>
      </c>
      <c r="CH796" s="1317"/>
      <c r="CI796" s="1317"/>
      <c r="CJ796" s="1317"/>
      <c r="CK796" s="327"/>
      <c r="CL796" s="327"/>
      <c r="CM796" s="1180"/>
      <c r="CN796" s="1180"/>
      <c r="CO796" s="1180"/>
      <c r="CP796" s="1180"/>
      <c r="CQ796" s="1180"/>
      <c r="CR796" s="1180"/>
      <c r="CS796" s="1180"/>
      <c r="CT796" s="1180"/>
      <c r="CU796" s="1180"/>
      <c r="CV796" s="1180"/>
      <c r="CW796" s="1180"/>
      <c r="CX796" s="1180"/>
      <c r="CY796" s="1180"/>
      <c r="CZ796" s="1180"/>
      <c r="DA796" s="1180"/>
      <c r="DB796" s="1180"/>
      <c r="DC796" s="1180"/>
      <c r="DD796" s="1180"/>
      <c r="DE796" s="1180"/>
      <c r="DF796" s="1180"/>
      <c r="DG796" s="1180"/>
    </row>
    <row r="797" s="293" customFormat="1" customHeight="1" spans="1:111">
      <c r="A797" s="1309">
        <v>46212</v>
      </c>
      <c r="B797" s="1552" t="s">
        <v>346</v>
      </c>
      <c r="C797" s="1553" t="s">
        <v>115</v>
      </c>
      <c r="D797" s="1555">
        <v>4500215861</v>
      </c>
      <c r="E797" s="1902" t="s">
        <v>3229</v>
      </c>
      <c r="F797" s="1555" t="s">
        <v>3230</v>
      </c>
      <c r="G797" s="1556" t="s">
        <v>1016</v>
      </c>
      <c r="H797" s="1553" t="s">
        <v>350</v>
      </c>
      <c r="I797" s="1557">
        <v>28800</v>
      </c>
      <c r="J797" s="1553">
        <v>0</v>
      </c>
      <c r="K797" s="1553">
        <v>960</v>
      </c>
      <c r="L797" s="1544">
        <f t="shared" si="260"/>
        <v>30</v>
      </c>
      <c r="M797" s="1545">
        <v>46258</v>
      </c>
      <c r="N797" s="1416">
        <f>M797-2</f>
        <v>46256</v>
      </c>
      <c r="O797" s="1545"/>
      <c r="P797" s="1313" t="s">
        <v>3226</v>
      </c>
      <c r="Q797" s="1313"/>
      <c r="R797" s="488"/>
      <c r="S797" s="488"/>
      <c r="T797" s="1313"/>
      <c r="U797" s="500">
        <f t="shared" si="267"/>
        <v>-28800</v>
      </c>
      <c r="V797" s="488" t="s">
        <v>120</v>
      </c>
      <c r="W797" s="1300" t="s">
        <v>1572</v>
      </c>
      <c r="X797" s="1301" t="s">
        <v>95</v>
      </c>
      <c r="Y797" s="1301" t="s">
        <v>2801</v>
      </c>
      <c r="Z797" s="544"/>
      <c r="AA797" s="544"/>
      <c r="AB797" s="544"/>
      <c r="AC797" s="1552" t="s">
        <v>2396</v>
      </c>
      <c r="AD797" s="1545" t="s">
        <v>354</v>
      </c>
      <c r="AE797" s="327">
        <v>654.7303</v>
      </c>
      <c r="AF797" s="1315">
        <f>AE797*L797</f>
        <v>19641.909</v>
      </c>
      <c r="AG797" s="1295"/>
      <c r="AH797" s="1310" t="s">
        <v>356</v>
      </c>
      <c r="AI797" s="488" t="s">
        <v>112</v>
      </c>
      <c r="AJ797" s="498" t="s">
        <v>113</v>
      </c>
      <c r="AK797" s="327">
        <f t="shared" si="281"/>
        <v>28800</v>
      </c>
      <c r="AL797" s="327"/>
      <c r="AM797" s="327"/>
      <c r="AN797" s="327"/>
      <c r="AO797" s="502"/>
      <c r="AP797" s="502"/>
      <c r="AQ797" s="1296"/>
      <c r="AR797" s="438"/>
      <c r="AS797" s="1297"/>
      <c r="AT797" s="1297">
        <f>I797</f>
        <v>28800</v>
      </c>
      <c r="AU797" s="327">
        <f>I797</f>
        <v>28800</v>
      </c>
      <c r="AV797" s="1298">
        <f>I797*0.06</f>
        <v>1728</v>
      </c>
      <c r="AW797" s="1318"/>
      <c r="AX797" s="327"/>
      <c r="AY797" s="327"/>
      <c r="AZ797" s="327"/>
      <c r="BA797" s="327"/>
      <c r="BB797" s="327"/>
      <c r="BC797" s="327"/>
      <c r="BD797" s="327"/>
      <c r="BE797" s="327"/>
      <c r="BF797" s="327"/>
      <c r="BG797" s="327"/>
      <c r="BH797" s="327"/>
      <c r="BI797" s="327"/>
      <c r="BJ797" s="327"/>
      <c r="BK797" s="327"/>
      <c r="BL797" s="327"/>
      <c r="BM797" s="327"/>
      <c r="BN797" s="327"/>
      <c r="BO797" s="1316"/>
      <c r="BP797" s="1316"/>
      <c r="BQ797" s="327"/>
      <c r="BR797" s="1317">
        <f>I797/16</f>
        <v>1800</v>
      </c>
      <c r="BS797" s="1317"/>
      <c r="BT797" s="327"/>
      <c r="BU797" s="327"/>
      <c r="BV797" s="1316"/>
      <c r="BW797" s="327"/>
      <c r="BX797" s="327"/>
      <c r="BY797" s="327"/>
      <c r="BZ797" s="327"/>
      <c r="CA797" s="327"/>
      <c r="CB797" s="327"/>
      <c r="CC797" s="327"/>
      <c r="CD797" s="1218">
        <f t="shared" si="268"/>
        <v>1800</v>
      </c>
      <c r="CE797" s="1218">
        <f t="shared" si="269"/>
        <v>0</v>
      </c>
      <c r="CF797" s="502">
        <f t="shared" si="270"/>
        <v>0</v>
      </c>
      <c r="CG797" s="1218">
        <f t="shared" si="266"/>
        <v>0</v>
      </c>
      <c r="CH797" s="1317"/>
      <c r="CI797" s="1317"/>
      <c r="CJ797" s="1317"/>
      <c r="CK797" s="327"/>
      <c r="CL797" s="327"/>
      <c r="CM797" s="1180"/>
      <c r="CN797" s="1180"/>
      <c r="CO797" s="1180"/>
      <c r="CP797" s="1180"/>
      <c r="CQ797" s="1180"/>
      <c r="CR797" s="1180"/>
      <c r="CS797" s="1180"/>
      <c r="CT797" s="1180"/>
      <c r="CU797" s="1180"/>
      <c r="CV797" s="1180"/>
      <c r="CW797" s="1180"/>
      <c r="CX797" s="1180"/>
      <c r="CY797" s="1180"/>
      <c r="CZ797" s="1180"/>
      <c r="DA797" s="1180"/>
      <c r="DB797" s="1180"/>
      <c r="DC797" s="1180"/>
      <c r="DD797" s="1180"/>
      <c r="DE797" s="1180"/>
      <c r="DF797" s="1180"/>
      <c r="DG797" s="1180"/>
    </row>
    <row r="798" s="293" customFormat="1" customHeight="1" spans="1:111">
      <c r="A798" s="1289">
        <v>46203</v>
      </c>
      <c r="B798" s="1417" t="s">
        <v>521</v>
      </c>
      <c r="C798" s="1434" t="s">
        <v>101</v>
      </c>
      <c r="D798" s="1435">
        <v>4500208584</v>
      </c>
      <c r="E798" s="1436">
        <v>21894315</v>
      </c>
      <c r="F798" s="1437" t="s">
        <v>3231</v>
      </c>
      <c r="G798" s="1700" t="s">
        <v>3232</v>
      </c>
      <c r="H798" s="504" t="s">
        <v>194</v>
      </c>
      <c r="I798" s="1439">
        <v>1508</v>
      </c>
      <c r="J798" s="1434">
        <v>0</v>
      </c>
      <c r="K798" s="1434">
        <v>13</v>
      </c>
      <c r="L798" s="1291">
        <f t="shared" si="260"/>
        <v>116</v>
      </c>
      <c r="M798" s="507">
        <v>46258</v>
      </c>
      <c r="N798" s="1440">
        <v>46259</v>
      </c>
      <c r="O798" s="507"/>
      <c r="P798" s="506"/>
      <c r="Q798" s="506"/>
      <c r="R798" s="504"/>
      <c r="S798" s="504"/>
      <c r="T798" s="506"/>
      <c r="U798" s="1313">
        <f t="shared" si="267"/>
        <v>-1508</v>
      </c>
      <c r="V798" s="504"/>
      <c r="W798" s="1300" t="s">
        <v>2965</v>
      </c>
      <c r="X798" s="1325" t="s">
        <v>107</v>
      </c>
      <c r="Y798" s="1301" t="s">
        <v>3233</v>
      </c>
      <c r="Z798" s="1701" t="s">
        <v>360</v>
      </c>
      <c r="AA798" s="544"/>
      <c r="AB798" s="543"/>
      <c r="AC798" s="1552" t="s">
        <v>3234</v>
      </c>
      <c r="AD798" s="507" t="s">
        <v>362</v>
      </c>
      <c r="AE798" s="502">
        <v>1.1186</v>
      </c>
      <c r="AF798" s="503">
        <f>AE798*I798</f>
        <v>1686.8488</v>
      </c>
      <c r="AG798" s="1295"/>
      <c r="AH798" s="488" t="s">
        <v>510</v>
      </c>
      <c r="AI798" s="488" t="s">
        <v>112</v>
      </c>
      <c r="AJ798" s="498" t="s">
        <v>113</v>
      </c>
      <c r="AK798" s="502">
        <f t="shared" si="281"/>
        <v>1508</v>
      </c>
      <c r="AL798" s="502"/>
      <c r="AM798" s="1218"/>
      <c r="AN798" s="1418">
        <f>I798</f>
        <v>1508</v>
      </c>
      <c r="AO798" s="502"/>
      <c r="AP798" s="502"/>
      <c r="AQ798" s="1296"/>
      <c r="AR798" s="438"/>
      <c r="AS798" s="1297"/>
      <c r="AT798" s="1297"/>
      <c r="AU798" s="502"/>
      <c r="AV798" s="1298">
        <f>I798*0.06*2</f>
        <v>180.96</v>
      </c>
      <c r="AW798" s="1298"/>
      <c r="AX798" s="327">
        <f t="shared" ref="AX798:AX803" si="282">I798</f>
        <v>1508</v>
      </c>
      <c r="AY798" s="1218"/>
      <c r="AZ798" s="502"/>
      <c r="BA798" s="502"/>
      <c r="BB798" s="502"/>
      <c r="BC798" s="502"/>
      <c r="BD798" s="502"/>
      <c r="BE798" s="502"/>
      <c r="BF798" s="502"/>
      <c r="BG798" s="502"/>
      <c r="BH798" s="502"/>
      <c r="BI798" s="502"/>
      <c r="BJ798" s="502"/>
      <c r="BK798" s="502"/>
      <c r="BL798" s="502"/>
      <c r="BM798" s="502"/>
      <c r="BN798" s="502"/>
      <c r="BO798" s="1296"/>
      <c r="BP798" s="1296"/>
      <c r="BQ798" s="1218"/>
      <c r="BR798" s="1297"/>
      <c r="BS798" s="1297"/>
      <c r="BT798" s="502"/>
      <c r="BU798" s="502"/>
      <c r="BV798" s="1296"/>
      <c r="BW798" s="1218"/>
      <c r="BX798" s="1218"/>
      <c r="BY798" s="1218"/>
      <c r="BZ798" s="1218"/>
      <c r="CA798" s="1218"/>
      <c r="CB798" s="1218"/>
      <c r="CC798" s="1218"/>
      <c r="CD798" s="1218">
        <f t="shared" si="268"/>
        <v>0</v>
      </c>
      <c r="CE798" s="1218">
        <f t="shared" si="269"/>
        <v>0</v>
      </c>
      <c r="CF798" s="502">
        <f t="shared" si="270"/>
        <v>0</v>
      </c>
      <c r="CG798" s="1218">
        <f t="shared" si="266"/>
        <v>0</v>
      </c>
      <c r="CH798" s="1299"/>
      <c r="CI798" s="1299"/>
      <c r="CJ798" s="1297"/>
      <c r="CK798" s="502"/>
      <c r="CL798" s="502"/>
    </row>
    <row r="799" s="293" customFormat="1" customHeight="1" spans="1:111">
      <c r="A799" s="1606">
        <v>46171</v>
      </c>
      <c r="B799" s="1417" t="s">
        <v>3235</v>
      </c>
      <c r="C799" s="1434" t="s">
        <v>101</v>
      </c>
      <c r="D799" s="1435">
        <v>4500208584</v>
      </c>
      <c r="E799" s="1436">
        <v>21798813</v>
      </c>
      <c r="F799" s="1437" t="s">
        <v>3236</v>
      </c>
      <c r="G799" s="1700" t="s">
        <v>3232</v>
      </c>
      <c r="H799" s="1434" t="s">
        <v>194</v>
      </c>
      <c r="I799" s="1439">
        <v>208</v>
      </c>
      <c r="J799" s="1434">
        <v>0</v>
      </c>
      <c r="K799" s="1434">
        <v>13</v>
      </c>
      <c r="L799" s="1607">
        <f t="shared" si="260"/>
        <v>16</v>
      </c>
      <c r="M799" s="501">
        <v>46258</v>
      </c>
      <c r="N799" s="1365">
        <v>46259</v>
      </c>
      <c r="O799" s="507"/>
      <c r="P799" s="506"/>
      <c r="Q799" s="1436"/>
      <c r="R799" s="1434"/>
      <c r="S799" s="1434"/>
      <c r="T799" s="1436"/>
      <c r="U799" s="1313">
        <f t="shared" si="267"/>
        <v>-208</v>
      </c>
      <c r="V799" s="1434"/>
      <c r="W799" s="1300" t="s">
        <v>2965</v>
      </c>
      <c r="X799" s="1301" t="s">
        <v>107</v>
      </c>
      <c r="Y799" s="1301" t="s">
        <v>3237</v>
      </c>
      <c r="Z799" s="543" t="s">
        <v>360</v>
      </c>
      <c r="AA799" s="1417"/>
      <c r="AB799" s="1552" t="s">
        <v>2376</v>
      </c>
      <c r="AC799" s="1560" t="s">
        <v>3238</v>
      </c>
      <c r="AD799" s="507" t="s">
        <v>3239</v>
      </c>
      <c r="AE799" s="1437">
        <v>1.124</v>
      </c>
      <c r="AF799" s="1609">
        <f>AE799*I799</f>
        <v>233.792</v>
      </c>
      <c r="AG799" s="1610"/>
      <c r="AH799" s="1310" t="s">
        <v>510</v>
      </c>
      <c r="AI799" s="488" t="s">
        <v>112</v>
      </c>
      <c r="AJ799" s="498" t="s">
        <v>113</v>
      </c>
      <c r="AK799" s="1437">
        <f t="shared" si="281"/>
        <v>208</v>
      </c>
      <c r="AL799" s="1437"/>
      <c r="AM799" s="1617"/>
      <c r="AN799" s="1702">
        <f>I799</f>
        <v>208</v>
      </c>
      <c r="AO799" s="1437"/>
      <c r="AP799" s="1437"/>
      <c r="AQ799" s="1615"/>
      <c r="AR799" s="456"/>
      <c r="AS799" s="1616"/>
      <c r="AT799" s="1297"/>
      <c r="AU799" s="502"/>
      <c r="AV799" s="1298">
        <f>I799*0.06*2</f>
        <v>24.96</v>
      </c>
      <c r="AW799" s="1298"/>
      <c r="AX799" s="1555">
        <f t="shared" si="282"/>
        <v>208</v>
      </c>
      <c r="AY799" s="1437"/>
      <c r="AZ799" s="1437"/>
      <c r="BA799" s="1437"/>
      <c r="BB799" s="1437"/>
      <c r="BC799" s="1437"/>
      <c r="BD799" s="1437"/>
      <c r="BE799" s="1437"/>
      <c r="BF799" s="1437"/>
      <c r="BG799" s="1437"/>
      <c r="BH799" s="1437"/>
      <c r="BI799" s="1437"/>
      <c r="BJ799" s="1437"/>
      <c r="BK799" s="1437"/>
      <c r="BL799" s="1437"/>
      <c r="BM799" s="1437"/>
      <c r="BN799" s="1437"/>
      <c r="BO799" s="1615"/>
      <c r="BP799" s="1615">
        <f>I799/13</f>
        <v>16</v>
      </c>
      <c r="BQ799" s="1617"/>
      <c r="BR799" s="1616"/>
      <c r="BS799" s="1616"/>
      <c r="BT799" s="1437"/>
      <c r="BU799" s="1437"/>
      <c r="BV799" s="1615"/>
      <c r="BW799" s="1617"/>
      <c r="BX799" s="1617"/>
      <c r="BY799" s="1617"/>
      <c r="BZ799" s="1617"/>
      <c r="CA799" s="1617"/>
      <c r="CB799" s="1617"/>
      <c r="CC799" s="1617"/>
      <c r="CD799" s="1617">
        <f t="shared" si="268"/>
        <v>0</v>
      </c>
      <c r="CE799" s="1617">
        <f t="shared" si="269"/>
        <v>0</v>
      </c>
      <c r="CF799" s="1437">
        <f t="shared" si="270"/>
        <v>0</v>
      </c>
      <c r="CG799" s="1617">
        <f t="shared" si="266"/>
        <v>0</v>
      </c>
      <c r="CH799" s="1618"/>
      <c r="CI799" s="1618"/>
      <c r="CJ799" s="1616"/>
      <c r="CK799" s="1437"/>
      <c r="CL799" s="1437"/>
    </row>
    <row r="800" s="1180" customFormat="1" customHeight="1" spans="1:111">
      <c r="A800" s="1606">
        <v>46171</v>
      </c>
      <c r="B800" s="1417" t="s">
        <v>3240</v>
      </c>
      <c r="C800" s="1434" t="s">
        <v>508</v>
      </c>
      <c r="D800" s="1435">
        <v>4500208581</v>
      </c>
      <c r="E800" s="1436">
        <v>21798806</v>
      </c>
      <c r="F800" s="1437" t="s">
        <v>3241</v>
      </c>
      <c r="G800" s="1700" t="s">
        <v>3232</v>
      </c>
      <c r="H800" s="1434" t="s">
        <v>194</v>
      </c>
      <c r="I800" s="1439">
        <v>2782</v>
      </c>
      <c r="J800" s="1434">
        <v>0</v>
      </c>
      <c r="K800" s="1434">
        <v>13</v>
      </c>
      <c r="L800" s="1607">
        <f t="shared" si="260"/>
        <v>214</v>
      </c>
      <c r="M800" s="501">
        <v>46258</v>
      </c>
      <c r="N800" s="1365">
        <v>46259</v>
      </c>
      <c r="O800" s="507"/>
      <c r="P800" s="506"/>
      <c r="Q800" s="1436"/>
      <c r="R800" s="1434"/>
      <c r="S800" s="1434"/>
      <c r="T800" s="1436"/>
      <c r="U800" s="1313">
        <f t="shared" si="267"/>
        <v>-2782</v>
      </c>
      <c r="V800" s="504"/>
      <c r="W800" s="1300" t="s">
        <v>2965</v>
      </c>
      <c r="X800" s="1301" t="s">
        <v>107</v>
      </c>
      <c r="Y800" s="1301" t="s">
        <v>3237</v>
      </c>
      <c r="Z800" s="1417" t="s">
        <v>360</v>
      </c>
      <c r="AA800" s="1417"/>
      <c r="AB800" s="1552" t="s">
        <v>2376</v>
      </c>
      <c r="AC800" s="1560" t="s">
        <v>3242</v>
      </c>
      <c r="AD800" s="507" t="s">
        <v>3239</v>
      </c>
      <c r="AE800" s="1437">
        <v>1.1198</v>
      </c>
      <c r="AF800" s="1609">
        <f>AE800*I800</f>
        <v>3115.2836</v>
      </c>
      <c r="AG800" s="1610"/>
      <c r="AH800" s="1310" t="s">
        <v>510</v>
      </c>
      <c r="AI800" s="488" t="s">
        <v>112</v>
      </c>
      <c r="AJ800" s="498" t="s">
        <v>113</v>
      </c>
      <c r="AK800" s="1437">
        <f t="shared" si="281"/>
        <v>2782</v>
      </c>
      <c r="AL800" s="1437"/>
      <c r="AM800" s="1617"/>
      <c r="AN800" s="1418">
        <f>I800</f>
        <v>2782</v>
      </c>
      <c r="AO800" s="502"/>
      <c r="AP800" s="502"/>
      <c r="AQ800" s="1296"/>
      <c r="AR800" s="438"/>
      <c r="AS800" s="1297"/>
      <c r="AT800" s="1297"/>
      <c r="AU800" s="502"/>
      <c r="AV800" s="1298">
        <f>I800*0.06*2</f>
        <v>333.84</v>
      </c>
      <c r="AW800" s="1298"/>
      <c r="AX800" s="1555">
        <f t="shared" si="282"/>
        <v>2782</v>
      </c>
      <c r="AY800" s="1437"/>
      <c r="AZ800" s="502"/>
      <c r="BA800" s="502"/>
      <c r="BB800" s="1437"/>
      <c r="BC800" s="1437"/>
      <c r="BD800" s="1437"/>
      <c r="BE800" s="1437"/>
      <c r="BF800" s="1437"/>
      <c r="BG800" s="1437"/>
      <c r="BH800" s="1437"/>
      <c r="BI800" s="1437"/>
      <c r="BJ800" s="1437"/>
      <c r="BK800" s="502"/>
      <c r="BL800" s="1437"/>
      <c r="BM800" s="1437"/>
      <c r="BN800" s="1437"/>
      <c r="BO800" s="1615"/>
      <c r="BP800" s="1615">
        <f>I800/13</f>
        <v>214</v>
      </c>
      <c r="BQ800" s="1617"/>
      <c r="BR800" s="1616"/>
      <c r="BS800" s="1616"/>
      <c r="BT800" s="1437"/>
      <c r="BU800" s="1437"/>
      <c r="BV800" s="1615"/>
      <c r="BW800" s="1617"/>
      <c r="BX800" s="1617"/>
      <c r="BY800" s="1617"/>
      <c r="BZ800" s="1617"/>
      <c r="CA800" s="1617"/>
      <c r="CB800" s="1617"/>
      <c r="CC800" s="1617"/>
      <c r="CD800" s="1218">
        <f t="shared" si="268"/>
        <v>0</v>
      </c>
      <c r="CE800" s="1218">
        <f t="shared" si="269"/>
        <v>0</v>
      </c>
      <c r="CF800" s="502">
        <f t="shared" si="270"/>
        <v>0</v>
      </c>
      <c r="CG800" s="1218">
        <f t="shared" si="266"/>
        <v>0</v>
      </c>
      <c r="CH800" s="1618"/>
      <c r="CI800" s="1618"/>
      <c r="CJ800" s="1616"/>
      <c r="CK800" s="1437"/>
      <c r="CL800" s="1437"/>
      <c r="CM800" s="293"/>
      <c r="CN800" s="293"/>
      <c r="CO800" s="293"/>
      <c r="CP800" s="293"/>
      <c r="CQ800" s="293"/>
      <c r="CR800" s="293"/>
      <c r="CS800" s="293"/>
      <c r="CT800" s="293"/>
      <c r="CU800" s="293"/>
      <c r="CV800" s="293"/>
      <c r="CW800" s="293"/>
      <c r="CX800" s="293"/>
      <c r="CY800" s="293"/>
      <c r="CZ800" s="293"/>
      <c r="DA800" s="293"/>
      <c r="DB800" s="293"/>
      <c r="DC800" s="293"/>
      <c r="DD800" s="293"/>
      <c r="DE800" s="293"/>
      <c r="DF800" s="293"/>
      <c r="DG800" s="293"/>
    </row>
    <row r="801" s="293" customFormat="1" customHeight="1" spans="1:111">
      <c r="A801" s="1289">
        <v>46164</v>
      </c>
      <c r="B801" s="543" t="s">
        <v>2373</v>
      </c>
      <c r="C801" s="504" t="s">
        <v>101</v>
      </c>
      <c r="D801" s="1305">
        <v>4500208584</v>
      </c>
      <c r="E801" s="506">
        <v>21779459</v>
      </c>
      <c r="F801" s="327" t="s">
        <v>3243</v>
      </c>
      <c r="G801" s="1693" t="s">
        <v>3244</v>
      </c>
      <c r="H801" s="504" t="s">
        <v>804</v>
      </c>
      <c r="I801" s="1290">
        <v>132</v>
      </c>
      <c r="J801" s="504">
        <v>0</v>
      </c>
      <c r="K801" s="504">
        <v>6</v>
      </c>
      <c r="L801" s="1291">
        <f t="shared" si="260"/>
        <v>22</v>
      </c>
      <c r="M801" s="1365">
        <v>46258</v>
      </c>
      <c r="N801" s="1365">
        <v>46259</v>
      </c>
      <c r="O801" s="501"/>
      <c r="P801" s="506"/>
      <c r="Q801" s="506"/>
      <c r="R801" s="504"/>
      <c r="S801" s="504"/>
      <c r="T801" s="506"/>
      <c r="U801" s="500">
        <f t="shared" si="267"/>
        <v>-132</v>
      </c>
      <c r="V801" s="504"/>
      <c r="W801" s="1300" t="s">
        <v>2965</v>
      </c>
      <c r="X801" s="1325" t="s">
        <v>107</v>
      </c>
      <c r="Y801" s="1301" t="s">
        <v>3233</v>
      </c>
      <c r="Z801" s="543" t="s">
        <v>360</v>
      </c>
      <c r="AA801" s="543"/>
      <c r="AB801" s="544" t="s">
        <v>2376</v>
      </c>
      <c r="AC801" s="1533" t="s">
        <v>3245</v>
      </c>
      <c r="AD801" s="501" t="s">
        <v>2378</v>
      </c>
      <c r="AE801" s="502">
        <v>8.5</v>
      </c>
      <c r="AF801" s="503">
        <f>AE801*I801</f>
        <v>1122</v>
      </c>
      <c r="AG801" s="1295"/>
      <c r="AH801" s="504" t="s">
        <v>2727</v>
      </c>
      <c r="AI801" s="504" t="s">
        <v>112</v>
      </c>
      <c r="AJ801" s="498" t="s">
        <v>113</v>
      </c>
      <c r="AK801" s="327">
        <f>I801*2</f>
        <v>264</v>
      </c>
      <c r="AL801" s="502"/>
      <c r="AM801" s="1218"/>
      <c r="AN801" s="502"/>
      <c r="AO801" s="502"/>
      <c r="AP801" s="502"/>
      <c r="AQ801" s="1296"/>
      <c r="AR801" s="327">
        <f>I801*2</f>
        <v>264</v>
      </c>
      <c r="AS801" s="1297"/>
      <c r="AT801" s="1297"/>
      <c r="AU801" s="502"/>
      <c r="AV801" s="1298">
        <f>I801*0.06*2</f>
        <v>15.84</v>
      </c>
      <c r="AW801" s="1298"/>
      <c r="AX801" s="327">
        <f t="shared" si="282"/>
        <v>132</v>
      </c>
      <c r="AY801" s="1218"/>
      <c r="AZ801" s="502"/>
      <c r="BA801" s="502"/>
      <c r="BB801" s="502"/>
      <c r="BC801" s="502"/>
      <c r="BD801" s="502"/>
      <c r="BE801" s="502"/>
      <c r="BF801" s="502"/>
      <c r="BG801" s="502"/>
      <c r="BH801" s="502"/>
      <c r="BI801" s="502"/>
      <c r="BJ801" s="502"/>
      <c r="BK801" s="502"/>
      <c r="BL801" s="502"/>
      <c r="BM801" s="502"/>
      <c r="BN801" s="502"/>
      <c r="BO801" s="1296"/>
      <c r="BP801" s="1296"/>
      <c r="BQ801" s="1218"/>
      <c r="BR801" s="1297"/>
      <c r="BS801" s="1297"/>
      <c r="BT801" s="502"/>
      <c r="BU801" s="502"/>
      <c r="BV801" s="1296"/>
      <c r="BW801" s="1218"/>
      <c r="BX801" s="1218"/>
      <c r="BY801" s="1218"/>
      <c r="BZ801" s="1218"/>
      <c r="CA801" s="1218"/>
      <c r="CB801" s="1218"/>
      <c r="CC801" s="1218"/>
      <c r="CD801" s="1218">
        <f t="shared" si="268"/>
        <v>0</v>
      </c>
      <c r="CE801" s="1218">
        <f t="shared" si="269"/>
        <v>0</v>
      </c>
      <c r="CF801" s="502">
        <f t="shared" si="270"/>
        <v>0</v>
      </c>
      <c r="CG801" s="1218">
        <f t="shared" si="266"/>
        <v>0</v>
      </c>
      <c r="CH801" s="1299"/>
      <c r="CI801" s="1299"/>
      <c r="CJ801" s="1297"/>
      <c r="CK801" s="502"/>
      <c r="CL801" s="502"/>
    </row>
    <row r="802" s="293" customFormat="1" customHeight="1" spans="1:111">
      <c r="A802" s="1289">
        <v>46164</v>
      </c>
      <c r="B802" s="543" t="s">
        <v>2379</v>
      </c>
      <c r="C802" s="504" t="s">
        <v>508</v>
      </c>
      <c r="D802" s="1305">
        <v>4500208581</v>
      </c>
      <c r="E802" s="506">
        <v>21779455</v>
      </c>
      <c r="F802" s="502" t="s">
        <v>3246</v>
      </c>
      <c r="G802" s="1693" t="s">
        <v>3244</v>
      </c>
      <c r="H802" s="504" t="s">
        <v>804</v>
      </c>
      <c r="I802" s="1290">
        <v>1668</v>
      </c>
      <c r="J802" s="504">
        <v>0</v>
      </c>
      <c r="K802" s="504">
        <v>6</v>
      </c>
      <c r="L802" s="1291">
        <f t="shared" si="260"/>
        <v>278</v>
      </c>
      <c r="M802" s="1365">
        <v>46258</v>
      </c>
      <c r="N802" s="1365">
        <v>46259</v>
      </c>
      <c r="O802" s="501"/>
      <c r="P802" s="506"/>
      <c r="Q802" s="506"/>
      <c r="R802" s="504"/>
      <c r="S802" s="504"/>
      <c r="T802" s="506"/>
      <c r="U802" s="500">
        <f t="shared" si="267"/>
        <v>-1668</v>
      </c>
      <c r="V802" s="504"/>
      <c r="W802" s="1300" t="s">
        <v>2965</v>
      </c>
      <c r="X802" s="1325" t="s">
        <v>107</v>
      </c>
      <c r="Y802" s="1301" t="s">
        <v>3233</v>
      </c>
      <c r="Z802" s="543" t="s">
        <v>360</v>
      </c>
      <c r="AA802" s="543"/>
      <c r="AB802" s="544" t="s">
        <v>2376</v>
      </c>
      <c r="AC802" s="1533" t="s">
        <v>3247</v>
      </c>
      <c r="AD802" s="501" t="s">
        <v>2378</v>
      </c>
      <c r="AE802" s="502">
        <v>8.5091</v>
      </c>
      <c r="AF802" s="503">
        <f>AE802*I802</f>
        <v>14193.1788</v>
      </c>
      <c r="AG802" s="1295"/>
      <c r="AH802" s="504" t="s">
        <v>2727</v>
      </c>
      <c r="AI802" s="504" t="s">
        <v>112</v>
      </c>
      <c r="AJ802" s="498" t="s">
        <v>113</v>
      </c>
      <c r="AK802" s="327">
        <f>I802*2</f>
        <v>3336</v>
      </c>
      <c r="AL802" s="502"/>
      <c r="AM802" s="1218"/>
      <c r="AN802" s="502"/>
      <c r="AO802" s="502"/>
      <c r="AP802" s="502"/>
      <c r="AQ802" s="1296"/>
      <c r="AR802" s="327">
        <f>I802*2</f>
        <v>3336</v>
      </c>
      <c r="AS802" s="1297"/>
      <c r="AT802" s="1297"/>
      <c r="AU802" s="502"/>
      <c r="AV802" s="1298">
        <f>I802*0.06*2</f>
        <v>200.16</v>
      </c>
      <c r="AW802" s="1298"/>
      <c r="AX802" s="327">
        <f t="shared" si="282"/>
        <v>1668</v>
      </c>
      <c r="AY802" s="1218"/>
      <c r="AZ802" s="502"/>
      <c r="BA802" s="502"/>
      <c r="BB802" s="502"/>
      <c r="BC802" s="502"/>
      <c r="BD802" s="502"/>
      <c r="BE802" s="502"/>
      <c r="BF802" s="502"/>
      <c r="BG802" s="502"/>
      <c r="BH802" s="502"/>
      <c r="BI802" s="502"/>
      <c r="BJ802" s="502"/>
      <c r="BK802" s="502"/>
      <c r="BL802" s="502"/>
      <c r="BM802" s="502"/>
      <c r="BN802" s="502"/>
      <c r="BO802" s="1296"/>
      <c r="BP802" s="1296"/>
      <c r="BQ802" s="1218"/>
      <c r="BR802" s="1297"/>
      <c r="BS802" s="1297"/>
      <c r="BT802" s="502"/>
      <c r="BU802" s="502"/>
      <c r="BV802" s="1296"/>
      <c r="BW802" s="1218"/>
      <c r="BX802" s="1218"/>
      <c r="BY802" s="1218"/>
      <c r="BZ802" s="1218"/>
      <c r="CA802" s="1218"/>
      <c r="CB802" s="1218"/>
      <c r="CC802" s="1218"/>
      <c r="CD802" s="1218">
        <f t="shared" si="268"/>
        <v>0</v>
      </c>
      <c r="CE802" s="1218">
        <f t="shared" si="269"/>
        <v>0</v>
      </c>
      <c r="CF802" s="502">
        <f t="shared" si="270"/>
        <v>0</v>
      </c>
      <c r="CG802" s="1218">
        <f t="shared" si="266"/>
        <v>0</v>
      </c>
      <c r="CH802" s="1299"/>
      <c r="CI802" s="1299"/>
      <c r="CJ802" s="1297"/>
      <c r="CK802" s="502"/>
      <c r="CL802" s="502"/>
    </row>
    <row r="803" s="1179" customFormat="1" customHeight="1" spans="1:111">
      <c r="A803" s="1703">
        <v>46224</v>
      </c>
      <c r="B803" s="1704" t="s">
        <v>827</v>
      </c>
      <c r="C803" s="1454" t="s">
        <v>101</v>
      </c>
      <c r="D803" s="1705">
        <v>4500217254</v>
      </c>
      <c r="E803" s="1292">
        <v>3117</v>
      </c>
      <c r="F803" s="1601" t="s">
        <v>3248</v>
      </c>
      <c r="G803" s="1706" t="s">
        <v>604</v>
      </c>
      <c r="H803" s="1454" t="s">
        <v>893</v>
      </c>
      <c r="I803" s="1707">
        <v>3000</v>
      </c>
      <c r="J803" s="1454">
        <v>0</v>
      </c>
      <c r="K803" s="1454">
        <v>25</v>
      </c>
      <c r="L803" s="1597">
        <f t="shared" ref="L803:L866" si="283">I803/K803</f>
        <v>120</v>
      </c>
      <c r="M803" s="1586">
        <v>46259</v>
      </c>
      <c r="N803" s="1586">
        <v>46255</v>
      </c>
      <c r="O803" s="1586"/>
      <c r="P803" s="1292"/>
      <c r="Q803" s="1292"/>
      <c r="R803" s="1454"/>
      <c r="S803" s="1454"/>
      <c r="T803" s="1292"/>
      <c r="U803" s="500">
        <f t="shared" si="267"/>
        <v>-3000</v>
      </c>
      <c r="V803" s="1454"/>
      <c r="W803" s="1300" t="s">
        <v>3249</v>
      </c>
      <c r="X803" s="1308" t="s">
        <v>95</v>
      </c>
      <c r="Y803" s="1308" t="s">
        <v>95</v>
      </c>
      <c r="Z803" s="544" t="s">
        <v>2966</v>
      </c>
      <c r="AA803" s="544"/>
      <c r="AB803" s="543"/>
      <c r="AC803" s="1708" t="s">
        <v>3250</v>
      </c>
      <c r="AD803" s="1586" t="s">
        <v>3251</v>
      </c>
      <c r="AE803" s="1601">
        <v>1.0905</v>
      </c>
      <c r="AF803" s="1600">
        <f>I803*AE803</f>
        <v>3271.5</v>
      </c>
      <c r="AG803" s="1295"/>
      <c r="AH803" s="488" t="s">
        <v>1304</v>
      </c>
      <c r="AI803" s="488" t="s">
        <v>112</v>
      </c>
      <c r="AJ803" s="498" t="s">
        <v>113</v>
      </c>
      <c r="AK803" s="327">
        <f t="shared" ref="AK803:AK810" si="284">I803</f>
        <v>3000</v>
      </c>
      <c r="AL803" s="1601"/>
      <c r="AM803" s="1182"/>
      <c r="AN803" s="1709">
        <f>I803</f>
        <v>3000</v>
      </c>
      <c r="AO803" s="1601"/>
      <c r="AP803" s="1601"/>
      <c r="AQ803" s="1601"/>
      <c r="AR803" s="520"/>
      <c r="AS803" s="1601"/>
      <c r="AT803" s="1297"/>
      <c r="AU803" s="1601"/>
      <c r="AV803" s="1298">
        <f>I803*0.06</f>
        <v>180</v>
      </c>
      <c r="AW803" s="1298"/>
      <c r="AX803" s="1187">
        <f t="shared" si="282"/>
        <v>3000</v>
      </c>
      <c r="AY803" s="1601"/>
      <c r="AZ803" s="1601"/>
      <c r="BA803" s="1601"/>
      <c r="BB803" s="1601"/>
      <c r="BC803" s="1601"/>
      <c r="BD803" s="1601"/>
      <c r="BE803" s="1601"/>
      <c r="BF803" s="1601"/>
      <c r="BG803" s="502"/>
      <c r="BH803" s="502"/>
      <c r="BI803" s="1601"/>
      <c r="BJ803" s="1601"/>
      <c r="BK803" s="1601"/>
      <c r="BL803" s="1601"/>
      <c r="BM803" s="1601"/>
      <c r="BN803" s="1601"/>
      <c r="BO803" s="1296"/>
      <c r="BP803" s="1601"/>
      <c r="BQ803" s="1182">
        <f>I803/25</f>
        <v>120</v>
      </c>
      <c r="BR803" s="1601"/>
      <c r="BS803" s="1601"/>
      <c r="BT803" s="1601"/>
      <c r="BU803" s="1601"/>
      <c r="BV803" s="1601"/>
      <c r="BW803" s="1182"/>
      <c r="BX803" s="1182"/>
      <c r="BY803" s="1182"/>
      <c r="BZ803" s="1182"/>
      <c r="CA803" s="1182"/>
      <c r="CB803" s="1182"/>
      <c r="CC803" s="1182"/>
      <c r="CD803" s="1218">
        <f t="shared" si="268"/>
        <v>120</v>
      </c>
      <c r="CE803" s="1218">
        <f t="shared" si="269"/>
        <v>0</v>
      </c>
      <c r="CF803" s="502">
        <f t="shared" si="270"/>
        <v>0</v>
      </c>
      <c r="CG803" s="1218">
        <f t="shared" si="266"/>
        <v>0</v>
      </c>
      <c r="CH803" s="1218"/>
      <c r="CI803" s="1218"/>
      <c r="CJ803" s="1601"/>
      <c r="CK803" s="1601"/>
      <c r="CL803" s="1601"/>
      <c r="CM803" s="293"/>
      <c r="CN803" s="293"/>
      <c r="CO803" s="293"/>
      <c r="CP803" s="293"/>
      <c r="CQ803" s="293"/>
      <c r="CR803" s="293"/>
      <c r="CS803" s="293"/>
      <c r="CT803" s="293"/>
      <c r="CU803" s="293"/>
      <c r="CV803" s="293"/>
      <c r="CW803" s="293"/>
      <c r="CX803" s="293"/>
      <c r="CY803" s="293"/>
      <c r="CZ803" s="293"/>
      <c r="DA803" s="293"/>
      <c r="DB803" s="293"/>
      <c r="DC803" s="293"/>
      <c r="DD803" s="293"/>
      <c r="DE803" s="293"/>
      <c r="DF803" s="293"/>
      <c r="DG803" s="293"/>
    </row>
    <row r="804" s="291" customFormat="1" customHeight="1" spans="1:111">
      <c r="A804" s="1289">
        <v>46203</v>
      </c>
      <c r="B804" s="1417" t="s">
        <v>3252</v>
      </c>
      <c r="C804" s="1434" t="s">
        <v>608</v>
      </c>
      <c r="D804" s="1435">
        <v>4500214321</v>
      </c>
      <c r="E804" s="1434" t="s">
        <v>628</v>
      </c>
      <c r="F804" s="1437" t="s">
        <v>3253</v>
      </c>
      <c r="G804" s="1438" t="s">
        <v>146</v>
      </c>
      <c r="H804" s="504" t="s">
        <v>104</v>
      </c>
      <c r="I804" s="1439">
        <v>500</v>
      </c>
      <c r="J804" s="1434">
        <v>0</v>
      </c>
      <c r="K804" s="1434">
        <v>25</v>
      </c>
      <c r="L804" s="1291">
        <f t="shared" si="283"/>
        <v>20</v>
      </c>
      <c r="M804" s="507">
        <v>46259</v>
      </c>
      <c r="N804" s="1365">
        <v>46256</v>
      </c>
      <c r="O804" s="501"/>
      <c r="P804" s="506"/>
      <c r="Q804" s="506"/>
      <c r="R804" s="504"/>
      <c r="S804" s="504"/>
      <c r="T804" s="506"/>
      <c r="U804" s="500">
        <f t="shared" si="267"/>
        <v>-500</v>
      </c>
      <c r="V804" s="504"/>
      <c r="W804" s="1300" t="s">
        <v>1416</v>
      </c>
      <c r="X804" s="1294" t="s">
        <v>95</v>
      </c>
      <c r="Y804" s="1294" t="s">
        <v>3254</v>
      </c>
      <c r="Z804" s="544"/>
      <c r="AA804" s="544" t="s">
        <v>3255</v>
      </c>
      <c r="AB804" s="544" t="s">
        <v>3256</v>
      </c>
      <c r="AC804" s="1482" t="s">
        <v>3257</v>
      </c>
      <c r="AD804" s="507" t="s">
        <v>263</v>
      </c>
      <c r="AE804" s="502">
        <v>1.0959</v>
      </c>
      <c r="AF804" s="503">
        <f>I804*AE804</f>
        <v>547.95</v>
      </c>
      <c r="AG804" s="1295"/>
      <c r="AH804" s="504" t="s">
        <v>111</v>
      </c>
      <c r="AI804" s="488" t="s">
        <v>112</v>
      </c>
      <c r="AJ804" s="498" t="s">
        <v>113</v>
      </c>
      <c r="AK804" s="327">
        <f t="shared" si="284"/>
        <v>500</v>
      </c>
      <c r="AL804" s="502"/>
      <c r="AM804" s="1218"/>
      <c r="AN804" s="502"/>
      <c r="AO804" s="502"/>
      <c r="AP804" s="502">
        <f>I804</f>
        <v>500</v>
      </c>
      <c r="AQ804" s="1296"/>
      <c r="AR804" s="438"/>
      <c r="AS804" s="1297"/>
      <c r="AT804" s="1297"/>
      <c r="AU804" s="502">
        <f t="shared" ref="AU804:AU812" si="285">I804</f>
        <v>500</v>
      </c>
      <c r="AV804" s="1298"/>
      <c r="AW804" s="1298"/>
      <c r="AX804" s="1437"/>
      <c r="AY804" s="502"/>
      <c r="AZ804" s="502"/>
      <c r="BA804" s="502"/>
      <c r="BB804" s="502"/>
      <c r="BC804" s="502"/>
      <c r="BD804" s="502"/>
      <c r="BE804" s="502"/>
      <c r="BF804" s="502"/>
      <c r="BG804" s="502"/>
      <c r="BH804" s="502"/>
      <c r="BI804" s="502"/>
      <c r="BJ804" s="502"/>
      <c r="BK804" s="502"/>
      <c r="BL804" s="502"/>
      <c r="BM804" s="502"/>
      <c r="BN804" s="502"/>
      <c r="BO804" s="1296">
        <f>I804/25</f>
        <v>20</v>
      </c>
      <c r="BP804" s="1296"/>
      <c r="BQ804" s="1218"/>
      <c r="BR804" s="1297"/>
      <c r="BS804" s="1297"/>
      <c r="BT804" s="502"/>
      <c r="BU804" s="502"/>
      <c r="BV804" s="1296"/>
      <c r="BW804" s="1218"/>
      <c r="BX804" s="1218"/>
      <c r="BY804" s="1218"/>
      <c r="BZ804" s="1218"/>
      <c r="CA804" s="1218"/>
      <c r="CB804" s="1218"/>
      <c r="CC804" s="1218"/>
      <c r="CD804" s="1218">
        <f t="shared" si="268"/>
        <v>20</v>
      </c>
      <c r="CE804" s="1218">
        <f t="shared" si="269"/>
        <v>0</v>
      </c>
      <c r="CF804" s="502">
        <f t="shared" si="270"/>
        <v>0</v>
      </c>
      <c r="CG804" s="1218">
        <f t="shared" si="266"/>
        <v>0</v>
      </c>
      <c r="CH804" s="1299"/>
      <c r="CI804" s="1299"/>
      <c r="CJ804" s="1297"/>
      <c r="CK804" s="502"/>
      <c r="CL804" s="502"/>
      <c r="CM804" s="293"/>
      <c r="CN804" s="293"/>
      <c r="CO804" s="293"/>
      <c r="CP804" s="293"/>
      <c r="CQ804" s="293"/>
      <c r="CR804" s="293"/>
      <c r="CS804" s="293"/>
      <c r="CT804" s="293"/>
      <c r="CU804" s="293"/>
      <c r="CV804" s="293"/>
      <c r="CW804" s="293"/>
      <c r="CX804" s="293"/>
      <c r="CY804" s="293"/>
      <c r="CZ804" s="293"/>
      <c r="DA804" s="293"/>
      <c r="DB804" s="293"/>
      <c r="DC804" s="293"/>
      <c r="DD804" s="293"/>
      <c r="DE804" s="293"/>
      <c r="DF804" s="293"/>
      <c r="DG804" s="293"/>
    </row>
    <row r="805" s="1180" customFormat="1" customHeight="1" spans="1:111">
      <c r="A805" s="1289">
        <v>46188</v>
      </c>
      <c r="B805" s="1417" t="s">
        <v>200</v>
      </c>
      <c r="C805" s="1434" t="s">
        <v>201</v>
      </c>
      <c r="D805" s="1435">
        <v>4500212096</v>
      </c>
      <c r="E805" s="1436">
        <v>4552573618</v>
      </c>
      <c r="F805" s="1437" t="s">
        <v>3258</v>
      </c>
      <c r="G805" s="1438" t="s">
        <v>146</v>
      </c>
      <c r="H805" s="1434" t="s">
        <v>104</v>
      </c>
      <c r="I805" s="1439">
        <v>15000</v>
      </c>
      <c r="J805" s="1434">
        <v>0</v>
      </c>
      <c r="K805" s="1434">
        <v>25</v>
      </c>
      <c r="L805" s="1291">
        <f t="shared" si="283"/>
        <v>600</v>
      </c>
      <c r="M805" s="501">
        <v>46259</v>
      </c>
      <c r="N805" s="1365">
        <v>46256</v>
      </c>
      <c r="O805" s="507"/>
      <c r="P805" s="506"/>
      <c r="Q805" s="506"/>
      <c r="R805" s="488" t="s">
        <v>3259</v>
      </c>
      <c r="S805" s="504"/>
      <c r="T805" s="506"/>
      <c r="U805" s="500">
        <f t="shared" si="267"/>
        <v>-15000</v>
      </c>
      <c r="V805" s="504"/>
      <c r="W805" s="1300">
        <v>46195</v>
      </c>
      <c r="X805" s="1301" t="s">
        <v>95</v>
      </c>
      <c r="Y805" s="1301" t="s">
        <v>3260</v>
      </c>
      <c r="Z805" s="544"/>
      <c r="AA805" s="544"/>
      <c r="AB805" s="543"/>
      <c r="AC805" s="1482" t="s">
        <v>3261</v>
      </c>
      <c r="AD805" s="507" t="s">
        <v>711</v>
      </c>
      <c r="AE805" s="502">
        <v>1.1359</v>
      </c>
      <c r="AF805" s="503">
        <f>I805*AE805</f>
        <v>17038.5</v>
      </c>
      <c r="AG805" s="1295"/>
      <c r="AH805" s="488" t="s">
        <v>111</v>
      </c>
      <c r="AI805" s="488" t="s">
        <v>112</v>
      </c>
      <c r="AJ805" s="498" t="s">
        <v>113</v>
      </c>
      <c r="AK805" s="502">
        <f t="shared" si="284"/>
        <v>15000</v>
      </c>
      <c r="AL805" s="502"/>
      <c r="AM805" s="1218"/>
      <c r="AN805" s="502"/>
      <c r="AO805" s="502"/>
      <c r="AP805" s="502">
        <f>I805</f>
        <v>15000</v>
      </c>
      <c r="AQ805" s="1296"/>
      <c r="AR805" s="438"/>
      <c r="AS805" s="1297"/>
      <c r="AT805" s="1297"/>
      <c r="AU805" s="502">
        <f t="shared" si="285"/>
        <v>15000</v>
      </c>
      <c r="AV805" s="1298"/>
      <c r="AW805" s="1298"/>
      <c r="AX805" s="1437"/>
      <c r="AY805" s="502"/>
      <c r="AZ805" s="502"/>
      <c r="BA805" s="502"/>
      <c r="BB805" s="502"/>
      <c r="BC805" s="502"/>
      <c r="BD805" s="502"/>
      <c r="BE805" s="502"/>
      <c r="BF805" s="502"/>
      <c r="BG805" s="502"/>
      <c r="BH805" s="502"/>
      <c r="BI805" s="502"/>
      <c r="BJ805" s="502"/>
      <c r="BK805" s="502"/>
      <c r="BL805" s="502"/>
      <c r="BM805" s="502"/>
      <c r="BN805" s="502"/>
      <c r="BO805" s="1296">
        <f>I805/25</f>
        <v>600</v>
      </c>
      <c r="BP805" s="1296"/>
      <c r="BQ805" s="1218"/>
      <c r="BR805" s="1297"/>
      <c r="BS805" s="1297"/>
      <c r="BT805" s="502"/>
      <c r="BU805" s="502"/>
      <c r="BV805" s="1296"/>
      <c r="BW805" s="1218"/>
      <c r="BX805" s="1218"/>
      <c r="BY805" s="1218"/>
      <c r="BZ805" s="1218"/>
      <c r="CA805" s="1218"/>
      <c r="CB805" s="1218"/>
      <c r="CC805" s="1218"/>
      <c r="CD805" s="1218">
        <f t="shared" si="268"/>
        <v>600</v>
      </c>
      <c r="CE805" s="1218">
        <f t="shared" si="269"/>
        <v>0</v>
      </c>
      <c r="CF805" s="502">
        <f t="shared" si="270"/>
        <v>0</v>
      </c>
      <c r="CG805" s="1218">
        <f t="shared" si="266"/>
        <v>0</v>
      </c>
      <c r="CH805" s="1299"/>
      <c r="CI805" s="1299"/>
      <c r="CJ805" s="1297"/>
      <c r="CK805" s="502"/>
      <c r="CL805" s="502"/>
      <c r="CM805" s="293"/>
      <c r="CN805" s="293"/>
      <c r="CO805" s="293"/>
      <c r="CP805" s="293"/>
      <c r="CQ805" s="293"/>
      <c r="CR805" s="293"/>
      <c r="CS805" s="293"/>
      <c r="CT805" s="293"/>
      <c r="CU805" s="293"/>
      <c r="CV805" s="293"/>
      <c r="CW805" s="293"/>
      <c r="CX805" s="293"/>
      <c r="CY805" s="293"/>
      <c r="CZ805" s="293"/>
      <c r="DA805" s="293"/>
      <c r="DB805" s="293"/>
      <c r="DC805" s="293"/>
      <c r="DD805" s="293"/>
      <c r="DE805" s="293"/>
      <c r="DF805" s="293"/>
      <c r="DG805" s="293"/>
    </row>
    <row r="806" s="1180" customFormat="1" customHeight="1" spans="1:111">
      <c r="A806" s="1289">
        <v>46184</v>
      </c>
      <c r="B806" s="1417" t="s">
        <v>3262</v>
      </c>
      <c r="C806" s="1434" t="s">
        <v>1439</v>
      </c>
      <c r="D806" s="1435">
        <v>4500211485</v>
      </c>
      <c r="E806" s="1434"/>
      <c r="F806" s="1437" t="s">
        <v>3263</v>
      </c>
      <c r="G806" s="1438" t="s">
        <v>188</v>
      </c>
      <c r="H806" s="1434" t="s">
        <v>138</v>
      </c>
      <c r="I806" s="1439">
        <v>1000</v>
      </c>
      <c r="J806" s="1434">
        <v>0</v>
      </c>
      <c r="K806" s="1434">
        <v>50</v>
      </c>
      <c r="L806" s="1291">
        <f t="shared" si="283"/>
        <v>20</v>
      </c>
      <c r="M806" s="501">
        <v>46259</v>
      </c>
      <c r="N806" s="1365">
        <v>46256</v>
      </c>
      <c r="O806" s="507"/>
      <c r="P806" s="506"/>
      <c r="Q806" s="506"/>
      <c r="R806" s="504"/>
      <c r="S806" s="504"/>
      <c r="T806" s="506"/>
      <c r="U806" s="500">
        <f t="shared" si="267"/>
        <v>-1000</v>
      </c>
      <c r="V806" s="504"/>
      <c r="W806" s="1300">
        <v>46197</v>
      </c>
      <c r="X806" s="1301" t="s">
        <v>95</v>
      </c>
      <c r="Y806" s="1301" t="s">
        <v>95</v>
      </c>
      <c r="Z806" s="544"/>
      <c r="AA806" s="544"/>
      <c r="AB806" s="543"/>
      <c r="AC806" s="1552" t="s">
        <v>3264</v>
      </c>
      <c r="AD806" s="507" t="s">
        <v>1477</v>
      </c>
      <c r="AE806" s="502">
        <v>1.0979</v>
      </c>
      <c r="AF806" s="503">
        <f>AE806*I806</f>
        <v>1097.9</v>
      </c>
      <c r="AG806" s="1295"/>
      <c r="AH806" s="504" t="s">
        <v>314</v>
      </c>
      <c r="AI806" s="488" t="s">
        <v>112</v>
      </c>
      <c r="AJ806" s="498" t="s">
        <v>113</v>
      </c>
      <c r="AK806" s="502">
        <f t="shared" si="284"/>
        <v>1000</v>
      </c>
      <c r="AL806" s="502"/>
      <c r="AM806" s="1218"/>
      <c r="AN806" s="502"/>
      <c r="AO806" s="502"/>
      <c r="AP806" s="502">
        <f>I806</f>
        <v>1000</v>
      </c>
      <c r="AQ806" s="1316"/>
      <c r="AR806" s="327"/>
      <c r="AS806" s="1317"/>
      <c r="AT806" s="1317"/>
      <c r="AU806" s="502">
        <f t="shared" si="285"/>
        <v>1000</v>
      </c>
      <c r="AV806" s="1298"/>
      <c r="AW806" s="1298"/>
      <c r="AX806" s="1437"/>
      <c r="AY806" s="502"/>
      <c r="AZ806" s="502"/>
      <c r="BA806" s="502"/>
      <c r="BB806" s="502"/>
      <c r="BC806" s="502"/>
      <c r="BD806" s="502"/>
      <c r="BE806" s="502"/>
      <c r="BF806" s="502"/>
      <c r="BG806" s="502"/>
      <c r="BH806" s="502"/>
      <c r="BI806" s="502"/>
      <c r="BJ806" s="502"/>
      <c r="BK806" s="502"/>
      <c r="BL806" s="502"/>
      <c r="BM806" s="502"/>
      <c r="BN806" s="502"/>
      <c r="BO806" s="1296">
        <f>I806/25</f>
        <v>40</v>
      </c>
      <c r="BP806" s="1296"/>
      <c r="BQ806" s="1218"/>
      <c r="BR806" s="1297"/>
      <c r="BS806" s="1297"/>
      <c r="BT806" s="502"/>
      <c r="BU806" s="502"/>
      <c r="BV806" s="1296"/>
      <c r="BW806" s="1218"/>
      <c r="BX806" s="1218"/>
      <c r="BY806" s="1218"/>
      <c r="BZ806" s="1218"/>
      <c r="CA806" s="1218"/>
      <c r="CB806" s="1218"/>
      <c r="CC806" s="1218"/>
      <c r="CD806" s="1218">
        <f t="shared" si="268"/>
        <v>40</v>
      </c>
      <c r="CE806" s="1218">
        <f t="shared" si="269"/>
        <v>0</v>
      </c>
      <c r="CF806" s="502">
        <f t="shared" si="270"/>
        <v>0</v>
      </c>
      <c r="CG806" s="1218">
        <f t="shared" si="266"/>
        <v>0</v>
      </c>
      <c r="CH806" s="1299"/>
      <c r="CI806" s="1299"/>
      <c r="CJ806" s="1297"/>
      <c r="CK806" s="502"/>
      <c r="CL806" s="502"/>
      <c r="CM806" s="293"/>
      <c r="CN806" s="293"/>
      <c r="CO806" s="293"/>
      <c r="CP806" s="293"/>
      <c r="CQ806" s="293"/>
      <c r="CR806" s="293"/>
      <c r="CS806" s="293"/>
      <c r="CT806" s="293"/>
      <c r="CU806" s="293"/>
      <c r="CV806" s="293"/>
      <c r="CW806" s="293"/>
      <c r="CX806" s="293"/>
      <c r="CY806" s="293"/>
      <c r="CZ806" s="293"/>
      <c r="DA806" s="293"/>
      <c r="DB806" s="293"/>
      <c r="DC806" s="293"/>
      <c r="DD806" s="293"/>
      <c r="DE806" s="293"/>
      <c r="DF806" s="293"/>
      <c r="DG806" s="293"/>
    </row>
    <row r="807" s="1170" customFormat="1" customHeight="1" spans="1:111">
      <c r="A807" s="1396">
        <v>46210</v>
      </c>
      <c r="B807" s="1447" t="s">
        <v>3265</v>
      </c>
      <c r="C807" s="1448" t="s">
        <v>810</v>
      </c>
      <c r="D807" s="1450">
        <v>4500215223</v>
      </c>
      <c r="E807" s="1448"/>
      <c r="F807" s="1450" t="s">
        <v>3266</v>
      </c>
      <c r="G807" s="1451" t="s">
        <v>188</v>
      </c>
      <c r="H807" s="1448" t="s">
        <v>138</v>
      </c>
      <c r="I807" s="1452">
        <v>500</v>
      </c>
      <c r="J807" s="1448">
        <v>0</v>
      </c>
      <c r="K807" s="1448">
        <v>50</v>
      </c>
      <c r="L807" s="1400">
        <f t="shared" si="283"/>
        <v>10</v>
      </c>
      <c r="M807" s="495">
        <v>46259</v>
      </c>
      <c r="N807" s="1401">
        <v>46256</v>
      </c>
      <c r="O807" s="1444"/>
      <c r="P807" s="500"/>
      <c r="Q807" s="500"/>
      <c r="R807" s="498"/>
      <c r="S807" s="498"/>
      <c r="T807" s="500">
        <v>500</v>
      </c>
      <c r="U807" s="500">
        <f t="shared" si="267"/>
        <v>0</v>
      </c>
      <c r="V807" s="498"/>
      <c r="W807" s="1431">
        <v>46210</v>
      </c>
      <c r="X807" s="1432" t="s">
        <v>95</v>
      </c>
      <c r="Y807" s="1432" t="s">
        <v>3267</v>
      </c>
      <c r="Z807" s="1397"/>
      <c r="AA807" s="1397" t="s">
        <v>3268</v>
      </c>
      <c r="AB807" s="1397"/>
      <c r="AC807" s="1397" t="s">
        <v>3269</v>
      </c>
      <c r="AD807" s="1444" t="s">
        <v>3270</v>
      </c>
      <c r="AE807" s="496">
        <v>1.1228</v>
      </c>
      <c r="AF807" s="497">
        <f>AE807*I807</f>
        <v>561.4</v>
      </c>
      <c r="AG807" s="1406"/>
      <c r="AH807" s="498" t="s">
        <v>314</v>
      </c>
      <c r="AI807" s="498" t="s">
        <v>112</v>
      </c>
      <c r="AJ807" s="498" t="s">
        <v>113</v>
      </c>
      <c r="AK807" s="496">
        <f t="shared" si="284"/>
        <v>500</v>
      </c>
      <c r="AL807" s="496"/>
      <c r="AM807" s="496"/>
      <c r="AN807" s="496"/>
      <c r="AO807" s="496"/>
      <c r="AP807" s="496">
        <f>I807</f>
        <v>500</v>
      </c>
      <c r="AQ807" s="1407"/>
      <c r="AR807" s="1173"/>
      <c r="AS807" s="1408"/>
      <c r="AT807" s="1408"/>
      <c r="AU807" s="496">
        <f t="shared" si="285"/>
        <v>500</v>
      </c>
      <c r="AV807" s="1409"/>
      <c r="AW807" s="1409"/>
      <c r="AX807" s="1450"/>
      <c r="AY807" s="496"/>
      <c r="AZ807" s="496"/>
      <c r="BA807" s="496"/>
      <c r="BB807" s="496"/>
      <c r="BC807" s="496"/>
      <c r="BD807" s="496"/>
      <c r="BE807" s="496"/>
      <c r="BF807" s="496"/>
      <c r="BG807" s="496"/>
      <c r="BH807" s="496"/>
      <c r="BI807" s="496"/>
      <c r="BJ807" s="496"/>
      <c r="BK807" s="496"/>
      <c r="BL807" s="496"/>
      <c r="BM807" s="496"/>
      <c r="BN807" s="496"/>
      <c r="BO807" s="1407">
        <f>I807/25</f>
        <v>20</v>
      </c>
      <c r="BP807" s="1407"/>
      <c r="BQ807" s="496"/>
      <c r="BR807" s="1408"/>
      <c r="BS807" s="1408"/>
      <c r="BT807" s="496"/>
      <c r="BU807" s="496"/>
      <c r="BV807" s="1407"/>
      <c r="BW807" s="496"/>
      <c r="BX807" s="496"/>
      <c r="BY807" s="496"/>
      <c r="BZ807" s="496"/>
      <c r="CA807" s="496"/>
      <c r="CB807" s="496"/>
      <c r="CC807" s="496"/>
      <c r="CD807" s="496">
        <f t="shared" si="268"/>
        <v>20</v>
      </c>
      <c r="CE807" s="496">
        <f t="shared" si="269"/>
        <v>0</v>
      </c>
      <c r="CF807" s="496">
        <f t="shared" si="270"/>
        <v>0</v>
      </c>
      <c r="CG807" s="496">
        <f t="shared" si="266"/>
        <v>0</v>
      </c>
      <c r="CH807" s="1408"/>
      <c r="CI807" s="1408"/>
      <c r="CJ807" s="1408"/>
      <c r="CK807" s="496"/>
      <c r="CL807" s="496"/>
    </row>
    <row r="808" s="1180" customFormat="1" customHeight="1" spans="1:111">
      <c r="A808" s="1309">
        <v>46197</v>
      </c>
      <c r="B808" s="1552" t="s">
        <v>3271</v>
      </c>
      <c r="C808" s="1553" t="s">
        <v>1213</v>
      </c>
      <c r="D808" s="1554">
        <v>4500213536</v>
      </c>
      <c r="E808" s="1553" t="s">
        <v>3272</v>
      </c>
      <c r="F808" s="1555" t="s">
        <v>3273</v>
      </c>
      <c r="G808" s="1556" t="s">
        <v>188</v>
      </c>
      <c r="H808" s="1553" t="s">
        <v>138</v>
      </c>
      <c r="I808" s="1557">
        <v>15000</v>
      </c>
      <c r="J808" s="1553">
        <v>0</v>
      </c>
      <c r="K808" s="1553">
        <v>50</v>
      </c>
      <c r="L808" s="1544">
        <f t="shared" si="283"/>
        <v>300</v>
      </c>
      <c r="M808" s="1312">
        <v>46259</v>
      </c>
      <c r="N808" s="1323">
        <v>46256</v>
      </c>
      <c r="O808" s="1545"/>
      <c r="P808" s="1313"/>
      <c r="Q808" s="1313"/>
      <c r="R808" s="488"/>
      <c r="S808" s="488"/>
      <c r="T808" s="1313"/>
      <c r="U808" s="500">
        <f t="shared" si="267"/>
        <v>-15000</v>
      </c>
      <c r="V808" s="488"/>
      <c r="W808" s="1300">
        <v>46197</v>
      </c>
      <c r="X808" s="1301" t="s">
        <v>95</v>
      </c>
      <c r="Y808" s="1301" t="s">
        <v>3274</v>
      </c>
      <c r="Z808" s="544" t="s">
        <v>2014</v>
      </c>
      <c r="AA808" s="544"/>
      <c r="AB808" s="544"/>
      <c r="AC808" s="1482" t="s">
        <v>3275</v>
      </c>
      <c r="AD808" s="1416" t="s">
        <v>1252</v>
      </c>
      <c r="AE808" s="1527">
        <v>1.087</v>
      </c>
      <c r="AF808" s="1548">
        <f>AE808*I808</f>
        <v>16305</v>
      </c>
      <c r="AG808" s="1368"/>
      <c r="AH808" s="504" t="s">
        <v>188</v>
      </c>
      <c r="AI808" s="488" t="s">
        <v>112</v>
      </c>
      <c r="AJ808" s="498" t="s">
        <v>113</v>
      </c>
      <c r="AK808" s="327">
        <f t="shared" si="284"/>
        <v>15000</v>
      </c>
      <c r="AL808" s="327"/>
      <c r="AM808" s="327"/>
      <c r="AN808" s="1420">
        <f>I808</f>
        <v>15000</v>
      </c>
      <c r="AO808" s="502"/>
      <c r="AP808" s="502"/>
      <c r="AQ808" s="1296"/>
      <c r="AR808" s="520"/>
      <c r="AS808" s="1297"/>
      <c r="AT808" s="1297"/>
      <c r="AU808" s="327">
        <f t="shared" si="285"/>
        <v>15000</v>
      </c>
      <c r="AV808" s="1318"/>
      <c r="AW808" s="1318"/>
      <c r="AX808" s="1555"/>
      <c r="AY808" s="327"/>
      <c r="AZ808" s="327"/>
      <c r="BA808" s="327"/>
      <c r="BB808" s="327"/>
      <c r="BC808" s="327"/>
      <c r="BD808" s="327"/>
      <c r="BE808" s="327"/>
      <c r="BF808" s="327"/>
      <c r="BG808" s="327"/>
      <c r="BH808" s="327"/>
      <c r="BI808" s="327"/>
      <c r="BJ808" s="327"/>
      <c r="BK808" s="327"/>
      <c r="BL808" s="327"/>
      <c r="BM808" s="327"/>
      <c r="BN808" s="1420">
        <f>I808/25</f>
        <v>600</v>
      </c>
      <c r="BO808" s="1316"/>
      <c r="BP808" s="1316"/>
      <c r="BQ808" s="327"/>
      <c r="BR808" s="1317"/>
      <c r="BS808" s="1317"/>
      <c r="BT808" s="327"/>
      <c r="BU808" s="327"/>
      <c r="BV808" s="1316"/>
      <c r="BW808" s="327"/>
      <c r="BX808" s="327"/>
      <c r="BY808" s="327"/>
      <c r="BZ808" s="327"/>
      <c r="CA808" s="327"/>
      <c r="CB808" s="327"/>
      <c r="CC808" s="327"/>
      <c r="CD808" s="1218">
        <f t="shared" si="268"/>
        <v>600</v>
      </c>
      <c r="CE808" s="1218">
        <f t="shared" si="269"/>
        <v>0</v>
      </c>
      <c r="CF808" s="502">
        <f t="shared" si="270"/>
        <v>0</v>
      </c>
      <c r="CG808" s="1218">
        <f t="shared" si="266"/>
        <v>0</v>
      </c>
      <c r="CH808" s="1317"/>
      <c r="CI808" s="1317"/>
      <c r="CJ808" s="1317"/>
      <c r="CK808" s="327"/>
      <c r="CL808" s="327"/>
    </row>
    <row r="809" s="294" customFormat="1" customHeight="1" spans="1:111">
      <c r="A809" s="1309">
        <v>46197</v>
      </c>
      <c r="B809" s="544" t="s">
        <v>3271</v>
      </c>
      <c r="C809" s="488" t="s">
        <v>1213</v>
      </c>
      <c r="D809" s="1445">
        <v>4500213536</v>
      </c>
      <c r="E809" s="488" t="s">
        <v>3272</v>
      </c>
      <c r="F809" s="327" t="s">
        <v>3276</v>
      </c>
      <c r="G809" s="1530" t="s">
        <v>799</v>
      </c>
      <c r="H809" s="488" t="s">
        <v>800</v>
      </c>
      <c r="I809" s="1311">
        <v>15000</v>
      </c>
      <c r="J809" s="488">
        <v>0</v>
      </c>
      <c r="K809" s="488">
        <v>30</v>
      </c>
      <c r="L809" s="1544">
        <f t="shared" si="283"/>
        <v>500</v>
      </c>
      <c r="M809" s="1312">
        <v>46259</v>
      </c>
      <c r="N809" s="1323">
        <v>46256</v>
      </c>
      <c r="O809" s="1312"/>
      <c r="P809" s="1313"/>
      <c r="Q809" s="1313"/>
      <c r="R809" s="488"/>
      <c r="S809" s="488"/>
      <c r="T809" s="1313">
        <v>15000</v>
      </c>
      <c r="U809" s="500">
        <f t="shared" si="267"/>
        <v>0</v>
      </c>
      <c r="V809" s="488"/>
      <c r="W809" s="1300">
        <v>46197</v>
      </c>
      <c r="X809" s="1301" t="s">
        <v>95</v>
      </c>
      <c r="Y809" s="1301" t="s">
        <v>3274</v>
      </c>
      <c r="Z809" s="544" t="s">
        <v>2014</v>
      </c>
      <c r="AA809" s="544"/>
      <c r="AB809" s="544"/>
      <c r="AC809" s="1482" t="s">
        <v>3275</v>
      </c>
      <c r="AD809" s="1323" t="s">
        <v>1252</v>
      </c>
      <c r="AE809" s="1527">
        <v>41.694</v>
      </c>
      <c r="AF809" s="1548">
        <f>AE809*L809</f>
        <v>20847</v>
      </c>
      <c r="AG809" s="1368"/>
      <c r="AH809" s="1310" t="s">
        <v>2862</v>
      </c>
      <c r="AI809" s="488" t="s">
        <v>112</v>
      </c>
      <c r="AJ809" s="498" t="s">
        <v>113</v>
      </c>
      <c r="AK809" s="327">
        <f t="shared" si="284"/>
        <v>15000</v>
      </c>
      <c r="AL809" s="327"/>
      <c r="AM809" s="327"/>
      <c r="AN809" s="1420">
        <f>I809</f>
        <v>15000</v>
      </c>
      <c r="AO809" s="502"/>
      <c r="AP809" s="502"/>
      <c r="AQ809" s="1296"/>
      <c r="AR809" s="438"/>
      <c r="AS809" s="1297"/>
      <c r="AT809" s="1297"/>
      <c r="AU809" s="327">
        <f t="shared" si="285"/>
        <v>15000</v>
      </c>
      <c r="AV809" s="1318"/>
      <c r="AW809" s="1318"/>
      <c r="AX809" s="327"/>
      <c r="AY809" s="327"/>
      <c r="AZ809" s="327"/>
      <c r="BA809" s="327"/>
      <c r="BB809" s="327"/>
      <c r="BC809" s="327"/>
      <c r="BD809" s="327"/>
      <c r="BE809" s="327"/>
      <c r="BF809" s="327"/>
      <c r="BG809" s="327"/>
      <c r="BH809" s="327"/>
      <c r="BI809" s="327"/>
      <c r="BJ809" s="327"/>
      <c r="BK809" s="327"/>
      <c r="BL809" s="327"/>
      <c r="BM809" s="327"/>
      <c r="BN809" s="327"/>
      <c r="BO809" s="1316"/>
      <c r="BP809" s="1316"/>
      <c r="BQ809" s="327"/>
      <c r="BR809" s="1317"/>
      <c r="BS809" s="1317"/>
      <c r="BT809" s="327"/>
      <c r="BU809" s="327"/>
      <c r="BV809" s="1316"/>
      <c r="BW809" s="327"/>
      <c r="BX809" s="327"/>
      <c r="BY809" s="327"/>
      <c r="BZ809" s="327"/>
      <c r="CA809" s="327"/>
      <c r="CB809" s="327"/>
      <c r="CC809" s="327">
        <f>I809/30</f>
        <v>500</v>
      </c>
      <c r="CD809" s="1218">
        <f t="shared" si="268"/>
        <v>0</v>
      </c>
      <c r="CE809" s="1218">
        <f t="shared" si="269"/>
        <v>0</v>
      </c>
      <c r="CF809" s="502">
        <f t="shared" si="270"/>
        <v>500</v>
      </c>
      <c r="CG809" s="1218">
        <f t="shared" si="266"/>
        <v>0</v>
      </c>
      <c r="CH809" s="1317"/>
      <c r="CI809" s="1317"/>
      <c r="CJ809" s="1317"/>
      <c r="CK809" s="327"/>
      <c r="CL809" s="327"/>
      <c r="CM809" s="1180"/>
      <c r="CN809" s="1180"/>
      <c r="CO809" s="1180"/>
      <c r="CP809" s="1180"/>
      <c r="CQ809" s="1180"/>
      <c r="CR809" s="1180"/>
      <c r="CS809" s="1180"/>
      <c r="CT809" s="1180"/>
      <c r="CU809" s="1180"/>
      <c r="CV809" s="1180"/>
      <c r="CW809" s="1180"/>
      <c r="CX809" s="1180"/>
      <c r="CY809" s="1180"/>
      <c r="CZ809" s="1180"/>
      <c r="DA809" s="1180"/>
      <c r="DB809" s="1180"/>
      <c r="DC809" s="1180"/>
      <c r="DD809" s="1180"/>
      <c r="DE809" s="1180"/>
      <c r="DF809" s="1180"/>
      <c r="DG809" s="1180"/>
    </row>
    <row r="810" s="293" customFormat="1" customHeight="1" spans="1:111">
      <c r="A810" s="1309">
        <v>46177</v>
      </c>
      <c r="B810" s="544" t="s">
        <v>378</v>
      </c>
      <c r="C810" s="488" t="s">
        <v>201</v>
      </c>
      <c r="D810" s="1445">
        <v>4500210723</v>
      </c>
      <c r="E810" s="1526">
        <v>2551020510</v>
      </c>
      <c r="F810" s="327" t="s">
        <v>3277</v>
      </c>
      <c r="G810" s="1310" t="s">
        <v>380</v>
      </c>
      <c r="H810" s="488" t="s">
        <v>381</v>
      </c>
      <c r="I810" s="1311">
        <v>9056</v>
      </c>
      <c r="J810" s="488">
        <v>0</v>
      </c>
      <c r="K810" s="488">
        <v>16</v>
      </c>
      <c r="L810" s="488">
        <f t="shared" si="283"/>
        <v>566</v>
      </c>
      <c r="M810" s="1312">
        <v>46261</v>
      </c>
      <c r="N810" s="1312">
        <v>46258</v>
      </c>
      <c r="O810" s="544"/>
      <c r="P810" s="1559" t="s">
        <v>3278</v>
      </c>
      <c r="Q810" s="1313"/>
      <c r="R810" s="488"/>
      <c r="S810" s="488"/>
      <c r="T810" s="1313"/>
      <c r="U810" s="500">
        <f t="shared" si="267"/>
        <v>-9056</v>
      </c>
      <c r="V810" s="488"/>
      <c r="W810" s="1300">
        <v>46209</v>
      </c>
      <c r="X810" s="1301" t="s">
        <v>95</v>
      </c>
      <c r="Y810" s="1301" t="s">
        <v>2251</v>
      </c>
      <c r="Z810" s="544"/>
      <c r="AA810" s="544"/>
      <c r="AB810" s="544"/>
      <c r="AC810" s="1710" t="s">
        <v>3279</v>
      </c>
      <c r="AD810" s="1312" t="s">
        <v>384</v>
      </c>
      <c r="AE810" s="1446">
        <v>1.3</v>
      </c>
      <c r="AF810" s="1315">
        <f>AE810*I810</f>
        <v>11772.8</v>
      </c>
      <c r="AG810" s="1295"/>
      <c r="AH810" s="1561" t="s">
        <v>385</v>
      </c>
      <c r="AI810" s="488" t="s">
        <v>112</v>
      </c>
      <c r="AJ810" s="498" t="s">
        <v>113</v>
      </c>
      <c r="AK810" s="327">
        <f t="shared" si="284"/>
        <v>9056</v>
      </c>
      <c r="AL810" s="327"/>
      <c r="AM810" s="327"/>
      <c r="AN810" s="327"/>
      <c r="AO810" s="502"/>
      <c r="AP810" s="502">
        <f>I810</f>
        <v>9056</v>
      </c>
      <c r="AQ810" s="1316"/>
      <c r="AR810" s="327"/>
      <c r="AS810" s="1297"/>
      <c r="AT810" s="1297"/>
      <c r="AU810" s="502">
        <f t="shared" si="285"/>
        <v>9056</v>
      </c>
      <c r="AV810" s="1298">
        <f>I810*0.06</f>
        <v>543.36</v>
      </c>
      <c r="AW810" s="1318"/>
      <c r="AX810" s="327"/>
      <c r="AY810" s="327"/>
      <c r="AZ810" s="327"/>
      <c r="BA810" s="327"/>
      <c r="BB810" s="327"/>
      <c r="BC810" s="327"/>
      <c r="BD810" s="327"/>
      <c r="BE810" s="327"/>
      <c r="BF810" s="327"/>
      <c r="BG810" s="327"/>
      <c r="BH810" s="327"/>
      <c r="BI810" s="327"/>
      <c r="BJ810" s="327"/>
      <c r="BK810" s="327"/>
      <c r="BL810" s="327"/>
      <c r="BM810" s="327"/>
      <c r="BN810" s="327"/>
      <c r="BO810" s="1316"/>
      <c r="BP810" s="1316"/>
      <c r="BQ810" s="327"/>
      <c r="BR810" s="1317"/>
      <c r="BS810" s="327">
        <f>I810/16</f>
        <v>566</v>
      </c>
      <c r="BT810" s="327"/>
      <c r="BU810" s="327"/>
      <c r="BV810" s="1316"/>
      <c r="BW810" s="327"/>
      <c r="BX810" s="327"/>
      <c r="BY810" s="327"/>
      <c r="BZ810" s="327"/>
      <c r="CA810" s="327"/>
      <c r="CB810" s="327"/>
      <c r="CC810" s="327"/>
      <c r="CD810" s="1218">
        <f t="shared" si="268"/>
        <v>566</v>
      </c>
      <c r="CE810" s="1218">
        <f t="shared" si="269"/>
        <v>0</v>
      </c>
      <c r="CF810" s="502">
        <f t="shared" si="270"/>
        <v>0</v>
      </c>
      <c r="CG810" s="1218">
        <f t="shared" si="266"/>
        <v>0</v>
      </c>
      <c r="CH810" s="1317"/>
      <c r="CI810" s="1317"/>
      <c r="CJ810" s="1317"/>
      <c r="CK810" s="327"/>
      <c r="CL810" s="327"/>
    </row>
    <row r="811" s="293" customFormat="1" customHeight="1" spans="1:111">
      <c r="A811" s="1606">
        <v>46203</v>
      </c>
      <c r="B811" s="1417" t="s">
        <v>114</v>
      </c>
      <c r="C811" s="1434" t="s">
        <v>115</v>
      </c>
      <c r="D811" s="1435">
        <v>4500214411</v>
      </c>
      <c r="E811" s="1434" t="s">
        <v>3280</v>
      </c>
      <c r="F811" s="1437" t="s">
        <v>3281</v>
      </c>
      <c r="G811" s="1438" t="s">
        <v>118</v>
      </c>
      <c r="H811" s="1434" t="s">
        <v>104</v>
      </c>
      <c r="I811" s="1439">
        <v>50000</v>
      </c>
      <c r="J811" s="1434">
        <v>0</v>
      </c>
      <c r="K811" s="1434">
        <v>25</v>
      </c>
      <c r="L811" s="1607">
        <f t="shared" si="283"/>
        <v>2000</v>
      </c>
      <c r="M811" s="507">
        <v>46262</v>
      </c>
      <c r="N811" s="507">
        <v>46258</v>
      </c>
      <c r="O811" s="507"/>
      <c r="P811" s="1436"/>
      <c r="Q811" s="1436"/>
      <c r="R811" s="1434"/>
      <c r="S811" s="1434"/>
      <c r="T811" s="1436"/>
      <c r="U811" s="500">
        <f t="shared" si="267"/>
        <v>-50000</v>
      </c>
      <c r="V811" s="1434"/>
      <c r="W811" s="1300" t="s">
        <v>3282</v>
      </c>
      <c r="X811" s="1301" t="s">
        <v>107</v>
      </c>
      <c r="Y811" s="1294" t="s">
        <v>3283</v>
      </c>
      <c r="Z811" s="544"/>
      <c r="AA811" s="1552"/>
      <c r="AB811" s="1417"/>
      <c r="AC811" s="1552" t="s">
        <v>3284</v>
      </c>
      <c r="AD811" s="507" t="s">
        <v>123</v>
      </c>
      <c r="AE811" s="1437">
        <v>0.6291</v>
      </c>
      <c r="AF811" s="1609">
        <f>AE811*I811</f>
        <v>31455</v>
      </c>
      <c r="AG811" s="1610"/>
      <c r="AH811" s="488" t="s">
        <v>118</v>
      </c>
      <c r="AI811" s="488" t="s">
        <v>112</v>
      </c>
      <c r="AJ811" s="498" t="s">
        <v>113</v>
      </c>
      <c r="AK811" s="1555"/>
      <c r="AL811" s="1437"/>
      <c r="AM811" s="1617">
        <f>I811</f>
        <v>50000</v>
      </c>
      <c r="AN811" s="502"/>
      <c r="AO811" s="502"/>
      <c r="AP811" s="502"/>
      <c r="AQ811" s="1296"/>
      <c r="AR811" s="438"/>
      <c r="AS811" s="1297"/>
      <c r="AT811" s="1297">
        <f>I811</f>
        <v>50000</v>
      </c>
      <c r="AU811" s="502">
        <f t="shared" si="285"/>
        <v>50000</v>
      </c>
      <c r="AV811" s="1409">
        <f>I811*0.06</f>
        <v>3000</v>
      </c>
      <c r="AW811" s="1298"/>
      <c r="AX811" s="502"/>
      <c r="AY811" s="502"/>
      <c r="AZ811" s="502"/>
      <c r="BA811" s="502"/>
      <c r="BB811" s="1437"/>
      <c r="BC811" s="1437"/>
      <c r="BD811" s="1437"/>
      <c r="BE811" s="1437"/>
      <c r="BF811" s="1437"/>
      <c r="BG811" s="1437"/>
      <c r="BH811" s="1437"/>
      <c r="BI811" s="1437"/>
      <c r="BJ811" s="1437"/>
      <c r="BK811" s="502"/>
      <c r="BL811" s="1437"/>
      <c r="BM811" s="1437"/>
      <c r="BN811" s="1437"/>
      <c r="BO811" s="1615"/>
      <c r="BP811" s="1615"/>
      <c r="BQ811" s="1617"/>
      <c r="BR811" s="1616"/>
      <c r="BS811" s="1616"/>
      <c r="BT811" s="1437"/>
      <c r="BU811" s="1555">
        <f>I811/25</f>
        <v>2000</v>
      </c>
      <c r="BV811" s="1615"/>
      <c r="BW811" s="1617"/>
      <c r="BX811" s="1617"/>
      <c r="BY811" s="1617"/>
      <c r="BZ811" s="1617"/>
      <c r="CA811" s="1617"/>
      <c r="CB811" s="1617"/>
      <c r="CC811" s="1617"/>
      <c r="CD811" s="1218">
        <f t="shared" si="268"/>
        <v>0</v>
      </c>
      <c r="CE811" s="1218">
        <f t="shared" si="269"/>
        <v>2000</v>
      </c>
      <c r="CF811" s="502">
        <f t="shared" si="270"/>
        <v>0</v>
      </c>
      <c r="CG811" s="1218">
        <f t="shared" si="266"/>
        <v>0</v>
      </c>
      <c r="CH811" s="1618"/>
      <c r="CI811" s="1618"/>
      <c r="CJ811" s="1616"/>
      <c r="CK811" s="1437"/>
      <c r="CL811" s="1437"/>
    </row>
    <row r="812" s="293" customFormat="1" customHeight="1" spans="1:111">
      <c r="A812" s="1670">
        <v>46195</v>
      </c>
      <c r="B812" s="1552" t="s">
        <v>3071</v>
      </c>
      <c r="C812" s="1553" t="s">
        <v>115</v>
      </c>
      <c r="D812" s="1555">
        <v>4500212812</v>
      </c>
      <c r="E812" s="1553">
        <v>62700623</v>
      </c>
      <c r="F812" s="1555" t="s">
        <v>3285</v>
      </c>
      <c r="G812" s="1556" t="s">
        <v>248</v>
      </c>
      <c r="H812" s="488" t="s">
        <v>249</v>
      </c>
      <c r="I812" s="1557">
        <v>60000</v>
      </c>
      <c r="J812" s="1553">
        <v>0</v>
      </c>
      <c r="K812" s="1553">
        <v>6</v>
      </c>
      <c r="L812" s="1675">
        <f t="shared" si="283"/>
        <v>10000</v>
      </c>
      <c r="M812" s="1545">
        <v>46262</v>
      </c>
      <c r="N812" s="1416">
        <v>46260</v>
      </c>
      <c r="O812" s="1545"/>
      <c r="P812" s="1621"/>
      <c r="Q812" s="1621"/>
      <c r="R812" s="1553"/>
      <c r="S812" s="1553"/>
      <c r="T812" s="1621"/>
      <c r="U812" s="500">
        <f t="shared" si="267"/>
        <v>-60000</v>
      </c>
      <c r="V812" s="1553"/>
      <c r="W812" s="1300">
        <v>46195</v>
      </c>
      <c r="X812" s="1301" t="s">
        <v>107</v>
      </c>
      <c r="Y812" s="1301" t="s">
        <v>3286</v>
      </c>
      <c r="Z812" s="1552"/>
      <c r="AA812" s="1552"/>
      <c r="AB812" s="1552"/>
      <c r="AC812" s="1552" t="s">
        <v>3287</v>
      </c>
      <c r="AD812" s="1416" t="s">
        <v>3077</v>
      </c>
      <c r="AE812" s="1681">
        <v>0.6761</v>
      </c>
      <c r="AF812" s="1696">
        <f>I812*AE812</f>
        <v>40566</v>
      </c>
      <c r="AG812" s="1684"/>
      <c r="AH812" s="504" t="s">
        <v>248</v>
      </c>
      <c r="AI812" s="488" t="s">
        <v>112</v>
      </c>
      <c r="AJ812" s="498" t="s">
        <v>113</v>
      </c>
      <c r="AK812" s="1555">
        <f>I812</f>
        <v>60000</v>
      </c>
      <c r="AL812" s="1555"/>
      <c r="AM812" s="1555"/>
      <c r="AN812" s="1420">
        <f>I812</f>
        <v>60000</v>
      </c>
      <c r="AO812" s="502"/>
      <c r="AP812" s="502"/>
      <c r="AQ812" s="1296"/>
      <c r="AR812" s="438"/>
      <c r="AS812" s="1297"/>
      <c r="AT812" s="1297"/>
      <c r="AU812" s="327">
        <f t="shared" si="285"/>
        <v>60000</v>
      </c>
      <c r="AV812" s="1678"/>
      <c r="AW812" s="1678"/>
      <c r="AX812" s="1555"/>
      <c r="AY812" s="1555"/>
      <c r="AZ812" s="327"/>
      <c r="BA812" s="327"/>
      <c r="BB812" s="1555"/>
      <c r="BC812" s="1555"/>
      <c r="BD812" s="1555"/>
      <c r="BE812" s="1555"/>
      <c r="BF812" s="1555"/>
      <c r="BG812" s="1555"/>
      <c r="BH812" s="1555"/>
      <c r="BI812" s="1555"/>
      <c r="BJ812" s="1555"/>
      <c r="BK812" s="1555"/>
      <c r="BL812" s="1555"/>
      <c r="BM812" s="1555"/>
      <c r="BN812" s="1555"/>
      <c r="BO812" s="1679"/>
      <c r="BP812" s="1679"/>
      <c r="BQ812" s="1555"/>
      <c r="BR812" s="1680"/>
      <c r="BS812" s="1680"/>
      <c r="BT812" s="1555">
        <f>I812/6</f>
        <v>10000</v>
      </c>
      <c r="BU812" s="1555"/>
      <c r="BV812" s="1679"/>
      <c r="BW812" s="1555"/>
      <c r="BX812" s="1555"/>
      <c r="BY812" s="1555"/>
      <c r="BZ812" s="1555"/>
      <c r="CA812" s="1555"/>
      <c r="CB812" s="1555"/>
      <c r="CC812" s="1555"/>
      <c r="CD812" s="1218">
        <f t="shared" si="268"/>
        <v>0</v>
      </c>
      <c r="CE812" s="1218">
        <f t="shared" si="269"/>
        <v>0</v>
      </c>
      <c r="CF812" s="502">
        <f t="shared" si="270"/>
        <v>0</v>
      </c>
      <c r="CG812" s="1218">
        <f t="shared" si="266"/>
        <v>0</v>
      </c>
      <c r="CH812" s="1680"/>
      <c r="CI812" s="1680"/>
      <c r="CJ812" s="1680"/>
      <c r="CK812" s="1555"/>
      <c r="CL812" s="1555"/>
      <c r="CM812" s="1180"/>
      <c r="CN812" s="1180"/>
      <c r="CO812" s="1180"/>
      <c r="CP812" s="1180"/>
      <c r="CQ812" s="1180"/>
      <c r="CR812" s="1180"/>
      <c r="CS812" s="1180"/>
      <c r="CT812" s="1180"/>
      <c r="CU812" s="1180"/>
      <c r="CV812" s="1180"/>
      <c r="CW812" s="1180"/>
      <c r="CX812" s="1180"/>
      <c r="CY812" s="1180"/>
      <c r="CZ812" s="1180"/>
      <c r="DA812" s="1180"/>
      <c r="DB812" s="1180"/>
      <c r="DC812" s="1180"/>
      <c r="DD812" s="1180"/>
      <c r="DE812" s="1180"/>
      <c r="DF812" s="1180"/>
      <c r="DG812" s="1180"/>
    </row>
    <row r="813" s="1180" customFormat="1" customHeight="1" spans="1:111">
      <c r="A813" s="1289">
        <v>46205</v>
      </c>
      <c r="B813" s="1417" t="s">
        <v>280</v>
      </c>
      <c r="C813" s="1434" t="s">
        <v>135</v>
      </c>
      <c r="D813" s="1435">
        <v>4500214762</v>
      </c>
      <c r="E813" s="1434" t="s">
        <v>3288</v>
      </c>
      <c r="F813" s="1437" t="s">
        <v>3289</v>
      </c>
      <c r="G813" s="1438" t="s">
        <v>283</v>
      </c>
      <c r="H813" s="504" t="s">
        <v>194</v>
      </c>
      <c r="I813" s="1439">
        <v>49998</v>
      </c>
      <c r="J813" s="1434">
        <v>0</v>
      </c>
      <c r="K813" s="1434">
        <v>13</v>
      </c>
      <c r="L813" s="1291">
        <f t="shared" si="283"/>
        <v>3846</v>
      </c>
      <c r="M813" s="507">
        <v>46262</v>
      </c>
      <c r="N813" s="1440">
        <v>46260</v>
      </c>
      <c r="O813" s="507"/>
      <c r="P813" s="506"/>
      <c r="Q813" s="506"/>
      <c r="R813" s="504"/>
      <c r="S813" s="504"/>
      <c r="T813" s="506"/>
      <c r="U813" s="500">
        <f t="shared" si="267"/>
        <v>-49998</v>
      </c>
      <c r="V813" s="504"/>
      <c r="W813" s="1300" t="s">
        <v>3290</v>
      </c>
      <c r="X813" s="1301" t="s">
        <v>95</v>
      </c>
      <c r="Y813" s="1301" t="s">
        <v>2493</v>
      </c>
      <c r="Z813" s="544" t="s">
        <v>140</v>
      </c>
      <c r="AA813" s="544"/>
      <c r="AB813" s="543"/>
      <c r="AC813" s="1560" t="s">
        <v>3291</v>
      </c>
      <c r="AD813" s="507" t="s">
        <v>288</v>
      </c>
      <c r="AE813" s="502">
        <v>1.0809</v>
      </c>
      <c r="AF813" s="503">
        <f>I813*AE813</f>
        <v>54042.8382</v>
      </c>
      <c r="AG813" s="1295"/>
      <c r="AH813" s="1424" t="s">
        <v>283</v>
      </c>
      <c r="AI813" s="488" t="s">
        <v>112</v>
      </c>
      <c r="AJ813" s="498" t="s">
        <v>113</v>
      </c>
      <c r="AK813" s="327">
        <f>I813</f>
        <v>49998</v>
      </c>
      <c r="AL813" s="502"/>
      <c r="AM813" s="1218"/>
      <c r="AN813" s="1418">
        <f>I813</f>
        <v>49998</v>
      </c>
      <c r="AO813" s="502"/>
      <c r="AP813" s="502"/>
      <c r="AQ813" s="1296"/>
      <c r="AR813" s="438"/>
      <c r="AS813" s="1297"/>
      <c r="AT813" s="1297"/>
      <c r="AU813" s="502"/>
      <c r="AV813" s="1298">
        <f>I813*0.06</f>
        <v>2999.88</v>
      </c>
      <c r="AW813" s="1298">
        <f>I813</f>
        <v>49998</v>
      </c>
      <c r="AX813" s="502"/>
      <c r="AY813" s="502"/>
      <c r="AZ813" s="502"/>
      <c r="BA813" s="502"/>
      <c r="BB813" s="502"/>
      <c r="BC813" s="502"/>
      <c r="BD813" s="502"/>
      <c r="BE813" s="502"/>
      <c r="BF813" s="502"/>
      <c r="BG813" s="502"/>
      <c r="BH813" s="502"/>
      <c r="BI813" s="502"/>
      <c r="BJ813" s="502"/>
      <c r="BK813" s="1418">
        <f>I813/13</f>
        <v>3846</v>
      </c>
      <c r="BL813" s="502"/>
      <c r="BM813" s="502"/>
      <c r="BN813" s="502"/>
      <c r="BO813" s="1296"/>
      <c r="BP813" s="1296"/>
      <c r="BQ813" s="1218"/>
      <c r="BR813" s="1297"/>
      <c r="BS813" s="1297"/>
      <c r="BT813" s="502"/>
      <c r="BU813" s="502"/>
      <c r="BV813" s="1296"/>
      <c r="BW813" s="1218"/>
      <c r="BX813" s="1218"/>
      <c r="BY813" s="1218"/>
      <c r="BZ813" s="1218"/>
      <c r="CA813" s="1218"/>
      <c r="CB813" s="1218"/>
      <c r="CC813" s="1218"/>
      <c r="CD813" s="1218">
        <f t="shared" si="268"/>
        <v>0</v>
      </c>
      <c r="CE813" s="1218">
        <f t="shared" si="269"/>
        <v>0</v>
      </c>
      <c r="CF813" s="502">
        <f t="shared" si="270"/>
        <v>0</v>
      </c>
      <c r="CG813" s="1218">
        <f t="shared" si="266"/>
        <v>0</v>
      </c>
      <c r="CH813" s="1299"/>
      <c r="CI813" s="1299"/>
      <c r="CJ813" s="1297"/>
      <c r="CK813" s="502"/>
      <c r="CL813" s="502"/>
      <c r="CM813" s="293"/>
      <c r="CN813" s="293"/>
      <c r="CO813" s="293"/>
      <c r="CP813" s="293"/>
      <c r="CQ813" s="293"/>
      <c r="CR813" s="293"/>
      <c r="CS813" s="293"/>
      <c r="CT813" s="293"/>
      <c r="CU813" s="293"/>
      <c r="CV813" s="293"/>
      <c r="CW813" s="293"/>
      <c r="CX813" s="293"/>
      <c r="CY813" s="293"/>
      <c r="CZ813" s="293"/>
      <c r="DA813" s="293"/>
      <c r="DB813" s="293"/>
      <c r="DC813" s="293"/>
      <c r="DD813" s="293"/>
      <c r="DE813" s="293"/>
      <c r="DF813" s="293"/>
      <c r="DG813" s="293"/>
    </row>
    <row r="814" s="294" customFormat="1" customHeight="1" spans="1:111">
      <c r="A814" s="1309">
        <v>46177</v>
      </c>
      <c r="B814" s="544" t="s">
        <v>3292</v>
      </c>
      <c r="C814" s="488" t="s">
        <v>217</v>
      </c>
      <c r="D814" s="327">
        <v>4500210777</v>
      </c>
      <c r="E814" s="488" t="s">
        <v>3293</v>
      </c>
      <c r="F814" s="327" t="s">
        <v>3294</v>
      </c>
      <c r="G814" s="1310" t="s">
        <v>174</v>
      </c>
      <c r="H814" s="488" t="s">
        <v>175</v>
      </c>
      <c r="I814" s="1311">
        <v>7228</v>
      </c>
      <c r="J814" s="488">
        <v>0</v>
      </c>
      <c r="K814" s="488">
        <v>52</v>
      </c>
      <c r="L814" s="488">
        <f t="shared" si="283"/>
        <v>139</v>
      </c>
      <c r="M814" s="1312">
        <v>46262</v>
      </c>
      <c r="N814" s="1323">
        <v>46260</v>
      </c>
      <c r="O814" s="1312"/>
      <c r="P814" s="1313"/>
      <c r="Q814" s="1313"/>
      <c r="R814" s="488"/>
      <c r="S814" s="488"/>
      <c r="T814" s="1313"/>
      <c r="U814" s="500">
        <f t="shared" si="267"/>
        <v>-7228</v>
      </c>
      <c r="V814" s="488"/>
      <c r="W814" s="1300">
        <v>46178</v>
      </c>
      <c r="X814" s="1301" t="s">
        <v>95</v>
      </c>
      <c r="Y814" s="1301" t="s">
        <v>3295</v>
      </c>
      <c r="Z814" s="544"/>
      <c r="AA814" s="544"/>
      <c r="AB814" s="544"/>
      <c r="AC814" s="1294" t="s">
        <v>3296</v>
      </c>
      <c r="AD814" s="1312" t="s">
        <v>2332</v>
      </c>
      <c r="AE814" s="1446">
        <v>1.0544</v>
      </c>
      <c r="AF814" s="1315">
        <f>I814*AE814</f>
        <v>7621.2032</v>
      </c>
      <c r="AG814" s="1295"/>
      <c r="AH814" s="505" t="s">
        <v>174</v>
      </c>
      <c r="AI814" s="488" t="s">
        <v>112</v>
      </c>
      <c r="AJ814" s="498" t="s">
        <v>113</v>
      </c>
      <c r="AK814" s="327">
        <f>I814*2</f>
        <v>14456</v>
      </c>
      <c r="AL814" s="327"/>
      <c r="AM814" s="327"/>
      <c r="AN814" s="1418">
        <f>I814</f>
        <v>7228</v>
      </c>
      <c r="AO814" s="327"/>
      <c r="AP814" s="327"/>
      <c r="AQ814" s="1316"/>
      <c r="AR814" s="327"/>
      <c r="AS814" s="1317"/>
      <c r="AT814" s="1317"/>
      <c r="AU814" s="502">
        <f>I814</f>
        <v>7228</v>
      </c>
      <c r="AV814" s="1318"/>
      <c r="AW814" s="1318"/>
      <c r="AX814" s="327"/>
      <c r="AY814" s="327"/>
      <c r="AZ814" s="327"/>
      <c r="BA814" s="327"/>
      <c r="BB814" s="327"/>
      <c r="BC814" s="327"/>
      <c r="BD814" s="327"/>
      <c r="BE814" s="327"/>
      <c r="BF814" s="327"/>
      <c r="BG814" s="327"/>
      <c r="BH814" s="327"/>
      <c r="BI814" s="327"/>
      <c r="BJ814" s="327"/>
      <c r="BK814" s="1418">
        <f>I814/13</f>
        <v>556</v>
      </c>
      <c r="BL814" s="327"/>
      <c r="BM814" s="327"/>
      <c r="BN814" s="327"/>
      <c r="BO814" s="1316"/>
      <c r="BP814" s="1316"/>
      <c r="BQ814" s="327"/>
      <c r="BR814" s="1317"/>
      <c r="BS814" s="1317"/>
      <c r="BT814" s="327"/>
      <c r="BU814" s="327"/>
      <c r="BV814" s="1316"/>
      <c r="BW814" s="327"/>
      <c r="BX814" s="327"/>
      <c r="BY814" s="327"/>
      <c r="BZ814" s="327"/>
      <c r="CA814" s="327"/>
      <c r="CB814" s="327"/>
      <c r="CC814" s="327"/>
      <c r="CD814" s="1218">
        <f t="shared" si="268"/>
        <v>0</v>
      </c>
      <c r="CE814" s="1218">
        <f t="shared" si="269"/>
        <v>0</v>
      </c>
      <c r="CF814" s="502">
        <f t="shared" si="270"/>
        <v>0</v>
      </c>
      <c r="CG814" s="1218">
        <f t="shared" si="266"/>
        <v>0</v>
      </c>
      <c r="CH814" s="1317"/>
      <c r="CI814" s="1317"/>
      <c r="CJ814" s="1317"/>
      <c r="CK814" s="327"/>
      <c r="CL814" s="327"/>
      <c r="CM814" s="293"/>
      <c r="CN814" s="293"/>
      <c r="CO814" s="293"/>
      <c r="CP814" s="293"/>
      <c r="CQ814" s="293"/>
      <c r="CR814" s="293"/>
      <c r="CS814" s="293"/>
      <c r="CT814" s="293"/>
      <c r="CU814" s="293"/>
      <c r="CV814" s="293"/>
      <c r="CW814" s="293"/>
      <c r="CX814" s="293"/>
      <c r="CY814" s="293"/>
      <c r="CZ814" s="293"/>
      <c r="DA814" s="293"/>
      <c r="DB814" s="293"/>
      <c r="DC814" s="293"/>
      <c r="DD814" s="293"/>
      <c r="DE814" s="293"/>
      <c r="DF814" s="293"/>
      <c r="DG814" s="293"/>
    </row>
    <row r="815" s="1180" customFormat="1" customHeight="1" spans="1:111">
      <c r="A815" s="1309">
        <v>46177</v>
      </c>
      <c r="B815" s="1552" t="s">
        <v>2326</v>
      </c>
      <c r="C815" s="1553" t="s">
        <v>319</v>
      </c>
      <c r="D815" s="1555">
        <v>4500210776</v>
      </c>
      <c r="E815" s="1553" t="s">
        <v>3297</v>
      </c>
      <c r="F815" s="1555" t="s">
        <v>3298</v>
      </c>
      <c r="G815" s="1556" t="s">
        <v>174</v>
      </c>
      <c r="H815" s="1553" t="s">
        <v>175</v>
      </c>
      <c r="I815" s="1557">
        <v>7228</v>
      </c>
      <c r="J815" s="1553">
        <v>0</v>
      </c>
      <c r="K815" s="1553">
        <v>52</v>
      </c>
      <c r="L815" s="488">
        <f t="shared" si="283"/>
        <v>139</v>
      </c>
      <c r="M815" s="1312">
        <v>46262</v>
      </c>
      <c r="N815" s="1323">
        <v>46260</v>
      </c>
      <c r="O815" s="1545"/>
      <c r="P815" s="1313"/>
      <c r="Q815" s="1313"/>
      <c r="R815" s="488" t="s">
        <v>3299</v>
      </c>
      <c r="S815" s="488"/>
      <c r="T815" s="1313"/>
      <c r="U815" s="500">
        <f t="shared" si="267"/>
        <v>-7228</v>
      </c>
      <c r="V815" s="1711"/>
      <c r="W815" s="1300">
        <v>46178</v>
      </c>
      <c r="X815" s="1301" t="s">
        <v>95</v>
      </c>
      <c r="Y815" s="1301" t="s">
        <v>3300</v>
      </c>
      <c r="Z815" s="544"/>
      <c r="AA815" s="544"/>
      <c r="AB815" s="544"/>
      <c r="AC815" s="1301" t="s">
        <v>2331</v>
      </c>
      <c r="AD815" s="1545" t="s">
        <v>2332</v>
      </c>
      <c r="AE815" s="1446">
        <v>1.0544</v>
      </c>
      <c r="AF815" s="1315">
        <f>I815*AE815</f>
        <v>7621.2032</v>
      </c>
      <c r="AG815" s="1295"/>
      <c r="AH815" s="505" t="s">
        <v>174</v>
      </c>
      <c r="AI815" s="488" t="s">
        <v>112</v>
      </c>
      <c r="AJ815" s="498" t="s">
        <v>113</v>
      </c>
      <c r="AK815" s="502">
        <f>I815*2</f>
        <v>14456</v>
      </c>
      <c r="AL815" s="327"/>
      <c r="AM815" s="327"/>
      <c r="AN815" s="1418">
        <f>I815</f>
        <v>7228</v>
      </c>
      <c r="AO815" s="327"/>
      <c r="AP815" s="327"/>
      <c r="AQ815" s="1316"/>
      <c r="AR815" s="327"/>
      <c r="AS815" s="1317"/>
      <c r="AT815" s="1317"/>
      <c r="AU815" s="502">
        <f>I815</f>
        <v>7228</v>
      </c>
      <c r="AV815" s="1318"/>
      <c r="AW815" s="1318"/>
      <c r="AX815" s="327"/>
      <c r="AY815" s="327"/>
      <c r="AZ815" s="327"/>
      <c r="BA815" s="327"/>
      <c r="BB815" s="327"/>
      <c r="BC815" s="327"/>
      <c r="BD815" s="327"/>
      <c r="BE815" s="327"/>
      <c r="BF815" s="327"/>
      <c r="BG815" s="327"/>
      <c r="BH815" s="327"/>
      <c r="BI815" s="327"/>
      <c r="BJ815" s="327"/>
      <c r="BK815" s="1418">
        <f>I815/13</f>
        <v>556</v>
      </c>
      <c r="BL815" s="327"/>
      <c r="BM815" s="327"/>
      <c r="BN815" s="327"/>
      <c r="BO815" s="1316"/>
      <c r="BP815" s="1316"/>
      <c r="BQ815" s="327"/>
      <c r="BR815" s="1317"/>
      <c r="BS815" s="1317"/>
      <c r="BT815" s="327"/>
      <c r="BU815" s="327"/>
      <c r="BV815" s="1316"/>
      <c r="BW815" s="327"/>
      <c r="BX815" s="327"/>
      <c r="BY815" s="327"/>
      <c r="BZ815" s="327"/>
      <c r="CA815" s="327"/>
      <c r="CB815" s="327"/>
      <c r="CC815" s="327"/>
      <c r="CD815" s="1218">
        <f t="shared" si="268"/>
        <v>0</v>
      </c>
      <c r="CE815" s="1218">
        <f t="shared" si="269"/>
        <v>0</v>
      </c>
      <c r="CF815" s="502">
        <f t="shared" si="270"/>
        <v>0</v>
      </c>
      <c r="CG815" s="1218">
        <f t="shared" ref="CG815:CG878" si="286">BV815+BW815+BX815</f>
        <v>0</v>
      </c>
      <c r="CH815" s="1317"/>
      <c r="CI815" s="1317"/>
      <c r="CJ815" s="1317"/>
      <c r="CK815" s="327"/>
      <c r="CL815" s="327"/>
      <c r="CM815" s="293"/>
      <c r="CN815" s="293"/>
      <c r="CO815" s="293"/>
      <c r="CP815" s="293"/>
      <c r="CQ815" s="293"/>
      <c r="CR815" s="293"/>
      <c r="CS815" s="293"/>
      <c r="CT815" s="293"/>
      <c r="CU815" s="293"/>
      <c r="CV815" s="293"/>
      <c r="CW815" s="293"/>
      <c r="CX815" s="293"/>
      <c r="CY815" s="293"/>
      <c r="CZ815" s="293"/>
      <c r="DA815" s="293"/>
      <c r="DB815" s="293"/>
      <c r="DC815" s="293"/>
      <c r="DD815" s="293"/>
      <c r="DE815" s="293"/>
      <c r="DF815" s="293"/>
      <c r="DG815" s="293"/>
    </row>
    <row r="816" s="1180" customFormat="1" customHeight="1" spans="1:111">
      <c r="A816" s="1289">
        <v>46115</v>
      </c>
      <c r="B816" s="1417" t="s">
        <v>2382</v>
      </c>
      <c r="C816" s="1434" t="s">
        <v>201</v>
      </c>
      <c r="D816" s="1437">
        <v>4500200110</v>
      </c>
      <c r="E816" s="1436">
        <v>760331164</v>
      </c>
      <c r="F816" s="1437" t="s">
        <v>3301</v>
      </c>
      <c r="G816" s="1438" t="s">
        <v>482</v>
      </c>
      <c r="H816" s="1434" t="s">
        <v>483</v>
      </c>
      <c r="I816" s="1439">
        <v>4320</v>
      </c>
      <c r="J816" s="1434">
        <v>0</v>
      </c>
      <c r="K816" s="1434">
        <v>120</v>
      </c>
      <c r="L816" s="1291">
        <f t="shared" si="283"/>
        <v>36</v>
      </c>
      <c r="M816" s="1365">
        <v>46262</v>
      </c>
      <c r="N816" s="1365">
        <v>46260</v>
      </c>
      <c r="O816" s="1545"/>
      <c r="P816" s="506"/>
      <c r="Q816" s="506"/>
      <c r="R816" s="504"/>
      <c r="S816" s="504"/>
      <c r="T816" s="506"/>
      <c r="U816" s="500">
        <f t="shared" si="267"/>
        <v>-4320</v>
      </c>
      <c r="V816" s="504"/>
      <c r="W816" s="1300" t="s">
        <v>2658</v>
      </c>
      <c r="X816" s="1325" t="s">
        <v>107</v>
      </c>
      <c r="Y816" s="1325" t="s">
        <v>95</v>
      </c>
      <c r="Z816" s="543"/>
      <c r="AA816" s="543"/>
      <c r="AB816" s="543"/>
      <c r="AC816" s="1417" t="s">
        <v>636</v>
      </c>
      <c r="AD816" s="507" t="s">
        <v>488</v>
      </c>
      <c r="AE816" s="502">
        <v>1070</v>
      </c>
      <c r="AF816" s="503">
        <f>I816*AE816</f>
        <v>4622400</v>
      </c>
      <c r="AG816" s="1295"/>
      <c r="AH816" s="504" t="s">
        <v>490</v>
      </c>
      <c r="AI816" s="504" t="s">
        <v>112</v>
      </c>
      <c r="AJ816" s="498" t="s">
        <v>113</v>
      </c>
      <c r="AK816" s="502"/>
      <c r="AL816" s="502">
        <f>I816*3</f>
        <v>12960</v>
      </c>
      <c r="AM816" s="1218"/>
      <c r="AN816" s="502"/>
      <c r="AO816" s="502"/>
      <c r="AP816" s="502"/>
      <c r="AQ816" s="1296"/>
      <c r="AR816" s="438"/>
      <c r="AS816" s="1297"/>
      <c r="AT816" s="1297"/>
      <c r="AU816" s="502"/>
      <c r="AV816" s="1298">
        <f>I816*0.06*2</f>
        <v>518.4</v>
      </c>
      <c r="AW816" s="1298"/>
      <c r="AX816" s="502"/>
      <c r="AY816" s="502"/>
      <c r="AZ816" s="502"/>
      <c r="BA816" s="502"/>
      <c r="BB816" s="502">
        <f>I816*3</f>
        <v>12960</v>
      </c>
      <c r="BC816" s="502">
        <f>I816*3</f>
        <v>12960</v>
      </c>
      <c r="BD816" s="502">
        <f>I816*3</f>
        <v>12960</v>
      </c>
      <c r="BE816" s="502">
        <f>I816</f>
        <v>4320</v>
      </c>
      <c r="BF816" s="502">
        <f>I816/6</f>
        <v>720</v>
      </c>
      <c r="BG816" s="502"/>
      <c r="BH816" s="502"/>
      <c r="BI816" s="502"/>
      <c r="BJ816" s="502"/>
      <c r="BK816" s="502"/>
      <c r="BL816" s="502"/>
      <c r="BM816" s="502"/>
      <c r="BN816" s="502"/>
      <c r="BO816" s="1296"/>
      <c r="BP816" s="1296"/>
      <c r="BQ816" s="1218"/>
      <c r="BR816" s="1297"/>
      <c r="BS816" s="1297"/>
      <c r="BT816" s="502"/>
      <c r="BU816" s="502"/>
      <c r="BV816" s="1296"/>
      <c r="BW816" s="1218"/>
      <c r="BX816" s="1218"/>
      <c r="BY816" s="1218"/>
      <c r="BZ816" s="1218"/>
      <c r="CA816" s="1218"/>
      <c r="CB816" s="1218"/>
      <c r="CC816" s="1218"/>
      <c r="CD816" s="1218">
        <f t="shared" si="268"/>
        <v>0</v>
      </c>
      <c r="CE816" s="1218">
        <f t="shared" si="269"/>
        <v>0</v>
      </c>
      <c r="CF816" s="502">
        <f t="shared" si="270"/>
        <v>0</v>
      </c>
      <c r="CG816" s="1218">
        <f t="shared" si="286"/>
        <v>0</v>
      </c>
      <c r="CH816" s="1299"/>
      <c r="CI816" s="1299"/>
      <c r="CJ816" s="1297"/>
      <c r="CK816" s="502"/>
      <c r="CL816" s="502"/>
      <c r="CM816" s="293"/>
      <c r="CN816" s="293"/>
      <c r="CO816" s="293"/>
      <c r="CP816" s="293"/>
      <c r="CQ816" s="293"/>
      <c r="CR816" s="293"/>
      <c r="CS816" s="293"/>
      <c r="CT816" s="293"/>
      <c r="CU816" s="293"/>
      <c r="CV816" s="293"/>
      <c r="CW816" s="293"/>
      <c r="CX816" s="293"/>
      <c r="CY816" s="293"/>
      <c r="CZ816" s="293"/>
      <c r="DA816" s="293"/>
      <c r="DB816" s="293"/>
      <c r="DC816" s="293"/>
      <c r="DD816" s="293"/>
      <c r="DE816" s="293"/>
      <c r="DF816" s="293"/>
      <c r="DG816" s="293"/>
    </row>
    <row r="817" s="1180" customFormat="1" customHeight="1" spans="1:111">
      <c r="A817" s="1309">
        <v>46185</v>
      </c>
      <c r="B817" s="1410" t="s">
        <v>280</v>
      </c>
      <c r="C817" s="1411" t="s">
        <v>135</v>
      </c>
      <c r="D817" s="1412">
        <v>4500211844</v>
      </c>
      <c r="E817" s="1603" t="s">
        <v>3302</v>
      </c>
      <c r="F817" s="1412" t="s">
        <v>3303</v>
      </c>
      <c r="G817" s="1413" t="s">
        <v>3176</v>
      </c>
      <c r="H817" s="488" t="s">
        <v>804</v>
      </c>
      <c r="I817" s="1414">
        <v>4200</v>
      </c>
      <c r="J817" s="1415">
        <v>0</v>
      </c>
      <c r="K817" s="1415">
        <v>6</v>
      </c>
      <c r="L817" s="1291">
        <f t="shared" si="283"/>
        <v>700</v>
      </c>
      <c r="M817" s="1440">
        <v>46262</v>
      </c>
      <c r="N817" s="1440">
        <f>M817-2</f>
        <v>46260</v>
      </c>
      <c r="O817" s="501"/>
      <c r="P817" s="506"/>
      <c r="Q817" s="506"/>
      <c r="R817" s="504"/>
      <c r="S817" s="504"/>
      <c r="T817" s="506"/>
      <c r="U817" s="500">
        <f t="shared" si="267"/>
        <v>-4200</v>
      </c>
      <c r="V817" s="504"/>
      <c r="W817" s="1300" t="s">
        <v>2990</v>
      </c>
      <c r="X817" s="1294" t="s">
        <v>95</v>
      </c>
      <c r="Y817" s="1301" t="s">
        <v>2493</v>
      </c>
      <c r="Z817" s="544" t="s">
        <v>2494</v>
      </c>
      <c r="AA817" s="543"/>
      <c r="AB817" s="543"/>
      <c r="AC817" s="1560" t="s">
        <v>3304</v>
      </c>
      <c r="AD817" s="547" t="s">
        <v>1207</v>
      </c>
      <c r="AE817" s="548">
        <v>8.15</v>
      </c>
      <c r="AF817" s="503">
        <f>L817*AE817</f>
        <v>5705</v>
      </c>
      <c r="AG817" s="1295"/>
      <c r="AH817" s="1424" t="s">
        <v>2727</v>
      </c>
      <c r="AI817" s="488" t="s">
        <v>112</v>
      </c>
      <c r="AJ817" s="498" t="s">
        <v>113</v>
      </c>
      <c r="AK817" s="327">
        <f>I817*2</f>
        <v>8400</v>
      </c>
      <c r="AL817" s="502"/>
      <c r="AM817" s="502"/>
      <c r="AN817" s="1418">
        <f>I817</f>
        <v>4200</v>
      </c>
      <c r="AO817" s="502"/>
      <c r="AP817" s="502"/>
      <c r="AQ817" s="1296"/>
      <c r="AR817" s="502"/>
      <c r="AS817" s="1297"/>
      <c r="AT817" s="1297"/>
      <c r="AU817" s="502"/>
      <c r="AV817" s="1612">
        <f>I817*0.06</f>
        <v>252</v>
      </c>
      <c r="AW817" s="1298">
        <f>I817</f>
        <v>4200</v>
      </c>
      <c r="AX817" s="502"/>
      <c r="AY817" s="502"/>
      <c r="AZ817" s="502"/>
      <c r="BA817" s="502"/>
      <c r="BB817" s="502"/>
      <c r="BC817" s="502"/>
      <c r="BD817" s="502"/>
      <c r="BE817" s="502"/>
      <c r="BF817" s="502"/>
      <c r="BG817" s="502"/>
      <c r="BH817" s="502"/>
      <c r="BI817" s="502"/>
      <c r="BJ817" s="502"/>
      <c r="BK817" s="502"/>
      <c r="BL817" s="502"/>
      <c r="BM817" s="502"/>
      <c r="BN817" s="502"/>
      <c r="BO817" s="1615"/>
      <c r="BP817" s="1296"/>
      <c r="BQ817" s="502"/>
      <c r="BR817" s="1297"/>
      <c r="BS817" s="1297"/>
      <c r="BT817" s="502"/>
      <c r="BU817" s="502"/>
      <c r="BV817" s="1296"/>
      <c r="BW817" s="502"/>
      <c r="BX817" s="502"/>
      <c r="BY817" s="502"/>
      <c r="BZ817" s="1218"/>
      <c r="CA817" s="1218"/>
      <c r="CB817" s="1218"/>
      <c r="CC817" s="1218"/>
      <c r="CD817" s="1218">
        <f t="shared" si="268"/>
        <v>0</v>
      </c>
      <c r="CE817" s="1218">
        <f t="shared" si="269"/>
        <v>0</v>
      </c>
      <c r="CF817" s="502">
        <f t="shared" si="270"/>
        <v>0</v>
      </c>
      <c r="CG817" s="1218">
        <f t="shared" si="286"/>
        <v>0</v>
      </c>
      <c r="CH817" s="1299"/>
      <c r="CI817" s="1299"/>
      <c r="CJ817" s="1299">
        <f>I817</f>
        <v>4200</v>
      </c>
      <c r="CK817" s="1218">
        <f>I817</f>
        <v>4200</v>
      </c>
      <c r="CL817" s="1218">
        <f>I817</f>
        <v>4200</v>
      </c>
      <c r="CM817" s="293"/>
      <c r="CN817" s="293"/>
      <c r="CO817" s="293"/>
      <c r="CP817" s="293"/>
      <c r="CQ817" s="293"/>
      <c r="CR817" s="293"/>
      <c r="CS817" s="293"/>
      <c r="CT817" s="293"/>
      <c r="CU817" s="293"/>
      <c r="CV817" s="293"/>
      <c r="CW817" s="293"/>
      <c r="CX817" s="293"/>
      <c r="CY817" s="293"/>
      <c r="CZ817" s="293"/>
      <c r="DA817" s="293"/>
      <c r="DB817" s="293"/>
      <c r="DC817" s="293"/>
      <c r="DD817" s="293"/>
      <c r="DE817" s="293"/>
      <c r="DF817" s="293"/>
      <c r="DG817" s="293"/>
    </row>
    <row r="818" s="293" customFormat="1" customHeight="1" spans="1:111">
      <c r="A818" s="1309">
        <v>46185</v>
      </c>
      <c r="B818" s="1421" t="s">
        <v>280</v>
      </c>
      <c r="C818" s="1422" t="s">
        <v>135</v>
      </c>
      <c r="D818" s="1423">
        <v>4500211844</v>
      </c>
      <c r="E818" s="1585" t="s">
        <v>3305</v>
      </c>
      <c r="F818" s="1423" t="s">
        <v>3306</v>
      </c>
      <c r="G818" s="1424" t="s">
        <v>3176</v>
      </c>
      <c r="H818" s="488" t="s">
        <v>804</v>
      </c>
      <c r="I818" s="1425">
        <v>4200</v>
      </c>
      <c r="J818" s="1426">
        <v>0</v>
      </c>
      <c r="K818" s="1426">
        <v>6</v>
      </c>
      <c r="L818" s="1291">
        <f t="shared" si="283"/>
        <v>700</v>
      </c>
      <c r="M818" s="1365">
        <v>46262</v>
      </c>
      <c r="N818" s="1365">
        <f>M818-2</f>
        <v>46260</v>
      </c>
      <c r="O818" s="501"/>
      <c r="P818" s="506"/>
      <c r="Q818" s="506"/>
      <c r="R818" s="504"/>
      <c r="S818" s="504"/>
      <c r="T818" s="506"/>
      <c r="U818" s="500">
        <f t="shared" si="267"/>
        <v>-4200</v>
      </c>
      <c r="V818" s="504"/>
      <c r="W818" s="1300" t="s">
        <v>2990</v>
      </c>
      <c r="X818" s="1294" t="s">
        <v>95</v>
      </c>
      <c r="Y818" s="1301" t="s">
        <v>2493</v>
      </c>
      <c r="Z818" s="544" t="s">
        <v>2494</v>
      </c>
      <c r="AA818" s="543"/>
      <c r="AB818" s="543"/>
      <c r="AC818" s="1443" t="s">
        <v>3304</v>
      </c>
      <c r="AD818" s="1427" t="s">
        <v>1207</v>
      </c>
      <c r="AE818" s="548">
        <v>8.15</v>
      </c>
      <c r="AF818" s="503">
        <f>L818*AE818</f>
        <v>5705</v>
      </c>
      <c r="AG818" s="1295"/>
      <c r="AH818" s="1424" t="s">
        <v>2727</v>
      </c>
      <c r="AI818" s="488" t="s">
        <v>112</v>
      </c>
      <c r="AJ818" s="498" t="s">
        <v>113</v>
      </c>
      <c r="AK818" s="327">
        <f>I818*2</f>
        <v>8400</v>
      </c>
      <c r="AL818" s="502"/>
      <c r="AM818" s="502"/>
      <c r="AN818" s="1418">
        <f>I818</f>
        <v>4200</v>
      </c>
      <c r="AO818" s="502"/>
      <c r="AP818" s="502"/>
      <c r="AQ818" s="1296"/>
      <c r="AR818" s="502"/>
      <c r="AS818" s="1297"/>
      <c r="AT818" s="1297"/>
      <c r="AU818" s="502"/>
      <c r="AV818" s="1298">
        <f>I818*0.06</f>
        <v>252</v>
      </c>
      <c r="AW818" s="1298">
        <f>I818</f>
        <v>4200</v>
      </c>
      <c r="AX818" s="502"/>
      <c r="AY818" s="502"/>
      <c r="AZ818" s="502"/>
      <c r="BA818" s="502"/>
      <c r="BB818" s="502"/>
      <c r="BC818" s="502"/>
      <c r="BD818" s="502"/>
      <c r="BE818" s="502"/>
      <c r="BF818" s="502"/>
      <c r="BG818" s="502"/>
      <c r="BH818" s="502"/>
      <c r="BI818" s="502"/>
      <c r="BJ818" s="502"/>
      <c r="BK818" s="502"/>
      <c r="BL818" s="502"/>
      <c r="BM818" s="502"/>
      <c r="BN818" s="502"/>
      <c r="BO818" s="1296"/>
      <c r="BP818" s="1296"/>
      <c r="BQ818" s="502"/>
      <c r="BR818" s="1297"/>
      <c r="BS818" s="1297"/>
      <c r="BT818" s="502"/>
      <c r="BU818" s="502"/>
      <c r="BV818" s="1296"/>
      <c r="BW818" s="502"/>
      <c r="BX818" s="502"/>
      <c r="BY818" s="502"/>
      <c r="BZ818" s="1218"/>
      <c r="CA818" s="1218"/>
      <c r="CB818" s="1218"/>
      <c r="CC818" s="1218"/>
      <c r="CD818" s="1218">
        <f t="shared" si="268"/>
        <v>0</v>
      </c>
      <c r="CE818" s="1218">
        <f t="shared" si="269"/>
        <v>0</v>
      </c>
      <c r="CF818" s="502">
        <f t="shared" si="270"/>
        <v>0</v>
      </c>
      <c r="CG818" s="1218">
        <f t="shared" si="286"/>
        <v>0</v>
      </c>
      <c r="CH818" s="1299"/>
      <c r="CI818" s="1299"/>
      <c r="CJ818" s="1299">
        <f>I818</f>
        <v>4200</v>
      </c>
      <c r="CK818" s="1218">
        <f>I818</f>
        <v>4200</v>
      </c>
      <c r="CL818" s="1218">
        <f>I818</f>
        <v>4200</v>
      </c>
    </row>
    <row r="819" s="1180" customFormat="1" customHeight="1" spans="1:111">
      <c r="A819" s="1309">
        <v>46234</v>
      </c>
      <c r="B819" s="1552" t="s">
        <v>163</v>
      </c>
      <c r="C819" s="1553" t="s">
        <v>164</v>
      </c>
      <c r="D819" s="1554">
        <v>4500218402</v>
      </c>
      <c r="E819" s="1621">
        <v>4400577346</v>
      </c>
      <c r="F819" s="1555" t="s">
        <v>3307</v>
      </c>
      <c r="G819" s="1556" t="s">
        <v>270</v>
      </c>
      <c r="H819" s="1553" t="s">
        <v>104</v>
      </c>
      <c r="I819" s="1557">
        <v>35000</v>
      </c>
      <c r="J819" s="1553">
        <v>0</v>
      </c>
      <c r="K819" s="1553">
        <v>25</v>
      </c>
      <c r="L819" s="1544">
        <f t="shared" si="283"/>
        <v>1400</v>
      </c>
      <c r="M819" s="1545">
        <v>46262</v>
      </c>
      <c r="N819" s="1545">
        <f>M819-4</f>
        <v>46258</v>
      </c>
      <c r="O819" s="1545"/>
      <c r="P819" s="1313" t="s">
        <v>3308</v>
      </c>
      <c r="Q819" s="1313"/>
      <c r="R819" s="488"/>
      <c r="S819" s="488"/>
      <c r="T819" s="1313"/>
      <c r="U819" s="500">
        <f t="shared" si="267"/>
        <v>-35000</v>
      </c>
      <c r="V819" s="488"/>
      <c r="W819" s="1300">
        <v>46185</v>
      </c>
      <c r="X819" s="1301" t="s">
        <v>95</v>
      </c>
      <c r="Y819" s="1301" t="s">
        <v>1794</v>
      </c>
      <c r="Z819" s="544" t="s">
        <v>140</v>
      </c>
      <c r="AA819" s="544"/>
      <c r="AB819" s="544" t="s">
        <v>3309</v>
      </c>
      <c r="AC819" s="1552" t="s">
        <v>3310</v>
      </c>
      <c r="AD819" s="1545" t="s">
        <v>1142</v>
      </c>
      <c r="AE819" s="327">
        <v>1.1238</v>
      </c>
      <c r="AF819" s="1315">
        <f>I819*AE819</f>
        <v>39333</v>
      </c>
      <c r="AG819" s="1295"/>
      <c r="AH819" s="1310" t="s">
        <v>270</v>
      </c>
      <c r="AI819" s="488" t="s">
        <v>112</v>
      </c>
      <c r="AJ819" s="488"/>
      <c r="AK819" s="327">
        <f>I819</f>
        <v>35000</v>
      </c>
      <c r="AL819" s="327"/>
      <c r="AM819" s="327"/>
      <c r="AN819" s="327"/>
      <c r="AO819" s="327"/>
      <c r="AP819" s="327"/>
      <c r="AQ819" s="1316"/>
      <c r="AR819" s="327"/>
      <c r="AS819" s="1317"/>
      <c r="AT819" s="1317"/>
      <c r="AU819" s="327"/>
      <c r="AV819" s="1318">
        <f>I819*0.06</f>
        <v>2100</v>
      </c>
      <c r="AW819" s="1318"/>
      <c r="AX819" s="327"/>
      <c r="AY819" s="327"/>
      <c r="AZ819" s="327"/>
      <c r="BA819" s="327"/>
      <c r="BB819" s="327"/>
      <c r="BC819" s="327"/>
      <c r="BD819" s="327"/>
      <c r="BE819" s="327"/>
      <c r="BF819" s="327"/>
      <c r="BG819" s="327">
        <f>I819</f>
        <v>35000</v>
      </c>
      <c r="BH819" s="327">
        <f>I819</f>
        <v>35000</v>
      </c>
      <c r="BI819" s="327"/>
      <c r="BJ819" s="327"/>
      <c r="BK819" s="327"/>
      <c r="BL819" s="327"/>
      <c r="BM819" s="327"/>
      <c r="BN819" s="327"/>
      <c r="BO819" s="1316"/>
      <c r="BP819" s="1316"/>
      <c r="BQ819" s="327"/>
      <c r="BR819" s="1317"/>
      <c r="BS819" s="1317"/>
      <c r="BT819" s="327"/>
      <c r="BU819" s="327"/>
      <c r="BV819" s="1316"/>
      <c r="BW819" s="327"/>
      <c r="BX819" s="327"/>
      <c r="BY819" s="327"/>
      <c r="BZ819" s="327"/>
      <c r="CA819" s="327"/>
      <c r="CB819" s="327"/>
      <c r="CC819" s="327"/>
      <c r="CD819" s="327">
        <f t="shared" si="268"/>
        <v>0</v>
      </c>
      <c r="CE819" s="327">
        <f t="shared" si="269"/>
        <v>0</v>
      </c>
      <c r="CF819" s="327">
        <f t="shared" si="270"/>
        <v>0</v>
      </c>
      <c r="CG819" s="327">
        <f t="shared" si="286"/>
        <v>0</v>
      </c>
      <c r="CH819" s="1317"/>
      <c r="CI819" s="1317"/>
      <c r="CJ819" s="1317"/>
      <c r="CK819" s="327"/>
      <c r="CL819" s="327"/>
    </row>
    <row r="820" s="293" customFormat="1" customHeight="1" spans="1:111">
      <c r="A820" s="1289">
        <v>46190</v>
      </c>
      <c r="B820" s="1417" t="s">
        <v>3311</v>
      </c>
      <c r="C820" s="1434" t="s">
        <v>115</v>
      </c>
      <c r="D820" s="1435">
        <v>4500212828</v>
      </c>
      <c r="E820" s="1436">
        <v>835238</v>
      </c>
      <c r="F820" s="1437" t="s">
        <v>3312</v>
      </c>
      <c r="G820" s="1438" t="s">
        <v>3313</v>
      </c>
      <c r="H820" s="488" t="s">
        <v>3314</v>
      </c>
      <c r="I820" s="1439">
        <v>10400</v>
      </c>
      <c r="J820" s="1434">
        <v>0</v>
      </c>
      <c r="K820" s="1434">
        <v>52</v>
      </c>
      <c r="L820" s="1291">
        <f t="shared" si="283"/>
        <v>200</v>
      </c>
      <c r="M820" s="507">
        <v>46262</v>
      </c>
      <c r="N820" s="1440">
        <v>46263</v>
      </c>
      <c r="O820" s="507"/>
      <c r="P820" s="1313"/>
      <c r="Q820" s="506"/>
      <c r="R820" s="504"/>
      <c r="S820" s="504"/>
      <c r="T820" s="506"/>
      <c r="U820" s="500">
        <f t="shared" si="267"/>
        <v>-10400</v>
      </c>
      <c r="V820" s="504"/>
      <c r="W820" s="1300" t="s">
        <v>3282</v>
      </c>
      <c r="X820" s="1294" t="s">
        <v>95</v>
      </c>
      <c r="Y820" s="1294" t="s">
        <v>3315</v>
      </c>
      <c r="Z820" s="544" t="s">
        <v>3316</v>
      </c>
      <c r="AA820" s="544"/>
      <c r="AB820" s="543"/>
      <c r="AC820" s="1552" t="s">
        <v>3317</v>
      </c>
      <c r="AD820" s="507" t="s">
        <v>2754</v>
      </c>
      <c r="AE820" s="502">
        <v>0.6383</v>
      </c>
      <c r="AF820" s="503">
        <f>AE820*L820</f>
        <v>127.66</v>
      </c>
      <c r="AG820" s="1295"/>
      <c r="AH820" s="488" t="s">
        <v>3313</v>
      </c>
      <c r="AI820" s="488" t="s">
        <v>112</v>
      </c>
      <c r="AJ820" s="498" t="s">
        <v>113</v>
      </c>
      <c r="AK820" s="502">
        <f>I820</f>
        <v>10400</v>
      </c>
      <c r="AL820" s="502"/>
      <c r="AM820" s="1218"/>
      <c r="AN820" s="1418">
        <f>I820</f>
        <v>10400</v>
      </c>
      <c r="AO820" s="502"/>
      <c r="AP820" s="502"/>
      <c r="AQ820" s="1296"/>
      <c r="AR820" s="438"/>
      <c r="AS820" s="1297"/>
      <c r="AT820" s="1297"/>
      <c r="AU820" s="502">
        <f t="shared" ref="AU820:AU826" si="287">I820</f>
        <v>10400</v>
      </c>
      <c r="AV820" s="1298"/>
      <c r="AW820" s="1298"/>
      <c r="AX820" s="502"/>
      <c r="AY820" s="502"/>
      <c r="AZ820" s="502"/>
      <c r="BA820" s="502"/>
      <c r="BB820" s="502"/>
      <c r="BC820" s="502"/>
      <c r="BD820" s="502"/>
      <c r="BE820" s="502"/>
      <c r="BF820" s="502"/>
      <c r="BG820" s="502"/>
      <c r="BH820" s="502"/>
      <c r="BI820" s="502"/>
      <c r="BJ820" s="502"/>
      <c r="BK820" s="1418">
        <f>I820/13</f>
        <v>800</v>
      </c>
      <c r="BL820" s="502"/>
      <c r="BM820" s="502"/>
      <c r="BN820" s="502"/>
      <c r="BO820" s="1296"/>
      <c r="BP820" s="1296"/>
      <c r="BQ820" s="1218"/>
      <c r="BR820" s="1297"/>
      <c r="BS820" s="1297"/>
      <c r="BT820" s="502"/>
      <c r="BU820" s="502"/>
      <c r="BV820" s="1296"/>
      <c r="BW820" s="1218"/>
      <c r="BX820" s="1218"/>
      <c r="BY820" s="1218"/>
      <c r="BZ820" s="1218"/>
      <c r="CA820" s="1218"/>
      <c r="CB820" s="1218"/>
      <c r="CC820" s="1218"/>
      <c r="CD820" s="1218">
        <f t="shared" si="268"/>
        <v>0</v>
      </c>
      <c r="CE820" s="1218">
        <f t="shared" si="269"/>
        <v>0</v>
      </c>
      <c r="CF820" s="502">
        <f t="shared" si="270"/>
        <v>0</v>
      </c>
      <c r="CG820" s="1218">
        <f t="shared" si="286"/>
        <v>0</v>
      </c>
      <c r="CH820" s="1299"/>
      <c r="CI820" s="1299"/>
      <c r="CJ820" s="1297"/>
      <c r="CK820" s="502"/>
      <c r="CL820" s="502"/>
    </row>
    <row r="821" s="1177" customFormat="1" customHeight="1" spans="1:111">
      <c r="A821" s="1289">
        <v>46184</v>
      </c>
      <c r="B821" s="543" t="s">
        <v>378</v>
      </c>
      <c r="C821" s="504" t="s">
        <v>201</v>
      </c>
      <c r="D821" s="1305">
        <v>4500211685</v>
      </c>
      <c r="E821" s="1531">
        <v>2551020366</v>
      </c>
      <c r="F821" s="502" t="s">
        <v>3318</v>
      </c>
      <c r="G821" s="505" t="s">
        <v>2047</v>
      </c>
      <c r="H821" s="504" t="s">
        <v>2048</v>
      </c>
      <c r="I821" s="1290">
        <v>6400</v>
      </c>
      <c r="J821" s="504">
        <v>0</v>
      </c>
      <c r="K821" s="504">
        <v>64</v>
      </c>
      <c r="L821" s="1291">
        <f t="shared" si="283"/>
        <v>100</v>
      </c>
      <c r="M821" s="1365">
        <v>46265</v>
      </c>
      <c r="N821" s="1365">
        <v>46265</v>
      </c>
      <c r="O821" s="1545"/>
      <c r="P821" s="1712" t="s">
        <v>3319</v>
      </c>
      <c r="Q821" s="506"/>
      <c r="R821" s="504"/>
      <c r="S821" s="504"/>
      <c r="T821" s="506"/>
      <c r="U821" s="500">
        <f t="shared" si="267"/>
        <v>-6400</v>
      </c>
      <c r="V821" s="1313"/>
      <c r="W821" s="1300">
        <v>46191</v>
      </c>
      <c r="X821" s="1301" t="s">
        <v>95</v>
      </c>
      <c r="Y821" s="1301" t="s">
        <v>3320</v>
      </c>
      <c r="Z821" s="544"/>
      <c r="AA821" s="544"/>
      <c r="AB821" s="543"/>
      <c r="AC821" s="1443" t="s">
        <v>3321</v>
      </c>
      <c r="AD821" s="501" t="s">
        <v>384</v>
      </c>
      <c r="AE821" s="502">
        <v>341.2032</v>
      </c>
      <c r="AF821" s="503">
        <f>L821*AE821</f>
        <v>34120.32</v>
      </c>
      <c r="AG821" s="1295"/>
      <c r="AH821" s="488" t="s">
        <v>2052</v>
      </c>
      <c r="AI821" s="488" t="s">
        <v>112</v>
      </c>
      <c r="AJ821" s="498" t="s">
        <v>113</v>
      </c>
      <c r="AK821" s="502">
        <f>I821</f>
        <v>6400</v>
      </c>
      <c r="AL821" s="502"/>
      <c r="AM821" s="1218"/>
      <c r="AN821" s="502"/>
      <c r="AO821" s="502"/>
      <c r="AP821" s="502">
        <f>I821</f>
        <v>6400</v>
      </c>
      <c r="AQ821" s="1296"/>
      <c r="AR821" s="438"/>
      <c r="AS821" s="1297"/>
      <c r="AT821" s="1297"/>
      <c r="AU821" s="502">
        <f t="shared" si="287"/>
        <v>6400</v>
      </c>
      <c r="AV821" s="1298">
        <f>I821*0.06</f>
        <v>384</v>
      </c>
      <c r="AW821" s="1298"/>
      <c r="AX821" s="502"/>
      <c r="AY821" s="502"/>
      <c r="AZ821" s="502"/>
      <c r="BA821" s="502"/>
      <c r="BB821" s="502"/>
      <c r="BC821" s="502"/>
      <c r="BD821" s="502"/>
      <c r="BE821" s="502"/>
      <c r="BF821" s="502"/>
      <c r="BG821" s="502"/>
      <c r="BH821" s="502"/>
      <c r="BI821" s="502"/>
      <c r="BJ821" s="502"/>
      <c r="BK821" s="502"/>
      <c r="BL821" s="502"/>
      <c r="BM821" s="502"/>
      <c r="BN821" s="502"/>
      <c r="BO821" s="1296"/>
      <c r="BP821" s="1296"/>
      <c r="BQ821" s="1218"/>
      <c r="BR821" s="1297"/>
      <c r="BS821" s="1297"/>
      <c r="BT821" s="502"/>
      <c r="BU821" s="502"/>
      <c r="BV821" s="1296"/>
      <c r="BW821" s="1218"/>
      <c r="BX821" s="1218"/>
      <c r="BY821" s="1218"/>
      <c r="BZ821" s="1218">
        <f>L821</f>
        <v>100</v>
      </c>
      <c r="CA821" s="1218"/>
      <c r="CB821" s="1218"/>
      <c r="CC821" s="1218"/>
      <c r="CD821" s="1218">
        <f t="shared" si="268"/>
        <v>0</v>
      </c>
      <c r="CE821" s="1218">
        <f t="shared" si="269"/>
        <v>0</v>
      </c>
      <c r="CF821" s="502">
        <f t="shared" si="270"/>
        <v>0</v>
      </c>
      <c r="CG821" s="1218">
        <f t="shared" si="286"/>
        <v>0</v>
      </c>
      <c r="CH821" s="1299"/>
      <c r="CI821" s="1299"/>
      <c r="CJ821" s="1297"/>
      <c r="CK821" s="502"/>
      <c r="CL821" s="502"/>
      <c r="CM821" s="293"/>
      <c r="CN821" s="293"/>
      <c r="CO821" s="293"/>
      <c r="CP821" s="293"/>
      <c r="CQ821" s="293"/>
      <c r="CR821" s="293"/>
      <c r="CS821" s="293"/>
      <c r="CT821" s="293"/>
      <c r="CU821" s="293"/>
      <c r="CV821" s="293"/>
      <c r="CW821" s="293"/>
      <c r="CX821" s="293"/>
      <c r="CY821" s="293"/>
      <c r="CZ821" s="293"/>
      <c r="DA821" s="293"/>
      <c r="DB821" s="293"/>
      <c r="DC821" s="293"/>
      <c r="DD821" s="293"/>
      <c r="DE821" s="293"/>
      <c r="DF821" s="293"/>
      <c r="DG821" s="293"/>
    </row>
    <row r="822" s="1177" customFormat="1" customHeight="1" spans="1:111">
      <c r="A822" s="1309">
        <v>46210</v>
      </c>
      <c r="B822" s="544" t="s">
        <v>1460</v>
      </c>
      <c r="C822" s="488" t="s">
        <v>1461</v>
      </c>
      <c r="D822" s="327">
        <v>4500214680</v>
      </c>
      <c r="E822" s="488"/>
      <c r="F822" s="327" t="s">
        <v>3322</v>
      </c>
      <c r="G822" s="1310" t="s">
        <v>174</v>
      </c>
      <c r="H822" s="488" t="s">
        <v>175</v>
      </c>
      <c r="I822" s="1311">
        <v>3380</v>
      </c>
      <c r="J822" s="488">
        <v>0</v>
      </c>
      <c r="K822" s="488">
        <v>52</v>
      </c>
      <c r="L822" s="488">
        <f t="shared" si="283"/>
        <v>65</v>
      </c>
      <c r="M822" s="1312">
        <v>46265</v>
      </c>
      <c r="N822" s="1323">
        <v>46263</v>
      </c>
      <c r="O822" s="1545"/>
      <c r="P822" s="1313"/>
      <c r="Q822" s="1313"/>
      <c r="R822" s="488"/>
      <c r="S822" s="488"/>
      <c r="T822" s="1313"/>
      <c r="U822" s="500">
        <f t="shared" ref="U822:U865" si="288">T822-I822</f>
        <v>-3380</v>
      </c>
      <c r="V822" s="488"/>
      <c r="W822" s="1300">
        <v>46232</v>
      </c>
      <c r="X822" s="1301" t="s">
        <v>95</v>
      </c>
      <c r="Y822" s="1301" t="s">
        <v>3323</v>
      </c>
      <c r="Z822" s="544"/>
      <c r="AA822" s="544"/>
      <c r="AB822" s="544"/>
      <c r="AC822" s="1294" t="s">
        <v>3324</v>
      </c>
      <c r="AD822" s="1312" t="s">
        <v>1466</v>
      </c>
      <c r="AE822" s="1446">
        <v>1.0786</v>
      </c>
      <c r="AF822" s="1315">
        <f>I822*AE822</f>
        <v>3645.668</v>
      </c>
      <c r="AG822" s="1295"/>
      <c r="AH822" s="505" t="s">
        <v>174</v>
      </c>
      <c r="AI822" s="488" t="s">
        <v>112</v>
      </c>
      <c r="AJ822" s="498" t="s">
        <v>113</v>
      </c>
      <c r="AK822" s="327">
        <f>I822*2</f>
        <v>6760</v>
      </c>
      <c r="AL822" s="327"/>
      <c r="AM822" s="327"/>
      <c r="AN822" s="1420">
        <f>I822</f>
        <v>3380</v>
      </c>
      <c r="AO822" s="327"/>
      <c r="AP822" s="327"/>
      <c r="AQ822" s="1316"/>
      <c r="AR822" s="327"/>
      <c r="AS822" s="1317"/>
      <c r="AT822" s="1317"/>
      <c r="AU822" s="327">
        <f t="shared" si="287"/>
        <v>3380</v>
      </c>
      <c r="AV822" s="1318"/>
      <c r="AW822" s="1318"/>
      <c r="AX822" s="327"/>
      <c r="AY822" s="327"/>
      <c r="AZ822" s="327"/>
      <c r="BA822" s="327"/>
      <c r="BB822" s="327"/>
      <c r="BC822" s="327"/>
      <c r="BD822" s="327"/>
      <c r="BE822" s="327"/>
      <c r="BF822" s="327"/>
      <c r="BG822" s="327"/>
      <c r="BH822" s="327"/>
      <c r="BI822" s="327"/>
      <c r="BJ822" s="327"/>
      <c r="BK822" s="1420">
        <f>I822/13</f>
        <v>260</v>
      </c>
      <c r="BL822" s="327"/>
      <c r="BM822" s="327"/>
      <c r="BN822" s="327"/>
      <c r="BO822" s="1316"/>
      <c r="BP822" s="1316"/>
      <c r="BQ822" s="327"/>
      <c r="BR822" s="1317"/>
      <c r="BS822" s="1317"/>
      <c r="BT822" s="327"/>
      <c r="BU822" s="327"/>
      <c r="BV822" s="1316"/>
      <c r="BW822" s="327"/>
      <c r="BX822" s="327"/>
      <c r="BY822" s="327"/>
      <c r="BZ822" s="327"/>
      <c r="CA822" s="327"/>
      <c r="CB822" s="327"/>
      <c r="CC822" s="327"/>
      <c r="CD822" s="1218">
        <f t="shared" ref="CD822:CD885" si="289">BN822+BO822+BQ822+BS822+BR822</f>
        <v>0</v>
      </c>
      <c r="CE822" s="1218">
        <f t="shared" ref="CE822:CE885" si="290">BU822</f>
        <v>0</v>
      </c>
      <c r="CF822" s="502">
        <f t="shared" ref="CF822:CF885" si="291">CC822</f>
        <v>0</v>
      </c>
      <c r="CG822" s="1218">
        <f t="shared" si="286"/>
        <v>0</v>
      </c>
      <c r="CH822" s="1317"/>
      <c r="CI822" s="1317"/>
      <c r="CJ822" s="1317"/>
      <c r="CK822" s="327"/>
      <c r="CL822" s="327"/>
      <c r="CM822" s="1180"/>
      <c r="CN822" s="1180"/>
      <c r="CO822" s="1180"/>
      <c r="CP822" s="1180"/>
      <c r="CQ822" s="1180"/>
      <c r="CR822" s="1180"/>
      <c r="CS822" s="1180"/>
      <c r="CT822" s="1180"/>
      <c r="CU822" s="1180"/>
      <c r="CV822" s="1180"/>
      <c r="CW822" s="1180"/>
      <c r="CX822" s="1180"/>
      <c r="CY822" s="1180"/>
      <c r="CZ822" s="1180"/>
      <c r="DA822" s="1180"/>
      <c r="DB822" s="1180"/>
      <c r="DC822" s="1180"/>
      <c r="DD822" s="1180"/>
      <c r="DE822" s="1180"/>
      <c r="DF822" s="1180"/>
      <c r="DG822" s="1180"/>
    </row>
    <row r="823" s="1180" customFormat="1" customHeight="1" spans="1:111">
      <c r="A823" s="1309">
        <v>46212</v>
      </c>
      <c r="B823" s="1552" t="s">
        <v>346</v>
      </c>
      <c r="C823" s="1553" t="s">
        <v>115</v>
      </c>
      <c r="D823" s="1555">
        <v>4500215862</v>
      </c>
      <c r="E823" s="1902" t="s">
        <v>3325</v>
      </c>
      <c r="F823" s="1555" t="s">
        <v>3326</v>
      </c>
      <c r="G823" s="1556" t="s">
        <v>1016</v>
      </c>
      <c r="H823" s="488" t="s">
        <v>350</v>
      </c>
      <c r="I823" s="1557">
        <v>24000</v>
      </c>
      <c r="J823" s="1553">
        <v>0</v>
      </c>
      <c r="K823" s="1553">
        <v>960</v>
      </c>
      <c r="L823" s="1544">
        <f t="shared" si="283"/>
        <v>25</v>
      </c>
      <c r="M823" s="1416">
        <v>46265</v>
      </c>
      <c r="N823" s="1416">
        <v>46263</v>
      </c>
      <c r="O823" s="1545"/>
      <c r="P823" s="1313" t="s">
        <v>3327</v>
      </c>
      <c r="Q823" s="1313"/>
      <c r="R823" s="488"/>
      <c r="S823" s="488"/>
      <c r="T823" s="1313"/>
      <c r="U823" s="500">
        <f t="shared" si="288"/>
        <v>-24000</v>
      </c>
      <c r="V823" s="488"/>
      <c r="W823" s="1300" t="s">
        <v>1572</v>
      </c>
      <c r="X823" s="1294" t="s">
        <v>95</v>
      </c>
      <c r="Y823" s="1294" t="s">
        <v>3192</v>
      </c>
      <c r="Z823" s="544"/>
      <c r="AA823" s="544"/>
      <c r="AB823" s="544"/>
      <c r="AC823" s="1552" t="s">
        <v>2396</v>
      </c>
      <c r="AD823" s="1545" t="s">
        <v>354</v>
      </c>
      <c r="AE823" s="327">
        <v>654.73</v>
      </c>
      <c r="AF823" s="1315">
        <f>AE823*L823</f>
        <v>16368.25</v>
      </c>
      <c r="AG823" s="1295"/>
      <c r="AH823" s="1310" t="s">
        <v>356</v>
      </c>
      <c r="AI823" s="488" t="s">
        <v>112</v>
      </c>
      <c r="AJ823" s="498" t="s">
        <v>113</v>
      </c>
      <c r="AK823" s="327">
        <f t="shared" ref="AK823:AK831" si="292">I823</f>
        <v>24000</v>
      </c>
      <c r="AL823" s="327"/>
      <c r="AM823" s="327"/>
      <c r="AN823" s="327"/>
      <c r="AO823" s="502"/>
      <c r="AP823" s="502"/>
      <c r="AQ823" s="1296"/>
      <c r="AR823" s="438"/>
      <c r="AS823" s="1297"/>
      <c r="AT823" s="1297">
        <f>I823</f>
        <v>24000</v>
      </c>
      <c r="AU823" s="327">
        <f t="shared" si="287"/>
        <v>24000</v>
      </c>
      <c r="AV823" s="1298">
        <f>I823*0.06</f>
        <v>1440</v>
      </c>
      <c r="AW823" s="1318"/>
      <c r="AX823" s="327"/>
      <c r="AY823" s="327"/>
      <c r="AZ823" s="327"/>
      <c r="BA823" s="327"/>
      <c r="BB823" s="327"/>
      <c r="BC823" s="327"/>
      <c r="BD823" s="327"/>
      <c r="BE823" s="327"/>
      <c r="BF823" s="327"/>
      <c r="BG823" s="327"/>
      <c r="BH823" s="327"/>
      <c r="BI823" s="327"/>
      <c r="BJ823" s="327"/>
      <c r="BK823" s="327"/>
      <c r="BL823" s="327"/>
      <c r="BM823" s="327"/>
      <c r="BN823" s="327"/>
      <c r="BO823" s="1316"/>
      <c r="BP823" s="1316"/>
      <c r="BQ823" s="327"/>
      <c r="BR823" s="1317">
        <f>I823/16</f>
        <v>1500</v>
      </c>
      <c r="BS823" s="1317"/>
      <c r="BT823" s="327"/>
      <c r="BU823" s="327"/>
      <c r="BV823" s="1316"/>
      <c r="BW823" s="327"/>
      <c r="BX823" s="327"/>
      <c r="BY823" s="327"/>
      <c r="BZ823" s="327"/>
      <c r="CA823" s="327"/>
      <c r="CB823" s="327"/>
      <c r="CC823" s="327"/>
      <c r="CD823" s="1218">
        <f t="shared" si="289"/>
        <v>1500</v>
      </c>
      <c r="CE823" s="1218">
        <f t="shared" si="290"/>
        <v>0</v>
      </c>
      <c r="CF823" s="502">
        <f t="shared" si="291"/>
        <v>0</v>
      </c>
      <c r="CG823" s="1218">
        <f t="shared" si="286"/>
        <v>0</v>
      </c>
      <c r="CH823" s="1317"/>
      <c r="CI823" s="1317"/>
      <c r="CJ823" s="1317"/>
      <c r="CK823" s="327"/>
      <c r="CL823" s="327"/>
    </row>
    <row r="824" s="1180" customFormat="1" customHeight="1" spans="1:111">
      <c r="A824" s="1309">
        <v>46212</v>
      </c>
      <c r="B824" s="1552" t="s">
        <v>346</v>
      </c>
      <c r="C824" s="1553" t="s">
        <v>115</v>
      </c>
      <c r="D824" s="1555">
        <v>4500215862</v>
      </c>
      <c r="E824" s="1902" t="s">
        <v>3328</v>
      </c>
      <c r="F824" s="1555" t="s">
        <v>3329</v>
      </c>
      <c r="G824" s="1556" t="s">
        <v>1016</v>
      </c>
      <c r="H824" s="488" t="s">
        <v>350</v>
      </c>
      <c r="I824" s="1557">
        <v>35520</v>
      </c>
      <c r="J824" s="1553">
        <v>0</v>
      </c>
      <c r="K824" s="1553">
        <v>960</v>
      </c>
      <c r="L824" s="1544">
        <f t="shared" si="283"/>
        <v>37</v>
      </c>
      <c r="M824" s="1416">
        <v>46265</v>
      </c>
      <c r="N824" s="1416">
        <v>46263</v>
      </c>
      <c r="O824" s="1545"/>
      <c r="P824" s="1313" t="s">
        <v>3327</v>
      </c>
      <c r="Q824" s="1313"/>
      <c r="R824" s="488"/>
      <c r="S824" s="488"/>
      <c r="T824" s="1313"/>
      <c r="U824" s="500">
        <f t="shared" si="288"/>
        <v>-35520</v>
      </c>
      <c r="V824" s="488"/>
      <c r="W824" s="1300" t="s">
        <v>1572</v>
      </c>
      <c r="X824" s="1294" t="s">
        <v>95</v>
      </c>
      <c r="Y824" s="1294" t="s">
        <v>3192</v>
      </c>
      <c r="Z824" s="544"/>
      <c r="AA824" s="544"/>
      <c r="AB824" s="544"/>
      <c r="AC824" s="1552" t="s">
        <v>2396</v>
      </c>
      <c r="AD824" s="1545" t="s">
        <v>354</v>
      </c>
      <c r="AE824" s="327">
        <v>654.7303</v>
      </c>
      <c r="AF824" s="1315">
        <f>AE824*L824</f>
        <v>24225.0211</v>
      </c>
      <c r="AG824" s="1295"/>
      <c r="AH824" s="1310" t="s">
        <v>356</v>
      </c>
      <c r="AI824" s="488" t="s">
        <v>112</v>
      </c>
      <c r="AJ824" s="498" t="s">
        <v>113</v>
      </c>
      <c r="AK824" s="327">
        <f t="shared" si="292"/>
        <v>35520</v>
      </c>
      <c r="AL824" s="327"/>
      <c r="AM824" s="327"/>
      <c r="AN824" s="327"/>
      <c r="AO824" s="502"/>
      <c r="AP824" s="502"/>
      <c r="AQ824" s="1296"/>
      <c r="AR824" s="438"/>
      <c r="AS824" s="1297"/>
      <c r="AT824" s="1297">
        <f>I824</f>
        <v>35520</v>
      </c>
      <c r="AU824" s="327">
        <f t="shared" si="287"/>
        <v>35520</v>
      </c>
      <c r="AV824" s="1298">
        <f>I824*0.06</f>
        <v>2131.2</v>
      </c>
      <c r="AW824" s="1318"/>
      <c r="AX824" s="327"/>
      <c r="AY824" s="327"/>
      <c r="AZ824" s="327"/>
      <c r="BA824" s="327"/>
      <c r="BB824" s="327"/>
      <c r="BC824" s="327"/>
      <c r="BD824" s="327"/>
      <c r="BE824" s="327"/>
      <c r="BF824" s="327"/>
      <c r="BG824" s="327"/>
      <c r="BH824" s="327"/>
      <c r="BI824" s="327"/>
      <c r="BJ824" s="327"/>
      <c r="BK824" s="327"/>
      <c r="BL824" s="327"/>
      <c r="BM824" s="327"/>
      <c r="BN824" s="327"/>
      <c r="BO824" s="1316"/>
      <c r="BP824" s="1316"/>
      <c r="BQ824" s="327"/>
      <c r="BR824" s="1317">
        <f>I824/16</f>
        <v>2220</v>
      </c>
      <c r="BS824" s="1317"/>
      <c r="BT824" s="327"/>
      <c r="BU824" s="327"/>
      <c r="BV824" s="1316"/>
      <c r="BW824" s="327"/>
      <c r="BX824" s="327"/>
      <c r="BY824" s="327"/>
      <c r="BZ824" s="327"/>
      <c r="CA824" s="327"/>
      <c r="CB824" s="327"/>
      <c r="CC824" s="327"/>
      <c r="CD824" s="1218">
        <f t="shared" si="289"/>
        <v>2220</v>
      </c>
      <c r="CE824" s="1218">
        <f t="shared" si="290"/>
        <v>0</v>
      </c>
      <c r="CF824" s="502">
        <f t="shared" si="291"/>
        <v>0</v>
      </c>
      <c r="CG824" s="1218">
        <f t="shared" si="286"/>
        <v>0</v>
      </c>
      <c r="CH824" s="1317"/>
      <c r="CI824" s="1317"/>
      <c r="CJ824" s="1317"/>
      <c r="CK824" s="327"/>
      <c r="CL824" s="327"/>
    </row>
    <row r="825" s="293" customFormat="1" customHeight="1" spans="1:111">
      <c r="A825" s="1309">
        <v>46212</v>
      </c>
      <c r="B825" s="544" t="s">
        <v>346</v>
      </c>
      <c r="C825" s="488" t="s">
        <v>115</v>
      </c>
      <c r="D825" s="327">
        <v>4500215862</v>
      </c>
      <c r="E825" s="1903" t="s">
        <v>3330</v>
      </c>
      <c r="F825" s="327" t="s">
        <v>3331</v>
      </c>
      <c r="G825" s="1310" t="s">
        <v>1016</v>
      </c>
      <c r="H825" s="488" t="s">
        <v>350</v>
      </c>
      <c r="I825" s="1311">
        <v>33600</v>
      </c>
      <c r="J825" s="488">
        <v>0</v>
      </c>
      <c r="K825" s="488">
        <v>960</v>
      </c>
      <c r="L825" s="1544">
        <f t="shared" si="283"/>
        <v>35</v>
      </c>
      <c r="M825" s="1323">
        <v>46265</v>
      </c>
      <c r="N825" s="1323">
        <v>46263</v>
      </c>
      <c r="O825" s="1312"/>
      <c r="P825" s="1313" t="s">
        <v>3327</v>
      </c>
      <c r="Q825" s="1313"/>
      <c r="R825" s="488"/>
      <c r="S825" s="488"/>
      <c r="T825" s="1313"/>
      <c r="U825" s="500">
        <f t="shared" si="288"/>
        <v>-33600</v>
      </c>
      <c r="V825" s="488"/>
      <c r="W825" s="1300" t="s">
        <v>1572</v>
      </c>
      <c r="X825" s="1301" t="s">
        <v>95</v>
      </c>
      <c r="Y825" s="1301" t="s">
        <v>3192</v>
      </c>
      <c r="Z825" s="544"/>
      <c r="AA825" s="544"/>
      <c r="AB825" s="544"/>
      <c r="AC825" s="544" t="s">
        <v>2396</v>
      </c>
      <c r="AD825" s="1312" t="s">
        <v>354</v>
      </c>
      <c r="AE825" s="327">
        <v>654.73</v>
      </c>
      <c r="AF825" s="1315">
        <f>AE825*L825</f>
        <v>22915.55</v>
      </c>
      <c r="AG825" s="1295"/>
      <c r="AH825" s="1310" t="s">
        <v>356</v>
      </c>
      <c r="AI825" s="488" t="s">
        <v>112</v>
      </c>
      <c r="AJ825" s="498" t="s">
        <v>113</v>
      </c>
      <c r="AK825" s="327">
        <f t="shared" si="292"/>
        <v>33600</v>
      </c>
      <c r="AL825" s="327"/>
      <c r="AM825" s="327"/>
      <c r="AN825" s="327"/>
      <c r="AO825" s="502"/>
      <c r="AP825" s="502"/>
      <c r="AQ825" s="1296"/>
      <c r="AR825" s="438"/>
      <c r="AS825" s="1297"/>
      <c r="AT825" s="1297">
        <f>I825</f>
        <v>33600</v>
      </c>
      <c r="AU825" s="327">
        <f t="shared" si="287"/>
        <v>33600</v>
      </c>
      <c r="AV825" s="1298">
        <f>I825*0.06</f>
        <v>2016</v>
      </c>
      <c r="AW825" s="1318"/>
      <c r="AX825" s="327"/>
      <c r="AY825" s="327"/>
      <c r="AZ825" s="327"/>
      <c r="BA825" s="327"/>
      <c r="BB825" s="327"/>
      <c r="BC825" s="327"/>
      <c r="BD825" s="327"/>
      <c r="BE825" s="327"/>
      <c r="BF825" s="327"/>
      <c r="BG825" s="327"/>
      <c r="BH825" s="327"/>
      <c r="BI825" s="327"/>
      <c r="BJ825" s="327"/>
      <c r="BK825" s="327"/>
      <c r="BL825" s="327"/>
      <c r="BM825" s="327"/>
      <c r="BN825" s="327"/>
      <c r="BO825" s="1316"/>
      <c r="BP825" s="1316"/>
      <c r="BQ825" s="327"/>
      <c r="BR825" s="1317">
        <f>I825/16</f>
        <v>2100</v>
      </c>
      <c r="BS825" s="327"/>
      <c r="BT825" s="327"/>
      <c r="BU825" s="327"/>
      <c r="BV825" s="1316"/>
      <c r="BW825" s="327"/>
      <c r="BX825" s="327"/>
      <c r="BY825" s="327"/>
      <c r="BZ825" s="327"/>
      <c r="CA825" s="327"/>
      <c r="CB825" s="327"/>
      <c r="CC825" s="327"/>
      <c r="CD825" s="1218">
        <f t="shared" si="289"/>
        <v>2100</v>
      </c>
      <c r="CE825" s="1218">
        <f t="shared" si="290"/>
        <v>0</v>
      </c>
      <c r="CF825" s="502">
        <f t="shared" si="291"/>
        <v>0</v>
      </c>
      <c r="CG825" s="1218">
        <f t="shared" si="286"/>
        <v>0</v>
      </c>
      <c r="CH825" s="1317"/>
      <c r="CI825" s="1317"/>
      <c r="CJ825" s="1317"/>
      <c r="CK825" s="327"/>
      <c r="CL825" s="327"/>
      <c r="CM825" s="1180"/>
      <c r="CN825" s="1180"/>
      <c r="CO825" s="1180"/>
      <c r="CP825" s="1180"/>
      <c r="CQ825" s="1180"/>
      <c r="CR825" s="1180"/>
      <c r="CS825" s="1180"/>
      <c r="CT825" s="1180"/>
      <c r="CU825" s="1180"/>
      <c r="CV825" s="1180"/>
      <c r="CW825" s="1180"/>
      <c r="CX825" s="1180"/>
      <c r="CY825" s="1180"/>
      <c r="CZ825" s="1180"/>
      <c r="DA825" s="1180"/>
      <c r="DB825" s="1180"/>
      <c r="DC825" s="1180"/>
      <c r="DD825" s="1180"/>
      <c r="DE825" s="1180"/>
      <c r="DF825" s="1180"/>
      <c r="DG825" s="1180"/>
    </row>
    <row r="826" s="1179" customFormat="1" customHeight="1" spans="1:111">
      <c r="A826" s="1588">
        <v>46212</v>
      </c>
      <c r="B826" s="1708" t="s">
        <v>346</v>
      </c>
      <c r="C826" s="1054" t="s">
        <v>115</v>
      </c>
      <c r="D826" s="1187">
        <v>4500215862</v>
      </c>
      <c r="E826" s="1904" t="s">
        <v>3332</v>
      </c>
      <c r="F826" s="1187" t="s">
        <v>3333</v>
      </c>
      <c r="G826" s="1713" t="s">
        <v>1016</v>
      </c>
      <c r="H826" s="1054" t="s">
        <v>350</v>
      </c>
      <c r="I826" s="1714">
        <v>21120</v>
      </c>
      <c r="J826" s="1054">
        <v>0</v>
      </c>
      <c r="K826" s="1054">
        <v>960</v>
      </c>
      <c r="L826" s="1715">
        <f t="shared" si="283"/>
        <v>22</v>
      </c>
      <c r="M826" s="1716">
        <v>46265</v>
      </c>
      <c r="N826" s="1716">
        <v>46263</v>
      </c>
      <c r="O826" s="1717"/>
      <c r="P826" s="1314" t="s">
        <v>3327</v>
      </c>
      <c r="Q826" s="1314"/>
      <c r="R826" s="1054"/>
      <c r="S826" s="1054"/>
      <c r="T826" s="1314"/>
      <c r="U826" s="500">
        <f t="shared" si="288"/>
        <v>-21120</v>
      </c>
      <c r="V826" s="1054"/>
      <c r="W826" s="1300" t="s">
        <v>1572</v>
      </c>
      <c r="X826" s="1294" t="s">
        <v>95</v>
      </c>
      <c r="Y826" s="1294" t="s">
        <v>3192</v>
      </c>
      <c r="Z826" s="544"/>
      <c r="AA826" s="544"/>
      <c r="AB826" s="544"/>
      <c r="AC826" s="1708" t="s">
        <v>2396</v>
      </c>
      <c r="AD826" s="1717" t="s">
        <v>354</v>
      </c>
      <c r="AE826" s="1187">
        <v>654.73</v>
      </c>
      <c r="AF826" s="1718">
        <f>AE826*L826</f>
        <v>14404.06</v>
      </c>
      <c r="AG826" s="1295"/>
      <c r="AH826" s="1310" t="s">
        <v>356</v>
      </c>
      <c r="AI826" s="488" t="s">
        <v>112</v>
      </c>
      <c r="AJ826" s="1403" t="s">
        <v>113</v>
      </c>
      <c r="AK826" s="327">
        <f t="shared" si="292"/>
        <v>21120</v>
      </c>
      <c r="AL826" s="1187"/>
      <c r="AM826" s="1187"/>
      <c r="AN826" s="1187"/>
      <c r="AO826" s="1601"/>
      <c r="AP826" s="1601"/>
      <c r="AQ826" s="1601"/>
      <c r="AR826" s="520"/>
      <c r="AS826" s="1601"/>
      <c r="AT826" s="1601">
        <f>I826</f>
        <v>21120</v>
      </c>
      <c r="AU826" s="1187">
        <f t="shared" si="287"/>
        <v>21120</v>
      </c>
      <c r="AV826" s="1298">
        <f>I826*0.06</f>
        <v>1267.2</v>
      </c>
      <c r="AW826" s="1318"/>
      <c r="AX826" s="1187"/>
      <c r="AY826" s="1187"/>
      <c r="AZ826" s="1187"/>
      <c r="BA826" s="1187"/>
      <c r="BB826" s="1187"/>
      <c r="BC826" s="1187"/>
      <c r="BD826" s="1187"/>
      <c r="BE826" s="1187"/>
      <c r="BF826" s="1187"/>
      <c r="BG826" s="327"/>
      <c r="BH826" s="327"/>
      <c r="BI826" s="1187"/>
      <c r="BJ826" s="1187"/>
      <c r="BK826" s="1187"/>
      <c r="BL826" s="1187"/>
      <c r="BM826" s="1187"/>
      <c r="BN826" s="1187"/>
      <c r="BO826" s="1316"/>
      <c r="BP826" s="1187"/>
      <c r="BQ826" s="1187"/>
      <c r="BR826" s="1187">
        <f>I826/16</f>
        <v>1320</v>
      </c>
      <c r="BS826" s="1187"/>
      <c r="BT826" s="1187"/>
      <c r="BU826" s="1187"/>
      <c r="BV826" s="1187"/>
      <c r="BW826" s="1187"/>
      <c r="BX826" s="1187"/>
      <c r="BY826" s="1187"/>
      <c r="BZ826" s="1187"/>
      <c r="CA826" s="1187"/>
      <c r="CB826" s="1187"/>
      <c r="CC826" s="1187"/>
      <c r="CD826" s="1218">
        <f t="shared" si="289"/>
        <v>1320</v>
      </c>
      <c r="CE826" s="1218">
        <f t="shared" si="290"/>
        <v>0</v>
      </c>
      <c r="CF826" s="502">
        <f t="shared" si="291"/>
        <v>0</v>
      </c>
      <c r="CG826" s="1218">
        <f t="shared" si="286"/>
        <v>0</v>
      </c>
      <c r="CH826" s="327"/>
      <c r="CI826" s="327"/>
      <c r="CJ826" s="1187"/>
      <c r="CK826" s="1187"/>
      <c r="CL826" s="1187"/>
      <c r="CM826" s="1180"/>
      <c r="CN826" s="1180"/>
      <c r="CO826" s="1180"/>
      <c r="CP826" s="1180"/>
      <c r="CQ826" s="1180"/>
      <c r="CR826" s="1180"/>
      <c r="CS826" s="1180"/>
      <c r="CT826" s="1180"/>
      <c r="CU826" s="1180"/>
      <c r="CV826" s="1180"/>
      <c r="CW826" s="1180"/>
      <c r="CX826" s="1180"/>
      <c r="CY826" s="1180"/>
      <c r="CZ826" s="1180"/>
      <c r="DA826" s="1180"/>
      <c r="DB826" s="1180"/>
      <c r="DC826" s="1180"/>
      <c r="DD826" s="1180"/>
      <c r="DE826" s="1180"/>
      <c r="DF826" s="1180"/>
      <c r="DG826" s="1180"/>
    </row>
    <row r="827" s="293" customFormat="1" customHeight="1" spans="1:111">
      <c r="A827" s="1309">
        <v>46182</v>
      </c>
      <c r="B827" s="544" t="s">
        <v>521</v>
      </c>
      <c r="C827" s="488" t="s">
        <v>101</v>
      </c>
      <c r="D827" s="1445">
        <v>4500211275</v>
      </c>
      <c r="E827" s="1313">
        <v>21802512</v>
      </c>
      <c r="F827" s="327" t="s">
        <v>3334</v>
      </c>
      <c r="G827" s="1310" t="s">
        <v>510</v>
      </c>
      <c r="H827" s="488" t="s">
        <v>194</v>
      </c>
      <c r="I827" s="1311">
        <v>364</v>
      </c>
      <c r="J827" s="488">
        <v>0</v>
      </c>
      <c r="K827" s="488">
        <v>13</v>
      </c>
      <c r="L827" s="488">
        <f t="shared" si="283"/>
        <v>28</v>
      </c>
      <c r="M827" s="1312">
        <v>46265</v>
      </c>
      <c r="N827" s="1323">
        <v>46266</v>
      </c>
      <c r="O827" s="1312"/>
      <c r="P827" s="1313"/>
      <c r="Q827" s="1313"/>
      <c r="R827" s="488" t="s">
        <v>3335</v>
      </c>
      <c r="S827" s="488"/>
      <c r="T827" s="1313"/>
      <c r="U827" s="1313">
        <f t="shared" si="288"/>
        <v>-364</v>
      </c>
      <c r="V827" s="488"/>
      <c r="W827" s="1300">
        <v>46224</v>
      </c>
      <c r="X827" s="1301" t="s">
        <v>107</v>
      </c>
      <c r="Y827" s="1301" t="s">
        <v>3336</v>
      </c>
      <c r="Z827" s="543" t="s">
        <v>360</v>
      </c>
      <c r="AA827" s="543"/>
      <c r="AB827" s="544" t="s">
        <v>2376</v>
      </c>
      <c r="AC827" s="1528" t="s">
        <v>3337</v>
      </c>
      <c r="AD827" s="1312" t="s">
        <v>362</v>
      </c>
      <c r="AE827" s="1446">
        <v>1.124</v>
      </c>
      <c r="AF827" s="1315">
        <f>AE827*I827</f>
        <v>409.136</v>
      </c>
      <c r="AG827" s="1295"/>
      <c r="AH827" s="488" t="s">
        <v>510</v>
      </c>
      <c r="AI827" s="488" t="s">
        <v>112</v>
      </c>
      <c r="AJ827" s="1403"/>
      <c r="AK827" s="327">
        <f t="shared" si="292"/>
        <v>364</v>
      </c>
      <c r="AL827" s="327"/>
      <c r="AM827" s="327"/>
      <c r="AN827" s="1418">
        <f>I827</f>
        <v>364</v>
      </c>
      <c r="AO827" s="502"/>
      <c r="AP827" s="502"/>
      <c r="AQ827" s="1296"/>
      <c r="AR827" s="438"/>
      <c r="AS827" s="1297"/>
      <c r="AT827" s="1297"/>
      <c r="AU827" s="502"/>
      <c r="AV827" s="1298">
        <f>I827*0.06*2</f>
        <v>43.68</v>
      </c>
      <c r="AW827" s="1318"/>
      <c r="AX827" s="502">
        <f>I827</f>
        <v>364</v>
      </c>
      <c r="AY827" s="502"/>
      <c r="AZ827" s="327"/>
      <c r="BA827" s="327"/>
      <c r="BB827" s="327"/>
      <c r="BC827" s="327"/>
      <c r="BD827" s="327"/>
      <c r="BE827" s="327"/>
      <c r="BF827" s="327"/>
      <c r="BG827" s="327"/>
      <c r="BH827" s="327"/>
      <c r="BI827" s="327"/>
      <c r="BJ827" s="327"/>
      <c r="BK827" s="327"/>
      <c r="BL827" s="327"/>
      <c r="BM827" s="327"/>
      <c r="BN827" s="327"/>
      <c r="BO827" s="1316"/>
      <c r="BP827" s="1296">
        <f>I827/13</f>
        <v>28</v>
      </c>
      <c r="BQ827" s="327"/>
      <c r="BR827" s="1317"/>
      <c r="BS827" s="1317"/>
      <c r="BT827" s="327"/>
      <c r="BU827" s="327"/>
      <c r="BV827" s="1316"/>
      <c r="BW827" s="327"/>
      <c r="BX827" s="327"/>
      <c r="BY827" s="327"/>
      <c r="BZ827" s="327"/>
      <c r="CA827" s="327"/>
      <c r="CB827" s="327"/>
      <c r="CC827" s="327"/>
      <c r="CD827" s="1218">
        <f t="shared" si="289"/>
        <v>0</v>
      </c>
      <c r="CE827" s="1218">
        <f t="shared" si="290"/>
        <v>0</v>
      </c>
      <c r="CF827" s="502">
        <f t="shared" si="291"/>
        <v>0</v>
      </c>
      <c r="CG827" s="1218">
        <f t="shared" si="286"/>
        <v>0</v>
      </c>
      <c r="CH827" s="1299"/>
      <c r="CI827" s="1299"/>
      <c r="CJ827" s="1317"/>
      <c r="CK827" s="327"/>
      <c r="CL827" s="327"/>
    </row>
    <row r="828" s="1180" customFormat="1" customHeight="1" spans="1:111">
      <c r="A828" s="1309">
        <v>46182</v>
      </c>
      <c r="B828" s="544" t="s">
        <v>525</v>
      </c>
      <c r="C828" s="488" t="s">
        <v>508</v>
      </c>
      <c r="D828" s="1445">
        <v>4500211272</v>
      </c>
      <c r="E828" s="1313">
        <v>21802503</v>
      </c>
      <c r="F828" s="327" t="s">
        <v>3338</v>
      </c>
      <c r="G828" s="1310" t="s">
        <v>510</v>
      </c>
      <c r="H828" s="488" t="s">
        <v>194</v>
      </c>
      <c r="I828" s="1311">
        <v>4641</v>
      </c>
      <c r="J828" s="488">
        <v>0</v>
      </c>
      <c r="K828" s="488">
        <v>13</v>
      </c>
      <c r="L828" s="488">
        <f t="shared" si="283"/>
        <v>357</v>
      </c>
      <c r="M828" s="1312">
        <v>46265</v>
      </c>
      <c r="N828" s="1323">
        <v>46266</v>
      </c>
      <c r="O828" s="1312"/>
      <c r="P828" s="1313"/>
      <c r="Q828" s="1313"/>
      <c r="R828" s="488" t="s">
        <v>3339</v>
      </c>
      <c r="S828" s="488"/>
      <c r="T828" s="1313"/>
      <c r="U828" s="1313">
        <f t="shared" si="288"/>
        <v>-4641</v>
      </c>
      <c r="V828" s="488"/>
      <c r="W828" s="1300">
        <v>46224</v>
      </c>
      <c r="X828" s="1294" t="s">
        <v>107</v>
      </c>
      <c r="Y828" s="1301" t="s">
        <v>3336</v>
      </c>
      <c r="Z828" s="543" t="s">
        <v>360</v>
      </c>
      <c r="AA828" s="543"/>
      <c r="AB828" s="544" t="s">
        <v>2376</v>
      </c>
      <c r="AC828" s="1528" t="s">
        <v>3340</v>
      </c>
      <c r="AD828" s="1312" t="s">
        <v>362</v>
      </c>
      <c r="AE828" s="1446">
        <v>1.1186</v>
      </c>
      <c r="AF828" s="1315">
        <f>AE828*I828</f>
        <v>5191.4226</v>
      </c>
      <c r="AG828" s="1295"/>
      <c r="AH828" s="488" t="s">
        <v>510</v>
      </c>
      <c r="AI828" s="488" t="s">
        <v>112</v>
      </c>
      <c r="AJ828" s="1403"/>
      <c r="AK828" s="327">
        <f t="shared" si="292"/>
        <v>4641</v>
      </c>
      <c r="AL828" s="327"/>
      <c r="AM828" s="327"/>
      <c r="AN828" s="1418">
        <f>I828</f>
        <v>4641</v>
      </c>
      <c r="AO828" s="502"/>
      <c r="AP828" s="502"/>
      <c r="AQ828" s="1296"/>
      <c r="AR828" s="438"/>
      <c r="AS828" s="1297"/>
      <c r="AT828" s="1297"/>
      <c r="AU828" s="502"/>
      <c r="AV828" s="1298">
        <f>I828*0.06*2</f>
        <v>556.92</v>
      </c>
      <c r="AW828" s="1318"/>
      <c r="AX828" s="502">
        <f>I828</f>
        <v>4641</v>
      </c>
      <c r="AY828" s="502"/>
      <c r="AZ828" s="327"/>
      <c r="BA828" s="327"/>
      <c r="BB828" s="327"/>
      <c r="BC828" s="327"/>
      <c r="BD828" s="327"/>
      <c r="BE828" s="327"/>
      <c r="BF828" s="327"/>
      <c r="BG828" s="327"/>
      <c r="BH828" s="327"/>
      <c r="BI828" s="327"/>
      <c r="BJ828" s="327"/>
      <c r="BK828" s="327"/>
      <c r="BL828" s="327"/>
      <c r="BM828" s="327"/>
      <c r="BN828" s="327"/>
      <c r="BO828" s="1316"/>
      <c r="BP828" s="1296">
        <f>I828/13</f>
        <v>357</v>
      </c>
      <c r="BQ828" s="327"/>
      <c r="BR828" s="1317"/>
      <c r="BS828" s="1317"/>
      <c r="BT828" s="327"/>
      <c r="BU828" s="327"/>
      <c r="BV828" s="1316"/>
      <c r="BW828" s="327"/>
      <c r="BX828" s="327"/>
      <c r="BY828" s="327"/>
      <c r="BZ828" s="327"/>
      <c r="CA828" s="327"/>
      <c r="CB828" s="327"/>
      <c r="CC828" s="327"/>
      <c r="CD828" s="1218">
        <f t="shared" si="289"/>
        <v>0</v>
      </c>
      <c r="CE828" s="1218">
        <f t="shared" si="290"/>
        <v>0</v>
      </c>
      <c r="CF828" s="502">
        <f t="shared" si="291"/>
        <v>0</v>
      </c>
      <c r="CG828" s="1218">
        <f t="shared" si="286"/>
        <v>0</v>
      </c>
      <c r="CH828" s="1299"/>
      <c r="CI828" s="1299"/>
      <c r="CJ828" s="1317"/>
      <c r="CK828" s="327"/>
      <c r="CL828" s="327"/>
      <c r="CM828" s="293"/>
      <c r="CN828" s="293"/>
      <c r="CO828" s="293"/>
      <c r="CP828" s="293"/>
      <c r="CQ828" s="293"/>
      <c r="CR828" s="293"/>
      <c r="CS828" s="293"/>
      <c r="CT828" s="293"/>
      <c r="CU828" s="293"/>
      <c r="CV828" s="293"/>
      <c r="CW828" s="293"/>
      <c r="CX828" s="293"/>
      <c r="CY828" s="293"/>
      <c r="CZ828" s="293"/>
      <c r="DA828" s="293"/>
      <c r="DB828" s="293"/>
      <c r="DC828" s="293"/>
      <c r="DD828" s="293"/>
      <c r="DE828" s="293"/>
      <c r="DF828" s="293"/>
      <c r="DG828" s="293"/>
    </row>
    <row r="829" s="1177" customFormat="1" customHeight="1" spans="1:111">
      <c r="A829" s="1309">
        <v>46176</v>
      </c>
      <c r="B829" s="544" t="s">
        <v>3341</v>
      </c>
      <c r="C829" s="488" t="s">
        <v>164</v>
      </c>
      <c r="D829" s="327">
        <v>4500210578</v>
      </c>
      <c r="E829" s="488" t="s">
        <v>3342</v>
      </c>
      <c r="F829" s="327" t="s">
        <v>3343</v>
      </c>
      <c r="G829" s="1310" t="s">
        <v>91</v>
      </c>
      <c r="H829" s="488" t="s">
        <v>600</v>
      </c>
      <c r="I829" s="1311">
        <v>432</v>
      </c>
      <c r="J829" s="488">
        <v>0</v>
      </c>
      <c r="K829" s="488">
        <v>24</v>
      </c>
      <c r="L829" s="1544">
        <f t="shared" si="283"/>
        <v>18</v>
      </c>
      <c r="M829" s="1312">
        <v>46265</v>
      </c>
      <c r="N829" s="1323">
        <v>46268</v>
      </c>
      <c r="O829" s="1312"/>
      <c r="P829" s="1313"/>
      <c r="Q829" s="1313"/>
      <c r="R829" s="488"/>
      <c r="S829" s="488"/>
      <c r="T829" s="1313"/>
      <c r="U829" s="500">
        <f t="shared" si="288"/>
        <v>-432</v>
      </c>
      <c r="V829" s="488"/>
      <c r="W829" s="1300">
        <v>46177</v>
      </c>
      <c r="X829" s="1294" t="s">
        <v>95</v>
      </c>
      <c r="Y829" s="1301" t="s">
        <v>3344</v>
      </c>
      <c r="Z829" s="544" t="s">
        <v>3345</v>
      </c>
      <c r="AA829" s="544"/>
      <c r="AB829" s="544"/>
      <c r="AC829" s="544" t="s">
        <v>3346</v>
      </c>
      <c r="AD829" s="1312" t="s">
        <v>3347</v>
      </c>
      <c r="AE829" s="327">
        <v>1.039</v>
      </c>
      <c r="AF829" s="1315">
        <f>I829*AE829</f>
        <v>448.848</v>
      </c>
      <c r="AG829" s="1295"/>
      <c r="AH829" s="488" t="s">
        <v>903</v>
      </c>
      <c r="AI829" s="488" t="s">
        <v>112</v>
      </c>
      <c r="AJ829" s="488"/>
      <c r="AK829" s="502">
        <f t="shared" si="292"/>
        <v>432</v>
      </c>
      <c r="AL829" s="327"/>
      <c r="AM829" s="327"/>
      <c r="AN829" s="327"/>
      <c r="AO829" s="502"/>
      <c r="AP829" s="502">
        <f>I829</f>
        <v>432</v>
      </c>
      <c r="AQ829" s="1296"/>
      <c r="AR829" s="438"/>
      <c r="AS829" s="1297"/>
      <c r="AT829" s="1297"/>
      <c r="AU829" s="502">
        <f>I829</f>
        <v>432</v>
      </c>
      <c r="AV829" s="1298">
        <f>I829*0.06*2</f>
        <v>51.84</v>
      </c>
      <c r="AW829" s="1318"/>
      <c r="AX829" s="327"/>
      <c r="AY829" s="327"/>
      <c r="AZ829" s="327"/>
      <c r="BA829" s="327"/>
      <c r="BB829" s="327"/>
      <c r="BC829" s="327"/>
      <c r="BD829" s="327"/>
      <c r="BE829" s="327"/>
      <c r="BF829" s="327"/>
      <c r="BG829" s="327"/>
      <c r="BH829" s="327"/>
      <c r="BI829" s="327"/>
      <c r="BJ829" s="327"/>
      <c r="BK829" s="327"/>
      <c r="BL829" s="327"/>
      <c r="BM829" s="327"/>
      <c r="BN829" s="327"/>
      <c r="BO829" s="1316"/>
      <c r="BP829" s="1316"/>
      <c r="BQ829" s="327"/>
      <c r="BR829" s="1317"/>
      <c r="BS829" s="1317"/>
      <c r="BT829" s="327"/>
      <c r="BU829" s="327"/>
      <c r="BV829" s="1316"/>
      <c r="BW829" s="327"/>
      <c r="BX829" s="327"/>
      <c r="BY829" s="327"/>
      <c r="BZ829" s="327"/>
      <c r="CA829" s="327"/>
      <c r="CB829" s="327"/>
      <c r="CC829" s="327"/>
      <c r="CD829" s="1218">
        <f t="shared" si="289"/>
        <v>0</v>
      </c>
      <c r="CE829" s="1218">
        <f t="shared" si="290"/>
        <v>0</v>
      </c>
      <c r="CF829" s="502">
        <f t="shared" si="291"/>
        <v>0</v>
      </c>
      <c r="CG829" s="1218">
        <f t="shared" si="286"/>
        <v>0</v>
      </c>
      <c r="CH829" s="1317"/>
      <c r="CI829" s="1317"/>
      <c r="CJ829" s="1317"/>
      <c r="CK829" s="327"/>
      <c r="CL829" s="327"/>
      <c r="CM829" s="1455"/>
      <c r="CN829" s="1455"/>
      <c r="CO829" s="1455"/>
      <c r="CP829" s="1455"/>
      <c r="CQ829" s="1455"/>
      <c r="CR829" s="1455"/>
      <c r="CS829" s="1455"/>
      <c r="CT829" s="1455"/>
      <c r="CU829" s="1455"/>
      <c r="CV829" s="1455"/>
      <c r="CW829" s="1455"/>
      <c r="CX829" s="1455"/>
      <c r="CY829" s="1455"/>
      <c r="CZ829" s="1455"/>
      <c r="DA829" s="1455"/>
      <c r="DB829" s="1455"/>
      <c r="DC829" s="1455"/>
      <c r="DD829" s="1455"/>
      <c r="DE829" s="1455"/>
      <c r="DF829" s="1455"/>
      <c r="DG829" s="1455"/>
    </row>
    <row r="830" s="293" customFormat="1" customHeight="1" spans="1:111">
      <c r="A830" s="1289">
        <v>46188</v>
      </c>
      <c r="B830" s="543" t="s">
        <v>2437</v>
      </c>
      <c r="C830" s="504" t="s">
        <v>1388</v>
      </c>
      <c r="D830" s="1305">
        <v>4500212421</v>
      </c>
      <c r="E830" s="504" t="s">
        <v>3348</v>
      </c>
      <c r="F830" s="502" t="s">
        <v>3349</v>
      </c>
      <c r="G830" s="505" t="s">
        <v>188</v>
      </c>
      <c r="H830" s="504" t="s">
        <v>138</v>
      </c>
      <c r="I830" s="1290">
        <v>3600</v>
      </c>
      <c r="J830" s="504">
        <v>0</v>
      </c>
      <c r="K830" s="504">
        <v>50</v>
      </c>
      <c r="L830" s="1291">
        <f t="shared" si="283"/>
        <v>72</v>
      </c>
      <c r="M830" s="501">
        <v>46266</v>
      </c>
      <c r="N830" s="501">
        <v>46262</v>
      </c>
      <c r="O830" s="501"/>
      <c r="P830" s="506"/>
      <c r="Q830" s="506"/>
      <c r="R830" s="504"/>
      <c r="S830" s="504"/>
      <c r="T830" s="506"/>
      <c r="U830" s="500">
        <f t="shared" si="288"/>
        <v>-3600</v>
      </c>
      <c r="V830" s="504"/>
      <c r="W830" s="1300">
        <v>46232</v>
      </c>
      <c r="X830" s="1294" t="s">
        <v>95</v>
      </c>
      <c r="Y830" s="1301" t="s">
        <v>3350</v>
      </c>
      <c r="Z830" s="544"/>
      <c r="AA830" s="544"/>
      <c r="AB830" s="543"/>
      <c r="AC830" s="544" t="s">
        <v>3351</v>
      </c>
      <c r="AD830" s="501" t="s">
        <v>295</v>
      </c>
      <c r="AE830" s="502">
        <v>1.1174</v>
      </c>
      <c r="AF830" s="503">
        <f>AE830*I830</f>
        <v>4022.64</v>
      </c>
      <c r="AG830" s="1295"/>
      <c r="AH830" s="504" t="s">
        <v>188</v>
      </c>
      <c r="AI830" s="488" t="s">
        <v>112</v>
      </c>
      <c r="AJ830" s="498" t="s">
        <v>113</v>
      </c>
      <c r="AK830" s="502">
        <f t="shared" si="292"/>
        <v>3600</v>
      </c>
      <c r="AL830" s="502"/>
      <c r="AM830" s="1218"/>
      <c r="AN830" s="1418">
        <f>I830</f>
        <v>3600</v>
      </c>
      <c r="AO830" s="502"/>
      <c r="AP830" s="502"/>
      <c r="AQ830" s="1296"/>
      <c r="AR830" s="438"/>
      <c r="AS830" s="1297"/>
      <c r="AT830" s="1297"/>
      <c r="AU830" s="502">
        <f>I830</f>
        <v>3600</v>
      </c>
      <c r="AV830" s="1298"/>
      <c r="AW830" s="1298"/>
      <c r="AX830" s="502"/>
      <c r="AY830" s="502"/>
      <c r="AZ830" s="502"/>
      <c r="BA830" s="502"/>
      <c r="BB830" s="502"/>
      <c r="BC830" s="502"/>
      <c r="BD830" s="502"/>
      <c r="BE830" s="502"/>
      <c r="BF830" s="502"/>
      <c r="BG830" s="502"/>
      <c r="BH830" s="502"/>
      <c r="BI830" s="502"/>
      <c r="BJ830" s="502"/>
      <c r="BK830" s="502"/>
      <c r="BL830" s="502"/>
      <c r="BM830" s="502"/>
      <c r="BN830" s="1418">
        <f>I830/25</f>
        <v>144</v>
      </c>
      <c r="BO830" s="1296"/>
      <c r="BP830" s="1296"/>
      <c r="BQ830" s="1218"/>
      <c r="BR830" s="1297"/>
      <c r="BS830" s="1297"/>
      <c r="BT830" s="502"/>
      <c r="BU830" s="502"/>
      <c r="BV830" s="1296"/>
      <c r="BW830" s="1218"/>
      <c r="BX830" s="1218"/>
      <c r="BY830" s="1218"/>
      <c r="BZ830" s="1218"/>
      <c r="CA830" s="1218"/>
      <c r="CB830" s="1218"/>
      <c r="CC830" s="1218"/>
      <c r="CD830" s="1218">
        <f t="shared" si="289"/>
        <v>144</v>
      </c>
      <c r="CE830" s="1218">
        <f t="shared" si="290"/>
        <v>0</v>
      </c>
      <c r="CF830" s="502">
        <f t="shared" si="291"/>
        <v>0</v>
      </c>
      <c r="CG830" s="1218">
        <f t="shared" si="286"/>
        <v>0</v>
      </c>
      <c r="CH830" s="1299"/>
      <c r="CI830" s="1299"/>
      <c r="CJ830" s="1297"/>
      <c r="CK830" s="502"/>
      <c r="CL830" s="502"/>
    </row>
    <row r="831" s="1177" customFormat="1" customHeight="1" spans="1:111">
      <c r="A831" s="1289">
        <v>46198</v>
      </c>
      <c r="B831" s="1417" t="s">
        <v>1969</v>
      </c>
      <c r="C831" s="1434" t="s">
        <v>1439</v>
      </c>
      <c r="D831" s="1435">
        <v>4500209231</v>
      </c>
      <c r="E831" s="1434" t="s">
        <v>628</v>
      </c>
      <c r="F831" s="1437" t="s">
        <v>3352</v>
      </c>
      <c r="G831" s="1438" t="s">
        <v>799</v>
      </c>
      <c r="H831" s="504" t="s">
        <v>800</v>
      </c>
      <c r="I831" s="1439">
        <v>720</v>
      </c>
      <c r="J831" s="1434">
        <v>0</v>
      </c>
      <c r="K831" s="1434">
        <v>30</v>
      </c>
      <c r="L831" s="1291">
        <f t="shared" si="283"/>
        <v>24</v>
      </c>
      <c r="M831" s="507">
        <v>46266</v>
      </c>
      <c r="N831" s="507">
        <v>46262</v>
      </c>
      <c r="O831" s="507"/>
      <c r="P831" s="1313" t="s">
        <v>1977</v>
      </c>
      <c r="Q831" s="506"/>
      <c r="R831" s="488" t="s">
        <v>3353</v>
      </c>
      <c r="S831" s="504"/>
      <c r="T831" s="506"/>
      <c r="U831" s="500">
        <f t="shared" si="288"/>
        <v>-720</v>
      </c>
      <c r="V831" s="504"/>
      <c r="W831" s="1300" t="s">
        <v>1972</v>
      </c>
      <c r="X831" s="1294" t="s">
        <v>95</v>
      </c>
      <c r="Y831" s="1294" t="s">
        <v>3354</v>
      </c>
      <c r="Z831" s="544"/>
      <c r="AA831" s="544"/>
      <c r="AB831" s="543"/>
      <c r="AC831" s="1552" t="s">
        <v>3355</v>
      </c>
      <c r="AD831" s="1440" t="s">
        <v>1477</v>
      </c>
      <c r="AE831" s="1366">
        <v>42.021</v>
      </c>
      <c r="AF831" s="1367">
        <f>AE831*L831</f>
        <v>1008.504</v>
      </c>
      <c r="AG831" s="1368"/>
      <c r="AH831" s="505" t="s">
        <v>799</v>
      </c>
      <c r="AI831" s="488" t="s">
        <v>112</v>
      </c>
      <c r="AJ831" s="498" t="s">
        <v>113</v>
      </c>
      <c r="AK831" s="502">
        <f t="shared" si="292"/>
        <v>720</v>
      </c>
      <c r="AL831" s="502"/>
      <c r="AM831" s="1218"/>
      <c r="AN831" s="502"/>
      <c r="AO831" s="502"/>
      <c r="AP831" s="502">
        <f>I831</f>
        <v>720</v>
      </c>
      <c r="AQ831" s="1296"/>
      <c r="AR831" s="438"/>
      <c r="AS831" s="1297"/>
      <c r="AT831" s="1297"/>
      <c r="AU831" s="327">
        <f>I831</f>
        <v>720</v>
      </c>
      <c r="AV831" s="1298"/>
      <c r="AW831" s="1298"/>
      <c r="AX831" s="502"/>
      <c r="AY831" s="502"/>
      <c r="AZ831" s="502"/>
      <c r="BA831" s="502"/>
      <c r="BB831" s="502"/>
      <c r="BC831" s="502"/>
      <c r="BD831" s="502"/>
      <c r="BE831" s="502"/>
      <c r="BF831" s="502"/>
      <c r="BG831" s="502"/>
      <c r="BH831" s="502"/>
      <c r="BI831" s="502"/>
      <c r="BJ831" s="502"/>
      <c r="BK831" s="502"/>
      <c r="BL831" s="502"/>
      <c r="BM831" s="502"/>
      <c r="BN831" s="502"/>
      <c r="BO831" s="1296"/>
      <c r="BP831" s="1296"/>
      <c r="BQ831" s="1218"/>
      <c r="BR831" s="1297"/>
      <c r="BS831" s="1297"/>
      <c r="BT831" s="502"/>
      <c r="BU831" s="502"/>
      <c r="BV831" s="1296"/>
      <c r="BW831" s="1218"/>
      <c r="BX831" s="1218"/>
      <c r="BY831" s="1218"/>
      <c r="BZ831" s="1218"/>
      <c r="CA831" s="1218"/>
      <c r="CB831" s="1218"/>
      <c r="CC831" s="1218">
        <f>I831/30</f>
        <v>24</v>
      </c>
      <c r="CD831" s="1218">
        <f t="shared" si="289"/>
        <v>0</v>
      </c>
      <c r="CE831" s="1218">
        <f t="shared" si="290"/>
        <v>0</v>
      </c>
      <c r="CF831" s="502">
        <f t="shared" si="291"/>
        <v>24</v>
      </c>
      <c r="CG831" s="1218">
        <f t="shared" si="286"/>
        <v>0</v>
      </c>
      <c r="CH831" s="1299"/>
      <c r="CI831" s="1299"/>
      <c r="CJ831" s="1297"/>
      <c r="CK831" s="502"/>
      <c r="CL831" s="502"/>
      <c r="CM831" s="293"/>
      <c r="CN831" s="293"/>
      <c r="CO831" s="293"/>
      <c r="CP831" s="293"/>
      <c r="CQ831" s="293"/>
      <c r="CR831" s="293"/>
      <c r="CS831" s="293"/>
      <c r="CT831" s="293"/>
      <c r="CU831" s="293"/>
      <c r="CV831" s="293"/>
      <c r="CW831" s="293"/>
      <c r="CX831" s="293"/>
      <c r="CY831" s="293"/>
      <c r="CZ831" s="293"/>
      <c r="DA831" s="293"/>
      <c r="DB831" s="293"/>
      <c r="DC831" s="293"/>
      <c r="DD831" s="293"/>
      <c r="DE831" s="293"/>
      <c r="DF831" s="293"/>
      <c r="DG831" s="293"/>
    </row>
    <row r="832" s="1177" customFormat="1" customHeight="1" spans="1:111">
      <c r="A832" s="1289">
        <v>46204</v>
      </c>
      <c r="B832" s="1417" t="s">
        <v>3356</v>
      </c>
      <c r="C832" s="1434" t="s">
        <v>1895</v>
      </c>
      <c r="D832" s="1435">
        <v>4500214248</v>
      </c>
      <c r="E832" s="1434" t="s">
        <v>628</v>
      </c>
      <c r="F832" s="1437" t="s">
        <v>3357</v>
      </c>
      <c r="G832" s="1438" t="s">
        <v>174</v>
      </c>
      <c r="H832" s="488" t="s">
        <v>175</v>
      </c>
      <c r="I832" s="1439">
        <v>1768</v>
      </c>
      <c r="J832" s="1434">
        <v>0</v>
      </c>
      <c r="K832" s="1434">
        <v>52</v>
      </c>
      <c r="L832" s="1291">
        <f t="shared" si="283"/>
        <v>34</v>
      </c>
      <c r="M832" s="507">
        <v>46266</v>
      </c>
      <c r="N832" s="507">
        <v>46262</v>
      </c>
      <c r="O832" s="507"/>
      <c r="P832" s="506"/>
      <c r="Q832" s="506"/>
      <c r="R832" s="504"/>
      <c r="S832" s="504"/>
      <c r="T832" s="506"/>
      <c r="U832" s="500">
        <f t="shared" si="288"/>
        <v>-1768</v>
      </c>
      <c r="V832" s="504"/>
      <c r="W832" s="1300">
        <v>46232</v>
      </c>
      <c r="X832" s="1294" t="s">
        <v>95</v>
      </c>
      <c r="Y832" s="1294" t="s">
        <v>3358</v>
      </c>
      <c r="Z832" s="544"/>
      <c r="AA832" s="544"/>
      <c r="AB832" s="543"/>
      <c r="AC832" s="1482" t="s">
        <v>3359</v>
      </c>
      <c r="AD832" s="507" t="s">
        <v>3360</v>
      </c>
      <c r="AE832" s="502">
        <v>1.0598</v>
      </c>
      <c r="AF832" s="503">
        <f>I832*AE832</f>
        <v>1873.7264</v>
      </c>
      <c r="AG832" s="1295"/>
      <c r="AH832" s="488" t="s">
        <v>1027</v>
      </c>
      <c r="AI832" s="488" t="s">
        <v>112</v>
      </c>
      <c r="AJ832" s="498" t="s">
        <v>113</v>
      </c>
      <c r="AK832" s="327">
        <f>I832*2</f>
        <v>3536</v>
      </c>
      <c r="AL832" s="502"/>
      <c r="AM832" s="1218"/>
      <c r="AN832" s="502"/>
      <c r="AO832" s="502"/>
      <c r="AP832" s="502">
        <f>I832</f>
        <v>1768</v>
      </c>
      <c r="AQ832" s="1296"/>
      <c r="AR832" s="438"/>
      <c r="AS832" s="1297"/>
      <c r="AT832" s="1297"/>
      <c r="AU832" s="502">
        <f>I832</f>
        <v>1768</v>
      </c>
      <c r="AV832" s="1298"/>
      <c r="AW832" s="1298"/>
      <c r="AX832" s="502"/>
      <c r="AY832" s="502"/>
      <c r="AZ832" s="502"/>
      <c r="BA832" s="502"/>
      <c r="BB832" s="502"/>
      <c r="BC832" s="502"/>
      <c r="BD832" s="502"/>
      <c r="BE832" s="502"/>
      <c r="BF832" s="502"/>
      <c r="BG832" s="502"/>
      <c r="BH832" s="502"/>
      <c r="BI832" s="502"/>
      <c r="BJ832" s="502"/>
      <c r="BK832" s="502"/>
      <c r="BL832" s="502">
        <f>I832/13</f>
        <v>136</v>
      </c>
      <c r="BM832" s="502"/>
      <c r="BN832" s="502"/>
      <c r="BO832" s="1296"/>
      <c r="BP832" s="1296"/>
      <c r="BQ832" s="1218"/>
      <c r="BR832" s="1297"/>
      <c r="BS832" s="1297"/>
      <c r="BT832" s="502"/>
      <c r="BU832" s="502"/>
      <c r="BV832" s="1296"/>
      <c r="BW832" s="1218"/>
      <c r="BX832" s="1218"/>
      <c r="BY832" s="1218"/>
      <c r="BZ832" s="1218"/>
      <c r="CA832" s="1218"/>
      <c r="CB832" s="1218"/>
      <c r="CC832" s="1218"/>
      <c r="CD832" s="1218">
        <f t="shared" si="289"/>
        <v>0</v>
      </c>
      <c r="CE832" s="1218">
        <f t="shared" si="290"/>
        <v>0</v>
      </c>
      <c r="CF832" s="502">
        <f t="shared" si="291"/>
        <v>0</v>
      </c>
      <c r="CG832" s="1218">
        <f t="shared" si="286"/>
        <v>0</v>
      </c>
      <c r="CH832" s="1299"/>
      <c r="CI832" s="1299"/>
      <c r="CJ832" s="1297"/>
      <c r="CK832" s="502"/>
      <c r="CL832" s="502"/>
      <c r="CM832" s="293"/>
      <c r="CN832" s="293"/>
      <c r="CO832" s="293"/>
      <c r="CP832" s="293"/>
      <c r="CQ832" s="293"/>
      <c r="CR832" s="293"/>
      <c r="CS832" s="293"/>
      <c r="CT832" s="293"/>
      <c r="CU832" s="293"/>
      <c r="CV832" s="293"/>
      <c r="CW832" s="293"/>
      <c r="CX832" s="293"/>
      <c r="CY832" s="293"/>
      <c r="CZ832" s="293"/>
      <c r="DA832" s="293"/>
      <c r="DB832" s="293"/>
      <c r="DC832" s="293"/>
      <c r="DD832" s="293"/>
      <c r="DE832" s="293"/>
      <c r="DF832" s="293"/>
      <c r="DG832" s="293"/>
    </row>
    <row r="833" s="1177" customFormat="1" customHeight="1" spans="1:111">
      <c r="A833" s="1703">
        <v>46227</v>
      </c>
      <c r="B833" s="1704" t="s">
        <v>3361</v>
      </c>
      <c r="C833" s="1454" t="s">
        <v>291</v>
      </c>
      <c r="D833" s="1705">
        <v>4500217358</v>
      </c>
      <c r="E833" s="1454" t="s">
        <v>3362</v>
      </c>
      <c r="F833" s="1601" t="s">
        <v>3363</v>
      </c>
      <c r="G833" s="1706" t="s">
        <v>389</v>
      </c>
      <c r="H833" s="1054" t="s">
        <v>390</v>
      </c>
      <c r="I833" s="1707">
        <v>132</v>
      </c>
      <c r="J833" s="1454">
        <v>0</v>
      </c>
      <c r="K833" s="1454">
        <v>12</v>
      </c>
      <c r="L833" s="1715">
        <f t="shared" si="283"/>
        <v>11</v>
      </c>
      <c r="M833" s="1586">
        <v>46266</v>
      </c>
      <c r="N833" s="1586">
        <v>46262</v>
      </c>
      <c r="O833" s="1586"/>
      <c r="P833" s="1292"/>
      <c r="Q833" s="1292"/>
      <c r="R833" s="1454"/>
      <c r="S833" s="1454"/>
      <c r="T833" s="1292"/>
      <c r="U833" s="500">
        <f t="shared" si="288"/>
        <v>-132</v>
      </c>
      <c r="V833" s="1454"/>
      <c r="W833" s="1300" t="s">
        <v>3364</v>
      </c>
      <c r="X833" s="1294" t="s">
        <v>107</v>
      </c>
      <c r="Y833" s="1294" t="s">
        <v>3365</v>
      </c>
      <c r="Z833" s="544"/>
      <c r="AA833" s="544"/>
      <c r="AB833" s="543"/>
      <c r="AC833" s="1708" t="s">
        <v>3366</v>
      </c>
      <c r="AD833" s="1586" t="s">
        <v>3367</v>
      </c>
      <c r="AE833" s="1601">
        <v>2.5332</v>
      </c>
      <c r="AF833" s="1718">
        <f>I833*AE833</f>
        <v>334.3824</v>
      </c>
      <c r="AG833" s="1295"/>
      <c r="AH833" s="504" t="s">
        <v>389</v>
      </c>
      <c r="AI833" s="488" t="s">
        <v>112</v>
      </c>
      <c r="AJ833" s="498" t="s">
        <v>113</v>
      </c>
      <c r="AK833" s="327">
        <f>I833*2</f>
        <v>264</v>
      </c>
      <c r="AL833" s="1601"/>
      <c r="AM833" s="1182"/>
      <c r="AN833" s="502"/>
      <c r="AO833" s="502"/>
      <c r="AP833" s="1601"/>
      <c r="AQ833" s="1601">
        <f>I833*2</f>
        <v>264</v>
      </c>
      <c r="AR833" s="520"/>
      <c r="AS833" s="1601"/>
      <c r="AT833" s="1297"/>
      <c r="AU833" s="1601">
        <f>I833*2</f>
        <v>264</v>
      </c>
      <c r="AV833" s="1298">
        <f>I833*0.06*2</f>
        <v>15.84</v>
      </c>
      <c r="AW833" s="1298"/>
      <c r="AX833" s="502"/>
      <c r="AY833" s="502"/>
      <c r="AZ833" s="1601"/>
      <c r="BA833" s="1601"/>
      <c r="BB833" s="1601"/>
      <c r="BC833" s="1601"/>
      <c r="BD833" s="1601"/>
      <c r="BE833" s="1601"/>
      <c r="BF833" s="1601"/>
      <c r="BG833" s="502"/>
      <c r="BH833" s="502"/>
      <c r="BI833" s="1601"/>
      <c r="BJ833" s="1601"/>
      <c r="BK833" s="1601"/>
      <c r="BL833" s="1601"/>
      <c r="BM833" s="1601"/>
      <c r="BN833" s="1601"/>
      <c r="BO833" s="1296"/>
      <c r="BP833" s="1601"/>
      <c r="BQ833" s="1182"/>
      <c r="BR833" s="1601"/>
      <c r="BS833" s="1601"/>
      <c r="BT833" s="1601"/>
      <c r="BU833" s="1601"/>
      <c r="BV833" s="1601"/>
      <c r="BW833" s="1182"/>
      <c r="BX833" s="1182"/>
      <c r="BY833" s="1182"/>
      <c r="BZ833" s="1182"/>
      <c r="CA833" s="1182"/>
      <c r="CB833" s="1182"/>
      <c r="CC833" s="1182"/>
      <c r="CD833" s="1218">
        <f t="shared" si="289"/>
        <v>0</v>
      </c>
      <c r="CE833" s="1218">
        <f t="shared" si="290"/>
        <v>0</v>
      </c>
      <c r="CF833" s="502">
        <f t="shared" si="291"/>
        <v>0</v>
      </c>
      <c r="CG833" s="1218">
        <f t="shared" si="286"/>
        <v>0</v>
      </c>
      <c r="CH833" s="1218"/>
      <c r="CI833" s="1218"/>
      <c r="CJ833" s="1297">
        <f>I833</f>
        <v>132</v>
      </c>
      <c r="CK833" s="502">
        <f>I833</f>
        <v>132</v>
      </c>
      <c r="CL833" s="502">
        <f>I833</f>
        <v>132</v>
      </c>
      <c r="CM833" s="293"/>
      <c r="CN833" s="293"/>
      <c r="CO833" s="293"/>
      <c r="CP833" s="293"/>
      <c r="CQ833" s="293"/>
      <c r="CR833" s="293"/>
      <c r="CS833" s="293"/>
      <c r="CT833" s="293"/>
      <c r="CU833" s="293"/>
      <c r="CV833" s="293"/>
      <c r="CW833" s="293"/>
      <c r="CX833" s="293"/>
      <c r="CY833" s="293"/>
      <c r="CZ833" s="293"/>
      <c r="DA833" s="293"/>
      <c r="DB833" s="293"/>
      <c r="DC833" s="293"/>
      <c r="DD833" s="293"/>
      <c r="DE833" s="293"/>
      <c r="DF833" s="293"/>
      <c r="DG833" s="293"/>
    </row>
    <row r="834" s="1180" customFormat="1" customHeight="1" spans="1:111">
      <c r="A834" s="1289">
        <v>46227</v>
      </c>
      <c r="B834" s="1417" t="s">
        <v>3361</v>
      </c>
      <c r="C834" s="1434" t="s">
        <v>291</v>
      </c>
      <c r="D834" s="1435">
        <v>4500217358</v>
      </c>
      <c r="E834" s="1434" t="s">
        <v>3368</v>
      </c>
      <c r="F834" s="1437" t="s">
        <v>3369</v>
      </c>
      <c r="G834" s="1438" t="s">
        <v>389</v>
      </c>
      <c r="H834" s="1553" t="s">
        <v>390</v>
      </c>
      <c r="I834" s="1439">
        <v>288</v>
      </c>
      <c r="J834" s="1434">
        <v>0</v>
      </c>
      <c r="K834" s="1434">
        <v>12</v>
      </c>
      <c r="L834" s="1544">
        <f t="shared" si="283"/>
        <v>24</v>
      </c>
      <c r="M834" s="507">
        <v>46266</v>
      </c>
      <c r="N834" s="507">
        <v>46262</v>
      </c>
      <c r="O834" s="507"/>
      <c r="P834" s="506"/>
      <c r="Q834" s="506"/>
      <c r="R834" s="504"/>
      <c r="S834" s="504"/>
      <c r="T834" s="506"/>
      <c r="U834" s="500">
        <f t="shared" si="288"/>
        <v>-288</v>
      </c>
      <c r="V834" s="504"/>
      <c r="W834" s="1300" t="s">
        <v>3364</v>
      </c>
      <c r="X834" s="1301" t="s">
        <v>107</v>
      </c>
      <c r="Y834" s="1301" t="s">
        <v>3365</v>
      </c>
      <c r="Z834" s="544"/>
      <c r="AA834" s="544"/>
      <c r="AB834" s="543"/>
      <c r="AC834" s="1552" t="s">
        <v>3370</v>
      </c>
      <c r="AD834" s="507" t="s">
        <v>3367</v>
      </c>
      <c r="AE834" s="502">
        <v>2.5332</v>
      </c>
      <c r="AF834" s="1315">
        <f>I834*AE834</f>
        <v>729.5616</v>
      </c>
      <c r="AG834" s="1295"/>
      <c r="AH834" s="504" t="s">
        <v>389</v>
      </c>
      <c r="AI834" s="488" t="s">
        <v>112</v>
      </c>
      <c r="AJ834" s="498" t="s">
        <v>113</v>
      </c>
      <c r="AK834" s="327">
        <f>I834*2</f>
        <v>576</v>
      </c>
      <c r="AL834" s="502"/>
      <c r="AM834" s="1218"/>
      <c r="AN834" s="502"/>
      <c r="AO834" s="502"/>
      <c r="AP834" s="502"/>
      <c r="AQ834" s="1296">
        <f>I834*2</f>
        <v>576</v>
      </c>
      <c r="AR834" s="438"/>
      <c r="AS834" s="1297"/>
      <c r="AT834" s="1297"/>
      <c r="AU834" s="502">
        <f>I834*2</f>
        <v>576</v>
      </c>
      <c r="AV834" s="1298">
        <f>I834*0.06*2</f>
        <v>34.56</v>
      </c>
      <c r="AW834" s="1298"/>
      <c r="AX834" s="502"/>
      <c r="AY834" s="502"/>
      <c r="AZ834" s="502"/>
      <c r="BA834" s="502"/>
      <c r="BB834" s="502"/>
      <c r="BC834" s="502"/>
      <c r="BD834" s="502"/>
      <c r="BE834" s="502"/>
      <c r="BF834" s="502"/>
      <c r="BG834" s="502"/>
      <c r="BH834" s="502"/>
      <c r="BI834" s="502"/>
      <c r="BJ834" s="502"/>
      <c r="BK834" s="502"/>
      <c r="BL834" s="502"/>
      <c r="BM834" s="502"/>
      <c r="BN834" s="502"/>
      <c r="BO834" s="1296"/>
      <c r="BP834" s="1296"/>
      <c r="BQ834" s="1218"/>
      <c r="BR834" s="1297"/>
      <c r="BS834" s="1297"/>
      <c r="BT834" s="502"/>
      <c r="BU834" s="502"/>
      <c r="BV834" s="1296"/>
      <c r="BW834" s="1218"/>
      <c r="BX834" s="1218"/>
      <c r="BY834" s="1218"/>
      <c r="BZ834" s="1218"/>
      <c r="CA834" s="1218"/>
      <c r="CB834" s="1218"/>
      <c r="CC834" s="1218"/>
      <c r="CD834" s="1218">
        <f t="shared" si="289"/>
        <v>0</v>
      </c>
      <c r="CE834" s="1218">
        <f t="shared" si="290"/>
        <v>0</v>
      </c>
      <c r="CF834" s="502">
        <f t="shared" si="291"/>
        <v>0</v>
      </c>
      <c r="CG834" s="1218">
        <f t="shared" si="286"/>
        <v>0</v>
      </c>
      <c r="CH834" s="1299"/>
      <c r="CI834" s="1299"/>
      <c r="CJ834" s="1297">
        <f>I834</f>
        <v>288</v>
      </c>
      <c r="CK834" s="502">
        <f>I834</f>
        <v>288</v>
      </c>
      <c r="CL834" s="502">
        <f>I834</f>
        <v>288</v>
      </c>
      <c r="CM834" s="293"/>
      <c r="CN834" s="293"/>
      <c r="CO834" s="293"/>
      <c r="CP834" s="293"/>
      <c r="CQ834" s="293"/>
      <c r="CR834" s="293"/>
      <c r="CS834" s="293"/>
      <c r="CT834" s="293"/>
      <c r="CU834" s="293"/>
      <c r="CV834" s="293"/>
      <c r="CW834" s="293"/>
      <c r="CX834" s="293"/>
      <c r="CY834" s="293"/>
      <c r="CZ834" s="293"/>
      <c r="DA834" s="293"/>
      <c r="DB834" s="293"/>
      <c r="DC834" s="293"/>
      <c r="DD834" s="293"/>
      <c r="DE834" s="293"/>
      <c r="DF834" s="293"/>
      <c r="DG834" s="293"/>
    </row>
    <row r="835" s="1180" customFormat="1" customHeight="1" spans="1:111">
      <c r="A835" s="1606">
        <v>46142</v>
      </c>
      <c r="B835" s="1417" t="s">
        <v>3371</v>
      </c>
      <c r="C835" s="1434" t="s">
        <v>3372</v>
      </c>
      <c r="D835" s="1435">
        <v>4500204723</v>
      </c>
      <c r="E835" s="1434" t="s">
        <v>628</v>
      </c>
      <c r="F835" s="1555" t="s">
        <v>3373</v>
      </c>
      <c r="G835" s="1719" t="s">
        <v>3374</v>
      </c>
      <c r="H835" s="1434" t="s">
        <v>138</v>
      </c>
      <c r="I835" s="1439">
        <v>2400</v>
      </c>
      <c r="J835" s="1434">
        <v>0</v>
      </c>
      <c r="K835" s="1434">
        <v>50</v>
      </c>
      <c r="L835" s="1607">
        <f t="shared" si="283"/>
        <v>48</v>
      </c>
      <c r="M835" s="1440">
        <v>46266</v>
      </c>
      <c r="N835" s="1416" t="s">
        <v>3375</v>
      </c>
      <c r="O835" s="507"/>
      <c r="P835" s="1436"/>
      <c r="Q835" s="1720" t="s">
        <v>3376</v>
      </c>
      <c r="R835" s="1434"/>
      <c r="S835" s="1434"/>
      <c r="T835" s="1436"/>
      <c r="U835" s="500">
        <f t="shared" si="288"/>
        <v>-2400</v>
      </c>
      <c r="V835" s="1434"/>
      <c r="W835" s="1324">
        <v>46171</v>
      </c>
      <c r="X835" s="1308" t="s">
        <v>95</v>
      </c>
      <c r="Y835" s="1308" t="s">
        <v>95</v>
      </c>
      <c r="Z835" s="1443" t="s">
        <v>3377</v>
      </c>
      <c r="AA835" s="1721"/>
      <c r="AB835" s="1417"/>
      <c r="AC835" s="1560" t="s">
        <v>3378</v>
      </c>
      <c r="AD835" s="507" t="s">
        <v>2269</v>
      </c>
      <c r="AE835" s="1437">
        <v>1.089</v>
      </c>
      <c r="AF835" s="1609">
        <f>L835*AE835</f>
        <v>52.272</v>
      </c>
      <c r="AG835" s="1610"/>
      <c r="AH835" s="488" t="s">
        <v>3374</v>
      </c>
      <c r="AI835" s="488" t="s">
        <v>112</v>
      </c>
      <c r="AJ835" s="1434"/>
      <c r="AK835" s="1437">
        <f>I835</f>
        <v>2400</v>
      </c>
      <c r="AL835" s="1437"/>
      <c r="AM835" s="1617"/>
      <c r="AN835" s="1366">
        <f>I835</f>
        <v>2400</v>
      </c>
      <c r="AO835" s="1437"/>
      <c r="AP835" s="1437"/>
      <c r="AQ835" s="1615"/>
      <c r="AR835" s="456"/>
      <c r="AS835" s="1616"/>
      <c r="AT835" s="1616"/>
      <c r="AU835" s="502"/>
      <c r="AV835" s="1298">
        <f>I835*0.06*2</f>
        <v>288</v>
      </c>
      <c r="AW835" s="1298"/>
      <c r="AX835" s="1437"/>
      <c r="AY835" s="1437"/>
      <c r="AZ835" s="1437"/>
      <c r="BA835" s="1437"/>
      <c r="BB835" s="1437"/>
      <c r="BC835" s="1437"/>
      <c r="BD835" s="1437"/>
      <c r="BE835" s="1437"/>
      <c r="BF835" s="1437"/>
      <c r="BG835" s="1437"/>
      <c r="BH835" s="1437"/>
      <c r="BI835" s="1437"/>
      <c r="BJ835" s="1437"/>
      <c r="BK835" s="1437"/>
      <c r="BL835" s="1437"/>
      <c r="BM835" s="1437"/>
      <c r="BN835" s="1437"/>
      <c r="BO835" s="1615"/>
      <c r="BP835" s="1615"/>
      <c r="BQ835" s="1617">
        <f>I835/25</f>
        <v>96</v>
      </c>
      <c r="BR835" s="1616"/>
      <c r="BS835" s="1616"/>
      <c r="BT835" s="1437"/>
      <c r="BU835" s="1437"/>
      <c r="BV835" s="1615"/>
      <c r="BW835" s="1617"/>
      <c r="BX835" s="1218"/>
      <c r="BY835" s="1617"/>
      <c r="BZ835" s="1617"/>
      <c r="CA835" s="1617"/>
      <c r="CB835" s="1617"/>
      <c r="CC835" s="1617"/>
      <c r="CD835" s="1218">
        <f t="shared" si="289"/>
        <v>96</v>
      </c>
      <c r="CE835" s="1218">
        <f t="shared" si="290"/>
        <v>0</v>
      </c>
      <c r="CF835" s="502">
        <f t="shared" si="291"/>
        <v>0</v>
      </c>
      <c r="CG835" s="1218">
        <f t="shared" si="286"/>
        <v>0</v>
      </c>
      <c r="CH835" s="1618"/>
      <c r="CI835" s="1618"/>
      <c r="CJ835" s="1616"/>
      <c r="CK835" s="1437"/>
      <c r="CL835" s="1437"/>
      <c r="CM835" s="293"/>
      <c r="CN835" s="293"/>
      <c r="CO835" s="293"/>
      <c r="CP835" s="293"/>
      <c r="CQ835" s="293"/>
      <c r="CR835" s="293"/>
      <c r="CS835" s="293"/>
      <c r="CT835" s="293"/>
      <c r="CU835" s="293"/>
      <c r="CV835" s="293"/>
      <c r="CW835" s="293"/>
      <c r="CX835" s="293"/>
      <c r="CY835" s="293"/>
      <c r="CZ835" s="293"/>
      <c r="DA835" s="293"/>
      <c r="DB835" s="293"/>
      <c r="DC835" s="293"/>
      <c r="DD835" s="293"/>
      <c r="DE835" s="293"/>
      <c r="DF835" s="293"/>
      <c r="DG835" s="293"/>
    </row>
    <row r="836" s="1177" customFormat="1" customHeight="1" spans="1:111">
      <c r="A836" s="526">
        <v>46142</v>
      </c>
      <c r="B836" s="527" t="s">
        <v>3371</v>
      </c>
      <c r="C836" s="521" t="s">
        <v>3379</v>
      </c>
      <c r="D836" s="614">
        <v>4500204719</v>
      </c>
      <c r="E836" s="521" t="s">
        <v>628</v>
      </c>
      <c r="F836" s="520" t="s">
        <v>3380</v>
      </c>
      <c r="G836" s="1722" t="s">
        <v>3374</v>
      </c>
      <c r="H836" s="521" t="s">
        <v>138</v>
      </c>
      <c r="I836" s="1723">
        <v>1200</v>
      </c>
      <c r="J836" s="521">
        <v>0</v>
      </c>
      <c r="K836" s="521">
        <v>50</v>
      </c>
      <c r="L836" s="529">
        <f t="shared" si="283"/>
        <v>24</v>
      </c>
      <c r="M836" s="617">
        <v>46266</v>
      </c>
      <c r="N836" s="1416" t="s">
        <v>3375</v>
      </c>
      <c r="O836" s="530"/>
      <c r="P836" s="527" t="s">
        <v>3381</v>
      </c>
      <c r="Q836" s="1724" t="s">
        <v>3376</v>
      </c>
      <c r="R836" s="521"/>
      <c r="S836" s="521"/>
      <c r="T836" s="467"/>
      <c r="U836" s="500">
        <f t="shared" si="288"/>
        <v>-1200</v>
      </c>
      <c r="V836" s="521"/>
      <c r="W836" s="443">
        <v>46171</v>
      </c>
      <c r="X836" s="444" t="s">
        <v>95</v>
      </c>
      <c r="Y836" s="444" t="s">
        <v>95</v>
      </c>
      <c r="Z836" s="509" t="s">
        <v>3377</v>
      </c>
      <c r="AA836" s="509"/>
      <c r="AB836" s="436"/>
      <c r="AC836" s="1725" t="s">
        <v>3382</v>
      </c>
      <c r="AD836" s="530" t="s">
        <v>2269</v>
      </c>
      <c r="AE836" s="1726">
        <v>1.1174</v>
      </c>
      <c r="AF836" s="533">
        <f>I836*AE836</f>
        <v>1340.88</v>
      </c>
      <c r="AG836" s="1727"/>
      <c r="AH836" s="437" t="s">
        <v>3374</v>
      </c>
      <c r="AI836" s="437" t="s">
        <v>112</v>
      </c>
      <c r="AJ836" s="521"/>
      <c r="AK836" s="438">
        <f>I836</f>
        <v>1200</v>
      </c>
      <c r="AL836" s="520"/>
      <c r="AM836" s="520"/>
      <c r="AN836" s="1366">
        <f>I836</f>
        <v>1200</v>
      </c>
      <c r="AO836" s="438"/>
      <c r="AP836" s="520"/>
      <c r="AQ836" s="520"/>
      <c r="AR836" s="520"/>
      <c r="AS836" s="520"/>
      <c r="AT836" s="448"/>
      <c r="AU836" s="520"/>
      <c r="AV836" s="449">
        <f>I836*0.06*2</f>
        <v>144</v>
      </c>
      <c r="AW836" s="449"/>
      <c r="AX836" s="438"/>
      <c r="AY836" s="438"/>
      <c r="AZ836" s="520"/>
      <c r="BA836" s="520"/>
      <c r="BB836" s="520"/>
      <c r="BC836" s="520"/>
      <c r="BD836" s="520"/>
      <c r="BE836" s="520"/>
      <c r="BF836" s="520"/>
      <c r="BG836" s="438"/>
      <c r="BH836" s="438"/>
      <c r="BI836" s="520"/>
      <c r="BJ836" s="520"/>
      <c r="BK836" s="520"/>
      <c r="BL836" s="520"/>
      <c r="BM836" s="520"/>
      <c r="BN836" s="520"/>
      <c r="BO836" s="447"/>
      <c r="BP836" s="520"/>
      <c r="BQ836" s="520">
        <f>I836/25</f>
        <v>48</v>
      </c>
      <c r="BR836" s="520"/>
      <c r="BS836" s="520"/>
      <c r="BT836" s="520"/>
      <c r="BU836" s="520"/>
      <c r="BV836" s="520"/>
      <c r="BW836" s="520"/>
      <c r="BX836" s="520"/>
      <c r="BY836" s="520"/>
      <c r="BZ836" s="520"/>
      <c r="CA836" s="520"/>
      <c r="CB836" s="520"/>
      <c r="CC836" s="520"/>
      <c r="CD836" s="438">
        <f t="shared" si="289"/>
        <v>48</v>
      </c>
      <c r="CE836" s="438">
        <f t="shared" si="290"/>
        <v>0</v>
      </c>
      <c r="CF836" s="438">
        <f t="shared" si="291"/>
        <v>0</v>
      </c>
      <c r="CG836" s="438">
        <f t="shared" si="286"/>
        <v>0</v>
      </c>
      <c r="CH836" s="438"/>
      <c r="CI836" s="438"/>
      <c r="CJ836" s="520"/>
      <c r="CK836" s="520"/>
      <c r="CL836" s="520"/>
      <c r="CM836" s="291"/>
      <c r="CN836" s="291"/>
      <c r="CO836" s="291"/>
      <c r="CP836" s="291"/>
      <c r="CQ836" s="291"/>
      <c r="CR836" s="291"/>
      <c r="CS836" s="291"/>
      <c r="CT836" s="291"/>
      <c r="CU836" s="291"/>
      <c r="CV836" s="291"/>
      <c r="CW836" s="291"/>
      <c r="CX836" s="291"/>
      <c r="CY836" s="291"/>
      <c r="CZ836" s="291"/>
      <c r="DA836" s="291"/>
      <c r="DB836" s="291"/>
      <c r="DC836" s="291"/>
      <c r="DD836" s="291"/>
      <c r="DE836" s="291"/>
      <c r="DF836" s="291"/>
      <c r="DG836" s="291"/>
    </row>
    <row r="837" s="1169" customFormat="1" customHeight="1" spans="1:111">
      <c r="A837" s="1340">
        <v>46142</v>
      </c>
      <c r="B837" s="1341" t="s">
        <v>3383</v>
      </c>
      <c r="C837" s="1342" t="s">
        <v>3384</v>
      </c>
      <c r="D837" s="1343">
        <v>4500204716</v>
      </c>
      <c r="E837" s="1342" t="s">
        <v>628</v>
      </c>
      <c r="F837" s="1172" t="s">
        <v>3385</v>
      </c>
      <c r="G837" s="1381" t="s">
        <v>3374</v>
      </c>
      <c r="H837" s="1342" t="s">
        <v>138</v>
      </c>
      <c r="I837" s="1344">
        <v>3600</v>
      </c>
      <c r="J837" s="1342">
        <v>0</v>
      </c>
      <c r="K837" s="1342">
        <v>50</v>
      </c>
      <c r="L837" s="1345">
        <f t="shared" si="283"/>
        <v>72</v>
      </c>
      <c r="M837" s="1361">
        <v>46266</v>
      </c>
      <c r="N837" s="1416" t="s">
        <v>3375</v>
      </c>
      <c r="O837" s="1286"/>
      <c r="P837" s="1357" t="s">
        <v>3386</v>
      </c>
      <c r="Q837" s="1385" t="s">
        <v>3376</v>
      </c>
      <c r="R837" s="1342"/>
      <c r="S837" s="1342"/>
      <c r="T837" s="1357"/>
      <c r="U837" s="1233">
        <f t="shared" si="288"/>
        <v>-3600</v>
      </c>
      <c r="V837" s="1342"/>
      <c r="W837" s="1238">
        <v>46171</v>
      </c>
      <c r="X837" s="1257" t="s">
        <v>95</v>
      </c>
      <c r="Y837" s="1257" t="s">
        <v>95</v>
      </c>
      <c r="Z837" s="1321" t="s">
        <v>3377</v>
      </c>
      <c r="AA837" s="1321"/>
      <c r="AB837" s="1247"/>
      <c r="AC837" s="1386" t="s">
        <v>3387</v>
      </c>
      <c r="AD837" s="1286" t="s">
        <v>2269</v>
      </c>
      <c r="AE837" s="1514">
        <v>1.1174</v>
      </c>
      <c r="AF837" s="1360">
        <f>I837*AE837</f>
        <v>4022.64</v>
      </c>
      <c r="AG837" s="1258"/>
      <c r="AH837" s="1234" t="s">
        <v>3374</v>
      </c>
      <c r="AI837" s="1234" t="s">
        <v>112</v>
      </c>
      <c r="AJ837" s="1342"/>
      <c r="AK837" s="1188">
        <f>I837</f>
        <v>3600</v>
      </c>
      <c r="AL837" s="1172"/>
      <c r="AM837" s="1172"/>
      <c r="AN837" s="1251">
        <f>I837</f>
        <v>3600</v>
      </c>
      <c r="AO837" s="1188"/>
      <c r="AP837" s="1172"/>
      <c r="AQ837" s="1172"/>
      <c r="AR837" s="1172"/>
      <c r="AS837" s="1172"/>
      <c r="AT837" s="1236"/>
      <c r="AU837" s="1172"/>
      <c r="AV837" s="1250">
        <f>I837*0.06*2</f>
        <v>432</v>
      </c>
      <c r="AW837" s="1250"/>
      <c r="AX837" s="1188"/>
      <c r="AY837" s="1188"/>
      <c r="AZ837" s="1172"/>
      <c r="BA837" s="1172"/>
      <c r="BB837" s="1172"/>
      <c r="BC837" s="1172"/>
      <c r="BD837" s="1172"/>
      <c r="BE837" s="1172"/>
      <c r="BF837" s="1172"/>
      <c r="BG837" s="1188"/>
      <c r="BH837" s="1188"/>
      <c r="BI837" s="1172"/>
      <c r="BJ837" s="1172"/>
      <c r="BK837" s="1172"/>
      <c r="BL837" s="1172"/>
      <c r="BM837" s="1172"/>
      <c r="BN837" s="1172"/>
      <c r="BO837" s="1240"/>
      <c r="BP837" s="1172"/>
      <c r="BQ837" s="1172">
        <f>I837/25</f>
        <v>144</v>
      </c>
      <c r="BR837" s="1172"/>
      <c r="BS837" s="1172"/>
      <c r="BT837" s="1172"/>
      <c r="BU837" s="1172"/>
      <c r="BV837" s="1172"/>
      <c r="BW837" s="1172"/>
      <c r="BX837" s="1172"/>
      <c r="BY837" s="1172"/>
      <c r="BZ837" s="1172"/>
      <c r="CA837" s="1172"/>
      <c r="CB837" s="1172"/>
      <c r="CC837" s="1172"/>
      <c r="CD837" s="1188">
        <f t="shared" si="289"/>
        <v>144</v>
      </c>
      <c r="CE837" s="1188">
        <f t="shared" si="290"/>
        <v>0</v>
      </c>
      <c r="CF837" s="1188">
        <f t="shared" si="291"/>
        <v>0</v>
      </c>
      <c r="CG837" s="1188">
        <f t="shared" si="286"/>
        <v>0</v>
      </c>
      <c r="CH837" s="1188"/>
      <c r="CI837" s="1188"/>
      <c r="CJ837" s="1172"/>
      <c r="CK837" s="1172"/>
      <c r="CL837" s="1172"/>
      <c r="CM837" s="1168"/>
      <c r="CN837" s="1168"/>
      <c r="CO837" s="1168"/>
      <c r="CP837" s="1168"/>
      <c r="CQ837" s="1168"/>
      <c r="CR837" s="1168"/>
      <c r="CS837" s="1168"/>
      <c r="CT837" s="1168"/>
      <c r="CU837" s="1168"/>
      <c r="CV837" s="1168"/>
      <c r="CW837" s="1168"/>
      <c r="CX837" s="1168"/>
      <c r="CY837" s="1168"/>
      <c r="CZ837" s="1168"/>
      <c r="DA837" s="1168"/>
      <c r="DB837" s="1168"/>
      <c r="DC837" s="1168"/>
      <c r="DD837" s="1168"/>
      <c r="DE837" s="1168"/>
      <c r="DF837" s="1168"/>
      <c r="DG837" s="1168"/>
    </row>
    <row r="838" s="1180" customFormat="1" customHeight="1" spans="1:111">
      <c r="A838" s="1309">
        <v>46217</v>
      </c>
      <c r="B838" s="1552" t="s">
        <v>264</v>
      </c>
      <c r="C838" s="1553" t="s">
        <v>265</v>
      </c>
      <c r="D838" s="1554">
        <v>4500216448</v>
      </c>
      <c r="E838" s="1621">
        <v>4400577347</v>
      </c>
      <c r="F838" s="1555" t="s">
        <v>3388</v>
      </c>
      <c r="G838" s="1556" t="s">
        <v>270</v>
      </c>
      <c r="H838" s="504" t="s">
        <v>104</v>
      </c>
      <c r="I838" s="1557">
        <v>17400</v>
      </c>
      <c r="J838" s="1553">
        <v>0</v>
      </c>
      <c r="K838" s="1553">
        <v>25</v>
      </c>
      <c r="L838" s="1544">
        <f t="shared" si="283"/>
        <v>696</v>
      </c>
      <c r="M838" s="1545">
        <v>46268</v>
      </c>
      <c r="N838" s="1545">
        <v>46265</v>
      </c>
      <c r="O838" s="1545"/>
      <c r="P838" s="1313" t="s">
        <v>3208</v>
      </c>
      <c r="Q838" s="1313"/>
      <c r="R838" s="488" t="s">
        <v>1368</v>
      </c>
      <c r="S838" s="488"/>
      <c r="T838" s="1313"/>
      <c r="U838" s="500">
        <f t="shared" si="288"/>
        <v>-17400</v>
      </c>
      <c r="V838" s="488"/>
      <c r="W838" s="1300">
        <v>46185</v>
      </c>
      <c r="X838" s="1301" t="s">
        <v>95</v>
      </c>
      <c r="Y838" s="1294" t="s">
        <v>1794</v>
      </c>
      <c r="Z838" s="544" t="s">
        <v>140</v>
      </c>
      <c r="AA838" s="544"/>
      <c r="AB838" s="544" t="s">
        <v>2870</v>
      </c>
      <c r="AC838" s="1552" t="s">
        <v>2834</v>
      </c>
      <c r="AD838" s="1545" t="s">
        <v>1142</v>
      </c>
      <c r="AE838" s="327">
        <v>1.0976</v>
      </c>
      <c r="AF838" s="1315">
        <f>I838*AE838</f>
        <v>19098.24</v>
      </c>
      <c r="AG838" s="1295"/>
      <c r="AH838" s="488" t="s">
        <v>270</v>
      </c>
      <c r="AI838" s="488" t="s">
        <v>112</v>
      </c>
      <c r="AJ838" s="498" t="s">
        <v>113</v>
      </c>
      <c r="AK838" s="327">
        <f>I838</f>
        <v>17400</v>
      </c>
      <c r="AL838" s="327"/>
      <c r="AM838" s="327"/>
      <c r="AN838" s="327"/>
      <c r="AO838" s="327"/>
      <c r="AP838" s="327"/>
      <c r="AQ838" s="1316"/>
      <c r="AR838" s="327"/>
      <c r="AS838" s="1317"/>
      <c r="AT838" s="1317"/>
      <c r="AU838" s="327"/>
      <c r="AV838" s="1318">
        <f>I838*0.06</f>
        <v>1044</v>
      </c>
      <c r="AW838" s="1318"/>
      <c r="AX838" s="327"/>
      <c r="AY838" s="327"/>
      <c r="AZ838" s="327"/>
      <c r="BA838" s="327"/>
      <c r="BB838" s="327"/>
      <c r="BC838" s="327"/>
      <c r="BD838" s="327"/>
      <c r="BE838" s="327"/>
      <c r="BF838" s="327"/>
      <c r="BG838" s="327">
        <f>I838</f>
        <v>17400</v>
      </c>
      <c r="BH838" s="327">
        <f>I838</f>
        <v>17400</v>
      </c>
      <c r="BI838" s="327"/>
      <c r="BJ838" s="327"/>
      <c r="BK838" s="327"/>
      <c r="BL838" s="327"/>
      <c r="BM838" s="327"/>
      <c r="BN838" s="327"/>
      <c r="BO838" s="1698">
        <f>I838/25</f>
        <v>696</v>
      </c>
      <c r="BP838" s="1316"/>
      <c r="BQ838" s="327"/>
      <c r="BR838" s="1317"/>
      <c r="BS838" s="1317"/>
      <c r="BT838" s="327"/>
      <c r="BU838" s="327"/>
      <c r="BV838" s="1316"/>
      <c r="BW838" s="327"/>
      <c r="BX838" s="327"/>
      <c r="BY838" s="327"/>
      <c r="BZ838" s="327"/>
      <c r="CA838" s="327"/>
      <c r="CB838" s="327"/>
      <c r="CC838" s="327"/>
      <c r="CD838" s="1218">
        <f t="shared" si="289"/>
        <v>696</v>
      </c>
      <c r="CE838" s="1218">
        <f t="shared" si="290"/>
        <v>0</v>
      </c>
      <c r="CF838" s="502">
        <f t="shared" si="291"/>
        <v>0</v>
      </c>
      <c r="CG838" s="1218">
        <f t="shared" si="286"/>
        <v>0</v>
      </c>
      <c r="CH838" s="1317"/>
      <c r="CI838" s="1317"/>
      <c r="CJ838" s="1317"/>
      <c r="CK838" s="327"/>
      <c r="CL838" s="327"/>
      <c r="CM838" s="1177"/>
      <c r="CN838" s="1177"/>
      <c r="CO838" s="1177"/>
      <c r="CP838" s="1177"/>
      <c r="CQ838" s="1177"/>
      <c r="CR838" s="1177"/>
      <c r="CS838" s="1177"/>
      <c r="CT838" s="1177"/>
      <c r="CU838" s="1177"/>
      <c r="CV838" s="1177"/>
      <c r="CW838" s="1177"/>
      <c r="CX838" s="1177"/>
      <c r="CY838" s="1177"/>
      <c r="CZ838" s="1177"/>
      <c r="DA838" s="1177"/>
      <c r="DB838" s="1177"/>
      <c r="DC838" s="1177"/>
      <c r="DD838" s="1177"/>
      <c r="DE838" s="1177"/>
      <c r="DF838" s="1177"/>
      <c r="DG838" s="1177"/>
    </row>
    <row r="839" s="293" customFormat="1" customHeight="1" spans="1:111">
      <c r="A839" s="1309">
        <v>46217</v>
      </c>
      <c r="B839" s="544" t="s">
        <v>264</v>
      </c>
      <c r="C839" s="488" t="s">
        <v>265</v>
      </c>
      <c r="D839" s="1445">
        <v>4500216448</v>
      </c>
      <c r="E839" s="1313">
        <v>4400577349</v>
      </c>
      <c r="F839" s="327" t="s">
        <v>3389</v>
      </c>
      <c r="G839" s="1310" t="s">
        <v>270</v>
      </c>
      <c r="H839" s="504" t="s">
        <v>104</v>
      </c>
      <c r="I839" s="1311">
        <v>10500</v>
      </c>
      <c r="J839" s="488">
        <v>0</v>
      </c>
      <c r="K839" s="488">
        <v>25</v>
      </c>
      <c r="L839" s="1544">
        <f t="shared" si="283"/>
        <v>420</v>
      </c>
      <c r="M839" s="1312">
        <v>46268</v>
      </c>
      <c r="N839" s="1312">
        <v>46265</v>
      </c>
      <c r="O839" s="1312"/>
      <c r="P839" s="1313" t="s">
        <v>3208</v>
      </c>
      <c r="Q839" s="1313"/>
      <c r="R839" s="488" t="s">
        <v>1368</v>
      </c>
      <c r="S839" s="488"/>
      <c r="T839" s="1313"/>
      <c r="U839" s="500">
        <f t="shared" si="288"/>
        <v>-10500</v>
      </c>
      <c r="V839" s="488"/>
      <c r="W839" s="1300">
        <v>46185</v>
      </c>
      <c r="X839" s="1301" t="s">
        <v>95</v>
      </c>
      <c r="Y839" s="1301" t="s">
        <v>1794</v>
      </c>
      <c r="Z839" s="544" t="s">
        <v>140</v>
      </c>
      <c r="AA839" s="544"/>
      <c r="AB839" s="544" t="s">
        <v>2870</v>
      </c>
      <c r="AC839" s="544" t="s">
        <v>2834</v>
      </c>
      <c r="AD839" s="1312" t="s">
        <v>1142</v>
      </c>
      <c r="AE839" s="327">
        <v>1.0976</v>
      </c>
      <c r="AF839" s="1315">
        <f>I839*AE839</f>
        <v>11524.8</v>
      </c>
      <c r="AG839" s="1295"/>
      <c r="AH839" s="488" t="s">
        <v>270</v>
      </c>
      <c r="AI839" s="488" t="s">
        <v>112</v>
      </c>
      <c r="AJ839" s="498" t="s">
        <v>113</v>
      </c>
      <c r="AK839" s="327">
        <f>I839</f>
        <v>10500</v>
      </c>
      <c r="AL839" s="327"/>
      <c r="AM839" s="327"/>
      <c r="AN839" s="327"/>
      <c r="AO839" s="327"/>
      <c r="AP839" s="327"/>
      <c r="AQ839" s="1316"/>
      <c r="AR839" s="327"/>
      <c r="AS839" s="1317"/>
      <c r="AT839" s="1317"/>
      <c r="AU839" s="327"/>
      <c r="AV839" s="1318">
        <f>I839*0.06</f>
        <v>630</v>
      </c>
      <c r="AW839" s="1318"/>
      <c r="AX839" s="327"/>
      <c r="AY839" s="327"/>
      <c r="AZ839" s="327"/>
      <c r="BA839" s="327"/>
      <c r="BB839" s="327"/>
      <c r="BC839" s="327"/>
      <c r="BD839" s="327"/>
      <c r="BE839" s="327"/>
      <c r="BF839" s="327"/>
      <c r="BG839" s="327">
        <f>I839</f>
        <v>10500</v>
      </c>
      <c r="BH839" s="327">
        <f>I839</f>
        <v>10500</v>
      </c>
      <c r="BI839" s="327"/>
      <c r="BJ839" s="327"/>
      <c r="BK839" s="327"/>
      <c r="BL839" s="327"/>
      <c r="BM839" s="327"/>
      <c r="BN839" s="327"/>
      <c r="BO839" s="1698">
        <f>I839/25</f>
        <v>420</v>
      </c>
      <c r="BP839" s="1316"/>
      <c r="BQ839" s="327"/>
      <c r="BR839" s="1317"/>
      <c r="BS839" s="1317"/>
      <c r="BT839" s="327"/>
      <c r="BU839" s="327"/>
      <c r="BV839" s="1316"/>
      <c r="BW839" s="327"/>
      <c r="BX839" s="327"/>
      <c r="BY839" s="327"/>
      <c r="BZ839" s="327"/>
      <c r="CA839" s="327"/>
      <c r="CB839" s="327"/>
      <c r="CC839" s="327"/>
      <c r="CD839" s="1218">
        <f t="shared" si="289"/>
        <v>420</v>
      </c>
      <c r="CE839" s="1218">
        <f t="shared" si="290"/>
        <v>0</v>
      </c>
      <c r="CF839" s="502">
        <f t="shared" si="291"/>
        <v>0</v>
      </c>
      <c r="CG839" s="1218">
        <f t="shared" si="286"/>
        <v>0</v>
      </c>
      <c r="CH839" s="1317"/>
      <c r="CI839" s="1317"/>
      <c r="CJ839" s="1317"/>
      <c r="CK839" s="327"/>
      <c r="CL839" s="327"/>
      <c r="CM839" s="1177"/>
      <c r="CN839" s="1177"/>
      <c r="CO839" s="1177"/>
      <c r="CP839" s="1177"/>
      <c r="CQ839" s="1177"/>
      <c r="CR839" s="1177"/>
      <c r="CS839" s="1177"/>
      <c r="CT839" s="1177"/>
      <c r="CU839" s="1177"/>
      <c r="CV839" s="1177"/>
      <c r="CW839" s="1177"/>
      <c r="CX839" s="1177"/>
      <c r="CY839" s="1177"/>
      <c r="CZ839" s="1177"/>
      <c r="DA839" s="1177"/>
      <c r="DB839" s="1177"/>
      <c r="DC839" s="1177"/>
      <c r="DD839" s="1177"/>
      <c r="DE839" s="1177"/>
      <c r="DF839" s="1177"/>
      <c r="DG839" s="1177"/>
    </row>
    <row r="840" s="294" customFormat="1" customHeight="1" spans="1:111">
      <c r="A840" s="1670">
        <v>46218</v>
      </c>
      <c r="B840" s="1552" t="s">
        <v>114</v>
      </c>
      <c r="C840" s="1553" t="s">
        <v>115</v>
      </c>
      <c r="D840" s="1555">
        <v>4500216871</v>
      </c>
      <c r="E840" s="1553" t="s">
        <v>3390</v>
      </c>
      <c r="F840" s="1555" t="s">
        <v>3391</v>
      </c>
      <c r="G840" s="1556" t="s">
        <v>118</v>
      </c>
      <c r="H840" s="488" t="s">
        <v>104</v>
      </c>
      <c r="I840" s="1557">
        <v>16775</v>
      </c>
      <c r="J840" s="1553">
        <v>0</v>
      </c>
      <c r="K840" s="1553">
        <v>25</v>
      </c>
      <c r="L840" s="1675">
        <f t="shared" si="283"/>
        <v>671</v>
      </c>
      <c r="M840" s="1545">
        <v>46268</v>
      </c>
      <c r="N840" s="1545">
        <v>46265</v>
      </c>
      <c r="O840" s="1545"/>
      <c r="P840" s="1621"/>
      <c r="Q840" s="1621"/>
      <c r="R840" s="1553"/>
      <c r="S840" s="1553"/>
      <c r="T840" s="1621"/>
      <c r="U840" s="500">
        <f t="shared" si="288"/>
        <v>-16775</v>
      </c>
      <c r="V840" s="1553"/>
      <c r="W840" s="443">
        <v>46237</v>
      </c>
      <c r="X840" s="1294" t="s">
        <v>107</v>
      </c>
      <c r="Y840" s="1301" t="s">
        <v>3392</v>
      </c>
      <c r="Z840" s="1552"/>
      <c r="AA840" s="1552"/>
      <c r="AB840" s="1552"/>
      <c r="AC840" s="1552" t="s">
        <v>3284</v>
      </c>
      <c r="AD840" s="1545" t="s">
        <v>123</v>
      </c>
      <c r="AE840" s="1555">
        <v>0.6478</v>
      </c>
      <c r="AF840" s="1677">
        <f>AE840*I840</f>
        <v>10866.845</v>
      </c>
      <c r="AG840" s="1610"/>
      <c r="AH840" s="488" t="s">
        <v>118</v>
      </c>
      <c r="AI840" s="1553" t="s">
        <v>112</v>
      </c>
      <c r="AJ840" s="1448" t="s">
        <v>113</v>
      </c>
      <c r="AK840" s="1555"/>
      <c r="AL840" s="1555"/>
      <c r="AM840" s="1555">
        <f>I840</f>
        <v>16775</v>
      </c>
      <c r="AN840" s="1555"/>
      <c r="AO840" s="1555"/>
      <c r="AP840" s="327"/>
      <c r="AQ840" s="1679"/>
      <c r="AR840" s="1555"/>
      <c r="AS840" s="1680"/>
      <c r="AT840" s="1616">
        <f>I840</f>
        <v>16775</v>
      </c>
      <c r="AU840" s="502">
        <f>I840</f>
        <v>16775</v>
      </c>
      <c r="AV840" s="1512">
        <f>I840*0.06</f>
        <v>1006.5</v>
      </c>
      <c r="AW840" s="1678"/>
      <c r="AX840" s="1555"/>
      <c r="AY840" s="1555"/>
      <c r="AZ840" s="1555"/>
      <c r="BA840" s="1555"/>
      <c r="BB840" s="1555"/>
      <c r="BC840" s="1555"/>
      <c r="BD840" s="1555"/>
      <c r="BE840" s="1555"/>
      <c r="BF840" s="1555"/>
      <c r="BG840" s="1555"/>
      <c r="BH840" s="1555"/>
      <c r="BI840" s="1555"/>
      <c r="BJ840" s="1555"/>
      <c r="BK840" s="1555"/>
      <c r="BL840" s="1555"/>
      <c r="BM840" s="1555"/>
      <c r="BN840" s="1555"/>
      <c r="BO840" s="1679"/>
      <c r="BP840" s="1679"/>
      <c r="BQ840" s="1555"/>
      <c r="BR840" s="1680"/>
      <c r="BS840" s="1680"/>
      <c r="BT840" s="1555"/>
      <c r="BU840" s="1555">
        <f>I840/25</f>
        <v>671</v>
      </c>
      <c r="BV840" s="1679"/>
      <c r="BW840" s="1555"/>
      <c r="BX840" s="1555"/>
      <c r="BY840" s="1555"/>
      <c r="BZ840" s="1555"/>
      <c r="CA840" s="1555"/>
      <c r="CB840" s="1555"/>
      <c r="CC840" s="1555"/>
      <c r="CD840" s="1218">
        <f t="shared" si="289"/>
        <v>0</v>
      </c>
      <c r="CE840" s="1218">
        <f t="shared" si="290"/>
        <v>671</v>
      </c>
      <c r="CF840" s="502">
        <f t="shared" si="291"/>
        <v>0</v>
      </c>
      <c r="CG840" s="1218">
        <f t="shared" si="286"/>
        <v>0</v>
      </c>
      <c r="CH840" s="1680"/>
      <c r="CI840" s="1680"/>
      <c r="CJ840" s="1680"/>
      <c r="CK840" s="1555"/>
      <c r="CL840" s="1555"/>
      <c r="CM840" s="1177"/>
      <c r="CN840" s="1177"/>
      <c r="CO840" s="1177"/>
      <c r="CP840" s="1177"/>
      <c r="CQ840" s="1177"/>
      <c r="CR840" s="1177"/>
      <c r="CS840" s="1177"/>
      <c r="CT840" s="1177"/>
      <c r="CU840" s="1177"/>
      <c r="CV840" s="1177"/>
      <c r="CW840" s="1177"/>
      <c r="CX840" s="1177"/>
      <c r="CY840" s="1177"/>
      <c r="CZ840" s="1177"/>
      <c r="DA840" s="1177"/>
      <c r="DB840" s="1177"/>
      <c r="DC840" s="1177"/>
      <c r="DD840" s="1177"/>
      <c r="DE840" s="1177"/>
      <c r="DF840" s="1177"/>
      <c r="DG840" s="1177"/>
    </row>
    <row r="841" s="1179" customFormat="1" customHeight="1" spans="1:111">
      <c r="A841" s="1289">
        <v>46203</v>
      </c>
      <c r="B841" s="543" t="s">
        <v>2950</v>
      </c>
      <c r="C841" s="504" t="s">
        <v>201</v>
      </c>
      <c r="D841" s="502" t="s">
        <v>3393</v>
      </c>
      <c r="E841" s="504" t="s">
        <v>3394</v>
      </c>
      <c r="F841" s="502" t="s">
        <v>3395</v>
      </c>
      <c r="G841" s="1310" t="s">
        <v>91</v>
      </c>
      <c r="H841" s="488" t="s">
        <v>92</v>
      </c>
      <c r="I841" s="1290">
        <v>16224</v>
      </c>
      <c r="J841" s="504">
        <v>0</v>
      </c>
      <c r="K841" s="504">
        <v>24</v>
      </c>
      <c r="L841" s="1291">
        <f t="shared" si="283"/>
        <v>676</v>
      </c>
      <c r="M841" s="501">
        <v>46268</v>
      </c>
      <c r="N841" s="501">
        <v>46263</v>
      </c>
      <c r="O841" s="501"/>
      <c r="P841" s="506"/>
      <c r="Q841" s="506"/>
      <c r="R841" s="504"/>
      <c r="S841" s="504"/>
      <c r="T841" s="506"/>
      <c r="U841" s="500">
        <f t="shared" si="288"/>
        <v>-16224</v>
      </c>
      <c r="V841" s="504"/>
      <c r="W841" s="1300" t="s">
        <v>94</v>
      </c>
      <c r="X841" s="1301" t="s">
        <v>95</v>
      </c>
      <c r="Y841" s="1301" t="s">
        <v>3396</v>
      </c>
      <c r="Z841" s="544" t="s">
        <v>3397</v>
      </c>
      <c r="AA841" s="544"/>
      <c r="AB841" s="543"/>
      <c r="AC841" s="543" t="s">
        <v>3398</v>
      </c>
      <c r="AD841" s="501" t="s">
        <v>3399</v>
      </c>
      <c r="AE841" s="502">
        <v>0.969</v>
      </c>
      <c r="AF841" s="503">
        <f>I841*AE841</f>
        <v>15721.056</v>
      </c>
      <c r="AG841" s="1295"/>
      <c r="AH841" s="488" t="s">
        <v>903</v>
      </c>
      <c r="AI841" s="488" t="s">
        <v>99</v>
      </c>
      <c r="AJ841" s="504"/>
      <c r="AK841" s="327">
        <f>I841*2</f>
        <v>32448</v>
      </c>
      <c r="AL841" s="502"/>
      <c r="AM841" s="1218"/>
      <c r="AN841" s="502"/>
      <c r="AO841" s="502"/>
      <c r="AP841" s="502">
        <f>I841</f>
        <v>16224</v>
      </c>
      <c r="AQ841" s="1296"/>
      <c r="AR841" s="438"/>
      <c r="AS841" s="1297"/>
      <c r="AT841" s="1297"/>
      <c r="AU841" s="502">
        <f>I841</f>
        <v>16224</v>
      </c>
      <c r="AV841" s="1298"/>
      <c r="AW841" s="1298"/>
      <c r="AX841" s="502"/>
      <c r="AY841" s="502"/>
      <c r="AZ841" s="502"/>
      <c r="BA841" s="502"/>
      <c r="BB841" s="502"/>
      <c r="BC841" s="502"/>
      <c r="BD841" s="502"/>
      <c r="BE841" s="502"/>
      <c r="BF841" s="502"/>
      <c r="BG841" s="502"/>
      <c r="BH841" s="502"/>
      <c r="BI841" s="502"/>
      <c r="BJ841" s="502"/>
      <c r="BK841" s="502"/>
      <c r="BL841" s="502"/>
      <c r="BM841" s="502"/>
      <c r="BN841" s="502"/>
      <c r="BO841" s="1296"/>
      <c r="BP841" s="1296"/>
      <c r="BQ841" s="1218"/>
      <c r="BR841" s="1297"/>
      <c r="BS841" s="1297"/>
      <c r="BT841" s="502"/>
      <c r="BU841" s="502"/>
      <c r="BV841" s="1296"/>
      <c r="BW841" s="1218"/>
      <c r="BX841" s="1218"/>
      <c r="BY841" s="1218"/>
      <c r="BZ841" s="1218"/>
      <c r="CA841" s="1218"/>
      <c r="CB841" s="1218"/>
      <c r="CC841" s="1218"/>
      <c r="CD841" s="1218">
        <f t="shared" si="289"/>
        <v>0</v>
      </c>
      <c r="CE841" s="1218">
        <f t="shared" si="290"/>
        <v>0</v>
      </c>
      <c r="CF841" s="502">
        <f t="shared" si="291"/>
        <v>0</v>
      </c>
      <c r="CG841" s="1218">
        <f t="shared" si="286"/>
        <v>0</v>
      </c>
      <c r="CH841" s="1299"/>
      <c r="CI841" s="1299"/>
      <c r="CJ841" s="1297"/>
      <c r="CK841" s="502"/>
      <c r="CL841" s="502"/>
      <c r="CM841" s="1455"/>
      <c r="CN841" s="1455"/>
      <c r="CO841" s="1455"/>
      <c r="CP841" s="1455"/>
      <c r="CQ841" s="1455"/>
      <c r="CR841" s="1455"/>
      <c r="CS841" s="1455"/>
      <c r="CT841" s="1455"/>
      <c r="CU841" s="1455"/>
      <c r="CV841" s="1455"/>
      <c r="CW841" s="1455"/>
      <c r="CX841" s="1455"/>
      <c r="CY841" s="1455"/>
      <c r="CZ841" s="1455"/>
      <c r="DA841" s="1455"/>
      <c r="DB841" s="1455"/>
      <c r="DC841" s="1455"/>
      <c r="DD841" s="1455"/>
      <c r="DE841" s="1455"/>
      <c r="DF841" s="1455"/>
      <c r="DG841" s="1455"/>
    </row>
    <row r="842" s="1179" customFormat="1" customHeight="1" spans="1:111">
      <c r="A842" s="1309">
        <v>46197</v>
      </c>
      <c r="B842" s="544" t="s">
        <v>3173</v>
      </c>
      <c r="C842" s="488" t="s">
        <v>135</v>
      </c>
      <c r="D842" s="1445">
        <v>4500213523</v>
      </c>
      <c r="E842" s="488" t="s">
        <v>3400</v>
      </c>
      <c r="F842" s="327" t="s">
        <v>3401</v>
      </c>
      <c r="G842" s="1310" t="s">
        <v>283</v>
      </c>
      <c r="H842" s="488" t="s">
        <v>194</v>
      </c>
      <c r="I842" s="1311">
        <v>7540</v>
      </c>
      <c r="J842" s="488">
        <v>0</v>
      </c>
      <c r="K842" s="488">
        <v>13</v>
      </c>
      <c r="L842" s="1544">
        <f t="shared" si="283"/>
        <v>580</v>
      </c>
      <c r="M842" s="1323">
        <v>46269</v>
      </c>
      <c r="N842" s="1323">
        <v>46267</v>
      </c>
      <c r="O842" s="1312"/>
      <c r="P842" s="1313"/>
      <c r="Q842" s="1313"/>
      <c r="R842" s="488"/>
      <c r="S842" s="488"/>
      <c r="T842" s="1313"/>
      <c r="U842" s="500">
        <f t="shared" si="288"/>
        <v>-7540</v>
      </c>
      <c r="V842" s="488"/>
      <c r="W842" s="1300">
        <v>46197</v>
      </c>
      <c r="X842" s="1301" t="s">
        <v>95</v>
      </c>
      <c r="Y842" s="1301" t="s">
        <v>3402</v>
      </c>
      <c r="Z842" s="544" t="s">
        <v>2494</v>
      </c>
      <c r="AA842" s="544"/>
      <c r="AB842" s="544"/>
      <c r="AC842" s="1443" t="s">
        <v>3403</v>
      </c>
      <c r="AD842" s="1323" t="s">
        <v>3179</v>
      </c>
      <c r="AE842" s="1527">
        <v>1.0755</v>
      </c>
      <c r="AF842" s="1548">
        <f>I842*AE842</f>
        <v>8109.27</v>
      </c>
      <c r="AG842" s="1368"/>
      <c r="AH842" s="1424" t="s">
        <v>283</v>
      </c>
      <c r="AI842" s="488" t="s">
        <v>112</v>
      </c>
      <c r="AJ842" s="498"/>
      <c r="AK842" s="1555">
        <f>I842</f>
        <v>7540</v>
      </c>
      <c r="AL842" s="327"/>
      <c r="AM842" s="327"/>
      <c r="AN842" s="327">
        <f>I842</f>
        <v>7540</v>
      </c>
      <c r="AO842" s="327"/>
      <c r="AP842" s="327"/>
      <c r="AQ842" s="1316"/>
      <c r="AR842" s="327"/>
      <c r="AS842" s="1317"/>
      <c r="AT842" s="1317"/>
      <c r="AU842" s="502"/>
      <c r="AV842" s="1298">
        <f>I842*0.06</f>
        <v>452.4</v>
      </c>
      <c r="AW842" s="1728">
        <f>I842</f>
        <v>7540</v>
      </c>
      <c r="AX842" s="327"/>
      <c r="AY842" s="327"/>
      <c r="AZ842" s="327"/>
      <c r="BA842" s="327"/>
      <c r="BB842" s="327"/>
      <c r="BC842" s="327"/>
      <c r="BD842" s="327"/>
      <c r="BE842" s="327"/>
      <c r="BF842" s="327"/>
      <c r="BG842" s="327"/>
      <c r="BH842" s="327"/>
      <c r="BI842" s="327"/>
      <c r="BJ842" s="327"/>
      <c r="BK842" s="1420">
        <f>I842/13</f>
        <v>580</v>
      </c>
      <c r="BL842" s="327"/>
      <c r="BM842" s="327"/>
      <c r="BN842" s="327"/>
      <c r="BO842" s="1316"/>
      <c r="BP842" s="1316"/>
      <c r="BQ842" s="327"/>
      <c r="BR842" s="1317"/>
      <c r="BS842" s="1317"/>
      <c r="BT842" s="327"/>
      <c r="BU842" s="327"/>
      <c r="BV842" s="1316"/>
      <c r="BW842" s="327"/>
      <c r="BX842" s="327"/>
      <c r="BY842" s="327"/>
      <c r="BZ842" s="327"/>
      <c r="CA842" s="327"/>
      <c r="CB842" s="327"/>
      <c r="CC842" s="327"/>
      <c r="CD842" s="1218">
        <f t="shared" si="289"/>
        <v>0</v>
      </c>
      <c r="CE842" s="1218">
        <f t="shared" si="290"/>
        <v>0</v>
      </c>
      <c r="CF842" s="502">
        <f t="shared" si="291"/>
        <v>0</v>
      </c>
      <c r="CG842" s="1218">
        <f t="shared" si="286"/>
        <v>0</v>
      </c>
      <c r="CH842" s="1317"/>
      <c r="CI842" s="1317"/>
      <c r="CJ842" s="1317"/>
      <c r="CK842" s="327"/>
      <c r="CL842" s="327"/>
      <c r="CM842" s="1180"/>
      <c r="CN842" s="1180"/>
      <c r="CO842" s="1180"/>
      <c r="CP842" s="1180"/>
      <c r="CQ842" s="1180"/>
      <c r="CR842" s="1180"/>
      <c r="CS842" s="1180"/>
      <c r="CT842" s="1180"/>
      <c r="CU842" s="1180"/>
      <c r="CV842" s="1180"/>
      <c r="CW842" s="1180"/>
      <c r="CX842" s="1180"/>
      <c r="CY842" s="1180"/>
      <c r="CZ842" s="1180"/>
      <c r="DA842" s="1180"/>
      <c r="DB842" s="1180"/>
      <c r="DC842" s="1180"/>
      <c r="DD842" s="1180"/>
      <c r="DE842" s="1180"/>
      <c r="DF842" s="1180"/>
      <c r="DG842" s="1180"/>
    </row>
    <row r="843" s="293" customFormat="1" customHeight="1" spans="1:111">
      <c r="A843" s="1703">
        <v>46224</v>
      </c>
      <c r="B843" s="1704" t="s">
        <v>827</v>
      </c>
      <c r="C843" s="1454" t="s">
        <v>101</v>
      </c>
      <c r="D843" s="1292">
        <v>4500217254</v>
      </c>
      <c r="E843" s="1292">
        <v>3117</v>
      </c>
      <c r="F843" s="1187" t="s">
        <v>3404</v>
      </c>
      <c r="G843" s="1706" t="s">
        <v>702</v>
      </c>
      <c r="H843" s="1054" t="s">
        <v>151</v>
      </c>
      <c r="I843" s="1707">
        <v>1344</v>
      </c>
      <c r="J843" s="1454">
        <v>0</v>
      </c>
      <c r="K843" s="1454">
        <v>84</v>
      </c>
      <c r="L843" s="1597">
        <f t="shared" si="283"/>
        <v>16</v>
      </c>
      <c r="M843" s="1586">
        <v>46269</v>
      </c>
      <c r="N843" s="1586">
        <v>46265</v>
      </c>
      <c r="O843" s="1586"/>
      <c r="P843" s="1314"/>
      <c r="Q843" s="1292"/>
      <c r="R843" s="1454"/>
      <c r="S843" s="1454"/>
      <c r="T843" s="1292"/>
      <c r="U843" s="500">
        <f t="shared" si="288"/>
        <v>-1344</v>
      </c>
      <c r="V843" s="1454"/>
      <c r="W843" s="1300" t="s">
        <v>3249</v>
      </c>
      <c r="X843" s="1325" t="s">
        <v>95</v>
      </c>
      <c r="Y843" s="1294" t="s">
        <v>3405</v>
      </c>
      <c r="Z843" s="544" t="s">
        <v>2966</v>
      </c>
      <c r="AA843" s="544"/>
      <c r="AB843" s="543"/>
      <c r="AC843" s="1708" t="s">
        <v>3406</v>
      </c>
      <c r="AD843" s="1586" t="s">
        <v>3251</v>
      </c>
      <c r="AE843" s="1601">
        <v>237.0551</v>
      </c>
      <c r="AF843" s="1600">
        <f>AE843*K843</f>
        <v>19912.6284</v>
      </c>
      <c r="AG843" s="1295"/>
      <c r="AH843" s="488" t="s">
        <v>705</v>
      </c>
      <c r="AI843" s="488" t="s">
        <v>112</v>
      </c>
      <c r="AJ843" s="1448" t="s">
        <v>113</v>
      </c>
      <c r="AK843" s="502">
        <f>I843</f>
        <v>1344</v>
      </c>
      <c r="AL843" s="1601"/>
      <c r="AM843" s="1182"/>
      <c r="AN843" s="1601">
        <f>I843</f>
        <v>1344</v>
      </c>
      <c r="AO843" s="502"/>
      <c r="AP843" s="502"/>
      <c r="AQ843" s="1296"/>
      <c r="AR843" s="438"/>
      <c r="AS843" s="1297"/>
      <c r="AT843" s="1297"/>
      <c r="AU843" s="502"/>
      <c r="AV843" s="1298">
        <f>I843*0.06</f>
        <v>80.64</v>
      </c>
      <c r="AW843" s="1298"/>
      <c r="AX843" s="1729">
        <f>I843</f>
        <v>1344</v>
      </c>
      <c r="AY843" s="1601"/>
      <c r="AZ843" s="1601"/>
      <c r="BA843" s="1601"/>
      <c r="BB843" s="1601"/>
      <c r="BC843" s="1601"/>
      <c r="BD843" s="1601"/>
      <c r="BE843" s="1601"/>
      <c r="BF843" s="1601"/>
      <c r="BG843" s="502"/>
      <c r="BH843" s="502"/>
      <c r="BI843" s="1601"/>
      <c r="BJ843" s="1601"/>
      <c r="BK843" s="1601"/>
      <c r="BL843" s="1601"/>
      <c r="BM843" s="1601"/>
      <c r="BN843" s="1601"/>
      <c r="BO843" s="1296"/>
      <c r="BP843" s="1601"/>
      <c r="BQ843" s="1182"/>
      <c r="BR843" s="1601"/>
      <c r="BS843" s="1601"/>
      <c r="BT843" s="1601"/>
      <c r="BU843" s="1601"/>
      <c r="BV843" s="1601"/>
      <c r="BW843" s="1182"/>
      <c r="BX843" s="1182">
        <f>I843/84</f>
        <v>16</v>
      </c>
      <c r="BY843" s="1182"/>
      <c r="BZ843" s="1182"/>
      <c r="CA843" s="1182"/>
      <c r="CB843" s="1182"/>
      <c r="CC843" s="1182"/>
      <c r="CD843" s="1617">
        <f t="shared" si="289"/>
        <v>0</v>
      </c>
      <c r="CE843" s="1617">
        <f t="shared" si="290"/>
        <v>0</v>
      </c>
      <c r="CF843" s="1437">
        <f t="shared" si="291"/>
        <v>0</v>
      </c>
      <c r="CG843" s="1617">
        <f t="shared" si="286"/>
        <v>16</v>
      </c>
      <c r="CH843" s="1218"/>
      <c r="CI843" s="1218"/>
      <c r="CJ843" s="1601"/>
      <c r="CK843" s="1601"/>
      <c r="CL843" s="1601"/>
    </row>
    <row r="844" s="1182" customFormat="1" customHeight="1" spans="1:111">
      <c r="A844" s="1309">
        <v>46218</v>
      </c>
      <c r="B844" s="544" t="s">
        <v>114</v>
      </c>
      <c r="C844" s="488" t="s">
        <v>115</v>
      </c>
      <c r="D844" s="327">
        <v>4500216875</v>
      </c>
      <c r="E844" s="488" t="s">
        <v>3407</v>
      </c>
      <c r="F844" s="327" t="s">
        <v>3408</v>
      </c>
      <c r="G844" s="1310" t="s">
        <v>118</v>
      </c>
      <c r="H844" s="488" t="s">
        <v>104</v>
      </c>
      <c r="I844" s="1311">
        <v>100000</v>
      </c>
      <c r="J844" s="1054">
        <v>0</v>
      </c>
      <c r="K844" s="488">
        <v>25</v>
      </c>
      <c r="L844" s="1715">
        <f t="shared" si="283"/>
        <v>4000</v>
      </c>
      <c r="M844" s="1312">
        <v>46269</v>
      </c>
      <c r="N844" s="1312">
        <v>46265</v>
      </c>
      <c r="O844" s="1312"/>
      <c r="P844" s="1313"/>
      <c r="Q844" s="1313"/>
      <c r="R844" s="488"/>
      <c r="S844" s="488"/>
      <c r="T844" s="1313"/>
      <c r="U844" s="500">
        <f t="shared" si="288"/>
        <v>-100000</v>
      </c>
      <c r="V844" s="488"/>
      <c r="W844" s="1300">
        <v>46238</v>
      </c>
      <c r="X844" s="1301" t="s">
        <v>107</v>
      </c>
      <c r="Y844" s="452" t="s">
        <v>3392</v>
      </c>
      <c r="Z844" s="544"/>
      <c r="AA844" s="544"/>
      <c r="AB844" s="544"/>
      <c r="AC844" s="544" t="s">
        <v>3284</v>
      </c>
      <c r="AD844" s="1312" t="s">
        <v>123</v>
      </c>
      <c r="AE844" s="327">
        <v>0.6291</v>
      </c>
      <c r="AF844" s="1718">
        <f>AE844*I844</f>
        <v>62910</v>
      </c>
      <c r="AG844" s="1295"/>
      <c r="AH844" s="488" t="s">
        <v>118</v>
      </c>
      <c r="AI844" s="488" t="s">
        <v>112</v>
      </c>
      <c r="AJ844" s="1448" t="s">
        <v>113</v>
      </c>
      <c r="AK844" s="327"/>
      <c r="AL844" s="327"/>
      <c r="AM844" s="327">
        <f>I844</f>
        <v>100000</v>
      </c>
      <c r="AN844" s="327"/>
      <c r="AO844" s="327"/>
      <c r="AP844" s="327"/>
      <c r="AQ844" s="1316"/>
      <c r="AR844" s="327"/>
      <c r="AS844" s="1317"/>
      <c r="AT844" s="1297">
        <f>I844</f>
        <v>100000</v>
      </c>
      <c r="AU844" s="502">
        <f>I844</f>
        <v>100000</v>
      </c>
      <c r="AV844" s="1409">
        <f>I844*0.06</f>
        <v>6000</v>
      </c>
      <c r="AW844" s="1318"/>
      <c r="AX844" s="327"/>
      <c r="AY844" s="327"/>
      <c r="AZ844" s="327"/>
      <c r="BA844" s="327"/>
      <c r="BB844" s="327"/>
      <c r="BC844" s="327"/>
      <c r="BD844" s="327"/>
      <c r="BE844" s="327"/>
      <c r="BF844" s="327"/>
      <c r="BG844" s="327"/>
      <c r="BH844" s="327"/>
      <c r="BI844" s="327"/>
      <c r="BJ844" s="327"/>
      <c r="BK844" s="327"/>
      <c r="BL844" s="327"/>
      <c r="BM844" s="327"/>
      <c r="BN844" s="327"/>
      <c r="BO844" s="1316"/>
      <c r="BP844" s="1316"/>
      <c r="BQ844" s="327"/>
      <c r="BR844" s="1317"/>
      <c r="BS844" s="1317"/>
      <c r="BT844" s="327"/>
      <c r="BU844" s="327">
        <f>I844/25</f>
        <v>4000</v>
      </c>
      <c r="BV844" s="1316"/>
      <c r="BW844" s="327"/>
      <c r="BX844" s="327"/>
      <c r="BY844" s="327"/>
      <c r="BZ844" s="327"/>
      <c r="CA844" s="327"/>
      <c r="CB844" s="327"/>
      <c r="CC844" s="327"/>
      <c r="CD844" s="1617">
        <f t="shared" si="289"/>
        <v>0</v>
      </c>
      <c r="CE844" s="1617">
        <f t="shared" si="290"/>
        <v>4000</v>
      </c>
      <c r="CF844" s="1437">
        <f t="shared" si="291"/>
        <v>0</v>
      </c>
      <c r="CG844" s="1617">
        <f t="shared" si="286"/>
        <v>0</v>
      </c>
      <c r="CH844" s="1317"/>
      <c r="CI844" s="1317"/>
      <c r="CJ844" s="1317"/>
      <c r="CK844" s="327"/>
      <c r="CL844" s="327"/>
      <c r="CM844" s="1730"/>
      <c r="CN844" s="1730"/>
      <c r="CO844" s="1730"/>
      <c r="CP844" s="1730"/>
      <c r="CQ844" s="1730"/>
      <c r="CR844" s="1730"/>
      <c r="CS844" s="1730"/>
      <c r="CT844" s="1730"/>
      <c r="CU844" s="1730"/>
      <c r="CV844" s="1730"/>
      <c r="CW844" s="1730"/>
      <c r="CX844" s="1730"/>
      <c r="CY844" s="1730"/>
      <c r="CZ844" s="1730"/>
      <c r="DA844" s="1730"/>
      <c r="DB844" s="1730"/>
      <c r="DC844" s="1730"/>
      <c r="DD844" s="1730"/>
      <c r="DE844" s="1730"/>
      <c r="DF844" s="1730"/>
      <c r="DG844" s="1730"/>
    </row>
    <row r="845" s="1180" customFormat="1" customHeight="1" spans="1:111">
      <c r="A845" s="1309">
        <v>46218</v>
      </c>
      <c r="B845" s="1552" t="s">
        <v>114</v>
      </c>
      <c r="C845" s="1553" t="s">
        <v>115</v>
      </c>
      <c r="D845" s="1555">
        <v>4500216876</v>
      </c>
      <c r="E845" s="1553" t="s">
        <v>3409</v>
      </c>
      <c r="F845" s="1555" t="s">
        <v>3410</v>
      </c>
      <c r="G845" s="1556" t="s">
        <v>118</v>
      </c>
      <c r="H845" s="488" t="s">
        <v>104</v>
      </c>
      <c r="I845" s="1557">
        <v>150000</v>
      </c>
      <c r="J845" s="1553">
        <v>0</v>
      </c>
      <c r="K845" s="1553">
        <v>25</v>
      </c>
      <c r="L845" s="1544">
        <f t="shared" si="283"/>
        <v>6000</v>
      </c>
      <c r="M845" s="1545">
        <v>46269</v>
      </c>
      <c r="N845" s="1545">
        <v>46265</v>
      </c>
      <c r="O845" s="1545"/>
      <c r="P845" s="1313"/>
      <c r="Q845" s="1313"/>
      <c r="R845" s="488"/>
      <c r="S845" s="488"/>
      <c r="T845" s="1313"/>
      <c r="U845" s="500">
        <f t="shared" si="288"/>
        <v>-150000</v>
      </c>
      <c r="V845" s="488"/>
      <c r="W845" s="1293">
        <v>46238</v>
      </c>
      <c r="X845" s="1294" t="s">
        <v>107</v>
      </c>
      <c r="Y845" s="444" t="s">
        <v>3392</v>
      </c>
      <c r="Z845" s="544"/>
      <c r="AA845" s="544"/>
      <c r="AB845" s="544"/>
      <c r="AC845" s="1552" t="s">
        <v>3284</v>
      </c>
      <c r="AD845" s="1545" t="s">
        <v>123</v>
      </c>
      <c r="AE845" s="327">
        <v>0.6291</v>
      </c>
      <c r="AF845" s="1315">
        <f>AE845*I845</f>
        <v>94365</v>
      </c>
      <c r="AG845" s="1295"/>
      <c r="AH845" s="488" t="s">
        <v>118</v>
      </c>
      <c r="AI845" s="488" t="s">
        <v>112</v>
      </c>
      <c r="AJ845" s="1448" t="s">
        <v>113</v>
      </c>
      <c r="AK845" s="327"/>
      <c r="AL845" s="327"/>
      <c r="AM845" s="327">
        <f>I845</f>
        <v>150000</v>
      </c>
      <c r="AN845" s="327"/>
      <c r="AO845" s="327"/>
      <c r="AP845" s="327"/>
      <c r="AQ845" s="1316"/>
      <c r="AR845" s="327"/>
      <c r="AS845" s="1317"/>
      <c r="AT845" s="1297">
        <f>I845</f>
        <v>150000</v>
      </c>
      <c r="AU845" s="502">
        <f>I845</f>
        <v>150000</v>
      </c>
      <c r="AV845" s="1409">
        <f>I845*0.06</f>
        <v>9000</v>
      </c>
      <c r="AW845" s="1318"/>
      <c r="AX845" s="327"/>
      <c r="AY845" s="327"/>
      <c r="AZ845" s="327"/>
      <c r="BA845" s="327"/>
      <c r="BB845" s="327"/>
      <c r="BC845" s="327"/>
      <c r="BD845" s="327"/>
      <c r="BE845" s="327"/>
      <c r="BF845" s="327"/>
      <c r="BG845" s="327"/>
      <c r="BH845" s="327"/>
      <c r="BI845" s="327"/>
      <c r="BJ845" s="327"/>
      <c r="BK845" s="327"/>
      <c r="BL845" s="327"/>
      <c r="BM845" s="327"/>
      <c r="BN845" s="327"/>
      <c r="BO845" s="1316"/>
      <c r="BP845" s="1316"/>
      <c r="BQ845" s="327"/>
      <c r="BR845" s="1317"/>
      <c r="BS845" s="1317"/>
      <c r="BT845" s="327"/>
      <c r="BU845" s="327">
        <f>I845/25</f>
        <v>6000</v>
      </c>
      <c r="BV845" s="1316"/>
      <c r="BW845" s="327"/>
      <c r="BX845" s="327"/>
      <c r="BY845" s="327"/>
      <c r="BZ845" s="327"/>
      <c r="CA845" s="327"/>
      <c r="CB845" s="327"/>
      <c r="CC845" s="327"/>
      <c r="CD845" s="1218">
        <f t="shared" si="289"/>
        <v>0</v>
      </c>
      <c r="CE845" s="1218">
        <f t="shared" si="290"/>
        <v>6000</v>
      </c>
      <c r="CF845" s="502">
        <f t="shared" si="291"/>
        <v>0</v>
      </c>
      <c r="CG845" s="1218">
        <f t="shared" si="286"/>
        <v>0</v>
      </c>
      <c r="CH845" s="1317"/>
      <c r="CI845" s="1317"/>
      <c r="CJ845" s="1317"/>
      <c r="CK845" s="327"/>
      <c r="CL845" s="327"/>
      <c r="CM845" s="1177"/>
      <c r="CN845" s="1177"/>
      <c r="CO845" s="1177"/>
      <c r="CP845" s="1177"/>
      <c r="CQ845" s="1177"/>
      <c r="CR845" s="1177"/>
      <c r="CS845" s="1177"/>
      <c r="CT845" s="1177"/>
      <c r="CU845" s="1177"/>
      <c r="CV845" s="1177"/>
      <c r="CW845" s="1177"/>
      <c r="CX845" s="1177"/>
      <c r="CY845" s="1177"/>
      <c r="CZ845" s="1177"/>
      <c r="DA845" s="1177"/>
      <c r="DB845" s="1177"/>
      <c r="DC845" s="1177"/>
      <c r="DD845" s="1177"/>
      <c r="DE845" s="1177"/>
      <c r="DF845" s="1177"/>
      <c r="DG845" s="1177"/>
    </row>
    <row r="846" s="293" customFormat="1" customHeight="1" spans="1:111">
      <c r="A846" s="1289">
        <v>46198</v>
      </c>
      <c r="B846" s="543" t="s">
        <v>1212</v>
      </c>
      <c r="C846" s="504" t="s">
        <v>1213</v>
      </c>
      <c r="D846" s="1305">
        <v>4500213781</v>
      </c>
      <c r="E846" s="504" t="s">
        <v>3411</v>
      </c>
      <c r="F846" s="502" t="s">
        <v>3412</v>
      </c>
      <c r="G846" s="505" t="s">
        <v>188</v>
      </c>
      <c r="H846" s="504" t="s">
        <v>138</v>
      </c>
      <c r="I846" s="1290">
        <v>30000</v>
      </c>
      <c r="J846" s="504">
        <v>0</v>
      </c>
      <c r="K846" s="504">
        <v>50</v>
      </c>
      <c r="L846" s="1291">
        <f t="shared" si="283"/>
        <v>600</v>
      </c>
      <c r="M846" s="501">
        <v>46269</v>
      </c>
      <c r="N846" s="501">
        <v>46265</v>
      </c>
      <c r="O846" s="501"/>
      <c r="P846" s="506"/>
      <c r="Q846" s="506"/>
      <c r="R846" s="504"/>
      <c r="S846" s="504"/>
      <c r="T846" s="506"/>
      <c r="U846" s="500">
        <f t="shared" si="288"/>
        <v>-30000</v>
      </c>
      <c r="V846" s="504"/>
      <c r="W846" s="1293">
        <v>46198</v>
      </c>
      <c r="X846" s="1301" t="s">
        <v>95</v>
      </c>
      <c r="Y846" s="1301" t="s">
        <v>3413</v>
      </c>
      <c r="Z846" s="544"/>
      <c r="AA846" s="544"/>
      <c r="AB846" s="543"/>
      <c r="AC846" s="544" t="s">
        <v>3414</v>
      </c>
      <c r="AD846" s="1365" t="s">
        <v>295</v>
      </c>
      <c r="AE846" s="1366">
        <v>1.075</v>
      </c>
      <c r="AF846" s="1367">
        <f>AE846*I846</f>
        <v>32250</v>
      </c>
      <c r="AG846" s="1368"/>
      <c r="AH846" s="504" t="s">
        <v>188</v>
      </c>
      <c r="AI846" s="488" t="s">
        <v>112</v>
      </c>
      <c r="AJ846" s="1448" t="s">
        <v>113</v>
      </c>
      <c r="AK846" s="502">
        <f>I846</f>
        <v>30000</v>
      </c>
      <c r="AL846" s="502"/>
      <c r="AM846" s="1218"/>
      <c r="AN846" s="1420">
        <f>I846</f>
        <v>30000</v>
      </c>
      <c r="AO846" s="502"/>
      <c r="AP846" s="502"/>
      <c r="AQ846" s="1296"/>
      <c r="AR846" s="438"/>
      <c r="AS846" s="1297"/>
      <c r="AT846" s="1297"/>
      <c r="AU846" s="327">
        <f>I846</f>
        <v>30000</v>
      </c>
      <c r="AV846" s="1298"/>
      <c r="AW846" s="1298"/>
      <c r="AX846" s="502"/>
      <c r="AY846" s="502"/>
      <c r="AZ846" s="502"/>
      <c r="BA846" s="502"/>
      <c r="BB846" s="502"/>
      <c r="BC846" s="502"/>
      <c r="BD846" s="502"/>
      <c r="BE846" s="502"/>
      <c r="BF846" s="502"/>
      <c r="BG846" s="502"/>
      <c r="BH846" s="502"/>
      <c r="BI846" s="502"/>
      <c r="BJ846" s="502"/>
      <c r="BK846" s="502"/>
      <c r="BL846" s="502"/>
      <c r="BM846" s="502"/>
      <c r="BN846" s="1420">
        <f>I846/25</f>
        <v>1200</v>
      </c>
      <c r="BO846" s="1296"/>
      <c r="BP846" s="1296"/>
      <c r="BQ846" s="1218"/>
      <c r="BR846" s="1297"/>
      <c r="BS846" s="1297"/>
      <c r="BT846" s="502"/>
      <c r="BU846" s="502"/>
      <c r="BV846" s="1296"/>
      <c r="BW846" s="1218"/>
      <c r="BX846" s="1218"/>
      <c r="BY846" s="1218"/>
      <c r="BZ846" s="1218"/>
      <c r="CA846" s="1218"/>
      <c r="CB846" s="1218"/>
      <c r="CC846" s="1218"/>
      <c r="CD846" s="1218">
        <f t="shared" si="289"/>
        <v>1200</v>
      </c>
      <c r="CE846" s="1218">
        <f t="shared" si="290"/>
        <v>0</v>
      </c>
      <c r="CF846" s="502">
        <f t="shared" si="291"/>
        <v>0</v>
      </c>
      <c r="CG846" s="1218">
        <f t="shared" si="286"/>
        <v>0</v>
      </c>
      <c r="CH846" s="1299"/>
      <c r="CI846" s="1299"/>
      <c r="CJ846" s="1297"/>
      <c r="CK846" s="502"/>
      <c r="CL846" s="502"/>
    </row>
    <row r="847" s="293" customFormat="1" customHeight="1" spans="1:111">
      <c r="A847" s="1289">
        <v>46198</v>
      </c>
      <c r="B847" s="543" t="s">
        <v>1212</v>
      </c>
      <c r="C847" s="504" t="s">
        <v>1213</v>
      </c>
      <c r="D847" s="1305">
        <v>4500213781</v>
      </c>
      <c r="E847" s="504" t="s">
        <v>3411</v>
      </c>
      <c r="F847" s="502" t="s">
        <v>3415</v>
      </c>
      <c r="G847" s="505" t="s">
        <v>799</v>
      </c>
      <c r="H847" s="504" t="s">
        <v>800</v>
      </c>
      <c r="I847" s="1290">
        <v>30000</v>
      </c>
      <c r="J847" s="504">
        <v>0</v>
      </c>
      <c r="K847" s="504">
        <v>30</v>
      </c>
      <c r="L847" s="1291">
        <f t="shared" si="283"/>
        <v>1000</v>
      </c>
      <c r="M847" s="501">
        <v>46269</v>
      </c>
      <c r="N847" s="501">
        <v>46265</v>
      </c>
      <c r="O847" s="501"/>
      <c r="P847" s="506"/>
      <c r="Q847" s="506"/>
      <c r="R847" s="504"/>
      <c r="S847" s="504">
        <v>20</v>
      </c>
      <c r="T847" s="506"/>
      <c r="U847" s="500">
        <f t="shared" si="288"/>
        <v>-30000</v>
      </c>
      <c r="V847" s="504"/>
      <c r="W847" s="1300">
        <v>46198</v>
      </c>
      <c r="X847" s="1294" t="s">
        <v>95</v>
      </c>
      <c r="Y847" s="1294" t="s">
        <v>3413</v>
      </c>
      <c r="Z847" s="544"/>
      <c r="AA847" s="544"/>
      <c r="AB847" s="543"/>
      <c r="AC847" s="544" t="s">
        <v>3414</v>
      </c>
      <c r="AD847" s="1365" t="s">
        <v>295</v>
      </c>
      <c r="AE847" s="1366">
        <v>41.532</v>
      </c>
      <c r="AF847" s="1367">
        <f>AE847*L847</f>
        <v>41532</v>
      </c>
      <c r="AG847" s="1368"/>
      <c r="AH847" s="1310" t="s">
        <v>2862</v>
      </c>
      <c r="AI847" s="488" t="s">
        <v>112</v>
      </c>
      <c r="AJ847" s="1448" t="s">
        <v>113</v>
      </c>
      <c r="AK847" s="502">
        <f>I847</f>
        <v>30000</v>
      </c>
      <c r="AL847" s="502"/>
      <c r="AM847" s="1218"/>
      <c r="AN847" s="1420">
        <f>I847</f>
        <v>30000</v>
      </c>
      <c r="AO847" s="502"/>
      <c r="AP847" s="502"/>
      <c r="AQ847" s="1296"/>
      <c r="AR847" s="438"/>
      <c r="AS847" s="1297"/>
      <c r="AT847" s="1297"/>
      <c r="AU847" s="327">
        <f>I847</f>
        <v>30000</v>
      </c>
      <c r="AV847" s="1731">
        <f>I847*0.06*2</f>
        <v>3600</v>
      </c>
      <c r="AW847" s="1298"/>
      <c r="AX847" s="502"/>
      <c r="AY847" s="502"/>
      <c r="AZ847" s="502"/>
      <c r="BA847" s="502"/>
      <c r="BB847" s="502"/>
      <c r="BC847" s="502"/>
      <c r="BD847" s="502"/>
      <c r="BE847" s="502"/>
      <c r="BF847" s="502"/>
      <c r="BG847" s="502"/>
      <c r="BH847" s="502"/>
      <c r="BI847" s="502"/>
      <c r="BJ847" s="502"/>
      <c r="BK847" s="502"/>
      <c r="BL847" s="502"/>
      <c r="BM847" s="502"/>
      <c r="BN847" s="502"/>
      <c r="BO847" s="1296"/>
      <c r="BP847" s="1296"/>
      <c r="BQ847" s="1218"/>
      <c r="BR847" s="1297"/>
      <c r="BS847" s="1297"/>
      <c r="BT847" s="502"/>
      <c r="BU847" s="502"/>
      <c r="BV847" s="1296"/>
      <c r="BW847" s="1218"/>
      <c r="BX847" s="1218"/>
      <c r="BY847" s="1218"/>
      <c r="BZ847" s="1218"/>
      <c r="CA847" s="1218"/>
      <c r="CB847" s="1218"/>
      <c r="CC847" s="327">
        <f>I847/30</f>
        <v>1000</v>
      </c>
      <c r="CD847" s="1218">
        <f t="shared" si="289"/>
        <v>0</v>
      </c>
      <c r="CE847" s="1218">
        <f t="shared" si="290"/>
        <v>0</v>
      </c>
      <c r="CF847" s="502">
        <f t="shared" si="291"/>
        <v>1000</v>
      </c>
      <c r="CG847" s="1218">
        <f t="shared" si="286"/>
        <v>0</v>
      </c>
      <c r="CH847" s="1299"/>
      <c r="CI847" s="1299"/>
      <c r="CJ847" s="1297"/>
      <c r="CK847" s="502"/>
      <c r="CL847" s="502"/>
    </row>
    <row r="848" s="291" customFormat="1" customHeight="1" spans="1:111">
      <c r="A848" s="1289">
        <v>46218</v>
      </c>
      <c r="B848" s="543" t="s">
        <v>216</v>
      </c>
      <c r="C848" s="504" t="s">
        <v>217</v>
      </c>
      <c r="D848" s="1305">
        <v>4500216652</v>
      </c>
      <c r="E848" s="504" t="s">
        <v>3416</v>
      </c>
      <c r="F848" s="502" t="s">
        <v>3417</v>
      </c>
      <c r="G848" s="505" t="s">
        <v>174</v>
      </c>
      <c r="H848" s="488" t="s">
        <v>175</v>
      </c>
      <c r="I848" s="1290">
        <v>6032</v>
      </c>
      <c r="J848" s="504">
        <v>0</v>
      </c>
      <c r="K848" s="504">
        <v>52</v>
      </c>
      <c r="L848" s="1291">
        <f t="shared" si="283"/>
        <v>116</v>
      </c>
      <c r="M848" s="501">
        <v>46269</v>
      </c>
      <c r="N848" s="501">
        <v>46265</v>
      </c>
      <c r="O848" s="501"/>
      <c r="P848" s="506"/>
      <c r="Q848" s="506"/>
      <c r="R848" s="504"/>
      <c r="S848" s="504"/>
      <c r="T848" s="506"/>
      <c r="U848" s="500">
        <f t="shared" si="288"/>
        <v>-6032</v>
      </c>
      <c r="V848" s="1469"/>
      <c r="W848" s="1300" t="s">
        <v>3418</v>
      </c>
      <c r="X848" s="1301" t="s">
        <v>95</v>
      </c>
      <c r="Y848" s="1301" t="s">
        <v>3419</v>
      </c>
      <c r="Z848" s="544"/>
      <c r="AA848" s="544"/>
      <c r="AB848" s="543"/>
      <c r="AC848" s="544" t="s">
        <v>3420</v>
      </c>
      <c r="AD848" s="501" t="s">
        <v>222</v>
      </c>
      <c r="AE848" s="502">
        <v>1.0732</v>
      </c>
      <c r="AF848" s="503">
        <f>I848*AE848</f>
        <v>6473.5424</v>
      </c>
      <c r="AG848" s="1295"/>
      <c r="AH848" s="1706" t="s">
        <v>174</v>
      </c>
      <c r="AI848" s="488" t="s">
        <v>112</v>
      </c>
      <c r="AJ848" s="1448" t="s">
        <v>113</v>
      </c>
      <c r="AK848" s="327">
        <f>I848*2</f>
        <v>12064</v>
      </c>
      <c r="AL848" s="502"/>
      <c r="AM848" s="1218"/>
      <c r="AN848" s="1418">
        <f>I848</f>
        <v>6032</v>
      </c>
      <c r="AO848" s="502"/>
      <c r="AP848" s="502"/>
      <c r="AQ848" s="1296"/>
      <c r="AR848" s="438"/>
      <c r="AS848" s="1297"/>
      <c r="AT848" s="1297"/>
      <c r="AU848" s="502">
        <f>I848</f>
        <v>6032</v>
      </c>
      <c r="AV848" s="1298"/>
      <c r="AW848" s="1298"/>
      <c r="AX848" s="502"/>
      <c r="AY848" s="502"/>
      <c r="AZ848" s="502"/>
      <c r="BA848" s="502"/>
      <c r="BB848" s="502"/>
      <c r="BC848" s="502"/>
      <c r="BD848" s="502"/>
      <c r="BE848" s="502"/>
      <c r="BF848" s="502"/>
      <c r="BG848" s="502"/>
      <c r="BH848" s="502"/>
      <c r="BI848" s="502"/>
      <c r="BJ848" s="502"/>
      <c r="BK848" s="1418">
        <f>I848/13</f>
        <v>464</v>
      </c>
      <c r="BL848" s="502"/>
      <c r="BM848" s="502"/>
      <c r="BN848" s="502"/>
      <c r="BO848" s="1296"/>
      <c r="BP848" s="1296"/>
      <c r="BQ848" s="1218"/>
      <c r="BR848" s="1297"/>
      <c r="BS848" s="1297"/>
      <c r="BT848" s="502"/>
      <c r="BU848" s="502"/>
      <c r="BV848" s="1296"/>
      <c r="BW848" s="1218"/>
      <c r="BX848" s="1218"/>
      <c r="BY848" s="1218"/>
      <c r="BZ848" s="1218"/>
      <c r="CA848" s="1218"/>
      <c r="CB848" s="1218"/>
      <c r="CC848" s="1218"/>
      <c r="CD848" s="1218">
        <f t="shared" si="289"/>
        <v>0</v>
      </c>
      <c r="CE848" s="1218">
        <f t="shared" si="290"/>
        <v>0</v>
      </c>
      <c r="CF848" s="502">
        <f t="shared" si="291"/>
        <v>0</v>
      </c>
      <c r="CG848" s="1218">
        <f t="shared" si="286"/>
        <v>0</v>
      </c>
      <c r="CH848" s="1299"/>
      <c r="CI848" s="1299"/>
      <c r="CJ848" s="1297"/>
      <c r="CK848" s="502"/>
      <c r="CL848" s="502"/>
      <c r="CM848" s="294"/>
      <c r="CN848" s="294"/>
      <c r="CO848" s="294"/>
      <c r="CP848" s="294"/>
      <c r="CQ848" s="294"/>
      <c r="CR848" s="294"/>
      <c r="CS848" s="294"/>
      <c r="CT848" s="294"/>
      <c r="CU848" s="294"/>
      <c r="CV848" s="294"/>
      <c r="CW848" s="294"/>
      <c r="CX848" s="294"/>
      <c r="CY848" s="294"/>
      <c r="CZ848" s="294"/>
      <c r="DA848" s="294"/>
      <c r="DB848" s="294"/>
      <c r="DC848" s="294"/>
      <c r="DD848" s="294"/>
      <c r="DE848" s="294"/>
      <c r="DF848" s="294"/>
      <c r="DG848" s="294"/>
    </row>
    <row r="849" s="1183" customFormat="1" customHeight="1" spans="1:111">
      <c r="A849" s="1703">
        <v>46115</v>
      </c>
      <c r="B849" s="1704" t="s">
        <v>2382</v>
      </c>
      <c r="C849" s="1454" t="s">
        <v>201</v>
      </c>
      <c r="D849" s="1601">
        <v>4500200113</v>
      </c>
      <c r="E849" s="1292">
        <v>10340331270</v>
      </c>
      <c r="F849" s="1601" t="s">
        <v>3421</v>
      </c>
      <c r="G849" s="1706" t="s">
        <v>482</v>
      </c>
      <c r="H849" s="1454" t="s">
        <v>483</v>
      </c>
      <c r="I849" s="1707">
        <v>4320</v>
      </c>
      <c r="J849" s="1454">
        <v>0</v>
      </c>
      <c r="K849" s="1454">
        <v>120</v>
      </c>
      <c r="L849" s="1597">
        <f t="shared" si="283"/>
        <v>36</v>
      </c>
      <c r="M849" s="1587">
        <v>46269</v>
      </c>
      <c r="N849" s="1587">
        <v>46266</v>
      </c>
      <c r="O849" s="501"/>
      <c r="P849" s="1292"/>
      <c r="Q849" s="1292"/>
      <c r="R849" s="1454"/>
      <c r="S849" s="1454"/>
      <c r="T849" s="1292"/>
      <c r="U849" s="500">
        <f t="shared" si="288"/>
        <v>-4320</v>
      </c>
      <c r="V849" s="1454"/>
      <c r="W849" s="1300" t="s">
        <v>2658</v>
      </c>
      <c r="X849" s="1308" t="s">
        <v>107</v>
      </c>
      <c r="Y849" s="1308" t="s">
        <v>95</v>
      </c>
      <c r="Z849" s="543"/>
      <c r="AA849" s="543"/>
      <c r="AB849" s="543"/>
      <c r="AC849" s="1704" t="s">
        <v>636</v>
      </c>
      <c r="AD849" s="1586" t="s">
        <v>488</v>
      </c>
      <c r="AE849" s="1601">
        <v>1070</v>
      </c>
      <c r="AF849" s="1600">
        <f>AE849*L849</f>
        <v>38520</v>
      </c>
      <c r="AG849" s="1295"/>
      <c r="AH849" s="504" t="s">
        <v>490</v>
      </c>
      <c r="AI849" s="504" t="s">
        <v>112</v>
      </c>
      <c r="AJ849" s="1454"/>
      <c r="AK849" s="1601"/>
      <c r="AL849" s="1601">
        <f>I849*3</f>
        <v>12960</v>
      </c>
      <c r="AM849" s="1182"/>
      <c r="AN849" s="1601"/>
      <c r="AO849" s="1601"/>
      <c r="AP849" s="1601"/>
      <c r="AQ849" s="1601"/>
      <c r="AR849" s="520"/>
      <c r="AS849" s="1601"/>
      <c r="AT849" s="1601"/>
      <c r="AU849" s="1601"/>
      <c r="AV849" s="1298">
        <f>I849*0.06*2</f>
        <v>518.4</v>
      </c>
      <c r="AW849" s="1298"/>
      <c r="AX849" s="502"/>
      <c r="AY849" s="1601"/>
      <c r="AZ849" s="1601"/>
      <c r="BA849" s="1601"/>
      <c r="BB849" s="1601">
        <f>I849*3</f>
        <v>12960</v>
      </c>
      <c r="BC849" s="1601">
        <f>I849*3</f>
        <v>12960</v>
      </c>
      <c r="BD849" s="1601">
        <f>I849*3</f>
        <v>12960</v>
      </c>
      <c r="BE849" s="1601">
        <f>I849</f>
        <v>4320</v>
      </c>
      <c r="BF849" s="1601">
        <f>I849/6</f>
        <v>720</v>
      </c>
      <c r="BG849" s="502"/>
      <c r="BH849" s="502"/>
      <c r="BI849" s="1601"/>
      <c r="BJ849" s="1601"/>
      <c r="BK849" s="1601"/>
      <c r="BL849" s="1601"/>
      <c r="BM849" s="1601"/>
      <c r="BN849" s="1601"/>
      <c r="BO849" s="1296"/>
      <c r="BP849" s="1601"/>
      <c r="BQ849" s="1182"/>
      <c r="BR849" s="1601"/>
      <c r="BS849" s="1601"/>
      <c r="BT849" s="1601"/>
      <c r="BU849" s="1601"/>
      <c r="BV849" s="1601"/>
      <c r="BW849" s="1182"/>
      <c r="BX849" s="1182"/>
      <c r="BY849" s="1182"/>
      <c r="BZ849" s="1182"/>
      <c r="CA849" s="1182"/>
      <c r="CB849" s="1182"/>
      <c r="CC849" s="1182"/>
      <c r="CD849" s="1218">
        <f t="shared" si="289"/>
        <v>0</v>
      </c>
      <c r="CE849" s="1218">
        <f t="shared" si="290"/>
        <v>0</v>
      </c>
      <c r="CF849" s="502">
        <f t="shared" si="291"/>
        <v>0</v>
      </c>
      <c r="CG849" s="1218">
        <f t="shared" si="286"/>
        <v>0</v>
      </c>
      <c r="CH849" s="1218"/>
      <c r="CI849" s="1218"/>
      <c r="CJ849" s="1601"/>
      <c r="CK849" s="1601"/>
      <c r="CL849" s="1601"/>
      <c r="CM849" s="293"/>
      <c r="CN849" s="293"/>
      <c r="CO849" s="293"/>
      <c r="CP849" s="293"/>
      <c r="CQ849" s="293"/>
      <c r="CR849" s="293"/>
      <c r="CS849" s="293"/>
      <c r="CT849" s="293"/>
      <c r="CU849" s="293"/>
      <c r="CV849" s="293"/>
      <c r="CW849" s="293"/>
      <c r="CX849" s="293"/>
      <c r="CY849" s="293"/>
      <c r="CZ849" s="293"/>
      <c r="DA849" s="293"/>
      <c r="DB849" s="293"/>
      <c r="DC849" s="293"/>
      <c r="DD849" s="293"/>
      <c r="DE849" s="293"/>
      <c r="DF849" s="293"/>
      <c r="DG849" s="293"/>
    </row>
    <row r="850" s="1179" customFormat="1" customHeight="1" spans="1:111">
      <c r="A850" s="1289">
        <v>46115</v>
      </c>
      <c r="B850" s="543" t="s">
        <v>2382</v>
      </c>
      <c r="C850" s="504" t="s">
        <v>201</v>
      </c>
      <c r="D850" s="502">
        <v>4500200114</v>
      </c>
      <c r="E850" s="506">
        <v>5730331538</v>
      </c>
      <c r="F850" s="502" t="s">
        <v>3422</v>
      </c>
      <c r="G850" s="1706" t="s">
        <v>482</v>
      </c>
      <c r="H850" s="504" t="s">
        <v>483</v>
      </c>
      <c r="I850" s="1290">
        <v>4320</v>
      </c>
      <c r="J850" s="504">
        <v>0</v>
      </c>
      <c r="K850" s="504">
        <v>120</v>
      </c>
      <c r="L850" s="1291">
        <f t="shared" si="283"/>
        <v>36</v>
      </c>
      <c r="M850" s="1365">
        <v>46269</v>
      </c>
      <c r="N850" s="1365">
        <v>46266</v>
      </c>
      <c r="O850" s="501"/>
      <c r="P850" s="506"/>
      <c r="Q850" s="506"/>
      <c r="R850" s="504"/>
      <c r="S850" s="504"/>
      <c r="T850" s="506"/>
      <c r="U850" s="500">
        <f t="shared" si="288"/>
        <v>-4320</v>
      </c>
      <c r="V850" s="504"/>
      <c r="W850" s="1300" t="s">
        <v>2658</v>
      </c>
      <c r="X850" s="1325" t="s">
        <v>107</v>
      </c>
      <c r="Y850" s="1325" t="s">
        <v>95</v>
      </c>
      <c r="Z850" s="543"/>
      <c r="AA850" s="543"/>
      <c r="AB850" s="543"/>
      <c r="AC850" s="543" t="s">
        <v>636</v>
      </c>
      <c r="AD850" s="501" t="s">
        <v>488</v>
      </c>
      <c r="AE850" s="502">
        <v>1070</v>
      </c>
      <c r="AF850" s="503">
        <f>AE850*L850</f>
        <v>38520</v>
      </c>
      <c r="AG850" s="1295"/>
      <c r="AH850" s="504" t="s">
        <v>490</v>
      </c>
      <c r="AI850" s="504" t="s">
        <v>112</v>
      </c>
      <c r="AJ850" s="504"/>
      <c r="AK850" s="502"/>
      <c r="AL850" s="502">
        <f>I850*3</f>
        <v>12960</v>
      </c>
      <c r="AM850" s="1218"/>
      <c r="AN850" s="502"/>
      <c r="AO850" s="502"/>
      <c r="AP850" s="502"/>
      <c r="AQ850" s="1296"/>
      <c r="AR850" s="520"/>
      <c r="AS850" s="1297"/>
      <c r="AT850" s="1297"/>
      <c r="AU850" s="502"/>
      <c r="AV850" s="1298">
        <f>I850*0.06*2</f>
        <v>518.4</v>
      </c>
      <c r="AW850" s="1298"/>
      <c r="AX850" s="502"/>
      <c r="AY850" s="502"/>
      <c r="AZ850" s="502"/>
      <c r="BA850" s="502"/>
      <c r="BB850" s="502">
        <f>I850*3</f>
        <v>12960</v>
      </c>
      <c r="BC850" s="502">
        <f>I850*3</f>
        <v>12960</v>
      </c>
      <c r="BD850" s="502">
        <f>I850*3</f>
        <v>12960</v>
      </c>
      <c r="BE850" s="502">
        <f>I850</f>
        <v>4320</v>
      </c>
      <c r="BF850" s="502">
        <f>I850/6</f>
        <v>720</v>
      </c>
      <c r="BG850" s="502"/>
      <c r="BH850" s="502"/>
      <c r="BI850" s="502"/>
      <c r="BJ850" s="502"/>
      <c r="BK850" s="502"/>
      <c r="BL850" s="502"/>
      <c r="BM850" s="502"/>
      <c r="BN850" s="502"/>
      <c r="BO850" s="1296"/>
      <c r="BP850" s="1296"/>
      <c r="BQ850" s="1218"/>
      <c r="BR850" s="1297"/>
      <c r="BS850" s="1297"/>
      <c r="BT850" s="502"/>
      <c r="BU850" s="502"/>
      <c r="BV850" s="1296"/>
      <c r="BW850" s="1218"/>
      <c r="BX850" s="1218"/>
      <c r="BY850" s="1218"/>
      <c r="BZ850" s="1218"/>
      <c r="CA850" s="1218"/>
      <c r="CB850" s="1218"/>
      <c r="CC850" s="1218"/>
      <c r="CD850" s="1218">
        <f t="shared" si="289"/>
        <v>0</v>
      </c>
      <c r="CE850" s="1218">
        <f t="shared" si="290"/>
        <v>0</v>
      </c>
      <c r="CF850" s="502">
        <f t="shared" si="291"/>
        <v>0</v>
      </c>
      <c r="CG850" s="1218">
        <f t="shared" si="286"/>
        <v>0</v>
      </c>
      <c r="CH850" s="1299"/>
      <c r="CI850" s="1299"/>
      <c r="CJ850" s="1297"/>
      <c r="CK850" s="502"/>
      <c r="CL850" s="502"/>
      <c r="CM850" s="1455"/>
      <c r="CN850" s="1455"/>
      <c r="CO850" s="1455"/>
      <c r="CP850" s="1455"/>
      <c r="CQ850" s="1455"/>
      <c r="CR850" s="1455"/>
      <c r="CS850" s="1455"/>
      <c r="CT850" s="1455"/>
      <c r="CU850" s="1455"/>
      <c r="CV850" s="1455"/>
      <c r="CW850" s="1455"/>
      <c r="CX850" s="1455"/>
      <c r="CY850" s="1455"/>
      <c r="CZ850" s="1455"/>
      <c r="DA850" s="1455"/>
      <c r="DB850" s="1455"/>
      <c r="DC850" s="1455"/>
      <c r="DD850" s="1455"/>
      <c r="DE850" s="1455"/>
      <c r="DF850" s="1455"/>
      <c r="DG850" s="1455"/>
    </row>
    <row r="851" s="1179" customFormat="1" customHeight="1" spans="1:111">
      <c r="A851" s="1703">
        <v>46223</v>
      </c>
      <c r="B851" s="1704" t="s">
        <v>3423</v>
      </c>
      <c r="C851" s="1454" t="s">
        <v>2638</v>
      </c>
      <c r="D851" s="1705">
        <v>4500217107</v>
      </c>
      <c r="E851" s="1454" t="s">
        <v>3424</v>
      </c>
      <c r="F851" s="1601" t="s">
        <v>3425</v>
      </c>
      <c r="G851" s="1706" t="s">
        <v>188</v>
      </c>
      <c r="H851" s="1454" t="s">
        <v>138</v>
      </c>
      <c r="I851" s="1707">
        <v>2400</v>
      </c>
      <c r="J851" s="1454">
        <v>0</v>
      </c>
      <c r="K851" s="1454">
        <v>50</v>
      </c>
      <c r="L851" s="1597">
        <f t="shared" si="283"/>
        <v>48</v>
      </c>
      <c r="M851" s="1586">
        <v>46270</v>
      </c>
      <c r="N851" s="1586">
        <v>46266</v>
      </c>
      <c r="O851" s="1586"/>
      <c r="P851" s="1292"/>
      <c r="Q851" s="1292"/>
      <c r="R851" s="1054" t="s">
        <v>1322</v>
      </c>
      <c r="S851" s="1454"/>
      <c r="T851" s="1292"/>
      <c r="U851" s="500">
        <f t="shared" si="288"/>
        <v>-2400</v>
      </c>
      <c r="V851" s="1454"/>
      <c r="W851" s="1325">
        <v>46223</v>
      </c>
      <c r="X851" s="1308" t="s">
        <v>95</v>
      </c>
      <c r="Y851" s="544" t="s">
        <v>3426</v>
      </c>
      <c r="Z851" s="544"/>
      <c r="AA851" s="544"/>
      <c r="AB851" s="543"/>
      <c r="AC851" s="544" t="s">
        <v>3427</v>
      </c>
      <c r="AD851" s="1586" t="s">
        <v>659</v>
      </c>
      <c r="AE851" s="1601">
        <v>1.1174</v>
      </c>
      <c r="AF851" s="1600">
        <f>AE851*I851</f>
        <v>2681.76</v>
      </c>
      <c r="AG851" s="1295"/>
      <c r="AH851" s="504" t="s">
        <v>188</v>
      </c>
      <c r="AI851" s="488" t="s">
        <v>112</v>
      </c>
      <c r="AJ851" s="1454"/>
      <c r="AK851" s="502">
        <f>I851</f>
        <v>2400</v>
      </c>
      <c r="AL851" s="1601"/>
      <c r="AM851" s="1182"/>
      <c r="AN851" s="1709">
        <f>I851</f>
        <v>2400</v>
      </c>
      <c r="AO851" s="1601"/>
      <c r="AP851" s="1601"/>
      <c r="AQ851" s="1296"/>
      <c r="AR851" s="520"/>
      <c r="AS851" s="1601"/>
      <c r="AT851" s="1601"/>
      <c r="AU851" s="1601">
        <f>I851*2</f>
        <v>4800</v>
      </c>
      <c r="AV851" s="1298">
        <f>I851*0.06</f>
        <v>144</v>
      </c>
      <c r="AW851" s="1298"/>
      <c r="AX851" s="502"/>
      <c r="AY851" s="1601"/>
      <c r="AZ851" s="1601"/>
      <c r="BA851" s="1601"/>
      <c r="BB851" s="1601"/>
      <c r="BC851" s="1601"/>
      <c r="BD851" s="1601"/>
      <c r="BE851" s="1601"/>
      <c r="BF851" s="1601"/>
      <c r="BG851" s="502"/>
      <c r="BH851" s="502"/>
      <c r="BI851" s="1601"/>
      <c r="BJ851" s="1601"/>
      <c r="BK851" s="1601"/>
      <c r="BL851" s="1601"/>
      <c r="BM851" s="1601"/>
      <c r="BN851" s="1729">
        <f>I851/25</f>
        <v>96</v>
      </c>
      <c r="BO851" s="1296"/>
      <c r="BP851" s="1601"/>
      <c r="BQ851" s="1182"/>
      <c r="BR851" s="1601"/>
      <c r="BS851" s="1601"/>
      <c r="BT851" s="1601"/>
      <c r="BU851" s="1601"/>
      <c r="BV851" s="1601"/>
      <c r="BW851" s="1182"/>
      <c r="BX851" s="1182"/>
      <c r="BY851" s="1182"/>
      <c r="BZ851" s="1182"/>
      <c r="CA851" s="1182"/>
      <c r="CB851" s="1182"/>
      <c r="CC851" s="1182"/>
      <c r="CD851" s="1218">
        <f t="shared" si="289"/>
        <v>96</v>
      </c>
      <c r="CE851" s="1218">
        <f t="shared" si="290"/>
        <v>0</v>
      </c>
      <c r="CF851" s="502">
        <f t="shared" si="291"/>
        <v>0</v>
      </c>
      <c r="CG851" s="1218">
        <f t="shared" si="286"/>
        <v>0</v>
      </c>
      <c r="CH851" s="1218"/>
      <c r="CI851" s="1218"/>
      <c r="CJ851" s="1601"/>
      <c r="CK851" s="1601"/>
      <c r="CL851" s="1601"/>
      <c r="CM851" s="293"/>
      <c r="CN851" s="293"/>
      <c r="CO851" s="293"/>
      <c r="CP851" s="293"/>
      <c r="CQ851" s="293"/>
      <c r="CR851" s="293"/>
      <c r="CS851" s="293"/>
      <c r="CT851" s="293"/>
      <c r="CU851" s="293"/>
      <c r="CV851" s="293"/>
      <c r="CW851" s="293"/>
      <c r="CX851" s="293"/>
      <c r="CY851" s="293"/>
      <c r="CZ851" s="293"/>
      <c r="DA851" s="293"/>
      <c r="DB851" s="293"/>
      <c r="DC851" s="293"/>
      <c r="DD851" s="293"/>
      <c r="DE851" s="293"/>
      <c r="DF851" s="293"/>
      <c r="DG851" s="293"/>
    </row>
    <row r="852" s="294" customFormat="1" customHeight="1" spans="1:111">
      <c r="A852" s="1703">
        <v>46199</v>
      </c>
      <c r="B852" s="1704" t="s">
        <v>3173</v>
      </c>
      <c r="C852" s="1454" t="s">
        <v>135</v>
      </c>
      <c r="D852" s="1705">
        <v>4500214102</v>
      </c>
      <c r="E852" s="1732" t="s">
        <v>3428</v>
      </c>
      <c r="F852" s="1730" t="s">
        <v>3429</v>
      </c>
      <c r="G852" s="1706" t="s">
        <v>283</v>
      </c>
      <c r="H852" s="1454" t="s">
        <v>194</v>
      </c>
      <c r="I852" s="1707">
        <v>5525</v>
      </c>
      <c r="J852" s="1454">
        <v>0</v>
      </c>
      <c r="K852" s="1454">
        <v>13</v>
      </c>
      <c r="L852" s="1597">
        <f t="shared" si="283"/>
        <v>425</v>
      </c>
      <c r="M852" s="1587">
        <v>46270</v>
      </c>
      <c r="N852" s="1587">
        <f>M852-4</f>
        <v>46266</v>
      </c>
      <c r="O852" s="1586"/>
      <c r="P852" s="1292"/>
      <c r="Q852" s="1292"/>
      <c r="R852" s="1454"/>
      <c r="S852" s="1454"/>
      <c r="T852" s="1292"/>
      <c r="U852" s="500">
        <f t="shared" si="288"/>
        <v>-5525</v>
      </c>
      <c r="V852" s="1454"/>
      <c r="W852" s="1300">
        <v>46199</v>
      </c>
      <c r="X852" s="1294" t="s">
        <v>95</v>
      </c>
      <c r="Y852" s="1294" t="s">
        <v>3177</v>
      </c>
      <c r="Z852" s="544" t="s">
        <v>2494</v>
      </c>
      <c r="AA852" s="544"/>
      <c r="AB852" s="543"/>
      <c r="AC852" s="1604" t="s">
        <v>3430</v>
      </c>
      <c r="AD852" s="1587" t="s">
        <v>3179</v>
      </c>
      <c r="AE852" s="1733">
        <v>1.0755</v>
      </c>
      <c r="AF852" s="1734">
        <f>I852*AE852</f>
        <v>5942.1375</v>
      </c>
      <c r="AG852" s="1368"/>
      <c r="AH852" s="1424" t="s">
        <v>283</v>
      </c>
      <c r="AI852" s="488" t="s">
        <v>112</v>
      </c>
      <c r="AJ852" s="1454"/>
      <c r="AK852" s="502">
        <f>I852</f>
        <v>5525</v>
      </c>
      <c r="AL852" s="1601"/>
      <c r="AM852" s="1182"/>
      <c r="AN852" s="1614">
        <f>I852</f>
        <v>5525</v>
      </c>
      <c r="AO852" s="1437"/>
      <c r="AP852" s="502"/>
      <c r="AQ852" s="1601"/>
      <c r="AR852" s="520"/>
      <c r="AS852" s="1601"/>
      <c r="AT852" s="1601"/>
      <c r="AU852" s="1601"/>
      <c r="AV852" s="1298">
        <f>I852*0.06</f>
        <v>331.5</v>
      </c>
      <c r="AW852" s="1612">
        <f>I852</f>
        <v>5525</v>
      </c>
      <c r="AX852" s="1601"/>
      <c r="AY852" s="1601"/>
      <c r="AZ852" s="1601"/>
      <c r="BA852" s="1601"/>
      <c r="BB852" s="1601"/>
      <c r="BC852" s="1601"/>
      <c r="BD852" s="1601"/>
      <c r="BE852" s="1601"/>
      <c r="BF852" s="1601"/>
      <c r="BG852" s="502"/>
      <c r="BH852" s="502"/>
      <c r="BI852" s="1601"/>
      <c r="BJ852" s="1601"/>
      <c r="BK852" s="1729">
        <f>I852/13</f>
        <v>425</v>
      </c>
      <c r="BL852" s="1601"/>
      <c r="BM852" s="1601"/>
      <c r="BN852" s="1601"/>
      <c r="BO852" s="1296"/>
      <c r="BP852" s="1601"/>
      <c r="BQ852" s="1182"/>
      <c r="BR852" s="1601"/>
      <c r="BS852" s="1601"/>
      <c r="BT852" s="1601"/>
      <c r="BU852" s="1601"/>
      <c r="BV852" s="1601"/>
      <c r="BW852" s="1182"/>
      <c r="BX852" s="1182"/>
      <c r="BY852" s="1182"/>
      <c r="BZ852" s="1182"/>
      <c r="CA852" s="1182"/>
      <c r="CB852" s="1182"/>
      <c r="CC852" s="1182"/>
      <c r="CD852" s="1218">
        <f t="shared" si="289"/>
        <v>0</v>
      </c>
      <c r="CE852" s="1218">
        <f t="shared" si="290"/>
        <v>0</v>
      </c>
      <c r="CF852" s="502">
        <f t="shared" si="291"/>
        <v>0</v>
      </c>
      <c r="CG852" s="1218">
        <f t="shared" si="286"/>
        <v>0</v>
      </c>
      <c r="CH852" s="1218"/>
      <c r="CI852" s="1218"/>
      <c r="CJ852" s="1601"/>
      <c r="CK852" s="1601"/>
      <c r="CL852" s="1601"/>
      <c r="CM852" s="293"/>
      <c r="CN852" s="293"/>
      <c r="CO852" s="293"/>
      <c r="CP852" s="293"/>
      <c r="CQ852" s="293"/>
      <c r="CR852" s="293"/>
      <c r="CS852" s="293"/>
      <c r="CT852" s="293"/>
      <c r="CU852" s="293"/>
      <c r="CV852" s="293"/>
      <c r="CW852" s="293"/>
      <c r="CX852" s="293"/>
      <c r="CY852" s="293"/>
      <c r="CZ852" s="293"/>
      <c r="DA852" s="293"/>
      <c r="DB852" s="293"/>
      <c r="DC852" s="293"/>
      <c r="DD852" s="293"/>
      <c r="DE852" s="293"/>
      <c r="DF852" s="293"/>
      <c r="DG852" s="293"/>
    </row>
    <row r="853" s="1177" customFormat="1" customHeight="1" spans="1:111">
      <c r="A853" s="1289">
        <v>46115</v>
      </c>
      <c r="B853" s="543" t="s">
        <v>2382</v>
      </c>
      <c r="C853" s="504" t="s">
        <v>201</v>
      </c>
      <c r="D853" s="502">
        <v>4500200117</v>
      </c>
      <c r="E853" s="506">
        <v>5710331474</v>
      </c>
      <c r="F853" s="502" t="s">
        <v>3431</v>
      </c>
      <c r="G853" s="1706" t="s">
        <v>482</v>
      </c>
      <c r="H853" s="504" t="s">
        <v>483</v>
      </c>
      <c r="I853" s="1290">
        <v>4320</v>
      </c>
      <c r="J853" s="504">
        <v>0</v>
      </c>
      <c r="K853" s="504">
        <v>120</v>
      </c>
      <c r="L853" s="1291">
        <f t="shared" si="283"/>
        <v>36</v>
      </c>
      <c r="M853" s="1365">
        <v>46272</v>
      </c>
      <c r="N853" s="1365">
        <v>46268</v>
      </c>
      <c r="O853" s="501"/>
      <c r="P853" s="506"/>
      <c r="Q853" s="506"/>
      <c r="R853" s="504"/>
      <c r="S853" s="504"/>
      <c r="T853" s="506"/>
      <c r="U853" s="500">
        <f t="shared" si="288"/>
        <v>-4320</v>
      </c>
      <c r="V853" s="504"/>
      <c r="W853" s="1300" t="s">
        <v>2658</v>
      </c>
      <c r="X853" s="1308" t="s">
        <v>107</v>
      </c>
      <c r="Y853" s="1308" t="s">
        <v>95</v>
      </c>
      <c r="Z853" s="543"/>
      <c r="AA853" s="543"/>
      <c r="AB853" s="543"/>
      <c r="AC853" s="543" t="s">
        <v>636</v>
      </c>
      <c r="AD853" s="501" t="s">
        <v>488</v>
      </c>
      <c r="AE853" s="502">
        <v>1070</v>
      </c>
      <c r="AF853" s="503">
        <f>I853*AE853</f>
        <v>4622400</v>
      </c>
      <c r="AG853" s="1295"/>
      <c r="AH853" s="504" t="s">
        <v>490</v>
      </c>
      <c r="AI853" s="504" t="s">
        <v>112</v>
      </c>
      <c r="AJ853" s="504"/>
      <c r="AK853" s="502"/>
      <c r="AL853" s="502">
        <f>I853*3</f>
        <v>12960</v>
      </c>
      <c r="AM853" s="1218"/>
      <c r="AN853" s="502"/>
      <c r="AO853" s="502"/>
      <c r="AP853" s="502"/>
      <c r="AQ853" s="1296"/>
      <c r="AR853" s="438"/>
      <c r="AS853" s="1297"/>
      <c r="AT853" s="1297"/>
      <c r="AU853" s="502"/>
      <c r="AV853" s="1298">
        <f>I853*0.06*2</f>
        <v>518.4</v>
      </c>
      <c r="AW853" s="1298"/>
      <c r="AX853" s="502"/>
      <c r="AY853" s="502"/>
      <c r="AZ853" s="502"/>
      <c r="BA853" s="502"/>
      <c r="BB853" s="502">
        <f>I853*3</f>
        <v>12960</v>
      </c>
      <c r="BC853" s="502">
        <f>I853*3</f>
        <v>12960</v>
      </c>
      <c r="BD853" s="502">
        <f>I853*3</f>
        <v>12960</v>
      </c>
      <c r="BE853" s="502">
        <f>I853</f>
        <v>4320</v>
      </c>
      <c r="BF853" s="502">
        <f>I853/6</f>
        <v>720</v>
      </c>
      <c r="BG853" s="502"/>
      <c r="BH853" s="502"/>
      <c r="BI853" s="502"/>
      <c r="BJ853" s="502"/>
      <c r="BK853" s="502"/>
      <c r="BL853" s="502"/>
      <c r="BM853" s="502"/>
      <c r="BN853" s="502"/>
      <c r="BO853" s="1296"/>
      <c r="BP853" s="1296"/>
      <c r="BQ853" s="1218"/>
      <c r="BR853" s="1297"/>
      <c r="BS853" s="1297"/>
      <c r="BT853" s="502"/>
      <c r="BU853" s="502"/>
      <c r="BV853" s="1296"/>
      <c r="BW853" s="1218"/>
      <c r="BX853" s="1218"/>
      <c r="BY853" s="1218"/>
      <c r="BZ853" s="1218"/>
      <c r="CA853" s="1218"/>
      <c r="CB853" s="1218"/>
      <c r="CC853" s="1218"/>
      <c r="CD853" s="1218">
        <f t="shared" si="289"/>
        <v>0</v>
      </c>
      <c r="CE853" s="1218">
        <f t="shared" si="290"/>
        <v>0</v>
      </c>
      <c r="CF853" s="502">
        <f t="shared" si="291"/>
        <v>0</v>
      </c>
      <c r="CG853" s="1218">
        <f t="shared" si="286"/>
        <v>0</v>
      </c>
      <c r="CH853" s="1299"/>
      <c r="CI853" s="1299"/>
      <c r="CJ853" s="1297"/>
      <c r="CK853" s="502"/>
      <c r="CL853" s="502"/>
      <c r="CM853" s="293"/>
      <c r="CN853" s="293"/>
      <c r="CO853" s="293"/>
      <c r="CP853" s="293"/>
      <c r="CQ853" s="293"/>
      <c r="CR853" s="293"/>
      <c r="CS853" s="293"/>
      <c r="CT853" s="293"/>
      <c r="CU853" s="293"/>
      <c r="CV853" s="293"/>
      <c r="CW853" s="293"/>
      <c r="CX853" s="293"/>
      <c r="CY853" s="293"/>
      <c r="CZ853" s="293"/>
      <c r="DA853" s="293"/>
      <c r="DB853" s="293"/>
      <c r="DC853" s="293"/>
      <c r="DD853" s="293"/>
      <c r="DE853" s="293"/>
      <c r="DF853" s="293"/>
      <c r="DG853" s="293"/>
    </row>
    <row r="854" s="293" customFormat="1" customHeight="1" spans="1:111">
      <c r="A854" s="1289">
        <v>46189</v>
      </c>
      <c r="B854" s="543" t="s">
        <v>507</v>
      </c>
      <c r="C854" s="504" t="s">
        <v>508</v>
      </c>
      <c r="D854" s="1305">
        <v>4500212482</v>
      </c>
      <c r="E854" s="506">
        <v>2635324</v>
      </c>
      <c r="F854" s="502" t="s">
        <v>3432</v>
      </c>
      <c r="G854" s="1706" t="s">
        <v>510</v>
      </c>
      <c r="H854" s="504" t="s">
        <v>194</v>
      </c>
      <c r="I854" s="1290">
        <v>3614</v>
      </c>
      <c r="J854" s="504">
        <v>0</v>
      </c>
      <c r="K854" s="504">
        <v>13</v>
      </c>
      <c r="L854" s="1291">
        <f t="shared" si="283"/>
        <v>278</v>
      </c>
      <c r="M854" s="501">
        <v>46272</v>
      </c>
      <c r="N854" s="501">
        <v>46268</v>
      </c>
      <c r="O854" s="501"/>
      <c r="P854" s="506"/>
      <c r="Q854" s="506"/>
      <c r="R854" s="504"/>
      <c r="S854" s="504"/>
      <c r="T854" s="506"/>
      <c r="U854" s="500">
        <f t="shared" si="288"/>
        <v>-3614</v>
      </c>
      <c r="V854" s="504"/>
      <c r="W854" s="1324">
        <v>46189</v>
      </c>
      <c r="X854" s="1294" t="s">
        <v>107</v>
      </c>
      <c r="Y854" s="1294" t="s">
        <v>3433</v>
      </c>
      <c r="Z854" s="544" t="s">
        <v>360</v>
      </c>
      <c r="AA854" s="544"/>
      <c r="AB854" s="544" t="s">
        <v>2356</v>
      </c>
      <c r="AC854" s="544" t="s">
        <v>2357</v>
      </c>
      <c r="AD854" s="501" t="s">
        <v>513</v>
      </c>
      <c r="AE854" s="502">
        <v>1.1186</v>
      </c>
      <c r="AF854" s="503">
        <f>AE854*I854</f>
        <v>4042.6204</v>
      </c>
      <c r="AG854" s="1295"/>
      <c r="AH854" s="1735" t="s">
        <v>289</v>
      </c>
      <c r="AI854" s="488" t="s">
        <v>112</v>
      </c>
      <c r="AJ854" s="504"/>
      <c r="AK854" s="502">
        <f>I854</f>
        <v>3614</v>
      </c>
      <c r="AL854" s="502"/>
      <c r="AM854" s="1218"/>
      <c r="AN854" s="502">
        <f>I854</f>
        <v>3614</v>
      </c>
      <c r="AO854" s="502"/>
      <c r="AP854" s="502"/>
      <c r="AQ854" s="1296"/>
      <c r="AR854" s="438"/>
      <c r="AS854" s="1297"/>
      <c r="AT854" s="1297"/>
      <c r="AU854" s="502"/>
      <c r="AV854" s="1298">
        <f>I854*0.06*2</f>
        <v>433.68</v>
      </c>
      <c r="AW854" s="1298"/>
      <c r="AX854" s="502">
        <f>I854</f>
        <v>3614</v>
      </c>
      <c r="AY854" s="502"/>
      <c r="AZ854" s="502"/>
      <c r="BA854" s="502"/>
      <c r="BB854" s="502"/>
      <c r="BC854" s="502"/>
      <c r="BD854" s="502"/>
      <c r="BE854" s="502"/>
      <c r="BF854" s="502"/>
      <c r="BG854" s="502"/>
      <c r="BH854" s="502"/>
      <c r="BI854" s="502"/>
      <c r="BJ854" s="502"/>
      <c r="BK854" s="1418">
        <f>I854/13</f>
        <v>278</v>
      </c>
      <c r="BL854" s="502"/>
      <c r="BM854" s="502"/>
      <c r="BN854" s="502"/>
      <c r="BO854" s="1296"/>
      <c r="BP854" s="1296"/>
      <c r="BQ854" s="1218"/>
      <c r="BR854" s="1297"/>
      <c r="BS854" s="1297"/>
      <c r="BT854" s="502"/>
      <c r="BU854" s="502"/>
      <c r="BV854" s="1296"/>
      <c r="BW854" s="1218"/>
      <c r="BX854" s="1218"/>
      <c r="BY854" s="1218"/>
      <c r="BZ854" s="1218"/>
      <c r="CA854" s="1218"/>
      <c r="CB854" s="1218"/>
      <c r="CC854" s="1218"/>
      <c r="CD854" s="1218">
        <f t="shared" si="289"/>
        <v>0</v>
      </c>
      <c r="CE854" s="1218">
        <f t="shared" si="290"/>
        <v>0</v>
      </c>
      <c r="CF854" s="502">
        <f t="shared" si="291"/>
        <v>0</v>
      </c>
      <c r="CG854" s="1218">
        <f t="shared" si="286"/>
        <v>0</v>
      </c>
      <c r="CH854" s="1299"/>
      <c r="CI854" s="1299"/>
      <c r="CJ854" s="1297"/>
      <c r="CK854" s="502"/>
      <c r="CL854" s="502"/>
    </row>
    <row r="855" s="293" customFormat="1" customHeight="1" spans="1:111">
      <c r="A855" s="1289">
        <v>46182</v>
      </c>
      <c r="B855" s="543" t="s">
        <v>525</v>
      </c>
      <c r="C855" s="504" t="s">
        <v>508</v>
      </c>
      <c r="D855" s="1305">
        <v>4500211288</v>
      </c>
      <c r="E855" s="506">
        <v>21785317</v>
      </c>
      <c r="F855" s="502" t="s">
        <v>3434</v>
      </c>
      <c r="G855" s="1736" t="s">
        <v>3244</v>
      </c>
      <c r="H855" s="504" t="s">
        <v>804</v>
      </c>
      <c r="I855" s="1290">
        <v>1668</v>
      </c>
      <c r="J855" s="504">
        <v>0</v>
      </c>
      <c r="K855" s="504">
        <v>6</v>
      </c>
      <c r="L855" s="1291">
        <f t="shared" si="283"/>
        <v>278</v>
      </c>
      <c r="M855" s="501">
        <v>46272</v>
      </c>
      <c r="N855" s="501">
        <v>46268</v>
      </c>
      <c r="O855" s="501"/>
      <c r="P855" s="506"/>
      <c r="Q855" s="506"/>
      <c r="R855" s="504"/>
      <c r="S855" s="504"/>
      <c r="T855" s="506"/>
      <c r="U855" s="500">
        <f t="shared" si="288"/>
        <v>-1668</v>
      </c>
      <c r="V855" s="504"/>
      <c r="W855" s="1300">
        <v>46239</v>
      </c>
      <c r="X855" s="1294" t="s">
        <v>107</v>
      </c>
      <c r="Y855" s="1294" t="s">
        <v>3435</v>
      </c>
      <c r="Z855" s="543" t="s">
        <v>360</v>
      </c>
      <c r="AA855" s="543"/>
      <c r="AB855" s="544" t="s">
        <v>2376</v>
      </c>
      <c r="AC855" s="1528" t="s">
        <v>3436</v>
      </c>
      <c r="AD855" s="501" t="s">
        <v>362</v>
      </c>
      <c r="AE855" s="502">
        <v>8.5</v>
      </c>
      <c r="AF855" s="503">
        <f>AE855*I855</f>
        <v>14178</v>
      </c>
      <c r="AG855" s="1295"/>
      <c r="AH855" s="504" t="s">
        <v>2727</v>
      </c>
      <c r="AI855" s="504" t="s">
        <v>112</v>
      </c>
      <c r="AJ855" s="504"/>
      <c r="AK855" s="327">
        <f>I855*2</f>
        <v>3336</v>
      </c>
      <c r="AL855" s="502"/>
      <c r="AM855" s="1218"/>
      <c r="AN855" s="502"/>
      <c r="AO855" s="502"/>
      <c r="AP855" s="502"/>
      <c r="AQ855" s="1296"/>
      <c r="AR855" s="1187">
        <f>I855*2</f>
        <v>3336</v>
      </c>
      <c r="AS855" s="1297"/>
      <c r="AT855" s="1297"/>
      <c r="AU855" s="502"/>
      <c r="AV855" s="1298">
        <f>I855*0.06*2</f>
        <v>200.16</v>
      </c>
      <c r="AW855" s="1298"/>
      <c r="AX855" s="502">
        <f>I855</f>
        <v>1668</v>
      </c>
      <c r="AY855" s="502"/>
      <c r="AZ855" s="502"/>
      <c r="BA855" s="502"/>
      <c r="BB855" s="502"/>
      <c r="BC855" s="502"/>
      <c r="BD855" s="502"/>
      <c r="BE855" s="502"/>
      <c r="BF855" s="502"/>
      <c r="BG855" s="502"/>
      <c r="BH855" s="502"/>
      <c r="BI855" s="502"/>
      <c r="BJ855" s="502"/>
      <c r="BK855" s="502"/>
      <c r="BL855" s="502"/>
      <c r="BM855" s="502"/>
      <c r="BN855" s="502"/>
      <c r="BO855" s="1296"/>
      <c r="BP855" s="1296"/>
      <c r="BQ855" s="1218"/>
      <c r="BR855" s="1297"/>
      <c r="BS855" s="1297"/>
      <c r="BT855" s="502"/>
      <c r="BU855" s="502"/>
      <c r="BV855" s="1296"/>
      <c r="BW855" s="1218"/>
      <c r="BX855" s="1218"/>
      <c r="BY855" s="1218"/>
      <c r="BZ855" s="1218"/>
      <c r="CA855" s="1218"/>
      <c r="CB855" s="1218"/>
      <c r="CC855" s="1218"/>
      <c r="CD855" s="1218">
        <f t="shared" si="289"/>
        <v>0</v>
      </c>
      <c r="CE855" s="1218">
        <f t="shared" si="290"/>
        <v>0</v>
      </c>
      <c r="CF855" s="502">
        <f t="shared" si="291"/>
        <v>0</v>
      </c>
      <c r="CG855" s="1218">
        <f t="shared" si="286"/>
        <v>0</v>
      </c>
      <c r="CH855" s="1299"/>
      <c r="CI855" s="1299"/>
      <c r="CJ855" s="1297"/>
      <c r="CK855" s="502"/>
      <c r="CL855" s="502"/>
    </row>
    <row r="856" s="293" customFormat="1" customHeight="1" spans="1:111">
      <c r="A856" s="1289">
        <v>46182</v>
      </c>
      <c r="B856" s="543" t="s">
        <v>525</v>
      </c>
      <c r="C856" s="504" t="s">
        <v>508</v>
      </c>
      <c r="D856" s="1305">
        <v>4500211288</v>
      </c>
      <c r="E856" s="506">
        <v>21785412</v>
      </c>
      <c r="F856" s="502" t="s">
        <v>3437</v>
      </c>
      <c r="G856" s="1736" t="s">
        <v>3244</v>
      </c>
      <c r="H856" s="504" t="s">
        <v>804</v>
      </c>
      <c r="I856" s="1290">
        <v>2220</v>
      </c>
      <c r="J856" s="504">
        <v>0</v>
      </c>
      <c r="K856" s="504">
        <v>6</v>
      </c>
      <c r="L856" s="1291">
        <f t="shared" si="283"/>
        <v>370</v>
      </c>
      <c r="M856" s="501">
        <v>46272</v>
      </c>
      <c r="N856" s="501">
        <v>46268</v>
      </c>
      <c r="O856" s="501"/>
      <c r="P856" s="506"/>
      <c r="Q856" s="506"/>
      <c r="R856" s="504"/>
      <c r="S856" s="504"/>
      <c r="T856" s="506"/>
      <c r="U856" s="500">
        <f t="shared" si="288"/>
        <v>-2220</v>
      </c>
      <c r="V856" s="504"/>
      <c r="W856" s="1300">
        <v>46239</v>
      </c>
      <c r="X856" s="1301" t="s">
        <v>107</v>
      </c>
      <c r="Y856" s="1294" t="s">
        <v>3435</v>
      </c>
      <c r="Z856" s="543" t="s">
        <v>360</v>
      </c>
      <c r="AA856" s="543"/>
      <c r="AB856" s="544" t="s">
        <v>2376</v>
      </c>
      <c r="AC856" s="1528" t="s">
        <v>3436</v>
      </c>
      <c r="AD856" s="501" t="s">
        <v>362</v>
      </c>
      <c r="AE856" s="502">
        <v>8.5</v>
      </c>
      <c r="AF856" s="503">
        <f>AE856*I856</f>
        <v>18870</v>
      </c>
      <c r="AG856" s="1295"/>
      <c r="AH856" s="504" t="s">
        <v>2727</v>
      </c>
      <c r="AI856" s="504" t="s">
        <v>112</v>
      </c>
      <c r="AJ856" s="504"/>
      <c r="AK856" s="327">
        <f>I856*2</f>
        <v>4440</v>
      </c>
      <c r="AL856" s="502"/>
      <c r="AM856" s="1218"/>
      <c r="AN856" s="502"/>
      <c r="AO856" s="502"/>
      <c r="AP856" s="502"/>
      <c r="AQ856" s="1296"/>
      <c r="AR856" s="1187">
        <f>I856*2</f>
        <v>4440</v>
      </c>
      <c r="AS856" s="1297"/>
      <c r="AT856" s="1297"/>
      <c r="AU856" s="502"/>
      <c r="AV856" s="1298">
        <f>I856*0.06*2</f>
        <v>266.4</v>
      </c>
      <c r="AW856" s="1298"/>
      <c r="AX856" s="502">
        <f>I856</f>
        <v>2220</v>
      </c>
      <c r="AY856" s="502"/>
      <c r="AZ856" s="502"/>
      <c r="BA856" s="502"/>
      <c r="BB856" s="502"/>
      <c r="BC856" s="502"/>
      <c r="BD856" s="502"/>
      <c r="BE856" s="502"/>
      <c r="BF856" s="502"/>
      <c r="BG856" s="502"/>
      <c r="BH856" s="502"/>
      <c r="BI856" s="502"/>
      <c r="BJ856" s="502"/>
      <c r="BK856" s="502"/>
      <c r="BL856" s="502"/>
      <c r="BM856" s="502"/>
      <c r="BN856" s="502"/>
      <c r="BO856" s="1296"/>
      <c r="BP856" s="1296"/>
      <c r="BQ856" s="1218"/>
      <c r="BR856" s="1297"/>
      <c r="BS856" s="1297"/>
      <c r="BT856" s="502"/>
      <c r="BU856" s="502"/>
      <c r="BV856" s="1296"/>
      <c r="BW856" s="1218"/>
      <c r="BX856" s="1218"/>
      <c r="BY856" s="1218"/>
      <c r="BZ856" s="1218"/>
      <c r="CA856" s="1218"/>
      <c r="CB856" s="1218"/>
      <c r="CC856" s="1218"/>
      <c r="CD856" s="1218">
        <f t="shared" si="289"/>
        <v>0</v>
      </c>
      <c r="CE856" s="1218">
        <f t="shared" si="290"/>
        <v>0</v>
      </c>
      <c r="CF856" s="502">
        <f t="shared" si="291"/>
        <v>0</v>
      </c>
      <c r="CG856" s="1218">
        <f t="shared" si="286"/>
        <v>0</v>
      </c>
      <c r="CH856" s="1299"/>
      <c r="CI856" s="1299"/>
      <c r="CJ856" s="1297"/>
      <c r="CK856" s="502"/>
      <c r="CL856" s="502"/>
    </row>
    <row r="857" s="293" customFormat="1" customHeight="1" spans="1:111">
      <c r="A857" s="1606">
        <v>46182</v>
      </c>
      <c r="B857" s="1417" t="s">
        <v>525</v>
      </c>
      <c r="C857" s="1434" t="s">
        <v>508</v>
      </c>
      <c r="D857" s="1435">
        <v>4500211288</v>
      </c>
      <c r="E857" s="1436">
        <v>21802505</v>
      </c>
      <c r="F857" s="1437" t="s">
        <v>3438</v>
      </c>
      <c r="G857" s="1737" t="s">
        <v>3232</v>
      </c>
      <c r="H857" s="1434" t="s">
        <v>194</v>
      </c>
      <c r="I857" s="1439">
        <v>2782</v>
      </c>
      <c r="J857" s="1434">
        <v>0</v>
      </c>
      <c r="K857" s="1434">
        <v>13</v>
      </c>
      <c r="L857" s="1607">
        <f t="shared" si="283"/>
        <v>214</v>
      </c>
      <c r="M857" s="507">
        <v>46272</v>
      </c>
      <c r="N857" s="507">
        <v>46268</v>
      </c>
      <c r="O857" s="501"/>
      <c r="P857" s="506"/>
      <c r="Q857" s="1436"/>
      <c r="R857" s="1434"/>
      <c r="S857" s="1434"/>
      <c r="T857" s="1436"/>
      <c r="U857" s="1313">
        <f t="shared" si="288"/>
        <v>-2782</v>
      </c>
      <c r="V857" s="1434"/>
      <c r="W857" s="1300">
        <v>46239</v>
      </c>
      <c r="X857" s="1301" t="s">
        <v>107</v>
      </c>
      <c r="Y857" s="1294" t="s">
        <v>3435</v>
      </c>
      <c r="Z857" s="1417" t="s">
        <v>360</v>
      </c>
      <c r="AA857" s="1417"/>
      <c r="AB857" s="1552" t="s">
        <v>2376</v>
      </c>
      <c r="AC857" s="1417" t="s">
        <v>3439</v>
      </c>
      <c r="AD857" s="507" t="s">
        <v>362</v>
      </c>
      <c r="AE857" s="1437">
        <v>1.1132</v>
      </c>
      <c r="AF857" s="1609">
        <f t="shared" ref="AF857:AF862" si="293">AE857*I857</f>
        <v>3096.9224</v>
      </c>
      <c r="AG857" s="1610"/>
      <c r="AH857" s="488" t="s">
        <v>510</v>
      </c>
      <c r="AI857" s="488" t="s">
        <v>112</v>
      </c>
      <c r="AJ857" s="1434"/>
      <c r="AK857" s="1437">
        <f>I857</f>
        <v>2782</v>
      </c>
      <c r="AL857" s="1437"/>
      <c r="AM857" s="1617"/>
      <c r="AN857" s="502">
        <f>I857</f>
        <v>2782</v>
      </c>
      <c r="AO857" s="502"/>
      <c r="AP857" s="502"/>
      <c r="AQ857" s="1296"/>
      <c r="AR857" s="438"/>
      <c r="AS857" s="1297"/>
      <c r="AT857" s="1297"/>
      <c r="AU857" s="502"/>
      <c r="AV857" s="1298">
        <f t="shared" ref="AV857:AV862" si="294">I857*0.06*2</f>
        <v>333.84</v>
      </c>
      <c r="AW857" s="1612"/>
      <c r="AX857" s="1437">
        <f t="shared" ref="AX857:AX864" si="295">I857</f>
        <v>2782</v>
      </c>
      <c r="AY857" s="1437"/>
      <c r="AZ857" s="502"/>
      <c r="BA857" s="502"/>
      <c r="BB857" s="1437"/>
      <c r="BC857" s="1437"/>
      <c r="BD857" s="1437"/>
      <c r="BE857" s="1437"/>
      <c r="BF857" s="1437"/>
      <c r="BG857" s="1437"/>
      <c r="BH857" s="1437"/>
      <c r="BI857" s="1437"/>
      <c r="BJ857" s="1437"/>
      <c r="BK857" s="1437"/>
      <c r="BL857" s="1437"/>
      <c r="BM857" s="1437"/>
      <c r="BN857" s="1437"/>
      <c r="BO857" s="1615"/>
      <c r="BP857" s="1615">
        <f>I857/13</f>
        <v>214</v>
      </c>
      <c r="BQ857" s="1617"/>
      <c r="BR857" s="1616"/>
      <c r="BS857" s="1616"/>
      <c r="BT857" s="1437"/>
      <c r="BU857" s="1437"/>
      <c r="BV857" s="1615"/>
      <c r="BW857" s="1617"/>
      <c r="BX857" s="1617"/>
      <c r="BY857" s="1617"/>
      <c r="BZ857" s="1617"/>
      <c r="CA857" s="1617"/>
      <c r="CB857" s="1617"/>
      <c r="CC857" s="1617"/>
      <c r="CD857" s="1218">
        <f t="shared" si="289"/>
        <v>0</v>
      </c>
      <c r="CE857" s="1218">
        <f t="shared" si="290"/>
        <v>0</v>
      </c>
      <c r="CF857" s="502">
        <f t="shared" si="291"/>
        <v>0</v>
      </c>
      <c r="CG857" s="1218">
        <f t="shared" si="286"/>
        <v>0</v>
      </c>
      <c r="CH857" s="1618"/>
      <c r="CI857" s="1618"/>
      <c r="CJ857" s="1616"/>
      <c r="CK857" s="1437"/>
      <c r="CL857" s="1437"/>
    </row>
    <row r="858" s="1180" customFormat="1" customHeight="1" spans="1:111">
      <c r="A858" s="1289">
        <v>46182</v>
      </c>
      <c r="B858" s="1417" t="s">
        <v>525</v>
      </c>
      <c r="C858" s="1434" t="s">
        <v>508</v>
      </c>
      <c r="D858" s="1435">
        <v>4500211288</v>
      </c>
      <c r="E858" s="1436">
        <v>21802504</v>
      </c>
      <c r="F858" s="1437" t="s">
        <v>3440</v>
      </c>
      <c r="G858" s="1738" t="s">
        <v>3232</v>
      </c>
      <c r="H858" s="1454" t="s">
        <v>194</v>
      </c>
      <c r="I858" s="1439">
        <v>2782</v>
      </c>
      <c r="J858" s="1434">
        <v>0</v>
      </c>
      <c r="K858" s="1434">
        <v>13</v>
      </c>
      <c r="L858" s="1597">
        <f t="shared" si="283"/>
        <v>214</v>
      </c>
      <c r="M858" s="507">
        <v>46272</v>
      </c>
      <c r="N858" s="507">
        <v>46268</v>
      </c>
      <c r="O858" s="507"/>
      <c r="P858" s="506"/>
      <c r="Q858" s="506"/>
      <c r="R858" s="504"/>
      <c r="S858" s="504"/>
      <c r="T858" s="506"/>
      <c r="U858" s="1313">
        <f t="shared" si="288"/>
        <v>-2782</v>
      </c>
      <c r="V858" s="504"/>
      <c r="W858" s="1300">
        <v>46239</v>
      </c>
      <c r="X858" s="1294" t="s">
        <v>107</v>
      </c>
      <c r="Y858" s="1294" t="s">
        <v>3435</v>
      </c>
      <c r="Z858" s="543" t="s">
        <v>360</v>
      </c>
      <c r="AA858" s="543"/>
      <c r="AB858" s="544" t="s">
        <v>2376</v>
      </c>
      <c r="AC858" s="543" t="s">
        <v>3439</v>
      </c>
      <c r="AD858" s="507" t="s">
        <v>362</v>
      </c>
      <c r="AE858" s="502">
        <v>1.1132</v>
      </c>
      <c r="AF858" s="503">
        <f t="shared" si="293"/>
        <v>3096.9224</v>
      </c>
      <c r="AG858" s="1295"/>
      <c r="AH858" s="488" t="s">
        <v>510</v>
      </c>
      <c r="AI858" s="488" t="s">
        <v>112</v>
      </c>
      <c r="AJ858" s="504"/>
      <c r="AK858" s="502">
        <f>I858</f>
        <v>2782</v>
      </c>
      <c r="AL858" s="502"/>
      <c r="AM858" s="1218"/>
      <c r="AN858" s="1601">
        <f>I858</f>
        <v>2782</v>
      </c>
      <c r="AO858" s="502"/>
      <c r="AP858" s="502"/>
      <c r="AQ858" s="1296"/>
      <c r="AR858" s="438"/>
      <c r="AS858" s="1297"/>
      <c r="AT858" s="1297"/>
      <c r="AU858" s="502"/>
      <c r="AV858" s="1612">
        <f t="shared" si="294"/>
        <v>333.84</v>
      </c>
      <c r="AW858" s="1298"/>
      <c r="AX858" s="502">
        <f t="shared" si="295"/>
        <v>2782</v>
      </c>
      <c r="AY858" s="502"/>
      <c r="AZ858" s="502"/>
      <c r="BA858" s="502"/>
      <c r="BB858" s="502"/>
      <c r="BC858" s="502"/>
      <c r="BD858" s="502"/>
      <c r="BE858" s="502"/>
      <c r="BF858" s="502"/>
      <c r="BG858" s="502"/>
      <c r="BH858" s="502"/>
      <c r="BI858" s="502"/>
      <c r="BJ858" s="502"/>
      <c r="BK858" s="502"/>
      <c r="BL858" s="502"/>
      <c r="BM858" s="502"/>
      <c r="BN858" s="502"/>
      <c r="BO858" s="1296"/>
      <c r="BP858" s="1296">
        <f>I858/13</f>
        <v>214</v>
      </c>
      <c r="BQ858" s="1218"/>
      <c r="BR858" s="1297"/>
      <c r="BS858" s="1297"/>
      <c r="BT858" s="502"/>
      <c r="BU858" s="502"/>
      <c r="BV858" s="1296"/>
      <c r="BW858" s="1218"/>
      <c r="BX858" s="1218"/>
      <c r="BY858" s="1218"/>
      <c r="BZ858" s="1218"/>
      <c r="CA858" s="1218"/>
      <c r="CB858" s="1218"/>
      <c r="CC858" s="1218"/>
      <c r="CD858" s="1218">
        <f t="shared" si="289"/>
        <v>0</v>
      </c>
      <c r="CE858" s="1218">
        <f t="shared" si="290"/>
        <v>0</v>
      </c>
      <c r="CF858" s="502">
        <f t="shared" si="291"/>
        <v>0</v>
      </c>
      <c r="CG858" s="1218">
        <f t="shared" si="286"/>
        <v>0</v>
      </c>
      <c r="CH858" s="1299"/>
      <c r="CI858" s="1299"/>
      <c r="CJ858" s="1297"/>
      <c r="CK858" s="502"/>
      <c r="CL858" s="502"/>
      <c r="CM858" s="293"/>
      <c r="CN858" s="293"/>
      <c r="CO858" s="293"/>
      <c r="CP858" s="293"/>
      <c r="CQ858" s="293"/>
      <c r="CR858" s="293"/>
      <c r="CS858" s="293"/>
      <c r="CT858" s="293"/>
      <c r="CU858" s="293"/>
      <c r="CV858" s="293"/>
      <c r="CW858" s="293"/>
      <c r="CX858" s="293"/>
      <c r="CY858" s="293"/>
      <c r="CZ858" s="293"/>
      <c r="DA858" s="293"/>
      <c r="DB858" s="293"/>
      <c r="DC858" s="293"/>
      <c r="DD858" s="293"/>
      <c r="DE858" s="293"/>
      <c r="DF858" s="293"/>
      <c r="DG858" s="293"/>
    </row>
    <row r="859" s="1180" customFormat="1" customHeight="1" spans="1:111">
      <c r="A859" s="1289">
        <v>46182</v>
      </c>
      <c r="B859" s="1417" t="s">
        <v>521</v>
      </c>
      <c r="C859" s="1434" t="s">
        <v>101</v>
      </c>
      <c r="D859" s="1435">
        <v>4500211292</v>
      </c>
      <c r="E859" s="1436">
        <v>21785400</v>
      </c>
      <c r="F859" s="1437" t="s">
        <v>3441</v>
      </c>
      <c r="G859" s="1739" t="s">
        <v>3244</v>
      </c>
      <c r="H859" s="1454" t="s">
        <v>804</v>
      </c>
      <c r="I859" s="1439">
        <v>132</v>
      </c>
      <c r="J859" s="1434">
        <v>0</v>
      </c>
      <c r="K859" s="1434">
        <v>6</v>
      </c>
      <c r="L859" s="1597">
        <f t="shared" si="283"/>
        <v>22</v>
      </c>
      <c r="M859" s="507">
        <v>46272</v>
      </c>
      <c r="N859" s="507">
        <v>46268</v>
      </c>
      <c r="O859" s="507"/>
      <c r="P859" s="506"/>
      <c r="Q859" s="506"/>
      <c r="R859" s="504"/>
      <c r="S859" s="504"/>
      <c r="T859" s="506"/>
      <c r="U859" s="500">
        <f t="shared" si="288"/>
        <v>-132</v>
      </c>
      <c r="V859" s="504"/>
      <c r="W859" s="1300">
        <v>46239</v>
      </c>
      <c r="X859" s="1294" t="s">
        <v>107</v>
      </c>
      <c r="Y859" s="1294" t="s">
        <v>3435</v>
      </c>
      <c r="Z859" s="543" t="s">
        <v>360</v>
      </c>
      <c r="AA859" s="543"/>
      <c r="AB859" s="544" t="s">
        <v>2376</v>
      </c>
      <c r="AC859" s="1528" t="s">
        <v>3442</v>
      </c>
      <c r="AD859" s="507" t="s">
        <v>362</v>
      </c>
      <c r="AE859" s="502">
        <v>8.5</v>
      </c>
      <c r="AF859" s="503">
        <f t="shared" si="293"/>
        <v>1122</v>
      </c>
      <c r="AG859" s="1295"/>
      <c r="AH859" s="504" t="s">
        <v>2727</v>
      </c>
      <c r="AI859" s="504" t="s">
        <v>112</v>
      </c>
      <c r="AJ859" s="504"/>
      <c r="AK859" s="327">
        <f>I859*2</f>
        <v>264</v>
      </c>
      <c r="AL859" s="502"/>
      <c r="AM859" s="1218"/>
      <c r="AN859" s="1601"/>
      <c r="AO859" s="502"/>
      <c r="AP859" s="502"/>
      <c r="AQ859" s="1296"/>
      <c r="AR859" s="327">
        <f>I859*2</f>
        <v>264</v>
      </c>
      <c r="AS859" s="1297"/>
      <c r="AT859" s="1297"/>
      <c r="AU859" s="502"/>
      <c r="AV859" s="1612">
        <f t="shared" si="294"/>
        <v>15.84</v>
      </c>
      <c r="AW859" s="1298"/>
      <c r="AX859" s="502">
        <f t="shared" si="295"/>
        <v>132</v>
      </c>
      <c r="AY859" s="502"/>
      <c r="AZ859" s="502"/>
      <c r="BA859" s="502"/>
      <c r="BB859" s="502"/>
      <c r="BC859" s="502"/>
      <c r="BD859" s="502"/>
      <c r="BE859" s="502"/>
      <c r="BF859" s="502"/>
      <c r="BG859" s="502"/>
      <c r="BH859" s="502"/>
      <c r="BI859" s="502"/>
      <c r="BJ859" s="502"/>
      <c r="BK859" s="502"/>
      <c r="BL859" s="502"/>
      <c r="BM859" s="502"/>
      <c r="BN859" s="502"/>
      <c r="BO859" s="1296"/>
      <c r="BP859" s="1296"/>
      <c r="BQ859" s="1218"/>
      <c r="BR859" s="1297"/>
      <c r="BS859" s="1297"/>
      <c r="BT859" s="502"/>
      <c r="BU859" s="502"/>
      <c r="BV859" s="1296"/>
      <c r="BW859" s="1218"/>
      <c r="BX859" s="1218"/>
      <c r="BY859" s="1218"/>
      <c r="BZ859" s="1218"/>
      <c r="CA859" s="1218"/>
      <c r="CB859" s="1218"/>
      <c r="CC859" s="1218"/>
      <c r="CD859" s="1218">
        <f t="shared" si="289"/>
        <v>0</v>
      </c>
      <c r="CE859" s="1218">
        <f t="shared" si="290"/>
        <v>0</v>
      </c>
      <c r="CF859" s="502">
        <f t="shared" si="291"/>
        <v>0</v>
      </c>
      <c r="CG859" s="1218">
        <f t="shared" si="286"/>
        <v>0</v>
      </c>
      <c r="CH859" s="1299"/>
      <c r="CI859" s="1299"/>
      <c r="CJ859" s="1297"/>
      <c r="CK859" s="502"/>
      <c r="CL859" s="502"/>
      <c r="CM859" s="293"/>
      <c r="CN859" s="293"/>
      <c r="CO859" s="293"/>
      <c r="CP859" s="293"/>
      <c r="CQ859" s="293"/>
      <c r="CR859" s="293"/>
      <c r="CS859" s="293"/>
      <c r="CT859" s="293"/>
      <c r="CU859" s="293"/>
      <c r="CV859" s="293"/>
      <c r="CW859" s="293"/>
      <c r="CX859" s="293"/>
      <c r="CY859" s="293"/>
      <c r="CZ859" s="293"/>
      <c r="DA859" s="293"/>
      <c r="DB859" s="293"/>
      <c r="DC859" s="293"/>
      <c r="DD859" s="293"/>
      <c r="DE859" s="293"/>
      <c r="DF859" s="293"/>
      <c r="DG859" s="293"/>
    </row>
    <row r="860" s="1177" customFormat="1" customHeight="1" spans="1:111">
      <c r="A860" s="1289">
        <v>46182</v>
      </c>
      <c r="B860" s="543" t="s">
        <v>521</v>
      </c>
      <c r="C860" s="504" t="s">
        <v>101</v>
      </c>
      <c r="D860" s="1305">
        <v>4500211292</v>
      </c>
      <c r="E860" s="506">
        <v>21785478</v>
      </c>
      <c r="F860" s="502" t="s">
        <v>3443</v>
      </c>
      <c r="G860" s="1740" t="s">
        <v>3244</v>
      </c>
      <c r="H860" s="504" t="s">
        <v>804</v>
      </c>
      <c r="I860" s="1290">
        <v>180</v>
      </c>
      <c r="J860" s="504">
        <v>0</v>
      </c>
      <c r="K860" s="504">
        <v>6</v>
      </c>
      <c r="L860" s="1291">
        <f t="shared" si="283"/>
        <v>30</v>
      </c>
      <c r="M860" s="501">
        <v>46272</v>
      </c>
      <c r="N860" s="501">
        <v>46268</v>
      </c>
      <c r="O860" s="501"/>
      <c r="P860" s="506"/>
      <c r="Q860" s="506"/>
      <c r="R860" s="504"/>
      <c r="S860" s="504"/>
      <c r="T860" s="506"/>
      <c r="U860" s="500">
        <f t="shared" si="288"/>
        <v>-180</v>
      </c>
      <c r="V860" s="504"/>
      <c r="W860" s="1300">
        <v>46239</v>
      </c>
      <c r="X860" s="1294" t="s">
        <v>107</v>
      </c>
      <c r="Y860" s="1294" t="s">
        <v>3435</v>
      </c>
      <c r="Z860" s="543" t="s">
        <v>360</v>
      </c>
      <c r="AA860" s="543"/>
      <c r="AB860" s="544" t="s">
        <v>2376</v>
      </c>
      <c r="AC860" s="1528" t="s">
        <v>3442</v>
      </c>
      <c r="AD860" s="501" t="s">
        <v>362</v>
      </c>
      <c r="AE860" s="502">
        <v>8.5</v>
      </c>
      <c r="AF860" s="503">
        <f t="shared" si="293"/>
        <v>1530</v>
      </c>
      <c r="AG860" s="1295"/>
      <c r="AH860" s="504" t="s">
        <v>2727</v>
      </c>
      <c r="AI860" s="504" t="s">
        <v>112</v>
      </c>
      <c r="AJ860" s="504"/>
      <c r="AK860" s="327">
        <f>I860*2</f>
        <v>360</v>
      </c>
      <c r="AL860" s="502"/>
      <c r="AM860" s="1218"/>
      <c r="AN860" s="502"/>
      <c r="AO860" s="502"/>
      <c r="AP860" s="502"/>
      <c r="AQ860" s="1296"/>
      <c r="AR860" s="327">
        <f>I860*2</f>
        <v>360</v>
      </c>
      <c r="AS860" s="1297"/>
      <c r="AT860" s="1297"/>
      <c r="AU860" s="502"/>
      <c r="AV860" s="1298">
        <f t="shared" si="294"/>
        <v>21.6</v>
      </c>
      <c r="AW860" s="1298"/>
      <c r="AX860" s="502">
        <f t="shared" si="295"/>
        <v>180</v>
      </c>
      <c r="AY860" s="502"/>
      <c r="AZ860" s="502"/>
      <c r="BA860" s="502"/>
      <c r="BB860" s="502"/>
      <c r="BC860" s="502"/>
      <c r="BD860" s="502"/>
      <c r="BE860" s="502"/>
      <c r="BF860" s="502"/>
      <c r="BG860" s="502"/>
      <c r="BH860" s="502"/>
      <c r="BI860" s="502"/>
      <c r="BJ860" s="502"/>
      <c r="BK860" s="502"/>
      <c r="BL860" s="502"/>
      <c r="BM860" s="502"/>
      <c r="BN860" s="502"/>
      <c r="BO860" s="1296"/>
      <c r="BP860" s="1296"/>
      <c r="BQ860" s="1218"/>
      <c r="BR860" s="1297"/>
      <c r="BS860" s="1297"/>
      <c r="BT860" s="502"/>
      <c r="BU860" s="502"/>
      <c r="BV860" s="1296"/>
      <c r="BW860" s="1218"/>
      <c r="BX860" s="1218"/>
      <c r="BY860" s="1218"/>
      <c r="BZ860" s="1218"/>
      <c r="CA860" s="1218"/>
      <c r="CB860" s="1218"/>
      <c r="CC860" s="1218"/>
      <c r="CD860" s="1218">
        <f t="shared" si="289"/>
        <v>0</v>
      </c>
      <c r="CE860" s="1218">
        <f t="shared" si="290"/>
        <v>0</v>
      </c>
      <c r="CF860" s="502">
        <f t="shared" si="291"/>
        <v>0</v>
      </c>
      <c r="CG860" s="1218">
        <f t="shared" si="286"/>
        <v>0</v>
      </c>
      <c r="CH860" s="1299"/>
      <c r="CI860" s="1299"/>
      <c r="CJ860" s="1297"/>
      <c r="CK860" s="502"/>
      <c r="CL860" s="502"/>
      <c r="CM860" s="293"/>
      <c r="CN860" s="293"/>
      <c r="CO860" s="293"/>
      <c r="CP860" s="293"/>
      <c r="CQ860" s="293"/>
      <c r="CR860" s="293"/>
      <c r="CS860" s="293"/>
      <c r="CT860" s="293"/>
      <c r="CU860" s="293"/>
      <c r="CV860" s="293"/>
      <c r="CW860" s="293"/>
      <c r="CX860" s="293"/>
      <c r="CY860" s="293"/>
      <c r="CZ860" s="293"/>
      <c r="DA860" s="293"/>
      <c r="DB860" s="293"/>
      <c r="DC860" s="293"/>
      <c r="DD860" s="293"/>
      <c r="DE860" s="293"/>
      <c r="DF860" s="293"/>
      <c r="DG860" s="293"/>
    </row>
    <row r="861" s="1177" customFormat="1" customHeight="1" spans="1:111">
      <c r="A861" s="1289">
        <v>46182</v>
      </c>
      <c r="B861" s="1417" t="s">
        <v>521</v>
      </c>
      <c r="C861" s="1434" t="s">
        <v>101</v>
      </c>
      <c r="D861" s="1741">
        <v>4500211292</v>
      </c>
      <c r="E861" s="1292">
        <v>21802513</v>
      </c>
      <c r="F861" s="1601" t="s">
        <v>3444</v>
      </c>
      <c r="G861" s="1742" t="s">
        <v>3232</v>
      </c>
      <c r="H861" s="504" t="s">
        <v>194</v>
      </c>
      <c r="I861" s="1439">
        <v>221</v>
      </c>
      <c r="J861" s="1434">
        <v>0</v>
      </c>
      <c r="K861" s="1434">
        <v>13</v>
      </c>
      <c r="L861" s="1291">
        <f t="shared" si="283"/>
        <v>17</v>
      </c>
      <c r="M861" s="507">
        <v>46272</v>
      </c>
      <c r="N861" s="507">
        <v>46268</v>
      </c>
      <c r="O861" s="507"/>
      <c r="P861" s="506"/>
      <c r="Q861" s="506"/>
      <c r="R861" s="504"/>
      <c r="S861" s="504"/>
      <c r="T861" s="506"/>
      <c r="U861" s="1313">
        <f t="shared" si="288"/>
        <v>-221</v>
      </c>
      <c r="V861" s="504"/>
      <c r="W861" s="1300">
        <v>46239</v>
      </c>
      <c r="X861" s="1294" t="s">
        <v>107</v>
      </c>
      <c r="Y861" s="1294" t="s">
        <v>3435</v>
      </c>
      <c r="Z861" s="543" t="s">
        <v>360</v>
      </c>
      <c r="AA861" s="543"/>
      <c r="AB861" s="544" t="s">
        <v>2376</v>
      </c>
      <c r="AC861" s="1417" t="s">
        <v>3445</v>
      </c>
      <c r="AD861" s="507" t="s">
        <v>362</v>
      </c>
      <c r="AE861" s="502">
        <v>1.124</v>
      </c>
      <c r="AF861" s="503">
        <f t="shared" si="293"/>
        <v>248.404</v>
      </c>
      <c r="AG861" s="1295"/>
      <c r="AH861" s="488" t="s">
        <v>510</v>
      </c>
      <c r="AI861" s="488" t="s">
        <v>112</v>
      </c>
      <c r="AJ861" s="504"/>
      <c r="AK861" s="502">
        <f t="shared" ref="AK861:AK867" si="296">I861</f>
        <v>221</v>
      </c>
      <c r="AL861" s="502"/>
      <c r="AM861" s="1218"/>
      <c r="AN861" s="1437">
        <f>I861</f>
        <v>221</v>
      </c>
      <c r="AO861" s="1437"/>
      <c r="AP861" s="502"/>
      <c r="AQ861" s="1601"/>
      <c r="AR861" s="520"/>
      <c r="AS861" s="1601"/>
      <c r="AT861" s="1601"/>
      <c r="AU861" s="1601"/>
      <c r="AV861" s="1298">
        <f t="shared" si="294"/>
        <v>26.52</v>
      </c>
      <c r="AW861" s="1612"/>
      <c r="AX861" s="502">
        <f t="shared" si="295"/>
        <v>221</v>
      </c>
      <c r="AY861" s="502"/>
      <c r="AZ861" s="502"/>
      <c r="BA861" s="502"/>
      <c r="BB861" s="502"/>
      <c r="BC861" s="502"/>
      <c r="BD861" s="502"/>
      <c r="BE861" s="502"/>
      <c r="BF861" s="502"/>
      <c r="BG861" s="502"/>
      <c r="BH861" s="502"/>
      <c r="BI861" s="502"/>
      <c r="BJ861" s="502"/>
      <c r="BK861" s="502"/>
      <c r="BL861" s="502"/>
      <c r="BM861" s="502"/>
      <c r="BN861" s="502"/>
      <c r="BO861" s="1296"/>
      <c r="BP861" s="1296">
        <f>I861/13</f>
        <v>17</v>
      </c>
      <c r="BQ861" s="1218"/>
      <c r="BR861" s="1297"/>
      <c r="BS861" s="1297"/>
      <c r="BT861" s="502"/>
      <c r="BU861" s="502"/>
      <c r="BV861" s="1296"/>
      <c r="BW861" s="1218"/>
      <c r="BX861" s="1218"/>
      <c r="BY861" s="1218"/>
      <c r="BZ861" s="1218"/>
      <c r="CA861" s="1218"/>
      <c r="CB861" s="1218"/>
      <c r="CC861" s="1218"/>
      <c r="CD861" s="1218">
        <f t="shared" si="289"/>
        <v>0</v>
      </c>
      <c r="CE861" s="1218">
        <f t="shared" si="290"/>
        <v>0</v>
      </c>
      <c r="CF861" s="502">
        <f t="shared" si="291"/>
        <v>0</v>
      </c>
      <c r="CG861" s="1218">
        <f t="shared" si="286"/>
        <v>0</v>
      </c>
      <c r="CH861" s="1299"/>
      <c r="CI861" s="1299"/>
      <c r="CJ861" s="1297"/>
      <c r="CK861" s="502"/>
      <c r="CL861" s="502"/>
      <c r="CM861" s="293"/>
      <c r="CN861" s="293"/>
      <c r="CO861" s="293"/>
      <c r="CP861" s="293"/>
      <c r="CQ861" s="293"/>
      <c r="CR861" s="293"/>
      <c r="CS861" s="293"/>
      <c r="CT861" s="293"/>
      <c r="CU861" s="293"/>
      <c r="CV861" s="293"/>
      <c r="CW861" s="293"/>
      <c r="CX861" s="293"/>
      <c r="CY861" s="293"/>
      <c r="CZ861" s="293"/>
      <c r="DA861" s="293"/>
      <c r="DB861" s="293"/>
      <c r="DC861" s="293"/>
      <c r="DD861" s="293"/>
      <c r="DE861" s="293"/>
      <c r="DF861" s="293"/>
      <c r="DG861" s="293"/>
    </row>
    <row r="862" s="1180" customFormat="1" customHeight="1" spans="1:111">
      <c r="A862" s="1289">
        <v>46182</v>
      </c>
      <c r="B862" s="1417" t="s">
        <v>521</v>
      </c>
      <c r="C862" s="1434" t="s">
        <v>101</v>
      </c>
      <c r="D862" s="1435">
        <v>4500211292</v>
      </c>
      <c r="E862" s="1436">
        <v>21802514</v>
      </c>
      <c r="F862" s="1437" t="s">
        <v>3446</v>
      </c>
      <c r="G862" s="1743" t="s">
        <v>3232</v>
      </c>
      <c r="H862" s="504" t="s">
        <v>194</v>
      </c>
      <c r="I862" s="1439">
        <v>221</v>
      </c>
      <c r="J862" s="1434">
        <v>0</v>
      </c>
      <c r="K862" s="1434">
        <v>13</v>
      </c>
      <c r="L862" s="1291">
        <f t="shared" si="283"/>
        <v>17</v>
      </c>
      <c r="M862" s="507">
        <v>46272</v>
      </c>
      <c r="N862" s="507">
        <v>46268</v>
      </c>
      <c r="O862" s="507"/>
      <c r="P862" s="506"/>
      <c r="Q862" s="506"/>
      <c r="R862" s="504"/>
      <c r="S862" s="504"/>
      <c r="T862" s="506"/>
      <c r="U862" s="1313">
        <f t="shared" si="288"/>
        <v>-221</v>
      </c>
      <c r="V862" s="504"/>
      <c r="W862" s="1300">
        <v>46239</v>
      </c>
      <c r="X862" s="1294" t="s">
        <v>107</v>
      </c>
      <c r="Y862" s="1294" t="s">
        <v>3435</v>
      </c>
      <c r="Z862" s="543" t="s">
        <v>360</v>
      </c>
      <c r="AA862" s="543"/>
      <c r="AB862" s="544" t="s">
        <v>2376</v>
      </c>
      <c r="AC862" s="1417" t="s">
        <v>3445</v>
      </c>
      <c r="AD862" s="507" t="s">
        <v>362</v>
      </c>
      <c r="AE862" s="502">
        <v>1.124</v>
      </c>
      <c r="AF862" s="503">
        <f t="shared" si="293"/>
        <v>248.404</v>
      </c>
      <c r="AG862" s="1295"/>
      <c r="AH862" s="488" t="s">
        <v>510</v>
      </c>
      <c r="AI862" s="488" t="s">
        <v>112</v>
      </c>
      <c r="AJ862" s="504"/>
      <c r="AK862" s="502">
        <f t="shared" si="296"/>
        <v>221</v>
      </c>
      <c r="AL862" s="502"/>
      <c r="AM862" s="1218"/>
      <c r="AN862" s="502">
        <f>I862</f>
        <v>221</v>
      </c>
      <c r="AO862" s="502"/>
      <c r="AP862" s="502"/>
      <c r="AQ862" s="1296"/>
      <c r="AR862" s="438"/>
      <c r="AS862" s="1297"/>
      <c r="AT862" s="1297"/>
      <c r="AU862" s="502"/>
      <c r="AV862" s="1298">
        <f t="shared" si="294"/>
        <v>26.52</v>
      </c>
      <c r="AW862" s="1298"/>
      <c r="AX862" s="502">
        <f t="shared" si="295"/>
        <v>221</v>
      </c>
      <c r="AY862" s="502"/>
      <c r="AZ862" s="502"/>
      <c r="BA862" s="502"/>
      <c r="BB862" s="502"/>
      <c r="BC862" s="502"/>
      <c r="BD862" s="502"/>
      <c r="BE862" s="502"/>
      <c r="BF862" s="502"/>
      <c r="BG862" s="502"/>
      <c r="BH862" s="502"/>
      <c r="BI862" s="502"/>
      <c r="BJ862" s="502"/>
      <c r="BK862" s="502"/>
      <c r="BL862" s="502"/>
      <c r="BM862" s="502"/>
      <c r="BN862" s="502"/>
      <c r="BO862" s="1296"/>
      <c r="BP862" s="1296">
        <f>I862/13</f>
        <v>17</v>
      </c>
      <c r="BQ862" s="1218"/>
      <c r="BR862" s="1297"/>
      <c r="BS862" s="1297"/>
      <c r="BT862" s="502"/>
      <c r="BU862" s="502"/>
      <c r="BV862" s="1296"/>
      <c r="BW862" s="1218"/>
      <c r="BX862" s="1218"/>
      <c r="BY862" s="1218"/>
      <c r="BZ862" s="1218"/>
      <c r="CA862" s="1218"/>
      <c r="CB862" s="1218"/>
      <c r="CC862" s="1218"/>
      <c r="CD862" s="1218">
        <f t="shared" si="289"/>
        <v>0</v>
      </c>
      <c r="CE862" s="1218">
        <f t="shared" si="290"/>
        <v>0</v>
      </c>
      <c r="CF862" s="502">
        <f t="shared" si="291"/>
        <v>0</v>
      </c>
      <c r="CG862" s="1218">
        <f t="shared" si="286"/>
        <v>0</v>
      </c>
      <c r="CH862" s="1299"/>
      <c r="CI862" s="1299"/>
      <c r="CJ862" s="1297"/>
      <c r="CK862" s="502"/>
      <c r="CL862" s="502"/>
      <c r="CM862" s="293"/>
      <c r="CN862" s="293"/>
      <c r="CO862" s="293"/>
      <c r="CP862" s="293"/>
      <c r="CQ862" s="293"/>
      <c r="CR862" s="293"/>
      <c r="CS862" s="293"/>
      <c r="CT862" s="293"/>
      <c r="CU862" s="293"/>
      <c r="CV862" s="293"/>
      <c r="CW862" s="293"/>
      <c r="CX862" s="293"/>
      <c r="CY862" s="293"/>
      <c r="CZ862" s="293"/>
      <c r="DA862" s="293"/>
      <c r="DB862" s="293"/>
      <c r="DC862" s="293"/>
      <c r="DD862" s="293"/>
      <c r="DE862" s="293"/>
      <c r="DF862" s="293"/>
      <c r="DG862" s="293"/>
    </row>
    <row r="863" s="294" customFormat="1" customHeight="1" spans="1:111">
      <c r="A863" s="1309">
        <v>46230</v>
      </c>
      <c r="B863" s="544" t="s">
        <v>525</v>
      </c>
      <c r="C863" s="488" t="s">
        <v>508</v>
      </c>
      <c r="D863" s="327">
        <v>4500211288</v>
      </c>
      <c r="E863" s="488">
        <v>21948556</v>
      </c>
      <c r="F863" s="327" t="s">
        <v>3447</v>
      </c>
      <c r="G863" s="1744" t="s">
        <v>3232</v>
      </c>
      <c r="H863" s="488" t="s">
        <v>194</v>
      </c>
      <c r="I863" s="1311">
        <v>11154</v>
      </c>
      <c r="J863" s="488">
        <v>0</v>
      </c>
      <c r="K863" s="488">
        <v>13</v>
      </c>
      <c r="L863" s="1544">
        <f t="shared" si="283"/>
        <v>858</v>
      </c>
      <c r="M863" s="1312">
        <v>46272</v>
      </c>
      <c r="N863" s="1312">
        <v>46268</v>
      </c>
      <c r="O863" s="1312"/>
      <c r="P863" s="1313"/>
      <c r="Q863" s="1313"/>
      <c r="R863" s="488"/>
      <c r="S863" s="488"/>
      <c r="T863" s="1313"/>
      <c r="U863" s="1313">
        <f t="shared" si="288"/>
        <v>-11154</v>
      </c>
      <c r="V863" s="488"/>
      <c r="W863" s="1300">
        <v>46239</v>
      </c>
      <c r="X863" s="1301" t="s">
        <v>107</v>
      </c>
      <c r="Y863" s="1294" t="s">
        <v>3435</v>
      </c>
      <c r="Z863" s="544" t="s">
        <v>3448</v>
      </c>
      <c r="AA863" s="544"/>
      <c r="AB863" s="544"/>
      <c r="AC863" s="1294" t="s">
        <v>3449</v>
      </c>
      <c r="AD863" s="1312" t="s">
        <v>362</v>
      </c>
      <c r="AE863" s="327">
        <v>1.1039</v>
      </c>
      <c r="AF863" s="1315">
        <v>12312.9006</v>
      </c>
      <c r="AG863" s="1295"/>
      <c r="AH863" s="488" t="s">
        <v>510</v>
      </c>
      <c r="AI863" s="488" t="s">
        <v>112</v>
      </c>
      <c r="AJ863" s="488"/>
      <c r="AK863" s="327">
        <f t="shared" si="296"/>
        <v>11154</v>
      </c>
      <c r="AL863" s="327"/>
      <c r="AM863" s="327"/>
      <c r="AN863" s="327">
        <f>I863</f>
        <v>11154</v>
      </c>
      <c r="AO863" s="327"/>
      <c r="AP863" s="327"/>
      <c r="AQ863" s="1316"/>
      <c r="AR863" s="327"/>
      <c r="AS863" s="1317"/>
      <c r="AT863" s="1317"/>
      <c r="AU863" s="327"/>
      <c r="AV863" s="1318">
        <f>I863*0.06</f>
        <v>669.24</v>
      </c>
      <c r="AW863" s="1318"/>
      <c r="AX863" s="327">
        <f t="shared" si="295"/>
        <v>11154</v>
      </c>
      <c r="AY863" s="327"/>
      <c r="AZ863" s="327"/>
      <c r="BA863" s="327"/>
      <c r="BB863" s="327"/>
      <c r="BC863" s="327"/>
      <c r="BD863" s="327"/>
      <c r="BE863" s="327"/>
      <c r="BF863" s="327"/>
      <c r="BG863" s="327"/>
      <c r="BH863" s="327"/>
      <c r="BI863" s="327"/>
      <c r="BJ863" s="327"/>
      <c r="BK863" s="327"/>
      <c r="BL863" s="327"/>
      <c r="BM863" s="327"/>
      <c r="BN863" s="327"/>
      <c r="BO863" s="1316"/>
      <c r="BP863" s="1316">
        <f>I863/13</f>
        <v>858</v>
      </c>
      <c r="BQ863" s="327"/>
      <c r="BR863" s="1317"/>
      <c r="BS863" s="1317"/>
      <c r="BT863" s="327"/>
      <c r="BU863" s="327"/>
      <c r="BV863" s="1316"/>
      <c r="BW863" s="327"/>
      <c r="BX863" s="327"/>
      <c r="BY863" s="327"/>
      <c r="BZ863" s="327"/>
      <c r="CA863" s="327"/>
      <c r="CB863" s="327"/>
      <c r="CC863" s="327"/>
      <c r="CD863" s="327">
        <f t="shared" si="289"/>
        <v>0</v>
      </c>
      <c r="CE863" s="327">
        <f t="shared" si="290"/>
        <v>0</v>
      </c>
      <c r="CF863" s="327">
        <f t="shared" si="291"/>
        <v>0</v>
      </c>
      <c r="CG863" s="327">
        <f t="shared" si="286"/>
        <v>0</v>
      </c>
      <c r="CH863" s="1317"/>
      <c r="CI863" s="1317"/>
      <c r="CJ863" s="1317"/>
      <c r="CK863" s="327"/>
      <c r="CL863" s="327"/>
      <c r="CM863" s="1180"/>
      <c r="CN863" s="1180"/>
      <c r="CO863" s="1180"/>
      <c r="CP863" s="1180"/>
      <c r="CQ863" s="1180"/>
      <c r="CR863" s="1180"/>
      <c r="CS863" s="1180"/>
      <c r="CT863" s="1180"/>
      <c r="CU863" s="1180"/>
      <c r="CV863" s="1180"/>
      <c r="CW863" s="1180"/>
      <c r="CX863" s="1180"/>
      <c r="CY863" s="1180"/>
      <c r="CZ863" s="1180"/>
      <c r="DA863" s="1180"/>
      <c r="DB863" s="1180"/>
      <c r="DC863" s="1180"/>
      <c r="DD863" s="1180"/>
      <c r="DE863" s="1180"/>
      <c r="DF863" s="1180"/>
      <c r="DG863" s="1180"/>
    </row>
    <row r="864" s="293" customFormat="1" customHeight="1" spans="1:111">
      <c r="A864" s="1309">
        <v>46230</v>
      </c>
      <c r="B864" s="544" t="s">
        <v>521</v>
      </c>
      <c r="C864" s="488" t="s">
        <v>101</v>
      </c>
      <c r="D864" s="327">
        <v>4500211292</v>
      </c>
      <c r="E864" s="488">
        <v>21948566</v>
      </c>
      <c r="F864" s="327" t="s">
        <v>3450</v>
      </c>
      <c r="G864" s="1530" t="s">
        <v>3232</v>
      </c>
      <c r="H864" s="488" t="s">
        <v>194</v>
      </c>
      <c r="I864" s="1311">
        <v>832</v>
      </c>
      <c r="J864" s="488">
        <v>0</v>
      </c>
      <c r="K864" s="488">
        <v>13</v>
      </c>
      <c r="L864" s="1544">
        <f t="shared" si="283"/>
        <v>64</v>
      </c>
      <c r="M864" s="1312">
        <v>46272</v>
      </c>
      <c r="N864" s="1312">
        <v>46268</v>
      </c>
      <c r="O864" s="1312"/>
      <c r="P864" s="1313"/>
      <c r="Q864" s="1313"/>
      <c r="R864" s="488"/>
      <c r="S864" s="488"/>
      <c r="T864" s="1313"/>
      <c r="U864" s="1313">
        <f t="shared" si="288"/>
        <v>-832</v>
      </c>
      <c r="V864" s="488"/>
      <c r="W864" s="1300">
        <v>46239</v>
      </c>
      <c r="X864" s="1301" t="s">
        <v>107</v>
      </c>
      <c r="Y864" s="1294" t="s">
        <v>3435</v>
      </c>
      <c r="Z864" s="544" t="s">
        <v>360</v>
      </c>
      <c r="AA864" s="544"/>
      <c r="AB864" s="544"/>
      <c r="AC864" s="1294" t="s">
        <v>3451</v>
      </c>
      <c r="AD864" s="1312" t="s">
        <v>362</v>
      </c>
      <c r="AE864" s="327">
        <v>1.1186</v>
      </c>
      <c r="AF864" s="1315">
        <v>12312.9006</v>
      </c>
      <c r="AG864" s="1295"/>
      <c r="AH864" s="488" t="s">
        <v>510</v>
      </c>
      <c r="AI864" s="488" t="s">
        <v>112</v>
      </c>
      <c r="AJ864" s="488"/>
      <c r="AK864" s="327">
        <f t="shared" si="296"/>
        <v>832</v>
      </c>
      <c r="AL864" s="327"/>
      <c r="AM864" s="327"/>
      <c r="AN864" s="327">
        <f>I864</f>
        <v>832</v>
      </c>
      <c r="AO864" s="327"/>
      <c r="AP864" s="327"/>
      <c r="AQ864" s="1316"/>
      <c r="AR864" s="327"/>
      <c r="AS864" s="1317"/>
      <c r="AT864" s="1317"/>
      <c r="AU864" s="327"/>
      <c r="AV864" s="1318">
        <f>I864*0.06</f>
        <v>49.92</v>
      </c>
      <c r="AW864" s="1318"/>
      <c r="AX864" s="327">
        <f t="shared" si="295"/>
        <v>832</v>
      </c>
      <c r="AY864" s="327"/>
      <c r="AZ864" s="327"/>
      <c r="BA864" s="327"/>
      <c r="BB864" s="327"/>
      <c r="BC864" s="327"/>
      <c r="BD864" s="327"/>
      <c r="BE864" s="327"/>
      <c r="BF864" s="327"/>
      <c r="BG864" s="327"/>
      <c r="BH864" s="327"/>
      <c r="BI864" s="327"/>
      <c r="BJ864" s="327"/>
      <c r="BK864" s="327"/>
      <c r="BL864" s="327"/>
      <c r="BM864" s="327"/>
      <c r="BN864" s="327"/>
      <c r="BO864" s="1316"/>
      <c r="BP864" s="1316">
        <f>I864/13</f>
        <v>64</v>
      </c>
      <c r="BQ864" s="327"/>
      <c r="BR864" s="1317"/>
      <c r="BS864" s="1317"/>
      <c r="BT864" s="327"/>
      <c r="BU864" s="327"/>
      <c r="BV864" s="1316"/>
      <c r="BW864" s="327"/>
      <c r="BX864" s="327"/>
      <c r="BY864" s="327"/>
      <c r="BZ864" s="327"/>
      <c r="CA864" s="327"/>
      <c r="CB864" s="327"/>
      <c r="CC864" s="327"/>
      <c r="CD864" s="327">
        <f t="shared" si="289"/>
        <v>0</v>
      </c>
      <c r="CE864" s="327">
        <f t="shared" si="290"/>
        <v>0</v>
      </c>
      <c r="CF864" s="327">
        <f t="shared" si="291"/>
        <v>0</v>
      </c>
      <c r="CG864" s="327">
        <f t="shared" si="286"/>
        <v>0</v>
      </c>
      <c r="CH864" s="1317"/>
      <c r="CI864" s="1317"/>
      <c r="CJ864" s="1317"/>
      <c r="CK864" s="327"/>
      <c r="CL864" s="327"/>
      <c r="CM864" s="1180"/>
      <c r="CN864" s="1180"/>
      <c r="CO864" s="1180"/>
      <c r="CP864" s="1180"/>
      <c r="CQ864" s="1180"/>
      <c r="CR864" s="1180"/>
      <c r="CS864" s="1180"/>
      <c r="CT864" s="1180"/>
      <c r="CU864" s="1180"/>
      <c r="CV864" s="1180"/>
      <c r="CW864" s="1180"/>
      <c r="CX864" s="1180"/>
      <c r="CY864" s="1180"/>
      <c r="CZ864" s="1180"/>
      <c r="DA864" s="1180"/>
      <c r="DB864" s="1180"/>
      <c r="DC864" s="1180"/>
      <c r="DD864" s="1180"/>
      <c r="DE864" s="1180"/>
      <c r="DF864" s="1180"/>
      <c r="DG864" s="1180"/>
    </row>
    <row r="865" s="1180" customFormat="1" customHeight="1" spans="1:111">
      <c r="A865" s="1309">
        <v>46241</v>
      </c>
      <c r="B865" s="544" t="s">
        <v>3452</v>
      </c>
      <c r="C865" s="488" t="s">
        <v>492</v>
      </c>
      <c r="D865" s="1445">
        <v>4500219260</v>
      </c>
      <c r="E865" s="488"/>
      <c r="F865" s="327" t="s">
        <v>3453</v>
      </c>
      <c r="G865" s="1310" t="s">
        <v>289</v>
      </c>
      <c r="H865" s="488" t="s">
        <v>194</v>
      </c>
      <c r="I865" s="1311">
        <v>156</v>
      </c>
      <c r="J865" s="488">
        <v>0</v>
      </c>
      <c r="K865" s="488">
        <v>13</v>
      </c>
      <c r="L865" s="1544">
        <f t="shared" si="283"/>
        <v>12</v>
      </c>
      <c r="M865" s="1312">
        <v>46272</v>
      </c>
      <c r="N865" s="1312">
        <v>46268</v>
      </c>
      <c r="O865" s="1312"/>
      <c r="P865" s="1313"/>
      <c r="Q865" s="1313"/>
      <c r="R865" s="488"/>
      <c r="S865" s="488"/>
      <c r="T865" s="1313"/>
      <c r="U865" s="1313"/>
      <c r="V865" s="488"/>
      <c r="W865" s="1300" t="s">
        <v>3064</v>
      </c>
      <c r="X865" s="1325" t="s">
        <v>95</v>
      </c>
      <c r="Y865" s="1301" t="s">
        <v>95</v>
      </c>
      <c r="Z865" s="544"/>
      <c r="AA865" s="544"/>
      <c r="AB865" s="544"/>
      <c r="AC865" s="544" t="s">
        <v>3454</v>
      </c>
      <c r="AD865" s="1312" t="s">
        <v>3455</v>
      </c>
      <c r="AE865" s="327">
        <v>1.124</v>
      </c>
      <c r="AF865" s="1315">
        <f>I865*AE865</f>
        <v>175.344</v>
      </c>
      <c r="AG865" s="1295"/>
      <c r="AH865" s="488" t="s">
        <v>199</v>
      </c>
      <c r="AI865" s="488" t="s">
        <v>112</v>
      </c>
      <c r="AJ865" s="488"/>
      <c r="AK865" s="327">
        <f t="shared" si="296"/>
        <v>156</v>
      </c>
      <c r="AL865" s="327"/>
      <c r="AM865" s="327"/>
      <c r="AN865" s="327"/>
      <c r="AO865" s="502"/>
      <c r="AP865" s="502">
        <f>I865</f>
        <v>156</v>
      </c>
      <c r="AQ865" s="1316"/>
      <c r="AR865" s="327"/>
      <c r="AS865" s="1317"/>
      <c r="AT865" s="1317"/>
      <c r="AU865" s="502">
        <f>I865</f>
        <v>156</v>
      </c>
      <c r="AV865" s="1298">
        <f>I865*0.06*2</f>
        <v>18.72</v>
      </c>
      <c r="AW865" s="1318"/>
      <c r="AX865" s="327"/>
      <c r="AY865" s="327"/>
      <c r="AZ865" s="327"/>
      <c r="BA865" s="327"/>
      <c r="BB865" s="327"/>
      <c r="BC865" s="327"/>
      <c r="BD865" s="327"/>
      <c r="BE865" s="327"/>
      <c r="BF865" s="327"/>
      <c r="BG865" s="327"/>
      <c r="BH865" s="327"/>
      <c r="BI865" s="327"/>
      <c r="BJ865" s="327"/>
      <c r="BK865" s="327"/>
      <c r="BL865" s="502">
        <f>I865/13</f>
        <v>12</v>
      </c>
      <c r="BM865" s="502"/>
      <c r="BN865" s="327"/>
      <c r="BO865" s="1316"/>
      <c r="BP865" s="1316"/>
      <c r="BQ865" s="327"/>
      <c r="BR865" s="1317"/>
      <c r="BS865" s="1317"/>
      <c r="BT865" s="327"/>
      <c r="BU865" s="327"/>
      <c r="BV865" s="1316"/>
      <c r="BW865" s="327"/>
      <c r="BX865" s="327"/>
      <c r="BY865" s="327"/>
      <c r="BZ865" s="327"/>
      <c r="CA865" s="327"/>
      <c r="CB865" s="327"/>
      <c r="CC865" s="327"/>
      <c r="CD865" s="1218">
        <f t="shared" si="289"/>
        <v>0</v>
      </c>
      <c r="CE865" s="1218">
        <f t="shared" si="290"/>
        <v>0</v>
      </c>
      <c r="CF865" s="502">
        <f t="shared" si="291"/>
        <v>0</v>
      </c>
      <c r="CG865" s="1218">
        <f t="shared" si="286"/>
        <v>0</v>
      </c>
      <c r="CH865" s="1317"/>
      <c r="CI865" s="1317"/>
      <c r="CJ865" s="1317"/>
      <c r="CK865" s="327"/>
      <c r="CL865" s="327"/>
    </row>
    <row r="866" s="293" customFormat="1" customHeight="1" spans="1:111">
      <c r="A866" s="1670">
        <v>46220</v>
      </c>
      <c r="B866" s="1552" t="s">
        <v>3456</v>
      </c>
      <c r="C866" s="1553" t="s">
        <v>201</v>
      </c>
      <c r="D866" s="1555">
        <v>4500216953</v>
      </c>
      <c r="E866" s="1553" t="s">
        <v>3457</v>
      </c>
      <c r="F866" s="1555" t="s">
        <v>3458</v>
      </c>
      <c r="G866" s="1556" t="s">
        <v>289</v>
      </c>
      <c r="H866" s="1553" t="s">
        <v>194</v>
      </c>
      <c r="I866" s="1557">
        <v>520</v>
      </c>
      <c r="J866" s="1553">
        <v>0</v>
      </c>
      <c r="K866" s="1553">
        <v>13</v>
      </c>
      <c r="L866" s="1675">
        <f t="shared" si="283"/>
        <v>40</v>
      </c>
      <c r="M866" s="1545">
        <v>46273</v>
      </c>
      <c r="N866" s="1545">
        <v>46269</v>
      </c>
      <c r="O866" s="1545"/>
      <c r="P866" s="1621"/>
      <c r="Q866" s="1621"/>
      <c r="R866" s="1553"/>
      <c r="S866" s="1553"/>
      <c r="T866" s="1621"/>
      <c r="U866" s="500">
        <f t="shared" ref="U866:U881" si="297">T866-I866</f>
        <v>-520</v>
      </c>
      <c r="V866" s="1553"/>
      <c r="W866" s="1300" t="s">
        <v>3064</v>
      </c>
      <c r="X866" s="1301" t="s">
        <v>95</v>
      </c>
      <c r="Y866" s="1301" t="s">
        <v>3459</v>
      </c>
      <c r="Z866" s="1552"/>
      <c r="AA866" s="1552"/>
      <c r="AB866" s="1552"/>
      <c r="AC866" s="1552" t="s">
        <v>3460</v>
      </c>
      <c r="AD866" s="1545" t="s">
        <v>3461</v>
      </c>
      <c r="AE866" s="1555">
        <v>1.0864</v>
      </c>
      <c r="AF866" s="1677">
        <f>I866*AE866</f>
        <v>564.928</v>
      </c>
      <c r="AG866" s="1610"/>
      <c r="AH866" s="488" t="s">
        <v>199</v>
      </c>
      <c r="AI866" s="488" t="s">
        <v>112</v>
      </c>
      <c r="AJ866" s="1553"/>
      <c r="AK866" s="327">
        <f t="shared" si="296"/>
        <v>520</v>
      </c>
      <c r="AL866" s="1555"/>
      <c r="AM866" s="1555"/>
      <c r="AN866" s="327"/>
      <c r="AO866" s="502"/>
      <c r="AP866" s="502">
        <f>I866</f>
        <v>520</v>
      </c>
      <c r="AQ866" s="1296"/>
      <c r="AR866" s="438"/>
      <c r="AS866" s="1297"/>
      <c r="AT866" s="1297"/>
      <c r="AU866" s="502">
        <f>I866</f>
        <v>520</v>
      </c>
      <c r="AV866" s="1318"/>
      <c r="AW866" s="1678"/>
      <c r="AX866" s="1555"/>
      <c r="AY866" s="1555"/>
      <c r="AZ866" s="327"/>
      <c r="BA866" s="327"/>
      <c r="BB866" s="1555"/>
      <c r="BC866" s="1555"/>
      <c r="BD866" s="1555"/>
      <c r="BE866" s="1555"/>
      <c r="BF866" s="1555"/>
      <c r="BG866" s="1555"/>
      <c r="BH866" s="1555"/>
      <c r="BI866" s="1555"/>
      <c r="BJ866" s="1555"/>
      <c r="BK866" s="1555"/>
      <c r="BL866" s="1555">
        <f>I866/13</f>
        <v>40</v>
      </c>
      <c r="BM866" s="1555"/>
      <c r="BN866" s="327"/>
      <c r="BO866" s="1679"/>
      <c r="BP866" s="1679"/>
      <c r="BQ866" s="1555"/>
      <c r="BR866" s="1680"/>
      <c r="BS866" s="1680"/>
      <c r="BT866" s="1555"/>
      <c r="BU866" s="1555"/>
      <c r="BV866" s="1679"/>
      <c r="BW866" s="1555"/>
      <c r="BX866" s="1555"/>
      <c r="BY866" s="1555"/>
      <c r="BZ866" s="1555"/>
      <c r="CA866" s="1555"/>
      <c r="CB866" s="1555"/>
      <c r="CC866" s="1555"/>
      <c r="CD866" s="1617">
        <f t="shared" si="289"/>
        <v>0</v>
      </c>
      <c r="CE866" s="1218">
        <f t="shared" si="290"/>
        <v>0</v>
      </c>
      <c r="CF866" s="502">
        <f t="shared" si="291"/>
        <v>0</v>
      </c>
      <c r="CG866" s="1218">
        <f t="shared" si="286"/>
        <v>0</v>
      </c>
      <c r="CH866" s="1680"/>
      <c r="CI866" s="1680"/>
      <c r="CJ866" s="1680"/>
      <c r="CK866" s="1555"/>
      <c r="CL866" s="1555"/>
      <c r="CM866" s="1177"/>
      <c r="CN866" s="1177"/>
      <c r="CO866" s="1177"/>
      <c r="CP866" s="1177"/>
      <c r="CQ866" s="1177"/>
      <c r="CR866" s="1177"/>
      <c r="CS866" s="1177"/>
      <c r="CT866" s="1177"/>
      <c r="CU866" s="1177"/>
      <c r="CV866" s="1177"/>
      <c r="CW866" s="1177"/>
      <c r="CX866" s="1177"/>
      <c r="CY866" s="1177"/>
      <c r="CZ866" s="1177"/>
      <c r="DA866" s="1177"/>
      <c r="DB866" s="1177"/>
      <c r="DC866" s="1177"/>
      <c r="DD866" s="1177"/>
      <c r="DE866" s="1177"/>
      <c r="DF866" s="1177"/>
      <c r="DG866" s="1177"/>
    </row>
    <row r="867" s="294" customFormat="1" customHeight="1" spans="1:111">
      <c r="A867" s="1606">
        <v>46219</v>
      </c>
      <c r="B867" s="1417" t="s">
        <v>230</v>
      </c>
      <c r="C867" s="1434" t="s">
        <v>135</v>
      </c>
      <c r="D867" s="1437">
        <v>4500216668</v>
      </c>
      <c r="E867" s="1434" t="s">
        <v>3462</v>
      </c>
      <c r="F867" s="1681" t="s">
        <v>3463</v>
      </c>
      <c r="G867" s="1743" t="s">
        <v>137</v>
      </c>
      <c r="H867" s="1434" t="s">
        <v>138</v>
      </c>
      <c r="I867" s="1439">
        <v>10000</v>
      </c>
      <c r="J867" s="1434">
        <v>0</v>
      </c>
      <c r="K867" s="1434">
        <v>50</v>
      </c>
      <c r="L867" s="1607">
        <f>I867/K867</f>
        <v>200</v>
      </c>
      <c r="M867" s="1440">
        <v>46273</v>
      </c>
      <c r="N867" s="1440">
        <v>46269</v>
      </c>
      <c r="O867" s="507"/>
      <c r="P867" s="1436"/>
      <c r="Q867" s="1436"/>
      <c r="R867" s="1434"/>
      <c r="S867" s="1434"/>
      <c r="T867" s="1436"/>
      <c r="U867" s="500">
        <f t="shared" si="297"/>
        <v>-10000</v>
      </c>
      <c r="V867" s="1434"/>
      <c r="W867" s="1300">
        <v>46219</v>
      </c>
      <c r="X867" s="1301" t="s">
        <v>95</v>
      </c>
      <c r="Y867" s="1301" t="s">
        <v>3464</v>
      </c>
      <c r="Z867" s="1301" t="s">
        <v>140</v>
      </c>
      <c r="AA867" s="1552"/>
      <c r="AB867" s="1417"/>
      <c r="AC867" s="1552" t="s">
        <v>3465</v>
      </c>
      <c r="AD867" s="507" t="s">
        <v>236</v>
      </c>
      <c r="AE867" s="1437">
        <v>1.0784</v>
      </c>
      <c r="AF867" s="1609">
        <f>I867*AE867</f>
        <v>10784</v>
      </c>
      <c r="AG867" s="1610"/>
      <c r="AH867" s="488" t="s">
        <v>137</v>
      </c>
      <c r="AI867" s="488" t="s">
        <v>112</v>
      </c>
      <c r="AJ867" s="1434"/>
      <c r="AK867" s="1555">
        <f t="shared" si="296"/>
        <v>10000</v>
      </c>
      <c r="AL867" s="1437"/>
      <c r="AM867" s="1617"/>
      <c r="AN867" s="502">
        <f>I867</f>
        <v>10000</v>
      </c>
      <c r="AO867" s="502"/>
      <c r="AP867" s="502"/>
      <c r="AQ867" s="1316"/>
      <c r="AR867" s="327"/>
      <c r="AS867" s="1317"/>
      <c r="AT867" s="1317"/>
      <c r="AU867" s="327"/>
      <c r="AV867" s="1555"/>
      <c r="AW867" s="1612">
        <f>I867</f>
        <v>10000</v>
      </c>
      <c r="AX867" s="1437"/>
      <c r="AY867" s="1437"/>
      <c r="AZ867" s="502"/>
      <c r="BA867" s="502"/>
      <c r="BB867" s="1437"/>
      <c r="BC867" s="1437"/>
      <c r="BD867" s="1437"/>
      <c r="BE867" s="1437"/>
      <c r="BF867" s="1437"/>
      <c r="BG867" s="1437"/>
      <c r="BH867" s="1437"/>
      <c r="BI867" s="1437"/>
      <c r="BJ867" s="1437"/>
      <c r="BK867" s="1437"/>
      <c r="BL867" s="1437"/>
      <c r="BM867" s="1437"/>
      <c r="BN867" s="1745">
        <f>I867/25</f>
        <v>400</v>
      </c>
      <c r="BO867" s="1615"/>
      <c r="BP867" s="1615"/>
      <c r="BQ867" s="1617"/>
      <c r="BR867" s="1616"/>
      <c r="BS867" s="1616"/>
      <c r="BT867" s="1437"/>
      <c r="BU867" s="1437"/>
      <c r="BV867" s="1615"/>
      <c r="BW867" s="1617"/>
      <c r="BX867" s="1746"/>
      <c r="BY867" s="1746"/>
      <c r="BZ867" s="1746"/>
      <c r="CA867" s="1746"/>
      <c r="CB867" s="1746"/>
      <c r="CC867" s="1747"/>
      <c r="CD867" s="1747">
        <f t="shared" si="289"/>
        <v>400</v>
      </c>
      <c r="CE867" s="1218">
        <f t="shared" si="290"/>
        <v>0</v>
      </c>
      <c r="CF867" s="502">
        <f t="shared" si="291"/>
        <v>0</v>
      </c>
      <c r="CG867" s="1218">
        <f t="shared" si="286"/>
        <v>0</v>
      </c>
      <c r="CH867" s="1618"/>
      <c r="CI867" s="1618"/>
      <c r="CJ867" s="1616"/>
      <c r="CK867" s="1437"/>
      <c r="CL867" s="1437"/>
    </row>
    <row r="868" s="294" customFormat="1" customHeight="1" spans="1:111">
      <c r="A868" s="1289">
        <v>46227</v>
      </c>
      <c r="B868" s="543" t="s">
        <v>3466</v>
      </c>
      <c r="C868" s="504" t="s">
        <v>148</v>
      </c>
      <c r="D868" s="1305">
        <v>4500217589</v>
      </c>
      <c r="E868" s="504" t="s">
        <v>3467</v>
      </c>
      <c r="F868" s="502" t="s">
        <v>3468</v>
      </c>
      <c r="G868" s="505" t="s">
        <v>753</v>
      </c>
      <c r="H868" s="504" t="s">
        <v>390</v>
      </c>
      <c r="I868" s="1290">
        <v>2760</v>
      </c>
      <c r="J868" s="504">
        <v>0</v>
      </c>
      <c r="K868" s="504">
        <v>12</v>
      </c>
      <c r="L868" s="1291">
        <f>I868/K868</f>
        <v>230</v>
      </c>
      <c r="M868" s="501">
        <v>46274</v>
      </c>
      <c r="N868" s="501">
        <v>46270</v>
      </c>
      <c r="O868" s="501"/>
      <c r="P868" s="506"/>
      <c r="Q868" s="506"/>
      <c r="R868" s="504"/>
      <c r="S868" s="504"/>
      <c r="T868" s="506"/>
      <c r="U868" s="500">
        <f t="shared" si="297"/>
        <v>-2760</v>
      </c>
      <c r="V868" s="504"/>
      <c r="W868" s="1300" t="s">
        <v>3469</v>
      </c>
      <c r="X868" s="1325" t="s">
        <v>95</v>
      </c>
      <c r="Y868" s="1325" t="s">
        <v>95</v>
      </c>
      <c r="Z868" s="1294" t="s">
        <v>140</v>
      </c>
      <c r="AA868" s="544"/>
      <c r="AB868" s="543"/>
      <c r="AC868" s="544" t="s">
        <v>3470</v>
      </c>
      <c r="AD868" s="501" t="s">
        <v>3471</v>
      </c>
      <c r="AE868" s="502">
        <v>2.5332</v>
      </c>
      <c r="AF868" s="503">
        <f>I868*AE868</f>
        <v>6991.632</v>
      </c>
      <c r="AG868" s="1295"/>
      <c r="AH868" s="488" t="s">
        <v>753</v>
      </c>
      <c r="AI868" s="488" t="s">
        <v>112</v>
      </c>
      <c r="AJ868" s="504"/>
      <c r="AK868" s="327">
        <f>I868*2</f>
        <v>5520</v>
      </c>
      <c r="AL868" s="502"/>
      <c r="AM868" s="1218"/>
      <c r="AN868" s="502"/>
      <c r="AO868" s="502"/>
      <c r="AP868" s="502"/>
      <c r="AQ868" s="1296"/>
      <c r="AR868" s="327">
        <f>I868*2</f>
        <v>5520</v>
      </c>
      <c r="AS868" s="1297"/>
      <c r="AT868" s="1297"/>
      <c r="AU868" s="502"/>
      <c r="AV868" s="1298">
        <f>I868*0.06*2</f>
        <v>331.2</v>
      </c>
      <c r="AW868" s="1298">
        <f>I868*2</f>
        <v>5520</v>
      </c>
      <c r="AX868" s="502"/>
      <c r="AY868" s="502"/>
      <c r="AZ868" s="502"/>
      <c r="BA868" s="502"/>
      <c r="BB868" s="502"/>
      <c r="BC868" s="502"/>
      <c r="BD868" s="502"/>
      <c r="BE868" s="502"/>
      <c r="BF868" s="502"/>
      <c r="BG868" s="502"/>
      <c r="BH868" s="502"/>
      <c r="BI868" s="502"/>
      <c r="BJ868" s="502"/>
      <c r="BK868" s="502"/>
      <c r="BL868" s="502"/>
      <c r="BM868" s="502"/>
      <c r="BN868" s="502"/>
      <c r="BO868" s="1296"/>
      <c r="BP868" s="1296"/>
      <c r="BQ868" s="1218"/>
      <c r="BR868" s="1297"/>
      <c r="BS868" s="1297"/>
      <c r="BT868" s="502"/>
      <c r="BU868" s="502"/>
      <c r="BV868" s="1296"/>
      <c r="BW868" s="1218"/>
      <c r="BX868" s="1218"/>
      <c r="BY868" s="1218"/>
      <c r="BZ868" s="1218"/>
      <c r="CA868" s="1218"/>
      <c r="CB868" s="1218"/>
      <c r="CC868" s="1218"/>
      <c r="CD868" s="1218">
        <f t="shared" si="289"/>
        <v>0</v>
      </c>
      <c r="CE868" s="1218">
        <f t="shared" si="290"/>
        <v>0</v>
      </c>
      <c r="CF868" s="502">
        <f t="shared" si="291"/>
        <v>0</v>
      </c>
      <c r="CG868" s="1218">
        <f t="shared" si="286"/>
        <v>0</v>
      </c>
      <c r="CH868" s="1299"/>
      <c r="CI868" s="1299"/>
      <c r="CJ868" s="1297">
        <f>I868</f>
        <v>2760</v>
      </c>
      <c r="CK868" s="502">
        <f>I868</f>
        <v>2760</v>
      </c>
      <c r="CL868" s="502">
        <f>I868</f>
        <v>2760</v>
      </c>
      <c r="CM868" s="293"/>
      <c r="CN868" s="293"/>
      <c r="CO868" s="293"/>
      <c r="CP868" s="293"/>
      <c r="CQ868" s="293"/>
      <c r="CR868" s="293"/>
      <c r="CS868" s="293"/>
      <c r="CT868" s="293"/>
      <c r="CU868" s="293"/>
      <c r="CV868" s="293"/>
      <c r="CW868" s="293"/>
      <c r="CX868" s="293"/>
      <c r="CY868" s="293"/>
      <c r="CZ868" s="293"/>
      <c r="DA868" s="293"/>
      <c r="DB868" s="293"/>
      <c r="DC868" s="293"/>
      <c r="DD868" s="293"/>
      <c r="DE868" s="293"/>
      <c r="DF868" s="293"/>
      <c r="DG868" s="293"/>
    </row>
    <row r="869" s="293" customFormat="1" customHeight="1" spans="1:111">
      <c r="A869" s="1309">
        <v>46212</v>
      </c>
      <c r="B869" s="544" t="s">
        <v>200</v>
      </c>
      <c r="C869" s="488" t="s">
        <v>201</v>
      </c>
      <c r="D869" s="327">
        <v>4500215789</v>
      </c>
      <c r="E869" s="488">
        <v>4552712472</v>
      </c>
      <c r="F869" s="327" t="s">
        <v>3472</v>
      </c>
      <c r="G869" s="1310" t="s">
        <v>146</v>
      </c>
      <c r="H869" s="488" t="s">
        <v>104</v>
      </c>
      <c r="I869" s="1311">
        <v>15000</v>
      </c>
      <c r="J869" s="488">
        <v>0</v>
      </c>
      <c r="K869" s="488">
        <v>25</v>
      </c>
      <c r="L869" s="1544">
        <f>I869/K869</f>
        <v>600</v>
      </c>
      <c r="M869" s="1312">
        <v>46275</v>
      </c>
      <c r="N869" s="1312">
        <v>46272</v>
      </c>
      <c r="O869" s="1312"/>
      <c r="P869" s="1313"/>
      <c r="Q869" s="1313"/>
      <c r="R869" s="488"/>
      <c r="S869" s="488"/>
      <c r="T869" s="1313"/>
      <c r="U869" s="500">
        <f t="shared" si="297"/>
        <v>-15000</v>
      </c>
      <c r="V869" s="488"/>
      <c r="W869" s="1300" t="s">
        <v>2719</v>
      </c>
      <c r="X869" s="1301" t="s">
        <v>95</v>
      </c>
      <c r="Y869" s="1301" t="s">
        <v>709</v>
      </c>
      <c r="Z869" s="327"/>
      <c r="AA869" s="327"/>
      <c r="AB869" s="544"/>
      <c r="AC869" s="544" t="s">
        <v>3473</v>
      </c>
      <c r="AD869" s="1312" t="s">
        <v>711</v>
      </c>
      <c r="AE869" s="327">
        <v>1.0976</v>
      </c>
      <c r="AF869" s="1315">
        <f>I869*AE869</f>
        <v>16464</v>
      </c>
      <c r="AG869" s="1295"/>
      <c r="AH869" s="488" t="s">
        <v>111</v>
      </c>
      <c r="AI869" s="488" t="s">
        <v>112</v>
      </c>
      <c r="AJ869" s="488"/>
      <c r="AK869" s="327">
        <f>I869</f>
        <v>15000</v>
      </c>
      <c r="AL869" s="327"/>
      <c r="AM869" s="327"/>
      <c r="AN869" s="327"/>
      <c r="AO869" s="327"/>
      <c r="AP869" s="327">
        <f>I869</f>
        <v>15000</v>
      </c>
      <c r="AQ869" s="1316"/>
      <c r="AR869" s="327"/>
      <c r="AS869" s="1317"/>
      <c r="AT869" s="1317"/>
      <c r="AU869" s="327">
        <f>I869</f>
        <v>15000</v>
      </c>
      <c r="AV869" s="1318"/>
      <c r="AW869" s="1318"/>
      <c r="AX869" s="327"/>
      <c r="AY869" s="327"/>
      <c r="AZ869" s="327"/>
      <c r="BA869" s="327"/>
      <c r="BB869" s="327"/>
      <c r="BC869" s="327"/>
      <c r="BD869" s="327"/>
      <c r="BE869" s="327"/>
      <c r="BF869" s="327"/>
      <c r="BG869" s="327"/>
      <c r="BH869" s="327"/>
      <c r="BI869" s="327"/>
      <c r="BJ869" s="327"/>
      <c r="BK869" s="327"/>
      <c r="BL869" s="327"/>
      <c r="BM869" s="327"/>
      <c r="BN869" s="327"/>
      <c r="BO869" s="1316">
        <f>I869/25</f>
        <v>600</v>
      </c>
      <c r="BP869" s="1316"/>
      <c r="BQ869" s="327"/>
      <c r="BR869" s="1317"/>
      <c r="BS869" s="1317"/>
      <c r="BT869" s="327"/>
      <c r="BU869" s="327"/>
      <c r="BV869" s="1316"/>
      <c r="BW869" s="327"/>
      <c r="BX869" s="327"/>
      <c r="BY869" s="327"/>
      <c r="BZ869" s="327"/>
      <c r="CA869" s="327"/>
      <c r="CB869" s="327"/>
      <c r="CC869" s="327"/>
      <c r="CD869" s="1218">
        <f t="shared" si="289"/>
        <v>600</v>
      </c>
      <c r="CE869" s="1218">
        <f t="shared" si="290"/>
        <v>0</v>
      </c>
      <c r="CF869" s="502">
        <f t="shared" si="291"/>
        <v>0</v>
      </c>
      <c r="CG869" s="1218">
        <f t="shared" si="286"/>
        <v>0</v>
      </c>
      <c r="CH869" s="1317"/>
      <c r="CI869" s="1317"/>
      <c r="CJ869" s="1317"/>
      <c r="CK869" s="327"/>
      <c r="CL869" s="327"/>
      <c r="CM869" s="1180"/>
      <c r="CN869" s="1180"/>
      <c r="CO869" s="1180"/>
      <c r="CP869" s="1180"/>
      <c r="CQ869" s="1180"/>
      <c r="CR869" s="1180"/>
      <c r="CS869" s="1180"/>
      <c r="CT869" s="1180"/>
      <c r="CU869" s="1180"/>
      <c r="CV869" s="1180"/>
      <c r="CW869" s="1180"/>
      <c r="CX869" s="1180"/>
      <c r="CY869" s="1180"/>
      <c r="CZ869" s="1180"/>
      <c r="DA869" s="1180"/>
      <c r="DB869" s="1180"/>
      <c r="DC869" s="1180"/>
      <c r="DD869" s="1180"/>
      <c r="DE869" s="1180"/>
      <c r="DF869" s="1180"/>
      <c r="DG869" s="1180"/>
    </row>
    <row r="870" s="293" customFormat="1" customHeight="1" spans="1:111">
      <c r="A870" s="1289">
        <v>46203</v>
      </c>
      <c r="B870" s="543" t="s">
        <v>602</v>
      </c>
      <c r="C870" s="504" t="s">
        <v>508</v>
      </c>
      <c r="D870" s="1305">
        <v>4500214382</v>
      </c>
      <c r="E870" s="506">
        <v>86816</v>
      </c>
      <c r="F870" s="502" t="s">
        <v>3474</v>
      </c>
      <c r="G870" s="505" t="s">
        <v>604</v>
      </c>
      <c r="H870" s="504" t="s">
        <v>893</v>
      </c>
      <c r="I870" s="1290">
        <v>20000</v>
      </c>
      <c r="J870" s="504">
        <v>0</v>
      </c>
      <c r="K870" s="504">
        <v>25</v>
      </c>
      <c r="L870" s="1291">
        <f>I870/K870</f>
        <v>800</v>
      </c>
      <c r="M870" s="501">
        <v>46275</v>
      </c>
      <c r="N870" s="501">
        <v>46272</v>
      </c>
      <c r="O870" s="501"/>
      <c r="P870" s="506"/>
      <c r="Q870" s="506"/>
      <c r="R870" s="504"/>
      <c r="S870" s="504"/>
      <c r="T870" s="506"/>
      <c r="U870" s="500">
        <f t="shared" si="297"/>
        <v>-20000</v>
      </c>
      <c r="V870" s="504"/>
      <c r="W870" s="1293" t="s">
        <v>3064</v>
      </c>
      <c r="X870" s="1301" t="s">
        <v>95</v>
      </c>
      <c r="Y870" s="1301" t="s">
        <v>1886</v>
      </c>
      <c r="Z870" s="544" t="s">
        <v>3475</v>
      </c>
      <c r="AA870" s="544"/>
      <c r="AB870" s="543"/>
      <c r="AC870" s="544" t="s">
        <v>3476</v>
      </c>
      <c r="AD870" s="501" t="s">
        <v>362</v>
      </c>
      <c r="AE870" s="502">
        <v>1.0856</v>
      </c>
      <c r="AF870" s="1609">
        <f>AE870*L870</f>
        <v>868.48</v>
      </c>
      <c r="AG870" s="1295"/>
      <c r="AH870" s="488" t="s">
        <v>1304</v>
      </c>
      <c r="AI870" s="488" t="s">
        <v>112</v>
      </c>
      <c r="AJ870" s="504"/>
      <c r="AK870" s="327">
        <f>I870</f>
        <v>20000</v>
      </c>
      <c r="AL870" s="502"/>
      <c r="AM870" s="1218"/>
      <c r="AN870" s="502">
        <f>I870</f>
        <v>20000</v>
      </c>
      <c r="AO870" s="502"/>
      <c r="AP870" s="502"/>
      <c r="AQ870" s="1296"/>
      <c r="AR870" s="438"/>
      <c r="AS870" s="1297"/>
      <c r="AT870" s="1297"/>
      <c r="AU870" s="502"/>
      <c r="AV870" s="1298">
        <f>I870*0.06*2</f>
        <v>2400</v>
      </c>
      <c r="AW870" s="1298"/>
      <c r="AX870" s="502">
        <f>I870</f>
        <v>20000</v>
      </c>
      <c r="AY870" s="502"/>
      <c r="AZ870" s="502"/>
      <c r="BA870" s="502"/>
      <c r="BB870" s="502"/>
      <c r="BC870" s="502"/>
      <c r="BD870" s="502"/>
      <c r="BE870" s="502"/>
      <c r="BF870" s="502"/>
      <c r="BG870" s="502"/>
      <c r="BH870" s="502"/>
      <c r="BI870" s="502"/>
      <c r="BJ870" s="502"/>
      <c r="BK870" s="502"/>
      <c r="BL870" s="502"/>
      <c r="BM870" s="502"/>
      <c r="BN870" s="502"/>
      <c r="BO870" s="1296"/>
      <c r="BP870" s="1296"/>
      <c r="BQ870" s="1218">
        <f>I870/25</f>
        <v>800</v>
      </c>
      <c r="BR870" s="1297"/>
      <c r="BS870" s="1297"/>
      <c r="BT870" s="502"/>
      <c r="BU870" s="502"/>
      <c r="BV870" s="1296"/>
      <c r="BW870" s="1218"/>
      <c r="BX870" s="1218"/>
      <c r="BY870" s="1218"/>
      <c r="BZ870" s="1218"/>
      <c r="CA870" s="1218"/>
      <c r="CB870" s="1218"/>
      <c r="CC870" s="1218"/>
      <c r="CD870" s="1218">
        <f t="shared" si="289"/>
        <v>800</v>
      </c>
      <c r="CE870" s="1218">
        <f t="shared" si="290"/>
        <v>0</v>
      </c>
      <c r="CF870" s="502">
        <f t="shared" si="291"/>
        <v>0</v>
      </c>
      <c r="CG870" s="1218">
        <f t="shared" si="286"/>
        <v>0</v>
      </c>
      <c r="CH870" s="1299"/>
      <c r="CI870" s="1299"/>
      <c r="CJ870" s="1297"/>
      <c r="CK870" s="502"/>
      <c r="CL870" s="502"/>
    </row>
    <row r="871" s="293" customFormat="1" customHeight="1" spans="1:111">
      <c r="A871" s="1606">
        <v>46203</v>
      </c>
      <c r="B871" s="1417" t="s">
        <v>602</v>
      </c>
      <c r="C871" s="1434" t="s">
        <v>508</v>
      </c>
      <c r="D871" s="1435">
        <v>4500214382</v>
      </c>
      <c r="E871" s="1436">
        <v>86816</v>
      </c>
      <c r="F871" s="1437" t="s">
        <v>3477</v>
      </c>
      <c r="G871" s="1438" t="s">
        <v>3478</v>
      </c>
      <c r="H871" s="1434" t="s">
        <v>628</v>
      </c>
      <c r="I871" s="1439">
        <v>5400</v>
      </c>
      <c r="J871" s="1434">
        <v>0</v>
      </c>
      <c r="K871" s="1434">
        <v>36</v>
      </c>
      <c r="L871" s="1607">
        <f>IF(K871=0,"",I871/K871)</f>
        <v>150</v>
      </c>
      <c r="M871" s="507">
        <v>46275</v>
      </c>
      <c r="N871" s="507">
        <v>46272</v>
      </c>
      <c r="O871" s="507"/>
      <c r="P871" s="1436"/>
      <c r="Q871" s="1436"/>
      <c r="R871" s="1434"/>
      <c r="S871" s="1434"/>
      <c r="T871" s="1436"/>
      <c r="U871" s="500">
        <f t="shared" si="297"/>
        <v>-5400</v>
      </c>
      <c r="V871" s="1434"/>
      <c r="W871" s="1300" t="s">
        <v>3064</v>
      </c>
      <c r="X871" s="1301" t="s">
        <v>95</v>
      </c>
      <c r="Y871" s="1301" t="s">
        <v>3479</v>
      </c>
      <c r="Z871" s="1417" t="s">
        <v>360</v>
      </c>
      <c r="AA871" s="1552"/>
      <c r="AB871" s="1417"/>
      <c r="AC871" s="1482" t="s">
        <v>3480</v>
      </c>
      <c r="AD871" s="507" t="s">
        <v>362</v>
      </c>
      <c r="AE871" s="1437">
        <v>109.77</v>
      </c>
      <c r="AF871" s="1609">
        <f>AE871*K871</f>
        <v>3951.72</v>
      </c>
      <c r="AG871" s="1610"/>
      <c r="AH871" s="488" t="s">
        <v>740</v>
      </c>
      <c r="AI871" s="488" t="s">
        <v>112</v>
      </c>
      <c r="AJ871" s="1434"/>
      <c r="AK871" s="1555">
        <f>I871</f>
        <v>5400</v>
      </c>
      <c r="AL871" s="1437"/>
      <c r="AM871" s="1617"/>
      <c r="AN871" s="502">
        <f>I871</f>
        <v>5400</v>
      </c>
      <c r="AO871" s="502"/>
      <c r="AP871" s="502"/>
      <c r="AQ871" s="1296"/>
      <c r="AR871" s="438"/>
      <c r="AS871" s="1297"/>
      <c r="AT871" s="1297"/>
      <c r="AU871" s="502"/>
      <c r="AV871" s="1612">
        <f>I871*0.06*2</f>
        <v>648</v>
      </c>
      <c r="AW871" s="1612"/>
      <c r="AX871" s="1437">
        <f>I871</f>
        <v>5400</v>
      </c>
      <c r="AY871" s="1437"/>
      <c r="AZ871" s="1437"/>
      <c r="BA871" s="1437"/>
      <c r="BB871" s="1437"/>
      <c r="BC871" s="1437"/>
      <c r="BD871" s="1437"/>
      <c r="BE871" s="1437"/>
      <c r="BF871" s="1437"/>
      <c r="BG871" s="1437"/>
      <c r="BH871" s="1437"/>
      <c r="BI871" s="1437"/>
      <c r="BJ871" s="1437"/>
      <c r="BK871" s="502"/>
      <c r="BL871" s="1437"/>
      <c r="BM871" s="1437"/>
      <c r="BN871" s="1437"/>
      <c r="BO871" s="1615"/>
      <c r="BP871" s="1615"/>
      <c r="BQ871" s="1617"/>
      <c r="BR871" s="1616"/>
      <c r="BS871" s="1616"/>
      <c r="BT871" s="1437"/>
      <c r="BU871" s="1437"/>
      <c r="BV871" s="1615">
        <f>L871</f>
        <v>150</v>
      </c>
      <c r="BW871" s="1617"/>
      <c r="BX871" s="1617"/>
      <c r="BY871" s="1617"/>
      <c r="BZ871" s="1617"/>
      <c r="CA871" s="1617"/>
      <c r="CB871" s="1617"/>
      <c r="CC871" s="1617"/>
      <c r="CD871" s="1218">
        <f t="shared" si="289"/>
        <v>0</v>
      </c>
      <c r="CE871" s="1218">
        <f t="shared" si="290"/>
        <v>0</v>
      </c>
      <c r="CF871" s="502">
        <f t="shared" si="291"/>
        <v>0</v>
      </c>
      <c r="CG871" s="1218">
        <f t="shared" si="286"/>
        <v>150</v>
      </c>
      <c r="CH871" s="1618"/>
      <c r="CI871" s="1618"/>
      <c r="CJ871" s="1616"/>
      <c r="CK871" s="1437"/>
      <c r="CL871" s="1437"/>
    </row>
    <row r="872" s="293" customFormat="1" customHeight="1" spans="1:111">
      <c r="A872" s="1289">
        <v>46211</v>
      </c>
      <c r="B872" s="1417" t="s">
        <v>3481</v>
      </c>
      <c r="C872" s="1434" t="s">
        <v>115</v>
      </c>
      <c r="D872" s="1435">
        <v>4500215323</v>
      </c>
      <c r="E872" s="1436">
        <v>224277</v>
      </c>
      <c r="F872" s="1437" t="s">
        <v>3482</v>
      </c>
      <c r="G872" s="1438" t="s">
        <v>188</v>
      </c>
      <c r="H872" s="504" t="s">
        <v>138</v>
      </c>
      <c r="I872" s="1439">
        <v>250</v>
      </c>
      <c r="J872" s="1434">
        <v>0</v>
      </c>
      <c r="K872" s="1434">
        <v>50</v>
      </c>
      <c r="L872" s="1291">
        <f t="shared" ref="L872:L907" si="298">I872/K872</f>
        <v>5</v>
      </c>
      <c r="M872" s="507">
        <v>46275</v>
      </c>
      <c r="N872" s="507">
        <v>46272</v>
      </c>
      <c r="O872" s="507"/>
      <c r="P872" s="506"/>
      <c r="Q872" s="506"/>
      <c r="R872" s="504"/>
      <c r="S872" s="504"/>
      <c r="T872" s="506"/>
      <c r="U872" s="500">
        <f t="shared" si="297"/>
        <v>-250</v>
      </c>
      <c r="V872" s="504"/>
      <c r="W872" s="1300" t="s">
        <v>3064</v>
      </c>
      <c r="X872" s="1294" t="s">
        <v>95</v>
      </c>
      <c r="Y872" s="1294" t="s">
        <v>3483</v>
      </c>
      <c r="Z872" s="544"/>
      <c r="AA872" s="544"/>
      <c r="AB872" s="543"/>
      <c r="AC872" s="1552" t="s">
        <v>3484</v>
      </c>
      <c r="AD872" s="507" t="s">
        <v>3485</v>
      </c>
      <c r="AE872" s="502">
        <v>0.662</v>
      </c>
      <c r="AF872" s="503">
        <f>AE872*I872</f>
        <v>165.5</v>
      </c>
      <c r="AG872" s="1295"/>
      <c r="AH872" s="504" t="s">
        <v>188</v>
      </c>
      <c r="AI872" s="488" t="s">
        <v>112</v>
      </c>
      <c r="AJ872" s="504"/>
      <c r="AK872" s="502">
        <f>I872</f>
        <v>250</v>
      </c>
      <c r="AL872" s="502"/>
      <c r="AM872" s="1218"/>
      <c r="AN872" s="327">
        <f>I872</f>
        <v>250</v>
      </c>
      <c r="AO872" s="327"/>
      <c r="AP872" s="327"/>
      <c r="AQ872" s="1316"/>
      <c r="AR872" s="327"/>
      <c r="AS872" s="1317"/>
      <c r="AT872" s="1317"/>
      <c r="AU872" s="327">
        <f>I872</f>
        <v>250</v>
      </c>
      <c r="AV872" s="1298"/>
      <c r="AW872" s="1298"/>
      <c r="AX872" s="502"/>
      <c r="AY872" s="502"/>
      <c r="AZ872" s="502"/>
      <c r="BA872" s="502"/>
      <c r="BB872" s="502"/>
      <c r="BC872" s="502"/>
      <c r="BD872" s="502"/>
      <c r="BE872" s="502"/>
      <c r="BF872" s="502"/>
      <c r="BG872" s="502"/>
      <c r="BH872" s="502"/>
      <c r="BI872" s="502"/>
      <c r="BJ872" s="502"/>
      <c r="BK872" s="502"/>
      <c r="BL872" s="502"/>
      <c r="BM872" s="502"/>
      <c r="BN872" s="1420">
        <f>I872/25</f>
        <v>10</v>
      </c>
      <c r="BO872" s="1296"/>
      <c r="BP872" s="1296"/>
      <c r="BQ872" s="1218"/>
      <c r="BR872" s="1297"/>
      <c r="BS872" s="1297"/>
      <c r="BT872" s="502"/>
      <c r="BU872" s="502"/>
      <c r="BV872" s="1296"/>
      <c r="BW872" s="1218"/>
      <c r="BX872" s="1218"/>
      <c r="BY872" s="1218"/>
      <c r="BZ872" s="1218"/>
      <c r="CA872" s="1218"/>
      <c r="CB872" s="1218"/>
      <c r="CC872" s="1218"/>
      <c r="CD872" s="1218">
        <f t="shared" si="289"/>
        <v>10</v>
      </c>
      <c r="CE872" s="1218">
        <f t="shared" si="290"/>
        <v>0</v>
      </c>
      <c r="CF872" s="502">
        <f t="shared" si="291"/>
        <v>0</v>
      </c>
      <c r="CG872" s="1218">
        <f t="shared" si="286"/>
        <v>0</v>
      </c>
      <c r="CH872" s="1299"/>
      <c r="CI872" s="1299"/>
      <c r="CJ872" s="1297"/>
      <c r="CK872" s="502"/>
      <c r="CL872" s="502"/>
    </row>
    <row r="873" s="1177" customFormat="1" customHeight="1" spans="1:111">
      <c r="A873" s="1289">
        <v>46211</v>
      </c>
      <c r="B873" s="1417" t="s">
        <v>3481</v>
      </c>
      <c r="C873" s="1434" t="s">
        <v>115</v>
      </c>
      <c r="D873" s="1435">
        <v>4500215323</v>
      </c>
      <c r="E873" s="1436">
        <v>224647</v>
      </c>
      <c r="F873" s="1437" t="s">
        <v>3486</v>
      </c>
      <c r="G873" s="1438" t="s">
        <v>188</v>
      </c>
      <c r="H873" s="504" t="s">
        <v>138</v>
      </c>
      <c r="I873" s="1439">
        <v>200</v>
      </c>
      <c r="J873" s="1434">
        <v>0</v>
      </c>
      <c r="K873" s="1434">
        <v>50</v>
      </c>
      <c r="L873" s="1291">
        <f t="shared" si="298"/>
        <v>4</v>
      </c>
      <c r="M873" s="507">
        <v>46275</v>
      </c>
      <c r="N873" s="507">
        <v>46272</v>
      </c>
      <c r="O873" s="507"/>
      <c r="P873" s="506"/>
      <c r="Q873" s="506"/>
      <c r="R873" s="504"/>
      <c r="S873" s="504"/>
      <c r="T873" s="506"/>
      <c r="U873" s="500">
        <f t="shared" si="297"/>
        <v>-200</v>
      </c>
      <c r="V873" s="504"/>
      <c r="W873" s="1300" t="s">
        <v>3064</v>
      </c>
      <c r="X873" s="1294" t="s">
        <v>95</v>
      </c>
      <c r="Y873" s="1294" t="s">
        <v>3483</v>
      </c>
      <c r="Z873" s="544"/>
      <c r="AA873" s="544"/>
      <c r="AB873" s="543"/>
      <c r="AC873" s="1552" t="s">
        <v>3484</v>
      </c>
      <c r="AD873" s="507" t="s">
        <v>3485</v>
      </c>
      <c r="AE873" s="502">
        <v>0.662</v>
      </c>
      <c r="AF873" s="503">
        <f>AE873*I873</f>
        <v>132.4</v>
      </c>
      <c r="AG873" s="1295"/>
      <c r="AH873" s="504" t="s">
        <v>188</v>
      </c>
      <c r="AI873" s="488" t="s">
        <v>112</v>
      </c>
      <c r="AJ873" s="504"/>
      <c r="AK873" s="502">
        <f>I873</f>
        <v>200</v>
      </c>
      <c r="AL873" s="502"/>
      <c r="AM873" s="1218"/>
      <c r="AN873" s="327">
        <f>I873</f>
        <v>200</v>
      </c>
      <c r="AO873" s="327"/>
      <c r="AP873" s="327"/>
      <c r="AQ873" s="1316"/>
      <c r="AR873" s="327"/>
      <c r="AS873" s="1317"/>
      <c r="AT873" s="1317"/>
      <c r="AU873" s="1187">
        <f>I873</f>
        <v>200</v>
      </c>
      <c r="AV873" s="1298"/>
      <c r="AW873" s="1298"/>
      <c r="AX873" s="502"/>
      <c r="AY873" s="502"/>
      <c r="AZ873" s="502"/>
      <c r="BA873" s="502"/>
      <c r="BB873" s="502"/>
      <c r="BC873" s="502"/>
      <c r="BD873" s="502"/>
      <c r="BE873" s="502"/>
      <c r="BF873" s="502"/>
      <c r="BG873" s="502"/>
      <c r="BH873" s="502"/>
      <c r="BI873" s="502"/>
      <c r="BJ873" s="502"/>
      <c r="BK873" s="502"/>
      <c r="BL873" s="502"/>
      <c r="BM873" s="502"/>
      <c r="BN873" s="1420">
        <f>I873/25</f>
        <v>8</v>
      </c>
      <c r="BO873" s="1296"/>
      <c r="BP873" s="1296"/>
      <c r="BQ873" s="1218"/>
      <c r="BR873" s="1297"/>
      <c r="BS873" s="1297"/>
      <c r="BT873" s="502"/>
      <c r="BU873" s="1601"/>
      <c r="BV873" s="1296"/>
      <c r="BW873" s="1218"/>
      <c r="BX873" s="1218"/>
      <c r="BY873" s="1218"/>
      <c r="BZ873" s="1218"/>
      <c r="CA873" s="1218"/>
      <c r="CB873" s="1218"/>
      <c r="CC873" s="1218"/>
      <c r="CD873" s="1218">
        <f t="shared" si="289"/>
        <v>8</v>
      </c>
      <c r="CE873" s="1218">
        <f t="shared" si="290"/>
        <v>0</v>
      </c>
      <c r="CF873" s="502">
        <f t="shared" si="291"/>
        <v>0</v>
      </c>
      <c r="CG873" s="1218">
        <f t="shared" si="286"/>
        <v>0</v>
      </c>
      <c r="CH873" s="1299"/>
      <c r="CI873" s="1299"/>
      <c r="CJ873" s="1297"/>
      <c r="CK873" s="502"/>
      <c r="CL873" s="502"/>
      <c r="CM873" s="293"/>
      <c r="CN873" s="293"/>
      <c r="CO873" s="293"/>
      <c r="CP873" s="293"/>
      <c r="CQ873" s="293"/>
      <c r="CR873" s="293"/>
      <c r="CS873" s="293"/>
      <c r="CT873" s="293"/>
      <c r="CU873" s="293"/>
      <c r="CV873" s="293"/>
      <c r="CW873" s="293"/>
      <c r="CX873" s="293"/>
      <c r="CY873" s="293"/>
      <c r="CZ873" s="293"/>
      <c r="DA873" s="293"/>
      <c r="DB873" s="293"/>
      <c r="DC873" s="293"/>
      <c r="DD873" s="293"/>
      <c r="DE873" s="293"/>
      <c r="DF873" s="293"/>
      <c r="DG873" s="293"/>
    </row>
    <row r="874" s="1180" customFormat="1" customHeight="1" spans="1:111">
      <c r="A874" s="1289">
        <v>46125</v>
      </c>
      <c r="B874" s="1417" t="s">
        <v>538</v>
      </c>
      <c r="C874" s="1434" t="s">
        <v>135</v>
      </c>
      <c r="D874" s="1437">
        <v>4500199194</v>
      </c>
      <c r="E874" s="1434" t="s">
        <v>3487</v>
      </c>
      <c r="F874" s="1437" t="s">
        <v>3488</v>
      </c>
      <c r="G874" s="1438" t="s">
        <v>746</v>
      </c>
      <c r="H874" s="504" t="s">
        <v>390</v>
      </c>
      <c r="I874" s="1439">
        <v>5508</v>
      </c>
      <c r="J874" s="1434">
        <v>0</v>
      </c>
      <c r="K874" s="1434">
        <v>12</v>
      </c>
      <c r="L874" s="1291">
        <f t="shared" si="298"/>
        <v>459</v>
      </c>
      <c r="M874" s="507">
        <v>46275</v>
      </c>
      <c r="N874" s="507">
        <v>46272</v>
      </c>
      <c r="O874" s="507"/>
      <c r="P874" s="506"/>
      <c r="Q874" s="506"/>
      <c r="R874" s="504"/>
      <c r="S874" s="504"/>
      <c r="T874" s="506"/>
      <c r="U874" s="500">
        <f t="shared" si="297"/>
        <v>-5508</v>
      </c>
      <c r="V874" s="504"/>
      <c r="W874" s="1324" t="s">
        <v>747</v>
      </c>
      <c r="X874" s="1308" t="s">
        <v>107</v>
      </c>
      <c r="Y874" s="1308" t="s">
        <v>3489</v>
      </c>
      <c r="Z874" s="543" t="s">
        <v>140</v>
      </c>
      <c r="AA874" s="543"/>
      <c r="AB874" s="543"/>
      <c r="AC874" s="1482" t="s">
        <v>3490</v>
      </c>
      <c r="AD874" s="507" t="s">
        <v>545</v>
      </c>
      <c r="AE874" s="502">
        <v>2.29</v>
      </c>
      <c r="AF874" s="503">
        <f>I874*AE874</f>
        <v>12613.32</v>
      </c>
      <c r="AG874" s="1295"/>
      <c r="AH874" s="1526" t="s">
        <v>753</v>
      </c>
      <c r="AI874" s="504" t="s">
        <v>112</v>
      </c>
      <c r="AJ874" s="504"/>
      <c r="AK874" s="327">
        <f>I874*2</f>
        <v>11016</v>
      </c>
      <c r="AL874" s="502"/>
      <c r="AM874" s="1218"/>
      <c r="AN874" s="502"/>
      <c r="AO874" s="502"/>
      <c r="AP874" s="502"/>
      <c r="AQ874" s="1296"/>
      <c r="AR874" s="327">
        <f>I874*2</f>
        <v>11016</v>
      </c>
      <c r="AS874" s="1297"/>
      <c r="AT874" s="1297"/>
      <c r="AU874" s="1218"/>
      <c r="AV874" s="1298">
        <f>I874*0.06*2</f>
        <v>660.96</v>
      </c>
      <c r="AW874" s="1551">
        <f>I874*2</f>
        <v>11016</v>
      </c>
      <c r="AX874" s="502"/>
      <c r="AY874" s="502"/>
      <c r="AZ874" s="502"/>
      <c r="BA874" s="502"/>
      <c r="BB874" s="502"/>
      <c r="BC874" s="502"/>
      <c r="BD874" s="502"/>
      <c r="BE874" s="502"/>
      <c r="BF874" s="502"/>
      <c r="BG874" s="502"/>
      <c r="BH874" s="502"/>
      <c r="BI874" s="502"/>
      <c r="BJ874" s="502"/>
      <c r="BK874" s="502"/>
      <c r="BL874" s="502"/>
      <c r="BM874" s="502"/>
      <c r="BN874" s="502"/>
      <c r="BO874" s="1296"/>
      <c r="BP874" s="1296"/>
      <c r="BQ874" s="1218"/>
      <c r="BR874" s="1297"/>
      <c r="BS874" s="1297"/>
      <c r="BT874" s="502"/>
      <c r="BU874" s="502"/>
      <c r="BV874" s="1296"/>
      <c r="BW874" s="1218"/>
      <c r="BX874" s="1218"/>
      <c r="BY874" s="1218"/>
      <c r="BZ874" s="1218"/>
      <c r="CA874" s="1218"/>
      <c r="CB874" s="1218"/>
      <c r="CC874" s="1218"/>
      <c r="CD874" s="1218">
        <f t="shared" si="289"/>
        <v>0</v>
      </c>
      <c r="CE874" s="1218">
        <f t="shared" si="290"/>
        <v>0</v>
      </c>
      <c r="CF874" s="502">
        <f t="shared" si="291"/>
        <v>0</v>
      </c>
      <c r="CG874" s="1218">
        <f t="shared" si="286"/>
        <v>0</v>
      </c>
      <c r="CH874" s="1299"/>
      <c r="CI874" s="1299"/>
      <c r="CJ874" s="1297">
        <f>I874</f>
        <v>5508</v>
      </c>
      <c r="CK874" s="502">
        <f>I874</f>
        <v>5508</v>
      </c>
      <c r="CL874" s="502">
        <f>I874</f>
        <v>5508</v>
      </c>
      <c r="CM874" s="293"/>
      <c r="CN874" s="293"/>
      <c r="CO874" s="293"/>
      <c r="CP874" s="293"/>
      <c r="CQ874" s="293"/>
      <c r="CR874" s="293"/>
      <c r="CS874" s="293"/>
      <c r="CT874" s="293"/>
      <c r="CU874" s="293"/>
      <c r="CV874" s="293"/>
      <c r="CW874" s="293"/>
      <c r="CX874" s="293"/>
      <c r="CY874" s="293"/>
      <c r="CZ874" s="293"/>
      <c r="DA874" s="293"/>
      <c r="DB874" s="293"/>
      <c r="DC874" s="293"/>
      <c r="DD874" s="293"/>
      <c r="DE874" s="293"/>
      <c r="DF874" s="293"/>
      <c r="DG874" s="293"/>
    </row>
    <row r="875" s="1180" customFormat="1" customHeight="1" spans="1:111">
      <c r="A875" s="1289">
        <v>46125</v>
      </c>
      <c r="B875" s="1417" t="s">
        <v>538</v>
      </c>
      <c r="C875" s="1434" t="s">
        <v>135</v>
      </c>
      <c r="D875" s="1437">
        <v>4500199194</v>
      </c>
      <c r="E875" s="1434" t="s">
        <v>3491</v>
      </c>
      <c r="F875" s="1437" t="s">
        <v>3492</v>
      </c>
      <c r="G875" s="1438" t="s">
        <v>746</v>
      </c>
      <c r="H875" s="504" t="s">
        <v>390</v>
      </c>
      <c r="I875" s="1439">
        <v>2064</v>
      </c>
      <c r="J875" s="1434">
        <v>0</v>
      </c>
      <c r="K875" s="1434">
        <v>12</v>
      </c>
      <c r="L875" s="1291">
        <f t="shared" si="298"/>
        <v>172</v>
      </c>
      <c r="M875" s="507">
        <v>46275</v>
      </c>
      <c r="N875" s="507">
        <v>46272</v>
      </c>
      <c r="O875" s="507"/>
      <c r="P875" s="506"/>
      <c r="Q875" s="506"/>
      <c r="R875" s="504"/>
      <c r="S875" s="504"/>
      <c r="T875" s="506"/>
      <c r="U875" s="500">
        <f t="shared" si="297"/>
        <v>-2064</v>
      </c>
      <c r="V875" s="504"/>
      <c r="W875" s="1324" t="s">
        <v>747</v>
      </c>
      <c r="X875" s="1308" t="s">
        <v>107</v>
      </c>
      <c r="Y875" s="1308" t="s">
        <v>3489</v>
      </c>
      <c r="Z875" s="543" t="s">
        <v>140</v>
      </c>
      <c r="AA875" s="543"/>
      <c r="AB875" s="543"/>
      <c r="AC875" s="1482" t="s">
        <v>3490</v>
      </c>
      <c r="AD875" s="507" t="s">
        <v>545</v>
      </c>
      <c r="AE875" s="502">
        <v>2.29</v>
      </c>
      <c r="AF875" s="503">
        <f>I875*AE875</f>
        <v>4726.56</v>
      </c>
      <c r="AG875" s="1295"/>
      <c r="AH875" s="1526" t="s">
        <v>753</v>
      </c>
      <c r="AI875" s="504" t="s">
        <v>112</v>
      </c>
      <c r="AJ875" s="504"/>
      <c r="AK875" s="327">
        <f>I875*2</f>
        <v>4128</v>
      </c>
      <c r="AL875" s="502"/>
      <c r="AM875" s="1218"/>
      <c r="AN875" s="502"/>
      <c r="AO875" s="502"/>
      <c r="AP875" s="502"/>
      <c r="AQ875" s="1296"/>
      <c r="AR875" s="327">
        <f>I875*2</f>
        <v>4128</v>
      </c>
      <c r="AS875" s="1297"/>
      <c r="AT875" s="1297"/>
      <c r="AU875" s="1218"/>
      <c r="AV875" s="1298">
        <f>I875*0.06*2</f>
        <v>247.68</v>
      </c>
      <c r="AW875" s="1551">
        <f>I875*2</f>
        <v>4128</v>
      </c>
      <c r="AX875" s="502"/>
      <c r="AY875" s="502"/>
      <c r="AZ875" s="502"/>
      <c r="BA875" s="502"/>
      <c r="BB875" s="502"/>
      <c r="BC875" s="502"/>
      <c r="BD875" s="502"/>
      <c r="BE875" s="502"/>
      <c r="BF875" s="502"/>
      <c r="BG875" s="502"/>
      <c r="BH875" s="502"/>
      <c r="BI875" s="502"/>
      <c r="BJ875" s="502"/>
      <c r="BK875" s="502"/>
      <c r="BL875" s="502"/>
      <c r="BM875" s="502"/>
      <c r="BN875" s="502"/>
      <c r="BO875" s="1296"/>
      <c r="BP875" s="1296"/>
      <c r="BQ875" s="1218"/>
      <c r="BR875" s="1297"/>
      <c r="BS875" s="1297"/>
      <c r="BT875" s="502"/>
      <c r="BU875" s="502"/>
      <c r="BV875" s="1296"/>
      <c r="BW875" s="1218"/>
      <c r="BX875" s="1218"/>
      <c r="BY875" s="1218"/>
      <c r="BZ875" s="1218"/>
      <c r="CA875" s="1218"/>
      <c r="CB875" s="1218"/>
      <c r="CC875" s="1218"/>
      <c r="CD875" s="1218">
        <f t="shared" si="289"/>
        <v>0</v>
      </c>
      <c r="CE875" s="1218">
        <f t="shared" si="290"/>
        <v>0</v>
      </c>
      <c r="CF875" s="502">
        <f t="shared" si="291"/>
        <v>0</v>
      </c>
      <c r="CG875" s="1218">
        <f t="shared" si="286"/>
        <v>0</v>
      </c>
      <c r="CH875" s="1299"/>
      <c r="CI875" s="1299"/>
      <c r="CJ875" s="1297">
        <f>I875</f>
        <v>2064</v>
      </c>
      <c r="CK875" s="502">
        <f>I875</f>
        <v>2064</v>
      </c>
      <c r="CL875" s="502">
        <f>I875</f>
        <v>2064</v>
      </c>
      <c r="CM875" s="293"/>
      <c r="CN875" s="293"/>
      <c r="CO875" s="293"/>
      <c r="CP875" s="293"/>
      <c r="CQ875" s="293"/>
      <c r="CR875" s="293"/>
      <c r="CS875" s="293"/>
      <c r="CT875" s="293"/>
      <c r="CU875" s="293"/>
      <c r="CV875" s="293"/>
      <c r="CW875" s="293"/>
      <c r="CX875" s="293"/>
      <c r="CY875" s="293"/>
      <c r="CZ875" s="293"/>
      <c r="DA875" s="293"/>
      <c r="DB875" s="293"/>
      <c r="DC875" s="293"/>
      <c r="DD875" s="293"/>
      <c r="DE875" s="293"/>
      <c r="DF875" s="293"/>
      <c r="DG875" s="293"/>
    </row>
    <row r="876" s="1180" customFormat="1" customHeight="1" spans="1:111">
      <c r="A876" s="1289">
        <v>46177</v>
      </c>
      <c r="B876" s="1417" t="s">
        <v>2457</v>
      </c>
      <c r="C876" s="1434" t="s">
        <v>2458</v>
      </c>
      <c r="D876" s="1437">
        <v>4500210658</v>
      </c>
      <c r="E876" s="1434">
        <v>5000002246</v>
      </c>
      <c r="F876" s="1437" t="s">
        <v>3493</v>
      </c>
      <c r="G876" s="1438" t="s">
        <v>803</v>
      </c>
      <c r="H876" s="504" t="s">
        <v>804</v>
      </c>
      <c r="I876" s="1439">
        <v>12000</v>
      </c>
      <c r="J876" s="1434">
        <v>0</v>
      </c>
      <c r="K876" s="1434">
        <v>6</v>
      </c>
      <c r="L876" s="1291">
        <f t="shared" si="298"/>
        <v>2000</v>
      </c>
      <c r="M876" s="507">
        <v>46275</v>
      </c>
      <c r="N876" s="507">
        <v>46272</v>
      </c>
      <c r="O876" s="434" t="s">
        <v>2463</v>
      </c>
      <c r="P876" s="506"/>
      <c r="Q876" s="506"/>
      <c r="R876" s="504"/>
      <c r="S876" s="504"/>
      <c r="T876" s="506"/>
      <c r="U876" s="500">
        <f t="shared" si="297"/>
        <v>-12000</v>
      </c>
      <c r="V876" s="504"/>
      <c r="W876" s="1300" t="s">
        <v>3494</v>
      </c>
      <c r="X876" s="1294" t="s">
        <v>95</v>
      </c>
      <c r="Y876" s="1294" t="s">
        <v>3495</v>
      </c>
      <c r="Z876" s="544"/>
      <c r="AA876" s="544"/>
      <c r="AB876" s="543"/>
      <c r="AC876" s="1417" t="s">
        <v>3496</v>
      </c>
      <c r="AD876" s="507" t="s">
        <v>3497</v>
      </c>
      <c r="AE876" s="502">
        <v>8.15</v>
      </c>
      <c r="AF876" s="503">
        <f>AE876*I876</f>
        <v>97800</v>
      </c>
      <c r="AG876" s="1295"/>
      <c r="AH876" s="488" t="s">
        <v>3498</v>
      </c>
      <c r="AI876" s="488" t="s">
        <v>112</v>
      </c>
      <c r="AJ876" s="504"/>
      <c r="AK876" s="327">
        <f>I876*2</f>
        <v>24000</v>
      </c>
      <c r="AL876" s="502"/>
      <c r="AM876" s="1218"/>
      <c r="AN876" s="502">
        <f>I876*2</f>
        <v>24000</v>
      </c>
      <c r="AO876" s="502"/>
      <c r="AP876" s="502"/>
      <c r="AQ876" s="1296"/>
      <c r="AR876" s="438"/>
      <c r="AS876" s="1297"/>
      <c r="AT876" s="1297"/>
      <c r="AU876" s="502"/>
      <c r="AV876" s="1612"/>
      <c r="AW876" s="1298"/>
      <c r="AX876" s="502"/>
      <c r="AY876" s="502"/>
      <c r="AZ876" s="502">
        <f>I876*2</f>
        <v>24000</v>
      </c>
      <c r="BA876" s="502">
        <f>I876*2</f>
        <v>24000</v>
      </c>
      <c r="BB876" s="502"/>
      <c r="BC876" s="502"/>
      <c r="BD876" s="502"/>
      <c r="BE876" s="502"/>
      <c r="BF876" s="502"/>
      <c r="BG876" s="502"/>
      <c r="BH876" s="502"/>
      <c r="BI876" s="502"/>
      <c r="BJ876" s="502"/>
      <c r="BK876" s="502"/>
      <c r="BL876" s="502"/>
      <c r="BM876" s="502"/>
      <c r="BN876" s="502"/>
      <c r="BO876" s="1296"/>
      <c r="BP876" s="1296"/>
      <c r="BQ876" s="1218"/>
      <c r="BR876" s="1297"/>
      <c r="BS876" s="1297"/>
      <c r="BT876" s="502"/>
      <c r="BU876" s="502"/>
      <c r="BV876" s="1296"/>
      <c r="BW876" s="1218"/>
      <c r="BX876" s="1218"/>
      <c r="BY876" s="1218"/>
      <c r="BZ876" s="1218"/>
      <c r="CA876" s="1218"/>
      <c r="CB876" s="1218"/>
      <c r="CC876" s="1218"/>
      <c r="CD876" s="1218">
        <f t="shared" si="289"/>
        <v>0</v>
      </c>
      <c r="CE876" s="1218">
        <f t="shared" si="290"/>
        <v>0</v>
      </c>
      <c r="CF876" s="502">
        <f t="shared" si="291"/>
        <v>0</v>
      </c>
      <c r="CG876" s="1218">
        <f t="shared" si="286"/>
        <v>0</v>
      </c>
      <c r="CH876" s="1299"/>
      <c r="CI876" s="1299"/>
      <c r="CJ876" s="1297"/>
      <c r="CK876" s="502"/>
      <c r="CL876" s="502"/>
      <c r="CM876" s="293"/>
      <c r="CN876" s="293"/>
      <c r="CO876" s="293"/>
      <c r="CP876" s="293"/>
      <c r="CQ876" s="293"/>
      <c r="CR876" s="293"/>
      <c r="CS876" s="293"/>
      <c r="CT876" s="293"/>
      <c r="CU876" s="293"/>
      <c r="CV876" s="293"/>
      <c r="CW876" s="293"/>
      <c r="CX876" s="293"/>
      <c r="CY876" s="293"/>
      <c r="CZ876" s="293"/>
      <c r="DA876" s="293"/>
      <c r="DB876" s="293"/>
      <c r="DC876" s="293"/>
      <c r="DD876" s="293"/>
      <c r="DE876" s="293"/>
      <c r="DF876" s="293"/>
      <c r="DG876" s="293"/>
    </row>
    <row r="877" s="294" customFormat="1" customHeight="1" spans="1:111">
      <c r="A877" s="1289">
        <v>46177</v>
      </c>
      <c r="B877" s="1417" t="s">
        <v>2457</v>
      </c>
      <c r="C877" s="1434" t="s">
        <v>2458</v>
      </c>
      <c r="D877" s="1615">
        <v>4500210658</v>
      </c>
      <c r="E877" s="1454">
        <v>5000002246</v>
      </c>
      <c r="F877" s="1601" t="s">
        <v>3499</v>
      </c>
      <c r="G877" s="1748" t="s">
        <v>803</v>
      </c>
      <c r="H877" s="504" t="s">
        <v>804</v>
      </c>
      <c r="I877" s="1439">
        <v>1200</v>
      </c>
      <c r="J877" s="1434">
        <v>0</v>
      </c>
      <c r="K877" s="1434">
        <v>6</v>
      </c>
      <c r="L877" s="1291">
        <f t="shared" si="298"/>
        <v>200</v>
      </c>
      <c r="M877" s="507">
        <v>46275</v>
      </c>
      <c r="N877" s="507">
        <v>46272</v>
      </c>
      <c r="O877" s="434" t="s">
        <v>2463</v>
      </c>
      <c r="P877" s="506"/>
      <c r="Q877" s="506"/>
      <c r="R877" s="504"/>
      <c r="S877" s="504"/>
      <c r="T877" s="506"/>
      <c r="U877" s="500">
        <f t="shared" si="297"/>
        <v>-1200</v>
      </c>
      <c r="V877" s="504"/>
      <c r="W877" s="1300" t="s">
        <v>3494</v>
      </c>
      <c r="X877" s="1294" t="s">
        <v>95</v>
      </c>
      <c r="Y877" s="1294" t="s">
        <v>3495</v>
      </c>
      <c r="Z877" s="544"/>
      <c r="AA877" s="544"/>
      <c r="AB877" s="543"/>
      <c r="AC877" s="1417" t="s">
        <v>3500</v>
      </c>
      <c r="AD877" s="507" t="s">
        <v>3497</v>
      </c>
      <c r="AE877" s="502">
        <v>8.15</v>
      </c>
      <c r="AF877" s="503">
        <f>AE877*I877</f>
        <v>9780</v>
      </c>
      <c r="AG877" s="1295"/>
      <c r="AH877" s="488" t="s">
        <v>3498</v>
      </c>
      <c r="AI877" s="488" t="s">
        <v>112</v>
      </c>
      <c r="AJ877" s="504"/>
      <c r="AK877" s="327">
        <f>I877*2</f>
        <v>2400</v>
      </c>
      <c r="AL877" s="502"/>
      <c r="AM877" s="1218"/>
      <c r="AN877" s="1437">
        <f>I877*2</f>
        <v>2400</v>
      </c>
      <c r="AO877" s="1437"/>
      <c r="AP877" s="502"/>
      <c r="AQ877" s="1296"/>
      <c r="AR877" s="438"/>
      <c r="AS877" s="1297"/>
      <c r="AT877" s="1297"/>
      <c r="AU877" s="502"/>
      <c r="AV877" s="1298"/>
      <c r="AW877" s="1298"/>
      <c r="AX877" s="502"/>
      <c r="AY877" s="502"/>
      <c r="AZ877" s="502">
        <f>I877*2</f>
        <v>2400</v>
      </c>
      <c r="BA877" s="502">
        <f>I877*2</f>
        <v>2400</v>
      </c>
      <c r="BB877" s="502"/>
      <c r="BC877" s="502"/>
      <c r="BD877" s="502"/>
      <c r="BE877" s="502"/>
      <c r="BF877" s="502"/>
      <c r="BG877" s="502"/>
      <c r="BH877" s="502"/>
      <c r="BI877" s="502"/>
      <c r="BJ877" s="502"/>
      <c r="BK877" s="502"/>
      <c r="BL877" s="502"/>
      <c r="BM877" s="502"/>
      <c r="BN877" s="502"/>
      <c r="BO877" s="1296"/>
      <c r="BP877" s="1296"/>
      <c r="BQ877" s="1218"/>
      <c r="BR877" s="1297"/>
      <c r="BS877" s="1297"/>
      <c r="BT877" s="502"/>
      <c r="BU877" s="502"/>
      <c r="BV877" s="1296"/>
      <c r="BW877" s="1218"/>
      <c r="BX877" s="1218"/>
      <c r="BY877" s="1218"/>
      <c r="BZ877" s="1218"/>
      <c r="CA877" s="1218"/>
      <c r="CB877" s="1218"/>
      <c r="CC877" s="1218"/>
      <c r="CD877" s="1218">
        <f t="shared" si="289"/>
        <v>0</v>
      </c>
      <c r="CE877" s="1218">
        <f t="shared" si="290"/>
        <v>0</v>
      </c>
      <c r="CF877" s="502">
        <f t="shared" si="291"/>
        <v>0</v>
      </c>
      <c r="CG877" s="1218">
        <f t="shared" si="286"/>
        <v>0</v>
      </c>
      <c r="CH877" s="1299"/>
      <c r="CI877" s="1299"/>
      <c r="CJ877" s="1297"/>
      <c r="CK877" s="502"/>
      <c r="CL877" s="502"/>
      <c r="CM877" s="293"/>
      <c r="CN877" s="293"/>
      <c r="CO877" s="293"/>
      <c r="CP877" s="293"/>
      <c r="CQ877" s="293"/>
      <c r="CR877" s="293"/>
      <c r="CS877" s="293"/>
      <c r="CT877" s="293"/>
      <c r="CU877" s="293"/>
      <c r="CV877" s="293"/>
      <c r="CW877" s="293"/>
      <c r="CX877" s="293"/>
      <c r="CY877" s="293"/>
      <c r="CZ877" s="293"/>
      <c r="DA877" s="293"/>
      <c r="DB877" s="293"/>
      <c r="DC877" s="293"/>
      <c r="DD877" s="293"/>
      <c r="DE877" s="293"/>
      <c r="DF877" s="293"/>
      <c r="DG877" s="293"/>
    </row>
    <row r="878" s="294" customFormat="1" customHeight="1" spans="1:111">
      <c r="A878" s="1289">
        <v>46218</v>
      </c>
      <c r="B878" s="543" t="s">
        <v>114</v>
      </c>
      <c r="C878" s="504" t="s">
        <v>115</v>
      </c>
      <c r="D878" s="1749">
        <v>4500216601</v>
      </c>
      <c r="E878" s="1732" t="s">
        <v>3501</v>
      </c>
      <c r="F878" s="1730" t="s">
        <v>3502</v>
      </c>
      <c r="G878" s="1748" t="s">
        <v>118</v>
      </c>
      <c r="H878" s="504" t="s">
        <v>104</v>
      </c>
      <c r="I878" s="1290">
        <v>66375</v>
      </c>
      <c r="J878" s="504">
        <v>0</v>
      </c>
      <c r="K878" s="504">
        <v>25</v>
      </c>
      <c r="L878" s="1291">
        <f t="shared" si="298"/>
        <v>2655</v>
      </c>
      <c r="M878" s="501">
        <v>46275</v>
      </c>
      <c r="N878" s="501">
        <v>46272</v>
      </c>
      <c r="O878" s="501"/>
      <c r="P878" s="506"/>
      <c r="Q878" s="506"/>
      <c r="R878" s="504"/>
      <c r="S878" s="504"/>
      <c r="T878" s="506"/>
      <c r="U878" s="500">
        <f t="shared" si="297"/>
        <v>-66375</v>
      </c>
      <c r="V878" s="504"/>
      <c r="W878" s="443">
        <v>46244</v>
      </c>
      <c r="X878" s="1294" t="s">
        <v>107</v>
      </c>
      <c r="Y878" s="444" t="s">
        <v>3392</v>
      </c>
      <c r="Z878" s="544"/>
      <c r="AA878" s="544"/>
      <c r="AB878" s="543"/>
      <c r="AC878" s="544" t="s">
        <v>2660</v>
      </c>
      <c r="AD878" s="501" t="s">
        <v>123</v>
      </c>
      <c r="AE878" s="502">
        <v>0.6291</v>
      </c>
      <c r="AF878" s="503">
        <f>AE878*I878</f>
        <v>41756.5125</v>
      </c>
      <c r="AG878" s="1295"/>
      <c r="AH878" s="488" t="s">
        <v>118</v>
      </c>
      <c r="AI878" s="488" t="s">
        <v>112</v>
      </c>
      <c r="AJ878" s="504"/>
      <c r="AK878" s="327"/>
      <c r="AL878" s="502"/>
      <c r="AM878" s="1218">
        <f>I878</f>
        <v>66375</v>
      </c>
      <c r="AN878" s="1437"/>
      <c r="AO878" s="1437"/>
      <c r="AP878" s="502"/>
      <c r="AQ878" s="1296"/>
      <c r="AR878" s="438"/>
      <c r="AS878" s="1297"/>
      <c r="AT878" s="1297">
        <f>I878</f>
        <v>66375</v>
      </c>
      <c r="AU878" s="502">
        <f>I878</f>
        <v>66375</v>
      </c>
      <c r="AV878" s="1409">
        <f t="shared" ref="AV878:AV885" si="299">I878*0.06</f>
        <v>3982.5</v>
      </c>
      <c r="AW878" s="1298"/>
      <c r="AX878" s="502"/>
      <c r="AY878" s="502"/>
      <c r="AZ878" s="502"/>
      <c r="BA878" s="502"/>
      <c r="BB878" s="502"/>
      <c r="BC878" s="502"/>
      <c r="BD878" s="502"/>
      <c r="BE878" s="502"/>
      <c r="BF878" s="502"/>
      <c r="BG878" s="502"/>
      <c r="BH878" s="502"/>
      <c r="BI878" s="502"/>
      <c r="BJ878" s="502"/>
      <c r="BK878" s="502"/>
      <c r="BL878" s="502"/>
      <c r="BM878" s="502"/>
      <c r="BN878" s="502"/>
      <c r="BO878" s="1296"/>
      <c r="BP878" s="1296"/>
      <c r="BQ878" s="1218"/>
      <c r="BR878" s="1297"/>
      <c r="BS878" s="1297"/>
      <c r="BT878" s="502"/>
      <c r="BU878" s="327">
        <f>I878/25</f>
        <v>2655</v>
      </c>
      <c r="BV878" s="1296"/>
      <c r="BW878" s="1218"/>
      <c r="BX878" s="1218"/>
      <c r="BY878" s="1218"/>
      <c r="BZ878" s="1218"/>
      <c r="CA878" s="1218"/>
      <c r="CB878" s="1218"/>
      <c r="CC878" s="1218"/>
      <c r="CD878" s="1218">
        <f t="shared" si="289"/>
        <v>0</v>
      </c>
      <c r="CE878" s="1218">
        <f t="shared" si="290"/>
        <v>2655</v>
      </c>
      <c r="CF878" s="502">
        <f t="shared" si="291"/>
        <v>0</v>
      </c>
      <c r="CG878" s="1218">
        <f t="shared" si="286"/>
        <v>0</v>
      </c>
      <c r="CH878" s="1299"/>
      <c r="CI878" s="1299"/>
      <c r="CJ878" s="1297"/>
      <c r="CK878" s="502"/>
      <c r="CL878" s="502"/>
    </row>
    <row r="879" s="294" customFormat="1" customHeight="1" spans="1:111">
      <c r="A879" s="1289">
        <v>46227</v>
      </c>
      <c r="B879" s="543" t="s">
        <v>114</v>
      </c>
      <c r="C879" s="504" t="s">
        <v>115</v>
      </c>
      <c r="D879" s="1749">
        <v>4500217688</v>
      </c>
      <c r="E879" s="1454" t="s">
        <v>3503</v>
      </c>
      <c r="F879" s="1601" t="s">
        <v>3504</v>
      </c>
      <c r="G879" s="1748" t="s">
        <v>118</v>
      </c>
      <c r="H879" s="504" t="s">
        <v>104</v>
      </c>
      <c r="I879" s="1290">
        <v>31850</v>
      </c>
      <c r="J879" s="504">
        <v>0</v>
      </c>
      <c r="K879" s="504">
        <v>25</v>
      </c>
      <c r="L879" s="1291">
        <f t="shared" si="298"/>
        <v>1274</v>
      </c>
      <c r="M879" s="501">
        <v>46275</v>
      </c>
      <c r="N879" s="501">
        <v>46272</v>
      </c>
      <c r="O879" s="501"/>
      <c r="P879" s="506"/>
      <c r="Q879" s="506"/>
      <c r="R879" s="504"/>
      <c r="S879" s="504"/>
      <c r="T879" s="506"/>
      <c r="U879" s="500">
        <f t="shared" si="297"/>
        <v>-31850</v>
      </c>
      <c r="V879" s="504"/>
      <c r="W879" s="1300" t="s">
        <v>3064</v>
      </c>
      <c r="X879" s="1294" t="s">
        <v>107</v>
      </c>
      <c r="Y879" s="1294" t="s">
        <v>3505</v>
      </c>
      <c r="Z879" s="544"/>
      <c r="AA879" s="544"/>
      <c r="AB879" s="543"/>
      <c r="AC879" s="544" t="s">
        <v>3506</v>
      </c>
      <c r="AD879" s="501" t="s">
        <v>123</v>
      </c>
      <c r="AE879" s="502">
        <v>0.6406</v>
      </c>
      <c r="AF879" s="503">
        <f>AE879*I879</f>
        <v>20403.11</v>
      </c>
      <c r="AG879" s="1295"/>
      <c r="AH879" s="1234" t="s">
        <v>118</v>
      </c>
      <c r="AI879" s="488" t="s">
        <v>112</v>
      </c>
      <c r="AJ879" s="504"/>
      <c r="AK879" s="327"/>
      <c r="AL879" s="502"/>
      <c r="AM879" s="1218">
        <f>I879</f>
        <v>31850</v>
      </c>
      <c r="AN879" s="1437">
        <f>I879</f>
        <v>31850</v>
      </c>
      <c r="AO879" s="1437"/>
      <c r="AP879" s="502"/>
      <c r="AQ879" s="1296"/>
      <c r="AR879" s="438"/>
      <c r="AS879" s="1297"/>
      <c r="AT879" s="1297"/>
      <c r="AU879" s="502">
        <f>I879</f>
        <v>31850</v>
      </c>
      <c r="AV879" s="1298">
        <f t="shared" si="299"/>
        <v>1911</v>
      </c>
      <c r="AW879" s="1298"/>
      <c r="AX879" s="502"/>
      <c r="AY879" s="502"/>
      <c r="AZ879" s="502"/>
      <c r="BA879" s="502"/>
      <c r="BB879" s="502"/>
      <c r="BC879" s="502"/>
      <c r="BD879" s="502"/>
      <c r="BE879" s="502"/>
      <c r="BF879" s="502"/>
      <c r="BG879" s="502"/>
      <c r="BH879" s="502"/>
      <c r="BI879" s="502"/>
      <c r="BJ879" s="502"/>
      <c r="BK879" s="502"/>
      <c r="BL879" s="502"/>
      <c r="BM879" s="502"/>
      <c r="BN879" s="502"/>
      <c r="BO879" s="1296"/>
      <c r="BP879" s="1296"/>
      <c r="BQ879" s="1218"/>
      <c r="BR879" s="1297"/>
      <c r="BS879" s="1297"/>
      <c r="BT879" s="502"/>
      <c r="BU879" s="502">
        <f>I879/25</f>
        <v>1274</v>
      </c>
      <c r="BV879" s="1296"/>
      <c r="BW879" s="1218"/>
      <c r="BX879" s="1218"/>
      <c r="BY879" s="1218"/>
      <c r="BZ879" s="1218"/>
      <c r="CA879" s="1218"/>
      <c r="CB879" s="1218"/>
      <c r="CC879" s="1218"/>
      <c r="CD879" s="1218">
        <f t="shared" si="289"/>
        <v>0</v>
      </c>
      <c r="CE879" s="1218">
        <f t="shared" si="290"/>
        <v>1274</v>
      </c>
      <c r="CF879" s="502">
        <f t="shared" si="291"/>
        <v>0</v>
      </c>
      <c r="CG879" s="1218">
        <f>BV879+BW879+BX879</f>
        <v>0</v>
      </c>
      <c r="CH879" s="1299"/>
      <c r="CI879" s="1299"/>
      <c r="CJ879" s="1297"/>
      <c r="CK879" s="502"/>
      <c r="CL879" s="502"/>
      <c r="CM879" s="293"/>
      <c r="CN879" s="293"/>
      <c r="CO879" s="293"/>
      <c r="CP879" s="293"/>
      <c r="CQ879" s="293"/>
      <c r="CR879" s="293"/>
      <c r="CS879" s="293"/>
      <c r="CT879" s="293"/>
      <c r="CU879" s="293"/>
      <c r="CV879" s="293"/>
      <c r="CW879" s="293"/>
      <c r="CX879" s="293"/>
      <c r="CY879" s="293"/>
      <c r="CZ879" s="293"/>
      <c r="DA879" s="293"/>
      <c r="DB879" s="293"/>
      <c r="DC879" s="293"/>
      <c r="DD879" s="293"/>
      <c r="DE879" s="293"/>
      <c r="DF879" s="293"/>
      <c r="DG879" s="293"/>
    </row>
    <row r="880" s="293" customFormat="1" customHeight="1" spans="1:111">
      <c r="A880" s="1606">
        <v>46227</v>
      </c>
      <c r="B880" s="1417" t="s">
        <v>114</v>
      </c>
      <c r="C880" s="1434" t="s">
        <v>115</v>
      </c>
      <c r="D880" s="1435">
        <v>4500217690</v>
      </c>
      <c r="E880" s="1750" t="s">
        <v>3507</v>
      </c>
      <c r="F880" s="1751" t="s">
        <v>3508</v>
      </c>
      <c r="G880" s="1438" t="s">
        <v>118</v>
      </c>
      <c r="H880" s="504" t="s">
        <v>104</v>
      </c>
      <c r="I880" s="1439">
        <v>23800</v>
      </c>
      <c r="J880" s="1434">
        <v>0</v>
      </c>
      <c r="K880" s="1434">
        <v>25</v>
      </c>
      <c r="L880" s="1607">
        <f t="shared" si="298"/>
        <v>952</v>
      </c>
      <c r="M880" s="507">
        <v>46275</v>
      </c>
      <c r="N880" s="507">
        <v>46272</v>
      </c>
      <c r="O880" s="507"/>
      <c r="P880" s="1436"/>
      <c r="Q880" s="1436"/>
      <c r="R880" s="1434"/>
      <c r="S880" s="1434"/>
      <c r="T880" s="1436"/>
      <c r="U880" s="500">
        <f t="shared" si="297"/>
        <v>-23800</v>
      </c>
      <c r="V880" s="1434"/>
      <c r="W880" s="1300" t="s">
        <v>3064</v>
      </c>
      <c r="X880" s="1301" t="s">
        <v>107</v>
      </c>
      <c r="Y880" s="1301" t="s">
        <v>3505</v>
      </c>
      <c r="Z880" s="1552"/>
      <c r="AA880" s="1552"/>
      <c r="AB880" s="1417"/>
      <c r="AC880" s="1552" t="s">
        <v>3506</v>
      </c>
      <c r="AD880" s="507" t="s">
        <v>123</v>
      </c>
      <c r="AE880" s="1437">
        <v>0.6406</v>
      </c>
      <c r="AF880" s="1609">
        <f>AE880*I880</f>
        <v>15246.28</v>
      </c>
      <c r="AG880" s="1610"/>
      <c r="AH880" s="1234" t="s">
        <v>118</v>
      </c>
      <c r="AI880" s="488" t="s">
        <v>112</v>
      </c>
      <c r="AJ880" s="1434"/>
      <c r="AK880" s="1555"/>
      <c r="AL880" s="1437"/>
      <c r="AM880" s="1617">
        <f>I880</f>
        <v>23800</v>
      </c>
      <c r="AN880" s="502">
        <f>I880</f>
        <v>23800</v>
      </c>
      <c r="AO880" s="502"/>
      <c r="AP880" s="502"/>
      <c r="AQ880" s="1296"/>
      <c r="AR880" s="438"/>
      <c r="AS880" s="1297"/>
      <c r="AT880" s="1297"/>
      <c r="AU880" s="502">
        <f>I880</f>
        <v>23800</v>
      </c>
      <c r="AV880" s="1612">
        <f t="shared" si="299"/>
        <v>1428</v>
      </c>
      <c r="AW880" s="1612"/>
      <c r="AX880" s="1437"/>
      <c r="AY880" s="1437"/>
      <c r="AZ880" s="502"/>
      <c r="BA880" s="502"/>
      <c r="BB880" s="1437"/>
      <c r="BC880" s="1437"/>
      <c r="BD880" s="1437"/>
      <c r="BE880" s="1437"/>
      <c r="BF880" s="1437"/>
      <c r="BG880" s="1437"/>
      <c r="BH880" s="502"/>
      <c r="BI880" s="1437"/>
      <c r="BJ880" s="1437"/>
      <c r="BK880" s="1437"/>
      <c r="BL880" s="1437"/>
      <c r="BM880" s="1437"/>
      <c r="BN880" s="502"/>
      <c r="BO880" s="1615"/>
      <c r="BP880" s="1615"/>
      <c r="BQ880" s="1617"/>
      <c r="BR880" s="1616"/>
      <c r="BS880" s="1616"/>
      <c r="BT880" s="1437"/>
      <c r="BU880" s="1437">
        <f>I880/25</f>
        <v>952</v>
      </c>
      <c r="BV880" s="1615"/>
      <c r="BW880" s="1617"/>
      <c r="BX880" s="1617"/>
      <c r="BY880" s="1617"/>
      <c r="BZ880" s="1617"/>
      <c r="CA880" s="1617"/>
      <c r="CB880" s="1617"/>
      <c r="CC880" s="1617"/>
      <c r="CD880" s="1218">
        <f t="shared" si="289"/>
        <v>0</v>
      </c>
      <c r="CE880" s="1218">
        <f t="shared" si="290"/>
        <v>952</v>
      </c>
      <c r="CF880" s="502">
        <f t="shared" si="291"/>
        <v>0</v>
      </c>
      <c r="CG880" s="1218">
        <f>BV880+BW880+BX880</f>
        <v>0</v>
      </c>
      <c r="CH880" s="1618"/>
      <c r="CI880" s="1618"/>
      <c r="CJ880" s="1616"/>
      <c r="CK880" s="1437"/>
      <c r="CL880" s="1437"/>
    </row>
    <row r="881" s="293" customFormat="1" customHeight="1" spans="1:111">
      <c r="A881" s="1606">
        <v>46234</v>
      </c>
      <c r="B881" s="1417" t="s">
        <v>3509</v>
      </c>
      <c r="C881" s="1434" t="s">
        <v>1439</v>
      </c>
      <c r="D881" s="1435">
        <v>4500218360</v>
      </c>
      <c r="E881" s="1434"/>
      <c r="F881" s="1437" t="s">
        <v>3510</v>
      </c>
      <c r="G881" s="1438" t="s">
        <v>799</v>
      </c>
      <c r="H881" s="1434" t="s">
        <v>800</v>
      </c>
      <c r="I881" s="1439">
        <v>600</v>
      </c>
      <c r="J881" s="1434">
        <v>0</v>
      </c>
      <c r="K881" s="1434">
        <v>30</v>
      </c>
      <c r="L881" s="1607">
        <f t="shared" si="298"/>
        <v>20</v>
      </c>
      <c r="M881" s="507">
        <v>46275</v>
      </c>
      <c r="N881" s="507">
        <v>46272</v>
      </c>
      <c r="O881" s="507"/>
      <c r="P881" s="1436"/>
      <c r="Q881" s="1436"/>
      <c r="R881" s="1434"/>
      <c r="S881" s="1434"/>
      <c r="T881" s="1436"/>
      <c r="U881" s="500">
        <f t="shared" si="297"/>
        <v>-600</v>
      </c>
      <c r="V881" s="1434"/>
      <c r="W881" s="1300" t="s">
        <v>3064</v>
      </c>
      <c r="X881" s="1301" t="s">
        <v>95</v>
      </c>
      <c r="Y881" s="1301" t="s">
        <v>3511</v>
      </c>
      <c r="Z881" s="1552"/>
      <c r="AA881" s="1552"/>
      <c r="AB881" s="1417" t="s">
        <v>3512</v>
      </c>
      <c r="AC881" s="1552" t="s">
        <v>3513</v>
      </c>
      <c r="AD881" s="507" t="s">
        <v>1477</v>
      </c>
      <c r="AE881" s="1437">
        <v>51.0538</v>
      </c>
      <c r="AF881" s="1609">
        <f>AE881*L881</f>
        <v>1021.076</v>
      </c>
      <c r="AG881" s="1610"/>
      <c r="AH881" s="505" t="s">
        <v>799</v>
      </c>
      <c r="AI881" s="488" t="s">
        <v>112</v>
      </c>
      <c r="AJ881" s="1434"/>
      <c r="AK881" s="1555">
        <f>I881</f>
        <v>600</v>
      </c>
      <c r="AL881" s="1437"/>
      <c r="AM881" s="1617"/>
      <c r="AN881" s="502"/>
      <c r="AO881" s="502"/>
      <c r="AP881" s="502">
        <f>I881</f>
        <v>600</v>
      </c>
      <c r="AQ881" s="1296"/>
      <c r="AR881" s="438"/>
      <c r="AS881" s="1297"/>
      <c r="AT881" s="1297"/>
      <c r="AU881" s="327">
        <f>I881</f>
        <v>600</v>
      </c>
      <c r="AV881" s="1678">
        <f t="shared" si="299"/>
        <v>36</v>
      </c>
      <c r="AW881" s="1298"/>
      <c r="AX881" s="1437"/>
      <c r="AY881" s="1437"/>
      <c r="AZ881" s="502"/>
      <c r="BA881" s="502"/>
      <c r="BB881" s="1437"/>
      <c r="BC881" s="1437"/>
      <c r="BD881" s="1437"/>
      <c r="BE881" s="1437"/>
      <c r="BF881" s="1437"/>
      <c r="BG881" s="1437"/>
      <c r="BH881" s="1437"/>
      <c r="BI881" s="1437"/>
      <c r="BJ881" s="1437"/>
      <c r="BK881" s="502"/>
      <c r="BL881" s="1437"/>
      <c r="BM881" s="1437"/>
      <c r="BN881" s="502"/>
      <c r="BO881" s="1615"/>
      <c r="BP881" s="1615"/>
      <c r="BQ881" s="1617"/>
      <c r="BR881" s="1616"/>
      <c r="BS881" s="1616"/>
      <c r="BT881" s="1437"/>
      <c r="BU881" s="1437"/>
      <c r="BV881" s="1615"/>
      <c r="BW881" s="1617"/>
      <c r="BX881" s="1617"/>
      <c r="BY881" s="1617"/>
      <c r="BZ881" s="1617"/>
      <c r="CA881" s="1617"/>
      <c r="CB881" s="1617"/>
      <c r="CC881" s="1617">
        <f>I881/30</f>
        <v>20</v>
      </c>
      <c r="CD881" s="327">
        <f t="shared" si="289"/>
        <v>0</v>
      </c>
      <c r="CE881" s="327">
        <f t="shared" si="290"/>
        <v>0</v>
      </c>
      <c r="CF881" s="327">
        <f t="shared" si="291"/>
        <v>20</v>
      </c>
      <c r="CG881" s="327">
        <f>BV881+BW881+BX881</f>
        <v>0</v>
      </c>
      <c r="CH881" s="1618"/>
      <c r="CI881" s="1618"/>
      <c r="CJ881" s="1616"/>
      <c r="CK881" s="1437"/>
      <c r="CL881" s="1437"/>
    </row>
    <row r="882" s="293" customFormat="1" customHeight="1" spans="1:111">
      <c r="A882" s="1606">
        <v>46185</v>
      </c>
      <c r="B882" s="1417" t="s">
        <v>3514</v>
      </c>
      <c r="C882" s="1434" t="s">
        <v>164</v>
      </c>
      <c r="D882" s="1435">
        <v>4500212143</v>
      </c>
      <c r="E882" s="1436">
        <v>4400564348</v>
      </c>
      <c r="F882" s="1437" t="s">
        <v>3515</v>
      </c>
      <c r="G882" s="1438" t="s">
        <v>270</v>
      </c>
      <c r="H882" s="1434" t="s">
        <v>104</v>
      </c>
      <c r="I882" s="1439">
        <v>3000</v>
      </c>
      <c r="J882" s="1434">
        <v>0</v>
      </c>
      <c r="K882" s="1434">
        <v>25</v>
      </c>
      <c r="L882" s="1607">
        <f t="shared" si="298"/>
        <v>120</v>
      </c>
      <c r="M882" s="507">
        <v>46276</v>
      </c>
      <c r="N882" s="507">
        <v>46272</v>
      </c>
      <c r="O882" s="507"/>
      <c r="P882" s="1436"/>
      <c r="Q882" s="1436"/>
      <c r="R882" s="1434"/>
      <c r="S882" s="1434"/>
      <c r="T882" s="1436"/>
      <c r="U882" s="500">
        <f t="shared" ref="U882:U906" si="300">T882-I882</f>
        <v>-3000</v>
      </c>
      <c r="V882" s="1434"/>
      <c r="W882" s="1307">
        <v>46185</v>
      </c>
      <c r="X882" s="1325" t="s">
        <v>95</v>
      </c>
      <c r="Y882" s="1325" t="s">
        <v>1794</v>
      </c>
      <c r="Z882" s="1417" t="s">
        <v>140</v>
      </c>
      <c r="AA882" s="1417"/>
      <c r="AB882" s="1552" t="s">
        <v>2870</v>
      </c>
      <c r="AC882" s="1552" t="s">
        <v>3516</v>
      </c>
      <c r="AD882" s="507" t="s">
        <v>3517</v>
      </c>
      <c r="AE882" s="1437">
        <v>1.1085</v>
      </c>
      <c r="AF882" s="1609">
        <f>I882*AE882</f>
        <v>3325.5</v>
      </c>
      <c r="AG882" s="1610"/>
      <c r="AH882" s="1438" t="s">
        <v>270</v>
      </c>
      <c r="AI882" s="1553" t="s">
        <v>112</v>
      </c>
      <c r="AJ882" s="1434"/>
      <c r="AK882" s="502">
        <f t="shared" ref="AK882:AK888" si="301">I882</f>
        <v>3000</v>
      </c>
      <c r="AL882" s="1437"/>
      <c r="AM882" s="1617"/>
      <c r="AN882" s="1437"/>
      <c r="AO882" s="1437"/>
      <c r="AP882" s="502"/>
      <c r="AQ882" s="1296"/>
      <c r="AR882" s="438"/>
      <c r="AS882" s="1297"/>
      <c r="AT882" s="1297"/>
      <c r="AU882" s="502"/>
      <c r="AV882" s="1612">
        <f t="shared" si="299"/>
        <v>180</v>
      </c>
      <c r="AW882" s="1612"/>
      <c r="AX882" s="1437"/>
      <c r="AY882" s="1437"/>
      <c r="AZ882" s="1437"/>
      <c r="BA882" s="1437"/>
      <c r="BB882" s="1437"/>
      <c r="BC882" s="1437"/>
      <c r="BD882" s="1437"/>
      <c r="BE882" s="1437"/>
      <c r="BF882" s="1437"/>
      <c r="BG882" s="1437">
        <f>I882</f>
        <v>3000</v>
      </c>
      <c r="BH882" s="1450">
        <f>I882</f>
        <v>3000</v>
      </c>
      <c r="BI882" s="1437"/>
      <c r="BJ882" s="1437"/>
      <c r="BK882" s="502"/>
      <c r="BL882" s="1437"/>
      <c r="BM882" s="1437"/>
      <c r="BN882" s="1437"/>
      <c r="BO882" s="1615">
        <f>I882/25</f>
        <v>120</v>
      </c>
      <c r="BP882" s="1615"/>
      <c r="BQ882" s="1617"/>
      <c r="BR882" s="1616"/>
      <c r="BS882" s="1616"/>
      <c r="BT882" s="1437"/>
      <c r="BU882" s="1437"/>
      <c r="BV882" s="1615"/>
      <c r="BW882" s="1617"/>
      <c r="BX882" s="1617"/>
      <c r="BY882" s="1617"/>
      <c r="BZ882" s="1617"/>
      <c r="CA882" s="1617"/>
      <c r="CB882" s="1617"/>
      <c r="CC882" s="1617"/>
      <c r="CD882" s="1218">
        <f t="shared" ref="CD882:CD917" si="302">BN882+BO882+BQ882+BS882+BR882</f>
        <v>120</v>
      </c>
      <c r="CE882" s="1218">
        <f t="shared" ref="CE882:CE919" si="303">BU882</f>
        <v>0</v>
      </c>
      <c r="CF882" s="502">
        <f t="shared" ref="CF882:CF917" si="304">CC882</f>
        <v>0</v>
      </c>
      <c r="CG882" s="1218">
        <f t="shared" ref="CG882:CG917" si="305">BV882+BW882+BX882</f>
        <v>0</v>
      </c>
      <c r="CH882" s="1618"/>
      <c r="CI882" s="1618"/>
      <c r="CJ882" s="1616"/>
      <c r="CK882" s="1437"/>
      <c r="CL882" s="1437"/>
      <c r="CM882" s="1455"/>
      <c r="CN882" s="1455"/>
      <c r="CO882" s="1455"/>
      <c r="CP882" s="1455"/>
      <c r="CQ882" s="1455"/>
      <c r="CR882" s="1455"/>
      <c r="CS882" s="1455"/>
      <c r="CT882" s="1455"/>
      <c r="CU882" s="1455"/>
      <c r="CV882" s="1455"/>
      <c r="CW882" s="1455"/>
      <c r="CX882" s="1455"/>
      <c r="CY882" s="1455"/>
      <c r="CZ882" s="1455"/>
      <c r="DA882" s="1455"/>
      <c r="DB882" s="1455"/>
      <c r="DC882" s="1455"/>
      <c r="DD882" s="1455"/>
      <c r="DE882" s="1455"/>
      <c r="DF882" s="1455"/>
      <c r="DG882" s="1455"/>
    </row>
    <row r="883" s="293" customFormat="1" customHeight="1" spans="1:111">
      <c r="A883" s="1289">
        <v>46199</v>
      </c>
      <c r="B883" s="1417" t="s">
        <v>3173</v>
      </c>
      <c r="C883" s="1434" t="s">
        <v>135</v>
      </c>
      <c r="D883" s="1435">
        <v>4500214102</v>
      </c>
      <c r="E883" s="1434" t="s">
        <v>3518</v>
      </c>
      <c r="F883" s="1437" t="s">
        <v>3519</v>
      </c>
      <c r="G883" s="1438" t="s">
        <v>283</v>
      </c>
      <c r="H883" s="504" t="s">
        <v>194</v>
      </c>
      <c r="I883" s="1439">
        <v>7540</v>
      </c>
      <c r="J883" s="1434">
        <v>0</v>
      </c>
      <c r="K883" s="1434">
        <v>13</v>
      </c>
      <c r="L883" s="1291">
        <f t="shared" si="298"/>
        <v>580</v>
      </c>
      <c r="M883" s="507">
        <v>46276</v>
      </c>
      <c r="N883" s="507">
        <v>46272</v>
      </c>
      <c r="O883" s="507"/>
      <c r="P883" s="506"/>
      <c r="Q883" s="506"/>
      <c r="R883" s="504"/>
      <c r="S883" s="504"/>
      <c r="T883" s="506"/>
      <c r="U883" s="500">
        <f t="shared" si="300"/>
        <v>-7540</v>
      </c>
      <c r="V883" s="504"/>
      <c r="W883" s="1293">
        <v>46199</v>
      </c>
      <c r="X883" s="1301" t="s">
        <v>95</v>
      </c>
      <c r="Y883" s="1301" t="s">
        <v>3402</v>
      </c>
      <c r="Z883" s="544" t="s">
        <v>2494</v>
      </c>
      <c r="AA883" s="544"/>
      <c r="AB883" s="543"/>
      <c r="AC883" s="1560" t="s">
        <v>3430</v>
      </c>
      <c r="AD883" s="1440" t="s">
        <v>3179</v>
      </c>
      <c r="AE883" s="1366">
        <v>1.0755</v>
      </c>
      <c r="AF883" s="1367">
        <f>I883*AE883</f>
        <v>8109.27</v>
      </c>
      <c r="AG883" s="1368"/>
      <c r="AH883" s="1424" t="s">
        <v>283</v>
      </c>
      <c r="AI883" s="488" t="s">
        <v>112</v>
      </c>
      <c r="AJ883" s="504"/>
      <c r="AK883" s="502">
        <f t="shared" si="301"/>
        <v>7540</v>
      </c>
      <c r="AL883" s="502"/>
      <c r="AM883" s="1218"/>
      <c r="AN883" s="1614">
        <f>I883</f>
        <v>7540</v>
      </c>
      <c r="AO883" s="1437"/>
      <c r="AP883" s="502"/>
      <c r="AQ883" s="1296"/>
      <c r="AR883" s="438"/>
      <c r="AS883" s="1297"/>
      <c r="AT883" s="1297"/>
      <c r="AU883" s="502"/>
      <c r="AV883" s="1298">
        <f t="shared" si="299"/>
        <v>452.4</v>
      </c>
      <c r="AW883" s="1298">
        <f>I883</f>
        <v>7540</v>
      </c>
      <c r="AX883" s="502"/>
      <c r="AY883" s="502"/>
      <c r="AZ883" s="502"/>
      <c r="BA883" s="502"/>
      <c r="BB883" s="502"/>
      <c r="BC883" s="502"/>
      <c r="BD883" s="502"/>
      <c r="BE883" s="502"/>
      <c r="BF883" s="502"/>
      <c r="BG883" s="502"/>
      <c r="BH883" s="502"/>
      <c r="BI883" s="502"/>
      <c r="BJ883" s="502"/>
      <c r="BK883" s="1420">
        <f>I883/13</f>
        <v>580</v>
      </c>
      <c r="BL883" s="502"/>
      <c r="BM883" s="502"/>
      <c r="BN883" s="502"/>
      <c r="BO883" s="1296"/>
      <c r="BP883" s="1316"/>
      <c r="BQ883" s="1218"/>
      <c r="BR883" s="1297"/>
      <c r="BS883" s="1297"/>
      <c r="BT883" s="502"/>
      <c r="BU883" s="502"/>
      <c r="BV883" s="1296"/>
      <c r="BW883" s="1218"/>
      <c r="BX883" s="1218"/>
      <c r="BY883" s="1218"/>
      <c r="BZ883" s="1218"/>
      <c r="CA883" s="1218"/>
      <c r="CB883" s="1218"/>
      <c r="CC883" s="1218"/>
      <c r="CD883" s="1218">
        <f t="shared" si="302"/>
        <v>0</v>
      </c>
      <c r="CE883" s="1218">
        <f t="shared" si="303"/>
        <v>0</v>
      </c>
      <c r="CF883" s="502">
        <f t="shared" si="304"/>
        <v>0</v>
      </c>
      <c r="CG883" s="1218">
        <f t="shared" si="305"/>
        <v>0</v>
      </c>
      <c r="CH883" s="1299"/>
      <c r="CI883" s="1299"/>
      <c r="CJ883" s="1297"/>
      <c r="CK883" s="502"/>
      <c r="CL883" s="502"/>
    </row>
    <row r="884" s="293" customFormat="1" customHeight="1" spans="1:111">
      <c r="A884" s="1309">
        <v>46217</v>
      </c>
      <c r="B884" s="544" t="s">
        <v>134</v>
      </c>
      <c r="C884" s="488" t="s">
        <v>135</v>
      </c>
      <c r="D884" s="1445">
        <v>4500216456</v>
      </c>
      <c r="E884" s="1313">
        <v>4400577353</v>
      </c>
      <c r="F884" s="327" t="s">
        <v>3520</v>
      </c>
      <c r="G884" s="1310" t="s">
        <v>270</v>
      </c>
      <c r="H884" s="504" t="s">
        <v>104</v>
      </c>
      <c r="I884" s="1311">
        <v>9775</v>
      </c>
      <c r="J884" s="488">
        <v>0</v>
      </c>
      <c r="K884" s="488">
        <v>25</v>
      </c>
      <c r="L884" s="1544">
        <f t="shared" si="298"/>
        <v>391</v>
      </c>
      <c r="M884" s="1312">
        <v>46277</v>
      </c>
      <c r="N884" s="1312">
        <v>46273</v>
      </c>
      <c r="O884" s="1312"/>
      <c r="P884" s="1313" t="s">
        <v>3521</v>
      </c>
      <c r="Q884" s="1313"/>
      <c r="R884" s="488" t="s">
        <v>1368</v>
      </c>
      <c r="S884" s="488"/>
      <c r="T884" s="1313"/>
      <c r="U884" s="500">
        <f t="shared" si="300"/>
        <v>-9775</v>
      </c>
      <c r="V884" s="488"/>
      <c r="W884" s="1300">
        <v>46203</v>
      </c>
      <c r="X884" s="1301" t="s">
        <v>95</v>
      </c>
      <c r="Y884" s="1301" t="s">
        <v>1794</v>
      </c>
      <c r="Z884" s="544" t="s">
        <v>140</v>
      </c>
      <c r="AA884" s="544"/>
      <c r="AB884" s="544" t="s">
        <v>2870</v>
      </c>
      <c r="AC884" s="544" t="s">
        <v>2245</v>
      </c>
      <c r="AD884" s="1312" t="s">
        <v>1142</v>
      </c>
      <c r="AE884" s="327">
        <v>1.1031</v>
      </c>
      <c r="AF884" s="1315">
        <f>I884*AE884</f>
        <v>10782.8025</v>
      </c>
      <c r="AG884" s="1295"/>
      <c r="AH884" s="488" t="s">
        <v>270</v>
      </c>
      <c r="AI884" s="488" t="s">
        <v>112</v>
      </c>
      <c r="AJ884" s="488"/>
      <c r="AK884" s="327">
        <f t="shared" si="301"/>
        <v>9775</v>
      </c>
      <c r="AL884" s="327"/>
      <c r="AM884" s="327"/>
      <c r="AN884" s="327"/>
      <c r="AO884" s="327"/>
      <c r="AP884" s="327"/>
      <c r="AQ884" s="1316"/>
      <c r="AR884" s="327"/>
      <c r="AS884" s="1317"/>
      <c r="AT884" s="1317"/>
      <c r="AU884" s="327"/>
      <c r="AV884" s="1318">
        <f t="shared" si="299"/>
        <v>586.5</v>
      </c>
      <c r="AW884" s="1318"/>
      <c r="AX884" s="327"/>
      <c r="AY884" s="327"/>
      <c r="AZ884" s="327"/>
      <c r="BA884" s="327"/>
      <c r="BB884" s="327"/>
      <c r="BC884" s="327"/>
      <c r="BD884" s="327"/>
      <c r="BE884" s="327"/>
      <c r="BF884" s="327"/>
      <c r="BG884" s="327">
        <f>I884</f>
        <v>9775</v>
      </c>
      <c r="BH884" s="327">
        <f>I884</f>
        <v>9775</v>
      </c>
      <c r="BI884" s="327"/>
      <c r="BJ884" s="327"/>
      <c r="BK884" s="327"/>
      <c r="BL884" s="327"/>
      <c r="BM884" s="327"/>
      <c r="BN884" s="327"/>
      <c r="BO884" s="1698">
        <f>I884/25</f>
        <v>391</v>
      </c>
      <c r="BP884" s="1316"/>
      <c r="BQ884" s="327"/>
      <c r="BR884" s="1317"/>
      <c r="BS884" s="1317"/>
      <c r="BT884" s="327"/>
      <c r="BU884" s="327"/>
      <c r="BV884" s="1316"/>
      <c r="BW884" s="327"/>
      <c r="BX884" s="327"/>
      <c r="BY884" s="327"/>
      <c r="BZ884" s="327"/>
      <c r="CA884" s="327"/>
      <c r="CB884" s="327"/>
      <c r="CC884" s="327"/>
      <c r="CD884" s="1218">
        <f t="shared" si="302"/>
        <v>391</v>
      </c>
      <c r="CE884" s="1218">
        <f t="shared" si="303"/>
        <v>0</v>
      </c>
      <c r="CF884" s="502">
        <f t="shared" si="304"/>
        <v>0</v>
      </c>
      <c r="CG884" s="1218">
        <f t="shared" si="305"/>
        <v>0</v>
      </c>
      <c r="CH884" s="1317"/>
      <c r="CI884" s="1317"/>
      <c r="CJ884" s="1317"/>
      <c r="CK884" s="327"/>
      <c r="CL884" s="327"/>
      <c r="CM884" s="1177"/>
      <c r="CN884" s="1177"/>
      <c r="CO884" s="1177"/>
      <c r="CP884" s="1177"/>
      <c r="CQ884" s="1177"/>
      <c r="CR884" s="1177"/>
      <c r="CS884" s="1177"/>
      <c r="CT884" s="1177"/>
      <c r="CU884" s="1177"/>
      <c r="CV884" s="1177"/>
      <c r="CW884" s="1177"/>
      <c r="CX884" s="1177"/>
      <c r="CY884" s="1177"/>
      <c r="CZ884" s="1177"/>
      <c r="DA884" s="1177"/>
      <c r="DB884" s="1177"/>
      <c r="DC884" s="1177"/>
      <c r="DD884" s="1177"/>
      <c r="DE884" s="1177"/>
      <c r="DF884" s="1177"/>
      <c r="DG884" s="1177"/>
    </row>
    <row r="885" s="293" customFormat="1" customHeight="1" spans="1:111">
      <c r="A885" s="1670">
        <v>46217</v>
      </c>
      <c r="B885" s="1552" t="s">
        <v>134</v>
      </c>
      <c r="C885" s="1553" t="s">
        <v>135</v>
      </c>
      <c r="D885" s="1554">
        <v>4500216456</v>
      </c>
      <c r="E885" s="1621">
        <v>4400577352</v>
      </c>
      <c r="F885" s="1555" t="s">
        <v>3522</v>
      </c>
      <c r="G885" s="1556" t="s">
        <v>270</v>
      </c>
      <c r="H885" s="1434" t="s">
        <v>104</v>
      </c>
      <c r="I885" s="1557">
        <v>49375</v>
      </c>
      <c r="J885" s="1553">
        <v>0</v>
      </c>
      <c r="K885" s="1553">
        <v>25</v>
      </c>
      <c r="L885" s="1675">
        <f t="shared" si="298"/>
        <v>1975</v>
      </c>
      <c r="M885" s="1545">
        <v>46277</v>
      </c>
      <c r="N885" s="1545">
        <v>46273</v>
      </c>
      <c r="O885" s="1545"/>
      <c r="P885" s="1621" t="s">
        <v>3521</v>
      </c>
      <c r="Q885" s="1621"/>
      <c r="R885" s="1553" t="s">
        <v>1368</v>
      </c>
      <c r="S885" s="1553"/>
      <c r="T885" s="1621"/>
      <c r="U885" s="500">
        <f t="shared" si="300"/>
        <v>-49375</v>
      </c>
      <c r="V885" s="1553"/>
      <c r="W885" s="1300">
        <v>46203</v>
      </c>
      <c r="X885" s="1301" t="s">
        <v>95</v>
      </c>
      <c r="Y885" s="1301" t="s">
        <v>1794</v>
      </c>
      <c r="Z885" s="1552" t="s">
        <v>140</v>
      </c>
      <c r="AA885" s="1552"/>
      <c r="AB885" s="1552" t="s">
        <v>2870</v>
      </c>
      <c r="AC885" s="1552" t="s">
        <v>2245</v>
      </c>
      <c r="AD885" s="1545" t="s">
        <v>1142</v>
      </c>
      <c r="AE885" s="1555">
        <v>1.0856</v>
      </c>
      <c r="AF885" s="1677">
        <f>I885*AE885</f>
        <v>53601.5</v>
      </c>
      <c r="AG885" s="1610"/>
      <c r="AH885" s="1553" t="s">
        <v>270</v>
      </c>
      <c r="AI885" s="488" t="s">
        <v>112</v>
      </c>
      <c r="AJ885" s="1553"/>
      <c r="AK885" s="327">
        <f t="shared" si="301"/>
        <v>49375</v>
      </c>
      <c r="AL885" s="1555"/>
      <c r="AM885" s="1555"/>
      <c r="AN885" s="1555"/>
      <c r="AO885" s="1555"/>
      <c r="AP885" s="1555"/>
      <c r="AQ885" s="1679"/>
      <c r="AR885" s="1555"/>
      <c r="AS885" s="1680"/>
      <c r="AT885" s="1680"/>
      <c r="AU885" s="1555"/>
      <c r="AV885" s="1678">
        <f t="shared" si="299"/>
        <v>2962.5</v>
      </c>
      <c r="AW885" s="1678"/>
      <c r="AX885" s="1555"/>
      <c r="AY885" s="1555"/>
      <c r="AZ885" s="1555"/>
      <c r="BA885" s="1555"/>
      <c r="BB885" s="1555"/>
      <c r="BC885" s="1555"/>
      <c r="BD885" s="1555"/>
      <c r="BE885" s="1555"/>
      <c r="BF885" s="1555"/>
      <c r="BG885" s="1555">
        <f>I885</f>
        <v>49375</v>
      </c>
      <c r="BH885" s="1555">
        <f>I885</f>
        <v>49375</v>
      </c>
      <c r="BI885" s="1555"/>
      <c r="BJ885" s="1555"/>
      <c r="BK885" s="1555"/>
      <c r="BL885" s="1555"/>
      <c r="BM885" s="1555"/>
      <c r="BN885" s="1555"/>
      <c r="BO885" s="1699">
        <f>I885/25</f>
        <v>1975</v>
      </c>
      <c r="BP885" s="1679"/>
      <c r="BQ885" s="1555"/>
      <c r="BR885" s="1680"/>
      <c r="BS885" s="1680"/>
      <c r="BT885" s="1555"/>
      <c r="BU885" s="1555"/>
      <c r="BV885" s="1679"/>
      <c r="BW885" s="1555"/>
      <c r="BX885" s="1555"/>
      <c r="BY885" s="1555"/>
      <c r="BZ885" s="1555"/>
      <c r="CA885" s="1555"/>
      <c r="CB885" s="1555"/>
      <c r="CC885" s="1555"/>
      <c r="CD885" s="1617">
        <f t="shared" si="302"/>
        <v>1975</v>
      </c>
      <c r="CE885" s="1617">
        <f t="shared" si="303"/>
        <v>0</v>
      </c>
      <c r="CF885" s="1437">
        <f t="shared" si="304"/>
        <v>0</v>
      </c>
      <c r="CG885" s="1617">
        <f t="shared" si="305"/>
        <v>0</v>
      </c>
      <c r="CH885" s="1680"/>
      <c r="CI885" s="1680"/>
      <c r="CJ885" s="1680"/>
      <c r="CK885" s="1555"/>
      <c r="CL885" s="1555"/>
      <c r="CM885" s="1177"/>
      <c r="CN885" s="1177"/>
      <c r="CO885" s="1177"/>
      <c r="CP885" s="1177"/>
      <c r="CQ885" s="1177"/>
      <c r="CR885" s="1177"/>
      <c r="CS885" s="1177"/>
      <c r="CT885" s="1177"/>
      <c r="CU885" s="1177"/>
      <c r="CV885" s="1177"/>
      <c r="CW885" s="1177"/>
      <c r="CX885" s="1177"/>
      <c r="CY885" s="1177"/>
      <c r="CZ885" s="1177"/>
      <c r="DA885" s="1177"/>
      <c r="DB885" s="1177"/>
      <c r="DC885" s="1177"/>
      <c r="DD885" s="1177"/>
      <c r="DE885" s="1177"/>
      <c r="DF885" s="1177"/>
      <c r="DG885" s="1177"/>
    </row>
    <row r="886" s="1179" customFormat="1" customHeight="1" spans="1:111">
      <c r="A886" s="1588">
        <v>46210</v>
      </c>
      <c r="B886" s="1708" t="s">
        <v>3523</v>
      </c>
      <c r="C886" s="1054" t="s">
        <v>1439</v>
      </c>
      <c r="D886" s="1187">
        <v>4500215212</v>
      </c>
      <c r="E886" s="1054"/>
      <c r="F886" s="1187" t="s">
        <v>3524</v>
      </c>
      <c r="G886" s="1713" t="s">
        <v>799</v>
      </c>
      <c r="H886" s="1454" t="s">
        <v>800</v>
      </c>
      <c r="I886" s="1714">
        <v>1500</v>
      </c>
      <c r="J886" s="1054">
        <v>0</v>
      </c>
      <c r="K886" s="1054">
        <v>30</v>
      </c>
      <c r="L886" s="1715">
        <f t="shared" si="298"/>
        <v>50</v>
      </c>
      <c r="M886" s="1717">
        <v>46279</v>
      </c>
      <c r="N886" s="1717">
        <v>46275</v>
      </c>
      <c r="O886" s="1717"/>
      <c r="P886" s="1314"/>
      <c r="Q886" s="1314"/>
      <c r="R886" s="1054"/>
      <c r="S886" s="1054"/>
      <c r="T886" s="1314"/>
      <c r="U886" s="500">
        <f t="shared" si="300"/>
        <v>-1500</v>
      </c>
      <c r="V886" s="1054"/>
      <c r="W886" s="1300" t="s">
        <v>2658</v>
      </c>
      <c r="X886" s="1294" t="s">
        <v>95</v>
      </c>
      <c r="Y886" s="1294" t="s">
        <v>3525</v>
      </c>
      <c r="Z886" s="544"/>
      <c r="AA886" s="544"/>
      <c r="AB886" s="544"/>
      <c r="AC886" s="1708" t="s">
        <v>3526</v>
      </c>
      <c r="AD886" s="1717" t="s">
        <v>2600</v>
      </c>
      <c r="AE886" s="1187">
        <v>42.021</v>
      </c>
      <c r="AF886" s="1718">
        <f>AE886*L886</f>
        <v>2101.05</v>
      </c>
      <c r="AG886" s="1295"/>
      <c r="AH886" s="505" t="s">
        <v>799</v>
      </c>
      <c r="AI886" s="488" t="s">
        <v>112</v>
      </c>
      <c r="AJ886" s="1054"/>
      <c r="AK886" s="502">
        <f t="shared" si="301"/>
        <v>1500</v>
      </c>
      <c r="AL886" s="1187"/>
      <c r="AM886" s="1187"/>
      <c r="AN886" s="1187"/>
      <c r="AO886" s="1187"/>
      <c r="AP886" s="1187">
        <f>I886</f>
        <v>1500</v>
      </c>
      <c r="AQ886" s="1187"/>
      <c r="AR886" s="1187"/>
      <c r="AS886" s="1187"/>
      <c r="AT886" s="1187"/>
      <c r="AU886" s="1187">
        <f>I886</f>
        <v>1500</v>
      </c>
      <c r="AV886" s="1318"/>
      <c r="AW886" s="1318"/>
      <c r="AX886" s="1187"/>
      <c r="AY886" s="1187"/>
      <c r="AZ886" s="1187"/>
      <c r="BA886" s="1187"/>
      <c r="BB886" s="1187"/>
      <c r="BC886" s="1187"/>
      <c r="BD886" s="1187"/>
      <c r="BE886" s="1187"/>
      <c r="BF886" s="1187"/>
      <c r="BG886" s="327"/>
      <c r="BH886" s="327"/>
      <c r="BI886" s="1187"/>
      <c r="BJ886" s="1187"/>
      <c r="BK886" s="1187"/>
      <c r="BL886" s="1187"/>
      <c r="BM886" s="1187"/>
      <c r="BN886" s="1187"/>
      <c r="BO886" s="1316"/>
      <c r="BP886" s="1187"/>
      <c r="BQ886" s="1187"/>
      <c r="BR886" s="1187"/>
      <c r="BS886" s="1187"/>
      <c r="BT886" s="1187"/>
      <c r="BU886" s="1187"/>
      <c r="BV886" s="1187"/>
      <c r="BW886" s="1187"/>
      <c r="BX886" s="1187"/>
      <c r="BY886" s="1187"/>
      <c r="BZ886" s="1187"/>
      <c r="CA886" s="1187"/>
      <c r="CB886" s="1187"/>
      <c r="CC886" s="1187">
        <f>I886/30</f>
        <v>50</v>
      </c>
      <c r="CD886" s="1218">
        <f t="shared" si="302"/>
        <v>0</v>
      </c>
      <c r="CE886" s="1218">
        <f t="shared" si="303"/>
        <v>0</v>
      </c>
      <c r="CF886" s="502">
        <f t="shared" si="304"/>
        <v>50</v>
      </c>
      <c r="CG886" s="1218">
        <f t="shared" si="305"/>
        <v>0</v>
      </c>
      <c r="CH886" s="327"/>
      <c r="CI886" s="327"/>
      <c r="CJ886" s="1187"/>
      <c r="CK886" s="1187"/>
      <c r="CL886" s="1187"/>
      <c r="CM886" s="1180"/>
      <c r="CN886" s="1180"/>
      <c r="CO886" s="1180"/>
      <c r="CP886" s="1180"/>
      <c r="CQ886" s="1180"/>
      <c r="CR886" s="1180"/>
      <c r="CS886" s="1180"/>
      <c r="CT886" s="1180"/>
      <c r="CU886" s="1180"/>
      <c r="CV886" s="1180"/>
      <c r="CW886" s="1180"/>
      <c r="CX886" s="1180"/>
      <c r="CY886" s="1180"/>
      <c r="CZ886" s="1180"/>
      <c r="DA886" s="1180"/>
      <c r="DB886" s="1180"/>
      <c r="DC886" s="1180"/>
      <c r="DD886" s="1180"/>
      <c r="DE886" s="1180"/>
      <c r="DF886" s="1180"/>
      <c r="DG886" s="1180"/>
    </row>
    <row r="887" s="1179" customFormat="1" customHeight="1" spans="1:111">
      <c r="A887" s="1703">
        <v>46189</v>
      </c>
      <c r="B887" s="1704" t="s">
        <v>3527</v>
      </c>
      <c r="C887" s="1454" t="s">
        <v>2458</v>
      </c>
      <c r="D887" s="1705">
        <v>4500210658</v>
      </c>
      <c r="E887" s="1292">
        <v>5000002246</v>
      </c>
      <c r="F887" s="1601" t="s">
        <v>3528</v>
      </c>
      <c r="G887" s="1706" t="s">
        <v>2460</v>
      </c>
      <c r="H887" s="1454" t="s">
        <v>2461</v>
      </c>
      <c r="I887" s="1707">
        <v>6500</v>
      </c>
      <c r="J887" s="1454">
        <v>0</v>
      </c>
      <c r="K887" s="1454">
        <v>13</v>
      </c>
      <c r="L887" s="1597">
        <f t="shared" si="298"/>
        <v>500</v>
      </c>
      <c r="M887" s="1586">
        <v>46279</v>
      </c>
      <c r="N887" s="1586">
        <v>46275</v>
      </c>
      <c r="O887" s="434" t="s">
        <v>2463</v>
      </c>
      <c r="P887" s="1292"/>
      <c r="Q887" s="1292"/>
      <c r="R887" s="1454"/>
      <c r="S887" s="1454"/>
      <c r="T887" s="1292"/>
      <c r="U887" s="500">
        <f t="shared" si="300"/>
        <v>-6500</v>
      </c>
      <c r="V887" s="1454"/>
      <c r="W887" s="1300" t="s">
        <v>3494</v>
      </c>
      <c r="X887" s="1294" t="s">
        <v>95</v>
      </c>
      <c r="Y887" s="1294" t="s">
        <v>3529</v>
      </c>
      <c r="Z887" s="544"/>
      <c r="AA887" s="544"/>
      <c r="AB887" s="543"/>
      <c r="AC887" s="1708" t="s">
        <v>3530</v>
      </c>
      <c r="AD887" s="1586" t="s">
        <v>3531</v>
      </c>
      <c r="AE887" s="1601">
        <v>0.9996</v>
      </c>
      <c r="AF887" s="1600">
        <f>I887*AE887</f>
        <v>6497.4</v>
      </c>
      <c r="AG887" s="1295"/>
      <c r="AH887" s="488" t="s">
        <v>2468</v>
      </c>
      <c r="AI887" s="488" t="s">
        <v>112</v>
      </c>
      <c r="AJ887" s="1454"/>
      <c r="AK887" s="502">
        <f t="shared" si="301"/>
        <v>6500</v>
      </c>
      <c r="AL887" s="1601"/>
      <c r="AM887" s="1182"/>
      <c r="AN887" s="1709">
        <f>I887</f>
        <v>6500</v>
      </c>
      <c r="AO887" s="1601"/>
      <c r="AP887" s="1601"/>
      <c r="AQ887" s="1296"/>
      <c r="AR887" s="520"/>
      <c r="AS887" s="1601"/>
      <c r="AT887" s="1601"/>
      <c r="AU887" s="1601"/>
      <c r="AV887" s="1298"/>
      <c r="AW887" s="1298"/>
      <c r="AX887" s="1601"/>
      <c r="AY887" s="1601"/>
      <c r="AZ887" s="1601">
        <f>I887</f>
        <v>6500</v>
      </c>
      <c r="BA887" s="1601">
        <f>I887</f>
        <v>6500</v>
      </c>
      <c r="BB887" s="1601"/>
      <c r="BC887" s="1601"/>
      <c r="BD887" s="1601"/>
      <c r="BE887" s="1601"/>
      <c r="BF887" s="1601"/>
      <c r="BG887" s="502"/>
      <c r="BH887" s="502"/>
      <c r="BI887" s="1601"/>
      <c r="BJ887" s="1601"/>
      <c r="BK887" s="1709">
        <f>I887/13</f>
        <v>500</v>
      </c>
      <c r="BL887" s="1601"/>
      <c r="BM887" s="1601"/>
      <c r="BN887" s="1601"/>
      <c r="BO887" s="1296"/>
      <c r="BP887" s="1601"/>
      <c r="BQ887" s="1182"/>
      <c r="BR887" s="1601"/>
      <c r="BS887" s="1601"/>
      <c r="BT887" s="1601"/>
      <c r="BU887" s="1601"/>
      <c r="BV887" s="1601"/>
      <c r="BW887" s="1182"/>
      <c r="BX887" s="1182"/>
      <c r="BY887" s="1182"/>
      <c r="BZ887" s="1182"/>
      <c r="CA887" s="1182"/>
      <c r="CB887" s="1182"/>
      <c r="CC887" s="1182"/>
      <c r="CD887" s="1218">
        <f t="shared" si="302"/>
        <v>0</v>
      </c>
      <c r="CE887" s="1218">
        <f t="shared" si="303"/>
        <v>0</v>
      </c>
      <c r="CF887" s="502">
        <f t="shared" si="304"/>
        <v>0</v>
      </c>
      <c r="CG887" s="1218">
        <f t="shared" si="305"/>
        <v>0</v>
      </c>
      <c r="CH887" s="1218"/>
      <c r="CI887" s="1218"/>
      <c r="CJ887" s="1601"/>
      <c r="CK887" s="1601"/>
      <c r="CL887" s="1601"/>
      <c r="CM887" s="293"/>
      <c r="CN887" s="293"/>
      <c r="CO887" s="293"/>
      <c r="CP887" s="293"/>
      <c r="CQ887" s="293"/>
      <c r="CR887" s="293"/>
      <c r="CS887" s="293"/>
      <c r="CT887" s="293"/>
      <c r="CU887" s="293"/>
      <c r="CV887" s="293"/>
      <c r="CW887" s="293"/>
      <c r="CX887" s="293"/>
      <c r="CY887" s="293"/>
      <c r="CZ887" s="293"/>
      <c r="DA887" s="293"/>
      <c r="DB887" s="293"/>
      <c r="DC887" s="293"/>
      <c r="DD887" s="293"/>
      <c r="DE887" s="293"/>
      <c r="DF887" s="293"/>
      <c r="DG887" s="293"/>
    </row>
    <row r="888" s="1179" customFormat="1" customHeight="1" spans="1:111">
      <c r="A888" s="1703">
        <v>46189</v>
      </c>
      <c r="B888" s="1704" t="s">
        <v>3527</v>
      </c>
      <c r="C888" s="1454" t="s">
        <v>2458</v>
      </c>
      <c r="D888" s="1705">
        <v>4500210658</v>
      </c>
      <c r="E888" s="1292">
        <v>5000002246</v>
      </c>
      <c r="F888" s="1601" t="s">
        <v>3532</v>
      </c>
      <c r="G888" s="1706" t="s">
        <v>2460</v>
      </c>
      <c r="H888" s="1454" t="s">
        <v>2461</v>
      </c>
      <c r="I888" s="1707">
        <v>26000</v>
      </c>
      <c r="J888" s="1454">
        <v>0</v>
      </c>
      <c r="K888" s="1454">
        <v>13</v>
      </c>
      <c r="L888" s="1597">
        <f t="shared" si="298"/>
        <v>2000</v>
      </c>
      <c r="M888" s="1586">
        <v>46279</v>
      </c>
      <c r="N888" s="1586">
        <v>46275</v>
      </c>
      <c r="O888" s="434" t="s">
        <v>2463</v>
      </c>
      <c r="P888" s="1292"/>
      <c r="Q888" s="1292"/>
      <c r="R888" s="1454"/>
      <c r="S888" s="1454"/>
      <c r="T888" s="1292"/>
      <c r="U888" s="500">
        <f t="shared" si="300"/>
        <v>-26000</v>
      </c>
      <c r="V888" s="1454"/>
      <c r="W888" s="1300" t="s">
        <v>3494</v>
      </c>
      <c r="X888" s="1294" t="s">
        <v>95</v>
      </c>
      <c r="Y888" s="1294" t="s">
        <v>3529</v>
      </c>
      <c r="Z888" s="544"/>
      <c r="AA888" s="544"/>
      <c r="AB888" s="543"/>
      <c r="AC888" s="1708" t="s">
        <v>3530</v>
      </c>
      <c r="AD888" s="1586" t="s">
        <v>3531</v>
      </c>
      <c r="AE888" s="1601">
        <v>0.9996</v>
      </c>
      <c r="AF888" s="1600">
        <f>I888*AE888</f>
        <v>25989.6</v>
      </c>
      <c r="AG888" s="1295"/>
      <c r="AH888" s="488" t="s">
        <v>2468</v>
      </c>
      <c r="AI888" s="488" t="s">
        <v>112</v>
      </c>
      <c r="AJ888" s="1454"/>
      <c r="AK888" s="502">
        <f t="shared" si="301"/>
        <v>26000</v>
      </c>
      <c r="AL888" s="1601"/>
      <c r="AM888" s="1182"/>
      <c r="AN888" s="1709">
        <f>I888</f>
        <v>26000</v>
      </c>
      <c r="AO888" s="1601"/>
      <c r="AP888" s="1601"/>
      <c r="AQ888" s="1296"/>
      <c r="AR888" s="520"/>
      <c r="AS888" s="1601"/>
      <c r="AT888" s="1601"/>
      <c r="AU888" s="1601"/>
      <c r="AV888" s="1298"/>
      <c r="AW888" s="1298"/>
      <c r="AX888" s="1601"/>
      <c r="AY888" s="1601"/>
      <c r="AZ888" s="1601">
        <f>I888</f>
        <v>26000</v>
      </c>
      <c r="BA888" s="1601">
        <f>I888</f>
        <v>26000</v>
      </c>
      <c r="BB888" s="1601"/>
      <c r="BC888" s="1601"/>
      <c r="BD888" s="1601"/>
      <c r="BE888" s="1601"/>
      <c r="BF888" s="1601"/>
      <c r="BG888" s="502"/>
      <c r="BH888" s="502"/>
      <c r="BI888" s="1601"/>
      <c r="BJ888" s="1601"/>
      <c r="BK888" s="1709">
        <f>I888/13</f>
        <v>2000</v>
      </c>
      <c r="BL888" s="1601"/>
      <c r="BM888" s="1601"/>
      <c r="BN888" s="1601"/>
      <c r="BO888" s="1296"/>
      <c r="BP888" s="1601"/>
      <c r="BQ888" s="1182"/>
      <c r="BR888" s="1601"/>
      <c r="BS888" s="1601"/>
      <c r="BT888" s="1601"/>
      <c r="BU888" s="1601"/>
      <c r="BV888" s="1601"/>
      <c r="BW888" s="1182"/>
      <c r="BX888" s="1182"/>
      <c r="BY888" s="1182"/>
      <c r="BZ888" s="1182"/>
      <c r="CA888" s="1182"/>
      <c r="CB888" s="1182"/>
      <c r="CC888" s="1182"/>
      <c r="CD888" s="1218">
        <f t="shared" si="302"/>
        <v>0</v>
      </c>
      <c r="CE888" s="1218">
        <f t="shared" si="303"/>
        <v>0</v>
      </c>
      <c r="CF888" s="502">
        <f t="shared" si="304"/>
        <v>0</v>
      </c>
      <c r="CG888" s="1218">
        <f t="shared" si="305"/>
        <v>0</v>
      </c>
      <c r="CH888" s="1218"/>
      <c r="CI888" s="1218"/>
      <c r="CJ888" s="1601"/>
      <c r="CK888" s="1601"/>
      <c r="CL888" s="1601"/>
      <c r="CM888" s="293"/>
      <c r="CN888" s="293"/>
      <c r="CO888" s="293"/>
      <c r="CP888" s="293"/>
      <c r="CQ888" s="293"/>
      <c r="CR888" s="293"/>
      <c r="CS888" s="293"/>
      <c r="CT888" s="293"/>
      <c r="CU888" s="293"/>
      <c r="CV888" s="293"/>
      <c r="CW888" s="293"/>
      <c r="CX888" s="293"/>
      <c r="CY888" s="293"/>
      <c r="CZ888" s="293"/>
      <c r="DA888" s="293"/>
      <c r="DB888" s="293"/>
      <c r="DC888" s="293"/>
      <c r="DD888" s="293"/>
      <c r="DE888" s="293"/>
      <c r="DF888" s="293"/>
      <c r="DG888" s="293"/>
    </row>
    <row r="889" s="1179" customFormat="1" customHeight="1" spans="1:111">
      <c r="A889" s="1703">
        <v>46203</v>
      </c>
      <c r="B889" s="1704" t="s">
        <v>525</v>
      </c>
      <c r="C889" s="1454" t="s">
        <v>508</v>
      </c>
      <c r="D889" s="1705">
        <v>4500214354</v>
      </c>
      <c r="E889" s="1292">
        <v>21785616</v>
      </c>
      <c r="F889" s="1601" t="s">
        <v>3533</v>
      </c>
      <c r="G889" s="1736" t="s">
        <v>3244</v>
      </c>
      <c r="H889" s="1454" t="s">
        <v>804</v>
      </c>
      <c r="I889" s="1707">
        <v>1668</v>
      </c>
      <c r="J889" s="1454">
        <v>0</v>
      </c>
      <c r="K889" s="1454">
        <v>6</v>
      </c>
      <c r="L889" s="1597">
        <f t="shared" si="298"/>
        <v>278</v>
      </c>
      <c r="M889" s="1586">
        <v>46279</v>
      </c>
      <c r="N889" s="1586">
        <v>46275</v>
      </c>
      <c r="O889" s="1586"/>
      <c r="P889" s="1292"/>
      <c r="Q889" s="1292"/>
      <c r="R889" s="1454"/>
      <c r="S889" s="1454"/>
      <c r="T889" s="1292"/>
      <c r="U889" s="500">
        <f t="shared" si="300"/>
        <v>-1668</v>
      </c>
      <c r="V889" s="1454"/>
      <c r="W889" s="1300">
        <v>46248</v>
      </c>
      <c r="X889" s="1308" t="s">
        <v>107</v>
      </c>
      <c r="Y889" s="1294" t="s">
        <v>3534</v>
      </c>
      <c r="Z889" s="1701" t="s">
        <v>360</v>
      </c>
      <c r="AA889" s="544"/>
      <c r="AB889" s="543" t="s">
        <v>2376</v>
      </c>
      <c r="AC889" s="1752" t="s">
        <v>3535</v>
      </c>
      <c r="AD889" s="1586" t="s">
        <v>362</v>
      </c>
      <c r="AE889" s="1601">
        <v>8.5</v>
      </c>
      <c r="AF889" s="1600">
        <f t="shared" ref="AF889:AF898" si="306">AE889*I889</f>
        <v>14178</v>
      </c>
      <c r="AG889" s="1295"/>
      <c r="AH889" s="488" t="s">
        <v>2727</v>
      </c>
      <c r="AI889" s="488" t="s">
        <v>112</v>
      </c>
      <c r="AJ889" s="1454"/>
      <c r="AK889" s="327">
        <f>I889*2</f>
        <v>3336</v>
      </c>
      <c r="AL889" s="1601"/>
      <c r="AM889" s="1182"/>
      <c r="AN889" s="1601"/>
      <c r="AO889" s="1601"/>
      <c r="AP889" s="1601"/>
      <c r="AQ889" s="1601"/>
      <c r="AR889" s="1187">
        <f>I889*2</f>
        <v>3336</v>
      </c>
      <c r="AS889" s="1601"/>
      <c r="AT889" s="1601"/>
      <c r="AU889" s="1601"/>
      <c r="AV889" s="1298">
        <f t="shared" ref="AV889:AV894" si="307">I889*0.06*2</f>
        <v>200.16</v>
      </c>
      <c r="AW889" s="1298"/>
      <c r="AX889" s="1601">
        <f t="shared" ref="AX889:AX903" si="308">I889</f>
        <v>1668</v>
      </c>
      <c r="AY889" s="1601"/>
      <c r="AZ889" s="1601"/>
      <c r="BA889" s="1601"/>
      <c r="BB889" s="1601"/>
      <c r="BC889" s="1601"/>
      <c r="BD889" s="1601"/>
      <c r="BE889" s="1601"/>
      <c r="BF889" s="1601"/>
      <c r="BG889" s="502"/>
      <c r="BH889" s="502"/>
      <c r="BI889" s="1601"/>
      <c r="BJ889" s="1601"/>
      <c r="BK889" s="1601"/>
      <c r="BL889" s="1601"/>
      <c r="BM889" s="1601"/>
      <c r="BN889" s="1601"/>
      <c r="BO889" s="1296"/>
      <c r="BP889" s="1601"/>
      <c r="BQ889" s="1182"/>
      <c r="BR889" s="1601"/>
      <c r="BS889" s="1601"/>
      <c r="BT889" s="1601"/>
      <c r="BU889" s="1601"/>
      <c r="BV889" s="1601"/>
      <c r="BW889" s="1182"/>
      <c r="BX889" s="1182"/>
      <c r="BY889" s="1182"/>
      <c r="BZ889" s="1182"/>
      <c r="CA889" s="1182"/>
      <c r="CB889" s="1182"/>
      <c r="CC889" s="1182"/>
      <c r="CD889" s="1218">
        <f t="shared" si="302"/>
        <v>0</v>
      </c>
      <c r="CE889" s="1218">
        <f t="shared" si="303"/>
        <v>0</v>
      </c>
      <c r="CF889" s="502">
        <f t="shared" si="304"/>
        <v>0</v>
      </c>
      <c r="CG889" s="1218">
        <f t="shared" si="305"/>
        <v>0</v>
      </c>
      <c r="CH889" s="1218"/>
      <c r="CI889" s="1218"/>
      <c r="CJ889" s="1601"/>
      <c r="CK889" s="1601"/>
      <c r="CL889" s="1601"/>
      <c r="CM889" s="293"/>
      <c r="CN889" s="293"/>
      <c r="CO889" s="293"/>
      <c r="CP889" s="293"/>
      <c r="CQ889" s="293"/>
      <c r="CR889" s="293"/>
      <c r="CS889" s="293"/>
      <c r="CT889" s="293"/>
      <c r="CU889" s="293"/>
      <c r="CV889" s="293"/>
      <c r="CW889" s="293"/>
      <c r="CX889" s="293"/>
      <c r="CY889" s="293"/>
      <c r="CZ889" s="293"/>
      <c r="DA889" s="293"/>
      <c r="DB889" s="293"/>
      <c r="DC889" s="293"/>
      <c r="DD889" s="293"/>
      <c r="DE889" s="293"/>
      <c r="DF889" s="293"/>
      <c r="DG889" s="293"/>
    </row>
    <row r="890" s="293" customFormat="1" customHeight="1" spans="1:111">
      <c r="A890" s="1289">
        <v>46203</v>
      </c>
      <c r="B890" s="543" t="s">
        <v>525</v>
      </c>
      <c r="C890" s="504" t="s">
        <v>508</v>
      </c>
      <c r="D890" s="1305">
        <v>4500214354</v>
      </c>
      <c r="E890" s="506">
        <v>21785626</v>
      </c>
      <c r="F890" s="502" t="s">
        <v>3536</v>
      </c>
      <c r="G890" s="1736" t="s">
        <v>3244</v>
      </c>
      <c r="H890" s="504" t="s">
        <v>804</v>
      </c>
      <c r="I890" s="1290">
        <v>1572</v>
      </c>
      <c r="J890" s="504">
        <v>0</v>
      </c>
      <c r="K890" s="504">
        <v>6</v>
      </c>
      <c r="L890" s="1291">
        <f t="shared" si="298"/>
        <v>262</v>
      </c>
      <c r="M890" s="501">
        <v>46279</v>
      </c>
      <c r="N890" s="501">
        <v>46275</v>
      </c>
      <c r="O890" s="501"/>
      <c r="P890" s="506"/>
      <c r="Q890" s="506"/>
      <c r="R890" s="504"/>
      <c r="S890" s="504"/>
      <c r="T890" s="506"/>
      <c r="U890" s="500">
        <f t="shared" si="300"/>
        <v>-1572</v>
      </c>
      <c r="V890" s="504"/>
      <c r="W890" s="1300">
        <v>46248</v>
      </c>
      <c r="X890" s="1325" t="s">
        <v>107</v>
      </c>
      <c r="Y890" s="1301" t="s">
        <v>3534</v>
      </c>
      <c r="Z890" s="1701" t="s">
        <v>360</v>
      </c>
      <c r="AA890" s="544"/>
      <c r="AB890" s="543" t="s">
        <v>2376</v>
      </c>
      <c r="AC890" s="1753" t="s">
        <v>3535</v>
      </c>
      <c r="AD890" s="501" t="s">
        <v>362</v>
      </c>
      <c r="AE890" s="502">
        <v>8.5</v>
      </c>
      <c r="AF890" s="503">
        <f t="shared" si="306"/>
        <v>13362</v>
      </c>
      <c r="AG890" s="1295"/>
      <c r="AH890" s="488" t="s">
        <v>2727</v>
      </c>
      <c r="AI890" s="488" t="s">
        <v>112</v>
      </c>
      <c r="AJ890" s="504"/>
      <c r="AK890" s="327">
        <f>I890*2</f>
        <v>3144</v>
      </c>
      <c r="AL890" s="502"/>
      <c r="AM890" s="1218"/>
      <c r="AN890" s="502"/>
      <c r="AO890" s="502"/>
      <c r="AP890" s="502"/>
      <c r="AQ890" s="1296"/>
      <c r="AR890" s="1187">
        <f>I890*2</f>
        <v>3144</v>
      </c>
      <c r="AS890" s="1297"/>
      <c r="AT890" s="1297"/>
      <c r="AU890" s="502"/>
      <c r="AV890" s="1298">
        <f t="shared" si="307"/>
        <v>188.64</v>
      </c>
      <c r="AW890" s="1298"/>
      <c r="AX890" s="502">
        <f t="shared" si="308"/>
        <v>1572</v>
      </c>
      <c r="AY890" s="502"/>
      <c r="AZ890" s="502"/>
      <c r="BA890" s="502"/>
      <c r="BB890" s="502"/>
      <c r="BC890" s="502"/>
      <c r="BD890" s="502"/>
      <c r="BE890" s="502"/>
      <c r="BF890" s="502"/>
      <c r="BG890" s="502"/>
      <c r="BH890" s="502"/>
      <c r="BI890" s="502"/>
      <c r="BJ890" s="502"/>
      <c r="BK890" s="502"/>
      <c r="BL890" s="502"/>
      <c r="BM890" s="502"/>
      <c r="BN890" s="502"/>
      <c r="BO890" s="1296"/>
      <c r="BP890" s="1296"/>
      <c r="BQ890" s="1218"/>
      <c r="BR890" s="1297"/>
      <c r="BS890" s="1297"/>
      <c r="BT890" s="502"/>
      <c r="BU890" s="502"/>
      <c r="BV890" s="1296"/>
      <c r="BW890" s="1218"/>
      <c r="BX890" s="1218"/>
      <c r="BY890" s="1218"/>
      <c r="BZ890" s="1218"/>
      <c r="CA890" s="1218"/>
      <c r="CB890" s="1218"/>
      <c r="CC890" s="1218"/>
      <c r="CD890" s="1218">
        <f t="shared" si="302"/>
        <v>0</v>
      </c>
      <c r="CE890" s="1218">
        <f t="shared" si="303"/>
        <v>0</v>
      </c>
      <c r="CF890" s="502">
        <f t="shared" si="304"/>
        <v>0</v>
      </c>
      <c r="CG890" s="1218">
        <f t="shared" si="305"/>
        <v>0</v>
      </c>
      <c r="CH890" s="1299"/>
      <c r="CI890" s="1299"/>
      <c r="CJ890" s="1297"/>
      <c r="CK890" s="502"/>
      <c r="CL890" s="502"/>
    </row>
    <row r="891" s="1179" customFormat="1" customHeight="1" spans="1:111">
      <c r="A891" s="1703">
        <v>46203</v>
      </c>
      <c r="B891" s="1704" t="s">
        <v>525</v>
      </c>
      <c r="C891" s="1454" t="s">
        <v>508</v>
      </c>
      <c r="D891" s="1705">
        <v>4500214354</v>
      </c>
      <c r="E891" s="1292">
        <v>21802507</v>
      </c>
      <c r="F891" s="1601" t="s">
        <v>3537</v>
      </c>
      <c r="G891" s="1754" t="s">
        <v>3232</v>
      </c>
      <c r="H891" s="1454" t="s">
        <v>194</v>
      </c>
      <c r="I891" s="1707">
        <v>7436</v>
      </c>
      <c r="J891" s="1454">
        <v>0</v>
      </c>
      <c r="K891" s="1454">
        <v>13</v>
      </c>
      <c r="L891" s="1597">
        <f t="shared" si="298"/>
        <v>572</v>
      </c>
      <c r="M891" s="1586">
        <v>46279</v>
      </c>
      <c r="N891" s="1586">
        <v>46275</v>
      </c>
      <c r="O891" s="1586"/>
      <c r="P891" s="1292"/>
      <c r="Q891" s="1292"/>
      <c r="R891" s="1454"/>
      <c r="S891" s="1454"/>
      <c r="T891" s="1292"/>
      <c r="U891" s="1313">
        <f t="shared" si="300"/>
        <v>-7436</v>
      </c>
      <c r="V891" s="1454"/>
      <c r="W891" s="1300">
        <v>46248</v>
      </c>
      <c r="X891" s="1308" t="s">
        <v>107</v>
      </c>
      <c r="Y891" s="1294" t="s">
        <v>3534</v>
      </c>
      <c r="Z891" s="1701" t="s">
        <v>360</v>
      </c>
      <c r="AA891" s="544"/>
      <c r="AB891" s="543" t="s">
        <v>2376</v>
      </c>
      <c r="AC891" s="1552" t="s">
        <v>3538</v>
      </c>
      <c r="AD891" s="1586" t="s">
        <v>362</v>
      </c>
      <c r="AE891" s="1601">
        <v>1.1039</v>
      </c>
      <c r="AF891" s="1600">
        <f t="shared" si="306"/>
        <v>8208.6004</v>
      </c>
      <c r="AG891" s="1295"/>
      <c r="AH891" s="488" t="s">
        <v>510</v>
      </c>
      <c r="AI891" s="488" t="s">
        <v>112</v>
      </c>
      <c r="AJ891" s="1454"/>
      <c r="AK891" s="502">
        <f>I891</f>
        <v>7436</v>
      </c>
      <c r="AL891" s="1601"/>
      <c r="AM891" s="1182"/>
      <c r="AN891" s="1709">
        <f>I891</f>
        <v>7436</v>
      </c>
      <c r="AO891" s="1601"/>
      <c r="AP891" s="1601"/>
      <c r="AQ891" s="1296"/>
      <c r="AR891" s="520"/>
      <c r="AS891" s="1601"/>
      <c r="AT891" s="1601"/>
      <c r="AU891" s="1601"/>
      <c r="AV891" s="1298">
        <f t="shared" si="307"/>
        <v>892.32</v>
      </c>
      <c r="AW891" s="1298"/>
      <c r="AX891" s="1601">
        <f t="shared" si="308"/>
        <v>7436</v>
      </c>
      <c r="AY891" s="1601"/>
      <c r="AZ891" s="1601"/>
      <c r="BA891" s="1601"/>
      <c r="BB891" s="1601"/>
      <c r="BC891" s="1601"/>
      <c r="BD891" s="1601"/>
      <c r="BE891" s="1601"/>
      <c r="BF891" s="1601"/>
      <c r="BG891" s="502"/>
      <c r="BH891" s="502"/>
      <c r="BI891" s="1601"/>
      <c r="BJ891" s="1601"/>
      <c r="BK891" s="1601"/>
      <c r="BL891" s="1601"/>
      <c r="BM891" s="1601"/>
      <c r="BN891" s="1601"/>
      <c r="BO891" s="1296"/>
      <c r="BP891" s="1601">
        <f>I891/13</f>
        <v>572</v>
      </c>
      <c r="BQ891" s="1182"/>
      <c r="BR891" s="1601"/>
      <c r="BS891" s="1601"/>
      <c r="BT891" s="1601"/>
      <c r="BU891" s="1601"/>
      <c r="BV891" s="1601"/>
      <c r="BW891" s="1182"/>
      <c r="BX891" s="1182"/>
      <c r="BY891" s="1182"/>
      <c r="BZ891" s="1182"/>
      <c r="CA891" s="1182"/>
      <c r="CB891" s="1182"/>
      <c r="CC891" s="1182"/>
      <c r="CD891" s="1218">
        <f t="shared" si="302"/>
        <v>0</v>
      </c>
      <c r="CE891" s="1218">
        <f t="shared" si="303"/>
        <v>0</v>
      </c>
      <c r="CF891" s="502">
        <f t="shared" si="304"/>
        <v>0</v>
      </c>
      <c r="CG891" s="1218">
        <f t="shared" si="305"/>
        <v>0</v>
      </c>
      <c r="CH891" s="1218"/>
      <c r="CI891" s="1218"/>
      <c r="CJ891" s="1601"/>
      <c r="CK891" s="1601"/>
      <c r="CL891" s="1601"/>
      <c r="CM891" s="293"/>
      <c r="CN891" s="293"/>
      <c r="CO891" s="293"/>
      <c r="CP891" s="293"/>
      <c r="CQ891" s="293"/>
      <c r="CR891" s="293"/>
      <c r="CS891" s="293"/>
      <c r="CT891" s="293"/>
      <c r="CU891" s="293"/>
      <c r="CV891" s="293"/>
      <c r="CW891" s="293"/>
      <c r="CX891" s="293"/>
      <c r="CY891" s="293"/>
      <c r="CZ891" s="293"/>
      <c r="DA891" s="293"/>
      <c r="DB891" s="293"/>
      <c r="DC891" s="293"/>
      <c r="DD891" s="293"/>
      <c r="DE891" s="293"/>
      <c r="DF891" s="293"/>
      <c r="DG891" s="293"/>
    </row>
    <row r="892" s="1179" customFormat="1" customHeight="1" spans="1:111">
      <c r="A892" s="1703">
        <v>46203</v>
      </c>
      <c r="B892" s="1704" t="s">
        <v>521</v>
      </c>
      <c r="C892" s="1454" t="s">
        <v>101</v>
      </c>
      <c r="D892" s="1705">
        <v>4500214355</v>
      </c>
      <c r="E892" s="1292">
        <v>21785621</v>
      </c>
      <c r="F892" s="1601" t="s">
        <v>3539</v>
      </c>
      <c r="G892" s="1736" t="s">
        <v>3244</v>
      </c>
      <c r="H892" s="1454" t="s">
        <v>804</v>
      </c>
      <c r="I892" s="1707">
        <v>132</v>
      </c>
      <c r="J892" s="1454">
        <v>0</v>
      </c>
      <c r="K892" s="1454">
        <v>6</v>
      </c>
      <c r="L892" s="1597">
        <f t="shared" si="298"/>
        <v>22</v>
      </c>
      <c r="M892" s="1586">
        <v>46279</v>
      </c>
      <c r="N892" s="1586">
        <v>46275</v>
      </c>
      <c r="O892" s="1586"/>
      <c r="P892" s="1292"/>
      <c r="Q892" s="1292"/>
      <c r="R892" s="1454"/>
      <c r="S892" s="1454"/>
      <c r="T892" s="1292"/>
      <c r="U892" s="500">
        <f t="shared" si="300"/>
        <v>-132</v>
      </c>
      <c r="V892" s="1454"/>
      <c r="W892" s="1300">
        <v>46248</v>
      </c>
      <c r="X892" s="1308" t="s">
        <v>107</v>
      </c>
      <c r="Y892" s="1294" t="s">
        <v>3534</v>
      </c>
      <c r="Z892" s="1701" t="s">
        <v>360</v>
      </c>
      <c r="AA892" s="544"/>
      <c r="AB892" s="543" t="s">
        <v>2376</v>
      </c>
      <c r="AC892" s="1604" t="s">
        <v>3540</v>
      </c>
      <c r="AD892" s="1586" t="s">
        <v>362</v>
      </c>
      <c r="AE892" s="1601">
        <v>8.5</v>
      </c>
      <c r="AF892" s="1600">
        <f t="shared" si="306"/>
        <v>1122</v>
      </c>
      <c r="AG892" s="1295"/>
      <c r="AH892" s="488" t="s">
        <v>2727</v>
      </c>
      <c r="AI892" s="488" t="s">
        <v>112</v>
      </c>
      <c r="AJ892" s="1454"/>
      <c r="AK892" s="327">
        <f>I892*2</f>
        <v>264</v>
      </c>
      <c r="AL892" s="1601"/>
      <c r="AM892" s="1182"/>
      <c r="AN892" s="1601"/>
      <c r="AO892" s="1601"/>
      <c r="AP892" s="1601"/>
      <c r="AQ892" s="1601"/>
      <c r="AR892" s="1187">
        <f>I892*2</f>
        <v>264</v>
      </c>
      <c r="AS892" s="1601"/>
      <c r="AT892" s="1601"/>
      <c r="AU892" s="1601"/>
      <c r="AV892" s="1298">
        <f t="shared" si="307"/>
        <v>15.84</v>
      </c>
      <c r="AW892" s="1298"/>
      <c r="AX892" s="1601">
        <f t="shared" si="308"/>
        <v>132</v>
      </c>
      <c r="AY892" s="1601"/>
      <c r="AZ892" s="1601"/>
      <c r="BA892" s="1601"/>
      <c r="BB892" s="1601"/>
      <c r="BC892" s="1601"/>
      <c r="BD892" s="1601"/>
      <c r="BE892" s="1601"/>
      <c r="BF892" s="1601"/>
      <c r="BG892" s="502"/>
      <c r="BH892" s="502"/>
      <c r="BI892" s="1601"/>
      <c r="BJ892" s="1601"/>
      <c r="BK892" s="1601"/>
      <c r="BL892" s="1601"/>
      <c r="BM892" s="1601"/>
      <c r="BN892" s="1601"/>
      <c r="BO892" s="1296"/>
      <c r="BP892" s="1601"/>
      <c r="BQ892" s="1182"/>
      <c r="BR892" s="1601"/>
      <c r="BS892" s="1601"/>
      <c r="BT892" s="1601"/>
      <c r="BU892" s="1601"/>
      <c r="BV892" s="1601"/>
      <c r="BW892" s="1182"/>
      <c r="BX892" s="1182"/>
      <c r="BY892" s="1182"/>
      <c r="BZ892" s="1182"/>
      <c r="CA892" s="1182"/>
      <c r="CB892" s="1182"/>
      <c r="CC892" s="1182"/>
      <c r="CD892" s="1218">
        <f t="shared" si="302"/>
        <v>0</v>
      </c>
      <c r="CE892" s="1218">
        <f t="shared" si="303"/>
        <v>0</v>
      </c>
      <c r="CF892" s="502">
        <f t="shared" si="304"/>
        <v>0</v>
      </c>
      <c r="CG892" s="1218">
        <f t="shared" si="305"/>
        <v>0</v>
      </c>
      <c r="CH892" s="1218"/>
      <c r="CI892" s="1218"/>
      <c r="CJ892" s="1601"/>
      <c r="CK892" s="1601"/>
      <c r="CL892" s="1601"/>
      <c r="CM892" s="293"/>
      <c r="CN892" s="293"/>
      <c r="CO892" s="293"/>
      <c r="CP892" s="293"/>
      <c r="CQ892" s="293"/>
      <c r="CR892" s="293"/>
      <c r="CS892" s="293"/>
      <c r="CT892" s="293"/>
      <c r="CU892" s="293"/>
      <c r="CV892" s="293"/>
      <c r="CW892" s="293"/>
      <c r="CX892" s="293"/>
      <c r="CY892" s="293"/>
      <c r="CZ892" s="293"/>
      <c r="DA892" s="293"/>
      <c r="DB892" s="293"/>
      <c r="DC892" s="293"/>
      <c r="DD892" s="293"/>
      <c r="DE892" s="293"/>
      <c r="DF892" s="293"/>
      <c r="DG892" s="293"/>
    </row>
    <row r="893" s="1180" customFormat="1" customHeight="1" spans="1:111">
      <c r="A893" s="1289">
        <v>46203</v>
      </c>
      <c r="B893" s="1417" t="s">
        <v>521</v>
      </c>
      <c r="C893" s="1434" t="s">
        <v>101</v>
      </c>
      <c r="D893" s="1435">
        <v>4500214355</v>
      </c>
      <c r="E893" s="1436">
        <v>21785627</v>
      </c>
      <c r="F893" s="1437" t="s">
        <v>3541</v>
      </c>
      <c r="G893" s="1739" t="s">
        <v>3244</v>
      </c>
      <c r="H893" s="1454" t="s">
        <v>804</v>
      </c>
      <c r="I893" s="1439">
        <v>126</v>
      </c>
      <c r="J893" s="1434">
        <v>0</v>
      </c>
      <c r="K893" s="1434">
        <v>6</v>
      </c>
      <c r="L893" s="1597">
        <f t="shared" si="298"/>
        <v>21</v>
      </c>
      <c r="M893" s="507">
        <v>46279</v>
      </c>
      <c r="N893" s="507">
        <v>46275</v>
      </c>
      <c r="O893" s="507"/>
      <c r="P893" s="506"/>
      <c r="Q893" s="506"/>
      <c r="R893" s="504"/>
      <c r="S893" s="504"/>
      <c r="T893" s="506"/>
      <c r="U893" s="500">
        <f t="shared" si="300"/>
        <v>-126</v>
      </c>
      <c r="V893" s="504"/>
      <c r="W893" s="1300">
        <v>46248</v>
      </c>
      <c r="X893" s="1308" t="s">
        <v>107</v>
      </c>
      <c r="Y893" s="1294" t="s">
        <v>3534</v>
      </c>
      <c r="Z893" s="1701" t="s">
        <v>360</v>
      </c>
      <c r="AA893" s="544"/>
      <c r="AB893" s="543" t="s">
        <v>2376</v>
      </c>
      <c r="AC893" s="1443" t="s">
        <v>3540</v>
      </c>
      <c r="AD893" s="507" t="s">
        <v>362</v>
      </c>
      <c r="AE893" s="502">
        <v>8.5</v>
      </c>
      <c r="AF893" s="503">
        <f t="shared" si="306"/>
        <v>1071</v>
      </c>
      <c r="AG893" s="1295"/>
      <c r="AH893" s="488" t="s">
        <v>2727</v>
      </c>
      <c r="AI893" s="488" t="s">
        <v>112</v>
      </c>
      <c r="AJ893" s="504"/>
      <c r="AK893" s="327">
        <f>I893*2</f>
        <v>252</v>
      </c>
      <c r="AL893" s="502"/>
      <c r="AM893" s="1218"/>
      <c r="AN893" s="1601"/>
      <c r="AO893" s="502"/>
      <c r="AP893" s="502"/>
      <c r="AQ893" s="1296"/>
      <c r="AR893" s="327">
        <f>I893*2</f>
        <v>252</v>
      </c>
      <c r="AS893" s="1297"/>
      <c r="AT893" s="1297"/>
      <c r="AU893" s="502"/>
      <c r="AV893" s="1612">
        <f t="shared" si="307"/>
        <v>15.12</v>
      </c>
      <c r="AW893" s="1298"/>
      <c r="AX893" s="502">
        <f t="shared" si="308"/>
        <v>126</v>
      </c>
      <c r="AY893" s="502"/>
      <c r="AZ893" s="502"/>
      <c r="BA893" s="502"/>
      <c r="BB893" s="502"/>
      <c r="BC893" s="502"/>
      <c r="BD893" s="502"/>
      <c r="BE893" s="502"/>
      <c r="BF893" s="502"/>
      <c r="BG893" s="502"/>
      <c r="BH893" s="502"/>
      <c r="BI893" s="502"/>
      <c r="BJ893" s="502"/>
      <c r="BK893" s="502"/>
      <c r="BL893" s="502"/>
      <c r="BM893" s="502"/>
      <c r="BN893" s="502"/>
      <c r="BO893" s="1296"/>
      <c r="BP893" s="1296"/>
      <c r="BQ893" s="1218"/>
      <c r="BR893" s="1297"/>
      <c r="BS893" s="1297"/>
      <c r="BT893" s="502"/>
      <c r="BU893" s="502"/>
      <c r="BV893" s="1296"/>
      <c r="BW893" s="1218"/>
      <c r="BX893" s="1218"/>
      <c r="BY893" s="1218"/>
      <c r="BZ893" s="1218"/>
      <c r="CA893" s="1218"/>
      <c r="CB893" s="1218"/>
      <c r="CC893" s="1218"/>
      <c r="CD893" s="1218">
        <f t="shared" si="302"/>
        <v>0</v>
      </c>
      <c r="CE893" s="1218">
        <f t="shared" si="303"/>
        <v>0</v>
      </c>
      <c r="CF893" s="502">
        <f t="shared" si="304"/>
        <v>0</v>
      </c>
      <c r="CG893" s="1218">
        <f t="shared" si="305"/>
        <v>0</v>
      </c>
      <c r="CH893" s="1299"/>
      <c r="CI893" s="1299"/>
      <c r="CJ893" s="1297"/>
      <c r="CK893" s="502"/>
      <c r="CL893" s="502"/>
      <c r="CM893" s="293"/>
      <c r="CN893" s="293"/>
      <c r="CO893" s="293"/>
      <c r="CP893" s="293"/>
      <c r="CQ893" s="293"/>
      <c r="CR893" s="293"/>
      <c r="CS893" s="293"/>
      <c r="CT893" s="293"/>
      <c r="CU893" s="293"/>
      <c r="CV893" s="293"/>
      <c r="CW893" s="293"/>
      <c r="CX893" s="293"/>
      <c r="CY893" s="293"/>
      <c r="CZ893" s="293"/>
      <c r="DA893" s="293"/>
      <c r="DB893" s="293"/>
      <c r="DC893" s="293"/>
      <c r="DD893" s="293"/>
      <c r="DE893" s="293"/>
      <c r="DF893" s="293"/>
      <c r="DG893" s="293"/>
    </row>
    <row r="894" s="1180" customFormat="1" customHeight="1" spans="1:111">
      <c r="A894" s="1289">
        <v>46203</v>
      </c>
      <c r="B894" s="1417" t="s">
        <v>521</v>
      </c>
      <c r="C894" s="1434" t="s">
        <v>101</v>
      </c>
      <c r="D894" s="1435">
        <v>4500214355</v>
      </c>
      <c r="E894" s="1436">
        <v>21802516</v>
      </c>
      <c r="F894" s="1437" t="s">
        <v>3542</v>
      </c>
      <c r="G894" s="1743" t="s">
        <v>3232</v>
      </c>
      <c r="H894" s="1454" t="s">
        <v>194</v>
      </c>
      <c r="I894" s="1439">
        <v>572</v>
      </c>
      <c r="J894" s="1434">
        <v>0</v>
      </c>
      <c r="K894" s="1434">
        <v>13</v>
      </c>
      <c r="L894" s="1597">
        <f t="shared" si="298"/>
        <v>44</v>
      </c>
      <c r="M894" s="507">
        <v>46279</v>
      </c>
      <c r="N894" s="507">
        <v>46275</v>
      </c>
      <c r="O894" s="507"/>
      <c r="P894" s="506"/>
      <c r="Q894" s="506"/>
      <c r="R894" s="504"/>
      <c r="S894" s="504"/>
      <c r="T894" s="506"/>
      <c r="U894" s="1313">
        <f t="shared" si="300"/>
        <v>-572</v>
      </c>
      <c r="V894" s="504"/>
      <c r="W894" s="1300">
        <v>46248</v>
      </c>
      <c r="X894" s="1308" t="s">
        <v>107</v>
      </c>
      <c r="Y894" s="1294" t="s">
        <v>3534</v>
      </c>
      <c r="Z894" s="1701" t="s">
        <v>360</v>
      </c>
      <c r="AA894" s="544"/>
      <c r="AB894" s="543" t="s">
        <v>2376</v>
      </c>
      <c r="AC894" s="544" t="s">
        <v>3543</v>
      </c>
      <c r="AD894" s="507" t="s">
        <v>362</v>
      </c>
      <c r="AE894" s="502">
        <v>1.124</v>
      </c>
      <c r="AF894" s="503">
        <f t="shared" si="306"/>
        <v>642.928</v>
      </c>
      <c r="AG894" s="1295"/>
      <c r="AH894" s="488" t="s">
        <v>510</v>
      </c>
      <c r="AI894" s="488" t="s">
        <v>112</v>
      </c>
      <c r="AJ894" s="504"/>
      <c r="AK894" s="502">
        <f t="shared" ref="AK894:AK905" si="309">I894</f>
        <v>572</v>
      </c>
      <c r="AL894" s="502"/>
      <c r="AM894" s="1218"/>
      <c r="AN894" s="1709">
        <f t="shared" ref="AN894:AN903" si="310">I894</f>
        <v>572</v>
      </c>
      <c r="AO894" s="502"/>
      <c r="AP894" s="502"/>
      <c r="AQ894" s="1296"/>
      <c r="AR894" s="438"/>
      <c r="AS894" s="1297"/>
      <c r="AT894" s="1297"/>
      <c r="AU894" s="502"/>
      <c r="AV894" s="1612">
        <f t="shared" si="307"/>
        <v>68.64</v>
      </c>
      <c r="AW894" s="1298"/>
      <c r="AX894" s="502">
        <f t="shared" si="308"/>
        <v>572</v>
      </c>
      <c r="AY894" s="502"/>
      <c r="AZ894" s="502"/>
      <c r="BA894" s="502"/>
      <c r="BB894" s="502"/>
      <c r="BC894" s="502"/>
      <c r="BD894" s="502"/>
      <c r="BE894" s="502"/>
      <c r="BF894" s="502"/>
      <c r="BG894" s="502"/>
      <c r="BH894" s="502"/>
      <c r="BI894" s="502"/>
      <c r="BJ894" s="502"/>
      <c r="BK894" s="502"/>
      <c r="BL894" s="502"/>
      <c r="BM894" s="502"/>
      <c r="BN894" s="502"/>
      <c r="BO894" s="1296"/>
      <c r="BP894" s="1296">
        <f>I894/13</f>
        <v>44</v>
      </c>
      <c r="BQ894" s="1218"/>
      <c r="BR894" s="1297"/>
      <c r="BS894" s="1297"/>
      <c r="BT894" s="502"/>
      <c r="BU894" s="502"/>
      <c r="BV894" s="1296"/>
      <c r="BW894" s="1218"/>
      <c r="BX894" s="1218"/>
      <c r="BY894" s="1218"/>
      <c r="BZ894" s="1218"/>
      <c r="CA894" s="1218"/>
      <c r="CB894" s="1218"/>
      <c r="CC894" s="1218"/>
      <c r="CD894" s="1218">
        <f t="shared" si="302"/>
        <v>0</v>
      </c>
      <c r="CE894" s="1218">
        <f t="shared" si="303"/>
        <v>0</v>
      </c>
      <c r="CF894" s="502">
        <f t="shared" si="304"/>
        <v>0</v>
      </c>
      <c r="CG894" s="1218">
        <f t="shared" si="305"/>
        <v>0</v>
      </c>
      <c r="CH894" s="1299"/>
      <c r="CI894" s="1299"/>
      <c r="CJ894" s="1297"/>
      <c r="CK894" s="502"/>
      <c r="CL894" s="502"/>
      <c r="CM894" s="293"/>
      <c r="CN894" s="293"/>
      <c r="CO894" s="293"/>
      <c r="CP894" s="293"/>
      <c r="CQ894" s="293"/>
      <c r="CR894" s="293"/>
      <c r="CS894" s="293"/>
      <c r="CT894" s="293"/>
      <c r="CU894" s="293"/>
      <c r="CV894" s="293"/>
      <c r="CW894" s="293"/>
      <c r="CX894" s="293"/>
      <c r="CY894" s="293"/>
      <c r="CZ894" s="293"/>
      <c r="DA894" s="293"/>
      <c r="DB894" s="293"/>
      <c r="DC894" s="293"/>
      <c r="DD894" s="293"/>
      <c r="DE894" s="293"/>
      <c r="DF894" s="293"/>
      <c r="DG894" s="293"/>
    </row>
    <row r="895" s="1180" customFormat="1" customHeight="1" spans="1:111">
      <c r="A895" s="1309">
        <v>46232</v>
      </c>
      <c r="B895" s="1552" t="s">
        <v>525</v>
      </c>
      <c r="C895" s="1553" t="s">
        <v>508</v>
      </c>
      <c r="D895" s="1555">
        <v>4500214354</v>
      </c>
      <c r="E895" s="1553">
        <v>21948553</v>
      </c>
      <c r="F895" s="1555" t="s">
        <v>3544</v>
      </c>
      <c r="G895" s="1743" t="s">
        <v>3232</v>
      </c>
      <c r="H895" s="1054" t="s">
        <v>194</v>
      </c>
      <c r="I895" s="1557">
        <v>13949</v>
      </c>
      <c r="J895" s="1553">
        <v>0</v>
      </c>
      <c r="K895" s="1553">
        <v>13</v>
      </c>
      <c r="L895" s="1715">
        <f t="shared" si="298"/>
        <v>1073</v>
      </c>
      <c r="M895" s="1545">
        <v>46279</v>
      </c>
      <c r="N895" s="1545">
        <v>46275</v>
      </c>
      <c r="O895" s="1545"/>
      <c r="P895" s="1313"/>
      <c r="Q895" s="1313"/>
      <c r="R895" s="488"/>
      <c r="S895" s="488"/>
      <c r="T895" s="1313"/>
      <c r="U895" s="1313">
        <f t="shared" si="300"/>
        <v>-13949</v>
      </c>
      <c r="V895" s="488"/>
      <c r="W895" s="1300">
        <v>46248</v>
      </c>
      <c r="X895" s="1294" t="s">
        <v>107</v>
      </c>
      <c r="Y895" s="1294" t="s">
        <v>3545</v>
      </c>
      <c r="Z895" s="544" t="s">
        <v>360</v>
      </c>
      <c r="AA895" s="544"/>
      <c r="AB895" s="544"/>
      <c r="AC895" s="1294" t="s">
        <v>3546</v>
      </c>
      <c r="AD895" s="1545" t="s">
        <v>362</v>
      </c>
      <c r="AE895" s="327">
        <v>1.0939</v>
      </c>
      <c r="AF895" s="1315">
        <f t="shared" si="306"/>
        <v>15258.8111</v>
      </c>
      <c r="AG895" s="1295"/>
      <c r="AH895" s="488" t="s">
        <v>510</v>
      </c>
      <c r="AI895" s="488" t="s">
        <v>112</v>
      </c>
      <c r="AJ895" s="488"/>
      <c r="AK895" s="327">
        <f t="shared" si="309"/>
        <v>13949</v>
      </c>
      <c r="AL895" s="327"/>
      <c r="AM895" s="327"/>
      <c r="AN895" s="1729">
        <f t="shared" si="310"/>
        <v>13949</v>
      </c>
      <c r="AO895" s="327"/>
      <c r="AP895" s="327"/>
      <c r="AQ895" s="1316"/>
      <c r="AR895" s="327"/>
      <c r="AS895" s="1317"/>
      <c r="AT895" s="1317"/>
      <c r="AU895" s="327"/>
      <c r="AV895" s="1678">
        <f t="shared" ref="AV895:AV903" si="311">I895*0.06</f>
        <v>836.94</v>
      </c>
      <c r="AW895" s="1318"/>
      <c r="AX895" s="327">
        <f t="shared" si="308"/>
        <v>13949</v>
      </c>
      <c r="AY895" s="327"/>
      <c r="AZ895" s="327"/>
      <c r="BA895" s="327"/>
      <c r="BB895" s="327"/>
      <c r="BC895" s="327"/>
      <c r="BD895" s="327"/>
      <c r="BE895" s="327"/>
      <c r="BF895" s="327"/>
      <c r="BG895" s="327"/>
      <c r="BH895" s="327"/>
      <c r="BI895" s="327"/>
      <c r="BJ895" s="327"/>
      <c r="BK895" s="327"/>
      <c r="BL895" s="327"/>
      <c r="BM895" s="327"/>
      <c r="BN895" s="327"/>
      <c r="BO895" s="1316"/>
      <c r="BP895" s="1316">
        <f>I895/13</f>
        <v>1073</v>
      </c>
      <c r="BQ895" s="327"/>
      <c r="BR895" s="1317"/>
      <c r="BS895" s="1317"/>
      <c r="BT895" s="327"/>
      <c r="BU895" s="327"/>
      <c r="BV895" s="1316"/>
      <c r="BW895" s="327"/>
      <c r="BX895" s="327"/>
      <c r="BY895" s="327"/>
      <c r="BZ895" s="327"/>
      <c r="CA895" s="327"/>
      <c r="CB895" s="327"/>
      <c r="CC895" s="327"/>
      <c r="CD895" s="327">
        <f t="shared" si="302"/>
        <v>0</v>
      </c>
      <c r="CE895" s="327">
        <f t="shared" si="303"/>
        <v>0</v>
      </c>
      <c r="CF895" s="327">
        <f t="shared" si="304"/>
        <v>0</v>
      </c>
      <c r="CG895" s="327">
        <f t="shared" si="305"/>
        <v>0</v>
      </c>
      <c r="CH895" s="1317"/>
      <c r="CI895" s="1317"/>
      <c r="CJ895" s="1317"/>
      <c r="CK895" s="327"/>
      <c r="CL895" s="327"/>
    </row>
    <row r="896" s="1180" customFormat="1" customHeight="1" spans="1:111">
      <c r="A896" s="1309">
        <v>46232</v>
      </c>
      <c r="B896" s="1552" t="s">
        <v>525</v>
      </c>
      <c r="C896" s="1553" t="s">
        <v>508</v>
      </c>
      <c r="D896" s="1555">
        <v>4500214354</v>
      </c>
      <c r="E896" s="1553">
        <v>21975013</v>
      </c>
      <c r="F896" s="1555" t="s">
        <v>3547</v>
      </c>
      <c r="G896" s="1743" t="s">
        <v>3232</v>
      </c>
      <c r="H896" s="1054" t="s">
        <v>194</v>
      </c>
      <c r="I896" s="1557">
        <v>18005</v>
      </c>
      <c r="J896" s="1553">
        <v>0</v>
      </c>
      <c r="K896" s="1553">
        <v>13</v>
      </c>
      <c r="L896" s="1715">
        <f t="shared" si="298"/>
        <v>1385</v>
      </c>
      <c r="M896" s="1545">
        <v>46279</v>
      </c>
      <c r="N896" s="1545">
        <v>46275</v>
      </c>
      <c r="O896" s="1545"/>
      <c r="P896" s="1313"/>
      <c r="Q896" s="1313"/>
      <c r="R896" s="488"/>
      <c r="S896" s="488"/>
      <c r="T896" s="1313"/>
      <c r="U896" s="1313">
        <f t="shared" si="300"/>
        <v>-18005</v>
      </c>
      <c r="V896" s="488"/>
      <c r="W896" s="1300">
        <v>46248</v>
      </c>
      <c r="X896" s="1294" t="s">
        <v>107</v>
      </c>
      <c r="Y896" s="1294" t="s">
        <v>3545</v>
      </c>
      <c r="Z896" s="544" t="s">
        <v>360</v>
      </c>
      <c r="AA896" s="544"/>
      <c r="AB896" s="544"/>
      <c r="AC896" s="1294" t="s">
        <v>3548</v>
      </c>
      <c r="AD896" s="1545" t="s">
        <v>362</v>
      </c>
      <c r="AE896" s="327">
        <v>1.1039</v>
      </c>
      <c r="AF896" s="1315">
        <f t="shared" si="306"/>
        <v>19875.7195</v>
      </c>
      <c r="AG896" s="1295"/>
      <c r="AH896" s="488" t="s">
        <v>510</v>
      </c>
      <c r="AI896" s="488" t="s">
        <v>112</v>
      </c>
      <c r="AJ896" s="488"/>
      <c r="AK896" s="327">
        <f t="shared" si="309"/>
        <v>18005</v>
      </c>
      <c r="AL896" s="327"/>
      <c r="AM896" s="327"/>
      <c r="AN896" s="1729">
        <f t="shared" si="310"/>
        <v>18005</v>
      </c>
      <c r="AO896" s="327"/>
      <c r="AP896" s="327"/>
      <c r="AQ896" s="1316"/>
      <c r="AR896" s="327"/>
      <c r="AS896" s="1317"/>
      <c r="AT896" s="1317"/>
      <c r="AU896" s="327"/>
      <c r="AV896" s="1678">
        <f t="shared" si="311"/>
        <v>1080.3</v>
      </c>
      <c r="AW896" s="1318"/>
      <c r="AX896" s="327">
        <f t="shared" si="308"/>
        <v>18005</v>
      </c>
      <c r="AY896" s="327"/>
      <c r="AZ896" s="327"/>
      <c r="BA896" s="327"/>
      <c r="BB896" s="327"/>
      <c r="BC896" s="327"/>
      <c r="BD896" s="327"/>
      <c r="BE896" s="327"/>
      <c r="BF896" s="327"/>
      <c r="BG896" s="327"/>
      <c r="BH896" s="327"/>
      <c r="BI896" s="327"/>
      <c r="BJ896" s="327"/>
      <c r="BK896" s="327"/>
      <c r="BL896" s="327"/>
      <c r="BM896" s="327"/>
      <c r="BN896" s="327"/>
      <c r="BO896" s="1316"/>
      <c r="BP896" s="1316">
        <f>I896/13</f>
        <v>1385</v>
      </c>
      <c r="BQ896" s="327"/>
      <c r="BR896" s="1317"/>
      <c r="BS896" s="1317"/>
      <c r="BT896" s="327"/>
      <c r="BU896" s="327"/>
      <c r="BV896" s="1316"/>
      <c r="BW896" s="327"/>
      <c r="BX896" s="327"/>
      <c r="BY896" s="327"/>
      <c r="BZ896" s="327"/>
      <c r="CA896" s="327"/>
      <c r="CB896" s="327"/>
      <c r="CC896" s="327"/>
      <c r="CD896" s="327">
        <f t="shared" si="302"/>
        <v>0</v>
      </c>
      <c r="CE896" s="327">
        <f t="shared" si="303"/>
        <v>0</v>
      </c>
      <c r="CF896" s="327">
        <f t="shared" si="304"/>
        <v>0</v>
      </c>
      <c r="CG896" s="327">
        <f t="shared" si="305"/>
        <v>0</v>
      </c>
      <c r="CH896" s="1317"/>
      <c r="CI896" s="1317"/>
      <c r="CJ896" s="1317"/>
      <c r="CK896" s="327"/>
      <c r="CL896" s="327"/>
    </row>
    <row r="897" s="293" customFormat="1" customHeight="1" spans="1:111">
      <c r="A897" s="1309">
        <v>46232</v>
      </c>
      <c r="B897" s="1552" t="s">
        <v>521</v>
      </c>
      <c r="C897" s="1553" t="s">
        <v>101</v>
      </c>
      <c r="D897" s="1555">
        <v>4500214355</v>
      </c>
      <c r="E897" s="1553">
        <v>21948565</v>
      </c>
      <c r="F897" s="1555" t="s">
        <v>3549</v>
      </c>
      <c r="G897" s="1743" t="s">
        <v>3232</v>
      </c>
      <c r="H897" s="1054" t="s">
        <v>194</v>
      </c>
      <c r="I897" s="1557">
        <v>1040</v>
      </c>
      <c r="J897" s="1553">
        <v>0</v>
      </c>
      <c r="K897" s="1553">
        <v>13</v>
      </c>
      <c r="L897" s="1544">
        <f t="shared" si="298"/>
        <v>80</v>
      </c>
      <c r="M897" s="1545">
        <v>46279</v>
      </c>
      <c r="N897" s="1545">
        <v>46275</v>
      </c>
      <c r="O897" s="1545"/>
      <c r="P897" s="1313"/>
      <c r="Q897" s="1313"/>
      <c r="R897" s="488"/>
      <c r="S897" s="488"/>
      <c r="T897" s="1313"/>
      <c r="U897" s="1313">
        <f t="shared" si="300"/>
        <v>-1040</v>
      </c>
      <c r="V897" s="488"/>
      <c r="W897" s="1300">
        <v>46248</v>
      </c>
      <c r="X897" s="1301" t="s">
        <v>107</v>
      </c>
      <c r="Y897" s="1301" t="s">
        <v>3545</v>
      </c>
      <c r="Z897" s="544" t="s">
        <v>360</v>
      </c>
      <c r="AA897" s="544"/>
      <c r="AB897" s="544"/>
      <c r="AC897" s="1301" t="s">
        <v>3550</v>
      </c>
      <c r="AD897" s="1545" t="s">
        <v>362</v>
      </c>
      <c r="AE897" s="327">
        <v>1.1186</v>
      </c>
      <c r="AF897" s="1315">
        <f t="shared" si="306"/>
        <v>1163.344</v>
      </c>
      <c r="AG897" s="1295"/>
      <c r="AH897" s="488" t="s">
        <v>510</v>
      </c>
      <c r="AI897" s="488" t="s">
        <v>112</v>
      </c>
      <c r="AJ897" s="488"/>
      <c r="AK897" s="327">
        <f t="shared" si="309"/>
        <v>1040</v>
      </c>
      <c r="AL897" s="327"/>
      <c r="AM897" s="327"/>
      <c r="AN897" s="1420">
        <f t="shared" si="310"/>
        <v>1040</v>
      </c>
      <c r="AO897" s="327"/>
      <c r="AP897" s="327"/>
      <c r="AQ897" s="1316"/>
      <c r="AR897" s="327"/>
      <c r="AS897" s="1317"/>
      <c r="AT897" s="1317"/>
      <c r="AU897" s="327"/>
      <c r="AV897" s="1318">
        <f t="shared" si="311"/>
        <v>62.4</v>
      </c>
      <c r="AW897" s="1318"/>
      <c r="AX897" s="327">
        <f t="shared" si="308"/>
        <v>1040</v>
      </c>
      <c r="AY897" s="327"/>
      <c r="AZ897" s="327"/>
      <c r="BA897" s="327"/>
      <c r="BB897" s="327"/>
      <c r="BC897" s="327"/>
      <c r="BD897" s="327"/>
      <c r="BE897" s="327"/>
      <c r="BF897" s="327"/>
      <c r="BG897" s="327"/>
      <c r="BH897" s="327"/>
      <c r="BI897" s="327"/>
      <c r="BJ897" s="327"/>
      <c r="BK897" s="327"/>
      <c r="BL897" s="327"/>
      <c r="BM897" s="327"/>
      <c r="BN897" s="327"/>
      <c r="BO897" s="1316"/>
      <c r="BP897" s="1316">
        <f>I897/13</f>
        <v>80</v>
      </c>
      <c r="BQ897" s="327"/>
      <c r="BR897" s="1317"/>
      <c r="BS897" s="1317"/>
      <c r="BT897" s="327"/>
      <c r="BU897" s="327"/>
      <c r="BV897" s="1316"/>
      <c r="BW897" s="327"/>
      <c r="BX897" s="327"/>
      <c r="BY897" s="327"/>
      <c r="BZ897" s="327"/>
      <c r="CA897" s="327"/>
      <c r="CB897" s="327"/>
      <c r="CC897" s="327"/>
      <c r="CD897" s="327">
        <f t="shared" si="302"/>
        <v>0</v>
      </c>
      <c r="CE897" s="327">
        <f t="shared" si="303"/>
        <v>0</v>
      </c>
      <c r="CF897" s="327">
        <f t="shared" si="304"/>
        <v>0</v>
      </c>
      <c r="CG897" s="327">
        <f t="shared" si="305"/>
        <v>0</v>
      </c>
      <c r="CH897" s="1317"/>
      <c r="CI897" s="1317"/>
      <c r="CJ897" s="1317"/>
      <c r="CK897" s="327"/>
      <c r="CL897" s="327"/>
      <c r="CM897" s="1180"/>
      <c r="CN897" s="1180"/>
      <c r="CO897" s="1180"/>
      <c r="CP897" s="1180"/>
      <c r="CQ897" s="1180"/>
      <c r="CR897" s="1180"/>
      <c r="CS897" s="1180"/>
      <c r="CT897" s="1180"/>
      <c r="CU897" s="1180"/>
      <c r="CV897" s="1180"/>
      <c r="CW897" s="1180"/>
      <c r="CX897" s="1180"/>
      <c r="CY897" s="1180"/>
      <c r="CZ897" s="1180"/>
      <c r="DA897" s="1180"/>
      <c r="DB897" s="1180"/>
      <c r="DC897" s="1180"/>
      <c r="DD897" s="1180"/>
      <c r="DE897" s="1180"/>
      <c r="DF897" s="1180"/>
      <c r="DG897" s="1180"/>
    </row>
    <row r="898" s="1180" customFormat="1" customHeight="1" spans="1:111">
      <c r="A898" s="1309">
        <v>46232</v>
      </c>
      <c r="B898" s="1552" t="s">
        <v>521</v>
      </c>
      <c r="C898" s="1553" t="s">
        <v>101</v>
      </c>
      <c r="D898" s="1555">
        <v>4500214355</v>
      </c>
      <c r="E898" s="1553">
        <v>21975024</v>
      </c>
      <c r="F898" s="1555" t="s">
        <v>3551</v>
      </c>
      <c r="G898" s="1743" t="s">
        <v>3232</v>
      </c>
      <c r="H898" s="1054" t="s">
        <v>194</v>
      </c>
      <c r="I898" s="1557">
        <v>2002</v>
      </c>
      <c r="J898" s="1553">
        <v>0</v>
      </c>
      <c r="K898" s="1553">
        <v>13</v>
      </c>
      <c r="L898" s="1544">
        <f t="shared" si="298"/>
        <v>154</v>
      </c>
      <c r="M898" s="1545">
        <v>46279</v>
      </c>
      <c r="N898" s="1545">
        <v>46275</v>
      </c>
      <c r="O898" s="1545"/>
      <c r="P898" s="1313"/>
      <c r="Q898" s="1313"/>
      <c r="R898" s="488"/>
      <c r="S898" s="488"/>
      <c r="T898" s="1313"/>
      <c r="U898" s="1313">
        <f t="shared" si="300"/>
        <v>-2002</v>
      </c>
      <c r="V898" s="488"/>
      <c r="W898" s="1300">
        <v>46248</v>
      </c>
      <c r="X898" s="1301" t="s">
        <v>107</v>
      </c>
      <c r="Y898" s="1301" t="s">
        <v>3545</v>
      </c>
      <c r="Z898" s="544" t="s">
        <v>360</v>
      </c>
      <c r="AA898" s="544"/>
      <c r="AB898" s="544"/>
      <c r="AC898" s="1301" t="s">
        <v>3550</v>
      </c>
      <c r="AD898" s="1545" t="s">
        <v>362</v>
      </c>
      <c r="AE898" s="327">
        <v>1.1186</v>
      </c>
      <c r="AF898" s="1315">
        <f t="shared" si="306"/>
        <v>2239.4372</v>
      </c>
      <c r="AG898" s="1295"/>
      <c r="AH898" s="488" t="s">
        <v>510</v>
      </c>
      <c r="AI898" s="488" t="s">
        <v>112</v>
      </c>
      <c r="AJ898" s="488"/>
      <c r="AK898" s="327">
        <f t="shared" si="309"/>
        <v>2002</v>
      </c>
      <c r="AL898" s="327"/>
      <c r="AM898" s="327"/>
      <c r="AN898" s="1420">
        <f t="shared" si="310"/>
        <v>2002</v>
      </c>
      <c r="AO898" s="327"/>
      <c r="AP898" s="327"/>
      <c r="AQ898" s="1316"/>
      <c r="AR898" s="327"/>
      <c r="AS898" s="1317"/>
      <c r="AT898" s="1317"/>
      <c r="AU898" s="327"/>
      <c r="AV898" s="1318">
        <f t="shared" si="311"/>
        <v>120.12</v>
      </c>
      <c r="AW898" s="1318"/>
      <c r="AX898" s="327">
        <f t="shared" si="308"/>
        <v>2002</v>
      </c>
      <c r="AY898" s="327"/>
      <c r="AZ898" s="327"/>
      <c r="BA898" s="327"/>
      <c r="BB898" s="327"/>
      <c r="BC898" s="327"/>
      <c r="BD898" s="327"/>
      <c r="BE898" s="327"/>
      <c r="BF898" s="327"/>
      <c r="BG898" s="327"/>
      <c r="BH898" s="327"/>
      <c r="BI898" s="327"/>
      <c r="BJ898" s="327"/>
      <c r="BK898" s="327"/>
      <c r="BL898" s="327"/>
      <c r="BM898" s="327"/>
      <c r="BN898" s="327"/>
      <c r="BO898" s="1316"/>
      <c r="BP898" s="1316">
        <f>I898/13</f>
        <v>154</v>
      </c>
      <c r="BQ898" s="327"/>
      <c r="BR898" s="1317"/>
      <c r="BS898" s="1317"/>
      <c r="BT898" s="327"/>
      <c r="BU898" s="327"/>
      <c r="BV898" s="1316"/>
      <c r="BW898" s="327"/>
      <c r="BX898" s="327"/>
      <c r="BY898" s="327"/>
      <c r="BZ898" s="327"/>
      <c r="CA898" s="327"/>
      <c r="CB898" s="327"/>
      <c r="CC898" s="327"/>
      <c r="CD898" s="327">
        <f t="shared" si="302"/>
        <v>0</v>
      </c>
      <c r="CE898" s="327">
        <f t="shared" si="303"/>
        <v>0</v>
      </c>
      <c r="CF898" s="327">
        <f t="shared" si="304"/>
        <v>0</v>
      </c>
      <c r="CG898" s="327">
        <f t="shared" si="305"/>
        <v>0</v>
      </c>
      <c r="CH898" s="1317"/>
      <c r="CI898" s="1317"/>
      <c r="CJ898" s="1317"/>
      <c r="CK898" s="327"/>
      <c r="CL898" s="327"/>
    </row>
    <row r="899" s="1180" customFormat="1" customHeight="1" spans="1:111">
      <c r="A899" s="1309">
        <v>46154</v>
      </c>
      <c r="B899" s="1410" t="s">
        <v>669</v>
      </c>
      <c r="C899" s="1411" t="s">
        <v>101</v>
      </c>
      <c r="D899" s="1412">
        <v>4500213428</v>
      </c>
      <c r="E899" s="1410">
        <v>29652573</v>
      </c>
      <c r="F899" s="1412" t="s">
        <v>3552</v>
      </c>
      <c r="G899" s="1755" t="s">
        <v>2628</v>
      </c>
      <c r="H899" s="1708" t="s">
        <v>138</v>
      </c>
      <c r="I899" s="1414">
        <v>1900</v>
      </c>
      <c r="J899" s="1415">
        <v>0</v>
      </c>
      <c r="K899" s="1415">
        <v>50</v>
      </c>
      <c r="L899" s="1291">
        <f t="shared" si="298"/>
        <v>38</v>
      </c>
      <c r="M899" s="1440">
        <v>46279</v>
      </c>
      <c r="N899" s="1440">
        <f>M899-4</f>
        <v>46275</v>
      </c>
      <c r="O899" s="507"/>
      <c r="P899" s="1313" t="s">
        <v>3553</v>
      </c>
      <c r="Q899" s="506"/>
      <c r="R899" s="488" t="s">
        <v>3554</v>
      </c>
      <c r="S899" s="504"/>
      <c r="T899" s="506"/>
      <c r="U899" s="500">
        <f t="shared" si="300"/>
        <v>-1900</v>
      </c>
      <c r="V899" s="504"/>
      <c r="W899" s="1324">
        <v>46154</v>
      </c>
      <c r="X899" s="1308" t="s">
        <v>95</v>
      </c>
      <c r="Y899" s="1308" t="s">
        <v>95</v>
      </c>
      <c r="Z899" s="543" t="s">
        <v>360</v>
      </c>
      <c r="AA899" s="543"/>
      <c r="AB899" s="543"/>
      <c r="AC899" s="544" t="s">
        <v>3555</v>
      </c>
      <c r="AD899" s="547" t="s">
        <v>673</v>
      </c>
      <c r="AE899" s="548">
        <v>1.1174</v>
      </c>
      <c r="AF899" s="503">
        <f>I899*AE899</f>
        <v>2123.06</v>
      </c>
      <c r="AG899" s="1295"/>
      <c r="AH899" s="488" t="s">
        <v>2631</v>
      </c>
      <c r="AI899" s="488" t="s">
        <v>112</v>
      </c>
      <c r="AJ899" s="504"/>
      <c r="AK899" s="502">
        <f t="shared" si="309"/>
        <v>1900</v>
      </c>
      <c r="AL899" s="502"/>
      <c r="AM899" s="502"/>
      <c r="AN899" s="1709">
        <f t="shared" si="310"/>
        <v>1900</v>
      </c>
      <c r="AO899" s="502"/>
      <c r="AP899" s="502"/>
      <c r="AQ899" s="1296"/>
      <c r="AR899" s="502"/>
      <c r="AS899" s="1297"/>
      <c r="AT899" s="1297"/>
      <c r="AU899" s="327"/>
      <c r="AV899" s="1612">
        <f t="shared" si="311"/>
        <v>114</v>
      </c>
      <c r="AW899" s="1298"/>
      <c r="AX899" s="1218">
        <f t="shared" si="308"/>
        <v>1900</v>
      </c>
      <c r="AY899" s="1218"/>
      <c r="AZ899" s="502"/>
      <c r="BA899" s="502"/>
      <c r="BB899" s="502"/>
      <c r="BC899" s="502"/>
      <c r="BD899" s="502"/>
      <c r="BE899" s="502"/>
      <c r="BF899" s="502"/>
      <c r="BG899" s="502"/>
      <c r="BH899" s="502"/>
      <c r="BI899" s="502"/>
      <c r="BJ899" s="502"/>
      <c r="BK899" s="502"/>
      <c r="BL899" s="502"/>
      <c r="BM899" s="502"/>
      <c r="BN899" s="502"/>
      <c r="BO899" s="1296"/>
      <c r="BP899" s="1296"/>
      <c r="BQ899" s="502">
        <f>I899/25</f>
        <v>76</v>
      </c>
      <c r="BR899" s="1297"/>
      <c r="BS899" s="1297"/>
      <c r="BT899" s="502"/>
      <c r="BU899" s="502"/>
      <c r="BV899" s="1296"/>
      <c r="BW899" s="502"/>
      <c r="BX899" s="502"/>
      <c r="BY899" s="502"/>
      <c r="BZ899" s="1218"/>
      <c r="CA899" s="1218"/>
      <c r="CB899" s="1218"/>
      <c r="CC899" s="1218"/>
      <c r="CD899" s="1218">
        <f t="shared" si="302"/>
        <v>76</v>
      </c>
      <c r="CE899" s="1218">
        <f t="shared" si="303"/>
        <v>0</v>
      </c>
      <c r="CF899" s="502">
        <f t="shared" si="304"/>
        <v>0</v>
      </c>
      <c r="CG899" s="1218">
        <f t="shared" si="305"/>
        <v>0</v>
      </c>
      <c r="CH899" s="1299"/>
      <c r="CI899" s="1299"/>
      <c r="CJ899" s="1297"/>
      <c r="CK899" s="502"/>
      <c r="CL899" s="502"/>
      <c r="CM899" s="293"/>
      <c r="CN899" s="293"/>
      <c r="CO899" s="293"/>
      <c r="CP899" s="293"/>
      <c r="CQ899" s="293"/>
      <c r="CR899" s="293"/>
      <c r="CS899" s="293"/>
      <c r="CT899" s="293"/>
      <c r="CU899" s="293"/>
      <c r="CV899" s="293"/>
      <c r="CW899" s="293"/>
      <c r="CX899" s="293"/>
      <c r="CY899" s="293"/>
      <c r="CZ899" s="293"/>
      <c r="DA899" s="293"/>
      <c r="DB899" s="293"/>
      <c r="DC899" s="293"/>
      <c r="DD899" s="293"/>
      <c r="DE899" s="293"/>
      <c r="DF899" s="293"/>
      <c r="DG899" s="293"/>
    </row>
    <row r="900" s="1180" customFormat="1" customHeight="1" spans="1:111">
      <c r="A900" s="1309">
        <v>46154</v>
      </c>
      <c r="B900" s="1410" t="s">
        <v>669</v>
      </c>
      <c r="C900" s="1411" t="s">
        <v>101</v>
      </c>
      <c r="D900" s="1412">
        <v>4500213428</v>
      </c>
      <c r="E900" s="1410">
        <v>29652572</v>
      </c>
      <c r="F900" s="1412" t="s">
        <v>3556</v>
      </c>
      <c r="G900" s="1755" t="s">
        <v>2628</v>
      </c>
      <c r="H900" s="1708" t="s">
        <v>138</v>
      </c>
      <c r="I900" s="1414">
        <v>4100</v>
      </c>
      <c r="J900" s="1415">
        <v>0</v>
      </c>
      <c r="K900" s="1415">
        <v>50</v>
      </c>
      <c r="L900" s="1597">
        <f t="shared" si="298"/>
        <v>82</v>
      </c>
      <c r="M900" s="1440">
        <v>46279</v>
      </c>
      <c r="N900" s="1440">
        <f>M900-4</f>
        <v>46275</v>
      </c>
      <c r="O900" s="507"/>
      <c r="P900" s="1313" t="s">
        <v>3553</v>
      </c>
      <c r="Q900" s="506"/>
      <c r="R900" s="488" t="s">
        <v>3554</v>
      </c>
      <c r="S900" s="504"/>
      <c r="T900" s="506"/>
      <c r="U900" s="500">
        <f t="shared" si="300"/>
        <v>-4100</v>
      </c>
      <c r="V900" s="504"/>
      <c r="W900" s="1324">
        <v>46154</v>
      </c>
      <c r="X900" s="1308" t="s">
        <v>95</v>
      </c>
      <c r="Y900" s="1308" t="s">
        <v>95</v>
      </c>
      <c r="Z900" s="543" t="s">
        <v>360</v>
      </c>
      <c r="AA900" s="543"/>
      <c r="AB900" s="543"/>
      <c r="AC900" s="544" t="s">
        <v>3555</v>
      </c>
      <c r="AD900" s="547" t="s">
        <v>673</v>
      </c>
      <c r="AE900" s="548">
        <v>1.1174</v>
      </c>
      <c r="AF900" s="503">
        <f>I900*AE900</f>
        <v>4581.34</v>
      </c>
      <c r="AG900" s="1295"/>
      <c r="AH900" s="488" t="s">
        <v>2631</v>
      </c>
      <c r="AI900" s="488" t="s">
        <v>112</v>
      </c>
      <c r="AJ900" s="504"/>
      <c r="AK900" s="502">
        <f t="shared" si="309"/>
        <v>4100</v>
      </c>
      <c r="AL900" s="502"/>
      <c r="AM900" s="502"/>
      <c r="AN900" s="1709">
        <f t="shared" si="310"/>
        <v>4100</v>
      </c>
      <c r="AO900" s="502"/>
      <c r="AP900" s="502"/>
      <c r="AQ900" s="1296"/>
      <c r="AR900" s="502"/>
      <c r="AS900" s="1297"/>
      <c r="AT900" s="1297"/>
      <c r="AU900" s="327"/>
      <c r="AV900" s="1612">
        <f t="shared" si="311"/>
        <v>246</v>
      </c>
      <c r="AW900" s="1298"/>
      <c r="AX900" s="1218">
        <f t="shared" si="308"/>
        <v>4100</v>
      </c>
      <c r="AY900" s="1218"/>
      <c r="AZ900" s="502"/>
      <c r="BA900" s="502"/>
      <c r="BB900" s="502"/>
      <c r="BC900" s="502"/>
      <c r="BD900" s="502"/>
      <c r="BE900" s="502"/>
      <c r="BF900" s="502"/>
      <c r="BG900" s="502"/>
      <c r="BH900" s="502"/>
      <c r="BI900" s="502"/>
      <c r="BJ900" s="502"/>
      <c r="BK900" s="502"/>
      <c r="BL900" s="502"/>
      <c r="BM900" s="502"/>
      <c r="BN900" s="502"/>
      <c r="BO900" s="1296"/>
      <c r="BP900" s="1296"/>
      <c r="BQ900" s="502">
        <f>I900/25</f>
        <v>164</v>
      </c>
      <c r="BR900" s="1297"/>
      <c r="BS900" s="1297"/>
      <c r="BT900" s="502"/>
      <c r="BU900" s="502"/>
      <c r="BV900" s="1296"/>
      <c r="BW900" s="502"/>
      <c r="BX900" s="502"/>
      <c r="BY900" s="502"/>
      <c r="BZ900" s="1218"/>
      <c r="CA900" s="1218"/>
      <c r="CB900" s="1218"/>
      <c r="CC900" s="1218"/>
      <c r="CD900" s="1218">
        <f t="shared" si="302"/>
        <v>164</v>
      </c>
      <c r="CE900" s="1218">
        <f t="shared" si="303"/>
        <v>0</v>
      </c>
      <c r="CF900" s="502">
        <f t="shared" si="304"/>
        <v>0</v>
      </c>
      <c r="CG900" s="1218">
        <f t="shared" si="305"/>
        <v>0</v>
      </c>
      <c r="CH900" s="1299"/>
      <c r="CI900" s="1299"/>
      <c r="CJ900" s="1297"/>
      <c r="CK900" s="502"/>
      <c r="CL900" s="502"/>
      <c r="CM900" s="293"/>
      <c r="CN900" s="293"/>
      <c r="CO900" s="293"/>
      <c r="CP900" s="293"/>
      <c r="CQ900" s="293"/>
      <c r="CR900" s="293"/>
      <c r="CS900" s="293"/>
      <c r="CT900" s="293"/>
      <c r="CU900" s="293"/>
      <c r="CV900" s="293"/>
      <c r="CW900" s="293"/>
      <c r="CX900" s="293"/>
      <c r="CY900" s="293"/>
      <c r="CZ900" s="293"/>
      <c r="DA900" s="293"/>
      <c r="DB900" s="293"/>
      <c r="DC900" s="293"/>
      <c r="DD900" s="293"/>
      <c r="DE900" s="293"/>
      <c r="DF900" s="293"/>
      <c r="DG900" s="293"/>
    </row>
    <row r="901" s="1180" customFormat="1" customHeight="1" spans="1:111">
      <c r="A901" s="1309">
        <v>46230</v>
      </c>
      <c r="B901" s="1552" t="s">
        <v>507</v>
      </c>
      <c r="C901" s="1553" t="s">
        <v>508</v>
      </c>
      <c r="D901" s="1555">
        <v>4500217813</v>
      </c>
      <c r="E901" s="1553">
        <v>2653826</v>
      </c>
      <c r="F901" s="1555" t="s">
        <v>3557</v>
      </c>
      <c r="G901" s="1556" t="s">
        <v>510</v>
      </c>
      <c r="H901" s="1054" t="s">
        <v>194</v>
      </c>
      <c r="I901" s="1557">
        <v>9997</v>
      </c>
      <c r="J901" s="1553">
        <v>0</v>
      </c>
      <c r="K901" s="1553">
        <v>13</v>
      </c>
      <c r="L901" s="1597">
        <f t="shared" si="298"/>
        <v>769</v>
      </c>
      <c r="M901" s="1545">
        <v>46279</v>
      </c>
      <c r="N901" s="1545">
        <v>46275</v>
      </c>
      <c r="O901" s="1545"/>
      <c r="P901" s="1313"/>
      <c r="Q901" s="1313"/>
      <c r="R901" s="488"/>
      <c r="S901" s="488"/>
      <c r="T901" s="1313"/>
      <c r="U901" s="500">
        <f t="shared" si="300"/>
        <v>-9997</v>
      </c>
      <c r="V901" s="488"/>
      <c r="W901" s="1300" t="s">
        <v>3064</v>
      </c>
      <c r="X901" s="1294" t="s">
        <v>107</v>
      </c>
      <c r="Y901" s="1294" t="s">
        <v>3545</v>
      </c>
      <c r="Z901" s="544" t="s">
        <v>360</v>
      </c>
      <c r="AA901" s="544"/>
      <c r="AB901" s="544"/>
      <c r="AC901" s="1294" t="s">
        <v>3558</v>
      </c>
      <c r="AD901" s="1545" t="s">
        <v>676</v>
      </c>
      <c r="AE901" s="327">
        <v>1.0385</v>
      </c>
      <c r="AF901" s="1315">
        <f>AE901*I901</f>
        <v>10381.8845</v>
      </c>
      <c r="AG901" s="1295"/>
      <c r="AH901" s="488" t="s">
        <v>510</v>
      </c>
      <c r="AI901" s="488" t="s">
        <v>112</v>
      </c>
      <c r="AJ901" s="488"/>
      <c r="AK901" s="327">
        <f t="shared" si="309"/>
        <v>9997</v>
      </c>
      <c r="AL901" s="327"/>
      <c r="AM901" s="327"/>
      <c r="AN901" s="1729">
        <f t="shared" si="310"/>
        <v>9997</v>
      </c>
      <c r="AO901" s="327"/>
      <c r="AP901" s="327"/>
      <c r="AQ901" s="1316"/>
      <c r="AR901" s="327"/>
      <c r="AS901" s="1317"/>
      <c r="AT901" s="1317"/>
      <c r="AU901" s="327"/>
      <c r="AV901" s="1678">
        <f t="shared" si="311"/>
        <v>599.82</v>
      </c>
      <c r="AW901" s="1318"/>
      <c r="AX901" s="327">
        <f t="shared" si="308"/>
        <v>9997</v>
      </c>
      <c r="AY901" s="327"/>
      <c r="AZ901" s="327"/>
      <c r="BA901" s="327"/>
      <c r="BB901" s="327"/>
      <c r="BC901" s="327"/>
      <c r="BD901" s="327"/>
      <c r="BE901" s="327"/>
      <c r="BF901" s="327"/>
      <c r="BG901" s="327"/>
      <c r="BH901" s="327"/>
      <c r="BI901" s="327"/>
      <c r="BJ901" s="327"/>
      <c r="BK901" s="327"/>
      <c r="BL901" s="327"/>
      <c r="BM901" s="327"/>
      <c r="BN901" s="327"/>
      <c r="BO901" s="1316"/>
      <c r="BP901" s="1316">
        <f>I901/13</f>
        <v>769</v>
      </c>
      <c r="BQ901" s="327"/>
      <c r="BR901" s="1317"/>
      <c r="BS901" s="1317"/>
      <c r="BT901" s="327"/>
      <c r="BU901" s="327"/>
      <c r="BV901" s="1316"/>
      <c r="BW901" s="327"/>
      <c r="BX901" s="327"/>
      <c r="BY901" s="327"/>
      <c r="BZ901" s="327"/>
      <c r="CA901" s="327"/>
      <c r="CB901" s="327"/>
      <c r="CC901" s="327"/>
      <c r="CD901" s="327">
        <f t="shared" si="302"/>
        <v>0</v>
      </c>
      <c r="CE901" s="327">
        <f t="shared" si="303"/>
        <v>0</v>
      </c>
      <c r="CF901" s="327">
        <f t="shared" si="304"/>
        <v>0</v>
      </c>
      <c r="CG901" s="327">
        <f t="shared" si="305"/>
        <v>0</v>
      </c>
      <c r="CH901" s="1317"/>
      <c r="CI901" s="1317"/>
      <c r="CJ901" s="1317"/>
      <c r="CK901" s="327"/>
      <c r="CL901" s="327"/>
    </row>
    <row r="902" s="1179" customFormat="1" customHeight="1" spans="1:111">
      <c r="A902" s="1309">
        <v>46230</v>
      </c>
      <c r="B902" s="544" t="s">
        <v>507</v>
      </c>
      <c r="C902" s="488" t="s">
        <v>508</v>
      </c>
      <c r="D902" s="327">
        <v>4500217813</v>
      </c>
      <c r="E902" s="488">
        <v>2653827</v>
      </c>
      <c r="F902" s="327" t="s">
        <v>3559</v>
      </c>
      <c r="G902" s="1310" t="s">
        <v>510</v>
      </c>
      <c r="H902" s="488" t="s">
        <v>194</v>
      </c>
      <c r="I902" s="1311">
        <v>2002</v>
      </c>
      <c r="J902" s="488">
        <v>0</v>
      </c>
      <c r="K902" s="488">
        <v>13</v>
      </c>
      <c r="L902" s="1544">
        <f t="shared" si="298"/>
        <v>154</v>
      </c>
      <c r="M902" s="1312">
        <v>46279</v>
      </c>
      <c r="N902" s="1312">
        <v>46275</v>
      </c>
      <c r="O902" s="1312"/>
      <c r="P902" s="1313"/>
      <c r="Q902" s="1313"/>
      <c r="R902" s="488"/>
      <c r="S902" s="488"/>
      <c r="T902" s="1313"/>
      <c r="U902" s="500">
        <f t="shared" si="300"/>
        <v>-2002</v>
      </c>
      <c r="V902" s="488"/>
      <c r="W902" s="1300" t="s">
        <v>3064</v>
      </c>
      <c r="X902" s="1301" t="s">
        <v>107</v>
      </c>
      <c r="Y902" s="1301" t="s">
        <v>3545</v>
      </c>
      <c r="Z902" s="544" t="s">
        <v>360</v>
      </c>
      <c r="AA902" s="544"/>
      <c r="AB902" s="544"/>
      <c r="AC902" s="1294" t="s">
        <v>3558</v>
      </c>
      <c r="AD902" s="1312" t="s">
        <v>676</v>
      </c>
      <c r="AE902" s="327">
        <v>1.0385</v>
      </c>
      <c r="AF902" s="1315">
        <f>AE902*I902</f>
        <v>2079.077</v>
      </c>
      <c r="AG902" s="1295"/>
      <c r="AH902" s="488" t="s">
        <v>510</v>
      </c>
      <c r="AI902" s="488" t="s">
        <v>112</v>
      </c>
      <c r="AJ902" s="488"/>
      <c r="AK902" s="327">
        <f t="shared" si="309"/>
        <v>2002</v>
      </c>
      <c r="AL902" s="327"/>
      <c r="AM902" s="327"/>
      <c r="AN902" s="1420">
        <f t="shared" si="310"/>
        <v>2002</v>
      </c>
      <c r="AO902" s="327"/>
      <c r="AP902" s="327"/>
      <c r="AQ902" s="1316"/>
      <c r="AR902" s="327"/>
      <c r="AS902" s="1317"/>
      <c r="AT902" s="1317"/>
      <c r="AU902" s="327"/>
      <c r="AV902" s="1318">
        <f t="shared" si="311"/>
        <v>120.12</v>
      </c>
      <c r="AW902" s="1318"/>
      <c r="AX902" s="327">
        <f t="shared" si="308"/>
        <v>2002</v>
      </c>
      <c r="AY902" s="327"/>
      <c r="AZ902" s="327"/>
      <c r="BA902" s="327"/>
      <c r="BB902" s="327"/>
      <c r="BC902" s="327"/>
      <c r="BD902" s="327"/>
      <c r="BE902" s="327"/>
      <c r="BF902" s="327"/>
      <c r="BG902" s="327"/>
      <c r="BH902" s="327"/>
      <c r="BI902" s="327"/>
      <c r="BJ902" s="327"/>
      <c r="BK902" s="327"/>
      <c r="BL902" s="327"/>
      <c r="BM902" s="327"/>
      <c r="BN902" s="327"/>
      <c r="BO902" s="1316"/>
      <c r="BP902" s="1316">
        <f>I902/13</f>
        <v>154</v>
      </c>
      <c r="BQ902" s="327"/>
      <c r="BR902" s="1317"/>
      <c r="BS902" s="1317"/>
      <c r="BT902" s="327"/>
      <c r="BU902" s="327"/>
      <c r="BV902" s="1316"/>
      <c r="BW902" s="327"/>
      <c r="BX902" s="327"/>
      <c r="BY902" s="327"/>
      <c r="BZ902" s="327"/>
      <c r="CA902" s="327"/>
      <c r="CB902" s="327"/>
      <c r="CC902" s="327"/>
      <c r="CD902" s="327">
        <f t="shared" si="302"/>
        <v>0</v>
      </c>
      <c r="CE902" s="327">
        <f t="shared" si="303"/>
        <v>0</v>
      </c>
      <c r="CF902" s="327">
        <f t="shared" si="304"/>
        <v>0</v>
      </c>
      <c r="CG902" s="327">
        <f t="shared" si="305"/>
        <v>0</v>
      </c>
      <c r="CH902" s="1317"/>
      <c r="CI902" s="1317"/>
      <c r="CJ902" s="1317"/>
      <c r="CK902" s="327"/>
      <c r="CL902" s="327"/>
      <c r="CM902" s="1180"/>
      <c r="CN902" s="1180"/>
      <c r="CO902" s="1180"/>
      <c r="CP902" s="1180"/>
      <c r="CQ902" s="1180"/>
      <c r="CR902" s="1180"/>
      <c r="CS902" s="1180"/>
      <c r="CT902" s="1180"/>
      <c r="CU902" s="1180"/>
      <c r="CV902" s="1180"/>
      <c r="CW902" s="1180"/>
      <c r="CX902" s="1180"/>
      <c r="CY902" s="1180"/>
      <c r="CZ902" s="1180"/>
      <c r="DA902" s="1180"/>
      <c r="DB902" s="1180"/>
      <c r="DC902" s="1180"/>
      <c r="DD902" s="1180"/>
      <c r="DE902" s="1180"/>
      <c r="DF902" s="1180"/>
      <c r="DG902" s="1180"/>
    </row>
    <row r="903" s="293" customFormat="1" customHeight="1" spans="1:111">
      <c r="A903" s="1309">
        <v>46230</v>
      </c>
      <c r="B903" s="544" t="s">
        <v>507</v>
      </c>
      <c r="C903" s="488" t="s">
        <v>508</v>
      </c>
      <c r="D903" s="327">
        <v>4500217813</v>
      </c>
      <c r="E903" s="488">
        <v>2653828</v>
      </c>
      <c r="F903" s="327" t="s">
        <v>3560</v>
      </c>
      <c r="G903" s="1310" t="s">
        <v>510</v>
      </c>
      <c r="H903" s="488" t="s">
        <v>194</v>
      </c>
      <c r="I903" s="1311">
        <v>15002</v>
      </c>
      <c r="J903" s="488">
        <v>0</v>
      </c>
      <c r="K903" s="488">
        <v>13</v>
      </c>
      <c r="L903" s="1544">
        <f t="shared" si="298"/>
        <v>1154</v>
      </c>
      <c r="M903" s="1312">
        <v>46279</v>
      </c>
      <c r="N903" s="1312">
        <v>46275</v>
      </c>
      <c r="O903" s="1312"/>
      <c r="P903" s="1313"/>
      <c r="Q903" s="1313"/>
      <c r="R903" s="488"/>
      <c r="S903" s="488"/>
      <c r="T903" s="1313"/>
      <c r="U903" s="500">
        <f t="shared" si="300"/>
        <v>-15002</v>
      </c>
      <c r="V903" s="488"/>
      <c r="W903" s="1300" t="s">
        <v>3064</v>
      </c>
      <c r="X903" s="1301" t="s">
        <v>107</v>
      </c>
      <c r="Y903" s="1301" t="s">
        <v>3545</v>
      </c>
      <c r="Z903" s="544" t="s">
        <v>360</v>
      </c>
      <c r="AA903" s="544"/>
      <c r="AB903" s="544"/>
      <c r="AC903" s="1294" t="s">
        <v>3558</v>
      </c>
      <c r="AD903" s="1312" t="s">
        <v>676</v>
      </c>
      <c r="AE903" s="327">
        <v>1.0939</v>
      </c>
      <c r="AF903" s="1315">
        <f>AE903*I903</f>
        <v>16410.6878</v>
      </c>
      <c r="AG903" s="1295"/>
      <c r="AH903" s="488" t="s">
        <v>510</v>
      </c>
      <c r="AI903" s="488" t="s">
        <v>112</v>
      </c>
      <c r="AJ903" s="488"/>
      <c r="AK903" s="327">
        <f t="shared" si="309"/>
        <v>15002</v>
      </c>
      <c r="AL903" s="327"/>
      <c r="AM903" s="327"/>
      <c r="AN903" s="1420">
        <f t="shared" si="310"/>
        <v>15002</v>
      </c>
      <c r="AO903" s="327"/>
      <c r="AP903" s="327"/>
      <c r="AQ903" s="1316"/>
      <c r="AR903" s="327"/>
      <c r="AS903" s="1317"/>
      <c r="AT903" s="1317"/>
      <c r="AU903" s="327"/>
      <c r="AV903" s="1318">
        <f t="shared" si="311"/>
        <v>900.12</v>
      </c>
      <c r="AW903" s="1318"/>
      <c r="AX903" s="327">
        <f t="shared" si="308"/>
        <v>15002</v>
      </c>
      <c r="AY903" s="327"/>
      <c r="AZ903" s="327"/>
      <c r="BA903" s="327"/>
      <c r="BB903" s="327"/>
      <c r="BC903" s="327"/>
      <c r="BD903" s="327"/>
      <c r="BE903" s="327"/>
      <c r="BF903" s="327"/>
      <c r="BG903" s="327"/>
      <c r="BH903" s="327"/>
      <c r="BI903" s="327"/>
      <c r="BJ903" s="327"/>
      <c r="BK903" s="327"/>
      <c r="BL903" s="327"/>
      <c r="BM903" s="327"/>
      <c r="BN903" s="327"/>
      <c r="BO903" s="1316"/>
      <c r="BP903" s="1316">
        <f>I903/13</f>
        <v>1154</v>
      </c>
      <c r="BQ903" s="327"/>
      <c r="BR903" s="1317"/>
      <c r="BS903" s="1317"/>
      <c r="BT903" s="327"/>
      <c r="BU903" s="327"/>
      <c r="BV903" s="1316"/>
      <c r="BW903" s="327"/>
      <c r="BX903" s="327"/>
      <c r="BY903" s="327"/>
      <c r="BZ903" s="327"/>
      <c r="CA903" s="327"/>
      <c r="CB903" s="327"/>
      <c r="CC903" s="327"/>
      <c r="CD903" s="327">
        <f t="shared" si="302"/>
        <v>0</v>
      </c>
      <c r="CE903" s="327">
        <f t="shared" si="303"/>
        <v>0</v>
      </c>
      <c r="CF903" s="327">
        <f t="shared" si="304"/>
        <v>0</v>
      </c>
      <c r="CG903" s="327">
        <f t="shared" si="305"/>
        <v>0</v>
      </c>
      <c r="CH903" s="1317"/>
      <c r="CI903" s="1317"/>
      <c r="CJ903" s="1317"/>
      <c r="CK903" s="327"/>
      <c r="CL903" s="327"/>
      <c r="CM903" s="1180"/>
      <c r="CN903" s="1180"/>
      <c r="CO903" s="1180"/>
      <c r="CP903" s="1180"/>
      <c r="CQ903" s="1180"/>
      <c r="CR903" s="1180"/>
      <c r="CS903" s="1180"/>
      <c r="CT903" s="1180"/>
      <c r="CU903" s="1180"/>
      <c r="CV903" s="1180"/>
      <c r="CW903" s="1180"/>
      <c r="CX903" s="1180"/>
      <c r="CY903" s="1180"/>
      <c r="CZ903" s="1180"/>
      <c r="DA903" s="1180"/>
      <c r="DB903" s="1180"/>
      <c r="DC903" s="1180"/>
      <c r="DD903" s="1180"/>
      <c r="DE903" s="1180"/>
      <c r="DF903" s="1180"/>
      <c r="DG903" s="1180"/>
    </row>
    <row r="904" s="1180" customFormat="1" customHeight="1" spans="1:111">
      <c r="A904" s="1289">
        <v>46203</v>
      </c>
      <c r="B904" s="543" t="s">
        <v>3561</v>
      </c>
      <c r="C904" s="504" t="s">
        <v>1439</v>
      </c>
      <c r="D904" s="1305">
        <v>4500214249</v>
      </c>
      <c r="E904" s="504" t="s">
        <v>628</v>
      </c>
      <c r="F904" s="502" t="s">
        <v>3562</v>
      </c>
      <c r="G904" s="505" t="s">
        <v>799</v>
      </c>
      <c r="H904" s="504" t="s">
        <v>800</v>
      </c>
      <c r="I904" s="1290">
        <v>1320</v>
      </c>
      <c r="J904" s="504">
        <v>0</v>
      </c>
      <c r="K904" s="504">
        <v>30</v>
      </c>
      <c r="L904" s="1291">
        <f t="shared" si="298"/>
        <v>44</v>
      </c>
      <c r="M904" s="1586">
        <v>46280</v>
      </c>
      <c r="N904" s="1586">
        <v>46276</v>
      </c>
      <c r="O904" s="501"/>
      <c r="P904" s="506"/>
      <c r="Q904" s="506"/>
      <c r="R904" s="504"/>
      <c r="S904" s="504"/>
      <c r="T904" s="506"/>
      <c r="U904" s="500">
        <f t="shared" si="300"/>
        <v>-1320</v>
      </c>
      <c r="V904" s="504"/>
      <c r="W904" s="1293" t="s">
        <v>3064</v>
      </c>
      <c r="X904" s="1294" t="s">
        <v>95</v>
      </c>
      <c r="Y904" s="1301" t="s">
        <v>3563</v>
      </c>
      <c r="Z904" s="544"/>
      <c r="AA904" s="544"/>
      <c r="AB904" s="543"/>
      <c r="AC904" s="544" t="s">
        <v>3564</v>
      </c>
      <c r="AD904" s="501" t="s">
        <v>2600</v>
      </c>
      <c r="AE904" s="502">
        <v>42.021</v>
      </c>
      <c r="AF904" s="503">
        <f>AE904*L904</f>
        <v>1848.924</v>
      </c>
      <c r="AG904" s="1295"/>
      <c r="AH904" s="505" t="s">
        <v>799</v>
      </c>
      <c r="AI904" s="488" t="s">
        <v>112</v>
      </c>
      <c r="AJ904" s="504"/>
      <c r="AK904" s="327">
        <f t="shared" si="309"/>
        <v>1320</v>
      </c>
      <c r="AL904" s="502"/>
      <c r="AM904" s="1218"/>
      <c r="AN904" s="1601"/>
      <c r="AO904" s="502"/>
      <c r="AP904" s="502">
        <f>I904</f>
        <v>1320</v>
      </c>
      <c r="AQ904" s="1296"/>
      <c r="AR904" s="438"/>
      <c r="AS904" s="1297"/>
      <c r="AT904" s="1297"/>
      <c r="AU904" s="502">
        <f>I904</f>
        <v>1320</v>
      </c>
      <c r="AV904" s="1612"/>
      <c r="AW904" s="1298"/>
      <c r="AX904" s="502"/>
      <c r="AY904" s="502"/>
      <c r="AZ904" s="502"/>
      <c r="BA904" s="502"/>
      <c r="BB904" s="502"/>
      <c r="BC904" s="502"/>
      <c r="BD904" s="502"/>
      <c r="BE904" s="502"/>
      <c r="BF904" s="502"/>
      <c r="BG904" s="502"/>
      <c r="BH904" s="502"/>
      <c r="BI904" s="502"/>
      <c r="BJ904" s="502"/>
      <c r="BK904" s="502"/>
      <c r="BL904" s="502"/>
      <c r="BM904" s="502"/>
      <c r="BN904" s="502"/>
      <c r="BO904" s="1296"/>
      <c r="BP904" s="1296"/>
      <c r="BQ904" s="1218"/>
      <c r="BR904" s="1297"/>
      <c r="BS904" s="1297"/>
      <c r="BT904" s="502"/>
      <c r="BU904" s="502"/>
      <c r="BV904" s="1296"/>
      <c r="BW904" s="1218"/>
      <c r="BX904" s="1218"/>
      <c r="BY904" s="1218"/>
      <c r="BZ904" s="1218"/>
      <c r="CA904" s="1218"/>
      <c r="CB904" s="1218"/>
      <c r="CC904" s="1218">
        <f>I904/30</f>
        <v>44</v>
      </c>
      <c r="CD904" s="1218">
        <f t="shared" si="302"/>
        <v>0</v>
      </c>
      <c r="CE904" s="1218">
        <f t="shared" si="303"/>
        <v>0</v>
      </c>
      <c r="CF904" s="502">
        <f t="shared" si="304"/>
        <v>44</v>
      </c>
      <c r="CG904" s="1218">
        <f t="shared" si="305"/>
        <v>0</v>
      </c>
      <c r="CH904" s="1299"/>
      <c r="CI904" s="1299"/>
      <c r="CJ904" s="1297"/>
      <c r="CK904" s="502"/>
      <c r="CL904" s="502"/>
      <c r="CM904" s="293"/>
      <c r="CN904" s="293"/>
      <c r="CO904" s="293"/>
      <c r="CP904" s="293"/>
      <c r="CQ904" s="293"/>
      <c r="CR904" s="293"/>
      <c r="CS904" s="293"/>
      <c r="CT904" s="293"/>
      <c r="CU904" s="293"/>
      <c r="CV904" s="293"/>
      <c r="CW904" s="293"/>
      <c r="CX904" s="293"/>
      <c r="CY904" s="293"/>
      <c r="CZ904" s="293"/>
      <c r="DA904" s="293"/>
      <c r="DB904" s="293"/>
      <c r="DC904" s="293"/>
      <c r="DD904" s="293"/>
      <c r="DE904" s="293"/>
      <c r="DF904" s="293"/>
      <c r="DG904" s="293"/>
    </row>
    <row r="905" s="1184" customFormat="1" customHeight="1" spans="1:111">
      <c r="A905" s="1309">
        <v>46206</v>
      </c>
      <c r="B905" s="1552" t="s">
        <v>626</v>
      </c>
      <c r="C905" s="1553" t="s">
        <v>627</v>
      </c>
      <c r="D905" s="1554">
        <v>4500211255</v>
      </c>
      <c r="E905" s="1553"/>
      <c r="F905" s="1555" t="s">
        <v>3565</v>
      </c>
      <c r="G905" s="1556" t="s">
        <v>188</v>
      </c>
      <c r="H905" s="488" t="s">
        <v>138</v>
      </c>
      <c r="I905" s="1557">
        <v>3000</v>
      </c>
      <c r="J905" s="1553">
        <v>0</v>
      </c>
      <c r="K905" s="1553">
        <v>50</v>
      </c>
      <c r="L905" s="1544">
        <f t="shared" si="298"/>
        <v>60</v>
      </c>
      <c r="M905" s="1545">
        <v>46280</v>
      </c>
      <c r="N905" s="1545">
        <v>46276</v>
      </c>
      <c r="O905" s="1545"/>
      <c r="P905" s="1313"/>
      <c r="Q905" s="1313"/>
      <c r="R905" s="488"/>
      <c r="S905" s="488"/>
      <c r="T905" s="1313"/>
      <c r="U905" s="500">
        <f t="shared" si="300"/>
        <v>-3000</v>
      </c>
      <c r="V905" s="488"/>
      <c r="W905" s="1300">
        <v>46206</v>
      </c>
      <c r="X905" s="1301" t="s">
        <v>95</v>
      </c>
      <c r="Y905" s="1294" t="s">
        <v>3566</v>
      </c>
      <c r="Z905" s="1552"/>
      <c r="AA905" s="1552"/>
      <c r="AB905" s="544"/>
      <c r="AC905" s="1560" t="s">
        <v>3567</v>
      </c>
      <c r="AD905" s="1545" t="s">
        <v>295</v>
      </c>
      <c r="AE905" s="327">
        <v>1.1174</v>
      </c>
      <c r="AF905" s="1315">
        <f>AE905*I905</f>
        <v>3352.2</v>
      </c>
      <c r="AG905" s="1295"/>
      <c r="AH905" s="504" t="s">
        <v>314</v>
      </c>
      <c r="AI905" s="488" t="s">
        <v>112</v>
      </c>
      <c r="AJ905" s="488"/>
      <c r="AK905" s="327">
        <f t="shared" si="309"/>
        <v>3000</v>
      </c>
      <c r="AL905" s="327"/>
      <c r="AM905" s="327"/>
      <c r="AN905" s="327"/>
      <c r="AO905" s="502"/>
      <c r="AP905" s="502">
        <f>I905</f>
        <v>3000</v>
      </c>
      <c r="AQ905" s="1296"/>
      <c r="AR905" s="438"/>
      <c r="AS905" s="1297"/>
      <c r="AT905" s="1297"/>
      <c r="AU905" s="502">
        <f>I905</f>
        <v>3000</v>
      </c>
      <c r="AV905" s="1318"/>
      <c r="AW905" s="1318"/>
      <c r="AX905" s="327"/>
      <c r="AY905" s="327"/>
      <c r="AZ905" s="327"/>
      <c r="BA905" s="327"/>
      <c r="BB905" s="327"/>
      <c r="BC905" s="327"/>
      <c r="BD905" s="327"/>
      <c r="BE905" s="327"/>
      <c r="BF905" s="327"/>
      <c r="BG905" s="327"/>
      <c r="BH905" s="327"/>
      <c r="BI905" s="327"/>
      <c r="BJ905" s="327"/>
      <c r="BK905" s="327"/>
      <c r="BL905" s="327"/>
      <c r="BM905" s="327"/>
      <c r="BN905" s="327"/>
      <c r="BO905" s="1296">
        <f>I905/25</f>
        <v>120</v>
      </c>
      <c r="BP905" s="1316"/>
      <c r="BQ905" s="327"/>
      <c r="BR905" s="1317"/>
      <c r="BS905" s="1317"/>
      <c r="BT905" s="327"/>
      <c r="BU905" s="327"/>
      <c r="BV905" s="1316"/>
      <c r="BW905" s="327"/>
      <c r="BX905" s="327"/>
      <c r="BY905" s="327"/>
      <c r="BZ905" s="327"/>
      <c r="CA905" s="327"/>
      <c r="CB905" s="327"/>
      <c r="CC905" s="327"/>
      <c r="CD905" s="1218">
        <f t="shared" si="302"/>
        <v>120</v>
      </c>
      <c r="CE905" s="1218">
        <f t="shared" si="303"/>
        <v>0</v>
      </c>
      <c r="CF905" s="502">
        <f t="shared" si="304"/>
        <v>0</v>
      </c>
      <c r="CG905" s="1218">
        <f t="shared" si="305"/>
        <v>0</v>
      </c>
      <c r="CH905" s="1317"/>
      <c r="CI905" s="1317"/>
      <c r="CJ905" s="1317"/>
      <c r="CK905" s="327"/>
      <c r="CL905" s="327"/>
      <c r="CM905" s="1180"/>
      <c r="CN905" s="1180"/>
      <c r="CO905" s="1180"/>
      <c r="CP905" s="1180"/>
      <c r="CQ905" s="1180"/>
      <c r="CR905" s="1180"/>
      <c r="CS905" s="1180"/>
      <c r="CT905" s="1180"/>
      <c r="CU905" s="1180"/>
      <c r="CV905" s="1180"/>
      <c r="CW905" s="1180"/>
      <c r="CX905" s="1180"/>
      <c r="CY905" s="1180"/>
      <c r="CZ905" s="1180"/>
      <c r="DA905" s="1180"/>
      <c r="DB905" s="1180"/>
      <c r="DC905" s="1180"/>
      <c r="DD905" s="1180"/>
      <c r="DE905" s="1180"/>
      <c r="DF905" s="1180"/>
      <c r="DG905" s="1180"/>
    </row>
    <row r="906" s="293" customFormat="1" customHeight="1" spans="1:111">
      <c r="A906" s="1309">
        <v>46233</v>
      </c>
      <c r="B906" s="544" t="s">
        <v>3568</v>
      </c>
      <c r="C906" s="488" t="s">
        <v>115</v>
      </c>
      <c r="D906" s="327">
        <v>4500218250</v>
      </c>
      <c r="E906" s="488">
        <v>5200011169</v>
      </c>
      <c r="F906" s="1756" t="s">
        <v>3569</v>
      </c>
      <c r="G906" s="1693" t="s">
        <v>3570</v>
      </c>
      <c r="H906" s="488" t="s">
        <v>390</v>
      </c>
      <c r="I906" s="1311">
        <v>5640</v>
      </c>
      <c r="J906" s="488">
        <v>0</v>
      </c>
      <c r="K906" s="488">
        <v>12</v>
      </c>
      <c r="L906" s="1544">
        <f t="shared" si="298"/>
        <v>470</v>
      </c>
      <c r="M906" s="1312">
        <v>46280</v>
      </c>
      <c r="N906" s="1312">
        <v>46276</v>
      </c>
      <c r="O906" s="1312"/>
      <c r="P906" s="1313"/>
      <c r="Q906" s="1313"/>
      <c r="R906" s="488"/>
      <c r="S906" s="488"/>
      <c r="T906" s="1313"/>
      <c r="U906" s="500">
        <f t="shared" si="300"/>
        <v>-5640</v>
      </c>
      <c r="V906" s="488"/>
      <c r="W906" s="1300">
        <v>46234</v>
      </c>
      <c r="X906" s="1301" t="s">
        <v>95</v>
      </c>
      <c r="Y906" s="1294" t="s">
        <v>3571</v>
      </c>
      <c r="Z906" s="544"/>
      <c r="AA906" s="544"/>
      <c r="AB906" s="544"/>
      <c r="AC906" s="544" t="s">
        <v>3572</v>
      </c>
      <c r="AD906" s="1312" t="s">
        <v>3573</v>
      </c>
      <c r="AE906" s="327">
        <v>1.4967</v>
      </c>
      <c r="AF906" s="1315">
        <f>I906*AE906</f>
        <v>8441.388</v>
      </c>
      <c r="AG906" s="1295"/>
      <c r="AH906" s="1310" t="s">
        <v>389</v>
      </c>
      <c r="AI906" s="488" t="s">
        <v>112</v>
      </c>
      <c r="AJ906" s="488"/>
      <c r="AK906" s="327">
        <f>I906*2</f>
        <v>11280</v>
      </c>
      <c r="AL906" s="327"/>
      <c r="AM906" s="327"/>
      <c r="AN906" s="1420">
        <f>I906*2</f>
        <v>11280</v>
      </c>
      <c r="AO906" s="327"/>
      <c r="AP906" s="327"/>
      <c r="AQ906" s="1316"/>
      <c r="AR906" s="327"/>
      <c r="AS906" s="1317"/>
      <c r="AT906" s="1317"/>
      <c r="AU906" s="327">
        <f>I906*2</f>
        <v>11280</v>
      </c>
      <c r="AV906" s="1318">
        <f>I906*0.06</f>
        <v>338.4</v>
      </c>
      <c r="AW906" s="1318"/>
      <c r="AX906" s="327"/>
      <c r="AY906" s="327"/>
      <c r="AZ906" s="327"/>
      <c r="BA906" s="327"/>
      <c r="BB906" s="327"/>
      <c r="BC906" s="327"/>
      <c r="BD906" s="327"/>
      <c r="BE906" s="327"/>
      <c r="BF906" s="327"/>
      <c r="BG906" s="327"/>
      <c r="BH906" s="327"/>
      <c r="BI906" s="327"/>
      <c r="BJ906" s="327"/>
      <c r="BK906" s="327"/>
      <c r="BL906" s="327"/>
      <c r="BM906" s="327"/>
      <c r="BN906" s="327"/>
      <c r="BO906" s="1316"/>
      <c r="BP906" s="1316"/>
      <c r="BQ906" s="327"/>
      <c r="BR906" s="1317"/>
      <c r="BS906" s="1317"/>
      <c r="BT906" s="327"/>
      <c r="BU906" s="327"/>
      <c r="BV906" s="1316"/>
      <c r="BW906" s="327"/>
      <c r="BX906" s="327"/>
      <c r="BY906" s="327"/>
      <c r="BZ906" s="327"/>
      <c r="CA906" s="327"/>
      <c r="CB906" s="327"/>
      <c r="CC906" s="327"/>
      <c r="CD906" s="327">
        <f t="shared" si="302"/>
        <v>0</v>
      </c>
      <c r="CE906" s="327">
        <f t="shared" si="303"/>
        <v>0</v>
      </c>
      <c r="CF906" s="327">
        <f t="shared" si="304"/>
        <v>0</v>
      </c>
      <c r="CG906" s="327">
        <f t="shared" si="305"/>
        <v>0</v>
      </c>
      <c r="CH906" s="1317"/>
      <c r="CI906" s="1317"/>
      <c r="CJ906" s="1317">
        <f>I906</f>
        <v>5640</v>
      </c>
      <c r="CK906" s="327">
        <f>I906</f>
        <v>5640</v>
      </c>
      <c r="CL906" s="327">
        <f>I906</f>
        <v>5640</v>
      </c>
      <c r="CM906" s="1180"/>
      <c r="CN906" s="1180"/>
      <c r="CO906" s="1180"/>
      <c r="CP906" s="1180"/>
      <c r="CQ906" s="1180"/>
      <c r="CR906" s="1180"/>
      <c r="CS906" s="1180"/>
      <c r="CT906" s="1180"/>
      <c r="CU906" s="1180"/>
      <c r="CV906" s="1180"/>
      <c r="CW906" s="1180"/>
      <c r="CX906" s="1180"/>
      <c r="CY906" s="1180"/>
      <c r="CZ906" s="1180"/>
      <c r="DA906" s="1180"/>
      <c r="DB906" s="1180"/>
      <c r="DC906" s="1180"/>
      <c r="DD906" s="1180"/>
      <c r="DE906" s="1180"/>
      <c r="DF906" s="1180"/>
      <c r="DG906" s="1180"/>
    </row>
    <row r="907" s="1180" customFormat="1" customHeight="1" spans="1:111">
      <c r="A907" s="1309">
        <v>46237</v>
      </c>
      <c r="B907" s="1410" t="s">
        <v>3574</v>
      </c>
      <c r="C907" s="1411" t="s">
        <v>115</v>
      </c>
      <c r="D907" s="1412">
        <v>4500218622</v>
      </c>
      <c r="E907" s="1410" t="s">
        <v>3575</v>
      </c>
      <c r="F907" s="1412" t="s">
        <v>3576</v>
      </c>
      <c r="G907" s="1413" t="s">
        <v>91</v>
      </c>
      <c r="H907" s="504" t="s">
        <v>92</v>
      </c>
      <c r="I907" s="1414">
        <v>1560</v>
      </c>
      <c r="J907" s="1415">
        <v>0</v>
      </c>
      <c r="K907" s="1415">
        <v>24</v>
      </c>
      <c r="L907" s="1291">
        <f t="shared" si="298"/>
        <v>65</v>
      </c>
      <c r="M907" s="507">
        <v>46280</v>
      </c>
      <c r="N907" s="507">
        <v>46276</v>
      </c>
      <c r="O907" s="507"/>
      <c r="P907" s="506"/>
      <c r="Q907" s="506"/>
      <c r="R907" s="504"/>
      <c r="S907" s="504"/>
      <c r="T907" s="506"/>
      <c r="U907" s="500"/>
      <c r="V907" s="504"/>
      <c r="W907" s="1324">
        <v>46251</v>
      </c>
      <c r="X907" s="1308" t="s">
        <v>95</v>
      </c>
      <c r="Y907" s="1308" t="s">
        <v>95</v>
      </c>
      <c r="Z907" s="543"/>
      <c r="AA907" s="543"/>
      <c r="AB907" s="543"/>
      <c r="AC907" s="1443" t="s">
        <v>3577</v>
      </c>
      <c r="AD907" s="547" t="s">
        <v>3578</v>
      </c>
      <c r="AE907" s="548">
        <v>0.6202</v>
      </c>
      <c r="AF907" s="503">
        <f>I907*AE907</f>
        <v>967.512</v>
      </c>
      <c r="AG907" s="1295"/>
      <c r="AH907" s="488" t="s">
        <v>91</v>
      </c>
      <c r="AI907" s="504" t="s">
        <v>112</v>
      </c>
      <c r="AJ907" s="504"/>
      <c r="AK907" s="502">
        <f t="shared" ref="AK907:AK912" si="312">I907</f>
        <v>1560</v>
      </c>
      <c r="AL907" s="502"/>
      <c r="AM907" s="502"/>
      <c r="AN907" s="1601">
        <f>I907</f>
        <v>1560</v>
      </c>
      <c r="AO907" s="502"/>
      <c r="AP907" s="502"/>
      <c r="AQ907" s="1296"/>
      <c r="AR907" s="502"/>
      <c r="AS907" s="1297"/>
      <c r="AT907" s="1297"/>
      <c r="AU907" s="327">
        <f>I907</f>
        <v>1560</v>
      </c>
      <c r="AV907" s="1612">
        <f>I907</f>
        <v>1560</v>
      </c>
      <c r="AW907" s="1298"/>
      <c r="AX907" s="502"/>
      <c r="AY907" s="502"/>
      <c r="AZ907" s="502"/>
      <c r="BA907" s="502"/>
      <c r="BB907" s="502"/>
      <c r="BC907" s="502"/>
      <c r="BD907" s="502"/>
      <c r="BE907" s="502"/>
      <c r="BF907" s="502"/>
      <c r="BG907" s="502"/>
      <c r="BH907" s="502"/>
      <c r="BI907" s="502"/>
      <c r="BJ907" s="502"/>
      <c r="BK907" s="502"/>
      <c r="BL907" s="502"/>
      <c r="BM907" s="502"/>
      <c r="BN907" s="502"/>
      <c r="BO907" s="1296"/>
      <c r="BP907" s="1296"/>
      <c r="BQ907" s="502"/>
      <c r="BR907" s="1297"/>
      <c r="BS907" s="1297"/>
      <c r="BT907" s="502"/>
      <c r="BU907" s="502"/>
      <c r="BV907" s="1296"/>
      <c r="BW907" s="502"/>
      <c r="BX907" s="502"/>
      <c r="BY907" s="502"/>
      <c r="BZ907" s="1218"/>
      <c r="CA907" s="1218"/>
      <c r="CB907" s="1218"/>
      <c r="CC907" s="1218"/>
      <c r="CD907" s="1218">
        <f t="shared" si="302"/>
        <v>0</v>
      </c>
      <c r="CE907" s="1218">
        <f t="shared" si="303"/>
        <v>0</v>
      </c>
      <c r="CF907" s="502">
        <f t="shared" si="304"/>
        <v>0</v>
      </c>
      <c r="CG907" s="1218">
        <f t="shared" si="305"/>
        <v>0</v>
      </c>
      <c r="CH907" s="1299"/>
      <c r="CI907" s="1299"/>
      <c r="CJ907" s="1297"/>
      <c r="CK907" s="502"/>
      <c r="CL907" s="502"/>
      <c r="CM907" s="293"/>
      <c r="CN907" s="293"/>
      <c r="CO907" s="293"/>
      <c r="CP907" s="293"/>
      <c r="CQ907" s="293"/>
      <c r="CR907" s="293"/>
      <c r="CS907" s="293"/>
      <c r="CT907" s="293"/>
      <c r="CU907" s="293"/>
      <c r="CV907" s="293"/>
      <c r="CW907" s="293"/>
      <c r="CX907" s="293"/>
      <c r="CY907" s="293"/>
      <c r="CZ907" s="293"/>
      <c r="DA907" s="293"/>
      <c r="DB907" s="293"/>
      <c r="DC907" s="293"/>
      <c r="DD907" s="293"/>
      <c r="DE907" s="293"/>
      <c r="DF907" s="293"/>
      <c r="DG907" s="293"/>
    </row>
    <row r="908" s="1180" customFormat="1" customHeight="1" spans="1:111">
      <c r="A908" s="1309">
        <v>46136</v>
      </c>
      <c r="B908" s="1410" t="s">
        <v>191</v>
      </c>
      <c r="C908" s="1411" t="s">
        <v>164</v>
      </c>
      <c r="D908" s="1412">
        <v>4500204105</v>
      </c>
      <c r="E908" s="1410">
        <v>5200009698</v>
      </c>
      <c r="F908" s="1412" t="s">
        <v>3579</v>
      </c>
      <c r="G908" s="1413" t="s">
        <v>193</v>
      </c>
      <c r="H908" s="504" t="s">
        <v>194</v>
      </c>
      <c r="I908" s="1414">
        <v>15002</v>
      </c>
      <c r="J908" s="1415">
        <v>0</v>
      </c>
      <c r="K908" s="1415">
        <v>13</v>
      </c>
      <c r="L908" s="1291">
        <f t="shared" ref="L908:L971" si="313">I908/K908</f>
        <v>1154</v>
      </c>
      <c r="M908" s="507">
        <v>46281</v>
      </c>
      <c r="N908" s="507">
        <v>46277</v>
      </c>
      <c r="O908" s="507"/>
      <c r="P908" s="506"/>
      <c r="Q908" s="506"/>
      <c r="R908" s="504"/>
      <c r="S908" s="504"/>
      <c r="T908" s="506"/>
      <c r="U908" s="500">
        <f t="shared" ref="U908:U917" si="314">T908-I908</f>
        <v>-15002</v>
      </c>
      <c r="V908" s="504"/>
      <c r="W908" s="1324" t="s">
        <v>3064</v>
      </c>
      <c r="X908" s="1308" t="s">
        <v>95</v>
      </c>
      <c r="Y908" s="1308" t="s">
        <v>2574</v>
      </c>
      <c r="Z908" s="543" t="s">
        <v>920</v>
      </c>
      <c r="AA908" s="543"/>
      <c r="AB908" s="543"/>
      <c r="AC908" s="1443" t="s">
        <v>3580</v>
      </c>
      <c r="AD908" s="547" t="s">
        <v>895</v>
      </c>
      <c r="AE908" s="548">
        <v>1.2</v>
      </c>
      <c r="AF908" s="503">
        <f>I908*AE908</f>
        <v>18002.4</v>
      </c>
      <c r="AG908" s="1295"/>
      <c r="AH908" s="488" t="s">
        <v>199</v>
      </c>
      <c r="AI908" s="504" t="s">
        <v>112</v>
      </c>
      <c r="AJ908" s="504"/>
      <c r="AK908" s="502">
        <f t="shared" si="312"/>
        <v>15002</v>
      </c>
      <c r="AL908" s="502"/>
      <c r="AM908" s="502"/>
      <c r="AN908" s="1601"/>
      <c r="AO908" s="502"/>
      <c r="AP908" s="502">
        <f>I908</f>
        <v>15002</v>
      </c>
      <c r="AQ908" s="1296"/>
      <c r="AR908" s="502"/>
      <c r="AS908" s="1297"/>
      <c r="AT908" s="1297"/>
      <c r="AU908" s="327">
        <f>I908</f>
        <v>15002</v>
      </c>
      <c r="AV908" s="1612">
        <f>I908*0.06*2</f>
        <v>1800.24</v>
      </c>
      <c r="AW908" s="1298"/>
      <c r="AX908" s="502"/>
      <c r="AY908" s="502"/>
      <c r="AZ908" s="502"/>
      <c r="BA908" s="502"/>
      <c r="BB908" s="502"/>
      <c r="BC908" s="502"/>
      <c r="BD908" s="502"/>
      <c r="BE908" s="502"/>
      <c r="BF908" s="502"/>
      <c r="BG908" s="502"/>
      <c r="BH908" s="502"/>
      <c r="BI908" s="502"/>
      <c r="BJ908" s="502"/>
      <c r="BK908" s="502"/>
      <c r="BL908" s="502">
        <f>I908/13</f>
        <v>1154</v>
      </c>
      <c r="BM908" s="502"/>
      <c r="BN908" s="502"/>
      <c r="BO908" s="1296"/>
      <c r="BP908" s="1296"/>
      <c r="BQ908" s="502"/>
      <c r="BR908" s="1297"/>
      <c r="BS908" s="1297"/>
      <c r="BT908" s="502"/>
      <c r="BU908" s="502"/>
      <c r="BV908" s="1296"/>
      <c r="BW908" s="502"/>
      <c r="BX908" s="502"/>
      <c r="BY908" s="502"/>
      <c r="BZ908" s="1218"/>
      <c r="CA908" s="1218"/>
      <c r="CB908" s="1218"/>
      <c r="CC908" s="1218"/>
      <c r="CD908" s="1218">
        <f t="shared" si="302"/>
        <v>0</v>
      </c>
      <c r="CE908" s="1218">
        <f t="shared" si="303"/>
        <v>0</v>
      </c>
      <c r="CF908" s="502">
        <f t="shared" si="304"/>
        <v>0</v>
      </c>
      <c r="CG908" s="1218">
        <f t="shared" si="305"/>
        <v>0</v>
      </c>
      <c r="CH908" s="1299"/>
      <c r="CI908" s="1299"/>
      <c r="CJ908" s="1297"/>
      <c r="CK908" s="502"/>
      <c r="CL908" s="502"/>
      <c r="CM908" s="293"/>
      <c r="CN908" s="293"/>
      <c r="CO908" s="293"/>
      <c r="CP908" s="293"/>
      <c r="CQ908" s="293"/>
      <c r="CR908" s="293"/>
      <c r="CS908" s="293"/>
      <c r="CT908" s="293"/>
      <c r="CU908" s="293"/>
      <c r="CV908" s="293"/>
      <c r="CW908" s="293"/>
      <c r="CX908" s="293"/>
      <c r="CY908" s="293"/>
      <c r="CZ908" s="293"/>
      <c r="DA908" s="293"/>
      <c r="DB908" s="293"/>
      <c r="DC908" s="293"/>
      <c r="DD908" s="293"/>
      <c r="DE908" s="293"/>
      <c r="DF908" s="293"/>
      <c r="DG908" s="293"/>
    </row>
    <row r="909" s="293" customFormat="1" customHeight="1" spans="1:111">
      <c r="A909" s="1289">
        <v>46177</v>
      </c>
      <c r="B909" s="543" t="s">
        <v>378</v>
      </c>
      <c r="C909" s="504" t="s">
        <v>201</v>
      </c>
      <c r="D909" s="1305">
        <v>4500210724</v>
      </c>
      <c r="E909" s="1531">
        <v>2551020511</v>
      </c>
      <c r="F909" s="502" t="s">
        <v>3581</v>
      </c>
      <c r="G909" s="505" t="s">
        <v>380</v>
      </c>
      <c r="H909" s="504" t="s">
        <v>381</v>
      </c>
      <c r="I909" s="1757">
        <v>69056</v>
      </c>
      <c r="J909" s="504">
        <v>0</v>
      </c>
      <c r="K909" s="504">
        <v>16</v>
      </c>
      <c r="L909" s="1291">
        <f t="shared" si="313"/>
        <v>4316</v>
      </c>
      <c r="M909" s="1365">
        <v>46281</v>
      </c>
      <c r="N909" s="1365">
        <f>M909-4</f>
        <v>46277</v>
      </c>
      <c r="O909" s="501"/>
      <c r="P909" s="506"/>
      <c r="Q909" s="506"/>
      <c r="R909" s="504"/>
      <c r="S909" s="504"/>
      <c r="T909" s="506"/>
      <c r="U909" s="500">
        <f t="shared" si="314"/>
        <v>-69056</v>
      </c>
      <c r="V909" s="504"/>
      <c r="W909" s="1300">
        <v>46238</v>
      </c>
      <c r="X909" s="1301" t="s">
        <v>95</v>
      </c>
      <c r="Y909" s="1294" t="s">
        <v>2251</v>
      </c>
      <c r="Z909" s="543"/>
      <c r="AA909" s="543"/>
      <c r="AB909" s="543"/>
      <c r="AC909" s="1443" t="s">
        <v>3582</v>
      </c>
      <c r="AD909" s="501" t="s">
        <v>384</v>
      </c>
      <c r="AE909" s="502">
        <v>1.3</v>
      </c>
      <c r="AF909" s="503">
        <f>AE909*I909</f>
        <v>89772.8</v>
      </c>
      <c r="AG909" s="1295"/>
      <c r="AH909" s="1561" t="s">
        <v>385</v>
      </c>
      <c r="AI909" s="488" t="s">
        <v>112</v>
      </c>
      <c r="AJ909" s="504"/>
      <c r="AK909" s="502">
        <f t="shared" si="312"/>
        <v>69056</v>
      </c>
      <c r="AL909" s="502"/>
      <c r="AM909" s="1218"/>
      <c r="AN909" s="502"/>
      <c r="AO909" s="502"/>
      <c r="AP909" s="502"/>
      <c r="AQ909" s="1296"/>
      <c r="AR909" s="438"/>
      <c r="AS909" s="1297"/>
      <c r="AT909" s="1297">
        <f>I909</f>
        <v>69056</v>
      </c>
      <c r="AU909" s="502">
        <f>I909</f>
        <v>69056</v>
      </c>
      <c r="AV909" s="1298">
        <f>I909*0.06</f>
        <v>4143.36</v>
      </c>
      <c r="AW909" s="1298"/>
      <c r="AX909" s="502"/>
      <c r="AY909" s="502"/>
      <c r="AZ909" s="502"/>
      <c r="BA909" s="502"/>
      <c r="BB909" s="502"/>
      <c r="BC909" s="502"/>
      <c r="BD909" s="502"/>
      <c r="BE909" s="502"/>
      <c r="BF909" s="502"/>
      <c r="BG909" s="502"/>
      <c r="BH909" s="502"/>
      <c r="BI909" s="502"/>
      <c r="BJ909" s="502"/>
      <c r="BK909" s="502"/>
      <c r="BL909" s="502"/>
      <c r="BM909" s="502"/>
      <c r="BN909" s="502"/>
      <c r="BO909" s="1296"/>
      <c r="BP909" s="1296"/>
      <c r="BQ909" s="1218"/>
      <c r="BR909" s="1297"/>
      <c r="BS909" s="327">
        <f>I909/16</f>
        <v>4316</v>
      </c>
      <c r="BT909" s="502"/>
      <c r="BU909" s="502"/>
      <c r="BV909" s="1296"/>
      <c r="BW909" s="1218"/>
      <c r="BX909" s="1218"/>
      <c r="BY909" s="1218"/>
      <c r="BZ909" s="1218"/>
      <c r="CA909" s="1218"/>
      <c r="CB909" s="1218"/>
      <c r="CC909" s="1218"/>
      <c r="CD909" s="1218">
        <f t="shared" si="302"/>
        <v>4316</v>
      </c>
      <c r="CE909" s="1218">
        <f t="shared" si="303"/>
        <v>0</v>
      </c>
      <c r="CF909" s="502">
        <f t="shared" si="304"/>
        <v>0</v>
      </c>
      <c r="CG909" s="1218">
        <f t="shared" si="305"/>
        <v>0</v>
      </c>
      <c r="CH909" s="1299"/>
      <c r="CI909" s="1299"/>
      <c r="CJ909" s="1297"/>
      <c r="CK909" s="502"/>
      <c r="CL909" s="502"/>
    </row>
    <row r="910" s="293" customFormat="1" customHeight="1" spans="1:111">
      <c r="A910" s="1309">
        <v>46234</v>
      </c>
      <c r="B910" s="544" t="s">
        <v>172</v>
      </c>
      <c r="C910" s="488" t="s">
        <v>115</v>
      </c>
      <c r="D910" s="327">
        <v>4500218444</v>
      </c>
      <c r="E910" s="488">
        <v>37070</v>
      </c>
      <c r="F910" s="327" t="s">
        <v>3583</v>
      </c>
      <c r="G910" s="1310" t="s">
        <v>174</v>
      </c>
      <c r="H910" s="488" t="s">
        <v>175</v>
      </c>
      <c r="I910" s="1311">
        <v>7280</v>
      </c>
      <c r="J910" s="488">
        <v>0</v>
      </c>
      <c r="K910" s="488">
        <v>52</v>
      </c>
      <c r="L910" s="1544">
        <f t="shared" si="313"/>
        <v>140</v>
      </c>
      <c r="M910" s="1312">
        <v>46281</v>
      </c>
      <c r="N910" s="1312">
        <f>M910-4</f>
        <v>46277</v>
      </c>
      <c r="O910" s="1312"/>
      <c r="P910" s="1313"/>
      <c r="Q910" s="1313"/>
      <c r="R910" s="488"/>
      <c r="S910" s="488"/>
      <c r="T910" s="1313"/>
      <c r="U910" s="500">
        <f t="shared" si="314"/>
        <v>-7280</v>
      </c>
      <c r="V910" s="488"/>
      <c r="W910" s="1300" t="s">
        <v>3064</v>
      </c>
      <c r="X910" s="1301" t="s">
        <v>95</v>
      </c>
      <c r="Y910" s="1294" t="s">
        <v>95</v>
      </c>
      <c r="Z910" s="544"/>
      <c r="AA910" s="544"/>
      <c r="AB910" s="544"/>
      <c r="AC910" s="1294" t="s">
        <v>3584</v>
      </c>
      <c r="AD910" s="1312" t="s">
        <v>178</v>
      </c>
      <c r="AE910" s="327">
        <v>0.6439</v>
      </c>
      <c r="AF910" s="1315">
        <f>I910*AE910</f>
        <v>4687.592</v>
      </c>
      <c r="AG910" s="1295"/>
      <c r="AH910" s="505" t="s">
        <v>174</v>
      </c>
      <c r="AI910" s="488" t="s">
        <v>112</v>
      </c>
      <c r="AJ910" s="488"/>
      <c r="AK910" s="1555">
        <f t="shared" si="312"/>
        <v>7280</v>
      </c>
      <c r="AL910" s="327"/>
      <c r="AM910" s="327"/>
      <c r="AN910" s="1420">
        <f>I910</f>
        <v>7280</v>
      </c>
      <c r="AO910" s="327"/>
      <c r="AP910" s="327"/>
      <c r="AQ910" s="1316"/>
      <c r="AR910" s="327"/>
      <c r="AS910" s="1317"/>
      <c r="AT910" s="1317"/>
      <c r="AU910" s="327">
        <f>I910</f>
        <v>7280</v>
      </c>
      <c r="AV910" s="1318">
        <f>I910*0.06</f>
        <v>436.8</v>
      </c>
      <c r="AW910" s="1318"/>
      <c r="AX910" s="327"/>
      <c r="AY910" s="327"/>
      <c r="AZ910" s="327"/>
      <c r="BA910" s="327"/>
      <c r="BB910" s="327"/>
      <c r="BC910" s="327"/>
      <c r="BD910" s="327"/>
      <c r="BE910" s="327"/>
      <c r="BF910" s="327"/>
      <c r="BG910" s="327"/>
      <c r="BH910" s="327"/>
      <c r="BI910" s="327"/>
      <c r="BJ910" s="327"/>
      <c r="BK910" s="1420">
        <f>I910/13</f>
        <v>560</v>
      </c>
      <c r="BL910" s="327"/>
      <c r="BM910" s="327"/>
      <c r="BN910" s="327"/>
      <c r="BO910" s="1316"/>
      <c r="BP910" s="1316"/>
      <c r="BQ910" s="327"/>
      <c r="BR910" s="1317"/>
      <c r="BS910" s="1317"/>
      <c r="BT910" s="327"/>
      <c r="BU910" s="327"/>
      <c r="BV910" s="1316"/>
      <c r="BW910" s="327"/>
      <c r="BX910" s="327"/>
      <c r="BY910" s="327"/>
      <c r="BZ910" s="327"/>
      <c r="CA910" s="327"/>
      <c r="CB910" s="327"/>
      <c r="CC910" s="327"/>
      <c r="CD910" s="327">
        <f t="shared" si="302"/>
        <v>0</v>
      </c>
      <c r="CE910" s="327">
        <f t="shared" si="303"/>
        <v>0</v>
      </c>
      <c r="CF910" s="327">
        <f t="shared" si="304"/>
        <v>0</v>
      </c>
      <c r="CG910" s="327">
        <f t="shared" si="305"/>
        <v>0</v>
      </c>
      <c r="CH910" s="1317"/>
      <c r="CI910" s="1317"/>
      <c r="CJ910" s="1317"/>
      <c r="CK910" s="327"/>
      <c r="CL910" s="327"/>
      <c r="CM910" s="1180"/>
      <c r="CN910" s="1180"/>
      <c r="CO910" s="1180"/>
      <c r="CP910" s="1180"/>
      <c r="CQ910" s="1180"/>
      <c r="CR910" s="1180"/>
      <c r="CS910" s="1180"/>
      <c r="CT910" s="1180"/>
      <c r="CU910" s="1180"/>
      <c r="CV910" s="1180"/>
      <c r="CW910" s="1180"/>
      <c r="CX910" s="1180"/>
      <c r="CY910" s="1180"/>
      <c r="CZ910" s="1180"/>
      <c r="DA910" s="1180"/>
      <c r="DB910" s="1180"/>
      <c r="DC910" s="1180"/>
      <c r="DD910" s="1180"/>
      <c r="DE910" s="1180"/>
      <c r="DF910" s="1180"/>
      <c r="DG910" s="1180"/>
    </row>
    <row r="911" s="293" customFormat="1" customHeight="1" spans="1:111">
      <c r="A911" s="1289">
        <v>46189</v>
      </c>
      <c r="B911" s="543" t="s">
        <v>3527</v>
      </c>
      <c r="C911" s="504" t="s">
        <v>2458</v>
      </c>
      <c r="D911" s="1305">
        <v>4500210658</v>
      </c>
      <c r="E911" s="506">
        <v>5000002246</v>
      </c>
      <c r="F911" s="502" t="s">
        <v>3585</v>
      </c>
      <c r="G911" s="505" t="s">
        <v>2460</v>
      </c>
      <c r="H911" s="504" t="s">
        <v>2461</v>
      </c>
      <c r="I911" s="1290">
        <v>25012</v>
      </c>
      <c r="J911" s="504">
        <v>0</v>
      </c>
      <c r="K911" s="504">
        <v>13</v>
      </c>
      <c r="L911" s="1291">
        <f t="shared" si="313"/>
        <v>1924</v>
      </c>
      <c r="M911" s="501">
        <v>46282</v>
      </c>
      <c r="N911" s="501">
        <v>46279</v>
      </c>
      <c r="O911" s="434" t="s">
        <v>2463</v>
      </c>
      <c r="P911" s="506"/>
      <c r="Q911" s="506"/>
      <c r="R911" s="504"/>
      <c r="S911" s="504"/>
      <c r="T911" s="506"/>
      <c r="U911" s="500">
        <f t="shared" si="314"/>
        <v>-25012</v>
      </c>
      <c r="V911" s="504"/>
      <c r="W911" s="1300" t="s">
        <v>3494</v>
      </c>
      <c r="X911" s="1301" t="s">
        <v>95</v>
      </c>
      <c r="Y911" s="1294" t="s">
        <v>3529</v>
      </c>
      <c r="Z911" s="544"/>
      <c r="AA911" s="544"/>
      <c r="AB911" s="543"/>
      <c r="AC911" s="544" t="s">
        <v>3530</v>
      </c>
      <c r="AD911" s="501" t="s">
        <v>3531</v>
      </c>
      <c r="AE911" s="502">
        <v>0.9996</v>
      </c>
      <c r="AF911" s="503">
        <f>I911*AE911</f>
        <v>25001.9952</v>
      </c>
      <c r="AG911" s="1295"/>
      <c r="AH911" s="488" t="s">
        <v>2468</v>
      </c>
      <c r="AI911" s="488" t="s">
        <v>112</v>
      </c>
      <c r="AJ911" s="504"/>
      <c r="AK911" s="1437">
        <f t="shared" si="312"/>
        <v>25012</v>
      </c>
      <c r="AL911" s="502"/>
      <c r="AM911" s="1218"/>
      <c r="AN911" s="1418">
        <f>I911</f>
        <v>25012</v>
      </c>
      <c r="AO911" s="502"/>
      <c r="AP911" s="502"/>
      <c r="AQ911" s="1296"/>
      <c r="AR911" s="438"/>
      <c r="AS911" s="1297"/>
      <c r="AT911" s="1297"/>
      <c r="AU911" s="502"/>
      <c r="AV911" s="1298"/>
      <c r="AW911" s="1298"/>
      <c r="AX911" s="502"/>
      <c r="AY911" s="502"/>
      <c r="AZ911" s="502">
        <f>I911</f>
        <v>25012</v>
      </c>
      <c r="BA911" s="502">
        <f>I911</f>
        <v>25012</v>
      </c>
      <c r="BB911" s="502"/>
      <c r="BC911" s="502"/>
      <c r="BD911" s="502"/>
      <c r="BE911" s="502"/>
      <c r="BF911" s="502"/>
      <c r="BG911" s="502"/>
      <c r="BH911" s="502"/>
      <c r="BI911" s="502"/>
      <c r="BJ911" s="502"/>
      <c r="BK911" s="1418">
        <f>I911/13</f>
        <v>1924</v>
      </c>
      <c r="BL911" s="502"/>
      <c r="BM911" s="502"/>
      <c r="BN911" s="502"/>
      <c r="BO911" s="1296"/>
      <c r="BP911" s="1296"/>
      <c r="BQ911" s="1218"/>
      <c r="BR911" s="1297"/>
      <c r="BS911" s="1297"/>
      <c r="BT911" s="502"/>
      <c r="BU911" s="502"/>
      <c r="BV911" s="1296"/>
      <c r="BW911" s="1218"/>
      <c r="BX911" s="1218"/>
      <c r="BY911" s="1218"/>
      <c r="BZ911" s="1218"/>
      <c r="CA911" s="1218"/>
      <c r="CB911" s="1218"/>
      <c r="CC911" s="1218"/>
      <c r="CD911" s="1218">
        <f t="shared" si="302"/>
        <v>0</v>
      </c>
      <c r="CE911" s="1218">
        <f t="shared" si="303"/>
        <v>0</v>
      </c>
      <c r="CF911" s="502">
        <f t="shared" si="304"/>
        <v>0</v>
      </c>
      <c r="CG911" s="1218">
        <f t="shared" si="305"/>
        <v>0</v>
      </c>
      <c r="CH911" s="1299"/>
      <c r="CI911" s="1299"/>
      <c r="CJ911" s="1297"/>
      <c r="CK911" s="502"/>
      <c r="CL911" s="502"/>
    </row>
    <row r="912" s="1180" customFormat="1" customHeight="1" spans="1:111">
      <c r="A912" s="1289">
        <v>46189</v>
      </c>
      <c r="B912" s="1417" t="s">
        <v>3527</v>
      </c>
      <c r="C912" s="1434" t="s">
        <v>2458</v>
      </c>
      <c r="D912" s="1435">
        <v>4500210658</v>
      </c>
      <c r="E912" s="1436">
        <v>5000002246</v>
      </c>
      <c r="F912" s="1437" t="s">
        <v>3586</v>
      </c>
      <c r="G912" s="1438" t="s">
        <v>2460</v>
      </c>
      <c r="H912" s="504" t="s">
        <v>2461</v>
      </c>
      <c r="I912" s="1439">
        <v>23790</v>
      </c>
      <c r="J912" s="1434">
        <v>0</v>
      </c>
      <c r="K912" s="1434">
        <v>13</v>
      </c>
      <c r="L912" s="1291">
        <f t="shared" si="313"/>
        <v>1830</v>
      </c>
      <c r="M912" s="507">
        <v>46282</v>
      </c>
      <c r="N912" s="507">
        <v>46279</v>
      </c>
      <c r="O912" s="434" t="s">
        <v>2463</v>
      </c>
      <c r="P912" s="506"/>
      <c r="Q912" s="506"/>
      <c r="R912" s="504"/>
      <c r="S912" s="504"/>
      <c r="T912" s="506"/>
      <c r="U912" s="500">
        <f t="shared" si="314"/>
        <v>-23790</v>
      </c>
      <c r="V912" s="504"/>
      <c r="W912" s="1300" t="s">
        <v>3494</v>
      </c>
      <c r="X912" s="1294" t="s">
        <v>95</v>
      </c>
      <c r="Y912" s="1294" t="s">
        <v>3529</v>
      </c>
      <c r="Z912" s="544"/>
      <c r="AA912" s="544"/>
      <c r="AB912" s="543"/>
      <c r="AC912" s="1552" t="s">
        <v>3530</v>
      </c>
      <c r="AD912" s="507" t="s">
        <v>3531</v>
      </c>
      <c r="AE912" s="502">
        <v>0.9996</v>
      </c>
      <c r="AF912" s="503">
        <f>I912*AE912</f>
        <v>23780.484</v>
      </c>
      <c r="AG912" s="1295"/>
      <c r="AH912" s="488" t="s">
        <v>2468</v>
      </c>
      <c r="AI912" s="488" t="s">
        <v>112</v>
      </c>
      <c r="AJ912" s="504"/>
      <c r="AK912" s="502">
        <f t="shared" si="312"/>
        <v>23790</v>
      </c>
      <c r="AL912" s="502"/>
      <c r="AM912" s="1218"/>
      <c r="AN912" s="1709">
        <f>I912</f>
        <v>23790</v>
      </c>
      <c r="AO912" s="502"/>
      <c r="AP912" s="502"/>
      <c r="AQ912" s="1296"/>
      <c r="AR912" s="438"/>
      <c r="AS912" s="1297"/>
      <c r="AT912" s="1297"/>
      <c r="AU912" s="502"/>
      <c r="AV912" s="1612"/>
      <c r="AW912" s="1298"/>
      <c r="AX912" s="502"/>
      <c r="AY912" s="502"/>
      <c r="AZ912" s="502">
        <f>I912</f>
        <v>23790</v>
      </c>
      <c r="BA912" s="502">
        <f>I912</f>
        <v>23790</v>
      </c>
      <c r="BB912" s="502"/>
      <c r="BC912" s="502"/>
      <c r="BD912" s="502"/>
      <c r="BE912" s="502"/>
      <c r="BF912" s="502"/>
      <c r="BG912" s="502"/>
      <c r="BH912" s="502"/>
      <c r="BI912" s="502"/>
      <c r="BJ912" s="502"/>
      <c r="BK912" s="1418">
        <f>I912/13</f>
        <v>1830</v>
      </c>
      <c r="BL912" s="502"/>
      <c r="BM912" s="502"/>
      <c r="BN912" s="502"/>
      <c r="BO912" s="1296"/>
      <c r="BP912" s="1296"/>
      <c r="BQ912" s="1218"/>
      <c r="BR912" s="1297"/>
      <c r="BS912" s="1297"/>
      <c r="BT912" s="502"/>
      <c r="BU912" s="502"/>
      <c r="BV912" s="1296"/>
      <c r="BW912" s="1218"/>
      <c r="BX912" s="1218"/>
      <c r="BY912" s="1218"/>
      <c r="BZ912" s="1218"/>
      <c r="CA912" s="1218"/>
      <c r="CB912" s="1218"/>
      <c r="CC912" s="1218"/>
      <c r="CD912" s="1218">
        <f t="shared" si="302"/>
        <v>0</v>
      </c>
      <c r="CE912" s="1218">
        <f t="shared" si="303"/>
        <v>0</v>
      </c>
      <c r="CF912" s="502">
        <f t="shared" si="304"/>
        <v>0</v>
      </c>
      <c r="CG912" s="1218">
        <f t="shared" si="305"/>
        <v>0</v>
      </c>
      <c r="CH912" s="1299"/>
      <c r="CI912" s="1299"/>
      <c r="CJ912" s="1297"/>
      <c r="CK912" s="502"/>
      <c r="CL912" s="502"/>
      <c r="CM912" s="1455"/>
      <c r="CN912" s="1455"/>
      <c r="CO912" s="1455"/>
      <c r="CP912" s="1455"/>
      <c r="CQ912" s="1455"/>
      <c r="CR912" s="1455"/>
      <c r="CS912" s="1455"/>
      <c r="CT912" s="1455"/>
      <c r="CU912" s="1455"/>
      <c r="CV912" s="1455"/>
      <c r="CW912" s="1455"/>
      <c r="CX912" s="1455"/>
      <c r="CY912" s="1455"/>
      <c r="CZ912" s="1455"/>
      <c r="DA912" s="1455"/>
      <c r="DB912" s="1455"/>
      <c r="DC912" s="1455"/>
      <c r="DD912" s="1455"/>
      <c r="DE912" s="1455"/>
      <c r="DF912" s="1455"/>
      <c r="DG912" s="1455"/>
    </row>
    <row r="913" s="1184" customFormat="1" customHeight="1" spans="1:111">
      <c r="A913" s="1289">
        <v>46115</v>
      </c>
      <c r="B913" s="1417" t="s">
        <v>2382</v>
      </c>
      <c r="C913" s="1434" t="s">
        <v>201</v>
      </c>
      <c r="D913" s="1437">
        <v>4500200118</v>
      </c>
      <c r="E913" s="1436">
        <v>7603311665</v>
      </c>
      <c r="F913" s="1437" t="s">
        <v>3587</v>
      </c>
      <c r="G913" s="1438" t="s">
        <v>482</v>
      </c>
      <c r="H913" s="1434" t="s">
        <v>483</v>
      </c>
      <c r="I913" s="1758">
        <v>1920</v>
      </c>
      <c r="J913" s="1434">
        <v>0</v>
      </c>
      <c r="K913" s="1434">
        <v>120</v>
      </c>
      <c r="L913" s="1291">
        <f t="shared" si="313"/>
        <v>16</v>
      </c>
      <c r="M913" s="1440">
        <v>46282</v>
      </c>
      <c r="N913" s="1440">
        <v>46279</v>
      </c>
      <c r="O913" s="507"/>
      <c r="P913" s="506"/>
      <c r="Q913" s="506"/>
      <c r="R913" s="504"/>
      <c r="S913" s="504"/>
      <c r="T913" s="506"/>
      <c r="U913" s="500">
        <f t="shared" si="314"/>
        <v>-1920</v>
      </c>
      <c r="V913" s="504"/>
      <c r="W913" s="1300" t="s">
        <v>2658</v>
      </c>
      <c r="X913" s="1308" t="s">
        <v>107</v>
      </c>
      <c r="Y913" s="1308" t="s">
        <v>95</v>
      </c>
      <c r="Z913" s="543"/>
      <c r="AA913" s="543"/>
      <c r="AB913" s="543"/>
      <c r="AC913" s="1417" t="s">
        <v>636</v>
      </c>
      <c r="AD913" s="507" t="s">
        <v>488</v>
      </c>
      <c r="AE913" s="502">
        <v>1070</v>
      </c>
      <c r="AF913" s="503">
        <f>L913*AE913</f>
        <v>17120</v>
      </c>
      <c r="AG913" s="1295"/>
      <c r="AH913" s="504" t="s">
        <v>490</v>
      </c>
      <c r="AI913" s="504" t="s">
        <v>112</v>
      </c>
      <c r="AJ913" s="504"/>
      <c r="AK913" s="502"/>
      <c r="AL913" s="502">
        <f>I913*3</f>
        <v>5760</v>
      </c>
      <c r="AM913" s="1218"/>
      <c r="AN913" s="1601"/>
      <c r="AO913" s="502"/>
      <c r="AP913" s="502"/>
      <c r="AQ913" s="1296"/>
      <c r="AR913" s="438"/>
      <c r="AS913" s="1297"/>
      <c r="AT913" s="1297"/>
      <c r="AU913" s="502"/>
      <c r="AV913" s="1612">
        <f>I913*0.06*2</f>
        <v>230.4</v>
      </c>
      <c r="AW913" s="1298"/>
      <c r="AX913" s="502"/>
      <c r="AY913" s="502"/>
      <c r="AZ913" s="502"/>
      <c r="BA913" s="502"/>
      <c r="BB913" s="502">
        <f>I913*3</f>
        <v>5760</v>
      </c>
      <c r="BC913" s="502">
        <f>I913*3</f>
        <v>5760</v>
      </c>
      <c r="BD913" s="502">
        <f>I913*3</f>
        <v>5760</v>
      </c>
      <c r="BE913" s="502">
        <f>I913</f>
        <v>1920</v>
      </c>
      <c r="BF913" s="502">
        <f>I913/6</f>
        <v>320</v>
      </c>
      <c r="BG913" s="502"/>
      <c r="BH913" s="502"/>
      <c r="BI913" s="502"/>
      <c r="BJ913" s="502"/>
      <c r="BK913" s="502"/>
      <c r="BL913" s="502"/>
      <c r="BM913" s="502"/>
      <c r="BN913" s="502"/>
      <c r="BO913" s="1296"/>
      <c r="BP913" s="1296"/>
      <c r="BQ913" s="1218"/>
      <c r="BR913" s="1297"/>
      <c r="BS913" s="1297"/>
      <c r="BT913" s="502"/>
      <c r="BU913" s="502"/>
      <c r="BV913" s="1296"/>
      <c r="BW913" s="1218"/>
      <c r="BX913" s="1218"/>
      <c r="BY913" s="1218"/>
      <c r="BZ913" s="1218"/>
      <c r="CA913" s="1218"/>
      <c r="CB913" s="1218"/>
      <c r="CC913" s="1218"/>
      <c r="CD913" s="1218">
        <f t="shared" si="302"/>
        <v>0</v>
      </c>
      <c r="CE913" s="1218">
        <f t="shared" si="303"/>
        <v>0</v>
      </c>
      <c r="CF913" s="502">
        <f t="shared" si="304"/>
        <v>0</v>
      </c>
      <c r="CG913" s="1218">
        <f t="shared" si="305"/>
        <v>0</v>
      </c>
      <c r="CH913" s="1299"/>
      <c r="CI913" s="1299"/>
      <c r="CJ913" s="1297"/>
      <c r="CK913" s="502"/>
      <c r="CL913" s="502"/>
      <c r="CM913" s="1455"/>
      <c r="CN913" s="1455"/>
      <c r="CO913" s="1455"/>
      <c r="CP913" s="1455"/>
      <c r="CQ913" s="1455"/>
      <c r="CR913" s="1455"/>
      <c r="CS913" s="1455"/>
      <c r="CT913" s="1455"/>
      <c r="CU913" s="1455"/>
      <c r="CV913" s="1455"/>
      <c r="CW913" s="1455"/>
      <c r="CX913" s="1455"/>
      <c r="CY913" s="1455"/>
      <c r="CZ913" s="1455"/>
      <c r="DA913" s="1455"/>
      <c r="DB913" s="1455"/>
      <c r="DC913" s="1455"/>
      <c r="DD913" s="1455"/>
      <c r="DE913" s="1455"/>
      <c r="DF913" s="1455"/>
      <c r="DG913" s="1455"/>
    </row>
    <row r="914" s="1180" customFormat="1" customHeight="1" spans="1:111">
      <c r="A914" s="1309">
        <v>46232</v>
      </c>
      <c r="B914" s="1552" t="s">
        <v>114</v>
      </c>
      <c r="C914" s="1553" t="s">
        <v>115</v>
      </c>
      <c r="D914" s="1554">
        <v>4500218119</v>
      </c>
      <c r="E914" s="1553" t="s">
        <v>3588</v>
      </c>
      <c r="F914" s="1555" t="s">
        <v>3589</v>
      </c>
      <c r="G914" s="1556" t="s">
        <v>118</v>
      </c>
      <c r="H914" s="488" t="s">
        <v>104</v>
      </c>
      <c r="I914" s="1557">
        <v>36175</v>
      </c>
      <c r="J914" s="1553">
        <v>0</v>
      </c>
      <c r="K914" s="1553">
        <v>25</v>
      </c>
      <c r="L914" s="1544">
        <f t="shared" si="313"/>
        <v>1447</v>
      </c>
      <c r="M914" s="1545">
        <v>46282</v>
      </c>
      <c r="N914" s="1545">
        <v>46279</v>
      </c>
      <c r="O914" s="1545"/>
      <c r="P914" s="1313"/>
      <c r="Q914" s="1313"/>
      <c r="R914" s="488"/>
      <c r="S914" s="488"/>
      <c r="T914" s="1313"/>
      <c r="U914" s="500">
        <f t="shared" si="314"/>
        <v>-36175</v>
      </c>
      <c r="V914" s="488"/>
      <c r="W914" s="1300">
        <v>46248</v>
      </c>
      <c r="X914" s="1294" t="s">
        <v>107</v>
      </c>
      <c r="Y914" s="1294" t="s">
        <v>3505</v>
      </c>
      <c r="Z914" s="544"/>
      <c r="AA914" s="544"/>
      <c r="AB914" s="544"/>
      <c r="AC914" s="1552" t="s">
        <v>3590</v>
      </c>
      <c r="AD914" s="1545" t="s">
        <v>123</v>
      </c>
      <c r="AE914" s="327">
        <v>0.6406</v>
      </c>
      <c r="AF914" s="1315">
        <f>AE914*I914</f>
        <v>23173.705</v>
      </c>
      <c r="AG914" s="1295"/>
      <c r="AH914" s="488" t="s">
        <v>118</v>
      </c>
      <c r="AI914" s="488" t="s">
        <v>112</v>
      </c>
      <c r="AJ914" s="488"/>
      <c r="AK914" s="327"/>
      <c r="AL914" s="327"/>
      <c r="AM914" s="327">
        <f>I914</f>
        <v>36175</v>
      </c>
      <c r="AN914" s="327"/>
      <c r="AO914" s="327"/>
      <c r="AP914" s="327"/>
      <c r="AQ914" s="1316"/>
      <c r="AR914" s="327"/>
      <c r="AS914" s="1317"/>
      <c r="AT914" s="1317">
        <f>I914</f>
        <v>36175</v>
      </c>
      <c r="AU914" s="327">
        <f>I914</f>
        <v>36175</v>
      </c>
      <c r="AV914" s="1678">
        <f>I914*0.06</f>
        <v>2170.5</v>
      </c>
      <c r="AW914" s="1318"/>
      <c r="AX914" s="327"/>
      <c r="AY914" s="327"/>
      <c r="AZ914" s="327"/>
      <c r="BA914" s="327"/>
      <c r="BB914" s="327"/>
      <c r="BC914" s="327"/>
      <c r="BD914" s="327"/>
      <c r="BE914" s="327"/>
      <c r="BF914" s="327"/>
      <c r="BG914" s="327"/>
      <c r="BH914" s="327"/>
      <c r="BI914" s="327"/>
      <c r="BJ914" s="327"/>
      <c r="BK914" s="327"/>
      <c r="BL914" s="327"/>
      <c r="BM914" s="327"/>
      <c r="BN914" s="327"/>
      <c r="BO914" s="1316"/>
      <c r="BP914" s="1316"/>
      <c r="BQ914" s="327"/>
      <c r="BR914" s="1317"/>
      <c r="BS914" s="1317"/>
      <c r="BT914" s="327"/>
      <c r="BU914" s="1437">
        <f>I914/25</f>
        <v>1447</v>
      </c>
      <c r="BV914" s="1316"/>
      <c r="BW914" s="327"/>
      <c r="BX914" s="327"/>
      <c r="BY914" s="327"/>
      <c r="BZ914" s="327"/>
      <c r="CA914" s="327"/>
      <c r="CB914" s="327"/>
      <c r="CC914" s="327"/>
      <c r="CD914" s="327">
        <f t="shared" si="302"/>
        <v>0</v>
      </c>
      <c r="CE914" s="327">
        <f t="shared" si="303"/>
        <v>1447</v>
      </c>
      <c r="CF914" s="327">
        <f t="shared" si="304"/>
        <v>0</v>
      </c>
      <c r="CG914" s="327">
        <f t="shared" si="305"/>
        <v>0</v>
      </c>
      <c r="CH914" s="1317"/>
      <c r="CI914" s="1317"/>
      <c r="CJ914" s="1317"/>
      <c r="CK914" s="327"/>
      <c r="CL914" s="327"/>
    </row>
    <row r="915" s="293" customFormat="1" customHeight="1" spans="1:111">
      <c r="A915" s="1289">
        <v>46218</v>
      </c>
      <c r="B915" s="543" t="s">
        <v>3591</v>
      </c>
      <c r="C915" s="504" t="s">
        <v>3372</v>
      </c>
      <c r="D915" s="1305">
        <v>4500216642</v>
      </c>
      <c r="E915" s="504"/>
      <c r="F915" s="502" t="s">
        <v>3592</v>
      </c>
      <c r="G915" s="505" t="s">
        <v>3374</v>
      </c>
      <c r="H915" s="504" t="s">
        <v>893</v>
      </c>
      <c r="I915" s="1290">
        <v>4250</v>
      </c>
      <c r="J915" s="504">
        <v>0</v>
      </c>
      <c r="K915" s="504">
        <v>50</v>
      </c>
      <c r="L915" s="1291">
        <f t="shared" si="313"/>
        <v>85</v>
      </c>
      <c r="M915" s="1759">
        <v>46283</v>
      </c>
      <c r="N915" s="1759">
        <v>46281</v>
      </c>
      <c r="O915" s="501"/>
      <c r="P915" s="506"/>
      <c r="Q915" s="506"/>
      <c r="R915" s="504"/>
      <c r="S915" s="504"/>
      <c r="T915" s="506"/>
      <c r="U915" s="500">
        <f t="shared" si="314"/>
        <v>-4250</v>
      </c>
      <c r="V915" s="504"/>
      <c r="W915" s="1300">
        <v>46219</v>
      </c>
      <c r="X915" s="1301" t="s">
        <v>95</v>
      </c>
      <c r="Y915" s="1301" t="s">
        <v>3593</v>
      </c>
      <c r="Z915" s="1443" t="s">
        <v>3594</v>
      </c>
      <c r="AA915" s="544" t="s">
        <v>3595</v>
      </c>
      <c r="AB915" s="543"/>
      <c r="AC915" s="1443" t="s">
        <v>3596</v>
      </c>
      <c r="AD915" s="501" t="s">
        <v>2269</v>
      </c>
      <c r="AE915" s="502">
        <v>1.0979</v>
      </c>
      <c r="AF915" s="503">
        <f>L915*AE915</f>
        <v>93.3215</v>
      </c>
      <c r="AG915" s="1295"/>
      <c r="AH915" s="488" t="s">
        <v>3374</v>
      </c>
      <c r="AI915" s="488" t="s">
        <v>112</v>
      </c>
      <c r="AJ915" s="504"/>
      <c r="AK915" s="502">
        <f>I915</f>
        <v>4250</v>
      </c>
      <c r="AL915" s="502"/>
      <c r="AM915" s="1218"/>
      <c r="AN915" s="1702">
        <f>I915</f>
        <v>4250</v>
      </c>
      <c r="AO915" s="1437"/>
      <c r="AP915" s="502"/>
      <c r="AQ915" s="1296"/>
      <c r="AR915" s="438"/>
      <c r="AS915" s="1297"/>
      <c r="AT915" s="1297"/>
      <c r="AU915" s="502"/>
      <c r="AV915" s="1298"/>
      <c r="AW915" s="1298"/>
      <c r="AX915" s="502"/>
      <c r="AY915" s="502">
        <f>I915</f>
        <v>4250</v>
      </c>
      <c r="AZ915" s="502"/>
      <c r="BA915" s="502"/>
      <c r="BB915" s="502"/>
      <c r="BC915" s="502"/>
      <c r="BD915" s="502"/>
      <c r="BE915" s="502"/>
      <c r="BF915" s="502"/>
      <c r="BG915" s="502"/>
      <c r="BH915" s="502"/>
      <c r="BI915" s="502"/>
      <c r="BJ915" s="502"/>
      <c r="BK915" s="502"/>
      <c r="BL915" s="502"/>
      <c r="BM915" s="502"/>
      <c r="BN915" s="502"/>
      <c r="BO915" s="1296"/>
      <c r="BP915" s="1296"/>
      <c r="BQ915" s="1218">
        <f>I915/25</f>
        <v>170</v>
      </c>
      <c r="BR915" s="1297"/>
      <c r="BS915" s="1297"/>
      <c r="BT915" s="502"/>
      <c r="BU915" s="502"/>
      <c r="BV915" s="1296"/>
      <c r="BW915" s="1218"/>
      <c r="BX915" s="1218"/>
      <c r="BY915" s="1218"/>
      <c r="BZ915" s="1218"/>
      <c r="CA915" s="1218"/>
      <c r="CB915" s="1218"/>
      <c r="CC915" s="1218"/>
      <c r="CD915" s="1218">
        <f t="shared" si="302"/>
        <v>170</v>
      </c>
      <c r="CE915" s="1218">
        <f t="shared" si="303"/>
        <v>0</v>
      </c>
      <c r="CF915" s="502">
        <f t="shared" si="304"/>
        <v>0</v>
      </c>
      <c r="CG915" s="1218">
        <f t="shared" si="305"/>
        <v>0</v>
      </c>
      <c r="CH915" s="1299"/>
      <c r="CI915" s="1299"/>
      <c r="CJ915" s="1297"/>
      <c r="CK915" s="502"/>
      <c r="CL915" s="502"/>
      <c r="CM915" s="294"/>
      <c r="CN915" s="294"/>
      <c r="CO915" s="294"/>
      <c r="CP915" s="294"/>
      <c r="CQ915" s="294"/>
      <c r="CR915" s="294"/>
      <c r="CS915" s="294"/>
      <c r="CT915" s="294"/>
      <c r="CU915" s="294"/>
      <c r="CV915" s="294"/>
      <c r="CW915" s="294"/>
      <c r="CX915" s="294"/>
      <c r="CY915" s="294"/>
      <c r="CZ915" s="294"/>
      <c r="DA915" s="294"/>
      <c r="DB915" s="294"/>
      <c r="DC915" s="294"/>
      <c r="DD915" s="294"/>
      <c r="DE915" s="294"/>
      <c r="DF915" s="294"/>
      <c r="DG915" s="294"/>
    </row>
    <row r="916" s="1177" customFormat="1" customHeight="1" spans="1:111">
      <c r="A916" s="1289">
        <v>46218</v>
      </c>
      <c r="B916" s="543" t="s">
        <v>3597</v>
      </c>
      <c r="C916" s="504" t="s">
        <v>3379</v>
      </c>
      <c r="D916" s="1305">
        <v>4500216640</v>
      </c>
      <c r="E916" s="504"/>
      <c r="F916" s="502" t="s">
        <v>3598</v>
      </c>
      <c r="G916" s="505" t="s">
        <v>3374</v>
      </c>
      <c r="H916" s="504" t="s">
        <v>893</v>
      </c>
      <c r="I916" s="1290">
        <v>3600</v>
      </c>
      <c r="J916" s="504">
        <v>0</v>
      </c>
      <c r="K916" s="504">
        <v>50</v>
      </c>
      <c r="L916" s="1291">
        <f t="shared" si="313"/>
        <v>72</v>
      </c>
      <c r="M916" s="1759">
        <v>46283</v>
      </c>
      <c r="N916" s="1759">
        <v>46281</v>
      </c>
      <c r="O916" s="501"/>
      <c r="P916" s="506"/>
      <c r="Q916" s="506"/>
      <c r="R916" s="504"/>
      <c r="S916" s="504"/>
      <c r="T916" s="506"/>
      <c r="U916" s="500">
        <f t="shared" si="314"/>
        <v>-3600</v>
      </c>
      <c r="V916" s="504"/>
      <c r="W916" s="1300">
        <v>46219</v>
      </c>
      <c r="X916" s="1294" t="s">
        <v>95</v>
      </c>
      <c r="Y916" s="1294" t="s">
        <v>3599</v>
      </c>
      <c r="Z916" s="1443" t="s">
        <v>3594</v>
      </c>
      <c r="AA916" s="544" t="s">
        <v>3595</v>
      </c>
      <c r="AB916" s="543"/>
      <c r="AC916" s="1443" t="s">
        <v>3600</v>
      </c>
      <c r="AD916" s="501" t="s">
        <v>2269</v>
      </c>
      <c r="AE916" s="502">
        <v>1.1174</v>
      </c>
      <c r="AF916" s="503">
        <f t="shared" ref="AF916:AF921" si="315">AE916*I916</f>
        <v>4022.64</v>
      </c>
      <c r="AG916" s="1295"/>
      <c r="AH916" s="488" t="s">
        <v>3374</v>
      </c>
      <c r="AI916" s="488" t="s">
        <v>112</v>
      </c>
      <c r="AJ916" s="504"/>
      <c r="AK916" s="502">
        <f>I916</f>
        <v>3600</v>
      </c>
      <c r="AL916" s="502"/>
      <c r="AM916" s="1218"/>
      <c r="AN916" s="1418">
        <f>I916</f>
        <v>3600</v>
      </c>
      <c r="AO916" s="502"/>
      <c r="AP916" s="502"/>
      <c r="AQ916" s="1296"/>
      <c r="AR916" s="438"/>
      <c r="AS916" s="1297"/>
      <c r="AT916" s="1297"/>
      <c r="AU916" s="502"/>
      <c r="AV916" s="1298"/>
      <c r="AW916" s="1298"/>
      <c r="AX916" s="502"/>
      <c r="AY916" s="502">
        <f>I916</f>
        <v>3600</v>
      </c>
      <c r="AZ916" s="502"/>
      <c r="BA916" s="502"/>
      <c r="BB916" s="502"/>
      <c r="BC916" s="502"/>
      <c r="BD916" s="502"/>
      <c r="BE916" s="502"/>
      <c r="BF916" s="502"/>
      <c r="BG916" s="502"/>
      <c r="BH916" s="502"/>
      <c r="BI916" s="502"/>
      <c r="BJ916" s="502"/>
      <c r="BK916" s="502"/>
      <c r="BL916" s="502"/>
      <c r="BM916" s="502"/>
      <c r="BN916" s="502"/>
      <c r="BO916" s="1296"/>
      <c r="BP916" s="1296"/>
      <c r="BQ916" s="1218">
        <f>I916/25</f>
        <v>144</v>
      </c>
      <c r="BR916" s="1297"/>
      <c r="BS916" s="1297"/>
      <c r="BT916" s="502"/>
      <c r="BU916" s="502"/>
      <c r="BV916" s="1296"/>
      <c r="BW916" s="1218"/>
      <c r="BX916" s="1218"/>
      <c r="BY916" s="1218"/>
      <c r="BZ916" s="1218"/>
      <c r="CA916" s="1218"/>
      <c r="CB916" s="1218"/>
      <c r="CC916" s="1218"/>
      <c r="CD916" s="1218">
        <f t="shared" si="302"/>
        <v>144</v>
      </c>
      <c r="CE916" s="1218">
        <f t="shared" si="303"/>
        <v>0</v>
      </c>
      <c r="CF916" s="502">
        <f t="shared" si="304"/>
        <v>0</v>
      </c>
      <c r="CG916" s="1218">
        <f t="shared" si="305"/>
        <v>0</v>
      </c>
      <c r="CH916" s="1299"/>
      <c r="CI916" s="1299"/>
      <c r="CJ916" s="1297"/>
      <c r="CK916" s="502"/>
      <c r="CL916" s="502"/>
      <c r="CM916" s="294"/>
      <c r="CN916" s="294"/>
      <c r="CO916" s="294"/>
      <c r="CP916" s="294"/>
      <c r="CQ916" s="294"/>
      <c r="CR916" s="294"/>
      <c r="CS916" s="294"/>
      <c r="CT916" s="294"/>
      <c r="CU916" s="294"/>
      <c r="CV916" s="294"/>
      <c r="CW916" s="294"/>
      <c r="CX916" s="294"/>
      <c r="CY916" s="294"/>
      <c r="CZ916" s="294"/>
      <c r="DA916" s="294"/>
      <c r="DB916" s="294"/>
      <c r="DC916" s="294"/>
      <c r="DD916" s="294"/>
      <c r="DE916" s="294"/>
      <c r="DF916" s="294"/>
      <c r="DG916" s="294"/>
    </row>
    <row r="917" s="1177" customFormat="1" customHeight="1" spans="1:111">
      <c r="A917" s="1289">
        <v>46218</v>
      </c>
      <c r="B917" s="543" t="s">
        <v>3383</v>
      </c>
      <c r="C917" s="504" t="s">
        <v>3384</v>
      </c>
      <c r="D917" s="1305">
        <v>4500216614</v>
      </c>
      <c r="E917" s="504"/>
      <c r="F917" s="502" t="s">
        <v>3601</v>
      </c>
      <c r="G917" s="505" t="s">
        <v>3374</v>
      </c>
      <c r="H917" s="504" t="s">
        <v>893</v>
      </c>
      <c r="I917" s="1290">
        <v>6000</v>
      </c>
      <c r="J917" s="504">
        <v>0</v>
      </c>
      <c r="K917" s="504">
        <v>50</v>
      </c>
      <c r="L917" s="1291">
        <f t="shared" si="313"/>
        <v>120</v>
      </c>
      <c r="M917" s="1759">
        <v>46283</v>
      </c>
      <c r="N917" s="1759">
        <v>46281</v>
      </c>
      <c r="O917" s="501"/>
      <c r="P917" s="506"/>
      <c r="Q917" s="506"/>
      <c r="R917" s="504"/>
      <c r="S917" s="504"/>
      <c r="T917" s="506"/>
      <c r="U917" s="500">
        <f t="shared" si="314"/>
        <v>-6000</v>
      </c>
      <c r="V917" s="504"/>
      <c r="W917" s="1300">
        <v>46219</v>
      </c>
      <c r="X917" s="1294" t="s">
        <v>95</v>
      </c>
      <c r="Y917" s="1294" t="s">
        <v>3602</v>
      </c>
      <c r="Z917" s="1443" t="s">
        <v>3594</v>
      </c>
      <c r="AA917" s="544" t="s">
        <v>3595</v>
      </c>
      <c r="AB917" s="543"/>
      <c r="AC917" s="1443" t="s">
        <v>3603</v>
      </c>
      <c r="AD917" s="501" t="s">
        <v>2269</v>
      </c>
      <c r="AE917" s="502">
        <v>1.1119</v>
      </c>
      <c r="AF917" s="503">
        <f t="shared" si="315"/>
        <v>6671.4</v>
      </c>
      <c r="AG917" s="1295"/>
      <c r="AH917" s="488" t="s">
        <v>3374</v>
      </c>
      <c r="AI917" s="488" t="s">
        <v>112</v>
      </c>
      <c r="AJ917" s="504"/>
      <c r="AK917" s="502">
        <f>I917</f>
        <v>6000</v>
      </c>
      <c r="AL917" s="502"/>
      <c r="AM917" s="1218"/>
      <c r="AN917" s="1418">
        <f>I917</f>
        <v>6000</v>
      </c>
      <c r="AO917" s="502"/>
      <c r="AP917" s="502"/>
      <c r="AQ917" s="1296"/>
      <c r="AR917" s="438"/>
      <c r="AS917" s="1297"/>
      <c r="AT917" s="1297"/>
      <c r="AU917" s="502"/>
      <c r="AV917" s="1298"/>
      <c r="AW917" s="1298"/>
      <c r="AX917" s="502"/>
      <c r="AY917" s="502">
        <f>I917</f>
        <v>6000</v>
      </c>
      <c r="AZ917" s="502"/>
      <c r="BA917" s="502"/>
      <c r="BB917" s="502"/>
      <c r="BC917" s="502"/>
      <c r="BD917" s="502"/>
      <c r="BE917" s="502"/>
      <c r="BF917" s="502"/>
      <c r="BG917" s="502"/>
      <c r="BH917" s="502"/>
      <c r="BI917" s="502"/>
      <c r="BJ917" s="502"/>
      <c r="BK917" s="502"/>
      <c r="BL917" s="502"/>
      <c r="BM917" s="502"/>
      <c r="BN917" s="502"/>
      <c r="BO917" s="1296"/>
      <c r="BP917" s="1296"/>
      <c r="BQ917" s="1218">
        <f>I917/25</f>
        <v>240</v>
      </c>
      <c r="BR917" s="1297"/>
      <c r="BS917" s="1297"/>
      <c r="BT917" s="502"/>
      <c r="BU917" s="502"/>
      <c r="BV917" s="1296"/>
      <c r="BW917" s="1218"/>
      <c r="BX917" s="1218"/>
      <c r="BY917" s="1218"/>
      <c r="BZ917" s="1218"/>
      <c r="CA917" s="1218"/>
      <c r="CB917" s="1218"/>
      <c r="CC917" s="1218"/>
      <c r="CD917" s="1218">
        <f t="shared" si="302"/>
        <v>240</v>
      </c>
      <c r="CE917" s="1218">
        <f t="shared" si="303"/>
        <v>0</v>
      </c>
      <c r="CF917" s="502">
        <f t="shared" si="304"/>
        <v>0</v>
      </c>
      <c r="CG917" s="1218">
        <f t="shared" si="305"/>
        <v>0</v>
      </c>
      <c r="CH917" s="1299"/>
      <c r="CI917" s="1299"/>
      <c r="CJ917" s="1297"/>
      <c r="CK917" s="502"/>
      <c r="CL917" s="502"/>
      <c r="CM917" s="294"/>
      <c r="CN917" s="294"/>
      <c r="CO917" s="294"/>
      <c r="CP917" s="294"/>
      <c r="CQ917" s="294"/>
      <c r="CR917" s="294"/>
      <c r="CS917" s="294"/>
      <c r="CT917" s="294"/>
      <c r="CU917" s="294"/>
      <c r="CV917" s="294"/>
      <c r="CW917" s="294"/>
      <c r="CX917" s="294"/>
      <c r="CY917" s="294"/>
      <c r="CZ917" s="294"/>
      <c r="DA917" s="294"/>
      <c r="DB917" s="294"/>
      <c r="DC917" s="294"/>
      <c r="DD917" s="294"/>
      <c r="DE917" s="294"/>
      <c r="DF917" s="294"/>
      <c r="DG917" s="294"/>
    </row>
    <row r="918" s="1180" customFormat="1" customHeight="1" spans="1:111">
      <c r="A918" s="1309">
        <v>46232</v>
      </c>
      <c r="B918" s="1552" t="s">
        <v>114</v>
      </c>
      <c r="C918" s="1553" t="s">
        <v>115</v>
      </c>
      <c r="D918" s="1554">
        <v>4500218121</v>
      </c>
      <c r="E918" s="1553" t="s">
        <v>3604</v>
      </c>
      <c r="F918" s="1555" t="s">
        <v>3605</v>
      </c>
      <c r="G918" s="1556" t="s">
        <v>118</v>
      </c>
      <c r="H918" s="488" t="s">
        <v>104</v>
      </c>
      <c r="I918" s="1557">
        <v>150000</v>
      </c>
      <c r="J918" s="1553">
        <v>0</v>
      </c>
      <c r="K918" s="1553">
        <v>25</v>
      </c>
      <c r="L918" s="1544">
        <f t="shared" si="313"/>
        <v>6000</v>
      </c>
      <c r="M918" s="1545">
        <v>46283</v>
      </c>
      <c r="N918" s="1545">
        <v>46279</v>
      </c>
      <c r="O918" s="1545"/>
      <c r="P918" s="1313"/>
      <c r="Q918" s="1313"/>
      <c r="R918" s="488"/>
      <c r="S918" s="488"/>
      <c r="T918" s="1313"/>
      <c r="U918" s="500">
        <f t="shared" ref="U911:U931" si="316">T918-I918</f>
        <v>-150000</v>
      </c>
      <c r="V918" s="488"/>
      <c r="W918" s="1300">
        <v>46248</v>
      </c>
      <c r="X918" s="1294" t="s">
        <v>107</v>
      </c>
      <c r="Y918" s="1294" t="s">
        <v>3505</v>
      </c>
      <c r="Z918" s="544"/>
      <c r="AA918" s="544"/>
      <c r="AB918" s="544"/>
      <c r="AC918" s="1552" t="s">
        <v>3606</v>
      </c>
      <c r="AD918" s="1545" t="s">
        <v>123</v>
      </c>
      <c r="AE918" s="327">
        <v>0.6291</v>
      </c>
      <c r="AF918" s="1315">
        <f t="shared" si="315"/>
        <v>94365</v>
      </c>
      <c r="AG918" s="1295"/>
      <c r="AH918" s="488" t="s">
        <v>118</v>
      </c>
      <c r="AI918" s="488" t="s">
        <v>112</v>
      </c>
      <c r="AJ918" s="488"/>
      <c r="AK918" s="327"/>
      <c r="AL918" s="327"/>
      <c r="AM918" s="327">
        <f>I918</f>
        <v>150000</v>
      </c>
      <c r="AN918" s="327"/>
      <c r="AO918" s="327"/>
      <c r="AP918" s="327"/>
      <c r="AQ918" s="1316"/>
      <c r="AR918" s="327"/>
      <c r="AS918" s="1317"/>
      <c r="AT918" s="1317">
        <f>I918</f>
        <v>150000</v>
      </c>
      <c r="AU918" s="327">
        <f>I918</f>
        <v>150000</v>
      </c>
      <c r="AV918" s="1678">
        <f>I918*0.06</f>
        <v>9000</v>
      </c>
      <c r="AW918" s="1318"/>
      <c r="AX918" s="327"/>
      <c r="AY918" s="327"/>
      <c r="AZ918" s="327"/>
      <c r="BA918" s="327"/>
      <c r="BB918" s="327"/>
      <c r="BC918" s="327"/>
      <c r="BD918" s="327"/>
      <c r="BE918" s="327"/>
      <c r="BF918" s="327"/>
      <c r="BG918" s="327"/>
      <c r="BH918" s="327"/>
      <c r="BI918" s="327"/>
      <c r="BJ918" s="327"/>
      <c r="BK918" s="327"/>
      <c r="BL918" s="327"/>
      <c r="BM918" s="327"/>
      <c r="BN918" s="327"/>
      <c r="BO918" s="1316"/>
      <c r="BP918" s="1316"/>
      <c r="BQ918" s="327"/>
      <c r="BR918" s="1317"/>
      <c r="BS918" s="1317"/>
      <c r="BT918" s="327"/>
      <c r="BU918" s="1437">
        <f>I918/25</f>
        <v>6000</v>
      </c>
      <c r="BV918" s="1316"/>
      <c r="BW918" s="327"/>
      <c r="BX918" s="327"/>
      <c r="BY918" s="327"/>
      <c r="BZ918" s="327"/>
      <c r="CA918" s="327"/>
      <c r="CB918" s="327"/>
      <c r="CC918" s="327"/>
      <c r="CD918" s="327">
        <f t="shared" ref="CD911:CD943" si="317">BN918+BO918+BQ918+BS918+BR918</f>
        <v>0</v>
      </c>
      <c r="CE918" s="327">
        <f t="shared" si="303"/>
        <v>6000</v>
      </c>
      <c r="CF918" s="327">
        <f t="shared" ref="CF911:CF943" si="318">CC918</f>
        <v>0</v>
      </c>
      <c r="CG918" s="327">
        <f t="shared" ref="CG911:CG943" si="319">BV918+BW918+BX918</f>
        <v>0</v>
      </c>
      <c r="CH918" s="1317"/>
      <c r="CI918" s="1317"/>
      <c r="CJ918" s="1317"/>
      <c r="CK918" s="327"/>
      <c r="CL918" s="327"/>
    </row>
    <row r="919" s="1177" customFormat="1" customHeight="1" spans="1:111">
      <c r="A919" s="1309">
        <v>46232</v>
      </c>
      <c r="B919" s="544" t="s">
        <v>114</v>
      </c>
      <c r="C919" s="488" t="s">
        <v>115</v>
      </c>
      <c r="D919" s="1445">
        <v>4500218122</v>
      </c>
      <c r="E919" s="488" t="s">
        <v>3607</v>
      </c>
      <c r="F919" s="327" t="s">
        <v>3608</v>
      </c>
      <c r="G919" s="1310" t="s">
        <v>118</v>
      </c>
      <c r="H919" s="488" t="s">
        <v>104</v>
      </c>
      <c r="I919" s="1311">
        <v>100000</v>
      </c>
      <c r="J919" s="488">
        <v>0</v>
      </c>
      <c r="K919" s="488">
        <v>25</v>
      </c>
      <c r="L919" s="1544">
        <f t="shared" si="313"/>
        <v>4000</v>
      </c>
      <c r="M919" s="1312">
        <v>46283</v>
      </c>
      <c r="N919" s="1312">
        <v>46279</v>
      </c>
      <c r="O919" s="1312"/>
      <c r="P919" s="1313"/>
      <c r="Q919" s="1313"/>
      <c r="R919" s="488"/>
      <c r="S919" s="488"/>
      <c r="T919" s="1313"/>
      <c r="U919" s="500">
        <f t="shared" si="316"/>
        <v>-100000</v>
      </c>
      <c r="V919" s="488"/>
      <c r="W919" s="1300">
        <v>46248</v>
      </c>
      <c r="X919" s="1294" t="s">
        <v>107</v>
      </c>
      <c r="Y919" s="1301" t="s">
        <v>3505</v>
      </c>
      <c r="Z919" s="544"/>
      <c r="AA919" s="544"/>
      <c r="AB919" s="544"/>
      <c r="AC919" s="544" t="s">
        <v>3606</v>
      </c>
      <c r="AD919" s="1312" t="s">
        <v>123</v>
      </c>
      <c r="AE919" s="327">
        <v>0.6291</v>
      </c>
      <c r="AF919" s="1315">
        <f t="shared" si="315"/>
        <v>62910</v>
      </c>
      <c r="AG919" s="1295"/>
      <c r="AH919" s="488" t="s">
        <v>118</v>
      </c>
      <c r="AI919" s="488" t="s">
        <v>112</v>
      </c>
      <c r="AJ919" s="488"/>
      <c r="AK919" s="327"/>
      <c r="AL919" s="327"/>
      <c r="AM919" s="327">
        <f>I919</f>
        <v>100000</v>
      </c>
      <c r="AN919" s="327"/>
      <c r="AO919" s="327"/>
      <c r="AP919" s="327"/>
      <c r="AQ919" s="1316"/>
      <c r="AR919" s="327"/>
      <c r="AS919" s="1317"/>
      <c r="AT919" s="1317">
        <f>I919</f>
        <v>100000</v>
      </c>
      <c r="AU919" s="327">
        <f>I919</f>
        <v>100000</v>
      </c>
      <c r="AV919" s="1318">
        <f>I919*0.06</f>
        <v>6000</v>
      </c>
      <c r="AW919" s="1318"/>
      <c r="AX919" s="327"/>
      <c r="AY919" s="327"/>
      <c r="AZ919" s="327"/>
      <c r="BA919" s="327"/>
      <c r="BB919" s="327"/>
      <c r="BC919" s="327"/>
      <c r="BD919" s="327"/>
      <c r="BE919" s="327"/>
      <c r="BF919" s="327"/>
      <c r="BG919" s="327"/>
      <c r="BH919" s="327"/>
      <c r="BI919" s="327"/>
      <c r="BJ919" s="327"/>
      <c r="BK919" s="327"/>
      <c r="BL919" s="327"/>
      <c r="BM919" s="327"/>
      <c r="BN919" s="327"/>
      <c r="BO919" s="1316"/>
      <c r="BP919" s="1316"/>
      <c r="BQ919" s="327"/>
      <c r="BR919" s="1317"/>
      <c r="BS919" s="1317"/>
      <c r="BT919" s="327"/>
      <c r="BU919" s="1437">
        <f>I919/25</f>
        <v>4000</v>
      </c>
      <c r="BV919" s="1316"/>
      <c r="BW919" s="327"/>
      <c r="BX919" s="327"/>
      <c r="BY919" s="327"/>
      <c r="BZ919" s="327"/>
      <c r="CA919" s="327"/>
      <c r="CB919" s="327"/>
      <c r="CC919" s="327"/>
      <c r="CD919" s="327">
        <f t="shared" si="317"/>
        <v>0</v>
      </c>
      <c r="CE919" s="327">
        <f t="shared" si="303"/>
        <v>4000</v>
      </c>
      <c r="CF919" s="327">
        <f t="shared" si="318"/>
        <v>0</v>
      </c>
      <c r="CG919" s="327">
        <f t="shared" si="319"/>
        <v>0</v>
      </c>
      <c r="CH919" s="1317"/>
      <c r="CI919" s="1317"/>
      <c r="CJ919" s="1317"/>
      <c r="CK919" s="327"/>
      <c r="CL919" s="327"/>
      <c r="CM919" s="1180"/>
      <c r="CN919" s="1180"/>
      <c r="CO919" s="1180"/>
      <c r="CP919" s="1180"/>
      <c r="CQ919" s="1180"/>
      <c r="CR919" s="1180"/>
      <c r="CS919" s="1180"/>
      <c r="CT919" s="1180"/>
      <c r="CU919" s="1180"/>
      <c r="CV919" s="1180"/>
      <c r="CW919" s="1180"/>
      <c r="CX919" s="1180"/>
      <c r="CY919" s="1180"/>
      <c r="CZ919" s="1180"/>
      <c r="DA919" s="1180"/>
      <c r="DB919" s="1180"/>
      <c r="DC919" s="1180"/>
      <c r="DD919" s="1180"/>
      <c r="DE919" s="1180"/>
      <c r="DF919" s="1180"/>
      <c r="DG919" s="1180"/>
    </row>
    <row r="920" s="1177" customFormat="1" customHeight="1" spans="1:111">
      <c r="A920" s="1309">
        <v>46220</v>
      </c>
      <c r="B920" s="544" t="s">
        <v>3609</v>
      </c>
      <c r="C920" s="488" t="s">
        <v>1533</v>
      </c>
      <c r="D920" s="327">
        <v>4500216877</v>
      </c>
      <c r="E920" s="488" t="s">
        <v>3610</v>
      </c>
      <c r="F920" s="327" t="s">
        <v>3611</v>
      </c>
      <c r="G920" s="1310" t="s">
        <v>188</v>
      </c>
      <c r="H920" s="488" t="s">
        <v>138</v>
      </c>
      <c r="I920" s="1311">
        <v>3100</v>
      </c>
      <c r="J920" s="488">
        <v>0</v>
      </c>
      <c r="K920" s="488">
        <v>50</v>
      </c>
      <c r="L920" s="1544">
        <f t="shared" si="313"/>
        <v>62</v>
      </c>
      <c r="M920" s="1312">
        <v>46283</v>
      </c>
      <c r="N920" s="1312">
        <v>46279</v>
      </c>
      <c r="O920" s="1312"/>
      <c r="P920" s="1313"/>
      <c r="Q920" s="1313"/>
      <c r="R920" s="488"/>
      <c r="S920" s="488"/>
      <c r="T920" s="1313"/>
      <c r="U920" s="500">
        <f t="shared" si="316"/>
        <v>-3100</v>
      </c>
      <c r="V920" s="488"/>
      <c r="W920" s="1300" t="s">
        <v>3064</v>
      </c>
      <c r="X920" s="1294" t="s">
        <v>95</v>
      </c>
      <c r="Y920" s="1301" t="s">
        <v>3612</v>
      </c>
      <c r="Z920" s="544"/>
      <c r="AA920" s="544"/>
      <c r="AB920" s="544"/>
      <c r="AC920" s="544" t="s">
        <v>3613</v>
      </c>
      <c r="AD920" s="1312" t="s">
        <v>3614</v>
      </c>
      <c r="AE920" s="327">
        <v>1.0979</v>
      </c>
      <c r="AF920" s="1315">
        <f t="shared" si="315"/>
        <v>3403.49</v>
      </c>
      <c r="AG920" s="1295"/>
      <c r="AH920" s="504" t="s">
        <v>314</v>
      </c>
      <c r="AI920" s="488" t="s">
        <v>112</v>
      </c>
      <c r="AJ920" s="488"/>
      <c r="AK920" s="327">
        <f t="shared" ref="AK920:AK934" si="320">I920</f>
        <v>3100</v>
      </c>
      <c r="AL920" s="327"/>
      <c r="AM920" s="327"/>
      <c r="AN920" s="327"/>
      <c r="AO920" s="502"/>
      <c r="AP920" s="502">
        <f>I920</f>
        <v>3100</v>
      </c>
      <c r="AQ920" s="1296"/>
      <c r="AR920" s="438"/>
      <c r="AS920" s="1297"/>
      <c r="AT920" s="1297"/>
      <c r="AU920" s="502">
        <f>I920</f>
        <v>3100</v>
      </c>
      <c r="AV920" s="1318"/>
      <c r="AW920" s="1318"/>
      <c r="AX920" s="327"/>
      <c r="AY920" s="327"/>
      <c r="AZ920" s="327"/>
      <c r="BA920" s="327"/>
      <c r="BB920" s="327"/>
      <c r="BC920" s="327"/>
      <c r="BD920" s="327"/>
      <c r="BE920" s="327"/>
      <c r="BF920" s="327"/>
      <c r="BG920" s="327"/>
      <c r="BH920" s="327"/>
      <c r="BI920" s="327"/>
      <c r="BJ920" s="327"/>
      <c r="BK920" s="327"/>
      <c r="BL920" s="327"/>
      <c r="BM920" s="327"/>
      <c r="BN920" s="327"/>
      <c r="BO920" s="1296">
        <f>I920/25</f>
        <v>124</v>
      </c>
      <c r="BP920" s="1316"/>
      <c r="BQ920" s="327"/>
      <c r="BR920" s="1317"/>
      <c r="BS920" s="1317"/>
      <c r="BT920" s="327"/>
      <c r="BU920" s="327"/>
      <c r="BV920" s="1316"/>
      <c r="BW920" s="327"/>
      <c r="BX920" s="327"/>
      <c r="BY920" s="327"/>
      <c r="BZ920" s="327"/>
      <c r="CA920" s="327"/>
      <c r="CB920" s="327"/>
      <c r="CC920" s="327"/>
      <c r="CD920" s="1218">
        <f t="shared" si="317"/>
        <v>124</v>
      </c>
      <c r="CE920" s="1218">
        <f t="shared" ref="CE911:CE949" si="321">BU920</f>
        <v>0</v>
      </c>
      <c r="CF920" s="502">
        <f t="shared" si="318"/>
        <v>0</v>
      </c>
      <c r="CG920" s="1218">
        <f t="shared" si="319"/>
        <v>0</v>
      </c>
      <c r="CH920" s="1317"/>
      <c r="CI920" s="1317"/>
      <c r="CJ920" s="1317"/>
      <c r="CK920" s="327"/>
      <c r="CL920" s="327"/>
    </row>
    <row r="921" s="293" customFormat="1" customHeight="1" spans="1:111">
      <c r="A921" s="1309">
        <v>46220</v>
      </c>
      <c r="B921" s="544" t="s">
        <v>3609</v>
      </c>
      <c r="C921" s="488" t="s">
        <v>1533</v>
      </c>
      <c r="D921" s="327">
        <v>4500216898</v>
      </c>
      <c r="E921" s="488" t="s">
        <v>3615</v>
      </c>
      <c r="F921" s="327" t="s">
        <v>3616</v>
      </c>
      <c r="G921" s="1310" t="s">
        <v>188</v>
      </c>
      <c r="H921" s="488" t="s">
        <v>138</v>
      </c>
      <c r="I921" s="1311">
        <v>500</v>
      </c>
      <c r="J921" s="488">
        <v>0</v>
      </c>
      <c r="K921" s="488">
        <v>50</v>
      </c>
      <c r="L921" s="1544">
        <f t="shared" si="313"/>
        <v>10</v>
      </c>
      <c r="M921" s="1312">
        <v>46283</v>
      </c>
      <c r="N921" s="1312">
        <v>46279</v>
      </c>
      <c r="O921" s="1312"/>
      <c r="P921" s="1313"/>
      <c r="Q921" s="1313"/>
      <c r="R921" s="488"/>
      <c r="S921" s="488"/>
      <c r="T921" s="1313"/>
      <c r="U921" s="500">
        <f t="shared" si="316"/>
        <v>-500</v>
      </c>
      <c r="V921" s="488"/>
      <c r="W921" s="1300" t="s">
        <v>3064</v>
      </c>
      <c r="X921" s="1301" t="s">
        <v>95</v>
      </c>
      <c r="Y921" s="1301" t="s">
        <v>3612</v>
      </c>
      <c r="Z921" s="544"/>
      <c r="AA921" s="544"/>
      <c r="AB921" s="544"/>
      <c r="AC921" s="544" t="s">
        <v>3617</v>
      </c>
      <c r="AD921" s="1312" t="s">
        <v>3614</v>
      </c>
      <c r="AE921" s="327">
        <v>1.1033</v>
      </c>
      <c r="AF921" s="1315">
        <f t="shared" si="315"/>
        <v>551.65</v>
      </c>
      <c r="AG921" s="1295"/>
      <c r="AH921" s="504" t="s">
        <v>314</v>
      </c>
      <c r="AI921" s="488" t="s">
        <v>112</v>
      </c>
      <c r="AJ921" s="488"/>
      <c r="AK921" s="327">
        <f t="shared" si="320"/>
        <v>500</v>
      </c>
      <c r="AL921" s="327"/>
      <c r="AM921" s="327"/>
      <c r="AN921" s="327"/>
      <c r="AO921" s="502"/>
      <c r="AP921" s="502">
        <f>I921</f>
        <v>500</v>
      </c>
      <c r="AQ921" s="1296"/>
      <c r="AR921" s="438"/>
      <c r="AS921" s="1297"/>
      <c r="AT921" s="1297"/>
      <c r="AU921" s="502">
        <f>I921</f>
        <v>500</v>
      </c>
      <c r="AV921" s="1318"/>
      <c r="AW921" s="1318"/>
      <c r="AX921" s="327"/>
      <c r="AY921" s="327"/>
      <c r="AZ921" s="327"/>
      <c r="BA921" s="327"/>
      <c r="BB921" s="327"/>
      <c r="BC921" s="327"/>
      <c r="BD921" s="327"/>
      <c r="BE921" s="327"/>
      <c r="BF921" s="327"/>
      <c r="BG921" s="327"/>
      <c r="BH921" s="327"/>
      <c r="BI921" s="327"/>
      <c r="BJ921" s="327"/>
      <c r="BK921" s="327"/>
      <c r="BL921" s="327"/>
      <c r="BM921" s="327"/>
      <c r="BN921" s="327"/>
      <c r="BO921" s="1296">
        <f>I921/25</f>
        <v>20</v>
      </c>
      <c r="BP921" s="1316"/>
      <c r="BQ921" s="327"/>
      <c r="BR921" s="1317"/>
      <c r="BS921" s="1317"/>
      <c r="BT921" s="327"/>
      <c r="BU921" s="327"/>
      <c r="BV921" s="1316"/>
      <c r="BW921" s="327"/>
      <c r="BX921" s="327"/>
      <c r="BY921" s="327"/>
      <c r="BZ921" s="327"/>
      <c r="CA921" s="327"/>
      <c r="CB921" s="327"/>
      <c r="CC921" s="327"/>
      <c r="CD921" s="1218">
        <f t="shared" si="317"/>
        <v>20</v>
      </c>
      <c r="CE921" s="1218">
        <f t="shared" si="321"/>
        <v>0</v>
      </c>
      <c r="CF921" s="502">
        <f t="shared" si="318"/>
        <v>0</v>
      </c>
      <c r="CG921" s="1218">
        <f t="shared" si="319"/>
        <v>0</v>
      </c>
      <c r="CH921" s="1317"/>
      <c r="CI921" s="1317"/>
      <c r="CJ921" s="1317"/>
      <c r="CK921" s="327"/>
      <c r="CL921" s="327"/>
      <c r="CM921" s="1177"/>
      <c r="CN921" s="1177"/>
      <c r="CO921" s="1177"/>
      <c r="CP921" s="1177"/>
      <c r="CQ921" s="1177"/>
      <c r="CR921" s="1177"/>
      <c r="CS921" s="1177"/>
      <c r="CT921" s="1177"/>
      <c r="CU921" s="1177"/>
      <c r="CV921" s="1177"/>
      <c r="CW921" s="1177"/>
      <c r="CX921" s="1177"/>
      <c r="CY921" s="1177"/>
      <c r="CZ921" s="1177"/>
      <c r="DA921" s="1177"/>
      <c r="DB921" s="1177"/>
      <c r="DC921" s="1177"/>
      <c r="DD921" s="1177"/>
      <c r="DE921" s="1177"/>
      <c r="DF921" s="1177"/>
      <c r="DG921" s="1177"/>
    </row>
    <row r="922" s="293" customFormat="1" customHeight="1" spans="1:111">
      <c r="A922" s="1289">
        <v>46213</v>
      </c>
      <c r="B922" s="543" t="s">
        <v>3618</v>
      </c>
      <c r="C922" s="504" t="s">
        <v>148</v>
      </c>
      <c r="D922" s="1305">
        <v>4500215969</v>
      </c>
      <c r="E922" s="506">
        <v>4400568229</v>
      </c>
      <c r="F922" s="502" t="s">
        <v>3619</v>
      </c>
      <c r="G922" s="505" t="s">
        <v>270</v>
      </c>
      <c r="H922" s="504" t="s">
        <v>104</v>
      </c>
      <c r="I922" s="1290">
        <v>8000</v>
      </c>
      <c r="J922" s="504">
        <v>0</v>
      </c>
      <c r="K922" s="504">
        <v>25</v>
      </c>
      <c r="L922" s="1291">
        <f t="shared" si="313"/>
        <v>320</v>
      </c>
      <c r="M922" s="501">
        <v>46283</v>
      </c>
      <c r="N922" s="501">
        <v>46279</v>
      </c>
      <c r="O922" s="501"/>
      <c r="P922" s="506"/>
      <c r="Q922" s="506"/>
      <c r="R922" s="504"/>
      <c r="S922" s="504"/>
      <c r="T922" s="506"/>
      <c r="U922" s="500">
        <f t="shared" si="316"/>
        <v>-8000</v>
      </c>
      <c r="V922" s="504"/>
      <c r="W922" s="1300">
        <v>46245</v>
      </c>
      <c r="X922" s="1301" t="s">
        <v>95</v>
      </c>
      <c r="Y922" s="1325" t="s">
        <v>1794</v>
      </c>
      <c r="Z922" s="1443" t="s">
        <v>140</v>
      </c>
      <c r="AA922" s="544"/>
      <c r="AB922" s="544" t="s">
        <v>3620</v>
      </c>
      <c r="AC922" s="544" t="s">
        <v>3621</v>
      </c>
      <c r="AD922" s="501" t="s">
        <v>976</v>
      </c>
      <c r="AE922" s="502">
        <v>1.0851</v>
      </c>
      <c r="AF922" s="503">
        <f>I922*AE922</f>
        <v>8680.8</v>
      </c>
      <c r="AG922" s="1295"/>
      <c r="AH922" s="488" t="s">
        <v>270</v>
      </c>
      <c r="AI922" s="488" t="s">
        <v>112</v>
      </c>
      <c r="AJ922" s="504"/>
      <c r="AK922" s="1555">
        <f t="shared" si="320"/>
        <v>8000</v>
      </c>
      <c r="AL922" s="502"/>
      <c r="AM922" s="1218"/>
      <c r="AN922" s="502"/>
      <c r="AO922" s="502"/>
      <c r="AP922" s="502"/>
      <c r="AQ922" s="1296"/>
      <c r="AR922" s="438"/>
      <c r="AS922" s="1297"/>
      <c r="AT922" s="1297"/>
      <c r="AU922" s="502"/>
      <c r="AV922" s="1298"/>
      <c r="AW922" s="1298"/>
      <c r="AX922" s="502"/>
      <c r="AY922" s="502"/>
      <c r="AZ922" s="502"/>
      <c r="BA922" s="502"/>
      <c r="BB922" s="502"/>
      <c r="BC922" s="502"/>
      <c r="BD922" s="502"/>
      <c r="BE922" s="502"/>
      <c r="BF922" s="502"/>
      <c r="BG922" s="502">
        <f>I922</f>
        <v>8000</v>
      </c>
      <c r="BH922" s="502">
        <f>I922</f>
        <v>8000</v>
      </c>
      <c r="BI922" s="502"/>
      <c r="BJ922" s="502"/>
      <c r="BK922" s="502"/>
      <c r="BL922" s="502"/>
      <c r="BM922" s="502"/>
      <c r="BN922" s="502"/>
      <c r="BO922" s="1296"/>
      <c r="BP922" s="1296"/>
      <c r="BQ922" s="1218"/>
      <c r="BR922" s="1297"/>
      <c r="BS922" s="1297"/>
      <c r="BT922" s="502"/>
      <c r="BU922" s="502"/>
      <c r="BV922" s="1296"/>
      <c r="BW922" s="1218"/>
      <c r="BX922" s="1218"/>
      <c r="BY922" s="1218"/>
      <c r="BZ922" s="1218"/>
      <c r="CA922" s="1218"/>
      <c r="CB922" s="1218"/>
      <c r="CC922" s="1218"/>
      <c r="CD922" s="1218">
        <f t="shared" si="317"/>
        <v>0</v>
      </c>
      <c r="CE922" s="1218">
        <f t="shared" si="321"/>
        <v>0</v>
      </c>
      <c r="CF922" s="502">
        <f t="shared" si="318"/>
        <v>0</v>
      </c>
      <c r="CG922" s="1218">
        <f t="shared" si="319"/>
        <v>0</v>
      </c>
      <c r="CH922" s="1299"/>
      <c r="CI922" s="1299"/>
      <c r="CJ922" s="1297"/>
      <c r="CK922" s="502"/>
      <c r="CL922" s="502"/>
    </row>
    <row r="923" s="1177" customFormat="1" customHeight="1" spans="1:111">
      <c r="A923" s="1289">
        <v>46213</v>
      </c>
      <c r="B923" s="1417" t="s">
        <v>3618</v>
      </c>
      <c r="C923" s="1434" t="s">
        <v>148</v>
      </c>
      <c r="D923" s="1435">
        <v>4500215969</v>
      </c>
      <c r="E923" s="1436">
        <v>4400568225</v>
      </c>
      <c r="F923" s="1437" t="s">
        <v>3622</v>
      </c>
      <c r="G923" s="1438" t="s">
        <v>270</v>
      </c>
      <c r="H923" s="504" t="s">
        <v>104</v>
      </c>
      <c r="I923" s="1439">
        <v>4000</v>
      </c>
      <c r="J923" s="1434">
        <v>0</v>
      </c>
      <c r="K923" s="1434">
        <v>25</v>
      </c>
      <c r="L923" s="1291">
        <f t="shared" si="313"/>
        <v>160</v>
      </c>
      <c r="M923" s="507">
        <v>46283</v>
      </c>
      <c r="N923" s="507">
        <v>46279</v>
      </c>
      <c r="O923" s="507"/>
      <c r="P923" s="506"/>
      <c r="Q923" s="506"/>
      <c r="R923" s="504"/>
      <c r="S923" s="504"/>
      <c r="T923" s="506"/>
      <c r="U923" s="500">
        <f t="shared" si="316"/>
        <v>-4000</v>
      </c>
      <c r="V923" s="504"/>
      <c r="W923" s="1300">
        <v>46245</v>
      </c>
      <c r="X923" s="1294" t="s">
        <v>95</v>
      </c>
      <c r="Y923" s="1325" t="s">
        <v>1794</v>
      </c>
      <c r="Z923" s="1443" t="s">
        <v>140</v>
      </c>
      <c r="AA923" s="544"/>
      <c r="AB923" s="544" t="s">
        <v>3620</v>
      </c>
      <c r="AC923" s="1552" t="s">
        <v>3621</v>
      </c>
      <c r="AD923" s="507" t="s">
        <v>976</v>
      </c>
      <c r="AE923" s="502">
        <v>1.1085</v>
      </c>
      <c r="AF923" s="503">
        <f>I923*AE923</f>
        <v>4434</v>
      </c>
      <c r="AG923" s="1295"/>
      <c r="AH923" s="488" t="s">
        <v>270</v>
      </c>
      <c r="AI923" s="488" t="s">
        <v>112</v>
      </c>
      <c r="AJ923" s="504"/>
      <c r="AK923" s="327">
        <f t="shared" si="320"/>
        <v>4000</v>
      </c>
      <c r="AL923" s="502"/>
      <c r="AM923" s="1218"/>
      <c r="AN923" s="502"/>
      <c r="AO923" s="502"/>
      <c r="AP923" s="502"/>
      <c r="AQ923" s="1296"/>
      <c r="AR923" s="438"/>
      <c r="AS923" s="1297"/>
      <c r="AT923" s="1297"/>
      <c r="AU923" s="502"/>
      <c r="AV923" s="1298"/>
      <c r="AW923" s="1298"/>
      <c r="AX923" s="502"/>
      <c r="AY923" s="502"/>
      <c r="AZ923" s="502"/>
      <c r="BA923" s="502"/>
      <c r="BB923" s="502"/>
      <c r="BC923" s="502"/>
      <c r="BD923" s="502"/>
      <c r="BE923" s="502"/>
      <c r="BF923" s="502"/>
      <c r="BG923" s="502">
        <f>I923</f>
        <v>4000</v>
      </c>
      <c r="BH923" s="502">
        <f>I923</f>
        <v>4000</v>
      </c>
      <c r="BI923" s="502"/>
      <c r="BJ923" s="502"/>
      <c r="BK923" s="502"/>
      <c r="BL923" s="502"/>
      <c r="BM923" s="502"/>
      <c r="BN923" s="502"/>
      <c r="BO923" s="1296"/>
      <c r="BP923" s="1296"/>
      <c r="BQ923" s="1218"/>
      <c r="BR923" s="1297"/>
      <c r="BS923" s="1297"/>
      <c r="BT923" s="502"/>
      <c r="BU923" s="502"/>
      <c r="BV923" s="1296"/>
      <c r="BW923" s="1218"/>
      <c r="BX923" s="1218"/>
      <c r="BY923" s="1218"/>
      <c r="BZ923" s="1218"/>
      <c r="CA923" s="1218"/>
      <c r="CB923" s="1218"/>
      <c r="CC923" s="1218"/>
      <c r="CD923" s="1218">
        <f t="shared" si="317"/>
        <v>0</v>
      </c>
      <c r="CE923" s="1218">
        <f t="shared" si="321"/>
        <v>0</v>
      </c>
      <c r="CF923" s="502">
        <f t="shared" si="318"/>
        <v>0</v>
      </c>
      <c r="CG923" s="1218">
        <f t="shared" si="319"/>
        <v>0</v>
      </c>
      <c r="CH923" s="1299"/>
      <c r="CI923" s="1299"/>
      <c r="CJ923" s="1297"/>
      <c r="CK923" s="502"/>
      <c r="CL923" s="502"/>
      <c r="CM923" s="293"/>
      <c r="CN923" s="293"/>
      <c r="CO923" s="293"/>
      <c r="CP923" s="293"/>
      <c r="CQ923" s="293"/>
      <c r="CR923" s="293"/>
      <c r="CS923" s="293"/>
      <c r="CT923" s="293"/>
      <c r="CU923" s="293"/>
      <c r="CV923" s="293"/>
      <c r="CW923" s="293"/>
      <c r="CX923" s="293"/>
      <c r="CY923" s="293"/>
      <c r="CZ923" s="293"/>
      <c r="DA923" s="293"/>
      <c r="DB923" s="293"/>
      <c r="DC923" s="293"/>
      <c r="DD923" s="293"/>
      <c r="DE923" s="293"/>
      <c r="DF923" s="293"/>
      <c r="DG923" s="293"/>
    </row>
    <row r="924" s="1177" customFormat="1" customHeight="1" spans="1:111">
      <c r="A924" s="1289">
        <v>46219</v>
      </c>
      <c r="B924" s="543" t="s">
        <v>1654</v>
      </c>
      <c r="C924" s="504" t="s">
        <v>1655</v>
      </c>
      <c r="D924" s="502">
        <v>4500216739</v>
      </c>
      <c r="E924" s="504" t="s">
        <v>3623</v>
      </c>
      <c r="F924" s="502" t="s">
        <v>3624</v>
      </c>
      <c r="G924" s="505" t="s">
        <v>188</v>
      </c>
      <c r="H924" s="488" t="s">
        <v>138</v>
      </c>
      <c r="I924" s="1290">
        <v>5000</v>
      </c>
      <c r="J924" s="504">
        <v>0</v>
      </c>
      <c r="K924" s="504">
        <v>50</v>
      </c>
      <c r="L924" s="1291">
        <f t="shared" si="313"/>
        <v>100</v>
      </c>
      <c r="M924" s="501">
        <v>46283</v>
      </c>
      <c r="N924" s="501">
        <v>46279</v>
      </c>
      <c r="O924" s="501"/>
      <c r="P924" s="506"/>
      <c r="Q924" s="506"/>
      <c r="R924" s="504"/>
      <c r="S924" s="504"/>
      <c r="T924" s="506"/>
      <c r="U924" s="500">
        <f t="shared" si="316"/>
        <v>-5000</v>
      </c>
      <c r="V924" s="504"/>
      <c r="W924" s="1300">
        <v>46251</v>
      </c>
      <c r="X924" s="1301" t="s">
        <v>95</v>
      </c>
      <c r="Y924" s="1301" t="s">
        <v>3625</v>
      </c>
      <c r="Z924" s="544" t="s">
        <v>3626</v>
      </c>
      <c r="AA924" s="544"/>
      <c r="AB924" s="543"/>
      <c r="AC924" s="544" t="s">
        <v>3627</v>
      </c>
      <c r="AD924" s="501" t="s">
        <v>295</v>
      </c>
      <c r="AE924" s="502">
        <v>1.1119</v>
      </c>
      <c r="AF924" s="503">
        <f>AE924*I924</f>
        <v>5559.5</v>
      </c>
      <c r="AG924" s="1295"/>
      <c r="AH924" s="504" t="s">
        <v>314</v>
      </c>
      <c r="AI924" s="488" t="s">
        <v>112</v>
      </c>
      <c r="AJ924" s="504"/>
      <c r="AK924" s="327">
        <f t="shared" si="320"/>
        <v>5000</v>
      </c>
      <c r="AL924" s="502"/>
      <c r="AM924" s="1218"/>
      <c r="AN924" s="502"/>
      <c r="AO924" s="502"/>
      <c r="AP924" s="502">
        <f>I924</f>
        <v>5000</v>
      </c>
      <c r="AQ924" s="1296"/>
      <c r="AR924" s="438"/>
      <c r="AS924" s="1297"/>
      <c r="AT924" s="1297"/>
      <c r="AU924" s="502">
        <f>I924</f>
        <v>5000</v>
      </c>
      <c r="AV924" s="1612"/>
      <c r="AW924" s="1612"/>
      <c r="AX924" s="502"/>
      <c r="AY924" s="502"/>
      <c r="AZ924" s="502"/>
      <c r="BA924" s="502"/>
      <c r="BB924" s="502"/>
      <c r="BC924" s="502"/>
      <c r="BD924" s="502"/>
      <c r="BE924" s="502"/>
      <c r="BF924" s="502"/>
      <c r="BG924" s="502"/>
      <c r="BH924" s="502"/>
      <c r="BI924" s="502"/>
      <c r="BJ924" s="502"/>
      <c r="BK924" s="502"/>
      <c r="BL924" s="502"/>
      <c r="BM924" s="502"/>
      <c r="BN924" s="502"/>
      <c r="BO924" s="1615">
        <f>I924/25</f>
        <v>200</v>
      </c>
      <c r="BP924" s="1296"/>
      <c r="BQ924" s="1218"/>
      <c r="BR924" s="1297"/>
      <c r="BS924" s="1297"/>
      <c r="BT924" s="502"/>
      <c r="BU924" s="502"/>
      <c r="BV924" s="1296"/>
      <c r="BW924" s="1218"/>
      <c r="BX924" s="1218"/>
      <c r="BY924" s="1218"/>
      <c r="BZ924" s="1218"/>
      <c r="CA924" s="1218"/>
      <c r="CB924" s="1218"/>
      <c r="CC924" s="1218"/>
      <c r="CD924" s="1218">
        <f t="shared" si="317"/>
        <v>200</v>
      </c>
      <c r="CE924" s="1218">
        <f t="shared" si="321"/>
        <v>0</v>
      </c>
      <c r="CF924" s="502">
        <f t="shared" si="318"/>
        <v>0</v>
      </c>
      <c r="CG924" s="1218">
        <f t="shared" si="319"/>
        <v>0</v>
      </c>
      <c r="CH924" s="1299"/>
      <c r="CI924" s="1299"/>
      <c r="CJ924" s="1297"/>
      <c r="CK924" s="502"/>
      <c r="CL924" s="502"/>
      <c r="CM924" s="294"/>
      <c r="CN924" s="294"/>
      <c r="CO924" s="294"/>
      <c r="CP924" s="294"/>
      <c r="CQ924" s="294"/>
      <c r="CR924" s="294"/>
      <c r="CS924" s="294"/>
      <c r="CT924" s="294"/>
      <c r="CU924" s="294"/>
      <c r="CV924" s="294"/>
      <c r="CW924" s="294"/>
      <c r="CX924" s="294"/>
      <c r="CY924" s="294"/>
      <c r="CZ924" s="294"/>
      <c r="DA924" s="294"/>
      <c r="DB924" s="294"/>
      <c r="DC924" s="294"/>
      <c r="DD924" s="294"/>
      <c r="DE924" s="294"/>
      <c r="DF924" s="294"/>
      <c r="DG924" s="294"/>
    </row>
    <row r="925" s="1180" customFormat="1" customHeight="1" spans="1:111">
      <c r="A925" s="1309">
        <v>46217</v>
      </c>
      <c r="B925" s="1552" t="s">
        <v>163</v>
      </c>
      <c r="C925" s="1553" t="s">
        <v>164</v>
      </c>
      <c r="D925" s="1554">
        <v>4500216502</v>
      </c>
      <c r="E925" s="1621">
        <v>4400579668</v>
      </c>
      <c r="F925" s="1555" t="s">
        <v>3628</v>
      </c>
      <c r="G925" s="1556" t="s">
        <v>270</v>
      </c>
      <c r="H925" s="488" t="s">
        <v>104</v>
      </c>
      <c r="I925" s="1557">
        <v>25000</v>
      </c>
      <c r="J925" s="1553">
        <v>0</v>
      </c>
      <c r="K925" s="1553">
        <v>25</v>
      </c>
      <c r="L925" s="1544">
        <f t="shared" si="313"/>
        <v>1000</v>
      </c>
      <c r="M925" s="1545">
        <v>46283</v>
      </c>
      <c r="N925" s="1545">
        <v>46279</v>
      </c>
      <c r="O925" s="1545"/>
      <c r="P925" s="1313"/>
      <c r="Q925" s="1313"/>
      <c r="R925" s="488"/>
      <c r="S925" s="488"/>
      <c r="T925" s="1313"/>
      <c r="U925" s="500">
        <f t="shared" si="316"/>
        <v>-25000</v>
      </c>
      <c r="V925" s="488"/>
      <c r="W925" s="1300">
        <v>46217</v>
      </c>
      <c r="X925" s="1301" t="s">
        <v>95</v>
      </c>
      <c r="Y925" s="1294" t="s">
        <v>1794</v>
      </c>
      <c r="Z925" s="544" t="s">
        <v>140</v>
      </c>
      <c r="AA925" s="544"/>
      <c r="AB925" s="544" t="s">
        <v>3620</v>
      </c>
      <c r="AC925" s="1552" t="s">
        <v>3629</v>
      </c>
      <c r="AD925" s="1545" t="s">
        <v>1142</v>
      </c>
      <c r="AE925" s="327">
        <v>1.0856</v>
      </c>
      <c r="AF925" s="1315">
        <f>I925*AE925</f>
        <v>27140</v>
      </c>
      <c r="AG925" s="1295"/>
      <c r="AH925" s="1310" t="s">
        <v>3630</v>
      </c>
      <c r="AI925" s="488"/>
      <c r="AJ925" s="488"/>
      <c r="AK925" s="327">
        <f t="shared" si="320"/>
        <v>25000</v>
      </c>
      <c r="AL925" s="327"/>
      <c r="AM925" s="327"/>
      <c r="AN925" s="327"/>
      <c r="AO925" s="327"/>
      <c r="AP925" s="327">
        <f>I925</f>
        <v>25000</v>
      </c>
      <c r="AQ925" s="1316"/>
      <c r="AR925" s="327"/>
      <c r="AS925" s="1317"/>
      <c r="AT925" s="1317"/>
      <c r="AU925" s="327"/>
      <c r="AV925" s="1318">
        <f t="shared" ref="AV925:AV932" si="322">I925*0.06</f>
        <v>1500</v>
      </c>
      <c r="AW925" s="1318"/>
      <c r="AX925" s="327"/>
      <c r="AY925" s="327"/>
      <c r="AZ925" s="327"/>
      <c r="BA925" s="327"/>
      <c r="BB925" s="327"/>
      <c r="BC925" s="327"/>
      <c r="BD925" s="327"/>
      <c r="BE925" s="327"/>
      <c r="BF925" s="327"/>
      <c r="BG925" s="327"/>
      <c r="BH925" s="327">
        <f t="shared" ref="BH925:BH930" si="323">I925</f>
        <v>25000</v>
      </c>
      <c r="BI925" s="327"/>
      <c r="BJ925" s="327"/>
      <c r="BK925" s="327"/>
      <c r="BL925" s="327"/>
      <c r="BM925" s="327"/>
      <c r="BN925" s="327"/>
      <c r="BO925" s="1316">
        <f>I925/25</f>
        <v>1000</v>
      </c>
      <c r="BP925" s="1316"/>
      <c r="BQ925" s="327"/>
      <c r="BR925" s="1317"/>
      <c r="BS925" s="1317"/>
      <c r="BT925" s="327"/>
      <c r="BU925" s="327"/>
      <c r="BV925" s="1316"/>
      <c r="BW925" s="327"/>
      <c r="BX925" s="327"/>
      <c r="BY925" s="327"/>
      <c r="BZ925" s="327"/>
      <c r="CA925" s="327"/>
      <c r="CB925" s="327"/>
      <c r="CC925" s="327"/>
      <c r="CD925" s="327">
        <f t="shared" si="317"/>
        <v>1000</v>
      </c>
      <c r="CE925" s="327">
        <f t="shared" si="321"/>
        <v>0</v>
      </c>
      <c r="CF925" s="327">
        <f t="shared" si="318"/>
        <v>0</v>
      </c>
      <c r="CG925" s="327">
        <f t="shared" si="319"/>
        <v>0</v>
      </c>
      <c r="CH925" s="1317"/>
      <c r="CI925" s="1317"/>
      <c r="CJ925" s="1317"/>
      <c r="CK925" s="327"/>
      <c r="CL925" s="327"/>
      <c r="CM925" s="1177"/>
      <c r="CN925" s="1177"/>
      <c r="CO925" s="1177"/>
      <c r="CP925" s="1177"/>
      <c r="CQ925" s="1177"/>
      <c r="CR925" s="1177"/>
      <c r="CS925" s="1177"/>
      <c r="CT925" s="1177"/>
      <c r="CU925" s="1177"/>
      <c r="CV925" s="1177"/>
      <c r="CW925" s="1177"/>
      <c r="CX925" s="1177"/>
      <c r="CY925" s="1177"/>
      <c r="CZ925" s="1177"/>
      <c r="DA925" s="1177"/>
      <c r="DB925" s="1177"/>
      <c r="DC925" s="1177"/>
      <c r="DD925" s="1177"/>
      <c r="DE925" s="1177"/>
      <c r="DF925" s="1177"/>
      <c r="DG925" s="1177"/>
    </row>
    <row r="926" s="1180" customFormat="1" customHeight="1" spans="1:111">
      <c r="A926" s="1289">
        <v>46227</v>
      </c>
      <c r="B926" s="1417" t="s">
        <v>147</v>
      </c>
      <c r="C926" s="1434" t="s">
        <v>148</v>
      </c>
      <c r="D926" s="1435">
        <v>4500217667</v>
      </c>
      <c r="E926" s="1436">
        <v>4400568224</v>
      </c>
      <c r="F926" s="1437" t="s">
        <v>3631</v>
      </c>
      <c r="G926" s="1438" t="s">
        <v>270</v>
      </c>
      <c r="H926" s="504" t="s">
        <v>104</v>
      </c>
      <c r="I926" s="1439">
        <v>8400</v>
      </c>
      <c r="J926" s="1434">
        <v>0</v>
      </c>
      <c r="K926" s="1434">
        <v>25</v>
      </c>
      <c r="L926" s="1291">
        <f t="shared" si="313"/>
        <v>336</v>
      </c>
      <c r="M926" s="507">
        <v>46283</v>
      </c>
      <c r="N926" s="507">
        <v>46279</v>
      </c>
      <c r="O926" s="507"/>
      <c r="P926" s="506"/>
      <c r="Q926" s="506"/>
      <c r="R926" s="504"/>
      <c r="S926" s="504"/>
      <c r="T926" s="506"/>
      <c r="U926" s="500">
        <f t="shared" si="316"/>
        <v>-8400</v>
      </c>
      <c r="V926" s="504"/>
      <c r="W926" s="1300">
        <v>46245</v>
      </c>
      <c r="X926" s="1325" t="s">
        <v>95</v>
      </c>
      <c r="Y926" s="1308" t="s">
        <v>95</v>
      </c>
      <c r="Z926" s="544" t="s">
        <v>140</v>
      </c>
      <c r="AA926" s="544"/>
      <c r="AB926" s="543"/>
      <c r="AC926" s="1552" t="s">
        <v>3632</v>
      </c>
      <c r="AD926" s="507" t="s">
        <v>1142</v>
      </c>
      <c r="AE926" s="502">
        <v>1.1031</v>
      </c>
      <c r="AF926" s="503">
        <f>AE926*I926</f>
        <v>9266.04</v>
      </c>
      <c r="AG926" s="1295"/>
      <c r="AH926" s="1310" t="s">
        <v>3630</v>
      </c>
      <c r="AI926" s="488"/>
      <c r="AJ926" s="504"/>
      <c r="AK926" s="327">
        <f t="shared" si="320"/>
        <v>8400</v>
      </c>
      <c r="AL926" s="502"/>
      <c r="AM926" s="1218"/>
      <c r="AN926" s="502"/>
      <c r="AO926" s="502"/>
      <c r="AP926" s="502"/>
      <c r="AQ926" s="1296"/>
      <c r="AR926" s="438"/>
      <c r="AS926" s="1297"/>
      <c r="AT926" s="1297"/>
      <c r="AU926" s="502"/>
      <c r="AV926" s="1298">
        <f t="shared" si="322"/>
        <v>504</v>
      </c>
      <c r="AW926" s="1298"/>
      <c r="AX926" s="502"/>
      <c r="AY926" s="502"/>
      <c r="AZ926" s="502"/>
      <c r="BA926" s="502"/>
      <c r="BB926" s="502"/>
      <c r="BC926" s="502"/>
      <c r="BD926" s="502"/>
      <c r="BE926" s="502"/>
      <c r="BF926" s="502"/>
      <c r="BG926" s="502">
        <f>I926</f>
        <v>8400</v>
      </c>
      <c r="BH926" s="502">
        <f t="shared" si="323"/>
        <v>8400</v>
      </c>
      <c r="BI926" s="502"/>
      <c r="BJ926" s="502"/>
      <c r="BK926" s="502"/>
      <c r="BL926" s="502"/>
      <c r="BM926" s="502"/>
      <c r="BN926" s="502"/>
      <c r="BO926" s="1296"/>
      <c r="BP926" s="1296"/>
      <c r="BQ926" s="1218"/>
      <c r="BR926" s="1297"/>
      <c r="BS926" s="1297"/>
      <c r="BT926" s="502"/>
      <c r="BU926" s="502"/>
      <c r="BV926" s="1296"/>
      <c r="BW926" s="1218"/>
      <c r="BX926" s="1218"/>
      <c r="BY926" s="1218"/>
      <c r="BZ926" s="1218"/>
      <c r="CA926" s="1218"/>
      <c r="CB926" s="1218"/>
      <c r="CC926" s="1218"/>
      <c r="CD926" s="1218">
        <f t="shared" si="317"/>
        <v>0</v>
      </c>
      <c r="CE926" s="1218">
        <f t="shared" si="321"/>
        <v>0</v>
      </c>
      <c r="CF926" s="502">
        <f t="shared" si="318"/>
        <v>0</v>
      </c>
      <c r="CG926" s="1218">
        <f t="shared" si="319"/>
        <v>0</v>
      </c>
      <c r="CH926" s="1299"/>
      <c r="CI926" s="1299"/>
      <c r="CJ926" s="1297"/>
      <c r="CK926" s="502"/>
      <c r="CL926" s="502"/>
      <c r="CM926" s="293"/>
      <c r="CN926" s="293"/>
      <c r="CO926" s="293"/>
      <c r="CP926" s="293"/>
      <c r="CQ926" s="293"/>
      <c r="CR926" s="293"/>
      <c r="CS926" s="293"/>
      <c r="CT926" s="293"/>
      <c r="CU926" s="293"/>
      <c r="CV926" s="293"/>
      <c r="CW926" s="293"/>
      <c r="CX926" s="293"/>
      <c r="CY926" s="293"/>
      <c r="CZ926" s="293"/>
      <c r="DA926" s="293"/>
      <c r="DB926" s="293"/>
      <c r="DC926" s="293"/>
      <c r="DD926" s="293"/>
      <c r="DE926" s="293"/>
      <c r="DF926" s="293"/>
      <c r="DG926" s="293"/>
    </row>
    <row r="927" s="1180" customFormat="1" customHeight="1" spans="1:111">
      <c r="A927" s="1289">
        <v>46227</v>
      </c>
      <c r="B927" s="1417" t="s">
        <v>147</v>
      </c>
      <c r="C927" s="1434" t="s">
        <v>148</v>
      </c>
      <c r="D927" s="1435">
        <v>4500217667</v>
      </c>
      <c r="E927" s="1436">
        <v>4400568228</v>
      </c>
      <c r="F927" s="1437" t="s">
        <v>3633</v>
      </c>
      <c r="G927" s="1438" t="s">
        <v>270</v>
      </c>
      <c r="H927" s="1454" t="s">
        <v>104</v>
      </c>
      <c r="I927" s="1439">
        <v>3600</v>
      </c>
      <c r="J927" s="1434">
        <v>0</v>
      </c>
      <c r="K927" s="1434">
        <v>25</v>
      </c>
      <c r="L927" s="1597">
        <f t="shared" si="313"/>
        <v>144</v>
      </c>
      <c r="M927" s="507">
        <v>46283</v>
      </c>
      <c r="N927" s="507">
        <v>46279</v>
      </c>
      <c r="O927" s="507"/>
      <c r="P927" s="506"/>
      <c r="Q927" s="506"/>
      <c r="R927" s="504"/>
      <c r="S927" s="504"/>
      <c r="T927" s="506"/>
      <c r="U927" s="500">
        <f t="shared" si="316"/>
        <v>-3600</v>
      </c>
      <c r="V927" s="504"/>
      <c r="W927" s="1300">
        <v>46245</v>
      </c>
      <c r="X927" s="1308" t="s">
        <v>95</v>
      </c>
      <c r="Y927" s="1308" t="s">
        <v>95</v>
      </c>
      <c r="Z927" s="544" t="s">
        <v>140</v>
      </c>
      <c r="AA927" s="544"/>
      <c r="AB927" s="543"/>
      <c r="AC927" s="544" t="s">
        <v>3632</v>
      </c>
      <c r="AD927" s="507" t="s">
        <v>1142</v>
      </c>
      <c r="AE927" s="502">
        <v>1.1085</v>
      </c>
      <c r="AF927" s="503">
        <f>AE927*I927</f>
        <v>3990.6</v>
      </c>
      <c r="AG927" s="1295"/>
      <c r="AH927" s="1310" t="s">
        <v>3630</v>
      </c>
      <c r="AI927" s="488"/>
      <c r="AJ927" s="504"/>
      <c r="AK927" s="327">
        <f t="shared" si="320"/>
        <v>3600</v>
      </c>
      <c r="AL927" s="502"/>
      <c r="AM927" s="1218"/>
      <c r="AN927" s="502"/>
      <c r="AO927" s="502"/>
      <c r="AP927" s="502"/>
      <c r="AQ927" s="1296"/>
      <c r="AR927" s="438"/>
      <c r="AS927" s="1297"/>
      <c r="AT927" s="1297"/>
      <c r="AU927" s="502"/>
      <c r="AV927" s="1612">
        <f t="shared" si="322"/>
        <v>216</v>
      </c>
      <c r="AW927" s="1298"/>
      <c r="AX927" s="502"/>
      <c r="AY927" s="502"/>
      <c r="AZ927" s="502"/>
      <c r="BA927" s="502"/>
      <c r="BB927" s="502"/>
      <c r="BC927" s="502"/>
      <c r="BD927" s="502"/>
      <c r="BE927" s="502"/>
      <c r="BF927" s="502"/>
      <c r="BG927" s="502">
        <f>I927</f>
        <v>3600</v>
      </c>
      <c r="BH927" s="502">
        <f t="shared" si="323"/>
        <v>3600</v>
      </c>
      <c r="BI927" s="502"/>
      <c r="BJ927" s="502"/>
      <c r="BK927" s="502"/>
      <c r="BL927" s="502"/>
      <c r="BM927" s="502"/>
      <c r="BN927" s="502"/>
      <c r="BO927" s="1296"/>
      <c r="BP927" s="1296"/>
      <c r="BQ927" s="1218"/>
      <c r="BR927" s="1297"/>
      <c r="BS927" s="1297"/>
      <c r="BT927" s="502"/>
      <c r="BU927" s="502"/>
      <c r="BV927" s="1296"/>
      <c r="BW927" s="1218"/>
      <c r="BX927" s="1218"/>
      <c r="BY927" s="1218"/>
      <c r="BZ927" s="1218"/>
      <c r="CA927" s="1218"/>
      <c r="CB927" s="1218"/>
      <c r="CC927" s="1218"/>
      <c r="CD927" s="1218">
        <f t="shared" si="317"/>
        <v>0</v>
      </c>
      <c r="CE927" s="1218">
        <f t="shared" si="321"/>
        <v>0</v>
      </c>
      <c r="CF927" s="502">
        <f t="shared" si="318"/>
        <v>0</v>
      </c>
      <c r="CG927" s="1218">
        <f t="shared" si="319"/>
        <v>0</v>
      </c>
      <c r="CH927" s="1299"/>
      <c r="CI927" s="1299"/>
      <c r="CJ927" s="1297"/>
      <c r="CK927" s="502"/>
      <c r="CL927" s="502"/>
      <c r="CM927" s="293"/>
      <c r="CN927" s="293"/>
      <c r="CO927" s="293"/>
      <c r="CP927" s="293"/>
      <c r="CQ927" s="293"/>
      <c r="CR927" s="293"/>
      <c r="CS927" s="293"/>
      <c r="CT927" s="293"/>
      <c r="CU927" s="293"/>
      <c r="CV927" s="293"/>
      <c r="CW927" s="293"/>
      <c r="CX927" s="293"/>
      <c r="CY927" s="293"/>
      <c r="CZ927" s="293"/>
      <c r="DA927" s="293"/>
      <c r="DB927" s="293"/>
      <c r="DC927" s="293"/>
      <c r="DD927" s="293"/>
      <c r="DE927" s="293"/>
      <c r="DF927" s="293"/>
      <c r="DG927" s="293"/>
    </row>
    <row r="928" s="1180" customFormat="1" customHeight="1" spans="1:111">
      <c r="A928" s="1309">
        <v>46231</v>
      </c>
      <c r="B928" s="1552" t="s">
        <v>163</v>
      </c>
      <c r="C928" s="1553" t="s">
        <v>164</v>
      </c>
      <c r="D928" s="1555">
        <v>4500217997</v>
      </c>
      <c r="E928" s="1553">
        <v>4400585347</v>
      </c>
      <c r="F928" s="1555" t="s">
        <v>3634</v>
      </c>
      <c r="G928" s="1556" t="s">
        <v>270</v>
      </c>
      <c r="H928" s="1054" t="s">
        <v>104</v>
      </c>
      <c r="I928" s="1557">
        <v>11000</v>
      </c>
      <c r="J928" s="1553">
        <v>0</v>
      </c>
      <c r="K928" s="1553">
        <v>25</v>
      </c>
      <c r="L928" s="1715">
        <f t="shared" si="313"/>
        <v>440</v>
      </c>
      <c r="M928" s="1545">
        <v>46283</v>
      </c>
      <c r="N928" s="1545">
        <v>46279</v>
      </c>
      <c r="O928" s="1545"/>
      <c r="P928" s="1313"/>
      <c r="Q928" s="1313"/>
      <c r="R928" s="488"/>
      <c r="S928" s="488"/>
      <c r="T928" s="1313"/>
      <c r="U928" s="500">
        <f t="shared" si="316"/>
        <v>-11000</v>
      </c>
      <c r="V928" s="488"/>
      <c r="W928" s="1300" t="s">
        <v>3635</v>
      </c>
      <c r="X928" s="1294" t="s">
        <v>95</v>
      </c>
      <c r="Y928" s="1294" t="s">
        <v>95</v>
      </c>
      <c r="Z928" s="544" t="s">
        <v>140</v>
      </c>
      <c r="AA928" s="544" t="s">
        <v>3636</v>
      </c>
      <c r="AB928" s="544"/>
      <c r="AC928" s="1294" t="s">
        <v>3637</v>
      </c>
      <c r="AD928" s="1545" t="s">
        <v>1142</v>
      </c>
      <c r="AE928" s="327">
        <v>1.0976</v>
      </c>
      <c r="AF928" s="1315">
        <f>AE928*I928</f>
        <v>12073.6</v>
      </c>
      <c r="AG928" s="1295"/>
      <c r="AH928" s="488" t="s">
        <v>270</v>
      </c>
      <c r="AI928" s="488" t="s">
        <v>112</v>
      </c>
      <c r="AJ928" s="488"/>
      <c r="AK928" s="327">
        <f t="shared" si="320"/>
        <v>11000</v>
      </c>
      <c r="AL928" s="327"/>
      <c r="AM928" s="327"/>
      <c r="AN928" s="327"/>
      <c r="AO928" s="327"/>
      <c r="AP928" s="327"/>
      <c r="AQ928" s="1316"/>
      <c r="AR928" s="327"/>
      <c r="AS928" s="1317"/>
      <c r="AT928" s="1317"/>
      <c r="AU928" s="327"/>
      <c r="AV928" s="1678">
        <f t="shared" si="322"/>
        <v>660</v>
      </c>
      <c r="AW928" s="1318"/>
      <c r="AX928" s="327"/>
      <c r="AY928" s="327"/>
      <c r="AZ928" s="327"/>
      <c r="BA928" s="327"/>
      <c r="BB928" s="327"/>
      <c r="BC928" s="327"/>
      <c r="BD928" s="327"/>
      <c r="BE928" s="327"/>
      <c r="BF928" s="327"/>
      <c r="BG928" s="327">
        <f>I928</f>
        <v>11000</v>
      </c>
      <c r="BH928" s="327">
        <f t="shared" si="323"/>
        <v>11000</v>
      </c>
      <c r="BI928" s="327"/>
      <c r="BJ928" s="327"/>
      <c r="BK928" s="327"/>
      <c r="BL928" s="327"/>
      <c r="BM928" s="327"/>
      <c r="BN928" s="327"/>
      <c r="BO928" s="1316"/>
      <c r="BP928" s="1316"/>
      <c r="BQ928" s="327"/>
      <c r="BR928" s="1317"/>
      <c r="BS928" s="1317"/>
      <c r="BT928" s="327"/>
      <c r="BU928" s="327"/>
      <c r="BV928" s="1316"/>
      <c r="BW928" s="327"/>
      <c r="BX928" s="327"/>
      <c r="BY928" s="327"/>
      <c r="BZ928" s="327"/>
      <c r="CA928" s="327"/>
      <c r="CB928" s="327"/>
      <c r="CC928" s="327"/>
      <c r="CD928" s="327">
        <f t="shared" si="317"/>
        <v>0</v>
      </c>
      <c r="CE928" s="327">
        <f t="shared" si="321"/>
        <v>0</v>
      </c>
      <c r="CF928" s="327">
        <f t="shared" si="318"/>
        <v>0</v>
      </c>
      <c r="CG928" s="327">
        <f t="shared" si="319"/>
        <v>0</v>
      </c>
      <c r="CH928" s="1317"/>
      <c r="CI928" s="1317"/>
      <c r="CJ928" s="1317"/>
      <c r="CK928" s="327"/>
      <c r="CL928" s="327"/>
    </row>
    <row r="929" s="1180" customFormat="1" customHeight="1" spans="1:111">
      <c r="A929" s="1309">
        <v>46231</v>
      </c>
      <c r="B929" s="1552" t="s">
        <v>163</v>
      </c>
      <c r="C929" s="1553" t="s">
        <v>164</v>
      </c>
      <c r="D929" s="1555">
        <v>4500217997</v>
      </c>
      <c r="E929" s="1553">
        <v>4400585348</v>
      </c>
      <c r="F929" s="1555" t="s">
        <v>3638</v>
      </c>
      <c r="G929" s="1556" t="s">
        <v>270</v>
      </c>
      <c r="H929" s="488" t="s">
        <v>104</v>
      </c>
      <c r="I929" s="1557">
        <v>9000</v>
      </c>
      <c r="J929" s="1553">
        <v>0</v>
      </c>
      <c r="K929" s="1553">
        <v>25</v>
      </c>
      <c r="L929" s="1544">
        <f t="shared" si="313"/>
        <v>360</v>
      </c>
      <c r="M929" s="1545">
        <v>46283</v>
      </c>
      <c r="N929" s="1545">
        <v>46279</v>
      </c>
      <c r="O929" s="1312"/>
      <c r="P929" s="1313"/>
      <c r="Q929" s="1313"/>
      <c r="R929" s="488"/>
      <c r="S929" s="488"/>
      <c r="T929" s="1313"/>
      <c r="U929" s="500">
        <f t="shared" si="316"/>
        <v>-9000</v>
      </c>
      <c r="V929" s="488"/>
      <c r="W929" s="1300" t="s">
        <v>3635</v>
      </c>
      <c r="X929" s="1301" t="s">
        <v>95</v>
      </c>
      <c r="Y929" s="1301" t="s">
        <v>95</v>
      </c>
      <c r="Z929" s="544" t="s">
        <v>140</v>
      </c>
      <c r="AA929" s="544" t="s">
        <v>3636</v>
      </c>
      <c r="AB929" s="544"/>
      <c r="AC929" s="1301" t="s">
        <v>3639</v>
      </c>
      <c r="AD929" s="1545" t="s">
        <v>1142</v>
      </c>
      <c r="AE929" s="327">
        <v>1.1031</v>
      </c>
      <c r="AF929" s="1315">
        <f>AE929*I929</f>
        <v>9927.9</v>
      </c>
      <c r="AG929" s="1295"/>
      <c r="AH929" s="1054" t="s">
        <v>270</v>
      </c>
      <c r="AI929" s="488" t="s">
        <v>112</v>
      </c>
      <c r="AJ929" s="488"/>
      <c r="AK929" s="327">
        <f t="shared" si="320"/>
        <v>9000</v>
      </c>
      <c r="AL929" s="327"/>
      <c r="AM929" s="327"/>
      <c r="AN929" s="327"/>
      <c r="AO929" s="327"/>
      <c r="AP929" s="327"/>
      <c r="AQ929" s="1316"/>
      <c r="AR929" s="327"/>
      <c r="AS929" s="1317"/>
      <c r="AT929" s="1317"/>
      <c r="AU929" s="327"/>
      <c r="AV929" s="1678">
        <f t="shared" si="322"/>
        <v>540</v>
      </c>
      <c r="AW929" s="1318"/>
      <c r="AX929" s="327"/>
      <c r="AY929" s="327"/>
      <c r="AZ929" s="327"/>
      <c r="BA929" s="327"/>
      <c r="BB929" s="327"/>
      <c r="BC929" s="327"/>
      <c r="BD929" s="327"/>
      <c r="BE929" s="327"/>
      <c r="BF929" s="327"/>
      <c r="BG929" s="327">
        <f>I929</f>
        <v>9000</v>
      </c>
      <c r="BH929" s="327">
        <f t="shared" si="323"/>
        <v>9000</v>
      </c>
      <c r="BI929" s="327"/>
      <c r="BJ929" s="327"/>
      <c r="BK929" s="327"/>
      <c r="BL929" s="327"/>
      <c r="BM929" s="327"/>
      <c r="BN929" s="327"/>
      <c r="BO929" s="1679"/>
      <c r="BP929" s="1316"/>
      <c r="BQ929" s="327"/>
      <c r="BR929" s="1317"/>
      <c r="BS929" s="1317"/>
      <c r="BT929" s="327"/>
      <c r="BU929" s="327"/>
      <c r="BV929" s="1316"/>
      <c r="BW929" s="327"/>
      <c r="BX929" s="327"/>
      <c r="BY929" s="327"/>
      <c r="BZ929" s="327"/>
      <c r="CA929" s="327"/>
      <c r="CB929" s="327"/>
      <c r="CC929" s="327"/>
      <c r="CD929" s="327">
        <f t="shared" si="317"/>
        <v>0</v>
      </c>
      <c r="CE929" s="327">
        <f t="shared" si="321"/>
        <v>0</v>
      </c>
      <c r="CF929" s="327">
        <f t="shared" si="318"/>
        <v>0</v>
      </c>
      <c r="CG929" s="327">
        <f t="shared" si="319"/>
        <v>0</v>
      </c>
      <c r="CH929" s="1317"/>
      <c r="CI929" s="1317"/>
      <c r="CJ929" s="1317"/>
      <c r="CK929" s="327"/>
      <c r="CL929" s="327"/>
    </row>
    <row r="930" s="1180" customFormat="1" customHeight="1" spans="1:111">
      <c r="A930" s="1309">
        <v>46233</v>
      </c>
      <c r="B930" s="1552" t="s">
        <v>971</v>
      </c>
      <c r="C930" s="1553" t="s">
        <v>164</v>
      </c>
      <c r="D930" s="1554">
        <v>4500218302</v>
      </c>
      <c r="E930" s="1621">
        <v>4400575852</v>
      </c>
      <c r="F930" s="1555" t="s">
        <v>3640</v>
      </c>
      <c r="G930" s="1556" t="s">
        <v>270</v>
      </c>
      <c r="H930" s="488" t="s">
        <v>104</v>
      </c>
      <c r="I930" s="1557">
        <v>7000</v>
      </c>
      <c r="J930" s="1553">
        <v>0</v>
      </c>
      <c r="K930" s="1553">
        <v>25</v>
      </c>
      <c r="L930" s="1544">
        <f t="shared" si="313"/>
        <v>280</v>
      </c>
      <c r="M930" s="1545">
        <v>46283</v>
      </c>
      <c r="N930" s="1545">
        <f>M930-4</f>
        <v>46279</v>
      </c>
      <c r="O930" s="1545"/>
      <c r="P930" s="1313" t="s">
        <v>3641</v>
      </c>
      <c r="Q930" s="1313"/>
      <c r="R930" s="488"/>
      <c r="S930" s="488"/>
      <c r="T930" s="1313"/>
      <c r="U930" s="500">
        <f t="shared" si="316"/>
        <v>-7000</v>
      </c>
      <c r="V930" s="488"/>
      <c r="W930" s="1300">
        <v>46217</v>
      </c>
      <c r="X930" s="1301" t="s">
        <v>95</v>
      </c>
      <c r="Y930" s="1294" t="s">
        <v>1794</v>
      </c>
      <c r="Z930" s="544" t="s">
        <v>140</v>
      </c>
      <c r="AA930" s="544"/>
      <c r="AB930" s="544" t="s">
        <v>3620</v>
      </c>
      <c r="AC930" s="544" t="s">
        <v>3642</v>
      </c>
      <c r="AD930" s="1545" t="s">
        <v>976</v>
      </c>
      <c r="AE930" s="327">
        <v>1.1413</v>
      </c>
      <c r="AF930" s="1315">
        <f>I930*AE930</f>
        <v>7989.1</v>
      </c>
      <c r="AG930" s="1295"/>
      <c r="AH930" s="1310" t="s">
        <v>3630</v>
      </c>
      <c r="AI930" s="488"/>
      <c r="AJ930" s="488"/>
      <c r="AK930" s="327">
        <f t="shared" si="320"/>
        <v>7000</v>
      </c>
      <c r="AL930" s="327"/>
      <c r="AM930" s="327"/>
      <c r="AN930" s="1187"/>
      <c r="AO930" s="327"/>
      <c r="AP930" s="327">
        <f>I930</f>
        <v>7000</v>
      </c>
      <c r="AQ930" s="1316"/>
      <c r="AR930" s="327"/>
      <c r="AS930" s="1317"/>
      <c r="AT930" s="1317"/>
      <c r="AU930" s="327"/>
      <c r="AV930" s="1678">
        <f t="shared" si="322"/>
        <v>420</v>
      </c>
      <c r="AW930" s="1318"/>
      <c r="AX930" s="327"/>
      <c r="AY930" s="327"/>
      <c r="AZ930" s="327"/>
      <c r="BA930" s="327"/>
      <c r="BB930" s="327"/>
      <c r="BC930" s="327"/>
      <c r="BD930" s="327"/>
      <c r="BE930" s="327"/>
      <c r="BF930" s="327"/>
      <c r="BG930" s="327"/>
      <c r="BH930" s="327">
        <f t="shared" si="323"/>
        <v>7000</v>
      </c>
      <c r="BI930" s="327"/>
      <c r="BJ930" s="327"/>
      <c r="BK930" s="327"/>
      <c r="BL930" s="327"/>
      <c r="BM930" s="327"/>
      <c r="BN930" s="327"/>
      <c r="BO930" s="1316">
        <f>I930/25</f>
        <v>280</v>
      </c>
      <c r="BP930" s="1316"/>
      <c r="BQ930" s="327"/>
      <c r="BR930" s="1317"/>
      <c r="BS930" s="1317"/>
      <c r="BT930" s="327"/>
      <c r="BU930" s="327"/>
      <c r="BV930" s="1316"/>
      <c r="BW930" s="327"/>
      <c r="BX930" s="327"/>
      <c r="BY930" s="327"/>
      <c r="BZ930" s="327"/>
      <c r="CA930" s="327"/>
      <c r="CB930" s="327"/>
      <c r="CC930" s="327"/>
      <c r="CD930" s="327">
        <f t="shared" si="317"/>
        <v>280</v>
      </c>
      <c r="CE930" s="327">
        <f t="shared" si="321"/>
        <v>0</v>
      </c>
      <c r="CF930" s="327">
        <f t="shared" si="318"/>
        <v>0</v>
      </c>
      <c r="CG930" s="327">
        <f t="shared" si="319"/>
        <v>0</v>
      </c>
      <c r="CH930" s="1317"/>
      <c r="CI930" s="1317"/>
      <c r="CJ930" s="1317"/>
      <c r="CK930" s="327"/>
      <c r="CL930" s="327"/>
    </row>
    <row r="931" s="1184" customFormat="1" customHeight="1" spans="1:111">
      <c r="A931" s="1309">
        <v>46233</v>
      </c>
      <c r="B931" s="1552" t="s">
        <v>2326</v>
      </c>
      <c r="C931" s="1553" t="s">
        <v>319</v>
      </c>
      <c r="D931" s="1555">
        <v>4500218195</v>
      </c>
      <c r="E931" s="1553" t="s">
        <v>3643</v>
      </c>
      <c r="F931" s="1555" t="s">
        <v>3644</v>
      </c>
      <c r="G931" s="1556" t="s">
        <v>174</v>
      </c>
      <c r="H931" s="1553" t="s">
        <v>175</v>
      </c>
      <c r="I931" s="1557">
        <v>2080</v>
      </c>
      <c r="J931" s="1553">
        <v>0</v>
      </c>
      <c r="K931" s="1553">
        <v>52</v>
      </c>
      <c r="L931" s="1544">
        <f t="shared" si="313"/>
        <v>40</v>
      </c>
      <c r="M931" s="1545">
        <v>46283</v>
      </c>
      <c r="N931" s="1545">
        <f>M931-4</f>
        <v>46279</v>
      </c>
      <c r="O931" s="1545"/>
      <c r="P931" s="1313"/>
      <c r="Q931" s="1313"/>
      <c r="R931" s="488"/>
      <c r="S931" s="488"/>
      <c r="T931" s="1313"/>
      <c r="U931" s="500">
        <f t="shared" si="316"/>
        <v>-2080</v>
      </c>
      <c r="V931" s="488"/>
      <c r="W931" s="1300" t="s">
        <v>3635</v>
      </c>
      <c r="X931" s="1294" t="s">
        <v>95</v>
      </c>
      <c r="Y931" s="1294" t="s">
        <v>3645</v>
      </c>
      <c r="Z931" s="544"/>
      <c r="AA931" s="544"/>
      <c r="AB931" s="544"/>
      <c r="AC931" s="1301" t="s">
        <v>3646</v>
      </c>
      <c r="AD931" s="1545" t="s">
        <v>2332</v>
      </c>
      <c r="AE931" s="327">
        <v>1.0598</v>
      </c>
      <c r="AF931" s="1315">
        <f>I931*AE931</f>
        <v>2204.384</v>
      </c>
      <c r="AG931" s="1295"/>
      <c r="AH931" s="505" t="s">
        <v>174</v>
      </c>
      <c r="AI931" s="488" t="s">
        <v>112</v>
      </c>
      <c r="AJ931" s="488"/>
      <c r="AK931" s="327">
        <f t="shared" si="320"/>
        <v>2080</v>
      </c>
      <c r="AL931" s="327"/>
      <c r="AM931" s="327"/>
      <c r="AN931" s="1729">
        <f>I931</f>
        <v>2080</v>
      </c>
      <c r="AO931" s="327"/>
      <c r="AP931" s="327"/>
      <c r="AQ931" s="1316"/>
      <c r="AR931" s="327"/>
      <c r="AS931" s="1317"/>
      <c r="AT931" s="1317"/>
      <c r="AU931" s="327">
        <f>I931</f>
        <v>2080</v>
      </c>
      <c r="AV931" s="1678">
        <f t="shared" si="322"/>
        <v>124.8</v>
      </c>
      <c r="AW931" s="1318"/>
      <c r="AX931" s="327"/>
      <c r="AY931" s="327"/>
      <c r="AZ931" s="327"/>
      <c r="BA931" s="327"/>
      <c r="BB931" s="327"/>
      <c r="BC931" s="327"/>
      <c r="BD931" s="327"/>
      <c r="BE931" s="327"/>
      <c r="BF931" s="327"/>
      <c r="BG931" s="327"/>
      <c r="BH931" s="327"/>
      <c r="BI931" s="327"/>
      <c r="BJ931" s="327"/>
      <c r="BK931" s="1420">
        <f>I931/13</f>
        <v>160</v>
      </c>
      <c r="BL931" s="327"/>
      <c r="BM931" s="327"/>
      <c r="BN931" s="327"/>
      <c r="BO931" s="1316"/>
      <c r="BP931" s="1316"/>
      <c r="BQ931" s="327"/>
      <c r="BR931" s="1317"/>
      <c r="BS931" s="1317"/>
      <c r="BT931" s="327"/>
      <c r="BU931" s="327"/>
      <c r="BV931" s="1316"/>
      <c r="BW931" s="327"/>
      <c r="BX931" s="327"/>
      <c r="BY931" s="327"/>
      <c r="BZ931" s="327"/>
      <c r="CA931" s="327"/>
      <c r="CB931" s="327"/>
      <c r="CC931" s="327"/>
      <c r="CD931" s="327">
        <f t="shared" si="317"/>
        <v>0</v>
      </c>
      <c r="CE931" s="327">
        <f t="shared" si="321"/>
        <v>0</v>
      </c>
      <c r="CF931" s="327">
        <f t="shared" si="318"/>
        <v>0</v>
      </c>
      <c r="CG931" s="327">
        <f t="shared" si="319"/>
        <v>0</v>
      </c>
      <c r="CH931" s="1317"/>
      <c r="CI931" s="1317"/>
      <c r="CJ931" s="1317"/>
      <c r="CK931" s="327"/>
      <c r="CL931" s="327"/>
      <c r="CM931" s="1180"/>
      <c r="CN931" s="1180"/>
      <c r="CO931" s="1180"/>
      <c r="CP931" s="1180"/>
      <c r="CQ931" s="1180"/>
      <c r="CR931" s="1180"/>
      <c r="CS931" s="1180"/>
      <c r="CT931" s="1180"/>
      <c r="CU931" s="1180"/>
      <c r="CV931" s="1180"/>
      <c r="CW931" s="1180"/>
      <c r="CX931" s="1180"/>
      <c r="CY931" s="1180"/>
      <c r="CZ931" s="1180"/>
      <c r="DA931" s="1180"/>
      <c r="DB931" s="1180"/>
      <c r="DC931" s="1180"/>
      <c r="DD931" s="1180"/>
      <c r="DE931" s="1180"/>
      <c r="DF931" s="1180"/>
      <c r="DG931" s="1180"/>
    </row>
    <row r="932" s="1180" customFormat="1" customHeight="1" spans="1:111">
      <c r="A932" s="1309">
        <v>46239</v>
      </c>
      <c r="B932" s="1552" t="s">
        <v>3647</v>
      </c>
      <c r="C932" s="1553" t="s">
        <v>101</v>
      </c>
      <c r="D932" s="1554" t="s">
        <v>3648</v>
      </c>
      <c r="E932" s="1553"/>
      <c r="F932" s="1555" t="s">
        <v>3649</v>
      </c>
      <c r="G932" s="1556" t="s">
        <v>3232</v>
      </c>
      <c r="H932" s="1553" t="s">
        <v>194</v>
      </c>
      <c r="I932" s="1557">
        <v>1430</v>
      </c>
      <c r="J932" s="1553">
        <v>0</v>
      </c>
      <c r="K932" s="1553">
        <v>13</v>
      </c>
      <c r="L932" s="1544">
        <f t="shared" si="313"/>
        <v>110</v>
      </c>
      <c r="M932" s="1545">
        <v>46286</v>
      </c>
      <c r="N932" s="1545">
        <v>46282</v>
      </c>
      <c r="O932" s="1545"/>
      <c r="P932" s="1313"/>
      <c r="Q932" s="1313"/>
      <c r="R932" s="488"/>
      <c r="S932" s="488"/>
      <c r="T932" s="1313"/>
      <c r="U932" s="500"/>
      <c r="V932" s="488"/>
      <c r="W932" s="1300">
        <v>46240</v>
      </c>
      <c r="X932" s="1301" t="s">
        <v>107</v>
      </c>
      <c r="Y932" s="1294" t="s">
        <v>3650</v>
      </c>
      <c r="Z932" s="544" t="s">
        <v>360</v>
      </c>
      <c r="AA932" s="544"/>
      <c r="AB932" s="544"/>
      <c r="AC932" s="1552" t="s">
        <v>3651</v>
      </c>
      <c r="AD932" s="1545" t="s">
        <v>3652</v>
      </c>
      <c r="AE932" s="327">
        <v>1.0632</v>
      </c>
      <c r="AF932" s="1315">
        <f>AE932*I932</f>
        <v>1520.376</v>
      </c>
      <c r="AG932" s="1295"/>
      <c r="AH932" s="488" t="s">
        <v>510</v>
      </c>
      <c r="AI932" s="488" t="s">
        <v>112</v>
      </c>
      <c r="AJ932" s="488"/>
      <c r="AK932" s="327">
        <f t="shared" si="320"/>
        <v>1430</v>
      </c>
      <c r="AL932" s="327"/>
      <c r="AM932" s="327"/>
      <c r="AN932" s="1420">
        <f>I932</f>
        <v>1430</v>
      </c>
      <c r="AO932" s="327"/>
      <c r="AP932" s="327"/>
      <c r="AQ932" s="1316"/>
      <c r="AR932" s="327"/>
      <c r="AS932" s="1317"/>
      <c r="AT932" s="1317"/>
      <c r="AU932" s="327"/>
      <c r="AV932" s="1318">
        <f t="shared" si="322"/>
        <v>85.8</v>
      </c>
      <c r="AW932" s="1318"/>
      <c r="AX932" s="327">
        <f>I932</f>
        <v>1430</v>
      </c>
      <c r="AY932" s="327"/>
      <c r="AZ932" s="327"/>
      <c r="BA932" s="327"/>
      <c r="BB932" s="327"/>
      <c r="BC932" s="327"/>
      <c r="BD932" s="327"/>
      <c r="BE932" s="327"/>
      <c r="BF932" s="327"/>
      <c r="BG932" s="327"/>
      <c r="BH932" s="327"/>
      <c r="BI932" s="327"/>
      <c r="BJ932" s="327"/>
      <c r="BK932" s="327"/>
      <c r="BL932" s="327"/>
      <c r="BM932" s="327"/>
      <c r="BN932" s="327"/>
      <c r="BO932" s="1316"/>
      <c r="BP932" s="1316">
        <f>I932/13</f>
        <v>110</v>
      </c>
      <c r="BQ932" s="327"/>
      <c r="BR932" s="1317"/>
      <c r="BS932" s="1317"/>
      <c r="BT932" s="327"/>
      <c r="BU932" s="327"/>
      <c r="BV932" s="1316"/>
      <c r="BW932" s="327"/>
      <c r="BX932" s="327"/>
      <c r="BY932" s="327"/>
      <c r="BZ932" s="327"/>
      <c r="CA932" s="327"/>
      <c r="CB932" s="327"/>
      <c r="CC932" s="327"/>
      <c r="CD932" s="327">
        <f t="shared" si="317"/>
        <v>0</v>
      </c>
      <c r="CE932" s="327">
        <f t="shared" si="321"/>
        <v>0</v>
      </c>
      <c r="CF932" s="327">
        <f t="shared" si="318"/>
        <v>0</v>
      </c>
      <c r="CG932" s="327">
        <f t="shared" si="319"/>
        <v>0</v>
      </c>
      <c r="CH932" s="1317"/>
      <c r="CI932" s="1317"/>
      <c r="CJ932" s="1317"/>
      <c r="CK932" s="327"/>
      <c r="CL932" s="327"/>
    </row>
    <row r="933" s="1180" customFormat="1" customHeight="1" spans="1:111">
      <c r="A933" s="1309">
        <v>46239</v>
      </c>
      <c r="B933" s="544" t="s">
        <v>3653</v>
      </c>
      <c r="C933" s="488" t="s">
        <v>291</v>
      </c>
      <c r="D933" s="1445" t="s">
        <v>3654</v>
      </c>
      <c r="E933" s="488"/>
      <c r="F933" s="327" t="s">
        <v>3655</v>
      </c>
      <c r="G933" s="1310" t="s">
        <v>188</v>
      </c>
      <c r="H933" s="488" t="s">
        <v>138</v>
      </c>
      <c r="I933" s="1311">
        <v>5500</v>
      </c>
      <c r="J933" s="488">
        <v>0</v>
      </c>
      <c r="K933" s="488">
        <v>50</v>
      </c>
      <c r="L933" s="1544">
        <f t="shared" si="313"/>
        <v>110</v>
      </c>
      <c r="M933" s="1312">
        <v>46286</v>
      </c>
      <c r="N933" s="1312">
        <v>46282</v>
      </c>
      <c r="O933" s="1312" t="s">
        <v>3656</v>
      </c>
      <c r="P933" s="1313"/>
      <c r="Q933" s="1313"/>
      <c r="R933" s="488"/>
      <c r="S933" s="488"/>
      <c r="T933" s="1313"/>
      <c r="U933" s="500"/>
      <c r="V933" s="488"/>
      <c r="W933" s="1300" t="s">
        <v>3064</v>
      </c>
      <c r="X933" s="1301" t="s">
        <v>95</v>
      </c>
      <c r="Y933" s="1301" t="s">
        <v>3657</v>
      </c>
      <c r="Z933" s="544"/>
      <c r="AA933" s="544"/>
      <c r="AB933" s="544"/>
      <c r="AC933" s="544" t="s">
        <v>3658</v>
      </c>
      <c r="AD933" s="1312" t="s">
        <v>3659</v>
      </c>
      <c r="AE933" s="327">
        <v>1.1119</v>
      </c>
      <c r="AF933" s="1315">
        <f>AE933*I933</f>
        <v>6115.45</v>
      </c>
      <c r="AG933" s="1295"/>
      <c r="AH933" s="504" t="s">
        <v>314</v>
      </c>
      <c r="AI933" s="488" t="s">
        <v>112</v>
      </c>
      <c r="AJ933" s="488"/>
      <c r="AK933" s="327">
        <f t="shared" si="320"/>
        <v>5500</v>
      </c>
      <c r="AL933" s="327"/>
      <c r="AM933" s="327"/>
      <c r="AN933" s="327"/>
      <c r="AO933" s="502"/>
      <c r="AP933" s="502">
        <f>I933</f>
        <v>5500</v>
      </c>
      <c r="AQ933" s="1316"/>
      <c r="AR933" s="327"/>
      <c r="AS933" s="1317"/>
      <c r="AT933" s="1317"/>
      <c r="AU933" s="502">
        <f>I933</f>
        <v>5500</v>
      </c>
      <c r="AV933" s="1298">
        <f>I933*0.06*2</f>
        <v>660</v>
      </c>
      <c r="AW933" s="1318"/>
      <c r="AX933" s="327"/>
      <c r="AY933" s="327"/>
      <c r="AZ933" s="327"/>
      <c r="BA933" s="327"/>
      <c r="BB933" s="327"/>
      <c r="BC933" s="327"/>
      <c r="BD933" s="327"/>
      <c r="BE933" s="327"/>
      <c r="BF933" s="327"/>
      <c r="BG933" s="327"/>
      <c r="BH933" s="327"/>
      <c r="BI933" s="327"/>
      <c r="BJ933" s="327"/>
      <c r="BK933" s="327"/>
      <c r="BL933" s="327"/>
      <c r="BM933" s="327"/>
      <c r="BN933" s="327"/>
      <c r="BO933" s="1296">
        <f>I933/25</f>
        <v>220</v>
      </c>
      <c r="BP933" s="1316"/>
      <c r="BQ933" s="327"/>
      <c r="BR933" s="1317"/>
      <c r="BS933" s="1317"/>
      <c r="BT933" s="327"/>
      <c r="BU933" s="327"/>
      <c r="BV933" s="1316"/>
      <c r="BW933" s="327"/>
      <c r="BX933" s="327"/>
      <c r="BY933" s="327"/>
      <c r="BZ933" s="327"/>
      <c r="CA933" s="327"/>
      <c r="CB933" s="327"/>
      <c r="CC933" s="327"/>
      <c r="CD933" s="1218">
        <f t="shared" si="317"/>
        <v>220</v>
      </c>
      <c r="CE933" s="1218">
        <f t="shared" si="321"/>
        <v>0</v>
      </c>
      <c r="CF933" s="502">
        <f t="shared" si="318"/>
        <v>0</v>
      </c>
      <c r="CG933" s="1218">
        <f t="shared" si="319"/>
        <v>0</v>
      </c>
      <c r="CH933" s="1317"/>
      <c r="CI933" s="1317"/>
      <c r="CJ933" s="1317"/>
      <c r="CK933" s="327"/>
      <c r="CL933" s="327"/>
    </row>
    <row r="934" s="1180" customFormat="1" customHeight="1" spans="1:111">
      <c r="A934" s="1309">
        <v>46233</v>
      </c>
      <c r="B934" s="1552" t="s">
        <v>2755</v>
      </c>
      <c r="C934" s="1553" t="s">
        <v>164</v>
      </c>
      <c r="D934" s="1554">
        <v>4500218216</v>
      </c>
      <c r="E934" s="1621">
        <v>5200011017</v>
      </c>
      <c r="F934" s="1555" t="s">
        <v>3660</v>
      </c>
      <c r="G934" s="1556" t="s">
        <v>193</v>
      </c>
      <c r="H934" s="488" t="s">
        <v>194</v>
      </c>
      <c r="I934" s="1557">
        <v>15002</v>
      </c>
      <c r="J934" s="1553">
        <v>0</v>
      </c>
      <c r="K934" s="1553">
        <v>13</v>
      </c>
      <c r="L934" s="1544">
        <f t="shared" si="313"/>
        <v>1154</v>
      </c>
      <c r="M934" s="1545">
        <v>46286</v>
      </c>
      <c r="N934" s="1545">
        <f>M934-4</f>
        <v>46282</v>
      </c>
      <c r="O934" s="1545"/>
      <c r="P934" s="1313"/>
      <c r="Q934" s="1313"/>
      <c r="R934" s="488"/>
      <c r="S934" s="488"/>
      <c r="T934" s="1313"/>
      <c r="U934" s="500">
        <f>T934-I934</f>
        <v>-15002</v>
      </c>
      <c r="V934" s="488"/>
      <c r="W934" s="1300" t="s">
        <v>3661</v>
      </c>
      <c r="X934" s="1301" t="s">
        <v>95</v>
      </c>
      <c r="Y934" s="1301" t="s">
        <v>3662</v>
      </c>
      <c r="Z934" s="544"/>
      <c r="AA934" s="544" t="s">
        <v>3663</v>
      </c>
      <c r="AB934" s="544"/>
      <c r="AC934" s="1552" t="s">
        <v>3664</v>
      </c>
      <c r="AD934" s="1545" t="s">
        <v>2761</v>
      </c>
      <c r="AE934" s="327">
        <v>1.0662</v>
      </c>
      <c r="AF934" s="1315">
        <f>I934*AE934</f>
        <v>15995.1324</v>
      </c>
      <c r="AG934" s="1295"/>
      <c r="AH934" s="488" t="s">
        <v>199</v>
      </c>
      <c r="AI934" s="488" t="s">
        <v>112</v>
      </c>
      <c r="AJ934" s="488"/>
      <c r="AK934" s="327">
        <f t="shared" si="320"/>
        <v>15002</v>
      </c>
      <c r="AL934" s="327"/>
      <c r="AM934" s="327"/>
      <c r="AN934" s="327"/>
      <c r="AO934" s="327"/>
      <c r="AP934" s="327">
        <f>I934</f>
        <v>15002</v>
      </c>
      <c r="AQ934" s="1316"/>
      <c r="AR934" s="327"/>
      <c r="AS934" s="1317"/>
      <c r="AT934" s="1317"/>
      <c r="AU934" s="327">
        <f>I934</f>
        <v>15002</v>
      </c>
      <c r="AV934" s="1318">
        <f>I934*0.06</f>
        <v>900.12</v>
      </c>
      <c r="AW934" s="1318"/>
      <c r="AX934" s="327"/>
      <c r="AY934" s="327"/>
      <c r="AZ934" s="327"/>
      <c r="BA934" s="327"/>
      <c r="BB934" s="327"/>
      <c r="BC934" s="327"/>
      <c r="BD934" s="327"/>
      <c r="BE934" s="327"/>
      <c r="BF934" s="327"/>
      <c r="BG934" s="327"/>
      <c r="BH934" s="327"/>
      <c r="BI934" s="327"/>
      <c r="BJ934" s="327"/>
      <c r="BK934" s="327"/>
      <c r="BL934" s="327">
        <f>I934/13</f>
        <v>1154</v>
      </c>
      <c r="BM934" s="327"/>
      <c r="BN934" s="327"/>
      <c r="BO934" s="1316"/>
      <c r="BP934" s="1316"/>
      <c r="BQ934" s="327"/>
      <c r="BR934" s="1317"/>
      <c r="BS934" s="1317"/>
      <c r="BT934" s="327"/>
      <c r="BU934" s="327"/>
      <c r="BV934" s="1316"/>
      <c r="BW934" s="327"/>
      <c r="BX934" s="327"/>
      <c r="BY934" s="327"/>
      <c r="BZ934" s="327"/>
      <c r="CA934" s="327"/>
      <c r="CB934" s="327"/>
      <c r="CC934" s="327"/>
      <c r="CD934" s="327">
        <f t="shared" si="317"/>
        <v>0</v>
      </c>
      <c r="CE934" s="327">
        <f t="shared" si="321"/>
        <v>0</v>
      </c>
      <c r="CF934" s="327">
        <f t="shared" si="318"/>
        <v>0</v>
      </c>
      <c r="CG934" s="327">
        <f t="shared" si="319"/>
        <v>0</v>
      </c>
      <c r="CH934" s="1317"/>
      <c r="CI934" s="1317"/>
      <c r="CJ934" s="1317"/>
      <c r="CK934" s="327"/>
      <c r="CL934" s="327"/>
      <c r="CM934" s="1760"/>
      <c r="CN934" s="1760"/>
      <c r="CO934" s="1760"/>
      <c r="CP934" s="1760"/>
      <c r="CQ934" s="1760"/>
      <c r="CR934" s="1760"/>
      <c r="CS934" s="1760"/>
      <c r="CT934" s="1760"/>
      <c r="CU934" s="1760"/>
      <c r="CV934" s="1760"/>
      <c r="CW934" s="1760"/>
      <c r="CX934" s="1760"/>
      <c r="CY934" s="1760"/>
      <c r="CZ934" s="1760"/>
      <c r="DA934" s="1760"/>
      <c r="DB934" s="1760"/>
      <c r="DC934" s="1760"/>
      <c r="DD934" s="1760"/>
      <c r="DE934" s="1760"/>
      <c r="DF934" s="1760"/>
      <c r="DG934" s="1760"/>
    </row>
    <row r="935" s="293" customFormat="1" customHeight="1" spans="1:111">
      <c r="A935" s="1309">
        <v>46226</v>
      </c>
      <c r="B935" s="1421" t="s">
        <v>1821</v>
      </c>
      <c r="C935" s="1422" t="s">
        <v>1822</v>
      </c>
      <c r="D935" s="1423">
        <v>4500217585</v>
      </c>
      <c r="E935" s="1585"/>
      <c r="F935" s="1423" t="s">
        <v>3665</v>
      </c>
      <c r="G935" s="1622" t="s">
        <v>174</v>
      </c>
      <c r="H935" s="488" t="s">
        <v>175</v>
      </c>
      <c r="I935" s="1425">
        <v>2444</v>
      </c>
      <c r="J935" s="1426">
        <v>0</v>
      </c>
      <c r="K935" s="1426">
        <v>52</v>
      </c>
      <c r="L935" s="1291">
        <f t="shared" si="313"/>
        <v>47</v>
      </c>
      <c r="M935" s="501">
        <v>46286</v>
      </c>
      <c r="N935" s="501">
        <v>46282</v>
      </c>
      <c r="O935" s="501"/>
      <c r="P935" s="1313"/>
      <c r="Q935" s="506"/>
      <c r="R935" s="488"/>
      <c r="S935" s="504"/>
      <c r="T935" s="506"/>
      <c r="U935" s="500">
        <f>T935-I935</f>
        <v>-2444</v>
      </c>
      <c r="V935" s="504"/>
      <c r="W935" s="1300" t="s">
        <v>3064</v>
      </c>
      <c r="X935" s="1325" t="s">
        <v>95</v>
      </c>
      <c r="Y935" s="1301" t="s">
        <v>3666</v>
      </c>
      <c r="Z935" s="543"/>
      <c r="AA935" s="543"/>
      <c r="AB935" s="543"/>
      <c r="AC935" s="544" t="s">
        <v>3667</v>
      </c>
      <c r="AD935" s="1427" t="s">
        <v>3668</v>
      </c>
      <c r="AE935" s="548">
        <v>1.0786</v>
      </c>
      <c r="AF935" s="503">
        <f>I935*AE935</f>
        <v>2636.0984</v>
      </c>
      <c r="AG935" s="1295"/>
      <c r="AH935" s="488" t="s">
        <v>1027</v>
      </c>
      <c r="AI935" s="488" t="s">
        <v>112</v>
      </c>
      <c r="AJ935" s="504"/>
      <c r="AK935" s="502">
        <f>I935*2</f>
        <v>4888</v>
      </c>
      <c r="AL935" s="502"/>
      <c r="AM935" s="502"/>
      <c r="AN935" s="502"/>
      <c r="AO935" s="502"/>
      <c r="AP935" s="502">
        <f>I935</f>
        <v>2444</v>
      </c>
      <c r="AQ935" s="1296"/>
      <c r="AR935" s="502"/>
      <c r="AS935" s="1297"/>
      <c r="AT935" s="1297"/>
      <c r="AU935" s="502">
        <f>I935</f>
        <v>2444</v>
      </c>
      <c r="AV935" s="1298">
        <f>I935*0.06</f>
        <v>146.64</v>
      </c>
      <c r="AW935" s="1298"/>
      <c r="AX935" s="1218"/>
      <c r="AY935" s="1218"/>
      <c r="AZ935" s="502"/>
      <c r="BA935" s="502"/>
      <c r="BB935" s="502"/>
      <c r="BC935" s="502"/>
      <c r="BD935" s="502"/>
      <c r="BE935" s="502"/>
      <c r="BF935" s="502"/>
      <c r="BG935" s="502"/>
      <c r="BH935" s="502"/>
      <c r="BI935" s="502"/>
      <c r="BJ935" s="502"/>
      <c r="BK935" s="502"/>
      <c r="BL935" s="502">
        <f>I935/13</f>
        <v>188</v>
      </c>
      <c r="BM935" s="502"/>
      <c r="BN935" s="502"/>
      <c r="BO935" s="1296"/>
      <c r="BP935" s="1296"/>
      <c r="BQ935" s="502"/>
      <c r="BR935" s="1297"/>
      <c r="BS935" s="1297"/>
      <c r="BT935" s="502"/>
      <c r="BU935" s="502"/>
      <c r="BV935" s="1296"/>
      <c r="BW935" s="502"/>
      <c r="BX935" s="502"/>
      <c r="BY935" s="502"/>
      <c r="BZ935" s="1218"/>
      <c r="CA935" s="1218"/>
      <c r="CB935" s="1218"/>
      <c r="CC935" s="1218"/>
      <c r="CD935" s="1218">
        <f t="shared" si="317"/>
        <v>0</v>
      </c>
      <c r="CE935" s="1218">
        <f t="shared" si="321"/>
        <v>0</v>
      </c>
      <c r="CF935" s="502">
        <f t="shared" si="318"/>
        <v>0</v>
      </c>
      <c r="CG935" s="1218">
        <f t="shared" si="319"/>
        <v>0</v>
      </c>
      <c r="CH935" s="1299"/>
      <c r="CI935" s="1299"/>
      <c r="CJ935" s="1297"/>
      <c r="CK935" s="502"/>
      <c r="CL935" s="502"/>
    </row>
    <row r="936" s="293" customFormat="1" customHeight="1" spans="1:111">
      <c r="A936" s="1289">
        <v>46163</v>
      </c>
      <c r="B936" s="543" t="s">
        <v>2896</v>
      </c>
      <c r="C936" s="504" t="s">
        <v>1439</v>
      </c>
      <c r="D936" s="1549">
        <v>4500208451</v>
      </c>
      <c r="E936" s="506">
        <v>5510075779</v>
      </c>
      <c r="F936" s="502" t="s">
        <v>3669</v>
      </c>
      <c r="G936" s="505" t="s">
        <v>726</v>
      </c>
      <c r="H936" s="504" t="s">
        <v>483</v>
      </c>
      <c r="I936" s="1290">
        <v>1920</v>
      </c>
      <c r="J936" s="504">
        <v>0</v>
      </c>
      <c r="K936" s="504">
        <v>120</v>
      </c>
      <c r="L936" s="1291">
        <f t="shared" si="313"/>
        <v>16</v>
      </c>
      <c r="M936" s="501">
        <v>46286</v>
      </c>
      <c r="N936" s="501">
        <v>46282</v>
      </c>
      <c r="O936" s="1550" t="s">
        <v>3670</v>
      </c>
      <c r="P936" s="1313" t="s">
        <v>2899</v>
      </c>
      <c r="Q936" s="506"/>
      <c r="R936" s="504"/>
      <c r="S936" s="504"/>
      <c r="T936" s="506"/>
      <c r="U936" s="500">
        <f>T936-I936</f>
        <v>-1920</v>
      </c>
      <c r="V936" s="504"/>
      <c r="W936" s="1324">
        <v>46177</v>
      </c>
      <c r="X936" s="1325" t="s">
        <v>107</v>
      </c>
      <c r="Y936" s="1301" t="s">
        <v>2900</v>
      </c>
      <c r="Z936" s="544" t="s">
        <v>140</v>
      </c>
      <c r="AA936" s="544"/>
      <c r="AB936" s="543"/>
      <c r="AC936" s="1443" t="s">
        <v>2901</v>
      </c>
      <c r="AD936" s="501" t="s">
        <v>730</v>
      </c>
      <c r="AE936" s="502">
        <v>1118</v>
      </c>
      <c r="AF936" s="503">
        <f>L936*AE936</f>
        <v>17888</v>
      </c>
      <c r="AG936" s="1295"/>
      <c r="AH936" s="504" t="s">
        <v>490</v>
      </c>
      <c r="AI936" s="504" t="s">
        <v>112</v>
      </c>
      <c r="AJ936" s="504"/>
      <c r="AK936" s="502"/>
      <c r="AL936" s="502">
        <f>I936*3</f>
        <v>5760</v>
      </c>
      <c r="AM936" s="1218"/>
      <c r="AN936" s="502"/>
      <c r="AO936" s="502"/>
      <c r="AP936" s="502"/>
      <c r="AQ936" s="1296"/>
      <c r="AR936" s="438"/>
      <c r="AS936" s="1297"/>
      <c r="AT936" s="1297"/>
      <c r="AU936" s="502"/>
      <c r="AV936" s="1298">
        <f>I936*0.06*2</f>
        <v>230.4</v>
      </c>
      <c r="AW936" s="1551"/>
      <c r="AX936" s="502"/>
      <c r="AY936" s="502"/>
      <c r="AZ936" s="502"/>
      <c r="BA936" s="502"/>
      <c r="BB936" s="502">
        <f>I936*3</f>
        <v>5760</v>
      </c>
      <c r="BC936" s="502">
        <f>I936*3</f>
        <v>5760</v>
      </c>
      <c r="BD936" s="502">
        <f>I936*3</f>
        <v>5760</v>
      </c>
      <c r="BE936" s="502">
        <f>I936</f>
        <v>1920</v>
      </c>
      <c r="BF936" s="502">
        <f>I936/6</f>
        <v>320</v>
      </c>
      <c r="BG936" s="502"/>
      <c r="BH936" s="502"/>
      <c r="BI936" s="502"/>
      <c r="BJ936" s="502"/>
      <c r="BK936" s="502"/>
      <c r="BL936" s="502"/>
      <c r="BM936" s="502"/>
      <c r="BN936" s="502"/>
      <c r="BO936" s="1296"/>
      <c r="BP936" s="1296"/>
      <c r="BQ936" s="1218"/>
      <c r="BR936" s="1297"/>
      <c r="BS936" s="1297"/>
      <c r="BT936" s="502"/>
      <c r="BU936" s="502"/>
      <c r="BV936" s="1296"/>
      <c r="BW936" s="1218"/>
      <c r="BX936" s="1218"/>
      <c r="BY936" s="1218"/>
      <c r="BZ936" s="1218"/>
      <c r="CA936" s="1218"/>
      <c r="CB936" s="1218"/>
      <c r="CC936" s="1218"/>
      <c r="CD936" s="1218">
        <f t="shared" si="317"/>
        <v>0</v>
      </c>
      <c r="CE936" s="1218">
        <f t="shared" si="321"/>
        <v>0</v>
      </c>
      <c r="CF936" s="502">
        <f t="shared" si="318"/>
        <v>0</v>
      </c>
      <c r="CG936" s="1218">
        <f t="shared" si="319"/>
        <v>0</v>
      </c>
      <c r="CH936" s="1299"/>
      <c r="CI936" s="1299"/>
      <c r="CJ936" s="1297"/>
      <c r="CK936" s="502"/>
      <c r="CL936" s="502"/>
    </row>
    <row r="937" s="1179" customFormat="1" customHeight="1" spans="1:111">
      <c r="A937" s="1588">
        <v>46216</v>
      </c>
      <c r="B937" s="1708" t="s">
        <v>3671</v>
      </c>
      <c r="C937" s="1054" t="s">
        <v>135</v>
      </c>
      <c r="D937" s="1761">
        <v>4500216128</v>
      </c>
      <c r="E937" s="1054" t="s">
        <v>3672</v>
      </c>
      <c r="F937" s="1762" t="s">
        <v>3673</v>
      </c>
      <c r="G937" s="1763" t="s">
        <v>3674</v>
      </c>
      <c r="H937" s="1054" t="s">
        <v>3675</v>
      </c>
      <c r="I937" s="1714">
        <v>4050</v>
      </c>
      <c r="J937" s="1054">
        <v>0</v>
      </c>
      <c r="K937" s="1054">
        <v>50</v>
      </c>
      <c r="L937" s="1597">
        <f t="shared" si="313"/>
        <v>81</v>
      </c>
      <c r="M937" s="1764">
        <v>46286</v>
      </c>
      <c r="N937" s="1764">
        <v>46282</v>
      </c>
      <c r="O937" s="1708"/>
      <c r="P937" s="1314"/>
      <c r="Q937" s="1314"/>
      <c r="R937" s="1765"/>
      <c r="S937" s="1054"/>
      <c r="T937" s="1054"/>
      <c r="U937" s="500">
        <f>T937-I937</f>
        <v>-4050</v>
      </c>
      <c r="V937" s="1314"/>
      <c r="W937" s="1300" t="s">
        <v>3064</v>
      </c>
      <c r="X937" s="1294" t="s">
        <v>95</v>
      </c>
      <c r="Y937" s="1294" t="s">
        <v>3676</v>
      </c>
      <c r="Z937" s="1294" t="s">
        <v>140</v>
      </c>
      <c r="AA937" s="1294"/>
      <c r="AB937" s="1294"/>
      <c r="AC937" s="1766" t="s">
        <v>3677</v>
      </c>
      <c r="AD937" s="1767" t="s">
        <v>3179</v>
      </c>
      <c r="AE937" s="1767">
        <v>1.1174</v>
      </c>
      <c r="AF937" s="1187">
        <f>AE937*I937</f>
        <v>4525.47</v>
      </c>
      <c r="AG937" s="1691"/>
      <c r="AH937" s="488" t="s">
        <v>1515</v>
      </c>
      <c r="AI937" s="488" t="s">
        <v>112</v>
      </c>
      <c r="AJ937" s="1054"/>
      <c r="AK937" s="502">
        <f>I937</f>
        <v>4050</v>
      </c>
      <c r="AL937" s="1187"/>
      <c r="AM937" s="1187"/>
      <c r="AN937" s="1709">
        <f>I937</f>
        <v>4050</v>
      </c>
      <c r="AO937" s="1601"/>
      <c r="AP937" s="1601"/>
      <c r="AQ937" s="1187"/>
      <c r="AR937" s="1187"/>
      <c r="AS937" s="1187"/>
      <c r="AT937" s="1187"/>
      <c r="AU937" s="1187"/>
      <c r="AV937" s="327"/>
      <c r="AW937" s="1298">
        <f>I937</f>
        <v>4050</v>
      </c>
      <c r="AX937" s="1601"/>
      <c r="AY937" s="1601"/>
      <c r="AZ937" s="1187"/>
      <c r="BA937" s="1187"/>
      <c r="BB937" s="1187"/>
      <c r="BC937" s="1187"/>
      <c r="BD937" s="1187"/>
      <c r="BE937" s="1187"/>
      <c r="BF937" s="1187"/>
      <c r="BG937" s="327"/>
      <c r="BH937" s="327"/>
      <c r="BI937" s="1187"/>
      <c r="BJ937" s="1187"/>
      <c r="BK937" s="1187"/>
      <c r="BL937" s="1187"/>
      <c r="BM937" s="1187"/>
      <c r="BN937" s="1729">
        <f>I937/25</f>
        <v>162</v>
      </c>
      <c r="BO937" s="1316"/>
      <c r="BP937" s="1187"/>
      <c r="BQ937" s="1187"/>
      <c r="BR937" s="1187"/>
      <c r="BS937" s="1187"/>
      <c r="BT937" s="1187"/>
      <c r="BU937" s="1187"/>
      <c r="BV937" s="1187"/>
      <c r="BW937" s="1187"/>
      <c r="BX937" s="1187"/>
      <c r="BY937" s="1187"/>
      <c r="BZ937" s="1187"/>
      <c r="CA937" s="1187"/>
      <c r="CB937" s="1187"/>
      <c r="CC937" s="1187"/>
      <c r="CD937" s="1768">
        <f t="shared" si="317"/>
        <v>162</v>
      </c>
      <c r="CE937" s="1218">
        <f t="shared" si="321"/>
        <v>0</v>
      </c>
      <c r="CF937" s="502">
        <f t="shared" si="318"/>
        <v>0</v>
      </c>
      <c r="CG937" s="1218">
        <f t="shared" si="319"/>
        <v>0</v>
      </c>
      <c r="CH937" s="327"/>
      <c r="CI937" s="327"/>
      <c r="CJ937" s="1187"/>
      <c r="CK937" s="1187"/>
      <c r="CL937" s="1187"/>
      <c r="CM937" s="1177"/>
      <c r="CN937" s="1177"/>
      <c r="CO937" s="1177"/>
      <c r="CP937" s="1177"/>
      <c r="CQ937" s="1177"/>
      <c r="CR937" s="1177"/>
      <c r="CS937" s="1177"/>
      <c r="CT937" s="1177"/>
      <c r="CU937" s="1177"/>
      <c r="CV937" s="1177"/>
      <c r="CW937" s="1177"/>
      <c r="CX937" s="1177"/>
      <c r="CY937" s="1177"/>
      <c r="CZ937" s="1177"/>
      <c r="DA937" s="1177"/>
      <c r="DB937" s="1177"/>
      <c r="DC937" s="1177"/>
      <c r="DD937" s="1177"/>
      <c r="DE937" s="1177"/>
      <c r="DF937" s="1177"/>
      <c r="DG937" s="1177"/>
    </row>
    <row r="938" s="293" customFormat="1" customHeight="1" spans="1:111">
      <c r="A938" s="1289">
        <v>46211</v>
      </c>
      <c r="B938" s="543" t="s">
        <v>3481</v>
      </c>
      <c r="C938" s="504" t="s">
        <v>115</v>
      </c>
      <c r="D938" s="1305">
        <v>4500215323</v>
      </c>
      <c r="E938" s="506">
        <v>224648</v>
      </c>
      <c r="F938" s="502" t="s">
        <v>3678</v>
      </c>
      <c r="G938" s="505" t="s">
        <v>188</v>
      </c>
      <c r="H938" s="504" t="s">
        <v>138</v>
      </c>
      <c r="I938" s="1290">
        <v>200</v>
      </c>
      <c r="J938" s="504">
        <v>0</v>
      </c>
      <c r="K938" s="504">
        <v>50</v>
      </c>
      <c r="L938" s="1291">
        <f t="shared" si="313"/>
        <v>4</v>
      </c>
      <c r="M938" s="501">
        <v>46289</v>
      </c>
      <c r="N938" s="501">
        <v>46286</v>
      </c>
      <c r="O938" s="501"/>
      <c r="P938" s="506"/>
      <c r="Q938" s="506"/>
      <c r="R938" s="504"/>
      <c r="S938" s="504"/>
      <c r="T938" s="506"/>
      <c r="U938" s="500">
        <f t="shared" ref="U935:U943" si="324">T938-I938</f>
        <v>-200</v>
      </c>
      <c r="V938" s="504"/>
      <c r="W938" s="1300" t="s">
        <v>3064</v>
      </c>
      <c r="X938" s="1301" t="s">
        <v>95</v>
      </c>
      <c r="Y938" s="1301" t="s">
        <v>3483</v>
      </c>
      <c r="Z938" s="544"/>
      <c r="AA938" s="544"/>
      <c r="AB938" s="543"/>
      <c r="AC938" s="544" t="s">
        <v>3484</v>
      </c>
      <c r="AD938" s="501" t="s">
        <v>3485</v>
      </c>
      <c r="AE938" s="502">
        <v>0.6737</v>
      </c>
      <c r="AF938" s="503">
        <f>AE938*I938</f>
        <v>134.74</v>
      </c>
      <c r="AG938" s="1295"/>
      <c r="AH938" s="504" t="s">
        <v>188</v>
      </c>
      <c r="AI938" s="488" t="s">
        <v>112</v>
      </c>
      <c r="AJ938" s="504"/>
      <c r="AK938" s="502">
        <f>I938</f>
        <v>200</v>
      </c>
      <c r="AL938" s="502"/>
      <c r="AM938" s="1218"/>
      <c r="AN938" s="1420">
        <f>I938</f>
        <v>200</v>
      </c>
      <c r="AO938" s="327"/>
      <c r="AP938" s="327"/>
      <c r="AQ938" s="1316"/>
      <c r="AR938" s="327"/>
      <c r="AS938" s="1317"/>
      <c r="AT938" s="1317"/>
      <c r="AU938" s="327">
        <f>I938</f>
        <v>200</v>
      </c>
      <c r="AV938" s="1298"/>
      <c r="AW938" s="1298"/>
      <c r="AX938" s="502"/>
      <c r="AY938" s="502"/>
      <c r="AZ938" s="502"/>
      <c r="BA938" s="502"/>
      <c r="BB938" s="502"/>
      <c r="BC938" s="502"/>
      <c r="BD938" s="502"/>
      <c r="BE938" s="502"/>
      <c r="BF938" s="502"/>
      <c r="BG938" s="502"/>
      <c r="BH938" s="502"/>
      <c r="BI938" s="502"/>
      <c r="BJ938" s="502"/>
      <c r="BK938" s="502"/>
      <c r="BL938" s="502"/>
      <c r="BM938" s="502"/>
      <c r="BN938" s="1420">
        <f>I938/25</f>
        <v>8</v>
      </c>
      <c r="BO938" s="1296"/>
      <c r="BP938" s="1296"/>
      <c r="BQ938" s="1218"/>
      <c r="BR938" s="1297"/>
      <c r="BS938" s="1297"/>
      <c r="BT938" s="502"/>
      <c r="BU938" s="502"/>
      <c r="BV938" s="1296"/>
      <c r="BW938" s="1218"/>
      <c r="BX938" s="1218"/>
      <c r="BY938" s="1218"/>
      <c r="BZ938" s="1218"/>
      <c r="CA938" s="1218"/>
      <c r="CB938" s="1218"/>
      <c r="CC938" s="1218"/>
      <c r="CD938" s="1218">
        <f t="shared" si="317"/>
        <v>8</v>
      </c>
      <c r="CE938" s="1218">
        <f t="shared" si="321"/>
        <v>0</v>
      </c>
      <c r="CF938" s="502">
        <f t="shared" si="318"/>
        <v>0</v>
      </c>
      <c r="CG938" s="1218">
        <f t="shared" si="319"/>
        <v>0</v>
      </c>
      <c r="CH938" s="1299"/>
      <c r="CI938" s="1299"/>
      <c r="CJ938" s="1297"/>
      <c r="CK938" s="502"/>
      <c r="CL938" s="502"/>
    </row>
    <row r="939" s="1177" customFormat="1" customHeight="1" spans="1:111">
      <c r="A939" s="1289">
        <v>46211</v>
      </c>
      <c r="B939" s="543" t="s">
        <v>3481</v>
      </c>
      <c r="C939" s="504" t="s">
        <v>115</v>
      </c>
      <c r="D939" s="1305">
        <v>4500215323</v>
      </c>
      <c r="E939" s="506">
        <v>224649</v>
      </c>
      <c r="F939" s="502" t="s">
        <v>3679</v>
      </c>
      <c r="G939" s="505" t="s">
        <v>188</v>
      </c>
      <c r="H939" s="504" t="s">
        <v>138</v>
      </c>
      <c r="I939" s="1290">
        <v>200</v>
      </c>
      <c r="J939" s="504">
        <v>0</v>
      </c>
      <c r="K939" s="504">
        <v>50</v>
      </c>
      <c r="L939" s="1291">
        <f t="shared" si="313"/>
        <v>4</v>
      </c>
      <c r="M939" s="501">
        <v>46289</v>
      </c>
      <c r="N939" s="501">
        <v>46286</v>
      </c>
      <c r="O939" s="501"/>
      <c r="P939" s="506"/>
      <c r="Q939" s="506"/>
      <c r="R939" s="504"/>
      <c r="S939" s="504"/>
      <c r="T939" s="506"/>
      <c r="U939" s="500">
        <f t="shared" si="324"/>
        <v>-200</v>
      </c>
      <c r="V939" s="504"/>
      <c r="W939" s="1300" t="s">
        <v>3064</v>
      </c>
      <c r="X939" s="1294" t="s">
        <v>95</v>
      </c>
      <c r="Y939" s="1301" t="s">
        <v>3483</v>
      </c>
      <c r="Z939" s="544"/>
      <c r="AA939" s="544"/>
      <c r="AB939" s="543"/>
      <c r="AC939" s="544" t="s">
        <v>3484</v>
      </c>
      <c r="AD939" s="501" t="s">
        <v>3485</v>
      </c>
      <c r="AE939" s="502">
        <v>0.6737</v>
      </c>
      <c r="AF939" s="503">
        <f>AE939*I939</f>
        <v>134.74</v>
      </c>
      <c r="AG939" s="1295"/>
      <c r="AH939" s="504" t="s">
        <v>188</v>
      </c>
      <c r="AI939" s="488" t="s">
        <v>112</v>
      </c>
      <c r="AJ939" s="504"/>
      <c r="AK939" s="502">
        <f>I939</f>
        <v>200</v>
      </c>
      <c r="AL939" s="502"/>
      <c r="AM939" s="1218"/>
      <c r="AN939" s="1420">
        <f>I939</f>
        <v>200</v>
      </c>
      <c r="AO939" s="327"/>
      <c r="AP939" s="327"/>
      <c r="AQ939" s="1316"/>
      <c r="AR939" s="327"/>
      <c r="AS939" s="1317"/>
      <c r="AT939" s="1317"/>
      <c r="AU939" s="327">
        <f>I939</f>
        <v>200</v>
      </c>
      <c r="AV939" s="1298"/>
      <c r="AW939" s="1298"/>
      <c r="AX939" s="502"/>
      <c r="AY939" s="502"/>
      <c r="AZ939" s="502"/>
      <c r="BA939" s="502"/>
      <c r="BB939" s="502"/>
      <c r="BC939" s="502"/>
      <c r="BD939" s="502"/>
      <c r="BE939" s="502"/>
      <c r="BF939" s="502"/>
      <c r="BG939" s="502"/>
      <c r="BH939" s="502"/>
      <c r="BI939" s="502"/>
      <c r="BJ939" s="502"/>
      <c r="BK939" s="502"/>
      <c r="BL939" s="502"/>
      <c r="BM939" s="502"/>
      <c r="BN939" s="1420">
        <f>I939/25</f>
        <v>8</v>
      </c>
      <c r="BO939" s="1296"/>
      <c r="BP939" s="1296"/>
      <c r="BQ939" s="1218"/>
      <c r="BR939" s="1297"/>
      <c r="BS939" s="1297"/>
      <c r="BT939" s="502"/>
      <c r="BU939" s="502"/>
      <c r="BV939" s="1296"/>
      <c r="BW939" s="1218"/>
      <c r="BX939" s="1218"/>
      <c r="BY939" s="1218"/>
      <c r="BZ939" s="1218"/>
      <c r="CA939" s="1218"/>
      <c r="CB939" s="1218"/>
      <c r="CC939" s="1218"/>
      <c r="CD939" s="1218">
        <f t="shared" si="317"/>
        <v>8</v>
      </c>
      <c r="CE939" s="1218">
        <f t="shared" si="321"/>
        <v>0</v>
      </c>
      <c r="CF939" s="502">
        <f t="shared" si="318"/>
        <v>0</v>
      </c>
      <c r="CG939" s="1218">
        <f t="shared" si="319"/>
        <v>0</v>
      </c>
      <c r="CH939" s="1299"/>
      <c r="CI939" s="1299"/>
      <c r="CJ939" s="1297"/>
      <c r="CK939" s="502"/>
      <c r="CL939" s="502"/>
      <c r="CM939" s="293"/>
      <c r="CN939" s="293"/>
      <c r="CO939" s="293"/>
      <c r="CP939" s="293"/>
      <c r="CQ939" s="293"/>
      <c r="CR939" s="293"/>
      <c r="CS939" s="293"/>
      <c r="CT939" s="293"/>
      <c r="CU939" s="293"/>
      <c r="CV939" s="293"/>
      <c r="CW939" s="293"/>
      <c r="CX939" s="293"/>
      <c r="CY939" s="293"/>
      <c r="CZ939" s="293"/>
      <c r="DA939" s="293"/>
      <c r="DB939" s="293"/>
      <c r="DC939" s="293"/>
      <c r="DD939" s="293"/>
      <c r="DE939" s="293"/>
      <c r="DF939" s="293"/>
      <c r="DG939" s="293"/>
    </row>
    <row r="940" s="1177" customFormat="1" customHeight="1" spans="1:111">
      <c r="A940" s="1309">
        <v>46220</v>
      </c>
      <c r="B940" s="1552" t="s">
        <v>3456</v>
      </c>
      <c r="C940" s="1553" t="s">
        <v>201</v>
      </c>
      <c r="D940" s="1555">
        <v>4500216947</v>
      </c>
      <c r="E940" s="1553" t="s">
        <v>3680</v>
      </c>
      <c r="F940" s="1555" t="s">
        <v>3681</v>
      </c>
      <c r="G940" s="1556" t="s">
        <v>289</v>
      </c>
      <c r="H940" s="488" t="s">
        <v>194</v>
      </c>
      <c r="I940" s="1557">
        <v>2275</v>
      </c>
      <c r="J940" s="1553">
        <v>0</v>
      </c>
      <c r="K940" s="1553">
        <v>13</v>
      </c>
      <c r="L940" s="1544">
        <f t="shared" si="313"/>
        <v>175</v>
      </c>
      <c r="M940" s="1545">
        <v>46289</v>
      </c>
      <c r="N940" s="1545">
        <v>46286</v>
      </c>
      <c r="O940" s="1545"/>
      <c r="P940" s="1313"/>
      <c r="Q940" s="1313"/>
      <c r="R940" s="488"/>
      <c r="S940" s="488"/>
      <c r="T940" s="1313"/>
      <c r="U940" s="500">
        <f t="shared" si="324"/>
        <v>-2275</v>
      </c>
      <c r="V940" s="488"/>
      <c r="W940" s="1300">
        <v>46251</v>
      </c>
      <c r="X940" s="1294" t="s">
        <v>95</v>
      </c>
      <c r="Y940" s="1301" t="s">
        <v>3682</v>
      </c>
      <c r="Z940" s="544"/>
      <c r="AA940" s="544"/>
      <c r="AB940" s="544"/>
      <c r="AC940" s="1552" t="s">
        <v>3460</v>
      </c>
      <c r="AD940" s="1545" t="s">
        <v>3461</v>
      </c>
      <c r="AE940" s="327">
        <v>1.0809</v>
      </c>
      <c r="AF940" s="1315">
        <f>I940*AE940</f>
        <v>2459.0475</v>
      </c>
      <c r="AG940" s="1295"/>
      <c r="AH940" s="488" t="s">
        <v>199</v>
      </c>
      <c r="AI940" s="488" t="s">
        <v>112</v>
      </c>
      <c r="AJ940" s="488"/>
      <c r="AK940" s="327">
        <f>I940</f>
        <v>2275</v>
      </c>
      <c r="AL940" s="327"/>
      <c r="AM940" s="327"/>
      <c r="AN940" s="327"/>
      <c r="AO940" s="502"/>
      <c r="AP940" s="502">
        <f>I940</f>
        <v>2275</v>
      </c>
      <c r="AQ940" s="1296"/>
      <c r="AR940" s="438"/>
      <c r="AS940" s="1297"/>
      <c r="AT940" s="1297"/>
      <c r="AU940" s="502">
        <f>I940</f>
        <v>2275</v>
      </c>
      <c r="AV940" s="1318"/>
      <c r="AW940" s="1318"/>
      <c r="AX940" s="327"/>
      <c r="AY940" s="327"/>
      <c r="AZ940" s="327"/>
      <c r="BA940" s="327"/>
      <c r="BB940" s="327"/>
      <c r="BC940" s="327"/>
      <c r="BD940" s="327"/>
      <c r="BE940" s="327"/>
      <c r="BF940" s="327"/>
      <c r="BG940" s="327"/>
      <c r="BH940" s="327"/>
      <c r="BI940" s="327"/>
      <c r="BJ940" s="327"/>
      <c r="BK940" s="327"/>
      <c r="BL940" s="327">
        <f>I940/13</f>
        <v>175</v>
      </c>
      <c r="BM940" s="327"/>
      <c r="BN940" s="327"/>
      <c r="BO940" s="1316"/>
      <c r="BP940" s="1316"/>
      <c r="BQ940" s="327"/>
      <c r="BR940" s="1317"/>
      <c r="BS940" s="1317"/>
      <c r="BT940" s="327"/>
      <c r="BU940" s="327"/>
      <c r="BV940" s="1316"/>
      <c r="BW940" s="327"/>
      <c r="BX940" s="327"/>
      <c r="BY940" s="327"/>
      <c r="BZ940" s="327"/>
      <c r="CA940" s="327"/>
      <c r="CB940" s="327"/>
      <c r="CC940" s="327"/>
      <c r="CD940" s="1218">
        <f t="shared" si="317"/>
        <v>0</v>
      </c>
      <c r="CE940" s="1218">
        <f t="shared" si="321"/>
        <v>0</v>
      </c>
      <c r="CF940" s="502">
        <f t="shared" si="318"/>
        <v>0</v>
      </c>
      <c r="CG940" s="1218">
        <f t="shared" si="319"/>
        <v>0</v>
      </c>
      <c r="CH940" s="1317"/>
      <c r="CI940" s="1317"/>
      <c r="CJ940" s="1317"/>
      <c r="CK940" s="327"/>
      <c r="CL940" s="327"/>
    </row>
    <row r="941" s="1177" customFormat="1" customHeight="1" spans="1:111">
      <c r="A941" s="1289">
        <v>46219</v>
      </c>
      <c r="B941" s="1417" t="s">
        <v>3527</v>
      </c>
      <c r="C941" s="1434" t="s">
        <v>2458</v>
      </c>
      <c r="D941" s="1437">
        <v>4500206065</v>
      </c>
      <c r="E941" s="1434">
        <v>5000002205</v>
      </c>
      <c r="F941" s="1437" t="s">
        <v>3683</v>
      </c>
      <c r="G941" s="1438" t="s">
        <v>2460</v>
      </c>
      <c r="H941" s="504" t="s">
        <v>2461</v>
      </c>
      <c r="I941" s="1439">
        <v>3900</v>
      </c>
      <c r="J941" s="1434">
        <v>0</v>
      </c>
      <c r="K941" s="1434">
        <v>13</v>
      </c>
      <c r="L941" s="1291">
        <f t="shared" si="313"/>
        <v>300</v>
      </c>
      <c r="M941" s="507">
        <v>46289</v>
      </c>
      <c r="N941" s="507">
        <v>46286</v>
      </c>
      <c r="O941" s="434" t="s">
        <v>2463</v>
      </c>
      <c r="P941" s="506"/>
      <c r="Q941" s="506"/>
      <c r="R941" s="504"/>
      <c r="S941" s="504"/>
      <c r="T941" s="506"/>
      <c r="U941" s="500">
        <f t="shared" si="324"/>
        <v>-3900</v>
      </c>
      <c r="V941" s="504"/>
      <c r="W941" s="1300" t="s">
        <v>3494</v>
      </c>
      <c r="X941" s="1294" t="s">
        <v>95</v>
      </c>
      <c r="Y941" s="1301" t="s">
        <v>2465</v>
      </c>
      <c r="Z941" s="544"/>
      <c r="AA941" s="544"/>
      <c r="AB941" s="543"/>
      <c r="AC941" s="1552" t="s">
        <v>3684</v>
      </c>
      <c r="AD941" s="507" t="s">
        <v>3531</v>
      </c>
      <c r="AE941" s="502">
        <v>0.9996</v>
      </c>
      <c r="AF941" s="503">
        <f>I941*AE941</f>
        <v>3898.44</v>
      </c>
      <c r="AG941" s="1295"/>
      <c r="AH941" s="488" t="s">
        <v>2468</v>
      </c>
      <c r="AI941" s="1553" t="s">
        <v>112</v>
      </c>
      <c r="AJ941" s="504"/>
      <c r="AK941" s="327">
        <f>I941</f>
        <v>3900</v>
      </c>
      <c r="AL941" s="502"/>
      <c r="AM941" s="1218"/>
      <c r="AN941" s="1702">
        <f>I941</f>
        <v>3900</v>
      </c>
      <c r="AO941" s="1437"/>
      <c r="AP941" s="502"/>
      <c r="AQ941" s="1615"/>
      <c r="AR941" s="456"/>
      <c r="AS941" s="1616"/>
      <c r="AT941" s="1616"/>
      <c r="AU941" s="502"/>
      <c r="AV941" s="1298"/>
      <c r="AW941" s="1298"/>
      <c r="AX941" s="502"/>
      <c r="AY941" s="502"/>
      <c r="AZ941" s="502">
        <f>I941</f>
        <v>3900</v>
      </c>
      <c r="BA941" s="502"/>
      <c r="BB941" s="502"/>
      <c r="BC941" s="502"/>
      <c r="BD941" s="502"/>
      <c r="BE941" s="502"/>
      <c r="BF941" s="502"/>
      <c r="BG941" s="502"/>
      <c r="BH941" s="502"/>
      <c r="BI941" s="502"/>
      <c r="BJ941" s="502"/>
      <c r="BK941" s="1418">
        <f t="shared" ref="BK941:BK946" si="325">I941/13</f>
        <v>300</v>
      </c>
      <c r="BL941" s="502"/>
      <c r="BM941" s="502"/>
      <c r="BN941" s="502"/>
      <c r="BO941" s="1296"/>
      <c r="BP941" s="1296"/>
      <c r="BQ941" s="1218"/>
      <c r="BR941" s="1297"/>
      <c r="BS941" s="1297"/>
      <c r="BT941" s="502"/>
      <c r="BU941" s="502"/>
      <c r="BV941" s="1296"/>
      <c r="BW941" s="1218"/>
      <c r="BX941" s="1218"/>
      <c r="BY941" s="1218"/>
      <c r="BZ941" s="1218"/>
      <c r="CA941" s="1218"/>
      <c r="CB941" s="1218"/>
      <c r="CC941" s="1218"/>
      <c r="CD941" s="1218">
        <f t="shared" si="317"/>
        <v>0</v>
      </c>
      <c r="CE941" s="1218">
        <f t="shared" si="321"/>
        <v>0</v>
      </c>
      <c r="CF941" s="502">
        <f t="shared" si="318"/>
        <v>0</v>
      </c>
      <c r="CG941" s="1218">
        <f t="shared" si="319"/>
        <v>0</v>
      </c>
      <c r="CH941" s="1299"/>
      <c r="CI941" s="1299"/>
      <c r="CJ941" s="1297"/>
      <c r="CK941" s="502"/>
      <c r="CL941" s="502"/>
      <c r="CM941" s="294"/>
      <c r="CN941" s="294"/>
      <c r="CO941" s="294"/>
      <c r="CP941" s="294"/>
      <c r="CQ941" s="294"/>
      <c r="CR941" s="294"/>
      <c r="CS941" s="294"/>
      <c r="CT941" s="294"/>
      <c r="CU941" s="294"/>
      <c r="CV941" s="294"/>
      <c r="CW941" s="294"/>
      <c r="CX941" s="294"/>
      <c r="CY941" s="294"/>
      <c r="CZ941" s="294"/>
      <c r="DA941" s="294"/>
      <c r="DB941" s="294"/>
      <c r="DC941" s="294"/>
      <c r="DD941" s="294"/>
      <c r="DE941" s="294"/>
      <c r="DF941" s="294"/>
      <c r="DG941" s="294"/>
    </row>
    <row r="942" s="1185" customFormat="1" customHeight="1" spans="1:111">
      <c r="A942" s="1606">
        <v>46219</v>
      </c>
      <c r="B942" s="1417" t="s">
        <v>1176</v>
      </c>
      <c r="C942" s="1434" t="s">
        <v>115</v>
      </c>
      <c r="D942" s="1437">
        <v>4500216785</v>
      </c>
      <c r="E942" s="1434" t="s">
        <v>3685</v>
      </c>
      <c r="F942" s="1437" t="s">
        <v>3686</v>
      </c>
      <c r="G942" s="1438" t="s">
        <v>174</v>
      </c>
      <c r="H942" s="1553" t="s">
        <v>175</v>
      </c>
      <c r="I942" s="1439">
        <v>26000</v>
      </c>
      <c r="J942" s="1434">
        <v>0</v>
      </c>
      <c r="K942" s="1434">
        <v>52</v>
      </c>
      <c r="L942" s="1607">
        <f t="shared" si="313"/>
        <v>500</v>
      </c>
      <c r="M942" s="507">
        <v>46289</v>
      </c>
      <c r="N942" s="507">
        <v>46286</v>
      </c>
      <c r="O942" s="501"/>
      <c r="P942" s="1436"/>
      <c r="Q942" s="1436"/>
      <c r="R942" s="1434"/>
      <c r="S942" s="1434"/>
      <c r="T942" s="1436"/>
      <c r="U942" s="500">
        <f t="shared" si="324"/>
        <v>-26000</v>
      </c>
      <c r="V942" s="1434"/>
      <c r="W942" s="1300" t="s">
        <v>3064</v>
      </c>
      <c r="X942" s="1294" t="s">
        <v>107</v>
      </c>
      <c r="Y942" s="1301" t="s">
        <v>3687</v>
      </c>
      <c r="Z942" s="544"/>
      <c r="AA942" s="1552"/>
      <c r="AB942" s="1417"/>
      <c r="AC942" s="1552" t="s">
        <v>1181</v>
      </c>
      <c r="AD942" s="507" t="s">
        <v>2654</v>
      </c>
      <c r="AE942" s="1437">
        <v>0.6246</v>
      </c>
      <c r="AF942" s="1609">
        <f>I942*AE942</f>
        <v>16239.6</v>
      </c>
      <c r="AG942" s="1610"/>
      <c r="AH942" s="505" t="s">
        <v>174</v>
      </c>
      <c r="AI942" s="488" t="s">
        <v>112</v>
      </c>
      <c r="AJ942" s="1434"/>
      <c r="AK942" s="1555">
        <f>I942*2</f>
        <v>52000</v>
      </c>
      <c r="AL942" s="1437"/>
      <c r="AM942" s="1617"/>
      <c r="AN942" s="1418">
        <f>I942</f>
        <v>26000</v>
      </c>
      <c r="AO942" s="502"/>
      <c r="AP942" s="502"/>
      <c r="AQ942" s="1296"/>
      <c r="AR942" s="438"/>
      <c r="AS942" s="1297"/>
      <c r="AT942" s="1297"/>
      <c r="AU942" s="502">
        <f>I942</f>
        <v>26000</v>
      </c>
      <c r="AV942" s="1298"/>
      <c r="AW942" s="1298"/>
      <c r="AX942" s="502"/>
      <c r="AY942" s="502"/>
      <c r="AZ942" s="502"/>
      <c r="BA942" s="502"/>
      <c r="BB942" s="1437"/>
      <c r="BC942" s="1437"/>
      <c r="BD942" s="1437"/>
      <c r="BE942" s="1437"/>
      <c r="BF942" s="1437"/>
      <c r="BG942" s="1437"/>
      <c r="BH942" s="1437"/>
      <c r="BI942" s="1437"/>
      <c r="BJ942" s="1437"/>
      <c r="BK942" s="1418">
        <f t="shared" si="325"/>
        <v>2000</v>
      </c>
      <c r="BL942" s="1437"/>
      <c r="BM942" s="1437"/>
      <c r="BN942" s="1437"/>
      <c r="BO942" s="1615"/>
      <c r="BP942" s="1296"/>
      <c r="BQ942" s="1617"/>
      <c r="BR942" s="1616"/>
      <c r="BS942" s="1616"/>
      <c r="BT942" s="1437"/>
      <c r="BU942" s="1437"/>
      <c r="BV942" s="1615"/>
      <c r="BW942" s="1617"/>
      <c r="BX942" s="1617"/>
      <c r="BY942" s="1617"/>
      <c r="BZ942" s="1617"/>
      <c r="CA942" s="1617"/>
      <c r="CB942" s="1617"/>
      <c r="CC942" s="1617"/>
      <c r="CD942" s="1218">
        <f t="shared" si="317"/>
        <v>0</v>
      </c>
      <c r="CE942" s="1218">
        <f t="shared" si="321"/>
        <v>0</v>
      </c>
      <c r="CF942" s="502">
        <f t="shared" si="318"/>
        <v>0</v>
      </c>
      <c r="CG942" s="1218">
        <f t="shared" si="319"/>
        <v>0</v>
      </c>
      <c r="CH942" s="1618"/>
      <c r="CI942" s="1618"/>
      <c r="CJ942" s="1616"/>
      <c r="CK942" s="1437"/>
      <c r="CL942" s="1437"/>
    </row>
    <row r="943" s="1184" customFormat="1" customHeight="1" spans="1:111">
      <c r="A943" s="1289">
        <v>46218</v>
      </c>
      <c r="B943" s="1417" t="s">
        <v>3527</v>
      </c>
      <c r="C943" s="1434" t="s">
        <v>2458</v>
      </c>
      <c r="D943" s="1435">
        <v>4500206065</v>
      </c>
      <c r="E943" s="1436">
        <v>5000002205</v>
      </c>
      <c r="F943" s="1437" t="s">
        <v>3688</v>
      </c>
      <c r="G943" s="1438" t="s">
        <v>2460</v>
      </c>
      <c r="H943" s="504" t="s">
        <v>2461</v>
      </c>
      <c r="I943" s="1439">
        <v>11440</v>
      </c>
      <c r="J943" s="1434">
        <v>0</v>
      </c>
      <c r="K943" s="1434">
        <v>13</v>
      </c>
      <c r="L943" s="1291">
        <f t="shared" si="313"/>
        <v>880</v>
      </c>
      <c r="M943" s="507">
        <v>46289</v>
      </c>
      <c r="N943" s="507">
        <v>46286</v>
      </c>
      <c r="O943" s="434" t="s">
        <v>2463</v>
      </c>
      <c r="P943" s="506"/>
      <c r="Q943" s="506"/>
      <c r="R943" s="504"/>
      <c r="S943" s="504"/>
      <c r="T943" s="506"/>
      <c r="U943" s="500">
        <f t="shared" si="324"/>
        <v>-11440</v>
      </c>
      <c r="V943" s="504"/>
      <c r="W943" s="1300" t="s">
        <v>3494</v>
      </c>
      <c r="X943" s="1301" t="s">
        <v>95</v>
      </c>
      <c r="Y943" s="1294" t="s">
        <v>2465</v>
      </c>
      <c r="Z943" s="1552"/>
      <c r="AA943" s="1552"/>
      <c r="AB943" s="543"/>
      <c r="AC943" s="1552" t="s">
        <v>3684</v>
      </c>
      <c r="AD943" s="507" t="s">
        <v>3531</v>
      </c>
      <c r="AE943" s="502">
        <v>0.9996</v>
      </c>
      <c r="AF943" s="503">
        <f>I943*AE943</f>
        <v>11435.424</v>
      </c>
      <c r="AG943" s="1295"/>
      <c r="AH943" s="488" t="s">
        <v>2468</v>
      </c>
      <c r="AI943" s="488" t="s">
        <v>112</v>
      </c>
      <c r="AJ943" s="504"/>
      <c r="AK943" s="327">
        <f>I943</f>
        <v>11440</v>
      </c>
      <c r="AL943" s="502"/>
      <c r="AM943" s="1218"/>
      <c r="AN943" s="1418">
        <f>I943</f>
        <v>11440</v>
      </c>
      <c r="AO943" s="502"/>
      <c r="AP943" s="502"/>
      <c r="AQ943" s="1296"/>
      <c r="AR943" s="438"/>
      <c r="AS943" s="1297"/>
      <c r="AT943" s="1297"/>
      <c r="AU943" s="502"/>
      <c r="AV943" s="1298"/>
      <c r="AW943" s="1298"/>
      <c r="AX943" s="502"/>
      <c r="AY943" s="502"/>
      <c r="AZ943" s="502">
        <f>I943</f>
        <v>11440</v>
      </c>
      <c r="BA943" s="502"/>
      <c r="BB943" s="502"/>
      <c r="BC943" s="502"/>
      <c r="BD943" s="502"/>
      <c r="BE943" s="502"/>
      <c r="BF943" s="502"/>
      <c r="BG943" s="502"/>
      <c r="BH943" s="502"/>
      <c r="BI943" s="502"/>
      <c r="BJ943" s="502"/>
      <c r="BK943" s="1418">
        <f t="shared" si="325"/>
        <v>880</v>
      </c>
      <c r="BL943" s="502"/>
      <c r="BM943" s="502"/>
      <c r="BN943" s="502"/>
      <c r="BO943" s="1296"/>
      <c r="BP943" s="1296"/>
      <c r="BQ943" s="1218"/>
      <c r="BR943" s="1297"/>
      <c r="BS943" s="1297"/>
      <c r="BT943" s="502"/>
      <c r="BU943" s="502"/>
      <c r="BV943" s="1296"/>
      <c r="BW943" s="1218"/>
      <c r="BX943" s="1218"/>
      <c r="BY943" s="1218"/>
      <c r="BZ943" s="1218"/>
      <c r="CA943" s="1218"/>
      <c r="CB943" s="1218"/>
      <c r="CC943" s="1218"/>
      <c r="CD943" s="1218">
        <f t="shared" si="317"/>
        <v>0</v>
      </c>
      <c r="CE943" s="1218">
        <f t="shared" si="321"/>
        <v>0</v>
      </c>
      <c r="CF943" s="502">
        <f t="shared" si="318"/>
        <v>0</v>
      </c>
      <c r="CG943" s="1218">
        <f t="shared" si="319"/>
        <v>0</v>
      </c>
      <c r="CH943" s="1299"/>
      <c r="CI943" s="1299"/>
      <c r="CJ943" s="1297"/>
      <c r="CK943" s="502"/>
      <c r="CL943" s="502"/>
      <c r="CM943" s="1769"/>
      <c r="CN943" s="1769"/>
      <c r="CO943" s="1769"/>
      <c r="CP943" s="1769"/>
      <c r="CQ943" s="1769"/>
      <c r="CR943" s="1769"/>
      <c r="CS943" s="1769"/>
      <c r="CT943" s="1769"/>
      <c r="CU943" s="1769"/>
      <c r="CV943" s="1769"/>
      <c r="CW943" s="1769"/>
      <c r="CX943" s="1769"/>
      <c r="CY943" s="1769"/>
      <c r="CZ943" s="1769"/>
      <c r="DA943" s="1769"/>
      <c r="DB943" s="1769"/>
      <c r="DC943" s="1769"/>
      <c r="DD943" s="1769"/>
      <c r="DE943" s="1769"/>
      <c r="DF943" s="1769"/>
      <c r="DG943" s="1769"/>
    </row>
    <row r="944" s="1180" customFormat="1" customHeight="1" spans="1:111">
      <c r="A944" s="1309">
        <v>46241</v>
      </c>
      <c r="B944" s="544" t="s">
        <v>114</v>
      </c>
      <c r="C944" s="488" t="s">
        <v>115</v>
      </c>
      <c r="D944" s="1445" t="s">
        <v>3689</v>
      </c>
      <c r="E944" s="488" t="s">
        <v>3690</v>
      </c>
      <c r="F944" s="327" t="s">
        <v>3691</v>
      </c>
      <c r="G944" s="1310" t="s">
        <v>118</v>
      </c>
      <c r="H944" s="488" t="s">
        <v>104</v>
      </c>
      <c r="I944" s="1311">
        <v>51325</v>
      </c>
      <c r="J944" s="488">
        <v>0</v>
      </c>
      <c r="K944" s="488">
        <v>25</v>
      </c>
      <c r="L944" s="1544">
        <f t="shared" si="313"/>
        <v>2053</v>
      </c>
      <c r="M944" s="1312">
        <v>46289</v>
      </c>
      <c r="N944" s="1312">
        <v>46286</v>
      </c>
      <c r="O944" s="1312"/>
      <c r="P944" s="1313"/>
      <c r="Q944" s="1313"/>
      <c r="R944" s="488"/>
      <c r="S944" s="488"/>
      <c r="T944" s="1313"/>
      <c r="U944" s="1313"/>
      <c r="V944" s="488"/>
      <c r="W944" s="1300" t="s">
        <v>3064</v>
      </c>
      <c r="X944" s="1294" t="s">
        <v>107</v>
      </c>
      <c r="Y944" s="1301" t="s">
        <v>3505</v>
      </c>
      <c r="Z944" s="544" t="s">
        <v>3692</v>
      </c>
      <c r="AA944" s="544"/>
      <c r="AB944" s="544"/>
      <c r="AC944" s="544" t="s">
        <v>3693</v>
      </c>
      <c r="AD944" s="1312" t="s">
        <v>123</v>
      </c>
      <c r="AE944" s="327">
        <v>0.6291</v>
      </c>
      <c r="AF944" s="1315">
        <f>AE944*I944</f>
        <v>32288.5575</v>
      </c>
      <c r="AG944" s="1295"/>
      <c r="AH944" s="488" t="s">
        <v>118</v>
      </c>
      <c r="AI944" s="488" t="s">
        <v>112</v>
      </c>
      <c r="AJ944" s="488"/>
      <c r="AK944" s="327"/>
      <c r="AL944" s="327"/>
      <c r="AM944" s="327">
        <f>I944</f>
        <v>51325</v>
      </c>
      <c r="AN944" s="327"/>
      <c r="AO944" s="327"/>
      <c r="AP944" s="327"/>
      <c r="AQ944" s="1316"/>
      <c r="AR944" s="327"/>
      <c r="AS944" s="1317"/>
      <c r="AT944" s="1317">
        <f>I944</f>
        <v>51325</v>
      </c>
      <c r="AU944" s="327">
        <f>I944</f>
        <v>51325</v>
      </c>
      <c r="AV944" s="1318">
        <f t="shared" ref="AV944:AV950" si="326">I944*0.06</f>
        <v>3079.5</v>
      </c>
      <c r="AW944" s="1318"/>
      <c r="AX944" s="327"/>
      <c r="AY944" s="327"/>
      <c r="AZ944" s="327"/>
      <c r="BA944" s="327"/>
      <c r="BB944" s="327"/>
      <c r="BC944" s="327"/>
      <c r="BD944" s="327"/>
      <c r="BE944" s="327"/>
      <c r="BF944" s="327"/>
      <c r="BG944" s="327"/>
      <c r="BH944" s="327"/>
      <c r="BI944" s="327"/>
      <c r="BJ944" s="327"/>
      <c r="BK944" s="327"/>
      <c r="BL944" s="327"/>
      <c r="BM944" s="327"/>
      <c r="BN944" s="327"/>
      <c r="BO944" s="1316"/>
      <c r="BP944" s="1316"/>
      <c r="BQ944" s="327"/>
      <c r="BR944" s="1317"/>
      <c r="BS944" s="1317"/>
      <c r="BT944" s="327"/>
      <c r="BU944" s="1437">
        <f>I944/25</f>
        <v>2053</v>
      </c>
      <c r="BV944" s="1316"/>
      <c r="BW944" s="327"/>
      <c r="BX944" s="327"/>
      <c r="BY944" s="327"/>
      <c r="BZ944" s="327"/>
      <c r="CA944" s="327"/>
      <c r="CB944" s="327"/>
      <c r="CC944" s="327"/>
      <c r="CD944" s="327"/>
      <c r="CE944" s="327">
        <f t="shared" si="321"/>
        <v>2053</v>
      </c>
      <c r="CF944" s="327"/>
      <c r="CG944" s="327"/>
      <c r="CH944" s="1317"/>
      <c r="CI944" s="1317"/>
      <c r="CJ944" s="1317"/>
      <c r="CK944" s="327"/>
      <c r="CL944" s="327"/>
    </row>
    <row r="945" s="293" customFormat="1" customHeight="1" spans="1:111">
      <c r="A945" s="1588">
        <v>46237</v>
      </c>
      <c r="B945" s="1708" t="s">
        <v>338</v>
      </c>
      <c r="C945" s="1054" t="s">
        <v>135</v>
      </c>
      <c r="D945" s="1761">
        <v>4500218605</v>
      </c>
      <c r="E945" s="1314" t="s">
        <v>3694</v>
      </c>
      <c r="F945" s="1187" t="s">
        <v>3695</v>
      </c>
      <c r="G945" s="1713" t="s">
        <v>270</v>
      </c>
      <c r="H945" s="1054" t="s">
        <v>104</v>
      </c>
      <c r="I945" s="1714">
        <v>28000</v>
      </c>
      <c r="J945" s="1054">
        <v>0</v>
      </c>
      <c r="K945" s="1054">
        <v>25</v>
      </c>
      <c r="L945" s="1715">
        <f t="shared" si="313"/>
        <v>1120</v>
      </c>
      <c r="M945" s="1717">
        <v>46289</v>
      </c>
      <c r="N945" s="1717">
        <v>46286</v>
      </c>
      <c r="O945" s="1717"/>
      <c r="P945" s="1314"/>
      <c r="Q945" s="1314"/>
      <c r="R945" s="1054"/>
      <c r="S945" s="1054"/>
      <c r="T945" s="1314"/>
      <c r="U945" s="1313"/>
      <c r="V945" s="1054"/>
      <c r="W945" s="1300">
        <v>46237</v>
      </c>
      <c r="X945" s="1294" t="s">
        <v>95</v>
      </c>
      <c r="Y945" s="1294" t="s">
        <v>95</v>
      </c>
      <c r="Z945" s="544" t="s">
        <v>140</v>
      </c>
      <c r="AA945" s="544"/>
      <c r="AB945" s="544"/>
      <c r="AC945" s="1708" t="s">
        <v>3696</v>
      </c>
      <c r="AD945" s="1717" t="s">
        <v>1130</v>
      </c>
      <c r="AE945" s="1187">
        <v>1.0856</v>
      </c>
      <c r="AF945" s="1718">
        <f>I945*AE945</f>
        <v>30396.8</v>
      </c>
      <c r="AG945" s="1295"/>
      <c r="AH945" s="488" t="s">
        <v>270</v>
      </c>
      <c r="AI945" s="488" t="s">
        <v>112</v>
      </c>
      <c r="AJ945" s="1054"/>
      <c r="AK945" s="327">
        <f>I945</f>
        <v>28000</v>
      </c>
      <c r="AL945" s="1187"/>
      <c r="AM945" s="1187"/>
      <c r="AN945" s="327">
        <f>I945</f>
        <v>28000</v>
      </c>
      <c r="AO945" s="327"/>
      <c r="AP945" s="1187"/>
      <c r="AQ945" s="1187"/>
      <c r="AR945" s="1187"/>
      <c r="AS945" s="1187"/>
      <c r="AT945" s="1187"/>
      <c r="AU945" s="1187"/>
      <c r="AV945" s="1250">
        <f t="shared" si="326"/>
        <v>1680</v>
      </c>
      <c r="AW945" s="1250">
        <f>I945</f>
        <v>28000</v>
      </c>
      <c r="AX945" s="1187"/>
      <c r="AY945" s="1187"/>
      <c r="AZ945" s="1187"/>
      <c r="BA945" s="1187"/>
      <c r="BB945" s="1187"/>
      <c r="BC945" s="1187"/>
      <c r="BD945" s="1187"/>
      <c r="BE945" s="1187"/>
      <c r="BF945" s="1187"/>
      <c r="BG945" s="327"/>
      <c r="BH945" s="327"/>
      <c r="BI945" s="1187"/>
      <c r="BJ945" s="1187"/>
      <c r="BK945" s="1187"/>
      <c r="BL945" s="1187"/>
      <c r="BM945" s="1187"/>
      <c r="BN945" s="1420">
        <f>I945/25</f>
        <v>1120</v>
      </c>
      <c r="BO945" s="1316"/>
      <c r="BP945" s="1187"/>
      <c r="BQ945" s="1187"/>
      <c r="BR945" s="1187"/>
      <c r="BS945" s="1187"/>
      <c r="BT945" s="1187"/>
      <c r="BU945" s="1187"/>
      <c r="BV945" s="1187"/>
      <c r="BW945" s="1187"/>
      <c r="BX945" s="1187"/>
      <c r="BY945" s="1187"/>
      <c r="BZ945" s="1187"/>
      <c r="CA945" s="1187"/>
      <c r="CB945" s="1187"/>
      <c r="CC945" s="1187"/>
      <c r="CD945" s="327">
        <f>BN945+BO945+BQ945+BS945+BR945</f>
        <v>1120</v>
      </c>
      <c r="CE945" s="1188">
        <f t="shared" si="321"/>
        <v>0</v>
      </c>
      <c r="CF945" s="1188">
        <f>CC945</f>
        <v>0</v>
      </c>
      <c r="CG945" s="1188">
        <f>BV945+BW945+BX945</f>
        <v>0</v>
      </c>
      <c r="CH945" s="327"/>
      <c r="CI945" s="327"/>
      <c r="CJ945" s="1187"/>
      <c r="CK945" s="1187"/>
      <c r="CL945" s="1187"/>
      <c r="CM945" s="1180"/>
      <c r="CN945" s="1180"/>
      <c r="CO945" s="1180"/>
      <c r="CP945" s="1180"/>
      <c r="CQ945" s="1180"/>
      <c r="CR945" s="1180"/>
      <c r="CS945" s="1180"/>
      <c r="CT945" s="1180"/>
      <c r="CU945" s="1180"/>
      <c r="CV945" s="1180"/>
      <c r="CW945" s="1180"/>
      <c r="CX945" s="1180"/>
      <c r="CY945" s="1180"/>
      <c r="CZ945" s="1180"/>
      <c r="DA945" s="1180"/>
      <c r="DB945" s="1180"/>
      <c r="DC945" s="1180"/>
      <c r="DD945" s="1180"/>
      <c r="DE945" s="1180"/>
      <c r="DF945" s="1180"/>
      <c r="DG945" s="1180"/>
    </row>
    <row r="946" s="1180" customFormat="1" customHeight="1" spans="1:111">
      <c r="A946" s="1289">
        <v>46204</v>
      </c>
      <c r="B946" s="1417" t="s">
        <v>3173</v>
      </c>
      <c r="C946" s="1434" t="s">
        <v>135</v>
      </c>
      <c r="D946" s="1435">
        <v>4500214573</v>
      </c>
      <c r="E946" s="1434" t="s">
        <v>3697</v>
      </c>
      <c r="F946" s="1770" t="s">
        <v>3698</v>
      </c>
      <c r="G946" s="1700" t="s">
        <v>3699</v>
      </c>
      <c r="H946" s="504" t="s">
        <v>194</v>
      </c>
      <c r="I946" s="1439">
        <v>8060</v>
      </c>
      <c r="J946" s="1434">
        <v>0</v>
      </c>
      <c r="K946" s="1434">
        <v>13</v>
      </c>
      <c r="L946" s="1291">
        <f t="shared" si="313"/>
        <v>620</v>
      </c>
      <c r="M946" s="507">
        <v>46293</v>
      </c>
      <c r="N946" s="507">
        <v>46289</v>
      </c>
      <c r="O946" s="507"/>
      <c r="P946" s="506"/>
      <c r="Q946" s="506"/>
      <c r="R946" s="504"/>
      <c r="S946" s="504"/>
      <c r="T946" s="506"/>
      <c r="U946" s="500">
        <f>T946-I946</f>
        <v>-8060</v>
      </c>
      <c r="V946" s="504"/>
      <c r="W946" s="1300" t="s">
        <v>3064</v>
      </c>
      <c r="X946" s="1301" t="s">
        <v>95</v>
      </c>
      <c r="Y946" s="1294" t="s">
        <v>3700</v>
      </c>
      <c r="Z946" s="544" t="s">
        <v>3701</v>
      </c>
      <c r="AA946" s="544"/>
      <c r="AB946" s="543"/>
      <c r="AC946" s="1482" t="s">
        <v>3702</v>
      </c>
      <c r="AD946" s="507" t="s">
        <v>3179</v>
      </c>
      <c r="AE946" s="502">
        <v>1.0755</v>
      </c>
      <c r="AF946" s="503">
        <f>I946*AE946</f>
        <v>8668.53</v>
      </c>
      <c r="AG946" s="1295"/>
      <c r="AH946" s="1424" t="s">
        <v>283</v>
      </c>
      <c r="AI946" s="488" t="s">
        <v>112</v>
      </c>
      <c r="AJ946" s="504"/>
      <c r="AK946" s="327">
        <f>I946</f>
        <v>8060</v>
      </c>
      <c r="AL946" s="502"/>
      <c r="AM946" s="1218"/>
      <c r="AN946" s="1418">
        <f>I946</f>
        <v>8060</v>
      </c>
      <c r="AO946" s="502"/>
      <c r="AP946" s="502"/>
      <c r="AQ946" s="1296"/>
      <c r="AR946" s="438"/>
      <c r="AS946" s="1297"/>
      <c r="AT946" s="1297"/>
      <c r="AU946" s="502"/>
      <c r="AV946" s="1298">
        <f t="shared" si="326"/>
        <v>483.6</v>
      </c>
      <c r="AW946" s="1298">
        <f>I946</f>
        <v>8060</v>
      </c>
      <c r="AX946" s="502"/>
      <c r="AY946" s="502"/>
      <c r="AZ946" s="502"/>
      <c r="BA946" s="502"/>
      <c r="BB946" s="502"/>
      <c r="BC946" s="502"/>
      <c r="BD946" s="502"/>
      <c r="BE946" s="502"/>
      <c r="BF946" s="502"/>
      <c r="BG946" s="502"/>
      <c r="BH946" s="502"/>
      <c r="BI946" s="502"/>
      <c r="BJ946" s="502"/>
      <c r="BK946" s="1366">
        <f t="shared" si="325"/>
        <v>620</v>
      </c>
      <c r="BL946" s="502"/>
      <c r="BM946" s="502"/>
      <c r="BN946" s="502"/>
      <c r="BO946" s="1296"/>
      <c r="BP946" s="1296"/>
      <c r="BQ946" s="1218"/>
      <c r="BR946" s="1297"/>
      <c r="BS946" s="1297"/>
      <c r="BT946" s="502"/>
      <c r="BU946" s="502"/>
      <c r="BV946" s="1296"/>
      <c r="BW946" s="1218"/>
      <c r="BX946" s="1218"/>
      <c r="BY946" s="1218"/>
      <c r="BZ946" s="1218"/>
      <c r="CA946" s="1218"/>
      <c r="CB946" s="1218"/>
      <c r="CC946" s="1218"/>
      <c r="CD946" s="1218">
        <f>BN946+BO946+BQ946+BS946+BR946</f>
        <v>0</v>
      </c>
      <c r="CE946" s="1218">
        <f t="shared" si="321"/>
        <v>0</v>
      </c>
      <c r="CF946" s="502">
        <f>CC946</f>
        <v>0</v>
      </c>
      <c r="CG946" s="1218">
        <f>BV946+BW946+BX946</f>
        <v>0</v>
      </c>
      <c r="CH946" s="1299"/>
      <c r="CI946" s="1299"/>
      <c r="CJ946" s="1297"/>
      <c r="CK946" s="502"/>
      <c r="CL946" s="502"/>
      <c r="CM946" s="293"/>
      <c r="CN946" s="293"/>
      <c r="CO946" s="293"/>
      <c r="CP946" s="293"/>
      <c r="CQ946" s="293"/>
      <c r="CR946" s="293"/>
      <c r="CS946" s="293"/>
      <c r="CT946" s="293"/>
      <c r="CU946" s="293"/>
      <c r="CV946" s="293"/>
      <c r="CW946" s="293"/>
      <c r="CX946" s="293"/>
      <c r="CY946" s="293"/>
      <c r="CZ946" s="293"/>
      <c r="DA946" s="293"/>
      <c r="DB946" s="293"/>
      <c r="DC946" s="293"/>
      <c r="DD946" s="293"/>
      <c r="DE946" s="293"/>
      <c r="DF946" s="293"/>
      <c r="DG946" s="293"/>
    </row>
    <row r="947" s="1180" customFormat="1" customHeight="1" spans="1:111">
      <c r="A947" s="1289">
        <v>46227</v>
      </c>
      <c r="B947" s="1417" t="s">
        <v>3703</v>
      </c>
      <c r="C947" s="1434" t="s">
        <v>608</v>
      </c>
      <c r="D947" s="1435">
        <v>4500217619</v>
      </c>
      <c r="E947" s="1434"/>
      <c r="F947" s="1437" t="s">
        <v>3704</v>
      </c>
      <c r="G947" s="1438" t="s">
        <v>3705</v>
      </c>
      <c r="H947" s="504"/>
      <c r="I947" s="1439">
        <v>44400</v>
      </c>
      <c r="J947" s="1434">
        <v>0</v>
      </c>
      <c r="K947" s="1434">
        <v>12</v>
      </c>
      <c r="L947" s="1291">
        <f t="shared" si="313"/>
        <v>3700</v>
      </c>
      <c r="M947" s="507">
        <v>46293</v>
      </c>
      <c r="N947" s="507">
        <v>46289</v>
      </c>
      <c r="O947" s="507"/>
      <c r="P947" s="506"/>
      <c r="Q947" s="506"/>
      <c r="R947" s="504"/>
      <c r="S947" s="504"/>
      <c r="T947" s="506"/>
      <c r="U947" s="500">
        <f>T947-I947</f>
        <v>-44400</v>
      </c>
      <c r="V947" s="504"/>
      <c r="W947" s="1300">
        <v>46227</v>
      </c>
      <c r="X947" s="1325" t="s">
        <v>95</v>
      </c>
      <c r="Y947" s="1294" t="s">
        <v>3706</v>
      </c>
      <c r="Z947" s="544"/>
      <c r="AA947" s="544"/>
      <c r="AB947" s="543"/>
      <c r="AC947" s="1560" t="s">
        <v>3707</v>
      </c>
      <c r="AD947" s="507" t="s">
        <v>3708</v>
      </c>
      <c r="AE947" s="502">
        <v>42.3955</v>
      </c>
      <c r="AF947" s="503">
        <f>AE947*I947</f>
        <v>1882360.2</v>
      </c>
      <c r="AG947" s="1295"/>
      <c r="AH947" s="488" t="s">
        <v>3630</v>
      </c>
      <c r="AI947" s="488"/>
      <c r="AJ947" s="504"/>
      <c r="AK947" s="502">
        <f>I947</f>
        <v>44400</v>
      </c>
      <c r="AL947" s="502"/>
      <c r="AM947" s="1218"/>
      <c r="AN947" s="1420" t="s">
        <v>3709</v>
      </c>
      <c r="AO947" s="502"/>
      <c r="AP947" s="502"/>
      <c r="AQ947" s="1296"/>
      <c r="AR947" s="438"/>
      <c r="AS947" s="1297"/>
      <c r="AT947" s="1297"/>
      <c r="AU947" s="502">
        <f>I947</f>
        <v>44400</v>
      </c>
      <c r="AV947" s="1298">
        <f t="shared" si="326"/>
        <v>2664</v>
      </c>
      <c r="AW947" s="1298"/>
      <c r="AX947" s="502"/>
      <c r="AY947" s="502"/>
      <c r="AZ947" s="502"/>
      <c r="BA947" s="502"/>
      <c r="BB947" s="502"/>
      <c r="BC947" s="502"/>
      <c r="BD947" s="502"/>
      <c r="BE947" s="502"/>
      <c r="BF947" s="502"/>
      <c r="BG947" s="502"/>
      <c r="BH947" s="502"/>
      <c r="BI947" s="502"/>
      <c r="BJ947" s="502"/>
      <c r="BK947" s="502"/>
      <c r="BL947" s="502"/>
      <c r="BM947" s="502"/>
      <c r="BN947" s="502"/>
      <c r="BO947" s="1296"/>
      <c r="BP947" s="1296"/>
      <c r="BQ947" s="1218"/>
      <c r="BR947" s="1297"/>
      <c r="BS947" s="1297"/>
      <c r="BT947" s="502"/>
      <c r="BU947" s="502"/>
      <c r="BV947" s="1296"/>
      <c r="BW947" s="1218"/>
      <c r="BX947" s="1218"/>
      <c r="BY947" s="1218"/>
      <c r="BZ947" s="1218"/>
      <c r="CA947" s="1218"/>
      <c r="CB947" s="1218"/>
      <c r="CC947" s="1218"/>
      <c r="CD947" s="1218">
        <f>BN947+BO947+BQ947+BS947+BR947</f>
        <v>0</v>
      </c>
      <c r="CE947" s="1218">
        <f t="shared" si="321"/>
        <v>0</v>
      </c>
      <c r="CF947" s="502">
        <f>CC947</f>
        <v>0</v>
      </c>
      <c r="CG947" s="1218">
        <f>BV947+BW947+BX947</f>
        <v>0</v>
      </c>
      <c r="CH947" s="1299"/>
      <c r="CI947" s="1299"/>
      <c r="CJ947" s="1297"/>
      <c r="CK947" s="502"/>
      <c r="CL947" s="502"/>
      <c r="CM947" s="293"/>
      <c r="CN947" s="293"/>
      <c r="CO947" s="293"/>
      <c r="CP947" s="293"/>
      <c r="CQ947" s="293"/>
      <c r="CR947" s="293"/>
      <c r="CS947" s="293"/>
      <c r="CT947" s="293"/>
      <c r="CU947" s="293"/>
      <c r="CV947" s="293"/>
      <c r="CW947" s="293"/>
      <c r="CX947" s="293"/>
      <c r="CY947" s="293"/>
      <c r="CZ947" s="293"/>
      <c r="DA947" s="293"/>
      <c r="DB947" s="293"/>
      <c r="DC947" s="293"/>
      <c r="DD947" s="293"/>
      <c r="DE947" s="293"/>
      <c r="DF947" s="293"/>
      <c r="DG947" s="293"/>
    </row>
    <row r="948" s="1180" customFormat="1" customHeight="1" spans="1:111">
      <c r="A948" s="1289">
        <v>46227</v>
      </c>
      <c r="B948" s="1417" t="s">
        <v>3710</v>
      </c>
      <c r="C948" s="1434" t="s">
        <v>891</v>
      </c>
      <c r="D948" s="1435">
        <v>4500217710</v>
      </c>
      <c r="E948" s="1436">
        <v>5200011123</v>
      </c>
      <c r="F948" s="1437" t="s">
        <v>3711</v>
      </c>
      <c r="G948" s="1438" t="s">
        <v>193</v>
      </c>
      <c r="H948" s="1454" t="s">
        <v>194</v>
      </c>
      <c r="I948" s="1439">
        <v>1300</v>
      </c>
      <c r="J948" s="1434">
        <v>0</v>
      </c>
      <c r="K948" s="1434">
        <v>13</v>
      </c>
      <c r="L948" s="1597">
        <f t="shared" si="313"/>
        <v>100</v>
      </c>
      <c r="M948" s="507">
        <v>46293</v>
      </c>
      <c r="N948" s="507">
        <v>46289</v>
      </c>
      <c r="O948" s="507"/>
      <c r="P948" s="506"/>
      <c r="Q948" s="506"/>
      <c r="R948" s="504"/>
      <c r="S948" s="504"/>
      <c r="T948" s="506"/>
      <c r="U948" s="500">
        <f>T948-I948</f>
        <v>-1300</v>
      </c>
      <c r="V948" s="504"/>
      <c r="W948" s="1300">
        <v>46227</v>
      </c>
      <c r="X948" s="1308" t="s">
        <v>95</v>
      </c>
      <c r="Y948" s="1294" t="s">
        <v>3712</v>
      </c>
      <c r="Z948" s="544"/>
      <c r="AA948" s="544"/>
      <c r="AB948" s="543"/>
      <c r="AC948" s="544" t="s">
        <v>3713</v>
      </c>
      <c r="AD948" s="507" t="s">
        <v>3714</v>
      </c>
      <c r="AE948" s="502">
        <v>1.0809</v>
      </c>
      <c r="AF948" s="503">
        <f>AE948*I948</f>
        <v>1405.17</v>
      </c>
      <c r="AG948" s="1295"/>
      <c r="AH948" s="488" t="s">
        <v>3630</v>
      </c>
      <c r="AI948" s="488"/>
      <c r="AJ948" s="504"/>
      <c r="AK948" s="502">
        <f>I948*2</f>
        <v>2600</v>
      </c>
      <c r="AL948" s="502"/>
      <c r="AM948" s="1218"/>
      <c r="AN948" s="1729" t="s">
        <v>3709</v>
      </c>
      <c r="AO948" s="502"/>
      <c r="AP948" s="502"/>
      <c r="AQ948" s="1296"/>
      <c r="AR948" s="438"/>
      <c r="AS948" s="1297"/>
      <c r="AT948" s="1297"/>
      <c r="AU948" s="502">
        <f>I948</f>
        <v>1300</v>
      </c>
      <c r="AV948" s="1612">
        <f t="shared" si="326"/>
        <v>78</v>
      </c>
      <c r="AW948" s="1298"/>
      <c r="AX948" s="502"/>
      <c r="AY948" s="502"/>
      <c r="AZ948" s="502"/>
      <c r="BA948" s="502"/>
      <c r="BB948" s="502"/>
      <c r="BC948" s="502"/>
      <c r="BD948" s="502"/>
      <c r="BE948" s="502"/>
      <c r="BF948" s="502"/>
      <c r="BG948" s="502"/>
      <c r="BH948" s="502"/>
      <c r="BI948" s="502"/>
      <c r="BJ948" s="502"/>
      <c r="BK948" s="1418">
        <f>I948/13</f>
        <v>100</v>
      </c>
      <c r="BL948" s="502"/>
      <c r="BM948" s="502"/>
      <c r="BN948" s="502"/>
      <c r="BO948" s="1296"/>
      <c r="BP948" s="1296"/>
      <c r="BQ948" s="1218"/>
      <c r="BR948" s="1297"/>
      <c r="BS948" s="1297"/>
      <c r="BT948" s="502"/>
      <c r="BU948" s="502"/>
      <c r="BV948" s="1296"/>
      <c r="BW948" s="1218"/>
      <c r="BX948" s="1218"/>
      <c r="BY948" s="1218"/>
      <c r="BZ948" s="1218"/>
      <c r="CA948" s="1218"/>
      <c r="CB948" s="1218"/>
      <c r="CC948" s="1218"/>
      <c r="CD948" s="1218">
        <f>BN948+BO948+BQ948+BS948+BR948</f>
        <v>0</v>
      </c>
      <c r="CE948" s="1218">
        <f t="shared" si="321"/>
        <v>0</v>
      </c>
      <c r="CF948" s="502">
        <f>CC948</f>
        <v>0</v>
      </c>
      <c r="CG948" s="1218">
        <f>BV948+BW948+BX948</f>
        <v>0</v>
      </c>
      <c r="CH948" s="1299"/>
      <c r="CI948" s="1299"/>
      <c r="CJ948" s="1297"/>
      <c r="CK948" s="502"/>
      <c r="CL948" s="502"/>
      <c r="CM948" s="293"/>
      <c r="CN948" s="293"/>
      <c r="CO948" s="293"/>
      <c r="CP948" s="293"/>
      <c r="CQ948" s="293"/>
      <c r="CR948" s="293"/>
      <c r="CS948" s="293"/>
      <c r="CT948" s="293"/>
      <c r="CU948" s="293"/>
      <c r="CV948" s="293"/>
      <c r="CW948" s="293"/>
      <c r="CX948" s="293"/>
      <c r="CY948" s="293"/>
      <c r="CZ948" s="293"/>
      <c r="DA948" s="293"/>
      <c r="DB948" s="293"/>
      <c r="DC948" s="293"/>
      <c r="DD948" s="293"/>
      <c r="DE948" s="293"/>
      <c r="DF948" s="293"/>
      <c r="DG948" s="293"/>
    </row>
    <row r="949" s="1180" customFormat="1" customHeight="1" spans="1:111">
      <c r="A949" s="1309">
        <v>46231</v>
      </c>
      <c r="B949" s="1552" t="s">
        <v>507</v>
      </c>
      <c r="C949" s="1553" t="s">
        <v>508</v>
      </c>
      <c r="D949" s="1555">
        <v>4500217987</v>
      </c>
      <c r="E949" s="1553">
        <v>2653835</v>
      </c>
      <c r="F949" s="1555" t="s">
        <v>3715</v>
      </c>
      <c r="G949" s="1700" t="s">
        <v>3232</v>
      </c>
      <c r="H949" s="1553" t="s">
        <v>194</v>
      </c>
      <c r="I949" s="1557">
        <v>9997</v>
      </c>
      <c r="J949" s="1553">
        <v>0</v>
      </c>
      <c r="K949" s="1553">
        <v>13</v>
      </c>
      <c r="L949" s="1544">
        <f t="shared" si="313"/>
        <v>769</v>
      </c>
      <c r="M949" s="1545">
        <v>46293</v>
      </c>
      <c r="N949" s="1545">
        <v>46289</v>
      </c>
      <c r="O949" s="1545"/>
      <c r="P949" s="1313"/>
      <c r="Q949" s="1313"/>
      <c r="R949" s="488"/>
      <c r="S949" s="488"/>
      <c r="T949" s="1313"/>
      <c r="U949" s="500">
        <f>T949-I949</f>
        <v>-9997</v>
      </c>
      <c r="V949" s="488"/>
      <c r="W949" s="1300">
        <v>46231</v>
      </c>
      <c r="X949" s="1301" t="s">
        <v>107</v>
      </c>
      <c r="Y949" s="1301" t="s">
        <v>3716</v>
      </c>
      <c r="Z949" s="544" t="s">
        <v>360</v>
      </c>
      <c r="AA949" s="544"/>
      <c r="AB949" s="544"/>
      <c r="AC949" s="1771" t="s">
        <v>3717</v>
      </c>
      <c r="AD949" s="1545" t="s">
        <v>3041</v>
      </c>
      <c r="AE949" s="327">
        <v>1.1132</v>
      </c>
      <c r="AF949" s="1315">
        <f>AE949*I949</f>
        <v>11128.6604</v>
      </c>
      <c r="AG949" s="1295"/>
      <c r="AH949" s="488" t="s">
        <v>510</v>
      </c>
      <c r="AI949" s="488" t="s">
        <v>112</v>
      </c>
      <c r="AJ949" s="488"/>
      <c r="AK949" s="327">
        <f>I949</f>
        <v>9997</v>
      </c>
      <c r="AL949" s="327"/>
      <c r="AM949" s="327"/>
      <c r="AN949" s="1420">
        <f>I949</f>
        <v>9997</v>
      </c>
      <c r="AO949" s="327"/>
      <c r="AP949" s="327"/>
      <c r="AQ949" s="1316"/>
      <c r="AR949" s="327"/>
      <c r="AS949" s="1317"/>
      <c r="AT949" s="1317"/>
      <c r="AU949" s="327"/>
      <c r="AV949" s="1678">
        <f t="shared" si="326"/>
        <v>599.82</v>
      </c>
      <c r="AW949" s="1318"/>
      <c r="AX949" s="327">
        <f>I949</f>
        <v>9997</v>
      </c>
      <c r="AY949" s="327"/>
      <c r="AZ949" s="327"/>
      <c r="BA949" s="327"/>
      <c r="BB949" s="327"/>
      <c r="BC949" s="327"/>
      <c r="BD949" s="327"/>
      <c r="BE949" s="327"/>
      <c r="BF949" s="327"/>
      <c r="BG949" s="327"/>
      <c r="BH949" s="327"/>
      <c r="BI949" s="327"/>
      <c r="BJ949" s="327"/>
      <c r="BK949" s="327"/>
      <c r="BL949" s="327"/>
      <c r="BM949" s="327"/>
      <c r="BN949" s="327"/>
      <c r="BO949" s="1316"/>
      <c r="BP949" s="1316">
        <f>I949/13</f>
        <v>769</v>
      </c>
      <c r="BQ949" s="327"/>
      <c r="BR949" s="1317"/>
      <c r="BS949" s="1317"/>
      <c r="BT949" s="327"/>
      <c r="BU949" s="327"/>
      <c r="BV949" s="1316"/>
      <c r="BW949" s="327"/>
      <c r="BX949" s="327"/>
      <c r="BY949" s="327"/>
      <c r="BZ949" s="327"/>
      <c r="CA949" s="327"/>
      <c r="CB949" s="327"/>
      <c r="CC949" s="327"/>
      <c r="CD949" s="327">
        <f>BN949+BO949+BQ949+BS949+BR949</f>
        <v>0</v>
      </c>
      <c r="CE949" s="327">
        <f t="shared" si="321"/>
        <v>0</v>
      </c>
      <c r="CF949" s="327">
        <f>CC949</f>
        <v>0</v>
      </c>
      <c r="CG949" s="327">
        <f>BV949+BW949+BX949</f>
        <v>0</v>
      </c>
      <c r="CH949" s="1317"/>
      <c r="CI949" s="1317"/>
      <c r="CJ949" s="1317"/>
      <c r="CK949" s="327"/>
      <c r="CL949" s="327"/>
    </row>
    <row r="950" s="1186" customFormat="1" customHeight="1" spans="1:111">
      <c r="A950" s="1772">
        <v>46245</v>
      </c>
      <c r="B950" s="1773" t="s">
        <v>3718</v>
      </c>
      <c r="C950" s="1774" t="s">
        <v>135</v>
      </c>
      <c r="D950" s="1775">
        <v>4500219553</v>
      </c>
      <c r="E950" s="1774"/>
      <c r="F950" s="1775" t="s">
        <v>3719</v>
      </c>
      <c r="G950" s="1776" t="s">
        <v>3720</v>
      </c>
      <c r="H950" s="1774" t="s">
        <v>893</v>
      </c>
      <c r="I950" s="1777">
        <v>1920</v>
      </c>
      <c r="J950" s="1774">
        <v>0</v>
      </c>
      <c r="K950" s="1774">
        <v>48</v>
      </c>
      <c r="L950" s="1778">
        <f t="shared" si="313"/>
        <v>40</v>
      </c>
      <c r="M950" s="1779">
        <v>46293</v>
      </c>
      <c r="N950" s="1779">
        <v>46289</v>
      </c>
      <c r="O950" s="1779"/>
      <c r="P950" s="1780"/>
      <c r="Q950" s="1780"/>
      <c r="R950" s="1774"/>
      <c r="S950" s="1774"/>
      <c r="T950" s="1780"/>
      <c r="U950" s="1658"/>
      <c r="V950" s="1774"/>
      <c r="W950" s="1659" t="s">
        <v>3064</v>
      </c>
      <c r="X950" s="1660" t="s">
        <v>95</v>
      </c>
      <c r="Y950" s="1660" t="s">
        <v>3721</v>
      </c>
      <c r="Z950" s="1648"/>
      <c r="AA950" s="1648"/>
      <c r="AB950" s="1648"/>
      <c r="AC950" s="1781" t="s">
        <v>3722</v>
      </c>
      <c r="AD950" s="1779" t="s">
        <v>3455</v>
      </c>
      <c r="AE950" s="1775">
        <v>1.1228</v>
      </c>
      <c r="AF950" s="1661">
        <f>I950*AE950</f>
        <v>2155.776</v>
      </c>
      <c r="AG950" s="1662"/>
      <c r="AH950" s="1649"/>
      <c r="AI950" s="1649"/>
      <c r="AJ950" s="1774"/>
      <c r="AK950" s="1652">
        <f>I950</f>
        <v>1920</v>
      </c>
      <c r="AL950" s="1775"/>
      <c r="AM950" s="1775"/>
      <c r="AN950" s="1775"/>
      <c r="AO950" s="1775">
        <f>I950</f>
        <v>1920</v>
      </c>
      <c r="AP950" s="1775"/>
      <c r="AQ950" s="1775"/>
      <c r="AR950" s="1775"/>
      <c r="AS950" s="1775"/>
      <c r="AT950" s="1775"/>
      <c r="AU950" s="1775">
        <f>I950</f>
        <v>1920</v>
      </c>
      <c r="AV950" s="1666">
        <f>I950</f>
        <v>1920</v>
      </c>
      <c r="AW950" s="1666"/>
      <c r="AX950" s="1775"/>
      <c r="AY950" s="1775"/>
      <c r="AZ950" s="1775"/>
      <c r="BA950" s="1775"/>
      <c r="BB950" s="1775"/>
      <c r="BC950" s="1775"/>
      <c r="BD950" s="1775"/>
      <c r="BE950" s="1775"/>
      <c r="BF950" s="1775"/>
      <c r="BG950" s="1652"/>
      <c r="BH950" s="1652"/>
      <c r="BI950" s="1775"/>
      <c r="BJ950" s="1775"/>
      <c r="BK950" s="1775"/>
      <c r="BL950" s="1775"/>
      <c r="BM950" s="1775">
        <f>I950/48</f>
        <v>40</v>
      </c>
      <c r="BN950" s="1775"/>
      <c r="BO950" s="1664"/>
      <c r="BP950" s="1775"/>
      <c r="BQ950" s="1775"/>
      <c r="BR950" s="1775"/>
      <c r="BS950" s="1775"/>
      <c r="BT950" s="1775"/>
      <c r="BU950" s="1775"/>
      <c r="BV950" s="1775"/>
      <c r="BW950" s="1775"/>
      <c r="BX950" s="1775"/>
      <c r="BY950" s="1775"/>
      <c r="BZ950" s="1775"/>
      <c r="CA950" s="1775"/>
      <c r="CB950" s="1775"/>
      <c r="CC950" s="1775"/>
      <c r="CD950" s="1652"/>
      <c r="CE950" s="1652"/>
      <c r="CF950" s="1652"/>
      <c r="CG950" s="1652"/>
      <c r="CH950" s="1652"/>
      <c r="CI950" s="1652"/>
      <c r="CJ950" s="1775"/>
      <c r="CK950" s="1775"/>
      <c r="CL950" s="1775"/>
      <c r="CM950" s="1181"/>
      <c r="CN950" s="1181"/>
      <c r="CO950" s="1181"/>
      <c r="CP950" s="1181"/>
      <c r="CQ950" s="1181"/>
      <c r="CR950" s="1181"/>
      <c r="CS950" s="1181"/>
      <c r="CT950" s="1181"/>
      <c r="CU950" s="1181"/>
      <c r="CV950" s="1181"/>
      <c r="CW950" s="1181"/>
      <c r="CX950" s="1181"/>
      <c r="CY950" s="1181"/>
      <c r="CZ950" s="1181"/>
      <c r="DA950" s="1181"/>
      <c r="DB950" s="1181"/>
      <c r="DC950" s="1181"/>
      <c r="DD950" s="1181"/>
      <c r="DE950" s="1181"/>
      <c r="DF950" s="1181"/>
      <c r="DG950" s="1181"/>
    </row>
    <row r="951" s="1181" customFormat="1" customHeight="1" spans="1:111">
      <c r="A951" s="1782">
        <v>46246</v>
      </c>
      <c r="B951" s="1783" t="s">
        <v>3723</v>
      </c>
      <c r="C951" s="1784" t="s">
        <v>101</v>
      </c>
      <c r="D951" s="1785">
        <v>4500219625</v>
      </c>
      <c r="E951" s="1784">
        <v>3118</v>
      </c>
      <c r="F951" s="1785" t="s">
        <v>3724</v>
      </c>
      <c r="G951" s="1786" t="s">
        <v>3725</v>
      </c>
      <c r="H951" s="1654" t="s">
        <v>893</v>
      </c>
      <c r="I951" s="1787">
        <v>3600</v>
      </c>
      <c r="J951" s="1784">
        <v>0</v>
      </c>
      <c r="K951" s="1784">
        <v>25</v>
      </c>
      <c r="L951" s="1788">
        <f t="shared" si="313"/>
        <v>144</v>
      </c>
      <c r="M951" s="1789">
        <v>46293</v>
      </c>
      <c r="N951" s="1789">
        <v>46289</v>
      </c>
      <c r="O951" s="1789"/>
      <c r="P951" s="1790"/>
      <c r="Q951" s="1790"/>
      <c r="R951" s="1654"/>
      <c r="S951" s="1654"/>
      <c r="T951" s="1790"/>
      <c r="U951" s="1658"/>
      <c r="V951" s="1654"/>
      <c r="W951" s="1659">
        <v>46246</v>
      </c>
      <c r="X951" s="1791" t="s">
        <v>95</v>
      </c>
      <c r="Y951" s="1660" t="s">
        <v>95</v>
      </c>
      <c r="Z951" s="1648" t="s">
        <v>3726</v>
      </c>
      <c r="AA951" s="1648"/>
      <c r="AB951" s="1792"/>
      <c r="AC951" s="1791" t="s">
        <v>3727</v>
      </c>
      <c r="AD951" s="1789" t="s">
        <v>3728</v>
      </c>
      <c r="AE951" s="1669">
        <v>1.0905</v>
      </c>
      <c r="AF951" s="1793">
        <f>AE951*I951</f>
        <v>3925.8</v>
      </c>
      <c r="AG951" s="1662"/>
      <c r="AH951" s="1649" t="s">
        <v>3630</v>
      </c>
      <c r="AI951" s="1649"/>
      <c r="AJ951" s="1654"/>
      <c r="AK951" s="1652">
        <f>I951</f>
        <v>3600</v>
      </c>
      <c r="AL951" s="1669"/>
      <c r="AM951" s="1668"/>
      <c r="AN951" s="1652">
        <f>I951</f>
        <v>3600</v>
      </c>
      <c r="AO951" s="1669"/>
      <c r="AP951" s="1669"/>
      <c r="AQ951" s="1794"/>
      <c r="AR951" s="1795"/>
      <c r="AS951" s="1796"/>
      <c r="AT951" s="1796"/>
      <c r="AU951" s="1669">
        <f>I951</f>
        <v>3600</v>
      </c>
      <c r="AV951" s="1797">
        <f>I951</f>
        <v>3600</v>
      </c>
      <c r="AW951" s="1797"/>
      <c r="AX951" s="1652">
        <f>I951</f>
        <v>3600</v>
      </c>
      <c r="AY951" s="1669"/>
      <c r="AZ951" s="1669"/>
      <c r="BA951" s="1669"/>
      <c r="BB951" s="1669"/>
      <c r="BC951" s="1669"/>
      <c r="BD951" s="1669"/>
      <c r="BE951" s="1669"/>
      <c r="BF951" s="1669"/>
      <c r="BG951" s="1669"/>
      <c r="BH951" s="1669"/>
      <c r="BI951" s="1669"/>
      <c r="BJ951" s="1669"/>
      <c r="BK951" s="1669"/>
      <c r="BL951" s="1669"/>
      <c r="BM951" s="1669"/>
      <c r="BN951" s="1794">
        <f>3600/25</f>
        <v>144</v>
      </c>
      <c r="BO951" s="1794"/>
      <c r="BP951" s="1794"/>
      <c r="BQ951" s="1668"/>
      <c r="BR951" s="1796"/>
      <c r="BS951" s="1796"/>
      <c r="BT951" s="1669"/>
      <c r="BU951" s="1669"/>
      <c r="BV951" s="1794"/>
      <c r="BW951" s="1668"/>
      <c r="BX951" s="1668"/>
      <c r="BY951" s="1668"/>
      <c r="BZ951" s="1668"/>
      <c r="CA951" s="1668"/>
      <c r="CB951" s="1668"/>
      <c r="CC951" s="1668"/>
      <c r="CD951" s="1668"/>
      <c r="CE951" s="1668"/>
      <c r="CF951" s="1669"/>
      <c r="CG951" s="1668"/>
      <c r="CH951" s="1798"/>
      <c r="CI951" s="1798"/>
      <c r="CJ951" s="1796"/>
      <c r="CK951" s="1669"/>
      <c r="CL951" s="1669"/>
      <c r="CM951" s="1186"/>
      <c r="CN951" s="1186"/>
      <c r="CO951" s="1186"/>
      <c r="CP951" s="1186"/>
      <c r="CQ951" s="1186"/>
      <c r="CR951" s="1186"/>
      <c r="CS951" s="1186"/>
      <c r="CT951" s="1186"/>
      <c r="CU951" s="1186"/>
      <c r="CV951" s="1186"/>
      <c r="CW951" s="1186"/>
      <c r="CX951" s="1186"/>
      <c r="CY951" s="1186"/>
      <c r="CZ951" s="1186"/>
      <c r="DA951" s="1186"/>
      <c r="DB951" s="1186"/>
      <c r="DC951" s="1186"/>
      <c r="DD951" s="1186"/>
      <c r="DE951" s="1186"/>
      <c r="DF951" s="1186"/>
      <c r="DG951" s="1186"/>
    </row>
    <row r="952" s="293" customFormat="1" customHeight="1" spans="1:111">
      <c r="A952" s="1588">
        <v>46233</v>
      </c>
      <c r="B952" s="1799" t="s">
        <v>3729</v>
      </c>
      <c r="C952" s="1800" t="s">
        <v>201</v>
      </c>
      <c r="D952" s="1801">
        <v>4500218312</v>
      </c>
      <c r="E952" s="1802">
        <v>43737</v>
      </c>
      <c r="F952" s="1801" t="s">
        <v>3730</v>
      </c>
      <c r="G952" s="1803" t="s">
        <v>3731</v>
      </c>
      <c r="H952" s="544" t="s">
        <v>893</v>
      </c>
      <c r="I952" s="1804">
        <v>12000</v>
      </c>
      <c r="J952" s="1805">
        <v>0</v>
      </c>
      <c r="K952" s="1805">
        <v>48</v>
      </c>
      <c r="L952" s="1715">
        <f t="shared" si="313"/>
        <v>250</v>
      </c>
      <c r="M952" s="1717">
        <v>46294</v>
      </c>
      <c r="N952" s="1717">
        <v>46290</v>
      </c>
      <c r="O952" s="1717"/>
      <c r="P952" s="1314"/>
      <c r="Q952" s="1314"/>
      <c r="R952" s="1054"/>
      <c r="S952" s="1054"/>
      <c r="T952" s="1314"/>
      <c r="U952" s="500">
        <f>T952-I952</f>
        <v>-12000</v>
      </c>
      <c r="V952" s="1054"/>
      <c r="W952" s="1300">
        <v>46240</v>
      </c>
      <c r="X952" s="1301" t="s">
        <v>95</v>
      </c>
      <c r="Y952" s="1301" t="s">
        <v>3732</v>
      </c>
      <c r="Z952" s="544"/>
      <c r="AA952" s="544"/>
      <c r="AB952" s="544"/>
      <c r="AC952" s="1708" t="s">
        <v>3733</v>
      </c>
      <c r="AD952" s="1806" t="s">
        <v>3461</v>
      </c>
      <c r="AE952" s="1807">
        <v>1.1642</v>
      </c>
      <c r="AF952" s="1718">
        <f>I952*AE952</f>
        <v>13970.4</v>
      </c>
      <c r="AG952" s="1368"/>
      <c r="AH952" s="488" t="s">
        <v>3630</v>
      </c>
      <c r="AI952" s="488"/>
      <c r="AJ952" s="1054"/>
      <c r="AK952" s="327">
        <f>I952</f>
        <v>12000</v>
      </c>
      <c r="AL952" s="1187"/>
      <c r="AM952" s="1187"/>
      <c r="AN952" s="1187"/>
      <c r="AO952" s="1187"/>
      <c r="AP952" s="1187">
        <f>I952</f>
        <v>12000</v>
      </c>
      <c r="AQ952" s="1187"/>
      <c r="AR952" s="1187"/>
      <c r="AS952" s="1187"/>
      <c r="AT952" s="1187"/>
      <c r="AU952" s="1187">
        <f>I952</f>
        <v>12000</v>
      </c>
      <c r="AV952" s="1318">
        <f>I952*0.06</f>
        <v>720</v>
      </c>
      <c r="AW952" s="1318"/>
      <c r="AX952" s="1187"/>
      <c r="AY952" s="1187"/>
      <c r="AZ952" s="1187"/>
      <c r="BA952" s="1187"/>
      <c r="BB952" s="1187"/>
      <c r="BC952" s="1187"/>
      <c r="BD952" s="1187"/>
      <c r="BE952" s="1187"/>
      <c r="BF952" s="1187"/>
      <c r="BG952" s="327"/>
      <c r="BH952" s="327"/>
      <c r="BI952" s="1187"/>
      <c r="BJ952" s="1187"/>
      <c r="BK952" s="1187"/>
      <c r="BL952" s="1187"/>
      <c r="BM952" s="1187"/>
      <c r="BN952" s="1187"/>
      <c r="BO952" s="1316">
        <f>I952/24</f>
        <v>500</v>
      </c>
      <c r="BP952" s="1187"/>
      <c r="BQ952" s="1187"/>
      <c r="BR952" s="1187"/>
      <c r="BS952" s="1187"/>
      <c r="BT952" s="1187"/>
      <c r="BU952" s="1187"/>
      <c r="BV952" s="1187"/>
      <c r="BW952" s="1187"/>
      <c r="BX952" s="1187"/>
      <c r="BY952" s="1187"/>
      <c r="BZ952" s="1187"/>
      <c r="CA952" s="1187"/>
      <c r="CB952" s="1187"/>
      <c r="CC952" s="1187"/>
      <c r="CD952" s="327">
        <f>BN952+BO952+BQ952+BS952+BR952</f>
        <v>500</v>
      </c>
      <c r="CE952" s="327">
        <f t="shared" ref="CE952:CE960" si="327">BU952</f>
        <v>0</v>
      </c>
      <c r="CF952" s="327">
        <f>CC952</f>
        <v>0</v>
      </c>
      <c r="CG952" s="327">
        <f>BV952+BW952+BX952</f>
        <v>0</v>
      </c>
      <c r="CH952" s="327"/>
      <c r="CI952" s="327"/>
      <c r="CJ952" s="1187"/>
      <c r="CK952" s="1187"/>
      <c r="CL952" s="1187"/>
      <c r="CM952" s="1180"/>
      <c r="CN952" s="1180"/>
      <c r="CO952" s="1180"/>
      <c r="CP952" s="1180"/>
      <c r="CQ952" s="1180"/>
      <c r="CR952" s="1180"/>
      <c r="CS952" s="1180"/>
      <c r="CT952" s="1180"/>
      <c r="CU952" s="1180"/>
      <c r="CV952" s="1180"/>
      <c r="CW952" s="1180"/>
      <c r="CX952" s="1180"/>
      <c r="CY952" s="1180"/>
      <c r="CZ952" s="1180"/>
      <c r="DA952" s="1180"/>
      <c r="DB952" s="1180"/>
      <c r="DC952" s="1180"/>
      <c r="DD952" s="1180"/>
      <c r="DE952" s="1180"/>
      <c r="DF952" s="1180"/>
      <c r="DG952" s="1180"/>
    </row>
    <row r="953" s="293" customFormat="1" customHeight="1" spans="1:111">
      <c r="A953" s="1588">
        <v>46210</v>
      </c>
      <c r="B953" s="1708" t="s">
        <v>1460</v>
      </c>
      <c r="C953" s="1054" t="s">
        <v>1461</v>
      </c>
      <c r="D953" s="1187">
        <v>4500214681</v>
      </c>
      <c r="E953" s="1054"/>
      <c r="F953" s="1187" t="s">
        <v>3734</v>
      </c>
      <c r="G953" s="1713" t="s">
        <v>174</v>
      </c>
      <c r="H953" s="1054" t="s">
        <v>175</v>
      </c>
      <c r="I953" s="1714">
        <v>3016</v>
      </c>
      <c r="J953" s="1054">
        <v>0</v>
      </c>
      <c r="K953" s="1054">
        <v>52</v>
      </c>
      <c r="L953" s="1054">
        <f t="shared" si="313"/>
        <v>58</v>
      </c>
      <c r="M953" s="1717">
        <v>46294</v>
      </c>
      <c r="N953" s="1717">
        <v>46290</v>
      </c>
      <c r="O953" s="1717"/>
      <c r="P953" s="1314"/>
      <c r="Q953" s="1314"/>
      <c r="R953" s="1054"/>
      <c r="S953" s="1054"/>
      <c r="T953" s="1314"/>
      <c r="U953" s="500">
        <f>T953-I953</f>
        <v>-3016</v>
      </c>
      <c r="V953" s="1054"/>
      <c r="W953" s="1300" t="s">
        <v>3064</v>
      </c>
      <c r="X953" s="1301" t="s">
        <v>95</v>
      </c>
      <c r="Y953" s="1301" t="s">
        <v>3735</v>
      </c>
      <c r="Z953" s="544"/>
      <c r="AA953" s="544"/>
      <c r="AB953" s="544"/>
      <c r="AC953" s="1808" t="s">
        <v>3736</v>
      </c>
      <c r="AD953" s="1717" t="s">
        <v>1466</v>
      </c>
      <c r="AE953" s="1767">
        <v>1.0786</v>
      </c>
      <c r="AF953" s="1718">
        <f>I953*AE953</f>
        <v>3253.0576</v>
      </c>
      <c r="AG953" s="1295"/>
      <c r="AH953" s="505" t="s">
        <v>174</v>
      </c>
      <c r="AI953" s="488" t="s">
        <v>112</v>
      </c>
      <c r="AJ953" s="1054"/>
      <c r="AK953" s="327">
        <f>I953*2</f>
        <v>6032</v>
      </c>
      <c r="AL953" s="1187"/>
      <c r="AM953" s="1187"/>
      <c r="AN953" s="1729">
        <f>I953</f>
        <v>3016</v>
      </c>
      <c r="AO953" s="1187"/>
      <c r="AP953" s="1187"/>
      <c r="AQ953" s="1316"/>
      <c r="AR953" s="1187"/>
      <c r="AS953" s="1187"/>
      <c r="AT953" s="1187"/>
      <c r="AU953" s="1187">
        <f>I953</f>
        <v>3016</v>
      </c>
      <c r="AV953" s="1318"/>
      <c r="AW953" s="1318"/>
      <c r="AX953" s="1187"/>
      <c r="AY953" s="1187"/>
      <c r="AZ953" s="1187"/>
      <c r="BA953" s="1187"/>
      <c r="BB953" s="1187"/>
      <c r="BC953" s="1187"/>
      <c r="BD953" s="1187"/>
      <c r="BE953" s="1187"/>
      <c r="BF953" s="1187"/>
      <c r="BG953" s="327"/>
      <c r="BH953" s="327"/>
      <c r="BI953" s="1187"/>
      <c r="BJ953" s="1187"/>
      <c r="BK953" s="1729">
        <f>I953/13</f>
        <v>232</v>
      </c>
      <c r="BL953" s="1187"/>
      <c r="BM953" s="1187"/>
      <c r="BN953" s="1187"/>
      <c r="BO953" s="1316"/>
      <c r="BP953" s="1187"/>
      <c r="BQ953" s="1187"/>
      <c r="BR953" s="1187"/>
      <c r="BS953" s="1187"/>
      <c r="BT953" s="1187"/>
      <c r="BU953" s="1187"/>
      <c r="BV953" s="1187"/>
      <c r="BW953" s="1187"/>
      <c r="BX953" s="1187"/>
      <c r="BY953" s="1187"/>
      <c r="BZ953" s="1187"/>
      <c r="CA953" s="1187"/>
      <c r="CB953" s="1187"/>
      <c r="CC953" s="1187"/>
      <c r="CD953" s="1218">
        <f>BN953+BO953+BQ953+BS953+BR953</f>
        <v>0</v>
      </c>
      <c r="CE953" s="1218">
        <f t="shared" si="327"/>
        <v>0</v>
      </c>
      <c r="CF953" s="502">
        <f>CC953</f>
        <v>0</v>
      </c>
      <c r="CG953" s="1218">
        <f>BV953+BW953+BX953</f>
        <v>0</v>
      </c>
      <c r="CH953" s="327"/>
      <c r="CI953" s="327"/>
      <c r="CJ953" s="1187"/>
      <c r="CK953" s="1187"/>
      <c r="CL953" s="1187"/>
      <c r="CM953" s="1180"/>
      <c r="CN953" s="1180"/>
      <c r="CO953" s="1180"/>
      <c r="CP953" s="1180"/>
      <c r="CQ953" s="1180"/>
      <c r="CR953" s="1180"/>
      <c r="CS953" s="1180"/>
      <c r="CT953" s="1180"/>
      <c r="CU953" s="1180"/>
      <c r="CV953" s="1180"/>
      <c r="CW953" s="1180"/>
      <c r="CX953" s="1180"/>
      <c r="CY953" s="1180"/>
      <c r="CZ953" s="1180"/>
      <c r="DA953" s="1180"/>
      <c r="DB953" s="1180"/>
      <c r="DC953" s="1180"/>
      <c r="DD953" s="1180"/>
      <c r="DE953" s="1180"/>
      <c r="DF953" s="1180"/>
      <c r="DG953" s="1180"/>
    </row>
    <row r="954" s="293" customFormat="1" customHeight="1" spans="1:111">
      <c r="A954" s="1703">
        <v>46203</v>
      </c>
      <c r="B954" s="1704" t="s">
        <v>525</v>
      </c>
      <c r="C954" s="1454" t="s">
        <v>508</v>
      </c>
      <c r="D954" s="1705">
        <v>4500214359</v>
      </c>
      <c r="E954" s="1292">
        <v>21785628</v>
      </c>
      <c r="F954" s="1601" t="s">
        <v>3737</v>
      </c>
      <c r="G954" s="1763" t="s">
        <v>3244</v>
      </c>
      <c r="H954" s="1454" t="s">
        <v>804</v>
      </c>
      <c r="I954" s="1707">
        <v>1392</v>
      </c>
      <c r="J954" s="1454">
        <v>0</v>
      </c>
      <c r="K954" s="1454">
        <v>6</v>
      </c>
      <c r="L954" s="1597">
        <f t="shared" si="313"/>
        <v>232</v>
      </c>
      <c r="M954" s="1586">
        <v>46294</v>
      </c>
      <c r="N954" s="1586">
        <v>46290</v>
      </c>
      <c r="O954" s="1586"/>
      <c r="P954" s="1292"/>
      <c r="Q954" s="1292"/>
      <c r="R954" s="1454"/>
      <c r="S954" s="1454"/>
      <c r="T954" s="1292"/>
      <c r="U954" s="500">
        <f>T954-I954</f>
        <v>-1392</v>
      </c>
      <c r="V954" s="1454"/>
      <c r="W954" s="1300" t="s">
        <v>3064</v>
      </c>
      <c r="X954" s="1325" t="s">
        <v>107</v>
      </c>
      <c r="Y954" s="1301" t="s">
        <v>3534</v>
      </c>
      <c r="Z954" s="1701" t="s">
        <v>360</v>
      </c>
      <c r="AA954" s="544"/>
      <c r="AB954" s="543" t="s">
        <v>2376</v>
      </c>
      <c r="AC954" s="1697" t="s">
        <v>3738</v>
      </c>
      <c r="AD954" s="1586" t="s">
        <v>362</v>
      </c>
      <c r="AE954" s="1601">
        <v>8.5058</v>
      </c>
      <c r="AF954" s="1600">
        <f t="shared" ref="AF954:AF961" si="328">AE954*I954</f>
        <v>11840.0736</v>
      </c>
      <c r="AG954" s="1295"/>
      <c r="AH954" s="488" t="s">
        <v>2727</v>
      </c>
      <c r="AI954" s="488" t="s">
        <v>112</v>
      </c>
      <c r="AJ954" s="1454"/>
      <c r="AK954" s="327">
        <f>I954*2</f>
        <v>2784</v>
      </c>
      <c r="AL954" s="1601"/>
      <c r="AM954" s="1182"/>
      <c r="AN954" s="1601"/>
      <c r="AO954" s="1601"/>
      <c r="AP954" s="1601"/>
      <c r="AQ954" s="1296"/>
      <c r="AR954" s="1187">
        <f>I954*2</f>
        <v>2784</v>
      </c>
      <c r="AS954" s="1601"/>
      <c r="AT954" s="1601"/>
      <c r="AU954" s="1601"/>
      <c r="AV954" s="1298">
        <f>I954*0.06*2</f>
        <v>167.04</v>
      </c>
      <c r="AW954" s="1298"/>
      <c r="AX954" s="1601">
        <f>I954</f>
        <v>1392</v>
      </c>
      <c r="AY954" s="1601"/>
      <c r="AZ954" s="1601"/>
      <c r="BA954" s="1601"/>
      <c r="BB954" s="1601"/>
      <c r="BC954" s="1601"/>
      <c r="BD954" s="1601"/>
      <c r="BE954" s="1601"/>
      <c r="BF954" s="1601"/>
      <c r="BG954" s="502"/>
      <c r="BH954" s="502"/>
      <c r="BI954" s="1601"/>
      <c r="BJ954" s="1601"/>
      <c r="BK954" s="1601"/>
      <c r="BL954" s="1601"/>
      <c r="BM954" s="1601"/>
      <c r="BN954" s="1601"/>
      <c r="BO954" s="1296"/>
      <c r="BP954" s="1601"/>
      <c r="BQ954" s="1182"/>
      <c r="BR954" s="1601"/>
      <c r="BS954" s="1601"/>
      <c r="BT954" s="1601"/>
      <c r="BU954" s="1601"/>
      <c r="BV954" s="1601"/>
      <c r="BW954" s="1182"/>
      <c r="BX954" s="1182"/>
      <c r="BY954" s="1182"/>
      <c r="BZ954" s="1182"/>
      <c r="CA954" s="1182"/>
      <c r="CB954" s="1182"/>
      <c r="CC954" s="1182"/>
      <c r="CD954" s="1218">
        <f>BN954+BO954+BQ954+BS954+BR954</f>
        <v>0</v>
      </c>
      <c r="CE954" s="1218">
        <f t="shared" si="327"/>
        <v>0</v>
      </c>
      <c r="CF954" s="502">
        <f>CC954</f>
        <v>0</v>
      </c>
      <c r="CG954" s="1218">
        <f>BV954+BW954+BX954</f>
        <v>0</v>
      </c>
      <c r="CH954" s="1218"/>
      <c r="CI954" s="1218"/>
      <c r="CJ954" s="1601"/>
      <c r="CK954" s="1601"/>
      <c r="CL954" s="1601"/>
    </row>
    <row r="955" s="1180" customFormat="1" customHeight="1" spans="1:111">
      <c r="A955" s="1289">
        <v>46203</v>
      </c>
      <c r="B955" s="1417" t="s">
        <v>521</v>
      </c>
      <c r="C955" s="1434" t="s">
        <v>101</v>
      </c>
      <c r="D955" s="1435">
        <v>4500214361</v>
      </c>
      <c r="E955" s="1436">
        <v>21785629</v>
      </c>
      <c r="F955" s="1437" t="s">
        <v>3739</v>
      </c>
      <c r="G955" s="1700" t="s">
        <v>3244</v>
      </c>
      <c r="H955" s="1454" t="s">
        <v>804</v>
      </c>
      <c r="I955" s="1439">
        <v>108</v>
      </c>
      <c r="J955" s="1434">
        <v>0</v>
      </c>
      <c r="K955" s="1434">
        <v>6</v>
      </c>
      <c r="L955" s="1597">
        <f t="shared" si="313"/>
        <v>18</v>
      </c>
      <c r="M955" s="507">
        <v>46294</v>
      </c>
      <c r="N955" s="507">
        <v>46290</v>
      </c>
      <c r="O955" s="507"/>
      <c r="P955" s="506"/>
      <c r="Q955" s="506"/>
      <c r="R955" s="504"/>
      <c r="S955" s="504"/>
      <c r="T955" s="506"/>
      <c r="U955" s="500">
        <f>T955-I955</f>
        <v>-108</v>
      </c>
      <c r="V955" s="504"/>
      <c r="W955" s="1300" t="s">
        <v>3064</v>
      </c>
      <c r="X955" s="1308" t="s">
        <v>107</v>
      </c>
      <c r="Y955" s="1294" t="s">
        <v>3534</v>
      </c>
      <c r="Z955" s="1701" t="s">
        <v>360</v>
      </c>
      <c r="AA955" s="544"/>
      <c r="AB955" s="543" t="s">
        <v>2376</v>
      </c>
      <c r="AC955" s="1533" t="s">
        <v>3740</v>
      </c>
      <c r="AD955" s="507" t="s">
        <v>362</v>
      </c>
      <c r="AE955" s="502">
        <v>8.5</v>
      </c>
      <c r="AF955" s="503">
        <f t="shared" si="328"/>
        <v>918</v>
      </c>
      <c r="AG955" s="1295"/>
      <c r="AH955" s="488" t="s">
        <v>2727</v>
      </c>
      <c r="AI955" s="488" t="s">
        <v>112</v>
      </c>
      <c r="AJ955" s="504"/>
      <c r="AK955" s="327">
        <f>I955*2</f>
        <v>216</v>
      </c>
      <c r="AL955" s="502"/>
      <c r="AM955" s="1218"/>
      <c r="AN955" s="1601"/>
      <c r="AO955" s="502"/>
      <c r="AP955" s="502"/>
      <c r="AQ955" s="1296"/>
      <c r="AR955" s="327">
        <f>I955*2</f>
        <v>216</v>
      </c>
      <c r="AS955" s="1297"/>
      <c r="AT955" s="1297"/>
      <c r="AU955" s="502"/>
      <c r="AV955" s="1612">
        <f>I955*0.06*2</f>
        <v>12.96</v>
      </c>
      <c r="AW955" s="1298"/>
      <c r="AX955" s="502">
        <f>I955</f>
        <v>108</v>
      </c>
      <c r="AY955" s="502"/>
      <c r="AZ955" s="502"/>
      <c r="BA955" s="502"/>
      <c r="BB955" s="502"/>
      <c r="BC955" s="502"/>
      <c r="BD955" s="502"/>
      <c r="BE955" s="502"/>
      <c r="BF955" s="502"/>
      <c r="BG955" s="502"/>
      <c r="BH955" s="502"/>
      <c r="BI955" s="502"/>
      <c r="BJ955" s="502"/>
      <c r="BK955" s="502"/>
      <c r="BL955" s="502"/>
      <c r="BM955" s="502"/>
      <c r="BN955" s="502"/>
      <c r="BO955" s="1296"/>
      <c r="BP955" s="1296"/>
      <c r="BQ955" s="1218"/>
      <c r="BR955" s="1297"/>
      <c r="BS955" s="1297"/>
      <c r="BT955" s="502"/>
      <c r="BU955" s="502"/>
      <c r="BV955" s="1296"/>
      <c r="BW955" s="1218"/>
      <c r="BX955" s="1218"/>
      <c r="BY955" s="1218"/>
      <c r="BZ955" s="1218"/>
      <c r="CA955" s="1218"/>
      <c r="CB955" s="1218"/>
      <c r="CC955" s="1218"/>
      <c r="CD955" s="1218">
        <f>BN955+BO955+BQ955+BS955+BR955</f>
        <v>0</v>
      </c>
      <c r="CE955" s="1218">
        <f t="shared" si="327"/>
        <v>0</v>
      </c>
      <c r="CF955" s="502">
        <f>CC955</f>
        <v>0</v>
      </c>
      <c r="CG955" s="1218">
        <f>BV955+BW955+BX955</f>
        <v>0</v>
      </c>
      <c r="CH955" s="1299"/>
      <c r="CI955" s="1299"/>
      <c r="CJ955" s="1297"/>
      <c r="CK955" s="502"/>
      <c r="CL955" s="502"/>
      <c r="CM955" s="293"/>
      <c r="CN955" s="293"/>
      <c r="CO955" s="293"/>
      <c r="CP955" s="293"/>
      <c r="CQ955" s="293"/>
      <c r="CR955" s="293"/>
      <c r="CS955" s="293"/>
      <c r="CT955" s="293"/>
      <c r="CU955" s="293"/>
      <c r="CV955" s="293"/>
      <c r="CW955" s="293"/>
      <c r="CX955" s="293"/>
      <c r="CY955" s="293"/>
      <c r="CZ955" s="293"/>
      <c r="DA955" s="293"/>
      <c r="DB955" s="293"/>
      <c r="DC955" s="293"/>
      <c r="DD955" s="293"/>
      <c r="DE955" s="293"/>
      <c r="DF955" s="293"/>
      <c r="DG955" s="293"/>
    </row>
    <row r="956" s="1180" customFormat="1" customHeight="1" spans="1:111">
      <c r="A956" s="1309">
        <v>46241</v>
      </c>
      <c r="B956" s="544" t="s">
        <v>114</v>
      </c>
      <c r="C956" s="488" t="s">
        <v>115</v>
      </c>
      <c r="D956" s="1445" t="s">
        <v>3741</v>
      </c>
      <c r="E956" s="488" t="s">
        <v>3742</v>
      </c>
      <c r="F956" s="327" t="s">
        <v>3743</v>
      </c>
      <c r="G956" s="1310" t="s">
        <v>118</v>
      </c>
      <c r="H956" s="488" t="s">
        <v>104</v>
      </c>
      <c r="I956" s="1311">
        <v>36175</v>
      </c>
      <c r="J956" s="488">
        <v>0</v>
      </c>
      <c r="K956" s="488">
        <v>25</v>
      </c>
      <c r="L956" s="1544">
        <f t="shared" si="313"/>
        <v>1447</v>
      </c>
      <c r="M956" s="1312">
        <v>46294</v>
      </c>
      <c r="N956" s="1312">
        <v>46290</v>
      </c>
      <c r="O956" s="1312"/>
      <c r="P956" s="1313"/>
      <c r="Q956" s="1313"/>
      <c r="R956" s="488"/>
      <c r="S956" s="488"/>
      <c r="T956" s="1313"/>
      <c r="U956" s="1313"/>
      <c r="V956" s="488"/>
      <c r="W956" s="1300" t="s">
        <v>3064</v>
      </c>
      <c r="X956" s="1294" t="s">
        <v>107</v>
      </c>
      <c r="Y956" s="1301" t="s">
        <v>3505</v>
      </c>
      <c r="Z956" s="544" t="s">
        <v>3692</v>
      </c>
      <c r="AA956" s="544"/>
      <c r="AB956" s="544"/>
      <c r="AC956" s="544" t="s">
        <v>3744</v>
      </c>
      <c r="AD956" s="1312" t="s">
        <v>123</v>
      </c>
      <c r="AE956" s="327">
        <v>0.6406</v>
      </c>
      <c r="AF956" s="1315">
        <f t="shared" si="328"/>
        <v>23173.705</v>
      </c>
      <c r="AG956" s="1295"/>
      <c r="AH956" s="488" t="s">
        <v>118</v>
      </c>
      <c r="AI956" s="488" t="s">
        <v>112</v>
      </c>
      <c r="AJ956" s="488"/>
      <c r="AK956" s="327"/>
      <c r="AL956" s="327"/>
      <c r="AM956" s="327">
        <f>I956</f>
        <v>36175</v>
      </c>
      <c r="AN956" s="327"/>
      <c r="AO956" s="327"/>
      <c r="AP956" s="327"/>
      <c r="AQ956" s="1316"/>
      <c r="AR956" s="327"/>
      <c r="AS956" s="1317"/>
      <c r="AT956" s="1317">
        <f>I956</f>
        <v>36175</v>
      </c>
      <c r="AU956" s="327">
        <f>I956</f>
        <v>36175</v>
      </c>
      <c r="AV956" s="1318">
        <f>I956*0.06</f>
        <v>2170.5</v>
      </c>
      <c r="AW956" s="1318"/>
      <c r="AX956" s="327"/>
      <c r="AY956" s="327"/>
      <c r="AZ956" s="327"/>
      <c r="BA956" s="327"/>
      <c r="BB956" s="327"/>
      <c r="BC956" s="327"/>
      <c r="BD956" s="327"/>
      <c r="BE956" s="327"/>
      <c r="BF956" s="327"/>
      <c r="BG956" s="327"/>
      <c r="BH956" s="327"/>
      <c r="BI956" s="327"/>
      <c r="BJ956" s="327"/>
      <c r="BK956" s="327"/>
      <c r="BL956" s="327"/>
      <c r="BM956" s="327"/>
      <c r="BN956" s="327"/>
      <c r="BO956" s="1316"/>
      <c r="BP956" s="1316"/>
      <c r="BQ956" s="327"/>
      <c r="BR956" s="1317"/>
      <c r="BS956" s="1317"/>
      <c r="BT956" s="327"/>
      <c r="BU956" s="1437">
        <f>I956/25</f>
        <v>1447</v>
      </c>
      <c r="BV956" s="1316"/>
      <c r="BW956" s="327"/>
      <c r="BX956" s="327"/>
      <c r="BY956" s="327"/>
      <c r="BZ956" s="327"/>
      <c r="CA956" s="327"/>
      <c r="CB956" s="327"/>
      <c r="CC956" s="327"/>
      <c r="CD956" s="327"/>
      <c r="CE956" s="327">
        <f t="shared" si="327"/>
        <v>1447</v>
      </c>
      <c r="CF956" s="327"/>
      <c r="CG956" s="327"/>
      <c r="CH956" s="1317"/>
      <c r="CI956" s="1317"/>
      <c r="CJ956" s="1317"/>
      <c r="CK956" s="327"/>
      <c r="CL956" s="327"/>
    </row>
    <row r="957" s="1180" customFormat="1" customHeight="1" spans="1:111">
      <c r="A957" s="1309">
        <v>46241</v>
      </c>
      <c r="B957" s="544" t="s">
        <v>114</v>
      </c>
      <c r="C957" s="488" t="s">
        <v>115</v>
      </c>
      <c r="D957" s="1445" t="s">
        <v>3745</v>
      </c>
      <c r="E957" s="488" t="s">
        <v>3746</v>
      </c>
      <c r="F957" s="327" t="s">
        <v>3747</v>
      </c>
      <c r="G957" s="1310" t="s">
        <v>118</v>
      </c>
      <c r="H957" s="488" t="s">
        <v>104</v>
      </c>
      <c r="I957" s="1311">
        <v>15950</v>
      </c>
      <c r="J957" s="488">
        <v>0</v>
      </c>
      <c r="K957" s="488">
        <v>25</v>
      </c>
      <c r="L957" s="1544">
        <f t="shared" si="313"/>
        <v>638</v>
      </c>
      <c r="M957" s="1312">
        <v>46295</v>
      </c>
      <c r="N957" s="1312">
        <v>46291</v>
      </c>
      <c r="O957" s="1312"/>
      <c r="P957" s="1313"/>
      <c r="Q957" s="1313"/>
      <c r="R957" s="488"/>
      <c r="S957" s="488"/>
      <c r="T957" s="1313"/>
      <c r="U957" s="1313"/>
      <c r="V957" s="488"/>
      <c r="W957" s="1300" t="s">
        <v>3064</v>
      </c>
      <c r="X957" s="1294" t="s">
        <v>107</v>
      </c>
      <c r="Y957" s="1301" t="s">
        <v>3505</v>
      </c>
      <c r="Z957" s="544" t="s">
        <v>3692</v>
      </c>
      <c r="AA957" s="544"/>
      <c r="AB957" s="544"/>
      <c r="AC957" s="544" t="s">
        <v>3744</v>
      </c>
      <c r="AD957" s="1312" t="s">
        <v>123</v>
      </c>
      <c r="AE957" s="327">
        <v>0.6478</v>
      </c>
      <c r="AF957" s="1315">
        <f t="shared" si="328"/>
        <v>10332.41</v>
      </c>
      <c r="AG957" s="1295"/>
      <c r="AH957" s="488" t="s">
        <v>118</v>
      </c>
      <c r="AI957" s="488" t="s">
        <v>112</v>
      </c>
      <c r="AJ957" s="488"/>
      <c r="AK957" s="327"/>
      <c r="AL957" s="327"/>
      <c r="AM957" s="327">
        <f>I957</f>
        <v>15950</v>
      </c>
      <c r="AN957" s="327"/>
      <c r="AO957" s="327"/>
      <c r="AP957" s="327"/>
      <c r="AQ957" s="1316"/>
      <c r="AR957" s="327"/>
      <c r="AS957" s="1317"/>
      <c r="AT957" s="1317">
        <f>I957</f>
        <v>15950</v>
      </c>
      <c r="AU957" s="327">
        <f>I957</f>
        <v>15950</v>
      </c>
      <c r="AV957" s="1318">
        <f>I957*0.06</f>
        <v>957</v>
      </c>
      <c r="AW957" s="1318"/>
      <c r="AX957" s="327"/>
      <c r="AY957" s="327"/>
      <c r="AZ957" s="327"/>
      <c r="BA957" s="327"/>
      <c r="BB957" s="327"/>
      <c r="BC957" s="327"/>
      <c r="BD957" s="327"/>
      <c r="BE957" s="327"/>
      <c r="BF957" s="327"/>
      <c r="BG957" s="327"/>
      <c r="BH957" s="327"/>
      <c r="BI957" s="327"/>
      <c r="BJ957" s="327"/>
      <c r="BK957" s="327"/>
      <c r="BL957" s="327"/>
      <c r="BM957" s="327"/>
      <c r="BN957" s="327"/>
      <c r="BO957" s="1316"/>
      <c r="BP957" s="1316"/>
      <c r="BQ957" s="327"/>
      <c r="BR957" s="1317"/>
      <c r="BS957" s="1317"/>
      <c r="BT957" s="327"/>
      <c r="BU957" s="1437">
        <f>I957/25</f>
        <v>638</v>
      </c>
      <c r="BV957" s="1316"/>
      <c r="BW957" s="327"/>
      <c r="BX957" s="327"/>
      <c r="BY957" s="327"/>
      <c r="BZ957" s="327"/>
      <c r="CA957" s="327"/>
      <c r="CB957" s="327"/>
      <c r="CC957" s="327"/>
      <c r="CD957" s="327"/>
      <c r="CE957" s="327">
        <f t="shared" si="327"/>
        <v>638</v>
      </c>
      <c r="CF957" s="327"/>
      <c r="CG957" s="327"/>
      <c r="CH957" s="1317"/>
      <c r="CI957" s="1317"/>
      <c r="CJ957" s="1317"/>
      <c r="CK957" s="327"/>
      <c r="CL957" s="327"/>
    </row>
    <row r="958" s="1180" customFormat="1" customHeight="1" spans="1:111">
      <c r="A958" s="1309">
        <v>46234</v>
      </c>
      <c r="B958" s="1552" t="s">
        <v>525</v>
      </c>
      <c r="C958" s="1553" t="s">
        <v>508</v>
      </c>
      <c r="D958" s="1555">
        <v>4500214359</v>
      </c>
      <c r="E958" s="1553">
        <v>21975014</v>
      </c>
      <c r="F958" s="1555" t="s">
        <v>3748</v>
      </c>
      <c r="G958" s="1700" t="s">
        <v>3232</v>
      </c>
      <c r="H958" s="1054" t="s">
        <v>194</v>
      </c>
      <c r="I958" s="1557">
        <v>18408</v>
      </c>
      <c r="J958" s="1553">
        <v>0</v>
      </c>
      <c r="K958" s="1553">
        <v>13</v>
      </c>
      <c r="L958" s="1715">
        <f t="shared" si="313"/>
        <v>1416</v>
      </c>
      <c r="M958" s="1545">
        <v>46295</v>
      </c>
      <c r="N958" s="1545">
        <f>M958-4</f>
        <v>46291</v>
      </c>
      <c r="O958" s="1545"/>
      <c r="P958" s="1313"/>
      <c r="Q958" s="1313"/>
      <c r="R958" s="488"/>
      <c r="S958" s="488"/>
      <c r="T958" s="1313"/>
      <c r="U958" s="1313">
        <f>T958-I958</f>
        <v>-18408</v>
      </c>
      <c r="V958" s="488"/>
      <c r="W958" s="1300" t="s">
        <v>3064</v>
      </c>
      <c r="X958" s="1294" t="s">
        <v>107</v>
      </c>
      <c r="Y958" s="1294" t="s">
        <v>3716</v>
      </c>
      <c r="Z958" s="544" t="s">
        <v>360</v>
      </c>
      <c r="AA958" s="544"/>
      <c r="AB958" s="544"/>
      <c r="AC958" s="1528" t="s">
        <v>3749</v>
      </c>
      <c r="AD958" s="1545" t="s">
        <v>362</v>
      </c>
      <c r="AE958" s="327">
        <v>1.1047</v>
      </c>
      <c r="AF958" s="1315">
        <f t="shared" si="328"/>
        <v>20335.3176</v>
      </c>
      <c r="AG958" s="1295"/>
      <c r="AH958" s="488" t="s">
        <v>510</v>
      </c>
      <c r="AI958" s="488" t="s">
        <v>112</v>
      </c>
      <c r="AJ958" s="488"/>
      <c r="AK958" s="327">
        <f t="shared" ref="AK958:AK963" si="329">I958</f>
        <v>18408</v>
      </c>
      <c r="AL958" s="327"/>
      <c r="AM958" s="327"/>
      <c r="AN958" s="1729">
        <f t="shared" ref="AN958:AN966" si="330">I958</f>
        <v>18408</v>
      </c>
      <c r="AO958" s="327"/>
      <c r="AP958" s="327"/>
      <c r="AQ958" s="1316"/>
      <c r="AR958" s="327"/>
      <c r="AS958" s="1317"/>
      <c r="AT958" s="1317"/>
      <c r="AU958" s="327"/>
      <c r="AV958" s="1678">
        <f>I958*0.06</f>
        <v>1104.48</v>
      </c>
      <c r="AW958" s="1318"/>
      <c r="AX958" s="327">
        <f>I958</f>
        <v>18408</v>
      </c>
      <c r="AY958" s="327"/>
      <c r="AZ958" s="327"/>
      <c r="BA958" s="327"/>
      <c r="BB958" s="327"/>
      <c r="BC958" s="327"/>
      <c r="BD958" s="327"/>
      <c r="BE958" s="327"/>
      <c r="BF958" s="327"/>
      <c r="BG958" s="327"/>
      <c r="BH958" s="327"/>
      <c r="BI958" s="327"/>
      <c r="BJ958" s="327"/>
      <c r="BK958" s="327"/>
      <c r="BL958" s="327"/>
      <c r="BM958" s="327"/>
      <c r="BN958" s="327"/>
      <c r="BO958" s="1316"/>
      <c r="BP958" s="1316">
        <f>I958/13</f>
        <v>1416</v>
      </c>
      <c r="BQ958" s="327"/>
      <c r="BR958" s="1317"/>
      <c r="BS958" s="1317"/>
      <c r="BT958" s="327"/>
      <c r="BU958" s="327"/>
      <c r="BV958" s="1316"/>
      <c r="BW958" s="327"/>
      <c r="BX958" s="327"/>
      <c r="BY958" s="327"/>
      <c r="BZ958" s="327"/>
      <c r="CA958" s="327"/>
      <c r="CB958" s="327"/>
      <c r="CC958" s="327"/>
      <c r="CD958" s="327">
        <f>BN958+BO958+BQ958+BS958+BR958</f>
        <v>0</v>
      </c>
      <c r="CE958" s="327">
        <f t="shared" si="327"/>
        <v>0</v>
      </c>
      <c r="CF958" s="327">
        <f>CC958</f>
        <v>0</v>
      </c>
      <c r="CG958" s="327">
        <f>BV958+BW958+BX958</f>
        <v>0</v>
      </c>
      <c r="CH958" s="1317"/>
      <c r="CI958" s="1317"/>
      <c r="CJ958" s="1317"/>
      <c r="CK958" s="327"/>
      <c r="CL958" s="327"/>
    </row>
    <row r="959" s="1179" customFormat="1" customHeight="1" spans="1:111">
      <c r="A959" s="1588">
        <v>46234</v>
      </c>
      <c r="B959" s="1708" t="s">
        <v>521</v>
      </c>
      <c r="C959" s="1054" t="s">
        <v>101</v>
      </c>
      <c r="D959" s="1187">
        <v>4500214361</v>
      </c>
      <c r="E959" s="1054">
        <v>21975025</v>
      </c>
      <c r="F959" s="1187" t="s">
        <v>3750</v>
      </c>
      <c r="G959" s="1763" t="s">
        <v>3232</v>
      </c>
      <c r="H959" s="1054" t="s">
        <v>194</v>
      </c>
      <c r="I959" s="1714">
        <v>1599</v>
      </c>
      <c r="J959" s="1054">
        <v>0</v>
      </c>
      <c r="K959" s="1054">
        <v>13</v>
      </c>
      <c r="L959" s="1715">
        <f t="shared" si="313"/>
        <v>123</v>
      </c>
      <c r="M959" s="1717">
        <v>46295</v>
      </c>
      <c r="N959" s="1717">
        <f>M959-4</f>
        <v>46291</v>
      </c>
      <c r="O959" s="1717"/>
      <c r="P959" s="1314"/>
      <c r="Q959" s="1314"/>
      <c r="R959" s="1054"/>
      <c r="S959" s="1054"/>
      <c r="T959" s="1314"/>
      <c r="U959" s="1313">
        <f>T959-I959</f>
        <v>-1599</v>
      </c>
      <c r="V959" s="1054"/>
      <c r="W959" s="1300" t="s">
        <v>3064</v>
      </c>
      <c r="X959" s="1294" t="s">
        <v>107</v>
      </c>
      <c r="Y959" s="1294" t="s">
        <v>3716</v>
      </c>
      <c r="Z959" s="544" t="s">
        <v>360</v>
      </c>
      <c r="AA959" s="544"/>
      <c r="AB959" s="544"/>
      <c r="AC959" s="1809" t="s">
        <v>3751</v>
      </c>
      <c r="AD959" s="1717" t="s">
        <v>362</v>
      </c>
      <c r="AE959" s="1187">
        <v>1.1186</v>
      </c>
      <c r="AF959" s="1315">
        <f t="shared" si="328"/>
        <v>1788.6414</v>
      </c>
      <c r="AG959" s="1295"/>
      <c r="AH959" s="488" t="s">
        <v>510</v>
      </c>
      <c r="AI959" s="488" t="s">
        <v>112</v>
      </c>
      <c r="AJ959" s="1054"/>
      <c r="AK959" s="327">
        <f t="shared" si="329"/>
        <v>1599</v>
      </c>
      <c r="AL959" s="1187"/>
      <c r="AM959" s="1187"/>
      <c r="AN959" s="1729">
        <f t="shared" si="330"/>
        <v>1599</v>
      </c>
      <c r="AO959" s="1187"/>
      <c r="AP959" s="1187"/>
      <c r="AQ959" s="1187"/>
      <c r="AR959" s="1187"/>
      <c r="AS959" s="1187"/>
      <c r="AT959" s="1187"/>
      <c r="AU959" s="1187"/>
      <c r="AV959" s="1318">
        <f>I959*0.06</f>
        <v>95.94</v>
      </c>
      <c r="AW959" s="1318"/>
      <c r="AX959" s="1187">
        <f>I959</f>
        <v>1599</v>
      </c>
      <c r="AY959" s="1187"/>
      <c r="AZ959" s="1187"/>
      <c r="BA959" s="1187"/>
      <c r="BB959" s="1187"/>
      <c r="BC959" s="1187"/>
      <c r="BD959" s="1187"/>
      <c r="BE959" s="1187"/>
      <c r="BF959" s="1187"/>
      <c r="BG959" s="327"/>
      <c r="BH959" s="327"/>
      <c r="BI959" s="1187"/>
      <c r="BJ959" s="1187"/>
      <c r="BK959" s="1187"/>
      <c r="BL959" s="1187"/>
      <c r="BM959" s="1187"/>
      <c r="BN959" s="1187"/>
      <c r="BO959" s="1316"/>
      <c r="BP959" s="1187">
        <f>I959/13</f>
        <v>123</v>
      </c>
      <c r="BQ959" s="1187"/>
      <c r="BR959" s="1187"/>
      <c r="BS959" s="1187"/>
      <c r="BT959" s="1187"/>
      <c r="BU959" s="1187"/>
      <c r="BV959" s="1187"/>
      <c r="BW959" s="1187"/>
      <c r="BX959" s="1187"/>
      <c r="BY959" s="1187"/>
      <c r="BZ959" s="1187"/>
      <c r="CA959" s="1187"/>
      <c r="CB959" s="1187"/>
      <c r="CC959" s="1187"/>
      <c r="CD959" s="327">
        <f>BN959+BO959+BQ959+BS959+BR959</f>
        <v>0</v>
      </c>
      <c r="CE959" s="327">
        <f t="shared" si="327"/>
        <v>0</v>
      </c>
      <c r="CF959" s="327">
        <f>CC959</f>
        <v>0</v>
      </c>
      <c r="CG959" s="327">
        <f>BV959+BW959+BX959</f>
        <v>0</v>
      </c>
      <c r="CH959" s="327"/>
      <c r="CI959" s="327"/>
      <c r="CJ959" s="1187"/>
      <c r="CK959" s="1187"/>
      <c r="CL959" s="1187"/>
      <c r="CM959" s="1180"/>
      <c r="CN959" s="1180"/>
      <c r="CO959" s="1180"/>
      <c r="CP959" s="1180"/>
      <c r="CQ959" s="1180"/>
      <c r="CR959" s="1180"/>
      <c r="CS959" s="1180"/>
      <c r="CT959" s="1180"/>
      <c r="CU959" s="1180"/>
      <c r="CV959" s="1180"/>
      <c r="CW959" s="1180"/>
      <c r="CX959" s="1180"/>
      <c r="CY959" s="1180"/>
      <c r="CZ959" s="1180"/>
      <c r="DA959" s="1180"/>
      <c r="DB959" s="1180"/>
      <c r="DC959" s="1180"/>
      <c r="DD959" s="1180"/>
      <c r="DE959" s="1180"/>
      <c r="DF959" s="1180"/>
      <c r="DG959" s="1180"/>
    </row>
    <row r="960" s="1179" customFormat="1" customHeight="1" spans="1:111">
      <c r="A960" s="1703">
        <v>46196</v>
      </c>
      <c r="B960" s="1704" t="s">
        <v>507</v>
      </c>
      <c r="C960" s="1454" t="s">
        <v>508</v>
      </c>
      <c r="D960" s="1705">
        <v>4500213421</v>
      </c>
      <c r="E960" s="1292">
        <v>2635326</v>
      </c>
      <c r="F960" s="1601" t="s">
        <v>3752</v>
      </c>
      <c r="G960" s="1763" t="s">
        <v>3232</v>
      </c>
      <c r="H960" s="1454" t="s">
        <v>194</v>
      </c>
      <c r="I960" s="1707">
        <v>5460</v>
      </c>
      <c r="J960" s="1454">
        <v>0</v>
      </c>
      <c r="K960" s="1454">
        <v>13</v>
      </c>
      <c r="L960" s="1597">
        <f t="shared" si="313"/>
        <v>420</v>
      </c>
      <c r="M960" s="1586">
        <v>46295</v>
      </c>
      <c r="N960" s="1586">
        <v>46291</v>
      </c>
      <c r="O960" s="1586"/>
      <c r="P960" s="1292"/>
      <c r="Q960" s="1292"/>
      <c r="R960" s="1454"/>
      <c r="S960" s="1454"/>
      <c r="T960" s="1292"/>
      <c r="U960" s="500">
        <f>T960-I960</f>
        <v>-5460</v>
      </c>
      <c r="V960" s="1454"/>
      <c r="W960" s="1300">
        <v>46198</v>
      </c>
      <c r="X960" s="1294" t="s">
        <v>95</v>
      </c>
      <c r="Y960" s="1294" t="s">
        <v>95</v>
      </c>
      <c r="Z960" s="544" t="s">
        <v>3753</v>
      </c>
      <c r="AA960" s="544"/>
      <c r="AB960" s="543"/>
      <c r="AC960" s="1697" t="s">
        <v>3754</v>
      </c>
      <c r="AD960" s="1587" t="s">
        <v>513</v>
      </c>
      <c r="AE960" s="1733">
        <v>1.1132</v>
      </c>
      <c r="AF960" s="1718">
        <f t="shared" si="328"/>
        <v>6078.072</v>
      </c>
      <c r="AG960" s="1295"/>
      <c r="AH960" s="488" t="s">
        <v>510</v>
      </c>
      <c r="AI960" s="488" t="s">
        <v>112</v>
      </c>
      <c r="AJ960" s="1454"/>
      <c r="AK960" s="502">
        <f t="shared" si="329"/>
        <v>5460</v>
      </c>
      <c r="AL960" s="1601"/>
      <c r="AM960" s="1182"/>
      <c r="AN960" s="1729">
        <f t="shared" si="330"/>
        <v>5460</v>
      </c>
      <c r="AO960" s="1601"/>
      <c r="AP960" s="1601"/>
      <c r="AQ960" s="1601"/>
      <c r="AR960" s="520"/>
      <c r="AS960" s="1601"/>
      <c r="AT960" s="1601"/>
      <c r="AU960" s="1187"/>
      <c r="AV960" s="1298">
        <f t="shared" ref="AV960:AV963" si="331">I960*0.06*2</f>
        <v>655.2</v>
      </c>
      <c r="AW960" s="1298"/>
      <c r="AX960" s="1187">
        <f>I960</f>
        <v>5460</v>
      </c>
      <c r="AY960" s="1187"/>
      <c r="AZ960" s="1601"/>
      <c r="BA960" s="1601"/>
      <c r="BB960" s="1601"/>
      <c r="BC960" s="1601"/>
      <c r="BD960" s="1601"/>
      <c r="BE960" s="1601"/>
      <c r="BF960" s="1601"/>
      <c r="BG960" s="502"/>
      <c r="BH960" s="502"/>
      <c r="BI960" s="1601"/>
      <c r="BJ960" s="1601"/>
      <c r="BK960" s="1601"/>
      <c r="BL960" s="1601"/>
      <c r="BM960" s="1601"/>
      <c r="BN960" s="1601"/>
      <c r="BO960" s="1296"/>
      <c r="BP960" s="1187">
        <f>I960/13</f>
        <v>420</v>
      </c>
      <c r="BQ960" s="1182"/>
      <c r="BR960" s="1601"/>
      <c r="BS960" s="1601"/>
      <c r="BT960" s="1601"/>
      <c r="BU960" s="1601"/>
      <c r="BV960" s="1601"/>
      <c r="BW960" s="1182"/>
      <c r="BX960" s="1182"/>
      <c r="BY960" s="1182"/>
      <c r="BZ960" s="1182"/>
      <c r="CA960" s="1182"/>
      <c r="CB960" s="1182"/>
      <c r="CC960" s="1182"/>
      <c r="CD960" s="1218">
        <f>BN960+BO960+BQ960+BS960+BR960</f>
        <v>0</v>
      </c>
      <c r="CE960" s="1218">
        <f t="shared" si="327"/>
        <v>0</v>
      </c>
      <c r="CF960" s="502">
        <f>CC960</f>
        <v>0</v>
      </c>
      <c r="CG960" s="1218">
        <f>BV960+BW960+BX960</f>
        <v>0</v>
      </c>
      <c r="CH960" s="1218"/>
      <c r="CI960" s="1218"/>
      <c r="CJ960" s="1601"/>
      <c r="CK960" s="1601"/>
      <c r="CL960" s="1601"/>
      <c r="CM960" s="293"/>
      <c r="CN960" s="293"/>
      <c r="CO960" s="293"/>
      <c r="CP960" s="293"/>
      <c r="CQ960" s="293"/>
      <c r="CR960" s="293"/>
      <c r="CS960" s="293"/>
      <c r="CT960" s="293"/>
      <c r="CU960" s="293"/>
      <c r="CV960" s="293"/>
      <c r="CW960" s="293"/>
      <c r="CX960" s="293"/>
      <c r="CY960" s="293"/>
      <c r="CZ960" s="293"/>
      <c r="DA960" s="293"/>
      <c r="DB960" s="293"/>
      <c r="DC960" s="293"/>
      <c r="DD960" s="293"/>
      <c r="DE960" s="293"/>
      <c r="DF960" s="293"/>
      <c r="DG960" s="293"/>
    </row>
    <row r="961" s="1181" customFormat="1" customHeight="1" spans="1:111">
      <c r="A961" s="1782">
        <v>46246</v>
      </c>
      <c r="B961" s="1783" t="s">
        <v>1957</v>
      </c>
      <c r="C961" s="1784" t="s">
        <v>1895</v>
      </c>
      <c r="D961" s="1785">
        <v>4500219764</v>
      </c>
      <c r="E961" s="1784">
        <v>4600001827</v>
      </c>
      <c r="F961" s="1785" t="s">
        <v>3755</v>
      </c>
      <c r="G961" s="1786" t="s">
        <v>3756</v>
      </c>
      <c r="H961" s="1654" t="s">
        <v>859</v>
      </c>
      <c r="I961" s="1787">
        <v>7007</v>
      </c>
      <c r="J961" s="1784">
        <v>0</v>
      </c>
      <c r="K961" s="1784">
        <v>13</v>
      </c>
      <c r="L961" s="1788">
        <f t="shared" si="313"/>
        <v>539</v>
      </c>
      <c r="M961" s="1789">
        <v>46295</v>
      </c>
      <c r="N961" s="1789">
        <v>46291</v>
      </c>
      <c r="O961" s="1789"/>
      <c r="P961" s="1790"/>
      <c r="Q961" s="1790"/>
      <c r="R961" s="1654"/>
      <c r="S961" s="1654"/>
      <c r="T961" s="1790"/>
      <c r="U961" s="1658"/>
      <c r="V961" s="1654"/>
      <c r="W961" s="1659">
        <v>46246</v>
      </c>
      <c r="X961" s="1791" t="s">
        <v>95</v>
      </c>
      <c r="Y961" s="1660" t="s">
        <v>3757</v>
      </c>
      <c r="Z961" s="1648"/>
      <c r="AA961" s="1648"/>
      <c r="AB961" s="1792"/>
      <c r="AC961" s="1791" t="s">
        <v>3758</v>
      </c>
      <c r="AD961" s="1789" t="s">
        <v>3759</v>
      </c>
      <c r="AE961" s="1669">
        <v>1.0755</v>
      </c>
      <c r="AF961" s="1793">
        <f t="shared" si="328"/>
        <v>7536.0285</v>
      </c>
      <c r="AG961" s="1662"/>
      <c r="AH961" s="1774"/>
      <c r="AI961" s="1649"/>
      <c r="AJ961" s="1654"/>
      <c r="AK961" s="1652">
        <f t="shared" si="329"/>
        <v>7007</v>
      </c>
      <c r="AL961" s="1669"/>
      <c r="AM961" s="1668"/>
      <c r="AN961" s="1669"/>
      <c r="AO961" s="1669"/>
      <c r="AP961" s="1669">
        <f>I961</f>
        <v>7007</v>
      </c>
      <c r="AQ961" s="1794"/>
      <c r="AR961" s="1795"/>
      <c r="AS961" s="1796"/>
      <c r="AT961" s="1796"/>
      <c r="AU961" s="1669">
        <f>I961</f>
        <v>7007</v>
      </c>
      <c r="AV961" s="1797">
        <f>I961</f>
        <v>7007</v>
      </c>
      <c r="AW961" s="1797"/>
      <c r="AX961" s="1669"/>
      <c r="AY961" s="1669"/>
      <c r="AZ961" s="1669"/>
      <c r="BA961" s="1669"/>
      <c r="BB961" s="1669"/>
      <c r="BC961" s="1669"/>
      <c r="BD961" s="1669"/>
      <c r="BE961" s="1669"/>
      <c r="BF961" s="1669"/>
      <c r="BG961" s="1669"/>
      <c r="BH961" s="1669"/>
      <c r="BI961" s="1669"/>
      <c r="BJ961" s="1669"/>
      <c r="BK961" s="1669"/>
      <c r="BL961" s="1669">
        <f>I961/13</f>
        <v>539</v>
      </c>
      <c r="BM961" s="1669"/>
      <c r="BN961" s="1669"/>
      <c r="BO961" s="1794"/>
      <c r="BP961" s="1794"/>
      <c r="BQ961" s="1668"/>
      <c r="BR961" s="1796"/>
      <c r="BS961" s="1796"/>
      <c r="BT961" s="1669"/>
      <c r="BU961" s="1669"/>
      <c r="BV961" s="1794"/>
      <c r="BW961" s="1668"/>
      <c r="BX961" s="1668"/>
      <c r="BY961" s="1668"/>
      <c r="BZ961" s="1668"/>
      <c r="CA961" s="1668"/>
      <c r="CB961" s="1668"/>
      <c r="CC961" s="1668"/>
      <c r="CD961" s="1668"/>
      <c r="CE961" s="1668"/>
      <c r="CF961" s="1669"/>
      <c r="CG961" s="1668"/>
      <c r="CH961" s="1798"/>
      <c r="CI961" s="1798"/>
      <c r="CJ961" s="1796"/>
      <c r="CK961" s="1669"/>
      <c r="CL961" s="1669"/>
      <c r="CM961" s="1186"/>
      <c r="CN961" s="1186"/>
      <c r="CO961" s="1186"/>
      <c r="CP961" s="1186"/>
      <c r="CQ961" s="1186"/>
      <c r="CR961" s="1186"/>
      <c r="CS961" s="1186"/>
      <c r="CT961" s="1186"/>
      <c r="CU961" s="1186"/>
      <c r="CV961" s="1186"/>
      <c r="CW961" s="1186"/>
      <c r="CX961" s="1186"/>
      <c r="CY961" s="1186"/>
      <c r="CZ961" s="1186"/>
      <c r="DA961" s="1186"/>
      <c r="DB961" s="1186"/>
      <c r="DC961" s="1186"/>
      <c r="DD961" s="1186"/>
      <c r="DE961" s="1186"/>
      <c r="DF961" s="1186"/>
      <c r="DG961" s="1186"/>
    </row>
    <row r="962" s="1186" customFormat="1" customHeight="1" spans="1:111">
      <c r="A962" s="1772">
        <v>46245</v>
      </c>
      <c r="B962" s="1773" t="s">
        <v>3760</v>
      </c>
      <c r="C962" s="1774" t="s">
        <v>115</v>
      </c>
      <c r="D962" s="1775">
        <v>4500219585</v>
      </c>
      <c r="E962" s="1774">
        <v>219712460</v>
      </c>
      <c r="F962" s="1775" t="s">
        <v>3761</v>
      </c>
      <c r="G962" s="1776" t="s">
        <v>289</v>
      </c>
      <c r="H962" s="1774" t="s">
        <v>194</v>
      </c>
      <c r="I962" s="1777">
        <v>8450</v>
      </c>
      <c r="J962" s="1774">
        <v>0</v>
      </c>
      <c r="K962" s="1774">
        <v>13</v>
      </c>
      <c r="L962" s="1778">
        <f t="shared" si="313"/>
        <v>650</v>
      </c>
      <c r="M962" s="1779">
        <v>46303</v>
      </c>
      <c r="N962" s="1779">
        <v>46300</v>
      </c>
      <c r="O962" s="1779"/>
      <c r="P962" s="1780"/>
      <c r="Q962" s="1780"/>
      <c r="R962" s="1774"/>
      <c r="S962" s="1774"/>
      <c r="T962" s="1780"/>
      <c r="U962" s="1658"/>
      <c r="V962" s="1774"/>
      <c r="W962" s="1659" t="s">
        <v>3064</v>
      </c>
      <c r="X962" s="1660" t="s">
        <v>95</v>
      </c>
      <c r="Y962" s="1660" t="s">
        <v>3762</v>
      </c>
      <c r="Z962" s="1648"/>
      <c r="AA962" s="1648"/>
      <c r="AB962" s="1648"/>
      <c r="AC962" s="1781" t="s">
        <v>3763</v>
      </c>
      <c r="AD962" s="1779" t="s">
        <v>3764</v>
      </c>
      <c r="AE962" s="1775">
        <v>0.6347</v>
      </c>
      <c r="AF962" s="1661">
        <f>I962*AE962</f>
        <v>5363.215</v>
      </c>
      <c r="AG962" s="1662"/>
      <c r="AH962" s="1654" t="s">
        <v>289</v>
      </c>
      <c r="AI962" s="1649" t="s">
        <v>112</v>
      </c>
      <c r="AJ962" s="1774"/>
      <c r="AK962" s="1652">
        <f t="shared" si="329"/>
        <v>8450</v>
      </c>
      <c r="AL962" s="1775"/>
      <c r="AM962" s="1775"/>
      <c r="AN962" s="1652">
        <f t="shared" si="330"/>
        <v>8450</v>
      </c>
      <c r="AO962" s="1652"/>
      <c r="AP962" s="1775"/>
      <c r="AQ962" s="1775"/>
      <c r="AR962" s="1775"/>
      <c r="AS962" s="1775"/>
      <c r="AT962" s="1775"/>
      <c r="AU962" s="1669">
        <f>I962</f>
        <v>8450</v>
      </c>
      <c r="AV962" s="1797">
        <f t="shared" si="331"/>
        <v>1014</v>
      </c>
      <c r="AW962" s="1666"/>
      <c r="AX962" s="1775"/>
      <c r="AY962" s="1775"/>
      <c r="AZ962" s="1775"/>
      <c r="BA962" s="1775"/>
      <c r="BB962" s="1775"/>
      <c r="BC962" s="1775"/>
      <c r="BD962" s="1775"/>
      <c r="BE962" s="1775"/>
      <c r="BF962" s="1775"/>
      <c r="BG962" s="1652"/>
      <c r="BH962" s="1652"/>
      <c r="BI962" s="1775"/>
      <c r="BJ962" s="1775"/>
      <c r="BK962" s="1652">
        <f>I962/13</f>
        <v>650</v>
      </c>
      <c r="BL962" s="1775"/>
      <c r="BM962" s="1652"/>
      <c r="BN962" s="1775"/>
      <c r="BO962" s="1664"/>
      <c r="BP962" s="1775"/>
      <c r="BQ962" s="1775"/>
      <c r="BR962" s="1775"/>
      <c r="BS962" s="1775"/>
      <c r="BT962" s="1775"/>
      <c r="BU962" s="1775"/>
      <c r="BV962" s="1775"/>
      <c r="BW962" s="1775"/>
      <c r="BX962" s="1775"/>
      <c r="BY962" s="1775"/>
      <c r="BZ962" s="1775"/>
      <c r="CA962" s="1775"/>
      <c r="CB962" s="1775"/>
      <c r="CC962" s="1775"/>
      <c r="CD962" s="1652"/>
      <c r="CE962" s="1652"/>
      <c r="CF962" s="1652"/>
      <c r="CG962" s="1652"/>
      <c r="CH962" s="1652"/>
      <c r="CI962" s="1652"/>
      <c r="CJ962" s="1775"/>
      <c r="CK962" s="1775"/>
      <c r="CL962" s="1775"/>
      <c r="CM962" s="1181"/>
      <c r="CN962" s="1181"/>
      <c r="CO962" s="1181"/>
      <c r="CP962" s="1181"/>
      <c r="CQ962" s="1181"/>
      <c r="CR962" s="1181"/>
      <c r="CS962" s="1181"/>
      <c r="CT962" s="1181"/>
      <c r="CU962" s="1181"/>
      <c r="CV962" s="1181"/>
      <c r="CW962" s="1181"/>
      <c r="CX962" s="1181"/>
      <c r="CY962" s="1181"/>
      <c r="CZ962" s="1181"/>
      <c r="DA962" s="1181"/>
      <c r="DB962" s="1181"/>
      <c r="DC962" s="1181"/>
      <c r="DD962" s="1181"/>
      <c r="DE962" s="1181"/>
      <c r="DF962" s="1181"/>
      <c r="DG962" s="1181"/>
    </row>
    <row r="963" s="1186" customFormat="1" customHeight="1" spans="1:111">
      <c r="A963" s="1772">
        <v>46245</v>
      </c>
      <c r="B963" s="1773" t="s">
        <v>3760</v>
      </c>
      <c r="C963" s="1774" t="s">
        <v>115</v>
      </c>
      <c r="D963" s="1775">
        <v>4500219585</v>
      </c>
      <c r="E963" s="1774">
        <v>219712468</v>
      </c>
      <c r="F963" s="1775" t="s">
        <v>3765</v>
      </c>
      <c r="G963" s="1776" t="s">
        <v>289</v>
      </c>
      <c r="H963" s="1774" t="s">
        <v>194</v>
      </c>
      <c r="I963" s="1777">
        <v>5551</v>
      </c>
      <c r="J963" s="1774">
        <v>0</v>
      </c>
      <c r="K963" s="1774">
        <v>13</v>
      </c>
      <c r="L963" s="1778">
        <f t="shared" si="313"/>
        <v>427</v>
      </c>
      <c r="M963" s="1779">
        <v>46303</v>
      </c>
      <c r="N963" s="1779">
        <v>46300</v>
      </c>
      <c r="O963" s="1779"/>
      <c r="P963" s="1780"/>
      <c r="Q963" s="1780"/>
      <c r="R963" s="1774"/>
      <c r="S963" s="1774"/>
      <c r="T963" s="1780"/>
      <c r="U963" s="1658"/>
      <c r="V963" s="1774"/>
      <c r="W963" s="1659" t="s">
        <v>3064</v>
      </c>
      <c r="X963" s="1660" t="s">
        <v>95</v>
      </c>
      <c r="Y963" s="1660" t="s">
        <v>3762</v>
      </c>
      <c r="Z963" s="1648"/>
      <c r="AA963" s="1648"/>
      <c r="AB963" s="1648"/>
      <c r="AC963" s="1781" t="s">
        <v>3763</v>
      </c>
      <c r="AD963" s="1779" t="s">
        <v>3764</v>
      </c>
      <c r="AE963" s="1775">
        <v>0.6347</v>
      </c>
      <c r="AF963" s="1661">
        <f>I963*AE963</f>
        <v>3523.2197</v>
      </c>
      <c r="AG963" s="1662"/>
      <c r="AH963" s="1654" t="s">
        <v>289</v>
      </c>
      <c r="AI963" s="1649" t="s">
        <v>112</v>
      </c>
      <c r="AJ963" s="1774"/>
      <c r="AK963" s="1652">
        <f t="shared" si="329"/>
        <v>5551</v>
      </c>
      <c r="AL963" s="1775"/>
      <c r="AM963" s="1775"/>
      <c r="AN963" s="1652">
        <f t="shared" si="330"/>
        <v>5551</v>
      </c>
      <c r="AO963" s="1652"/>
      <c r="AP963" s="1775"/>
      <c r="AQ963" s="1775"/>
      <c r="AR963" s="1775"/>
      <c r="AS963" s="1775"/>
      <c r="AT963" s="1775"/>
      <c r="AU963" s="1669">
        <f>I963</f>
        <v>5551</v>
      </c>
      <c r="AV963" s="1797">
        <f t="shared" si="331"/>
        <v>666.12</v>
      </c>
      <c r="AW963" s="1666"/>
      <c r="AX963" s="1775"/>
      <c r="AY963" s="1775"/>
      <c r="AZ963" s="1775"/>
      <c r="BA963" s="1775"/>
      <c r="BB963" s="1775"/>
      <c r="BC963" s="1775"/>
      <c r="BD963" s="1775"/>
      <c r="BE963" s="1775"/>
      <c r="BF963" s="1775"/>
      <c r="BG963" s="1652"/>
      <c r="BH963" s="1652"/>
      <c r="BI963" s="1775"/>
      <c r="BJ963" s="1775"/>
      <c r="BK963" s="1652">
        <f>I963/13</f>
        <v>427</v>
      </c>
      <c r="BL963" s="1775"/>
      <c r="BM963" s="1652"/>
      <c r="BN963" s="1775"/>
      <c r="BO963" s="1664"/>
      <c r="BP963" s="1775"/>
      <c r="BQ963" s="1775"/>
      <c r="BR963" s="1775"/>
      <c r="BS963" s="1775"/>
      <c r="BT963" s="1775"/>
      <c r="BU963" s="1775"/>
      <c r="BV963" s="1775"/>
      <c r="BW963" s="1775"/>
      <c r="BX963" s="1775"/>
      <c r="BY963" s="1775"/>
      <c r="BZ963" s="1775"/>
      <c r="CA963" s="1775"/>
      <c r="CB963" s="1775"/>
      <c r="CC963" s="1775"/>
      <c r="CD963" s="1652"/>
      <c r="CE963" s="1652"/>
      <c r="CF963" s="1652"/>
      <c r="CG963" s="1652"/>
      <c r="CH963" s="1652"/>
      <c r="CI963" s="1652"/>
      <c r="CJ963" s="1775"/>
      <c r="CK963" s="1775"/>
      <c r="CL963" s="1775"/>
      <c r="CM963" s="1181"/>
      <c r="CN963" s="1181"/>
      <c r="CO963" s="1181"/>
      <c r="CP963" s="1181"/>
      <c r="CQ963" s="1181"/>
      <c r="CR963" s="1181"/>
      <c r="CS963" s="1181"/>
      <c r="CT963" s="1181"/>
      <c r="CU963" s="1181"/>
      <c r="CV963" s="1181"/>
      <c r="CW963" s="1181"/>
      <c r="CX963" s="1181"/>
      <c r="CY963" s="1181"/>
      <c r="CZ963" s="1181"/>
      <c r="DA963" s="1181"/>
      <c r="DB963" s="1181"/>
      <c r="DC963" s="1181"/>
      <c r="DD963" s="1181"/>
      <c r="DE963" s="1181"/>
      <c r="DF963" s="1181"/>
      <c r="DG963" s="1181"/>
    </row>
    <row r="964" s="293" customFormat="1" customHeight="1" spans="1:111">
      <c r="A964" s="1670">
        <v>46206</v>
      </c>
      <c r="B964" s="1552" t="s">
        <v>3766</v>
      </c>
      <c r="C964" s="1553" t="s">
        <v>115</v>
      </c>
      <c r="D964" s="1554">
        <v>4500213343</v>
      </c>
      <c r="E964" s="1621">
        <v>60304410</v>
      </c>
      <c r="F964" s="1555" t="s">
        <v>3767</v>
      </c>
      <c r="G964" s="1556" t="s">
        <v>803</v>
      </c>
      <c r="H964" s="1553" t="s">
        <v>804</v>
      </c>
      <c r="I964" s="1557">
        <v>5400</v>
      </c>
      <c r="J964" s="1553">
        <v>0</v>
      </c>
      <c r="K964" s="1553">
        <v>6</v>
      </c>
      <c r="L964" s="1675">
        <f t="shared" si="313"/>
        <v>900</v>
      </c>
      <c r="M964" s="1545">
        <v>46303</v>
      </c>
      <c r="N964" s="1545">
        <v>46300</v>
      </c>
      <c r="O964" s="1545"/>
      <c r="P964" s="1621"/>
      <c r="Q964" s="1621"/>
      <c r="R964" s="1553"/>
      <c r="S964" s="1553"/>
      <c r="T964" s="1621"/>
      <c r="U964" s="500">
        <f t="shared" ref="U964:U969" si="332">T964-I964</f>
        <v>-5400</v>
      </c>
      <c r="V964" s="1553"/>
      <c r="W964" s="1300" t="s">
        <v>3064</v>
      </c>
      <c r="X964" s="1301" t="s">
        <v>95</v>
      </c>
      <c r="Y964" s="1301" t="s">
        <v>3768</v>
      </c>
      <c r="Z964" s="1552"/>
      <c r="AA964" s="1552"/>
      <c r="AB964" s="1552"/>
      <c r="AC964" s="1552" t="s">
        <v>3769</v>
      </c>
      <c r="AD964" s="1545" t="s">
        <v>3770</v>
      </c>
      <c r="AE964" s="1555">
        <v>4.89</v>
      </c>
      <c r="AF964" s="1677">
        <f>AE964*I964</f>
        <v>26406</v>
      </c>
      <c r="AG964" s="1368"/>
      <c r="AH964" s="1234" t="s">
        <v>806</v>
      </c>
      <c r="AI964" s="488" t="s">
        <v>112</v>
      </c>
      <c r="AJ964" s="1553"/>
      <c r="AK964" s="1555">
        <f>I964*2</f>
        <v>10800</v>
      </c>
      <c r="AL964" s="1555"/>
      <c r="AM964" s="1555"/>
      <c r="AN964" s="1418">
        <f t="shared" si="330"/>
        <v>5400</v>
      </c>
      <c r="AO964" s="502"/>
      <c r="AP964" s="502"/>
      <c r="AQ964" s="1296"/>
      <c r="AR964" s="438"/>
      <c r="AS964" s="1297"/>
      <c r="AT964" s="1297"/>
      <c r="AU964" s="502">
        <f t="shared" ref="AU964:AU971" si="333">I964</f>
        <v>5400</v>
      </c>
      <c r="AV964" s="1678"/>
      <c r="AW964" s="1612"/>
      <c r="AX964" s="1555"/>
      <c r="AY964" s="1555"/>
      <c r="AZ964" s="327"/>
      <c r="BA964" s="327"/>
      <c r="BB964" s="1555"/>
      <c r="BC964" s="1555"/>
      <c r="BD964" s="1555"/>
      <c r="BE964" s="1555"/>
      <c r="BF964" s="1555"/>
      <c r="BG964" s="1555"/>
      <c r="BH964" s="1555"/>
      <c r="BI964" s="1555"/>
      <c r="BJ964" s="1555"/>
      <c r="BK964" s="1555"/>
      <c r="BL964" s="1555"/>
      <c r="BM964" s="1555"/>
      <c r="BN964" s="327"/>
      <c r="BO964" s="1679"/>
      <c r="BP964" s="1679"/>
      <c r="BQ964" s="1555"/>
      <c r="BR964" s="1680"/>
      <c r="BS964" s="1680"/>
      <c r="BT964" s="1555"/>
      <c r="BU964" s="1555"/>
      <c r="BV964" s="1679"/>
      <c r="BW964" s="1555"/>
      <c r="BX964" s="1555"/>
      <c r="BY964" s="1555"/>
      <c r="BZ964" s="1555"/>
      <c r="CA964" s="1555"/>
      <c r="CB964" s="1555"/>
      <c r="CC964" s="1555"/>
      <c r="CD964" s="1218">
        <f t="shared" ref="CD964:CD969" si="334">BN964+BO964+BQ964+BS964+BR964</f>
        <v>0</v>
      </c>
      <c r="CE964" s="1218">
        <f t="shared" ref="CE964:CE975" si="335">BU964</f>
        <v>0</v>
      </c>
      <c r="CF964" s="502">
        <f t="shared" ref="CF964:CF969" si="336">CC964</f>
        <v>0</v>
      </c>
      <c r="CG964" s="1218">
        <f t="shared" ref="CG964:CG969" si="337">BV964+BW964+BX964</f>
        <v>0</v>
      </c>
      <c r="CH964" s="1680"/>
      <c r="CI964" s="1680"/>
      <c r="CJ964" s="1680"/>
      <c r="CK964" s="1555"/>
      <c r="CL964" s="1555"/>
      <c r="CM964" s="1180"/>
      <c r="CN964" s="1180"/>
      <c r="CO964" s="1180"/>
      <c r="CP964" s="1180"/>
      <c r="CQ964" s="1180"/>
      <c r="CR964" s="1180"/>
      <c r="CS964" s="1180"/>
      <c r="CT964" s="1180"/>
      <c r="CU964" s="1180"/>
      <c r="CV964" s="1180"/>
      <c r="CW964" s="1180"/>
      <c r="CX964" s="1180"/>
      <c r="CY964" s="1180"/>
      <c r="CZ964" s="1180"/>
      <c r="DA964" s="1180"/>
      <c r="DB964" s="1180"/>
      <c r="DC964" s="1180"/>
      <c r="DD964" s="1180"/>
      <c r="DE964" s="1180"/>
      <c r="DF964" s="1180"/>
      <c r="DG964" s="1180"/>
    </row>
    <row r="965" s="1177" customFormat="1" customHeight="1" spans="1:111">
      <c r="A965" s="1309">
        <v>46206</v>
      </c>
      <c r="B965" s="1552" t="s">
        <v>3766</v>
      </c>
      <c r="C965" s="1553" t="s">
        <v>115</v>
      </c>
      <c r="D965" s="1554">
        <v>4500213343</v>
      </c>
      <c r="E965" s="1621">
        <v>60304417</v>
      </c>
      <c r="F965" s="1555" t="s">
        <v>3771</v>
      </c>
      <c r="G965" s="1556" t="s">
        <v>803</v>
      </c>
      <c r="H965" s="488" t="s">
        <v>804</v>
      </c>
      <c r="I965" s="1557">
        <v>10002</v>
      </c>
      <c r="J965" s="1553">
        <v>0</v>
      </c>
      <c r="K965" s="1553">
        <v>6</v>
      </c>
      <c r="L965" s="1544">
        <f t="shared" si="313"/>
        <v>1667</v>
      </c>
      <c r="M965" s="1545">
        <v>46303</v>
      </c>
      <c r="N965" s="1545">
        <v>46300</v>
      </c>
      <c r="O965" s="1545"/>
      <c r="P965" s="1313"/>
      <c r="Q965" s="1313"/>
      <c r="R965" s="488"/>
      <c r="S965" s="488"/>
      <c r="T965" s="1313"/>
      <c r="U965" s="500">
        <f t="shared" si="332"/>
        <v>-10002</v>
      </c>
      <c r="V965" s="488"/>
      <c r="W965" s="1300" t="s">
        <v>3064</v>
      </c>
      <c r="X965" s="1294" t="s">
        <v>95</v>
      </c>
      <c r="Y965" s="1294" t="s">
        <v>3768</v>
      </c>
      <c r="Z965" s="544"/>
      <c r="AA965" s="544"/>
      <c r="AB965" s="544"/>
      <c r="AC965" s="1552" t="s">
        <v>3769</v>
      </c>
      <c r="AD965" s="1545" t="s">
        <v>3770</v>
      </c>
      <c r="AE965" s="327">
        <v>4.89</v>
      </c>
      <c r="AF965" s="1315">
        <f>AE965*I965</f>
        <v>48909.78</v>
      </c>
      <c r="AG965" s="1610"/>
      <c r="AH965" s="1234" t="s">
        <v>806</v>
      </c>
      <c r="AI965" s="1553" t="s">
        <v>112</v>
      </c>
      <c r="AJ965" s="488"/>
      <c r="AK965" s="327">
        <f>I965*2</f>
        <v>20004</v>
      </c>
      <c r="AL965" s="327"/>
      <c r="AM965" s="327"/>
      <c r="AN965" s="1702">
        <f t="shared" si="330"/>
        <v>10002</v>
      </c>
      <c r="AO965" s="1437"/>
      <c r="AP965" s="502"/>
      <c r="AQ965" s="1615"/>
      <c r="AR965" s="456"/>
      <c r="AS965" s="1616"/>
      <c r="AT965" s="1616"/>
      <c r="AU965" s="502">
        <f t="shared" si="333"/>
        <v>10002</v>
      </c>
      <c r="AV965" s="1318"/>
      <c r="AW965" s="1318"/>
      <c r="AX965" s="327"/>
      <c r="AY965" s="327"/>
      <c r="AZ965" s="327"/>
      <c r="BA965" s="327"/>
      <c r="BB965" s="327"/>
      <c r="BC965" s="327"/>
      <c r="BD965" s="327"/>
      <c r="BE965" s="327"/>
      <c r="BF965" s="327"/>
      <c r="BG965" s="327"/>
      <c r="BH965" s="327"/>
      <c r="BI965" s="327"/>
      <c r="BJ965" s="327"/>
      <c r="BK965" s="327"/>
      <c r="BL965" s="327"/>
      <c r="BM965" s="327"/>
      <c r="BN965" s="327"/>
      <c r="BO965" s="1316"/>
      <c r="BP965" s="1316"/>
      <c r="BQ965" s="327"/>
      <c r="BR965" s="1317"/>
      <c r="BS965" s="1317"/>
      <c r="BT965" s="327"/>
      <c r="BU965" s="327"/>
      <c r="BV965" s="1316"/>
      <c r="BW965" s="327"/>
      <c r="BX965" s="327"/>
      <c r="BY965" s="327"/>
      <c r="BZ965" s="327"/>
      <c r="CA965" s="327"/>
      <c r="CB965" s="327"/>
      <c r="CC965" s="327"/>
      <c r="CD965" s="1218">
        <f t="shared" si="334"/>
        <v>0</v>
      </c>
      <c r="CE965" s="1218">
        <f t="shared" si="335"/>
        <v>0</v>
      </c>
      <c r="CF965" s="502">
        <f t="shared" si="336"/>
        <v>0</v>
      </c>
      <c r="CG965" s="1218">
        <f t="shared" si="337"/>
        <v>0</v>
      </c>
      <c r="CH965" s="1317"/>
      <c r="CI965" s="1317"/>
      <c r="CJ965" s="1317"/>
      <c r="CK965" s="327"/>
      <c r="CL965" s="327"/>
      <c r="CM965" s="1180"/>
      <c r="CN965" s="1180"/>
      <c r="CO965" s="1180"/>
      <c r="CP965" s="1180"/>
      <c r="CQ965" s="1180"/>
      <c r="CR965" s="1180"/>
      <c r="CS965" s="1180"/>
      <c r="CT965" s="1180"/>
      <c r="CU965" s="1180"/>
      <c r="CV965" s="1180"/>
      <c r="CW965" s="1180"/>
      <c r="CX965" s="1180"/>
      <c r="CY965" s="1180"/>
      <c r="CZ965" s="1180"/>
      <c r="DA965" s="1180"/>
      <c r="DB965" s="1180"/>
      <c r="DC965" s="1180"/>
      <c r="DD965" s="1180"/>
      <c r="DE965" s="1180"/>
      <c r="DF965" s="1180"/>
      <c r="DG965" s="1180"/>
    </row>
    <row r="966" s="293" customFormat="1" customHeight="1" spans="1:111">
      <c r="A966" s="1606">
        <v>46219</v>
      </c>
      <c r="B966" s="1417" t="s">
        <v>427</v>
      </c>
      <c r="C966" s="1434" t="s">
        <v>115</v>
      </c>
      <c r="D966" s="1437">
        <v>4500216689</v>
      </c>
      <c r="E966" s="1434">
        <v>5723</v>
      </c>
      <c r="F966" s="1437" t="s">
        <v>3772</v>
      </c>
      <c r="G966" s="1438" t="s">
        <v>174</v>
      </c>
      <c r="H966" s="1553" t="s">
        <v>175</v>
      </c>
      <c r="I966" s="1439">
        <v>3796</v>
      </c>
      <c r="J966" s="1434">
        <v>0</v>
      </c>
      <c r="K966" s="1434">
        <v>52</v>
      </c>
      <c r="L966" s="1607">
        <f t="shared" si="313"/>
        <v>73</v>
      </c>
      <c r="M966" s="507">
        <v>46303</v>
      </c>
      <c r="N966" s="507">
        <v>46300</v>
      </c>
      <c r="O966" s="507"/>
      <c r="P966" s="1436"/>
      <c r="Q966" s="1436"/>
      <c r="R966" s="1434"/>
      <c r="S966" s="1434"/>
      <c r="T966" s="1436"/>
      <c r="U966" s="500">
        <f t="shared" si="332"/>
        <v>-3796</v>
      </c>
      <c r="V966" s="1434"/>
      <c r="W966" s="1300" t="s">
        <v>3064</v>
      </c>
      <c r="X966" s="1301" t="s">
        <v>95</v>
      </c>
      <c r="Y966" s="1301" t="s">
        <v>95</v>
      </c>
      <c r="Z966" s="1552"/>
      <c r="AA966" s="1552"/>
      <c r="AB966" s="1417"/>
      <c r="AC966" s="1552" t="s">
        <v>3773</v>
      </c>
      <c r="AD966" s="507" t="s">
        <v>2297</v>
      </c>
      <c r="AE966" s="1437">
        <v>0.6472</v>
      </c>
      <c r="AF966" s="1609">
        <f>I966*AE966</f>
        <v>2456.7712</v>
      </c>
      <c r="AG966" s="1295"/>
      <c r="AH966" s="505" t="s">
        <v>174</v>
      </c>
      <c r="AI966" s="488" t="s">
        <v>112</v>
      </c>
      <c r="AJ966" s="1434"/>
      <c r="AK966" s="1555">
        <f>I966*2</f>
        <v>7592</v>
      </c>
      <c r="AL966" s="1437"/>
      <c r="AM966" s="1617"/>
      <c r="AN966" s="1418">
        <f t="shared" si="330"/>
        <v>3796</v>
      </c>
      <c r="AO966" s="502"/>
      <c r="AP966" s="502"/>
      <c r="AQ966" s="1296"/>
      <c r="AR966" s="438"/>
      <c r="AS966" s="1297"/>
      <c r="AT966" s="1297"/>
      <c r="AU966" s="502">
        <f t="shared" si="333"/>
        <v>3796</v>
      </c>
      <c r="AV966" s="1612"/>
      <c r="AW966" s="1612"/>
      <c r="AX966" s="1437"/>
      <c r="AY966" s="1437"/>
      <c r="AZ966" s="502"/>
      <c r="BA966" s="502"/>
      <c r="BB966" s="1437"/>
      <c r="BC966" s="1437"/>
      <c r="BD966" s="1437"/>
      <c r="BE966" s="1437"/>
      <c r="BF966" s="1437"/>
      <c r="BG966" s="1437"/>
      <c r="BH966" s="1437"/>
      <c r="BI966" s="1437"/>
      <c r="BJ966" s="1437"/>
      <c r="BK966" s="1702">
        <f>I966/13</f>
        <v>292</v>
      </c>
      <c r="BL966" s="1437"/>
      <c r="BM966" s="1437"/>
      <c r="BN966" s="502"/>
      <c r="BO966" s="1615"/>
      <c r="BP966" s="1615"/>
      <c r="BQ966" s="1617"/>
      <c r="BR966" s="1616"/>
      <c r="BS966" s="1616"/>
      <c r="BT966" s="1437"/>
      <c r="BU966" s="1437"/>
      <c r="BV966" s="1615"/>
      <c r="BW966" s="1617"/>
      <c r="BX966" s="1617"/>
      <c r="BY966" s="1617"/>
      <c r="BZ966" s="1617"/>
      <c r="CA966" s="1617"/>
      <c r="CB966" s="1617"/>
      <c r="CC966" s="1617"/>
      <c r="CD966" s="1218">
        <f t="shared" si="334"/>
        <v>0</v>
      </c>
      <c r="CE966" s="1218">
        <f t="shared" si="335"/>
        <v>0</v>
      </c>
      <c r="CF966" s="502">
        <f t="shared" si="336"/>
        <v>0</v>
      </c>
      <c r="CG966" s="1218">
        <f t="shared" si="337"/>
        <v>0</v>
      </c>
      <c r="CH966" s="1618"/>
      <c r="CI966" s="1618"/>
      <c r="CJ966" s="1616"/>
      <c r="CK966" s="1437"/>
      <c r="CL966" s="1437"/>
      <c r="CM966" s="294"/>
      <c r="CN966" s="294"/>
      <c r="CO966" s="294"/>
      <c r="CP966" s="294"/>
      <c r="CQ966" s="294"/>
      <c r="CR966" s="294"/>
      <c r="CS966" s="294"/>
      <c r="CT966" s="294"/>
      <c r="CU966" s="294"/>
      <c r="CV966" s="294"/>
      <c r="CW966" s="294"/>
      <c r="CX966" s="294"/>
      <c r="CY966" s="294"/>
      <c r="CZ966" s="294"/>
      <c r="DA966" s="294"/>
      <c r="DB966" s="294"/>
      <c r="DC966" s="294"/>
      <c r="DD966" s="294"/>
      <c r="DE966" s="294"/>
      <c r="DF966" s="294"/>
      <c r="DG966" s="294"/>
    </row>
    <row r="967" s="294" customFormat="1" customHeight="1" spans="1:111">
      <c r="A967" s="1588">
        <v>46212</v>
      </c>
      <c r="B967" s="1708" t="s">
        <v>3774</v>
      </c>
      <c r="C967" s="1054" t="s">
        <v>291</v>
      </c>
      <c r="D967" s="1187">
        <v>4500215828</v>
      </c>
      <c r="E967" s="1054"/>
      <c r="F967" s="1187" t="s">
        <v>3775</v>
      </c>
      <c r="G967" s="1713" t="s">
        <v>188</v>
      </c>
      <c r="H967" s="1054" t="s">
        <v>138</v>
      </c>
      <c r="I967" s="1714">
        <v>2500</v>
      </c>
      <c r="J967" s="1054">
        <v>0</v>
      </c>
      <c r="K967" s="1054">
        <v>50</v>
      </c>
      <c r="L967" s="1715">
        <f t="shared" si="313"/>
        <v>50</v>
      </c>
      <c r="M967" s="1717">
        <v>46303</v>
      </c>
      <c r="N967" s="1717">
        <v>46300</v>
      </c>
      <c r="O967" s="1717"/>
      <c r="P967" s="1314"/>
      <c r="Q967" s="1314"/>
      <c r="R967" s="1054"/>
      <c r="S967" s="1054"/>
      <c r="T967" s="1314"/>
      <c r="U967" s="500">
        <f t="shared" si="332"/>
        <v>-2500</v>
      </c>
      <c r="V967" s="1054"/>
      <c r="W967" s="1300" t="s">
        <v>3064</v>
      </c>
      <c r="X967" s="1294" t="s">
        <v>95</v>
      </c>
      <c r="Y967" s="1294" t="s">
        <v>3612</v>
      </c>
      <c r="Z967" s="544"/>
      <c r="AA967" s="544"/>
      <c r="AB967" s="544"/>
      <c r="AC967" s="1708" t="s">
        <v>3776</v>
      </c>
      <c r="AD967" s="1717" t="s">
        <v>1169</v>
      </c>
      <c r="AE967" s="1187">
        <v>1.0979</v>
      </c>
      <c r="AF967" s="1718">
        <f>AE967*I967</f>
        <v>2744.75</v>
      </c>
      <c r="AG967" s="1610"/>
      <c r="AH967" s="504" t="s">
        <v>314</v>
      </c>
      <c r="AI967" s="488" t="s">
        <v>112</v>
      </c>
      <c r="AJ967" s="1054"/>
      <c r="AK967" s="327">
        <f>I967</f>
        <v>2500</v>
      </c>
      <c r="AL967" s="1187"/>
      <c r="AM967" s="1187"/>
      <c r="AN967" s="1555"/>
      <c r="AO967" s="1555"/>
      <c r="AP967" s="327">
        <f>I967</f>
        <v>2500</v>
      </c>
      <c r="AQ967" s="1679"/>
      <c r="AR967" s="1555"/>
      <c r="AS967" s="1680"/>
      <c r="AT967" s="1680"/>
      <c r="AU967" s="327">
        <f t="shared" si="333"/>
        <v>2500</v>
      </c>
      <c r="AV967" s="1318"/>
      <c r="AW967" s="1318"/>
      <c r="AX967" s="1187"/>
      <c r="AY967" s="1187"/>
      <c r="AZ967" s="1187"/>
      <c r="BA967" s="1187"/>
      <c r="BB967" s="1187"/>
      <c r="BC967" s="1187"/>
      <c r="BD967" s="1187"/>
      <c r="BE967" s="1187"/>
      <c r="BF967" s="1187"/>
      <c r="BG967" s="327"/>
      <c r="BH967" s="327"/>
      <c r="BI967" s="1187"/>
      <c r="BJ967" s="1187"/>
      <c r="BK967" s="1187"/>
      <c r="BL967" s="1187"/>
      <c r="BM967" s="1187"/>
      <c r="BN967" s="1187"/>
      <c r="BO967" s="1316">
        <f>I967/25</f>
        <v>100</v>
      </c>
      <c r="BP967" s="1187"/>
      <c r="BQ967" s="1187"/>
      <c r="BR967" s="1187"/>
      <c r="BS967" s="1187"/>
      <c r="BT967" s="1187"/>
      <c r="BU967" s="1187"/>
      <c r="BV967" s="1187"/>
      <c r="BW967" s="1187"/>
      <c r="BX967" s="1187"/>
      <c r="BY967" s="1187"/>
      <c r="BZ967" s="1187"/>
      <c r="CA967" s="1187"/>
      <c r="CB967" s="1187"/>
      <c r="CC967" s="1187"/>
      <c r="CD967" s="1218">
        <f t="shared" si="334"/>
        <v>100</v>
      </c>
      <c r="CE967" s="1218">
        <f t="shared" si="335"/>
        <v>0</v>
      </c>
      <c r="CF967" s="502">
        <f t="shared" si="336"/>
        <v>0</v>
      </c>
      <c r="CG967" s="1218">
        <f t="shared" si="337"/>
        <v>0</v>
      </c>
      <c r="CH967" s="327"/>
      <c r="CI967" s="327"/>
      <c r="CJ967" s="1187"/>
      <c r="CK967" s="1187"/>
      <c r="CL967" s="1187"/>
      <c r="CM967" s="1180"/>
      <c r="CN967" s="1180"/>
      <c r="CO967" s="1180"/>
      <c r="CP967" s="1180"/>
      <c r="CQ967" s="1180"/>
      <c r="CR967" s="1180"/>
      <c r="CS967" s="1180"/>
      <c r="CT967" s="1180"/>
      <c r="CU967" s="1180"/>
      <c r="CV967" s="1180"/>
      <c r="CW967" s="1180"/>
      <c r="CX967" s="1180"/>
      <c r="CY967" s="1180"/>
      <c r="CZ967" s="1180"/>
      <c r="DA967" s="1180"/>
      <c r="DB967" s="1180"/>
      <c r="DC967" s="1180"/>
      <c r="DD967" s="1180"/>
      <c r="DE967" s="1180"/>
      <c r="DF967" s="1180"/>
      <c r="DG967" s="1180"/>
    </row>
    <row r="968" s="294" customFormat="1" customHeight="1" spans="1:111">
      <c r="A968" s="1289">
        <v>46216</v>
      </c>
      <c r="B968" s="543" t="s">
        <v>3777</v>
      </c>
      <c r="C968" s="504" t="s">
        <v>115</v>
      </c>
      <c r="D968" s="1305">
        <v>4500216073</v>
      </c>
      <c r="E968" s="506">
        <v>70093950</v>
      </c>
      <c r="F968" s="502" t="s">
        <v>3778</v>
      </c>
      <c r="G968" s="505" t="s">
        <v>803</v>
      </c>
      <c r="H968" s="504" t="s">
        <v>804</v>
      </c>
      <c r="I968" s="1290">
        <v>2400</v>
      </c>
      <c r="J968" s="504">
        <v>0</v>
      </c>
      <c r="K968" s="504">
        <v>6</v>
      </c>
      <c r="L968" s="1291">
        <f t="shared" si="313"/>
        <v>400</v>
      </c>
      <c r="M968" s="501">
        <v>46303</v>
      </c>
      <c r="N968" s="501">
        <v>46300</v>
      </c>
      <c r="O968" s="501"/>
      <c r="P968" s="506"/>
      <c r="Q968" s="506"/>
      <c r="R968" s="504"/>
      <c r="S968" s="504"/>
      <c r="T968" s="506"/>
      <c r="U968" s="500">
        <f t="shared" si="332"/>
        <v>-2400</v>
      </c>
      <c r="V968" s="504"/>
      <c r="W968" s="1300" t="s">
        <v>3064</v>
      </c>
      <c r="X968" s="1294" t="s">
        <v>95</v>
      </c>
      <c r="Y968" s="1301" t="s">
        <v>3768</v>
      </c>
      <c r="Z968" s="544"/>
      <c r="AA968" s="544"/>
      <c r="AB968" s="543"/>
      <c r="AC968" s="544" t="s">
        <v>3779</v>
      </c>
      <c r="AD968" s="501" t="s">
        <v>3780</v>
      </c>
      <c r="AE968" s="502">
        <v>4.89</v>
      </c>
      <c r="AF968" s="503">
        <f>AE968*I968</f>
        <v>11736</v>
      </c>
      <c r="AG968" s="1295"/>
      <c r="AH968" s="488" t="s">
        <v>806</v>
      </c>
      <c r="AI968" s="1553" t="s">
        <v>112</v>
      </c>
      <c r="AJ968" s="504"/>
      <c r="AK968" s="327">
        <f>I968*2</f>
        <v>4800</v>
      </c>
      <c r="AL968" s="502"/>
      <c r="AM968" s="1218"/>
      <c r="AN968" s="1702">
        <f>I968</f>
        <v>2400</v>
      </c>
      <c r="AO968" s="1437"/>
      <c r="AP968" s="502"/>
      <c r="AQ968" s="1615"/>
      <c r="AR968" s="456"/>
      <c r="AS968" s="1616"/>
      <c r="AT968" s="1616"/>
      <c r="AU968" s="502">
        <f t="shared" si="333"/>
        <v>2400</v>
      </c>
      <c r="AV968" s="1298"/>
      <c r="AW968" s="1298"/>
      <c r="AX968" s="502"/>
      <c r="AY968" s="502"/>
      <c r="AZ968" s="502"/>
      <c r="BA968" s="502"/>
      <c r="BB968" s="502"/>
      <c r="BC968" s="502"/>
      <c r="BD968" s="502"/>
      <c r="BE968" s="502"/>
      <c r="BF968" s="502"/>
      <c r="BG968" s="502"/>
      <c r="BH968" s="502"/>
      <c r="BI968" s="502"/>
      <c r="BJ968" s="502"/>
      <c r="BK968" s="502"/>
      <c r="BL968" s="502"/>
      <c r="BM968" s="502"/>
      <c r="BN968" s="502"/>
      <c r="BO968" s="1296"/>
      <c r="BP968" s="1296"/>
      <c r="BQ968" s="1218"/>
      <c r="BR968" s="1297"/>
      <c r="BS968" s="1297"/>
      <c r="BT968" s="502"/>
      <c r="BU968" s="502"/>
      <c r="BV968" s="1296"/>
      <c r="BW968" s="1218"/>
      <c r="BX968" s="1218"/>
      <c r="BY968" s="1218"/>
      <c r="BZ968" s="1218"/>
      <c r="CA968" s="1218"/>
      <c r="CB968" s="1218"/>
      <c r="CC968" s="1218"/>
      <c r="CD968" s="1218">
        <f t="shared" si="334"/>
        <v>0</v>
      </c>
      <c r="CE968" s="1218">
        <f t="shared" si="335"/>
        <v>0</v>
      </c>
      <c r="CF968" s="502">
        <f t="shared" si="336"/>
        <v>0</v>
      </c>
      <c r="CG968" s="1218">
        <f t="shared" si="337"/>
        <v>0</v>
      </c>
      <c r="CH968" s="1299"/>
      <c r="CI968" s="1299"/>
      <c r="CJ968" s="1297"/>
      <c r="CK968" s="502"/>
      <c r="CL968" s="502"/>
    </row>
    <row r="969" s="1187" customFormat="1" customHeight="1" spans="1:111">
      <c r="A969" s="1289">
        <v>46217</v>
      </c>
      <c r="B969" s="543" t="s">
        <v>1093</v>
      </c>
      <c r="C969" s="504" t="s">
        <v>1094</v>
      </c>
      <c r="D969" s="1305">
        <v>4500216486</v>
      </c>
      <c r="E969" s="504" t="s">
        <v>3781</v>
      </c>
      <c r="F969" s="502" t="s">
        <v>3782</v>
      </c>
      <c r="G969" s="505" t="s">
        <v>174</v>
      </c>
      <c r="H969" s="488" t="s">
        <v>175</v>
      </c>
      <c r="I969" s="1290">
        <v>10036</v>
      </c>
      <c r="J969" s="1454">
        <v>0</v>
      </c>
      <c r="K969" s="504">
        <v>52</v>
      </c>
      <c r="L969" s="1597">
        <f t="shared" si="313"/>
        <v>193</v>
      </c>
      <c r="M969" s="501">
        <v>46303</v>
      </c>
      <c r="N969" s="501">
        <v>46300</v>
      </c>
      <c r="O969" s="501"/>
      <c r="P969" s="506"/>
      <c r="Q969" s="506"/>
      <c r="R969" s="504"/>
      <c r="S969" s="504"/>
      <c r="T969" s="506"/>
      <c r="U969" s="500">
        <f t="shared" si="332"/>
        <v>-10036</v>
      </c>
      <c r="V969" s="504"/>
      <c r="W969" s="1300">
        <v>46217</v>
      </c>
      <c r="X969" s="1301" t="s">
        <v>95</v>
      </c>
      <c r="Y969" s="1301" t="s">
        <v>3783</v>
      </c>
      <c r="Z969" s="544"/>
      <c r="AA969" s="544"/>
      <c r="AB969" s="543"/>
      <c r="AC969" s="544" t="s">
        <v>3784</v>
      </c>
      <c r="AD969" s="501" t="s">
        <v>659</v>
      </c>
      <c r="AE969" s="502">
        <v>1.0786</v>
      </c>
      <c r="AF969" s="1600">
        <f>I969*AE969</f>
        <v>10824.8296</v>
      </c>
      <c r="AG969" s="1295"/>
      <c r="AH969" s="505" t="s">
        <v>174</v>
      </c>
      <c r="AI969" s="488" t="s">
        <v>112</v>
      </c>
      <c r="AJ969" s="504"/>
      <c r="AK969" s="327">
        <f>I969*2</f>
        <v>20072</v>
      </c>
      <c r="AL969" s="502"/>
      <c r="AM969" s="1218"/>
      <c r="AN969" s="1709">
        <f>I969</f>
        <v>10036</v>
      </c>
      <c r="AO969" s="502"/>
      <c r="AP969" s="502"/>
      <c r="AQ969" s="1296"/>
      <c r="AR969" s="438"/>
      <c r="AS969" s="1297"/>
      <c r="AT969" s="1297"/>
      <c r="AU969" s="502">
        <f t="shared" si="333"/>
        <v>10036</v>
      </c>
      <c r="AV969" s="1612"/>
      <c r="AW969" s="1298"/>
      <c r="AX969" s="502"/>
      <c r="AY969" s="502"/>
      <c r="AZ969" s="502"/>
      <c r="BA969" s="502"/>
      <c r="BB969" s="502"/>
      <c r="BC969" s="502"/>
      <c r="BD969" s="502"/>
      <c r="BE969" s="502"/>
      <c r="BF969" s="502"/>
      <c r="BG969" s="502"/>
      <c r="BH969" s="502"/>
      <c r="BI969" s="502"/>
      <c r="BJ969" s="502"/>
      <c r="BK969" s="1418">
        <f>I969/13</f>
        <v>772</v>
      </c>
      <c r="BL969" s="502"/>
      <c r="BM969" s="502"/>
      <c r="BN969" s="502"/>
      <c r="BO969" s="1296"/>
      <c r="BP969" s="1296"/>
      <c r="BQ969" s="1218"/>
      <c r="BR969" s="1297"/>
      <c r="BS969" s="1297"/>
      <c r="BT969" s="502"/>
      <c r="BU969" s="502"/>
      <c r="BV969" s="1296"/>
      <c r="BW969" s="1218"/>
      <c r="BX969" s="1218"/>
      <c r="BY969" s="1218"/>
      <c r="BZ969" s="1218"/>
      <c r="CA969" s="1218"/>
      <c r="CB969" s="1218"/>
      <c r="CC969" s="1218"/>
      <c r="CD969" s="1218">
        <f t="shared" si="334"/>
        <v>0</v>
      </c>
      <c r="CE969" s="1218">
        <f t="shared" si="335"/>
        <v>0</v>
      </c>
      <c r="CF969" s="502">
        <f t="shared" si="336"/>
        <v>0</v>
      </c>
      <c r="CG969" s="1218">
        <f t="shared" si="337"/>
        <v>0</v>
      </c>
      <c r="CH969" s="1299"/>
      <c r="CI969" s="1299"/>
      <c r="CJ969" s="1297"/>
      <c r="CK969" s="502"/>
      <c r="CL969" s="502"/>
      <c r="CM969" s="1185"/>
      <c r="CN969" s="1185"/>
      <c r="CO969" s="1185"/>
      <c r="CP969" s="1185"/>
      <c r="CQ969" s="1185"/>
      <c r="CR969" s="1185"/>
      <c r="CS969" s="1185"/>
      <c r="CT969" s="1185"/>
      <c r="CU969" s="1185"/>
      <c r="CV969" s="1185"/>
      <c r="CW969" s="1185"/>
      <c r="CX969" s="1185"/>
      <c r="CY969" s="1185"/>
      <c r="CZ969" s="1185"/>
      <c r="DA969" s="1185"/>
      <c r="DB969" s="1185"/>
      <c r="DC969" s="1185"/>
      <c r="DD969" s="1185"/>
      <c r="DE969" s="1185"/>
      <c r="DF969" s="1185"/>
      <c r="DG969" s="1185"/>
    </row>
    <row r="970" s="1180" customFormat="1" customHeight="1" spans="1:111">
      <c r="A970" s="1309">
        <v>46241</v>
      </c>
      <c r="B970" s="544" t="s">
        <v>114</v>
      </c>
      <c r="C970" s="488" t="s">
        <v>115</v>
      </c>
      <c r="D970" s="1445" t="s">
        <v>3785</v>
      </c>
      <c r="E970" s="488" t="s">
        <v>3786</v>
      </c>
      <c r="F970" s="327" t="s">
        <v>3787</v>
      </c>
      <c r="G970" s="1310" t="s">
        <v>118</v>
      </c>
      <c r="H970" s="488" t="s">
        <v>104</v>
      </c>
      <c r="I970" s="1311">
        <v>51325</v>
      </c>
      <c r="J970" s="488">
        <v>0</v>
      </c>
      <c r="K970" s="488">
        <v>25</v>
      </c>
      <c r="L970" s="1544">
        <f t="shared" si="313"/>
        <v>2053</v>
      </c>
      <c r="M970" s="1312">
        <v>46303</v>
      </c>
      <c r="N970" s="1312">
        <v>46300</v>
      </c>
      <c r="O970" s="1312"/>
      <c r="P970" s="1313"/>
      <c r="Q970" s="1313"/>
      <c r="R970" s="488"/>
      <c r="S970" s="488"/>
      <c r="T970" s="1313"/>
      <c r="U970" s="1313"/>
      <c r="V970" s="488"/>
      <c r="W970" s="1300" t="s">
        <v>3064</v>
      </c>
      <c r="X970" s="1294" t="s">
        <v>107</v>
      </c>
      <c r="Y970" s="1301" t="s">
        <v>3505</v>
      </c>
      <c r="Z970" s="544"/>
      <c r="AA970" s="544"/>
      <c r="AB970" s="544"/>
      <c r="AC970" s="544" t="s">
        <v>3744</v>
      </c>
      <c r="AD970" s="1312" t="s">
        <v>123</v>
      </c>
      <c r="AE970" s="327">
        <v>0.6291</v>
      </c>
      <c r="AF970" s="1315">
        <f>AE970*I970</f>
        <v>32288.5575</v>
      </c>
      <c r="AG970" s="1295"/>
      <c r="AH970" s="488" t="s">
        <v>118</v>
      </c>
      <c r="AI970" s="488" t="s">
        <v>112</v>
      </c>
      <c r="AJ970" s="488"/>
      <c r="AK970" s="327"/>
      <c r="AL970" s="327"/>
      <c r="AM970" s="327">
        <f>I970</f>
        <v>51325</v>
      </c>
      <c r="AN970" s="327"/>
      <c r="AO970" s="327"/>
      <c r="AP970" s="327"/>
      <c r="AQ970" s="1316"/>
      <c r="AR970" s="327"/>
      <c r="AS970" s="1317"/>
      <c r="AT970" s="1317">
        <f>I970</f>
        <v>51325</v>
      </c>
      <c r="AU970" s="327">
        <f t="shared" si="333"/>
        <v>51325</v>
      </c>
      <c r="AV970" s="1318">
        <f>I970*0.06</f>
        <v>3079.5</v>
      </c>
      <c r="AW970" s="1318"/>
      <c r="AX970" s="327"/>
      <c r="AY970" s="327"/>
      <c r="AZ970" s="327"/>
      <c r="BA970" s="327"/>
      <c r="BB970" s="327"/>
      <c r="BC970" s="327"/>
      <c r="BD970" s="327"/>
      <c r="BE970" s="327"/>
      <c r="BF970" s="327"/>
      <c r="BG970" s="327"/>
      <c r="BH970" s="327"/>
      <c r="BI970" s="327"/>
      <c r="BJ970" s="327"/>
      <c r="BK970" s="327"/>
      <c r="BL970" s="327"/>
      <c r="BM970" s="327"/>
      <c r="BN970" s="327"/>
      <c r="BO970" s="1316"/>
      <c r="BP970" s="1316"/>
      <c r="BQ970" s="327"/>
      <c r="BR970" s="1317"/>
      <c r="BS970" s="1317"/>
      <c r="BT970" s="327"/>
      <c r="BU970" s="1437">
        <f>I970/25</f>
        <v>2053</v>
      </c>
      <c r="BV970" s="1316"/>
      <c r="BW970" s="327"/>
      <c r="BX970" s="327"/>
      <c r="BY970" s="327"/>
      <c r="BZ970" s="327"/>
      <c r="CA970" s="327"/>
      <c r="CB970" s="327"/>
      <c r="CC970" s="327"/>
      <c r="CD970" s="327"/>
      <c r="CE970" s="327">
        <f t="shared" si="335"/>
        <v>2053</v>
      </c>
      <c r="CF970" s="327"/>
      <c r="CG970" s="327"/>
      <c r="CH970" s="1317"/>
      <c r="CI970" s="1317"/>
      <c r="CJ970" s="1317"/>
      <c r="CK970" s="327"/>
      <c r="CL970" s="327"/>
    </row>
    <row r="971" s="1180" customFormat="1" customHeight="1" spans="1:111">
      <c r="A971" s="1309">
        <v>46241</v>
      </c>
      <c r="B971" s="544" t="s">
        <v>3788</v>
      </c>
      <c r="C971" s="488" t="s">
        <v>508</v>
      </c>
      <c r="D971" s="1445">
        <v>4500219203</v>
      </c>
      <c r="E971" s="488">
        <v>86951</v>
      </c>
      <c r="F971" s="327" t="s">
        <v>3789</v>
      </c>
      <c r="G971" s="1310" t="s">
        <v>3725</v>
      </c>
      <c r="H971" s="488" t="s">
        <v>893</v>
      </c>
      <c r="I971" s="1311">
        <v>11250</v>
      </c>
      <c r="J971" s="488">
        <v>0</v>
      </c>
      <c r="K971" s="488">
        <v>25</v>
      </c>
      <c r="L971" s="1544">
        <f t="shared" si="313"/>
        <v>450</v>
      </c>
      <c r="M971" s="1312">
        <v>46303</v>
      </c>
      <c r="N971" s="1312">
        <v>46300</v>
      </c>
      <c r="O971" s="1312"/>
      <c r="P971" s="1313"/>
      <c r="Q971" s="1313"/>
      <c r="R971" s="488"/>
      <c r="S971" s="488"/>
      <c r="T971" s="1313"/>
      <c r="U971" s="1313"/>
      <c r="V971" s="488"/>
      <c r="W971" s="1300">
        <v>46241</v>
      </c>
      <c r="X971" s="1301" t="s">
        <v>95</v>
      </c>
      <c r="Y971" s="1301" t="s">
        <v>1886</v>
      </c>
      <c r="Z971" s="544" t="s">
        <v>3147</v>
      </c>
      <c r="AA971" s="544"/>
      <c r="AB971" s="544"/>
      <c r="AC971" s="544" t="s">
        <v>3790</v>
      </c>
      <c r="AD971" s="1312" t="s">
        <v>3791</v>
      </c>
      <c r="AE971" s="327">
        <v>1.0976</v>
      </c>
      <c r="AF971" s="1315">
        <f>AE971*I971</f>
        <v>12348</v>
      </c>
      <c r="AG971" s="1295"/>
      <c r="AH971" s="488" t="s">
        <v>3630</v>
      </c>
      <c r="AI971" s="488"/>
      <c r="AJ971" s="488"/>
      <c r="AK971" s="327">
        <f>I971</f>
        <v>11250</v>
      </c>
      <c r="AL971" s="327"/>
      <c r="AM971" s="327"/>
      <c r="AN971" s="1420">
        <f>I971</f>
        <v>11250</v>
      </c>
      <c r="AO971" s="327"/>
      <c r="AP971" s="327"/>
      <c r="AQ971" s="1316"/>
      <c r="AR971" s="327"/>
      <c r="AS971" s="1317"/>
      <c r="AT971" s="1317"/>
      <c r="AU971" s="502">
        <f t="shared" si="333"/>
        <v>11250</v>
      </c>
      <c r="AV971" s="1298">
        <f>I971*0.06*2</f>
        <v>1350</v>
      </c>
      <c r="AW971" s="1318"/>
      <c r="AX971" s="327">
        <f>I971</f>
        <v>11250</v>
      </c>
      <c r="AY971" s="327"/>
      <c r="AZ971" s="327"/>
      <c r="BA971" s="327"/>
      <c r="BB971" s="327"/>
      <c r="BC971" s="327"/>
      <c r="BD971" s="327"/>
      <c r="BE971" s="327"/>
      <c r="BF971" s="327"/>
      <c r="BG971" s="327"/>
      <c r="BH971" s="327"/>
      <c r="BI971" s="327"/>
      <c r="BJ971" s="327"/>
      <c r="BK971" s="327"/>
      <c r="BL971" s="327"/>
      <c r="BM971" s="327"/>
      <c r="BN971" s="1810">
        <f>3600/25</f>
        <v>144</v>
      </c>
      <c r="BO971" s="1316"/>
      <c r="BP971" s="1316"/>
      <c r="BQ971" s="1218"/>
      <c r="BR971" s="1317"/>
      <c r="BS971" s="1317"/>
      <c r="BT971" s="327"/>
      <c r="BU971" s="327"/>
      <c r="BV971" s="1316"/>
      <c r="BW971" s="327"/>
      <c r="BX971" s="327"/>
      <c r="BY971" s="327"/>
      <c r="BZ971" s="327"/>
      <c r="CA971" s="327"/>
      <c r="CB971" s="327"/>
      <c r="CC971" s="327"/>
      <c r="CD971" s="1218">
        <f>BN971+BO971+BQ971+BS971+BR971</f>
        <v>144</v>
      </c>
      <c r="CE971" s="1218">
        <f t="shared" si="335"/>
        <v>0</v>
      </c>
      <c r="CF971" s="502">
        <f>CC971</f>
        <v>0</v>
      </c>
      <c r="CG971" s="1218">
        <f>BV971+BW971+BX971</f>
        <v>0</v>
      </c>
      <c r="CH971" s="1317"/>
      <c r="CI971" s="1317"/>
      <c r="CJ971" s="1317"/>
      <c r="CK971" s="327"/>
      <c r="CL971" s="327"/>
    </row>
    <row r="972" s="1181" customFormat="1" customHeight="1" spans="1:111">
      <c r="A972" s="1647">
        <v>46244</v>
      </c>
      <c r="B972" s="1811" t="s">
        <v>3792</v>
      </c>
      <c r="C972" s="1812" t="s">
        <v>115</v>
      </c>
      <c r="D972" s="1813">
        <v>4500219357</v>
      </c>
      <c r="E972" s="1905" t="s">
        <v>3793</v>
      </c>
      <c r="F972" s="1813" t="s">
        <v>3794</v>
      </c>
      <c r="G972" s="1814" t="s">
        <v>389</v>
      </c>
      <c r="H972" s="1812" t="s">
        <v>390</v>
      </c>
      <c r="I972" s="1815">
        <v>3852</v>
      </c>
      <c r="J972" s="1812">
        <v>0</v>
      </c>
      <c r="K972" s="1812">
        <v>12</v>
      </c>
      <c r="L972" s="1656">
        <f>I972/K972</f>
        <v>321</v>
      </c>
      <c r="M972" s="1816">
        <v>46304</v>
      </c>
      <c r="N972" s="1816">
        <f>M972-4</f>
        <v>46300</v>
      </c>
      <c r="O972" s="1816"/>
      <c r="P972" s="1651"/>
      <c r="Q972" s="1651"/>
      <c r="R972" s="1649"/>
      <c r="S972" s="1649"/>
      <c r="T972" s="1651"/>
      <c r="U972" s="1651"/>
      <c r="V972" s="1649"/>
      <c r="W972" s="1659">
        <v>46244</v>
      </c>
      <c r="X972" s="1791" t="s">
        <v>107</v>
      </c>
      <c r="Y972" s="1791" t="s">
        <v>3795</v>
      </c>
      <c r="Z972" s="1648"/>
      <c r="AA972" s="1648"/>
      <c r="AB972" s="1648"/>
      <c r="AC972" s="1811" t="s">
        <v>3796</v>
      </c>
      <c r="AD972" s="1657" t="s">
        <v>3797</v>
      </c>
      <c r="AE972" s="1652">
        <v>1.5692</v>
      </c>
      <c r="AF972" s="1661">
        <f>I972*AE972</f>
        <v>6044.5584</v>
      </c>
      <c r="AG972" s="1817"/>
      <c r="AH972" s="1654" t="s">
        <v>389</v>
      </c>
      <c r="AI972" s="1649" t="s">
        <v>112</v>
      </c>
      <c r="AJ972" s="1649"/>
      <c r="AK972" s="1652">
        <f>I972*2</f>
        <v>7704</v>
      </c>
      <c r="AL972" s="1652"/>
      <c r="AM972" s="1652"/>
      <c r="AN972" s="1669">
        <f>I972</f>
        <v>3852</v>
      </c>
      <c r="AO972" s="1652"/>
      <c r="AP972" s="1652"/>
      <c r="AQ972" s="1664"/>
      <c r="AR972" s="1652"/>
      <c r="AS972" s="1665"/>
      <c r="AT972" s="1665"/>
      <c r="AU972" s="1669">
        <f>I972*2</f>
        <v>7704</v>
      </c>
      <c r="AV972" s="1797"/>
      <c r="AW972" s="1666"/>
      <c r="AX972" s="1652"/>
      <c r="AY972" s="1652"/>
      <c r="AZ972" s="1652"/>
      <c r="BA972" s="1652"/>
      <c r="BB972" s="1652"/>
      <c r="BC972" s="1652"/>
      <c r="BD972" s="1652"/>
      <c r="BE972" s="1652"/>
      <c r="BF972" s="1652"/>
      <c r="BG972" s="1652"/>
      <c r="BH972" s="1652"/>
      <c r="BI972" s="1652"/>
      <c r="BJ972" s="1652"/>
      <c r="BK972" s="1652"/>
      <c r="BL972" s="1652"/>
      <c r="BM972" s="1652"/>
      <c r="BN972" s="1652"/>
      <c r="BO972" s="1664"/>
      <c r="BP972" s="1664"/>
      <c r="BQ972" s="1668"/>
      <c r="BR972" s="1665"/>
      <c r="BS972" s="1665"/>
      <c r="BT972" s="1652"/>
      <c r="BU972" s="1652"/>
      <c r="BV972" s="1664"/>
      <c r="BW972" s="1652"/>
      <c r="BX972" s="1652"/>
      <c r="BY972" s="1652"/>
      <c r="BZ972" s="1652"/>
      <c r="CA972" s="1652"/>
      <c r="CB972" s="1652"/>
      <c r="CC972" s="1652"/>
      <c r="CD972" s="1668">
        <f>BN972+BO972+BQ972+BS972+BR972</f>
        <v>0</v>
      </c>
      <c r="CE972" s="1668">
        <f t="shared" si="335"/>
        <v>0</v>
      </c>
      <c r="CF972" s="1669">
        <f>CC972</f>
        <v>0</v>
      </c>
      <c r="CG972" s="1668">
        <f>BV972+BW972+BX972</f>
        <v>0</v>
      </c>
      <c r="CH972" s="1665"/>
      <c r="CI972" s="1665"/>
      <c r="CJ972" s="1796">
        <f>I972</f>
        <v>3852</v>
      </c>
      <c r="CK972" s="1669">
        <f>I972</f>
        <v>3852</v>
      </c>
      <c r="CL972" s="1669">
        <f>I972</f>
        <v>3852</v>
      </c>
    </row>
    <row r="973" s="1181" customFormat="1" customHeight="1" spans="1:111">
      <c r="A973" s="1647">
        <v>46244</v>
      </c>
      <c r="B973" s="1811" t="s">
        <v>3792</v>
      </c>
      <c r="C973" s="1812" t="s">
        <v>115</v>
      </c>
      <c r="D973" s="1813">
        <v>4500219357</v>
      </c>
      <c r="E973" s="1905" t="s">
        <v>3798</v>
      </c>
      <c r="F973" s="1813" t="s">
        <v>3799</v>
      </c>
      <c r="G973" s="1814" t="s">
        <v>389</v>
      </c>
      <c r="H973" s="1812" t="s">
        <v>390</v>
      </c>
      <c r="I973" s="1815">
        <v>1656</v>
      </c>
      <c r="J973" s="1812">
        <v>0</v>
      </c>
      <c r="K973" s="1812">
        <v>12</v>
      </c>
      <c r="L973" s="1656">
        <f>I973/K973</f>
        <v>138</v>
      </c>
      <c r="M973" s="1816">
        <v>46304</v>
      </c>
      <c r="N973" s="1816">
        <f>M973-4</f>
        <v>46300</v>
      </c>
      <c r="O973" s="1816"/>
      <c r="P973" s="1651"/>
      <c r="Q973" s="1651"/>
      <c r="R973" s="1649"/>
      <c r="S973" s="1649"/>
      <c r="T973" s="1651"/>
      <c r="U973" s="1651"/>
      <c r="V973" s="1649"/>
      <c r="W973" s="1659">
        <v>46244</v>
      </c>
      <c r="X973" s="1791" t="s">
        <v>107</v>
      </c>
      <c r="Y973" s="1791" t="s">
        <v>3795</v>
      </c>
      <c r="Z973" s="1648"/>
      <c r="AA973" s="1648"/>
      <c r="AB973" s="1648"/>
      <c r="AC973" s="1811" t="s">
        <v>3796</v>
      </c>
      <c r="AD973" s="1657" t="s">
        <v>3797</v>
      </c>
      <c r="AE973" s="1652">
        <v>1.5692</v>
      </c>
      <c r="AF973" s="1661">
        <f>I973*AE973</f>
        <v>2598.5952</v>
      </c>
      <c r="AG973" s="1662"/>
      <c r="AH973" s="1654" t="s">
        <v>389</v>
      </c>
      <c r="AI973" s="1649" t="s">
        <v>112</v>
      </c>
      <c r="AJ973" s="1649"/>
      <c r="AK973" s="1652">
        <f>I973*2</f>
        <v>3312</v>
      </c>
      <c r="AL973" s="1652"/>
      <c r="AM973" s="1652"/>
      <c r="AN973" s="1669">
        <f>I973</f>
        <v>1656</v>
      </c>
      <c r="AO973" s="1652"/>
      <c r="AP973" s="1652"/>
      <c r="AQ973" s="1664"/>
      <c r="AR973" s="1652"/>
      <c r="AS973" s="1665"/>
      <c r="AT973" s="1665"/>
      <c r="AU973" s="1669">
        <f>I973*2</f>
        <v>3312</v>
      </c>
      <c r="AV973" s="1797"/>
      <c r="AW973" s="1666"/>
      <c r="AX973" s="1652"/>
      <c r="AY973" s="1652"/>
      <c r="AZ973" s="1652"/>
      <c r="BA973" s="1652"/>
      <c r="BB973" s="1652"/>
      <c r="BC973" s="1652"/>
      <c r="BD973" s="1652"/>
      <c r="BE973" s="1652"/>
      <c r="BF973" s="1652"/>
      <c r="BG973" s="1652"/>
      <c r="BH973" s="1652"/>
      <c r="BI973" s="1652"/>
      <c r="BJ973" s="1652"/>
      <c r="BK973" s="1652"/>
      <c r="BL973" s="1652"/>
      <c r="BM973" s="1652"/>
      <c r="BN973" s="1652"/>
      <c r="BO973" s="1664"/>
      <c r="BP973" s="1664"/>
      <c r="BQ973" s="1668"/>
      <c r="BR973" s="1665"/>
      <c r="BS973" s="1665"/>
      <c r="BT973" s="1652"/>
      <c r="BU973" s="1652"/>
      <c r="BV973" s="1664"/>
      <c r="BW973" s="1652"/>
      <c r="BX973" s="1652"/>
      <c r="BY973" s="1652"/>
      <c r="BZ973" s="1652"/>
      <c r="CA973" s="1652"/>
      <c r="CB973" s="1652"/>
      <c r="CC973" s="1652"/>
      <c r="CD973" s="1668">
        <f>BN973+BO973+BQ973+BS973+BR973</f>
        <v>0</v>
      </c>
      <c r="CE973" s="1668">
        <f t="shared" si="335"/>
        <v>0</v>
      </c>
      <c r="CF973" s="1669">
        <f>CC973</f>
        <v>0</v>
      </c>
      <c r="CG973" s="1668">
        <f>BV973+BW973+BX973</f>
        <v>0</v>
      </c>
      <c r="CH973" s="1665"/>
      <c r="CI973" s="1665"/>
      <c r="CJ973" s="1796">
        <f>I973</f>
        <v>1656</v>
      </c>
      <c r="CK973" s="1669">
        <f>I973</f>
        <v>1656</v>
      </c>
      <c r="CL973" s="1669">
        <f>I973</f>
        <v>1656</v>
      </c>
    </row>
    <row r="974" s="1181" customFormat="1" customHeight="1" spans="1:111">
      <c r="A974" s="1782">
        <v>46247</v>
      </c>
      <c r="B974" s="1783" t="s">
        <v>438</v>
      </c>
      <c r="C974" s="1784" t="s">
        <v>115</v>
      </c>
      <c r="D974" s="1785">
        <v>4500219822</v>
      </c>
      <c r="E974" s="1784" t="s">
        <v>3800</v>
      </c>
      <c r="F974" s="1785" t="s">
        <v>3801</v>
      </c>
      <c r="G974" s="1786" t="s">
        <v>118</v>
      </c>
      <c r="H974" s="1654" t="s">
        <v>104</v>
      </c>
      <c r="I974" s="1787">
        <v>22625</v>
      </c>
      <c r="J974" s="1784">
        <v>0</v>
      </c>
      <c r="K974" s="1784">
        <v>25</v>
      </c>
      <c r="L974" s="1788">
        <f>I974/K974</f>
        <v>905</v>
      </c>
      <c r="M974" s="1789">
        <v>46304</v>
      </c>
      <c r="N974" s="1789">
        <v>46300</v>
      </c>
      <c r="O974" s="1789"/>
      <c r="P974" s="1790"/>
      <c r="Q974" s="1790"/>
      <c r="R974" s="1654"/>
      <c r="S974" s="1654"/>
      <c r="T974" s="1790"/>
      <c r="U974" s="1658"/>
      <c r="V974" s="1654"/>
      <c r="W974" s="1659" t="s">
        <v>3064</v>
      </c>
      <c r="X974" s="1660" t="s">
        <v>107</v>
      </c>
      <c r="Y974" s="1791" t="s">
        <v>3505</v>
      </c>
      <c r="Z974" s="1648" t="s">
        <v>3692</v>
      </c>
      <c r="AA974" s="1648"/>
      <c r="AB974" s="1792"/>
      <c r="AC974" s="1791" t="s">
        <v>3802</v>
      </c>
      <c r="AD974" s="1789" t="s">
        <v>3803</v>
      </c>
      <c r="AE974" s="1669">
        <v>0.6406</v>
      </c>
      <c r="AF974" s="1793">
        <f>AE974*I974</f>
        <v>14493.575</v>
      </c>
      <c r="AG974" s="1662"/>
      <c r="AH974" s="1649" t="s">
        <v>118</v>
      </c>
      <c r="AI974" s="1649" t="s">
        <v>3804</v>
      </c>
      <c r="AJ974" s="1654"/>
      <c r="AK974" s="1652"/>
      <c r="AL974" s="1669"/>
      <c r="AM974" s="1668">
        <f>I974</f>
        <v>22625</v>
      </c>
      <c r="AN974" s="1669"/>
      <c r="AO974" s="1669"/>
      <c r="AP974" s="1669"/>
      <c r="AQ974" s="1794"/>
      <c r="AR974" s="1795"/>
      <c r="AS974" s="1796"/>
      <c r="AT974" s="1665">
        <f>I974</f>
        <v>22625</v>
      </c>
      <c r="AU974" s="1652">
        <f>I974</f>
        <v>22625</v>
      </c>
      <c r="AV974" s="1666">
        <f>I974*0.06</f>
        <v>1357.5</v>
      </c>
      <c r="AW974" s="1797"/>
      <c r="AX974" s="1669"/>
      <c r="AY974" s="1669"/>
      <c r="AZ974" s="1669"/>
      <c r="BA974" s="1669"/>
      <c r="BB974" s="1669"/>
      <c r="BC974" s="1669"/>
      <c r="BD974" s="1669"/>
      <c r="BE974" s="1669"/>
      <c r="BF974" s="1669"/>
      <c r="BG974" s="1669"/>
      <c r="BH974" s="1669"/>
      <c r="BI974" s="1669"/>
      <c r="BJ974" s="1669"/>
      <c r="BK974" s="1669"/>
      <c r="BL974" s="1669"/>
      <c r="BM974" s="1669"/>
      <c r="BN974" s="1669"/>
      <c r="BO974" s="1794"/>
      <c r="BP974" s="1794"/>
      <c r="BQ974" s="1668"/>
      <c r="BR974" s="1796"/>
      <c r="BS974" s="1796"/>
      <c r="BT974" s="1669"/>
      <c r="BU974" s="1785">
        <f>I974/25</f>
        <v>905</v>
      </c>
      <c r="BV974" s="1794"/>
      <c r="BW974" s="1668"/>
      <c r="BX974" s="1668"/>
      <c r="BY974" s="1668"/>
      <c r="BZ974" s="1668"/>
      <c r="CA974" s="1668"/>
      <c r="CB974" s="1668"/>
      <c r="CC974" s="1668"/>
      <c r="CD974" s="1668"/>
      <c r="CE974" s="1652">
        <f t="shared" si="335"/>
        <v>905</v>
      </c>
      <c r="CF974" s="1669"/>
      <c r="CG974" s="1668"/>
      <c r="CH974" s="1798"/>
      <c r="CI974" s="1798"/>
      <c r="CJ974" s="1796"/>
      <c r="CK974" s="1669"/>
      <c r="CL974" s="1669"/>
      <c r="CM974" s="1186"/>
      <c r="CN974" s="1186"/>
      <c r="CO974" s="1186"/>
      <c r="CP974" s="1186"/>
      <c r="CQ974" s="1186"/>
      <c r="CR974" s="1186"/>
      <c r="CS974" s="1186"/>
      <c r="CT974" s="1186"/>
      <c r="CU974" s="1186"/>
      <c r="CV974" s="1186"/>
      <c r="CW974" s="1186"/>
      <c r="CX974" s="1186"/>
      <c r="CY974" s="1186"/>
      <c r="CZ974" s="1186"/>
      <c r="DA974" s="1186"/>
      <c r="DB974" s="1186"/>
      <c r="DC974" s="1186"/>
      <c r="DD974" s="1186"/>
      <c r="DE974" s="1186"/>
      <c r="DF974" s="1186"/>
      <c r="DG974" s="1186"/>
    </row>
    <row r="975" s="1181" customFormat="1" customHeight="1" spans="1:111">
      <c r="A975" s="1782">
        <v>46247</v>
      </c>
      <c r="B975" s="1783" t="s">
        <v>438</v>
      </c>
      <c r="C975" s="1784" t="s">
        <v>115</v>
      </c>
      <c r="D975" s="1785">
        <v>4500219823</v>
      </c>
      <c r="E975" s="1784" t="s">
        <v>3805</v>
      </c>
      <c r="F975" s="1785" t="s">
        <v>3806</v>
      </c>
      <c r="G975" s="1786" t="s">
        <v>118</v>
      </c>
      <c r="H975" s="1654" t="s">
        <v>104</v>
      </c>
      <c r="I975" s="1787">
        <v>70000</v>
      </c>
      <c r="J975" s="1784">
        <v>0</v>
      </c>
      <c r="K975" s="1784">
        <v>25</v>
      </c>
      <c r="L975" s="1788">
        <f>I975/K975</f>
        <v>2800</v>
      </c>
      <c r="M975" s="1789">
        <v>46304</v>
      </c>
      <c r="N975" s="1789">
        <v>46300</v>
      </c>
      <c r="O975" s="1789"/>
      <c r="P975" s="1790"/>
      <c r="Q975" s="1790"/>
      <c r="R975" s="1654"/>
      <c r="S975" s="1654"/>
      <c r="T975" s="1790"/>
      <c r="U975" s="1658"/>
      <c r="V975" s="1654"/>
      <c r="W975" s="1659" t="s">
        <v>3064</v>
      </c>
      <c r="X975" s="1660" t="s">
        <v>107</v>
      </c>
      <c r="Y975" s="1791" t="s">
        <v>3505</v>
      </c>
      <c r="Z975" s="1648" t="s">
        <v>3692</v>
      </c>
      <c r="AA975" s="1648"/>
      <c r="AB975" s="1792"/>
      <c r="AC975" s="1791" t="s">
        <v>3802</v>
      </c>
      <c r="AD975" s="1789" t="s">
        <v>3803</v>
      </c>
      <c r="AE975" s="1669">
        <v>0.6291</v>
      </c>
      <c r="AF975" s="1793">
        <f>AE975*I975</f>
        <v>44037</v>
      </c>
      <c r="AG975" s="1662"/>
      <c r="AH975" s="1649" t="s">
        <v>118</v>
      </c>
      <c r="AI975" s="1649" t="s">
        <v>3804</v>
      </c>
      <c r="AJ975" s="1654"/>
      <c r="AK975" s="1652"/>
      <c r="AL975" s="1669"/>
      <c r="AM975" s="1668">
        <f>I975</f>
        <v>70000</v>
      </c>
      <c r="AN975" s="1669"/>
      <c r="AO975" s="1669"/>
      <c r="AP975" s="1669"/>
      <c r="AQ975" s="1794"/>
      <c r="AR975" s="1795"/>
      <c r="AS975" s="1796"/>
      <c r="AT975" s="1665">
        <f>I975</f>
        <v>70000</v>
      </c>
      <c r="AU975" s="1652">
        <f>I975</f>
        <v>70000</v>
      </c>
      <c r="AV975" s="1666">
        <f>I975*0.06</f>
        <v>4200</v>
      </c>
      <c r="AW975" s="1797"/>
      <c r="AX975" s="1669"/>
      <c r="AY975" s="1669"/>
      <c r="AZ975" s="1669"/>
      <c r="BA975" s="1669"/>
      <c r="BB975" s="1669"/>
      <c r="BC975" s="1669"/>
      <c r="BD975" s="1669"/>
      <c r="BE975" s="1669"/>
      <c r="BF975" s="1669"/>
      <c r="BG975" s="1669"/>
      <c r="BH975" s="1669"/>
      <c r="BI975" s="1669"/>
      <c r="BJ975" s="1669"/>
      <c r="BK975" s="1669"/>
      <c r="BL975" s="1669"/>
      <c r="BM975" s="1669"/>
      <c r="BN975" s="1669"/>
      <c r="BO975" s="1794"/>
      <c r="BP975" s="1794"/>
      <c r="BQ975" s="1668"/>
      <c r="BR975" s="1796"/>
      <c r="BS975" s="1796"/>
      <c r="BT975" s="1669"/>
      <c r="BU975" s="1785">
        <f>I975/25</f>
        <v>2800</v>
      </c>
      <c r="BV975" s="1794"/>
      <c r="BW975" s="1668"/>
      <c r="BX975" s="1668"/>
      <c r="BY975" s="1668"/>
      <c r="BZ975" s="1668"/>
      <c r="CA975" s="1668"/>
      <c r="CB975" s="1668"/>
      <c r="CC975" s="1668"/>
      <c r="CD975" s="1668"/>
      <c r="CE975" s="1652">
        <f t="shared" si="335"/>
        <v>2800</v>
      </c>
      <c r="CF975" s="1669"/>
      <c r="CG975" s="1668"/>
      <c r="CH975" s="1798"/>
      <c r="CI975" s="1798"/>
      <c r="CJ975" s="1796"/>
      <c r="CK975" s="1669"/>
      <c r="CL975" s="1669"/>
      <c r="CM975" s="1186"/>
      <c r="CN975" s="1186"/>
      <c r="CO975" s="1186"/>
      <c r="CP975" s="1186"/>
      <c r="CQ975" s="1186"/>
      <c r="CR975" s="1186"/>
      <c r="CS975" s="1186"/>
      <c r="CT975" s="1186"/>
      <c r="CU975" s="1186"/>
      <c r="CV975" s="1186"/>
      <c r="CW975" s="1186"/>
      <c r="CX975" s="1186"/>
      <c r="CY975" s="1186"/>
      <c r="CZ975" s="1186"/>
      <c r="DA975" s="1186"/>
      <c r="DB975" s="1186"/>
      <c r="DC975" s="1186"/>
      <c r="DD975" s="1186"/>
      <c r="DE975" s="1186"/>
      <c r="DF975" s="1186"/>
      <c r="DG975" s="1186"/>
    </row>
    <row r="976" s="1180" customFormat="1" customHeight="1" spans="1:111">
      <c r="A976" s="1309">
        <v>46232</v>
      </c>
      <c r="B976" s="1552" t="s">
        <v>3807</v>
      </c>
      <c r="C976" s="1553" t="s">
        <v>115</v>
      </c>
      <c r="D976" s="1554">
        <v>4500218058</v>
      </c>
      <c r="E976" s="1553" t="s">
        <v>3808</v>
      </c>
      <c r="F976" s="1555" t="s">
        <v>3809</v>
      </c>
      <c r="G976" s="1556" t="s">
        <v>3810</v>
      </c>
      <c r="H976" s="1553" t="s">
        <v>893</v>
      </c>
      <c r="I976" s="1557">
        <v>6480</v>
      </c>
      <c r="J976" s="1553">
        <v>0</v>
      </c>
      <c r="K976" s="1553">
        <v>720</v>
      </c>
      <c r="L976" s="1544">
        <f t="shared" ref="L976:L1011" si="338">I976/K976</f>
        <v>9</v>
      </c>
      <c r="M976" s="1545">
        <v>46304</v>
      </c>
      <c r="N976" s="1545">
        <v>46300</v>
      </c>
      <c r="O976" s="1545"/>
      <c r="P976" s="1313"/>
      <c r="Q976" s="1313"/>
      <c r="R976" s="488"/>
      <c r="S976" s="488"/>
      <c r="T976" s="1313"/>
      <c r="U976" s="500">
        <f t="shared" ref="U976:U983" si="339">T976-I976</f>
        <v>-6480</v>
      </c>
      <c r="V976" s="488"/>
      <c r="W976" s="1300" t="s">
        <v>3064</v>
      </c>
      <c r="X976" s="1301" t="s">
        <v>95</v>
      </c>
      <c r="Y976" s="1301" t="s">
        <v>95</v>
      </c>
      <c r="Z976" s="544"/>
      <c r="AA976" s="544"/>
      <c r="AB976" s="544"/>
      <c r="AC976" s="1552" t="s">
        <v>3811</v>
      </c>
      <c r="AD976" s="1545" t="s">
        <v>3812</v>
      </c>
      <c r="AE976" s="327">
        <v>482.1644</v>
      </c>
      <c r="AF976" s="1315">
        <f>AE976*L976</f>
        <v>4339.4796</v>
      </c>
      <c r="AG976" s="1368"/>
      <c r="AH976" s="488" t="s">
        <v>3630</v>
      </c>
      <c r="AI976" s="488"/>
      <c r="AJ976" s="488"/>
      <c r="AK976" s="327">
        <f>I976</f>
        <v>6480</v>
      </c>
      <c r="AL976" s="327"/>
      <c r="AM976" s="327"/>
      <c r="AN976" s="1420">
        <f t="shared" ref="AN976:AN990" si="340">I976</f>
        <v>6480</v>
      </c>
      <c r="AO976" s="327"/>
      <c r="AP976" s="327"/>
      <c r="AQ976" s="1316"/>
      <c r="AR976" s="327"/>
      <c r="AS976" s="1317"/>
      <c r="AT976" s="1317"/>
      <c r="AU976" s="327">
        <f>I976</f>
        <v>6480</v>
      </c>
      <c r="AV976" s="1318">
        <f>I976*0.06</f>
        <v>388.8</v>
      </c>
      <c r="AW976" s="1318"/>
      <c r="AX976" s="327"/>
      <c r="AY976" s="327"/>
      <c r="AZ976" s="327"/>
      <c r="BA976" s="327"/>
      <c r="BB976" s="327"/>
      <c r="BC976" s="327"/>
      <c r="BD976" s="327"/>
      <c r="BE976" s="327"/>
      <c r="BF976" s="327"/>
      <c r="BG976" s="327"/>
      <c r="BH976" s="327"/>
      <c r="BI976" s="327"/>
      <c r="BJ976" s="327"/>
      <c r="BK976" s="327"/>
      <c r="BL976" s="327"/>
      <c r="BM976" s="327"/>
      <c r="BN976" s="1420">
        <f>I976/24</f>
        <v>270</v>
      </c>
      <c r="BO976" s="1316"/>
      <c r="BP976" s="1316"/>
      <c r="BQ976" s="327"/>
      <c r="BR976" s="1317"/>
      <c r="BS976" s="1317"/>
      <c r="BT976" s="327"/>
      <c r="BU976" s="327"/>
      <c r="BV976" s="1316"/>
      <c r="BW976" s="327"/>
      <c r="BX976" s="327"/>
      <c r="BY976" s="327"/>
      <c r="BZ976" s="327"/>
      <c r="CA976" s="327"/>
      <c r="CB976" s="327"/>
      <c r="CC976" s="327"/>
      <c r="CD976" s="327">
        <f t="shared" ref="CD976:CD986" si="341">BN976+BO976+BQ976+BS976+BR976</f>
        <v>270</v>
      </c>
      <c r="CE976" s="327">
        <f t="shared" ref="CE976:CE986" si="342">BU976</f>
        <v>0</v>
      </c>
      <c r="CF976" s="327">
        <f t="shared" ref="CF976:CF986" si="343">CC976</f>
        <v>0</v>
      </c>
      <c r="CG976" s="327">
        <f t="shared" ref="CG976:CG986" si="344">BV976+BW976+BX976</f>
        <v>0</v>
      </c>
      <c r="CH976" s="1317"/>
      <c r="CI976" s="1317"/>
      <c r="CJ976" s="1317"/>
      <c r="CK976" s="327"/>
      <c r="CL976" s="327"/>
      <c r="CM976" s="1760"/>
      <c r="CN976" s="1760"/>
      <c r="CO976" s="1760"/>
      <c r="CP976" s="1760"/>
      <c r="CQ976" s="1760"/>
      <c r="CR976" s="1760"/>
      <c r="CS976" s="1760"/>
      <c r="CT976" s="1760"/>
      <c r="CU976" s="1760"/>
      <c r="CV976" s="1760"/>
      <c r="CW976" s="1760"/>
      <c r="CX976" s="1760"/>
      <c r="CY976" s="1760"/>
      <c r="CZ976" s="1760"/>
      <c r="DA976" s="1760"/>
      <c r="DB976" s="1760"/>
      <c r="DC976" s="1760"/>
      <c r="DD976" s="1760"/>
      <c r="DE976" s="1760"/>
      <c r="DF976" s="1760"/>
      <c r="DG976" s="1760"/>
    </row>
    <row r="977" s="1180" customFormat="1" customHeight="1" spans="1:111">
      <c r="A977" s="1309">
        <v>46226</v>
      </c>
      <c r="B977" s="1410" t="s">
        <v>3813</v>
      </c>
      <c r="C977" s="1411" t="s">
        <v>3814</v>
      </c>
      <c r="D977" s="1412">
        <v>4500217564</v>
      </c>
      <c r="E977" s="1603">
        <v>57158</v>
      </c>
      <c r="F977" s="1672" t="s">
        <v>3815</v>
      </c>
      <c r="G977" s="1755" t="s">
        <v>3816</v>
      </c>
      <c r="H977" s="543" t="s">
        <v>893</v>
      </c>
      <c r="I977" s="1414">
        <v>1536</v>
      </c>
      <c r="J977" s="1415">
        <v>0</v>
      </c>
      <c r="K977" s="1415">
        <v>48</v>
      </c>
      <c r="L977" s="1291">
        <f t="shared" si="338"/>
        <v>32</v>
      </c>
      <c r="M977" s="507">
        <v>46304</v>
      </c>
      <c r="N977" s="507">
        <v>46300</v>
      </c>
      <c r="O977" s="507"/>
      <c r="P977" s="1313"/>
      <c r="Q977" s="506"/>
      <c r="R977" s="488"/>
      <c r="S977" s="504"/>
      <c r="T977" s="506"/>
      <c r="U977" s="500">
        <f t="shared" si="339"/>
        <v>-1536</v>
      </c>
      <c r="V977" s="504"/>
      <c r="W977" s="1300">
        <v>46227</v>
      </c>
      <c r="X977" s="1325" t="s">
        <v>95</v>
      </c>
      <c r="Y977" s="1294" t="s">
        <v>3525</v>
      </c>
      <c r="Z977" s="543"/>
      <c r="AA977" s="543"/>
      <c r="AB977" s="543"/>
      <c r="AC977" s="1552" t="s">
        <v>3817</v>
      </c>
      <c r="AD977" s="547" t="s">
        <v>2269</v>
      </c>
      <c r="AE977" s="548">
        <v>1.1228</v>
      </c>
      <c r="AF977" s="503">
        <f>I977*AE977</f>
        <v>1724.6208</v>
      </c>
      <c r="AG977" s="1368"/>
      <c r="AH977" s="1526" t="s">
        <v>3630</v>
      </c>
      <c r="AI977" s="488"/>
      <c r="AJ977" s="504"/>
      <c r="AK977" s="502">
        <f>I977*2</f>
        <v>3072</v>
      </c>
      <c r="AL977" s="502"/>
      <c r="AM977" s="502"/>
      <c r="AN977" s="1418">
        <f t="shared" si="340"/>
        <v>1536</v>
      </c>
      <c r="AO977" s="502"/>
      <c r="AP977" s="502"/>
      <c r="AQ977" s="1296"/>
      <c r="AR977" s="438"/>
      <c r="AS977" s="1297"/>
      <c r="AT977" s="1297"/>
      <c r="AU977" s="502">
        <f>I977</f>
        <v>1536</v>
      </c>
      <c r="AV977" s="1298">
        <f>I977*0.06</f>
        <v>92.16</v>
      </c>
      <c r="AW977" s="1298"/>
      <c r="AX977" s="1218"/>
      <c r="AY977" s="1218"/>
      <c r="AZ977" s="502"/>
      <c r="BA977" s="502"/>
      <c r="BB977" s="502"/>
      <c r="BC977" s="502"/>
      <c r="BD977" s="502"/>
      <c r="BE977" s="502"/>
      <c r="BF977" s="502"/>
      <c r="BG977" s="502"/>
      <c r="BH977" s="502"/>
      <c r="BI977" s="502"/>
      <c r="BJ977" s="502"/>
      <c r="BK977" s="502"/>
      <c r="BL977" s="502"/>
      <c r="BM977" s="502"/>
      <c r="BN977" s="1418">
        <f>I977/24</f>
        <v>64</v>
      </c>
      <c r="BO977" s="1296"/>
      <c r="BP977" s="1296"/>
      <c r="BQ977" s="502"/>
      <c r="BR977" s="1297"/>
      <c r="BS977" s="1297"/>
      <c r="BT977" s="502"/>
      <c r="BU977" s="502"/>
      <c r="BV977" s="1296"/>
      <c r="BW977" s="502"/>
      <c r="BX977" s="502"/>
      <c r="BY977" s="502"/>
      <c r="BZ977" s="1218"/>
      <c r="CA977" s="1218"/>
      <c r="CB977" s="1218"/>
      <c r="CC977" s="1218"/>
      <c r="CD977" s="1218">
        <f t="shared" si="341"/>
        <v>64</v>
      </c>
      <c r="CE977" s="1218">
        <f t="shared" si="342"/>
        <v>0</v>
      </c>
      <c r="CF977" s="502">
        <f t="shared" si="343"/>
        <v>0</v>
      </c>
      <c r="CG977" s="1218">
        <f t="shared" si="344"/>
        <v>0</v>
      </c>
      <c r="CH977" s="1299"/>
      <c r="CI977" s="1299"/>
      <c r="CJ977" s="1297"/>
      <c r="CK977" s="502"/>
      <c r="CL977" s="502"/>
      <c r="CM977" s="293"/>
      <c r="CN977" s="293"/>
      <c r="CO977" s="293"/>
      <c r="CP977" s="293"/>
      <c r="CQ977" s="293"/>
      <c r="CR977" s="293"/>
      <c r="CS977" s="293"/>
      <c r="CT977" s="293"/>
      <c r="CU977" s="293"/>
      <c r="CV977" s="293"/>
      <c r="CW977" s="293"/>
      <c r="CX977" s="293"/>
      <c r="CY977" s="293"/>
      <c r="CZ977" s="293"/>
      <c r="DA977" s="293"/>
      <c r="DB977" s="293"/>
      <c r="DC977" s="293"/>
      <c r="DD977" s="293"/>
      <c r="DE977" s="293"/>
      <c r="DF977" s="293"/>
      <c r="DG977" s="293"/>
    </row>
    <row r="978" s="293" customFormat="1" customHeight="1" spans="1:111">
      <c r="A978" s="1309">
        <v>46212</v>
      </c>
      <c r="B978" s="544" t="s">
        <v>1110</v>
      </c>
      <c r="C978" s="488" t="s">
        <v>1111</v>
      </c>
      <c r="D978" s="327">
        <v>4500215777</v>
      </c>
      <c r="E978" s="488"/>
      <c r="F978" s="1756" t="s">
        <v>3818</v>
      </c>
      <c r="G978" s="1693" t="s">
        <v>3819</v>
      </c>
      <c r="H978" s="488" t="s">
        <v>175</v>
      </c>
      <c r="I978" s="1311">
        <v>10036</v>
      </c>
      <c r="J978" s="488">
        <v>0</v>
      </c>
      <c r="K978" s="488">
        <v>52</v>
      </c>
      <c r="L978" s="488">
        <f t="shared" si="338"/>
        <v>193</v>
      </c>
      <c r="M978" s="1312">
        <v>46304</v>
      </c>
      <c r="N978" s="1312">
        <v>46300</v>
      </c>
      <c r="O978" s="1312"/>
      <c r="P978" s="1313"/>
      <c r="Q978" s="1313"/>
      <c r="R978" s="488"/>
      <c r="S978" s="488"/>
      <c r="T978" s="1313"/>
      <c r="U978" s="500">
        <f t="shared" si="339"/>
        <v>-10036</v>
      </c>
      <c r="V978" s="488"/>
      <c r="W978" s="1300">
        <v>46212</v>
      </c>
      <c r="X978" s="1301" t="s">
        <v>95</v>
      </c>
      <c r="Y978" s="1294" t="s">
        <v>95</v>
      </c>
      <c r="Z978" s="544"/>
      <c r="AA978" s="544"/>
      <c r="AB978" s="544"/>
      <c r="AC978" s="1301" t="s">
        <v>3820</v>
      </c>
      <c r="AD978" s="1312" t="s">
        <v>2685</v>
      </c>
      <c r="AE978" s="1446">
        <v>1.0451</v>
      </c>
      <c r="AF978" s="1315">
        <f>I978*AE978</f>
        <v>10488.6236</v>
      </c>
      <c r="AG978" s="1368"/>
      <c r="AH978" s="505" t="s">
        <v>174</v>
      </c>
      <c r="AI978" s="488" t="s">
        <v>112</v>
      </c>
      <c r="AJ978" s="488"/>
      <c r="AK978" s="327">
        <f>I978*2</f>
        <v>20072</v>
      </c>
      <c r="AL978" s="327"/>
      <c r="AM978" s="327"/>
      <c r="AN978" s="1420">
        <f t="shared" si="340"/>
        <v>10036</v>
      </c>
      <c r="AO978" s="327"/>
      <c r="AP978" s="327"/>
      <c r="AQ978" s="1316"/>
      <c r="AR978" s="327"/>
      <c r="AS978" s="1317"/>
      <c r="AT978" s="1317"/>
      <c r="AU978" s="327">
        <f>I978</f>
        <v>10036</v>
      </c>
      <c r="AV978" s="1318"/>
      <c r="AW978" s="1318"/>
      <c r="AX978" s="327"/>
      <c r="AY978" s="327"/>
      <c r="AZ978" s="327"/>
      <c r="BA978" s="327"/>
      <c r="BB978" s="327"/>
      <c r="BC978" s="327"/>
      <c r="BD978" s="327"/>
      <c r="BE978" s="327"/>
      <c r="BF978" s="327"/>
      <c r="BG978" s="327"/>
      <c r="BH978" s="327"/>
      <c r="BI978" s="327"/>
      <c r="BJ978" s="327"/>
      <c r="BK978" s="1420">
        <f>I978/13</f>
        <v>772</v>
      </c>
      <c r="BL978" s="327"/>
      <c r="BM978" s="327"/>
      <c r="BN978" s="327"/>
      <c r="BO978" s="1316"/>
      <c r="BP978" s="1316"/>
      <c r="BQ978" s="327"/>
      <c r="BR978" s="1317"/>
      <c r="BS978" s="1317"/>
      <c r="BT978" s="327"/>
      <c r="BU978" s="327"/>
      <c r="BV978" s="1316"/>
      <c r="BW978" s="327"/>
      <c r="BX978" s="327"/>
      <c r="BY978" s="327"/>
      <c r="BZ978" s="327"/>
      <c r="CA978" s="327"/>
      <c r="CB978" s="327"/>
      <c r="CC978" s="327"/>
      <c r="CD978" s="1218">
        <f t="shared" si="341"/>
        <v>0</v>
      </c>
      <c r="CE978" s="1218">
        <f t="shared" si="342"/>
        <v>0</v>
      </c>
      <c r="CF978" s="502">
        <f t="shared" si="343"/>
        <v>0</v>
      </c>
      <c r="CG978" s="1218">
        <f t="shared" si="344"/>
        <v>0</v>
      </c>
      <c r="CH978" s="1317"/>
      <c r="CI978" s="1317"/>
      <c r="CJ978" s="1317"/>
      <c r="CK978" s="327"/>
      <c r="CL978" s="327"/>
      <c r="CM978" s="1180"/>
      <c r="CN978" s="1180"/>
      <c r="CO978" s="1180"/>
      <c r="CP978" s="1180"/>
      <c r="CQ978" s="1180"/>
      <c r="CR978" s="1180"/>
      <c r="CS978" s="1180"/>
      <c r="CT978" s="1180"/>
      <c r="CU978" s="1180"/>
      <c r="CV978" s="1180"/>
      <c r="CW978" s="1180"/>
      <c r="CX978" s="1180"/>
      <c r="CY978" s="1180"/>
      <c r="CZ978" s="1180"/>
      <c r="DA978" s="1180"/>
      <c r="DB978" s="1180"/>
      <c r="DC978" s="1180"/>
      <c r="DD978" s="1180"/>
      <c r="DE978" s="1180"/>
      <c r="DF978" s="1180"/>
      <c r="DG978" s="1180"/>
    </row>
    <row r="979" s="293" customFormat="1" customHeight="1" spans="1:111">
      <c r="A979" s="1289">
        <v>46205</v>
      </c>
      <c r="B979" s="543" t="s">
        <v>280</v>
      </c>
      <c r="C979" s="504" t="s">
        <v>135</v>
      </c>
      <c r="D979" s="1305">
        <v>4500214762</v>
      </c>
      <c r="E979" s="504" t="s">
        <v>3821</v>
      </c>
      <c r="F979" s="1756" t="s">
        <v>3822</v>
      </c>
      <c r="G979" s="1693" t="s">
        <v>3699</v>
      </c>
      <c r="H979" s="504" t="s">
        <v>194</v>
      </c>
      <c r="I979" s="1290">
        <v>38493</v>
      </c>
      <c r="J979" s="504">
        <v>0</v>
      </c>
      <c r="K979" s="504">
        <v>13</v>
      </c>
      <c r="L979" s="1291">
        <f t="shared" si="338"/>
        <v>2961</v>
      </c>
      <c r="M979" s="501">
        <v>46304</v>
      </c>
      <c r="N979" s="501">
        <v>46300</v>
      </c>
      <c r="O979" s="501"/>
      <c r="P979" s="506"/>
      <c r="Q979" s="506"/>
      <c r="R979" s="504"/>
      <c r="S979" s="504"/>
      <c r="T979" s="506"/>
      <c r="U979" s="500">
        <f t="shared" si="339"/>
        <v>-38493</v>
      </c>
      <c r="V979" s="504"/>
      <c r="W979" s="1300" t="s">
        <v>3064</v>
      </c>
      <c r="X979" s="1301" t="s">
        <v>95</v>
      </c>
      <c r="Y979" s="1294" t="s">
        <v>3700</v>
      </c>
      <c r="Z979" s="544" t="s">
        <v>3701</v>
      </c>
      <c r="AA979" s="544"/>
      <c r="AB979" s="543"/>
      <c r="AC979" s="1560" t="s">
        <v>3291</v>
      </c>
      <c r="AD979" s="501" t="s">
        <v>288</v>
      </c>
      <c r="AE979" s="502">
        <v>1.0563</v>
      </c>
      <c r="AF979" s="503">
        <f>I979*AE979</f>
        <v>40660.1559</v>
      </c>
      <c r="AG979" s="1295"/>
      <c r="AH979" s="1424" t="s">
        <v>283</v>
      </c>
      <c r="AI979" s="488" t="s">
        <v>112</v>
      </c>
      <c r="AJ979" s="504"/>
      <c r="AK979" s="327">
        <f>I979</f>
        <v>38493</v>
      </c>
      <c r="AL979" s="502"/>
      <c r="AM979" s="1218"/>
      <c r="AN979" s="1418">
        <f t="shared" si="340"/>
        <v>38493</v>
      </c>
      <c r="AO979" s="502"/>
      <c r="AP979" s="502"/>
      <c r="AQ979" s="1296"/>
      <c r="AR979" s="438"/>
      <c r="AS979" s="1297"/>
      <c r="AT979" s="1297"/>
      <c r="AU979" s="502"/>
      <c r="AV979" s="1298">
        <f>I979*0.06</f>
        <v>2309.58</v>
      </c>
      <c r="AW979" s="1298">
        <f>I979</f>
        <v>38493</v>
      </c>
      <c r="AX979" s="502"/>
      <c r="AY979" s="502"/>
      <c r="AZ979" s="502"/>
      <c r="BA979" s="502"/>
      <c r="BB979" s="502"/>
      <c r="BC979" s="502"/>
      <c r="BD979" s="502"/>
      <c r="BE979" s="502"/>
      <c r="BF979" s="502"/>
      <c r="BG979" s="502"/>
      <c r="BH979" s="502"/>
      <c r="BI979" s="502"/>
      <c r="BJ979" s="502"/>
      <c r="BK979" s="1418">
        <f>I979/13</f>
        <v>2961</v>
      </c>
      <c r="BL979" s="502"/>
      <c r="BM979" s="502"/>
      <c r="BN979" s="502"/>
      <c r="BO979" s="1296"/>
      <c r="BP979" s="1296"/>
      <c r="BQ979" s="1218"/>
      <c r="BR979" s="1297"/>
      <c r="BS979" s="1297"/>
      <c r="BT979" s="502"/>
      <c r="BU979" s="502"/>
      <c r="BV979" s="1296"/>
      <c r="BW979" s="1218"/>
      <c r="BX979" s="1218"/>
      <c r="BY979" s="1218"/>
      <c r="BZ979" s="1218"/>
      <c r="CA979" s="1218"/>
      <c r="CB979" s="1218"/>
      <c r="CC979" s="1218"/>
      <c r="CD979" s="1218">
        <f t="shared" si="341"/>
        <v>0</v>
      </c>
      <c r="CE979" s="1218">
        <f t="shared" si="342"/>
        <v>0</v>
      </c>
      <c r="CF979" s="502">
        <f t="shared" si="343"/>
        <v>0</v>
      </c>
      <c r="CG979" s="1218">
        <f t="shared" si="344"/>
        <v>0</v>
      </c>
      <c r="CH979" s="1299"/>
      <c r="CI979" s="1299"/>
      <c r="CJ979" s="1297"/>
      <c r="CK979" s="502"/>
      <c r="CL979" s="502"/>
    </row>
    <row r="980" s="1177" customFormat="1" customHeight="1" spans="1:111">
      <c r="A980" s="1289">
        <v>46205</v>
      </c>
      <c r="B980" s="1417" t="s">
        <v>280</v>
      </c>
      <c r="C980" s="1434" t="s">
        <v>135</v>
      </c>
      <c r="D980" s="1435">
        <v>4500214762</v>
      </c>
      <c r="E980" s="1434" t="s">
        <v>3823</v>
      </c>
      <c r="F980" s="1770" t="s">
        <v>3824</v>
      </c>
      <c r="G980" s="1700" t="s">
        <v>3699</v>
      </c>
      <c r="H980" s="504" t="s">
        <v>194</v>
      </c>
      <c r="I980" s="1439">
        <v>38493</v>
      </c>
      <c r="J980" s="1434">
        <v>0</v>
      </c>
      <c r="K980" s="1434">
        <v>13</v>
      </c>
      <c r="L980" s="1291">
        <f t="shared" si="338"/>
        <v>2961</v>
      </c>
      <c r="M980" s="507">
        <v>46304</v>
      </c>
      <c r="N980" s="507">
        <v>46300</v>
      </c>
      <c r="O980" s="507"/>
      <c r="P980" s="506"/>
      <c r="Q980" s="506"/>
      <c r="R980" s="504"/>
      <c r="S980" s="504"/>
      <c r="T980" s="506"/>
      <c r="U980" s="500">
        <f t="shared" si="339"/>
        <v>-38493</v>
      </c>
      <c r="V980" s="504"/>
      <c r="W980" s="1300" t="s">
        <v>3064</v>
      </c>
      <c r="X980" s="1294" t="s">
        <v>95</v>
      </c>
      <c r="Y980" s="1301" t="s">
        <v>3700</v>
      </c>
      <c r="Z980" s="544" t="s">
        <v>3701</v>
      </c>
      <c r="AA980" s="544"/>
      <c r="AB980" s="543"/>
      <c r="AC980" s="1560" t="s">
        <v>3291</v>
      </c>
      <c r="AD980" s="507" t="s">
        <v>288</v>
      </c>
      <c r="AE980" s="502">
        <v>1.0523</v>
      </c>
      <c r="AF980" s="503">
        <f>I980*AE980</f>
        <v>40506.1839</v>
      </c>
      <c r="AG980" s="1295"/>
      <c r="AH980" s="1424" t="s">
        <v>283</v>
      </c>
      <c r="AI980" s="1553" t="s">
        <v>112</v>
      </c>
      <c r="AJ980" s="504"/>
      <c r="AK980" s="327">
        <f>I980</f>
        <v>38493</v>
      </c>
      <c r="AL980" s="502"/>
      <c r="AM980" s="1218"/>
      <c r="AN980" s="1702">
        <f t="shared" si="340"/>
        <v>38493</v>
      </c>
      <c r="AO980" s="1437"/>
      <c r="AP980" s="502"/>
      <c r="AQ980" s="1615"/>
      <c r="AR980" s="456"/>
      <c r="AS980" s="1616"/>
      <c r="AT980" s="1616"/>
      <c r="AU980" s="502"/>
      <c r="AV980" s="1298">
        <f>I980*0.06</f>
        <v>2309.58</v>
      </c>
      <c r="AW980" s="1298">
        <f>I980</f>
        <v>38493</v>
      </c>
      <c r="AX980" s="502"/>
      <c r="AY980" s="502"/>
      <c r="AZ980" s="502"/>
      <c r="BA980" s="502"/>
      <c r="BB980" s="502"/>
      <c r="BC980" s="502"/>
      <c r="BD980" s="502"/>
      <c r="BE980" s="502"/>
      <c r="BF980" s="502"/>
      <c r="BG980" s="502"/>
      <c r="BH980" s="502"/>
      <c r="BI980" s="502"/>
      <c r="BJ980" s="502"/>
      <c r="BK980" s="502">
        <f>I980/13</f>
        <v>2961</v>
      </c>
      <c r="BL980" s="502"/>
      <c r="BM980" s="502"/>
      <c r="BN980" s="502"/>
      <c r="BO980" s="1296"/>
      <c r="BP980" s="1296"/>
      <c r="BQ980" s="1218"/>
      <c r="BR980" s="1297"/>
      <c r="BS980" s="1297"/>
      <c r="BT980" s="502"/>
      <c r="BU980" s="502"/>
      <c r="BV980" s="1296"/>
      <c r="BW980" s="1218"/>
      <c r="BX980" s="1218"/>
      <c r="BY980" s="1218"/>
      <c r="BZ980" s="1218"/>
      <c r="CA980" s="1218"/>
      <c r="CB980" s="1218"/>
      <c r="CC980" s="1218"/>
      <c r="CD980" s="1218">
        <f t="shared" si="341"/>
        <v>0</v>
      </c>
      <c r="CE980" s="1218">
        <f t="shared" si="342"/>
        <v>0</v>
      </c>
      <c r="CF980" s="502">
        <f t="shared" si="343"/>
        <v>0</v>
      </c>
      <c r="CG980" s="1218">
        <f t="shared" si="344"/>
        <v>0</v>
      </c>
      <c r="CH980" s="1299"/>
      <c r="CI980" s="1299"/>
      <c r="CJ980" s="1297"/>
      <c r="CK980" s="502"/>
      <c r="CL980" s="502"/>
      <c r="CM980" s="293"/>
      <c r="CN980" s="293"/>
      <c r="CO980" s="293"/>
      <c r="CP980" s="293"/>
      <c r="CQ980" s="293"/>
      <c r="CR980" s="293"/>
      <c r="CS980" s="293"/>
      <c r="CT980" s="293"/>
      <c r="CU980" s="293"/>
      <c r="CV980" s="293"/>
      <c r="CW980" s="293"/>
      <c r="CX980" s="293"/>
      <c r="CY980" s="293"/>
      <c r="CZ980" s="293"/>
      <c r="DA980" s="293"/>
      <c r="DB980" s="293"/>
      <c r="DC980" s="293"/>
      <c r="DD980" s="293"/>
      <c r="DE980" s="293"/>
      <c r="DF980" s="293"/>
      <c r="DG980" s="293"/>
    </row>
    <row r="981" s="1180" customFormat="1" customHeight="1" spans="1:111">
      <c r="A981" s="1289">
        <v>46219</v>
      </c>
      <c r="B981" s="543" t="s">
        <v>1176</v>
      </c>
      <c r="C981" s="504" t="s">
        <v>115</v>
      </c>
      <c r="D981" s="502">
        <v>4500216785</v>
      </c>
      <c r="E981" s="504" t="s">
        <v>3685</v>
      </c>
      <c r="F981" s="502" t="s">
        <v>3825</v>
      </c>
      <c r="G981" s="505" t="s">
        <v>174</v>
      </c>
      <c r="H981" s="488" t="s">
        <v>175</v>
      </c>
      <c r="I981" s="1290">
        <v>26000</v>
      </c>
      <c r="J981" s="504">
        <v>0</v>
      </c>
      <c r="K981" s="504">
        <v>52</v>
      </c>
      <c r="L981" s="1291">
        <f t="shared" si="338"/>
        <v>500</v>
      </c>
      <c r="M981" s="501">
        <v>46304</v>
      </c>
      <c r="N981" s="501">
        <v>46300</v>
      </c>
      <c r="O981" s="501"/>
      <c r="P981" s="506"/>
      <c r="Q981" s="506"/>
      <c r="R981" s="504"/>
      <c r="S981" s="504"/>
      <c r="T981" s="506"/>
      <c r="U981" s="500">
        <f t="shared" si="339"/>
        <v>-26000</v>
      </c>
      <c r="V981" s="504"/>
      <c r="W981" s="1300" t="s">
        <v>3064</v>
      </c>
      <c r="X981" s="1301" t="s">
        <v>107</v>
      </c>
      <c r="Y981" s="1301" t="s">
        <v>3687</v>
      </c>
      <c r="Z981" s="544"/>
      <c r="AA981" s="544"/>
      <c r="AB981" s="543"/>
      <c r="AC981" s="544" t="s">
        <v>1181</v>
      </c>
      <c r="AD981" s="501" t="s">
        <v>2654</v>
      </c>
      <c r="AE981" s="502">
        <v>0.6246</v>
      </c>
      <c r="AF981" s="503">
        <f>I981*AE981</f>
        <v>16239.6</v>
      </c>
      <c r="AG981" s="1295"/>
      <c r="AH981" s="505" t="s">
        <v>174</v>
      </c>
      <c r="AI981" s="488" t="s">
        <v>112</v>
      </c>
      <c r="AJ981" s="504"/>
      <c r="AK981" s="327">
        <f>I981*2</f>
        <v>52000</v>
      </c>
      <c r="AL981" s="502"/>
      <c r="AM981" s="1218"/>
      <c r="AN981" s="1709">
        <f t="shared" si="340"/>
        <v>26000</v>
      </c>
      <c r="AO981" s="502"/>
      <c r="AP981" s="502"/>
      <c r="AQ981" s="1296"/>
      <c r="AR981" s="438"/>
      <c r="AS981" s="1297"/>
      <c r="AT981" s="1297"/>
      <c r="AU981" s="502">
        <f>I981</f>
        <v>26000</v>
      </c>
      <c r="AV981" s="1612"/>
      <c r="AW981" s="1298"/>
      <c r="AX981" s="502"/>
      <c r="AY981" s="502"/>
      <c r="AZ981" s="502"/>
      <c r="BA981" s="502"/>
      <c r="BB981" s="502"/>
      <c r="BC981" s="502"/>
      <c r="BD981" s="502"/>
      <c r="BE981" s="502"/>
      <c r="BF981" s="502"/>
      <c r="BG981" s="502"/>
      <c r="BH981" s="502"/>
      <c r="BI981" s="502"/>
      <c r="BJ981" s="502"/>
      <c r="BK981" s="502">
        <f>I981/13</f>
        <v>2000</v>
      </c>
      <c r="BL981" s="502"/>
      <c r="BM981" s="502"/>
      <c r="BN981" s="502"/>
      <c r="BO981" s="1296"/>
      <c r="BP981" s="1296"/>
      <c r="BQ981" s="1218"/>
      <c r="BR981" s="1297"/>
      <c r="BS981" s="1297"/>
      <c r="BT981" s="502"/>
      <c r="BU981" s="502"/>
      <c r="BV981" s="1296"/>
      <c r="BW981" s="1218"/>
      <c r="BX981" s="1218"/>
      <c r="BY981" s="1218"/>
      <c r="BZ981" s="1218"/>
      <c r="CA981" s="1218"/>
      <c r="CB981" s="1218"/>
      <c r="CC981" s="1218"/>
      <c r="CD981" s="1218">
        <f t="shared" si="341"/>
        <v>0</v>
      </c>
      <c r="CE981" s="1218">
        <f t="shared" si="342"/>
        <v>0</v>
      </c>
      <c r="CF981" s="502">
        <f t="shared" si="343"/>
        <v>0</v>
      </c>
      <c r="CG981" s="1218">
        <f t="shared" si="344"/>
        <v>0</v>
      </c>
      <c r="CH981" s="1299"/>
      <c r="CI981" s="1299"/>
      <c r="CJ981" s="1297"/>
      <c r="CK981" s="502"/>
      <c r="CL981" s="502"/>
      <c r="CM981" s="294"/>
      <c r="CN981" s="294"/>
      <c r="CO981" s="294"/>
      <c r="CP981" s="294"/>
      <c r="CQ981" s="294"/>
      <c r="CR981" s="294"/>
      <c r="CS981" s="294"/>
      <c r="CT981" s="294"/>
      <c r="CU981" s="294"/>
      <c r="CV981" s="294"/>
      <c r="CW981" s="294"/>
      <c r="CX981" s="294"/>
      <c r="CY981" s="294"/>
      <c r="CZ981" s="294"/>
      <c r="DA981" s="294"/>
      <c r="DB981" s="294"/>
      <c r="DC981" s="294"/>
      <c r="DD981" s="294"/>
      <c r="DE981" s="294"/>
      <c r="DF981" s="294"/>
      <c r="DG981" s="294"/>
    </row>
    <row r="982" s="1180" customFormat="1" customHeight="1" spans="1:111">
      <c r="A982" s="1309">
        <v>46233</v>
      </c>
      <c r="B982" s="544" t="s">
        <v>2326</v>
      </c>
      <c r="C982" s="488" t="s">
        <v>319</v>
      </c>
      <c r="D982" s="327">
        <v>4500218190</v>
      </c>
      <c r="E982" s="1313" t="s">
        <v>3826</v>
      </c>
      <c r="F982" s="1756" t="s">
        <v>3827</v>
      </c>
      <c r="G982" s="1700" t="s">
        <v>3244</v>
      </c>
      <c r="H982" s="488" t="s">
        <v>804</v>
      </c>
      <c r="I982" s="1311">
        <v>2400</v>
      </c>
      <c r="J982" s="488">
        <v>0</v>
      </c>
      <c r="K982" s="488">
        <v>6</v>
      </c>
      <c r="L982" s="1544">
        <f t="shared" si="338"/>
        <v>400</v>
      </c>
      <c r="M982" s="1312">
        <v>46304</v>
      </c>
      <c r="N982" s="1312">
        <f>M982-4</f>
        <v>46300</v>
      </c>
      <c r="O982" s="1312"/>
      <c r="P982" s="1313"/>
      <c r="Q982" s="1313"/>
      <c r="R982" s="488"/>
      <c r="S982" s="488"/>
      <c r="T982" s="1313"/>
      <c r="U982" s="500">
        <f t="shared" si="339"/>
        <v>-2400</v>
      </c>
      <c r="V982" s="488"/>
      <c r="W982" s="1300" t="s">
        <v>3635</v>
      </c>
      <c r="X982" s="1301" t="s">
        <v>95</v>
      </c>
      <c r="Y982" s="1294" t="s">
        <v>3828</v>
      </c>
      <c r="Z982" s="544"/>
      <c r="AA982" s="544"/>
      <c r="AB982" s="544"/>
      <c r="AC982" s="1533" t="s">
        <v>3829</v>
      </c>
      <c r="AD982" s="1312" t="s">
        <v>2332</v>
      </c>
      <c r="AE982" s="327">
        <v>8.15</v>
      </c>
      <c r="AF982" s="1315">
        <f>AE982*I982</f>
        <v>19560</v>
      </c>
      <c r="AG982" s="1295"/>
      <c r="AH982" s="1234" t="s">
        <v>806</v>
      </c>
      <c r="AI982" s="488" t="s">
        <v>112</v>
      </c>
      <c r="AJ982" s="488"/>
      <c r="AK982" s="327">
        <f>I982*2</f>
        <v>4800</v>
      </c>
      <c r="AL982" s="327"/>
      <c r="AM982" s="327"/>
      <c r="AN982" s="1729">
        <f t="shared" si="340"/>
        <v>2400</v>
      </c>
      <c r="AO982" s="327"/>
      <c r="AP982" s="327"/>
      <c r="AQ982" s="1316"/>
      <c r="AR982" s="327"/>
      <c r="AS982" s="1317"/>
      <c r="AT982" s="1317"/>
      <c r="AU982" s="327">
        <f t="shared" ref="AU982:AU987" si="345">I982</f>
        <v>2400</v>
      </c>
      <c r="AV982" s="1678">
        <f t="shared" ref="AV982:AV988" si="346">I982*0.06</f>
        <v>144</v>
      </c>
      <c r="AW982" s="1318"/>
      <c r="AX982" s="327"/>
      <c r="AY982" s="327"/>
      <c r="AZ982" s="327"/>
      <c r="BA982" s="327"/>
      <c r="BB982" s="327"/>
      <c r="BC982" s="327"/>
      <c r="BD982" s="327"/>
      <c r="BE982" s="327"/>
      <c r="BF982" s="327"/>
      <c r="BG982" s="327"/>
      <c r="BH982" s="327"/>
      <c r="BI982" s="327"/>
      <c r="BJ982" s="327"/>
      <c r="BK982" s="327"/>
      <c r="BL982" s="327"/>
      <c r="BM982" s="327"/>
      <c r="BN982" s="327"/>
      <c r="BO982" s="1316"/>
      <c r="BP982" s="1316"/>
      <c r="BQ982" s="327"/>
      <c r="BR982" s="1317"/>
      <c r="BS982" s="1317"/>
      <c r="BT982" s="327"/>
      <c r="BU982" s="327"/>
      <c r="BV982" s="1316"/>
      <c r="BW982" s="327"/>
      <c r="BX982" s="327"/>
      <c r="BY982" s="327"/>
      <c r="BZ982" s="327"/>
      <c r="CA982" s="327"/>
      <c r="CB982" s="327"/>
      <c r="CC982" s="327"/>
      <c r="CD982" s="327">
        <f t="shared" si="341"/>
        <v>0</v>
      </c>
      <c r="CE982" s="327">
        <f t="shared" si="342"/>
        <v>0</v>
      </c>
      <c r="CF982" s="327">
        <f t="shared" si="343"/>
        <v>0</v>
      </c>
      <c r="CG982" s="327">
        <f t="shared" si="344"/>
        <v>0</v>
      </c>
      <c r="CH982" s="1317"/>
      <c r="CI982" s="1317"/>
      <c r="CJ982" s="1317"/>
      <c r="CK982" s="327"/>
      <c r="CL982" s="327"/>
    </row>
    <row r="983" s="1184" customFormat="1" customHeight="1" spans="1:111">
      <c r="A983" s="1309">
        <v>46233</v>
      </c>
      <c r="B983" s="1552" t="s">
        <v>2326</v>
      </c>
      <c r="C983" s="1553" t="s">
        <v>217</v>
      </c>
      <c r="D983" s="1555">
        <v>4500218190</v>
      </c>
      <c r="E983" s="1621" t="s">
        <v>3830</v>
      </c>
      <c r="F983" s="1770" t="s">
        <v>3831</v>
      </c>
      <c r="G983" s="1700" t="s">
        <v>3244</v>
      </c>
      <c r="H983" s="488" t="s">
        <v>804</v>
      </c>
      <c r="I983" s="1557">
        <v>1500</v>
      </c>
      <c r="J983" s="1553">
        <v>0</v>
      </c>
      <c r="K983" s="1553">
        <v>6</v>
      </c>
      <c r="L983" s="1544">
        <f t="shared" si="338"/>
        <v>250</v>
      </c>
      <c r="M983" s="1545">
        <v>46304</v>
      </c>
      <c r="N983" s="1545">
        <f>M983-4</f>
        <v>46300</v>
      </c>
      <c r="O983" s="1545"/>
      <c r="P983" s="1313"/>
      <c r="Q983" s="1313"/>
      <c r="R983" s="488"/>
      <c r="S983" s="488"/>
      <c r="T983" s="1313"/>
      <c r="U983" s="500">
        <f t="shared" si="339"/>
        <v>-1500</v>
      </c>
      <c r="V983" s="488"/>
      <c r="W983" s="1300" t="s">
        <v>3635</v>
      </c>
      <c r="X983" s="1301" t="s">
        <v>95</v>
      </c>
      <c r="Y983" s="1294" t="s">
        <v>3832</v>
      </c>
      <c r="Z983" s="1552"/>
      <c r="AA983" s="1552"/>
      <c r="AB983" s="544"/>
      <c r="AC983" s="1533" t="s">
        <v>3833</v>
      </c>
      <c r="AD983" s="1545" t="s">
        <v>2332</v>
      </c>
      <c r="AE983" s="327">
        <v>8.15</v>
      </c>
      <c r="AF983" s="1315">
        <f>AE983*I983</f>
        <v>12225</v>
      </c>
      <c r="AG983" s="1295"/>
      <c r="AH983" s="1234" t="s">
        <v>806</v>
      </c>
      <c r="AI983" s="488" t="s">
        <v>112</v>
      </c>
      <c r="AJ983" s="488"/>
      <c r="AK983" s="327">
        <f>I983*2</f>
        <v>3000</v>
      </c>
      <c r="AL983" s="327"/>
      <c r="AM983" s="327"/>
      <c r="AN983" s="1420">
        <f t="shared" si="340"/>
        <v>1500</v>
      </c>
      <c r="AO983" s="327"/>
      <c r="AP983" s="327"/>
      <c r="AQ983" s="1316"/>
      <c r="AR983" s="327"/>
      <c r="AS983" s="1317"/>
      <c r="AT983" s="1317"/>
      <c r="AU983" s="327">
        <f t="shared" si="345"/>
        <v>1500</v>
      </c>
      <c r="AV983" s="1318">
        <f t="shared" si="346"/>
        <v>90</v>
      </c>
      <c r="AW983" s="1318"/>
      <c r="AX983" s="327"/>
      <c r="AY983" s="327"/>
      <c r="AZ983" s="327"/>
      <c r="BA983" s="327"/>
      <c r="BB983" s="327"/>
      <c r="BC983" s="327"/>
      <c r="BD983" s="327"/>
      <c r="BE983" s="327"/>
      <c r="BF983" s="327"/>
      <c r="BG983" s="327"/>
      <c r="BH983" s="327"/>
      <c r="BI983" s="327"/>
      <c r="BJ983" s="327"/>
      <c r="BK983" s="327"/>
      <c r="BL983" s="327"/>
      <c r="BM983" s="327"/>
      <c r="BN983" s="327"/>
      <c r="BO983" s="1316"/>
      <c r="BP983" s="1316"/>
      <c r="BQ983" s="327"/>
      <c r="BR983" s="1317"/>
      <c r="BS983" s="1317"/>
      <c r="BT983" s="327"/>
      <c r="BU983" s="327"/>
      <c r="BV983" s="1316"/>
      <c r="BW983" s="327"/>
      <c r="BX983" s="327"/>
      <c r="BY983" s="327"/>
      <c r="BZ983" s="327"/>
      <c r="CA983" s="327"/>
      <c r="CB983" s="327"/>
      <c r="CC983" s="327"/>
      <c r="CD983" s="327">
        <f t="shared" si="341"/>
        <v>0</v>
      </c>
      <c r="CE983" s="327">
        <f t="shared" si="342"/>
        <v>0</v>
      </c>
      <c r="CF983" s="327">
        <f t="shared" si="343"/>
        <v>0</v>
      </c>
      <c r="CG983" s="327">
        <f t="shared" si="344"/>
        <v>0</v>
      </c>
      <c r="CH983" s="1317"/>
      <c r="CI983" s="1317"/>
      <c r="CJ983" s="1317"/>
      <c r="CK983" s="327"/>
      <c r="CL983" s="327"/>
      <c r="CM983" s="1180"/>
      <c r="CN983" s="1180"/>
      <c r="CO983" s="1180"/>
      <c r="CP983" s="1180"/>
      <c r="CQ983" s="1180"/>
      <c r="CR983" s="1180"/>
      <c r="CS983" s="1180"/>
      <c r="CT983" s="1180"/>
      <c r="CU983" s="1180"/>
      <c r="CV983" s="1180"/>
      <c r="CW983" s="1180"/>
      <c r="CX983" s="1180"/>
      <c r="CY983" s="1180"/>
      <c r="CZ983" s="1180"/>
      <c r="DA983" s="1180"/>
      <c r="DB983" s="1180"/>
      <c r="DC983" s="1180"/>
      <c r="DD983" s="1180"/>
      <c r="DE983" s="1180"/>
      <c r="DF983" s="1180"/>
      <c r="DG983" s="1180"/>
    </row>
    <row r="984" s="1180" customFormat="1" customHeight="1" spans="1:111">
      <c r="A984" s="1588">
        <v>46241</v>
      </c>
      <c r="B984" s="1708" t="s">
        <v>989</v>
      </c>
      <c r="C984" s="1054" t="s">
        <v>115</v>
      </c>
      <c r="D984" s="1761" t="s">
        <v>3834</v>
      </c>
      <c r="E984" s="1314"/>
      <c r="F984" s="1187" t="s">
        <v>3835</v>
      </c>
      <c r="G984" s="1713" t="s">
        <v>174</v>
      </c>
      <c r="H984" s="488" t="s">
        <v>175</v>
      </c>
      <c r="I984" s="1714">
        <v>728</v>
      </c>
      <c r="J984" s="1054">
        <v>0</v>
      </c>
      <c r="K984" s="1054">
        <v>52</v>
      </c>
      <c r="L984" s="1715">
        <f t="shared" si="338"/>
        <v>14</v>
      </c>
      <c r="M984" s="1717">
        <v>46304</v>
      </c>
      <c r="N984" s="1717">
        <v>46300</v>
      </c>
      <c r="O984" s="1717"/>
      <c r="P984" s="1314"/>
      <c r="Q984" s="1314"/>
      <c r="R984" s="1054"/>
      <c r="S984" s="1054"/>
      <c r="T984" s="1314"/>
      <c r="U984" s="1313"/>
      <c r="V984" s="1054"/>
      <c r="W984" s="1300" t="s">
        <v>3064</v>
      </c>
      <c r="X984" s="1294" t="s">
        <v>95</v>
      </c>
      <c r="Y984" s="1294" t="s">
        <v>95</v>
      </c>
      <c r="Z984" s="544"/>
      <c r="AA984" s="544"/>
      <c r="AB984" s="544"/>
      <c r="AC984" s="1708" t="s">
        <v>3836</v>
      </c>
      <c r="AD984" s="1717" t="s">
        <v>178</v>
      </c>
      <c r="AE984" s="1187">
        <v>0.6743</v>
      </c>
      <c r="AF984" s="1718">
        <f>I984*AE984</f>
        <v>490.8904</v>
      </c>
      <c r="AG984" s="1295"/>
      <c r="AH984" s="505" t="s">
        <v>174</v>
      </c>
      <c r="AI984" s="1553" t="s">
        <v>112</v>
      </c>
      <c r="AJ984" s="1054"/>
      <c r="AK984" s="327">
        <f>I984*2</f>
        <v>1456</v>
      </c>
      <c r="AL984" s="1187"/>
      <c r="AM984" s="1187"/>
      <c r="AN984" s="1709">
        <f t="shared" si="340"/>
        <v>728</v>
      </c>
      <c r="AO984" s="327"/>
      <c r="AP984" s="327"/>
      <c r="AQ984" s="1679"/>
      <c r="AR984" s="1555"/>
      <c r="AS984" s="1680"/>
      <c r="AT984" s="1680"/>
      <c r="AU984" s="502">
        <f t="shared" si="345"/>
        <v>728</v>
      </c>
      <c r="AV984" s="1318"/>
      <c r="AW984" s="1318"/>
      <c r="AX984" s="327"/>
      <c r="AY984" s="327"/>
      <c r="AZ984" s="1187"/>
      <c r="BA984" s="1187"/>
      <c r="BB984" s="1187"/>
      <c r="BC984" s="1187"/>
      <c r="BD984" s="1187"/>
      <c r="BE984" s="1187"/>
      <c r="BF984" s="1187"/>
      <c r="BG984" s="327"/>
      <c r="BH984" s="327"/>
      <c r="BI984" s="1187"/>
      <c r="BJ984" s="1187"/>
      <c r="BK984" s="502">
        <f>I984/13</f>
        <v>56</v>
      </c>
      <c r="BL984" s="1187"/>
      <c r="BM984" s="327"/>
      <c r="BN984" s="1187"/>
      <c r="BO984" s="1316"/>
      <c r="BP984" s="1187"/>
      <c r="BQ984" s="1187"/>
      <c r="BR984" s="1187"/>
      <c r="BS984" s="1187"/>
      <c r="BT984" s="1187"/>
      <c r="BU984" s="1187"/>
      <c r="BV984" s="1187"/>
      <c r="BW984" s="1187"/>
      <c r="BX984" s="1187"/>
      <c r="BY984" s="1187"/>
      <c r="BZ984" s="1187"/>
      <c r="CA984" s="1187"/>
      <c r="CB984" s="1187"/>
      <c r="CC984" s="1187"/>
      <c r="CD984" s="1218">
        <f t="shared" si="341"/>
        <v>0</v>
      </c>
      <c r="CE984" s="1218">
        <f t="shared" si="342"/>
        <v>0</v>
      </c>
      <c r="CF984" s="502">
        <f t="shared" si="343"/>
        <v>0</v>
      </c>
      <c r="CG984" s="1218">
        <f t="shared" si="344"/>
        <v>0</v>
      </c>
      <c r="CH984" s="327"/>
      <c r="CI984" s="327"/>
      <c r="CJ984" s="1187"/>
      <c r="CK984" s="1187"/>
      <c r="CL984" s="1187"/>
    </row>
    <row r="985" s="1180" customFormat="1" customHeight="1" spans="1:111">
      <c r="A985" s="1309">
        <v>46238</v>
      </c>
      <c r="B985" s="1552" t="s">
        <v>2333</v>
      </c>
      <c r="C985" s="1553" t="s">
        <v>115</v>
      </c>
      <c r="D985" s="1554">
        <v>4500218804</v>
      </c>
      <c r="E985" s="1621">
        <v>16620900</v>
      </c>
      <c r="F985" s="1555" t="s">
        <v>3837</v>
      </c>
      <c r="G985" s="1556" t="s">
        <v>2335</v>
      </c>
      <c r="H985" s="488" t="s">
        <v>104</v>
      </c>
      <c r="I985" s="1557">
        <v>2448</v>
      </c>
      <c r="J985" s="1553">
        <v>0</v>
      </c>
      <c r="K985" s="1553">
        <v>24</v>
      </c>
      <c r="L985" s="1544">
        <f t="shared" si="338"/>
        <v>102</v>
      </c>
      <c r="M985" s="1545">
        <v>46304</v>
      </c>
      <c r="N985" s="1545">
        <v>46300</v>
      </c>
      <c r="O985" s="1545"/>
      <c r="P985" s="1313"/>
      <c r="Q985" s="1313"/>
      <c r="R985" s="488"/>
      <c r="S985" s="488"/>
      <c r="T985" s="1313"/>
      <c r="U985" s="1313"/>
      <c r="V985" s="488"/>
      <c r="W985" s="1300" t="s">
        <v>3838</v>
      </c>
      <c r="X985" s="1818" t="s">
        <v>107</v>
      </c>
      <c r="Y985" s="1294" t="s">
        <v>3839</v>
      </c>
      <c r="Z985" s="1552"/>
      <c r="AA985" s="1552"/>
      <c r="AB985" s="544"/>
      <c r="AC985" s="1552" t="s">
        <v>3840</v>
      </c>
      <c r="AD985" s="1545" t="s">
        <v>3841</v>
      </c>
      <c r="AE985" s="327">
        <v>0.6656</v>
      </c>
      <c r="AF985" s="1315">
        <f>I985*AE985</f>
        <v>1629.3888</v>
      </c>
      <c r="AG985" s="1295"/>
      <c r="AH985" s="488" t="s">
        <v>146</v>
      </c>
      <c r="AI985" s="488" t="s">
        <v>112</v>
      </c>
      <c r="AJ985" s="488"/>
      <c r="AK985" s="327">
        <f t="shared" ref="AK985:AK991" si="347">I985</f>
        <v>2448</v>
      </c>
      <c r="AL985" s="327"/>
      <c r="AM985" s="327"/>
      <c r="AN985" s="1614">
        <f t="shared" si="340"/>
        <v>2448</v>
      </c>
      <c r="AO985" s="1555"/>
      <c r="AP985" s="327"/>
      <c r="AQ985" s="1316"/>
      <c r="AR985" s="327"/>
      <c r="AS985" s="1317"/>
      <c r="AT985" s="1317"/>
      <c r="AU985" s="327">
        <f t="shared" si="345"/>
        <v>2448</v>
      </c>
      <c r="AV985" s="1678">
        <f>I985*0.06*2</f>
        <v>293.76</v>
      </c>
      <c r="AW985" s="1318"/>
      <c r="AX985" s="327"/>
      <c r="AY985" s="327"/>
      <c r="AZ985" s="327"/>
      <c r="BA985" s="327"/>
      <c r="BB985" s="327"/>
      <c r="BC985" s="327"/>
      <c r="BD985" s="327"/>
      <c r="BE985" s="327"/>
      <c r="BF985" s="327"/>
      <c r="BG985" s="327"/>
      <c r="BH985" s="327"/>
      <c r="BI985" s="327"/>
      <c r="BJ985" s="327"/>
      <c r="BK985" s="327"/>
      <c r="BL985" s="327"/>
      <c r="BM985" s="327"/>
      <c r="BN985" s="1614">
        <f>I985/24</f>
        <v>102</v>
      </c>
      <c r="BO985" s="1316"/>
      <c r="BP985" s="1316"/>
      <c r="BQ985" s="327"/>
      <c r="BR985" s="1317"/>
      <c r="BS985" s="1317"/>
      <c r="BT985" s="327"/>
      <c r="BU985" s="327"/>
      <c r="BV985" s="1316"/>
      <c r="BW985" s="327"/>
      <c r="BX985" s="327"/>
      <c r="BY985" s="327"/>
      <c r="BZ985" s="327"/>
      <c r="CA985" s="327"/>
      <c r="CB985" s="327"/>
      <c r="CC985" s="327"/>
      <c r="CD985" s="327">
        <f t="shared" si="341"/>
        <v>102</v>
      </c>
      <c r="CE985" s="327">
        <f t="shared" si="342"/>
        <v>0</v>
      </c>
      <c r="CF985" s="327">
        <f t="shared" si="343"/>
        <v>0</v>
      </c>
      <c r="CG985" s="327">
        <f t="shared" si="344"/>
        <v>0</v>
      </c>
      <c r="CH985" s="1317"/>
      <c r="CI985" s="1317"/>
      <c r="CJ985" s="1317"/>
      <c r="CK985" s="327"/>
      <c r="CL985" s="327"/>
    </row>
    <row r="986" s="1180" customFormat="1" customHeight="1" spans="1:111">
      <c r="A986" s="1309">
        <v>46238</v>
      </c>
      <c r="B986" s="1552" t="s">
        <v>2333</v>
      </c>
      <c r="C986" s="1553" t="s">
        <v>115</v>
      </c>
      <c r="D986" s="1554">
        <v>4500218808</v>
      </c>
      <c r="E986" s="1621">
        <v>16620899</v>
      </c>
      <c r="F986" s="1555" t="s">
        <v>3842</v>
      </c>
      <c r="G986" s="1556" t="s">
        <v>2335</v>
      </c>
      <c r="H986" s="1054" t="s">
        <v>104</v>
      </c>
      <c r="I986" s="1557">
        <v>7560</v>
      </c>
      <c r="J986" s="1553">
        <v>0</v>
      </c>
      <c r="K986" s="1553">
        <v>24</v>
      </c>
      <c r="L986" s="1715">
        <f t="shared" si="338"/>
        <v>315</v>
      </c>
      <c r="M986" s="1545">
        <v>46304</v>
      </c>
      <c r="N986" s="1545">
        <v>46300</v>
      </c>
      <c r="O986" s="1545"/>
      <c r="P986" s="1313"/>
      <c r="Q986" s="1313"/>
      <c r="R986" s="488"/>
      <c r="S986" s="488"/>
      <c r="T986" s="1313"/>
      <c r="U986" s="1313"/>
      <c r="V986" s="488"/>
      <c r="W986" s="1300" t="s">
        <v>3838</v>
      </c>
      <c r="X986" s="1818" t="s">
        <v>107</v>
      </c>
      <c r="Y986" s="1294" t="s">
        <v>3843</v>
      </c>
      <c r="Z986" s="1552"/>
      <c r="AA986" s="1552"/>
      <c r="AB986" s="544"/>
      <c r="AC986" s="1552" t="s">
        <v>3844</v>
      </c>
      <c r="AD986" s="1545" t="s">
        <v>3841</v>
      </c>
      <c r="AE986" s="327">
        <v>0.6623</v>
      </c>
      <c r="AF986" s="1315">
        <f>I986*AE986</f>
        <v>5006.988</v>
      </c>
      <c r="AG986" s="1295"/>
      <c r="AH986" s="488" t="s">
        <v>146</v>
      </c>
      <c r="AI986" s="488" t="s">
        <v>112</v>
      </c>
      <c r="AJ986" s="488"/>
      <c r="AK986" s="327">
        <f t="shared" si="347"/>
        <v>7560</v>
      </c>
      <c r="AL986" s="327"/>
      <c r="AM986" s="327"/>
      <c r="AN986" s="1614">
        <f t="shared" si="340"/>
        <v>7560</v>
      </c>
      <c r="AO986" s="1555"/>
      <c r="AP986" s="327"/>
      <c r="AQ986" s="1316"/>
      <c r="AR986" s="327"/>
      <c r="AS986" s="1317"/>
      <c r="AT986" s="1317"/>
      <c r="AU986" s="327">
        <f t="shared" si="345"/>
        <v>7560</v>
      </c>
      <c r="AV986" s="1678">
        <f>I986*0.06*2</f>
        <v>907.2</v>
      </c>
      <c r="AW986" s="1318"/>
      <c r="AX986" s="327"/>
      <c r="AY986" s="327"/>
      <c r="AZ986" s="327"/>
      <c r="BA986" s="327"/>
      <c r="BB986" s="327"/>
      <c r="BC986" s="327"/>
      <c r="BD986" s="327"/>
      <c r="BE986" s="327"/>
      <c r="BF986" s="327"/>
      <c r="BG986" s="327"/>
      <c r="BH986" s="327"/>
      <c r="BI986" s="327"/>
      <c r="BJ986" s="327"/>
      <c r="BK986" s="327"/>
      <c r="BL986" s="327"/>
      <c r="BM986" s="327"/>
      <c r="BN986" s="1614">
        <f>I986/24</f>
        <v>315</v>
      </c>
      <c r="BO986" s="1316"/>
      <c r="BP986" s="1316"/>
      <c r="BQ986" s="327"/>
      <c r="BR986" s="1317"/>
      <c r="BS986" s="1317"/>
      <c r="BT986" s="327"/>
      <c r="BU986" s="327"/>
      <c r="BV986" s="1316"/>
      <c r="BW986" s="327"/>
      <c r="BX986" s="327"/>
      <c r="BY986" s="327"/>
      <c r="BZ986" s="327"/>
      <c r="CA986" s="327"/>
      <c r="CB986" s="327"/>
      <c r="CC986" s="327"/>
      <c r="CD986" s="327">
        <f t="shared" si="341"/>
        <v>315</v>
      </c>
      <c r="CE986" s="327">
        <f t="shared" si="342"/>
        <v>0</v>
      </c>
      <c r="CF986" s="327">
        <f t="shared" si="343"/>
        <v>0</v>
      </c>
      <c r="CG986" s="327">
        <f t="shared" si="344"/>
        <v>0</v>
      </c>
      <c r="CH986" s="1317"/>
      <c r="CI986" s="1317"/>
      <c r="CJ986" s="1317"/>
      <c r="CK986" s="327"/>
      <c r="CL986" s="327"/>
    </row>
    <row r="987" s="1180" customFormat="1" customHeight="1" spans="1:111">
      <c r="A987" s="1309">
        <v>46238</v>
      </c>
      <c r="B987" s="1552" t="s">
        <v>2379</v>
      </c>
      <c r="C987" s="1553" t="s">
        <v>508</v>
      </c>
      <c r="D987" s="1554">
        <v>4500215423</v>
      </c>
      <c r="E987" s="1621">
        <v>21975015</v>
      </c>
      <c r="F987" s="1770" t="s">
        <v>3845</v>
      </c>
      <c r="G987" s="1700" t="s">
        <v>3232</v>
      </c>
      <c r="H987" s="1054" t="s">
        <v>194</v>
      </c>
      <c r="I987" s="1557">
        <v>13806</v>
      </c>
      <c r="J987" s="1553">
        <v>0</v>
      </c>
      <c r="K987" s="1553">
        <v>13</v>
      </c>
      <c r="L987" s="1715">
        <f t="shared" si="338"/>
        <v>1062</v>
      </c>
      <c r="M987" s="1545">
        <v>46307</v>
      </c>
      <c r="N987" s="1545">
        <v>46303</v>
      </c>
      <c r="O987" s="1545"/>
      <c r="P987" s="1313"/>
      <c r="Q987" s="1313"/>
      <c r="R987" s="488"/>
      <c r="S987" s="488"/>
      <c r="T987" s="1313"/>
      <c r="U987" s="1313">
        <f>T987-I987</f>
        <v>-13806</v>
      </c>
      <c r="V987" s="488"/>
      <c r="W987" s="1300" t="s">
        <v>3064</v>
      </c>
      <c r="X987" s="1301" t="s">
        <v>95</v>
      </c>
      <c r="Y987" s="1300" t="s">
        <v>3846</v>
      </c>
      <c r="Z987" s="544" t="s">
        <v>3147</v>
      </c>
      <c r="AA987" s="1552"/>
      <c r="AB987" s="544" t="s">
        <v>3847</v>
      </c>
      <c r="AC987" s="1482" t="s">
        <v>3848</v>
      </c>
      <c r="AD987" s="1545" t="s">
        <v>3849</v>
      </c>
      <c r="AE987" s="327">
        <v>1.0939</v>
      </c>
      <c r="AF987" s="1315">
        <f>AE987*I987</f>
        <v>15102.3834</v>
      </c>
      <c r="AG987" s="1295"/>
      <c r="AH987" s="1556" t="s">
        <v>3850</v>
      </c>
      <c r="AI987" s="488" t="s">
        <v>3804</v>
      </c>
      <c r="AJ987" s="488"/>
      <c r="AK987" s="327">
        <f t="shared" si="347"/>
        <v>13806</v>
      </c>
      <c r="AL987" s="327"/>
      <c r="AM987" s="327"/>
      <c r="AN987" s="1420">
        <f t="shared" si="340"/>
        <v>13806</v>
      </c>
      <c r="AO987" s="327"/>
      <c r="AP987" s="327"/>
      <c r="AQ987" s="1316"/>
      <c r="AR987" s="327"/>
      <c r="AS987" s="1317"/>
      <c r="AT987" s="1317"/>
      <c r="AU987" s="327"/>
      <c r="AV987" s="1318">
        <f t="shared" si="346"/>
        <v>828.36</v>
      </c>
      <c r="AW987" s="1318"/>
      <c r="AX987" s="327">
        <f>I987</f>
        <v>13806</v>
      </c>
      <c r="AY987" s="327"/>
      <c r="AZ987" s="327"/>
      <c r="BA987" s="327"/>
      <c r="BB987" s="327"/>
      <c r="BC987" s="327"/>
      <c r="BD987" s="327"/>
      <c r="BE987" s="327"/>
      <c r="BF987" s="327"/>
      <c r="BG987" s="327"/>
      <c r="BH987" s="327"/>
      <c r="BI987" s="327"/>
      <c r="BJ987" s="327"/>
      <c r="BK987" s="327">
        <f>I987/13</f>
        <v>1062</v>
      </c>
      <c r="BL987" s="327"/>
      <c r="BM987" s="327"/>
      <c r="BN987" s="327"/>
      <c r="BO987" s="1316"/>
      <c r="BP987" s="1316"/>
      <c r="BQ987" s="327"/>
      <c r="BR987" s="1317"/>
      <c r="BS987" s="1317"/>
      <c r="BT987" s="327"/>
      <c r="BU987" s="327"/>
      <c r="BV987" s="1316"/>
      <c r="BW987" s="327"/>
      <c r="BX987" s="327"/>
      <c r="BY987" s="327"/>
      <c r="BZ987" s="327"/>
      <c r="CA987" s="327"/>
      <c r="CB987" s="327"/>
      <c r="CC987" s="327"/>
      <c r="CD987" s="327"/>
      <c r="CE987" s="327"/>
      <c r="CF987" s="327"/>
      <c r="CG987" s="327"/>
      <c r="CH987" s="1317"/>
      <c r="CI987" s="1317"/>
      <c r="CJ987" s="1317"/>
      <c r="CK987" s="327"/>
      <c r="CL987" s="327"/>
    </row>
    <row r="988" s="1180" customFormat="1" customHeight="1" spans="1:111">
      <c r="A988" s="1309">
        <v>46238</v>
      </c>
      <c r="B988" s="1552" t="s">
        <v>2373</v>
      </c>
      <c r="C988" s="1553" t="s">
        <v>101</v>
      </c>
      <c r="D988" s="1554">
        <v>4500215424</v>
      </c>
      <c r="E988" s="1621">
        <v>21975026</v>
      </c>
      <c r="F988" s="1555" t="s">
        <v>3851</v>
      </c>
      <c r="G988" s="1556" t="s">
        <v>3232</v>
      </c>
      <c r="H988" s="488" t="s">
        <v>194</v>
      </c>
      <c r="I988" s="1557">
        <v>1196</v>
      </c>
      <c r="J988" s="1553">
        <v>0</v>
      </c>
      <c r="K988" s="1553">
        <v>13</v>
      </c>
      <c r="L988" s="1544">
        <f t="shared" si="338"/>
        <v>92</v>
      </c>
      <c r="M988" s="1545">
        <v>46307</v>
      </c>
      <c r="N988" s="1545">
        <v>46303</v>
      </c>
      <c r="O988" s="1545"/>
      <c r="P988" s="1313"/>
      <c r="Q988" s="1313"/>
      <c r="R988" s="488"/>
      <c r="S988" s="488"/>
      <c r="T988" s="1313"/>
      <c r="U988" s="1313">
        <f>T988-I988</f>
        <v>-1196</v>
      </c>
      <c r="V988" s="488"/>
      <c r="W988" s="1300" t="s">
        <v>3064</v>
      </c>
      <c r="X988" s="1301" t="s">
        <v>107</v>
      </c>
      <c r="Y988" s="1294" t="s">
        <v>3852</v>
      </c>
      <c r="Z988" s="544" t="s">
        <v>360</v>
      </c>
      <c r="AA988" s="1552"/>
      <c r="AB988" s="544"/>
      <c r="AC988" s="1482" t="s">
        <v>3853</v>
      </c>
      <c r="AD988" s="1545" t="s">
        <v>3849</v>
      </c>
      <c r="AE988" s="327">
        <v>1.1186</v>
      </c>
      <c r="AF988" s="1315">
        <f>AE988*I988</f>
        <v>1337.8456</v>
      </c>
      <c r="AG988" s="1295"/>
      <c r="AH988" s="488" t="s">
        <v>510</v>
      </c>
      <c r="AI988" s="488" t="s">
        <v>112</v>
      </c>
      <c r="AJ988" s="488"/>
      <c r="AK988" s="327">
        <f t="shared" si="347"/>
        <v>1196</v>
      </c>
      <c r="AL988" s="327"/>
      <c r="AM988" s="327"/>
      <c r="AN988" s="1420">
        <f t="shared" si="340"/>
        <v>1196</v>
      </c>
      <c r="AO988" s="327"/>
      <c r="AP988" s="327"/>
      <c r="AQ988" s="1316"/>
      <c r="AR988" s="327"/>
      <c r="AS988" s="1317"/>
      <c r="AT988" s="1317"/>
      <c r="AU988" s="327"/>
      <c r="AV988" s="1318">
        <f t="shared" si="346"/>
        <v>71.76</v>
      </c>
      <c r="AW988" s="1318"/>
      <c r="AX988" s="327">
        <f>I988</f>
        <v>1196</v>
      </c>
      <c r="AY988" s="327"/>
      <c r="AZ988" s="327"/>
      <c r="BA988" s="327"/>
      <c r="BB988" s="327"/>
      <c r="BC988" s="327"/>
      <c r="BD988" s="327"/>
      <c r="BE988" s="327"/>
      <c r="BF988" s="327"/>
      <c r="BG988" s="327"/>
      <c r="BH988" s="327"/>
      <c r="BI988" s="327"/>
      <c r="BJ988" s="327"/>
      <c r="BK988" s="327"/>
      <c r="BL988" s="327"/>
      <c r="BM988" s="327"/>
      <c r="BN988" s="327"/>
      <c r="BO988" s="1316"/>
      <c r="BP988" s="1316">
        <f>I988/13</f>
        <v>92</v>
      </c>
      <c r="BQ988" s="327"/>
      <c r="BR988" s="1317"/>
      <c r="BS988" s="1317"/>
      <c r="BT988" s="327"/>
      <c r="BU988" s="327"/>
      <c r="BV988" s="1316"/>
      <c r="BW988" s="327"/>
      <c r="BX988" s="327"/>
      <c r="BY988" s="327"/>
      <c r="BZ988" s="327"/>
      <c r="CA988" s="327"/>
      <c r="CB988" s="327"/>
      <c r="CC988" s="327"/>
      <c r="CD988" s="327">
        <f>BN988+BO988+BQ988+BS988+BR988</f>
        <v>0</v>
      </c>
      <c r="CE988" s="327">
        <f>BU988</f>
        <v>0</v>
      </c>
      <c r="CF988" s="327">
        <f>CC988</f>
        <v>0</v>
      </c>
      <c r="CG988" s="327">
        <f>BV988+BW988+BX988</f>
        <v>0</v>
      </c>
      <c r="CH988" s="1317"/>
      <c r="CI988" s="1317"/>
      <c r="CJ988" s="1317"/>
      <c r="CK988" s="327"/>
      <c r="CL988" s="327"/>
    </row>
    <row r="989" s="1180" customFormat="1" customHeight="1" spans="1:111">
      <c r="A989" s="1309">
        <v>46237</v>
      </c>
      <c r="B989" s="1552" t="s">
        <v>507</v>
      </c>
      <c r="C989" s="1553" t="s">
        <v>508</v>
      </c>
      <c r="D989" s="1554">
        <v>4500218366</v>
      </c>
      <c r="E989" s="1621">
        <v>2653839</v>
      </c>
      <c r="F989" s="1555" t="s">
        <v>3854</v>
      </c>
      <c r="G989" s="1700" t="s">
        <v>3232</v>
      </c>
      <c r="H989" s="488" t="s">
        <v>194</v>
      </c>
      <c r="I989" s="1557">
        <v>5005</v>
      </c>
      <c r="J989" s="1553">
        <v>0</v>
      </c>
      <c r="K989" s="1553">
        <v>13</v>
      </c>
      <c r="L989" s="1544">
        <f t="shared" si="338"/>
        <v>385</v>
      </c>
      <c r="M989" s="1545">
        <v>46307</v>
      </c>
      <c r="N989" s="1545">
        <v>46303</v>
      </c>
      <c r="O989" s="1545"/>
      <c r="P989" s="1313"/>
      <c r="Q989" s="1313"/>
      <c r="R989" s="488"/>
      <c r="S989" s="488"/>
      <c r="T989" s="1313"/>
      <c r="U989" s="1313"/>
      <c r="V989" s="488"/>
      <c r="W989" s="1300">
        <v>46237</v>
      </c>
      <c r="X989" s="1301" t="s">
        <v>107</v>
      </c>
      <c r="Y989" s="1294" t="s">
        <v>3855</v>
      </c>
      <c r="Z989" s="544" t="s">
        <v>3753</v>
      </c>
      <c r="AA989" s="1552"/>
      <c r="AB989" s="544"/>
      <c r="AC989" s="1482" t="s">
        <v>3856</v>
      </c>
      <c r="AD989" s="1545" t="s">
        <v>676</v>
      </c>
      <c r="AE989" s="327">
        <v>1.1132</v>
      </c>
      <c r="AF989" s="1315">
        <f>AE989*I989</f>
        <v>5571.566</v>
      </c>
      <c r="AG989" s="1295"/>
      <c r="AH989" s="488" t="s">
        <v>510</v>
      </c>
      <c r="AI989" s="488" t="s">
        <v>112</v>
      </c>
      <c r="AJ989" s="488"/>
      <c r="AK989" s="327">
        <f t="shared" si="347"/>
        <v>5005</v>
      </c>
      <c r="AL989" s="327"/>
      <c r="AM989" s="327"/>
      <c r="AN989" s="1729">
        <f t="shared" si="340"/>
        <v>5005</v>
      </c>
      <c r="AO989" s="327"/>
      <c r="AP989" s="327"/>
      <c r="AQ989" s="1316"/>
      <c r="AR989" s="327"/>
      <c r="AS989" s="1317"/>
      <c r="AT989" s="1317"/>
      <c r="AU989" s="502">
        <f>I989</f>
        <v>5005</v>
      </c>
      <c r="AV989" s="1298">
        <f>I989*0.06*2</f>
        <v>600.6</v>
      </c>
      <c r="AW989" s="1318"/>
      <c r="AX989" s="1187"/>
      <c r="AY989" s="327"/>
      <c r="AZ989" s="327"/>
      <c r="BA989" s="327"/>
      <c r="BB989" s="327"/>
      <c r="BC989" s="327"/>
      <c r="BD989" s="327"/>
      <c r="BE989" s="327"/>
      <c r="BF989" s="327"/>
      <c r="BG989" s="327"/>
      <c r="BH989" s="327"/>
      <c r="BI989" s="327"/>
      <c r="BJ989" s="327"/>
      <c r="BK989" s="327">
        <f>I989/13</f>
        <v>385</v>
      </c>
      <c r="BL989" s="327"/>
      <c r="BM989" s="327"/>
      <c r="BN989" s="327"/>
      <c r="BO989" s="1316"/>
      <c r="BP989" s="1187"/>
      <c r="BQ989" s="327"/>
      <c r="BR989" s="1317"/>
      <c r="BS989" s="1317"/>
      <c r="BT989" s="327"/>
      <c r="BU989" s="327"/>
      <c r="BV989" s="1316"/>
      <c r="BW989" s="327"/>
      <c r="BX989" s="327"/>
      <c r="BY989" s="327"/>
      <c r="BZ989" s="327"/>
      <c r="CA989" s="327"/>
      <c r="CB989" s="327"/>
      <c r="CC989" s="327"/>
      <c r="CD989" s="327"/>
      <c r="CE989" s="327"/>
      <c r="CF989" s="327"/>
      <c r="CG989" s="327"/>
      <c r="CH989" s="1317"/>
      <c r="CI989" s="1317"/>
      <c r="CJ989" s="1317"/>
      <c r="CK989" s="327"/>
      <c r="CL989" s="327"/>
    </row>
    <row r="990" s="1180" customFormat="1" customHeight="1" spans="1:111">
      <c r="A990" s="1309">
        <v>46237</v>
      </c>
      <c r="B990" s="1552" t="s">
        <v>338</v>
      </c>
      <c r="C990" s="1553" t="s">
        <v>135</v>
      </c>
      <c r="D990" s="1554">
        <v>4500218605</v>
      </c>
      <c r="E990" s="1621" t="s">
        <v>3857</v>
      </c>
      <c r="F990" s="1555" t="s">
        <v>3858</v>
      </c>
      <c r="G990" s="1556" t="s">
        <v>270</v>
      </c>
      <c r="H990" s="1553" t="s">
        <v>104</v>
      </c>
      <c r="I990" s="1557">
        <v>22000</v>
      </c>
      <c r="J990" s="1553">
        <v>0</v>
      </c>
      <c r="K990" s="1553">
        <v>25</v>
      </c>
      <c r="L990" s="1544">
        <f t="shared" si="338"/>
        <v>880</v>
      </c>
      <c r="M990" s="1545">
        <v>46308</v>
      </c>
      <c r="N990" s="1545">
        <v>46304</v>
      </c>
      <c r="O990" s="1545"/>
      <c r="P990" s="1313"/>
      <c r="Q990" s="1313"/>
      <c r="R990" s="488"/>
      <c r="S990" s="488"/>
      <c r="T990" s="1313"/>
      <c r="U990" s="1313"/>
      <c r="V990" s="488"/>
      <c r="W990" s="1300">
        <v>46237</v>
      </c>
      <c r="X990" s="1294" t="s">
        <v>95</v>
      </c>
      <c r="Y990" s="1294" t="s">
        <v>95</v>
      </c>
      <c r="Z990" s="544" t="s">
        <v>140</v>
      </c>
      <c r="AA990" s="544"/>
      <c r="AB990" s="544"/>
      <c r="AC990" s="1552" t="s">
        <v>3696</v>
      </c>
      <c r="AD990" s="1545" t="s">
        <v>1130</v>
      </c>
      <c r="AE990" s="327">
        <v>1.0856</v>
      </c>
      <c r="AF990" s="1315">
        <f t="shared" ref="AF990:AF995" si="348">I990*AE990</f>
        <v>23883.2</v>
      </c>
      <c r="AG990" s="1295"/>
      <c r="AH990" s="488" t="s">
        <v>270</v>
      </c>
      <c r="AI990" s="488" t="s">
        <v>112</v>
      </c>
      <c r="AJ990" s="488"/>
      <c r="AK990" s="327">
        <f t="shared" si="347"/>
        <v>22000</v>
      </c>
      <c r="AL990" s="327"/>
      <c r="AM990" s="327"/>
      <c r="AN990" s="1420">
        <f t="shared" si="340"/>
        <v>22000</v>
      </c>
      <c r="AO990" s="327"/>
      <c r="AP990" s="327"/>
      <c r="AQ990" s="1316"/>
      <c r="AR990" s="327"/>
      <c r="AS990" s="1317"/>
      <c r="AT990" s="1317"/>
      <c r="AU990" s="327"/>
      <c r="AV990" s="1318">
        <f>I990*0.06</f>
        <v>1320</v>
      </c>
      <c r="AW990" s="1318">
        <f>I990</f>
        <v>22000</v>
      </c>
      <c r="AX990" s="327"/>
      <c r="AY990" s="327"/>
      <c r="AZ990" s="327"/>
      <c r="BA990" s="327"/>
      <c r="BB990" s="327"/>
      <c r="BC990" s="327"/>
      <c r="BD990" s="327"/>
      <c r="BE990" s="327"/>
      <c r="BF990" s="327"/>
      <c r="BG990" s="327"/>
      <c r="BH990" s="327"/>
      <c r="BI990" s="327"/>
      <c r="BJ990" s="327"/>
      <c r="BK990" s="327"/>
      <c r="BL990" s="327"/>
      <c r="BM990" s="327"/>
      <c r="BN990" s="1420">
        <f>I990/25</f>
        <v>880</v>
      </c>
      <c r="BO990" s="1316"/>
      <c r="BP990" s="1316"/>
      <c r="BQ990" s="327"/>
      <c r="BR990" s="1317"/>
      <c r="BS990" s="1317"/>
      <c r="BT990" s="327"/>
      <c r="BU990" s="327"/>
      <c r="BV990" s="1316"/>
      <c r="BW990" s="327"/>
      <c r="BX990" s="327"/>
      <c r="BY990" s="327"/>
      <c r="BZ990" s="327"/>
      <c r="CA990" s="327"/>
      <c r="CB990" s="327"/>
      <c r="CC990" s="327"/>
      <c r="CD990" s="327">
        <f t="shared" ref="CD990:CD1002" si="349">BN990+BO990+BQ990+BS990+BR990</f>
        <v>880</v>
      </c>
      <c r="CE990" s="1188">
        <f t="shared" ref="CE990:CE1002" si="350">BU990</f>
        <v>0</v>
      </c>
      <c r="CF990" s="1188">
        <f t="shared" ref="CF990:CF1002" si="351">CC990</f>
        <v>0</v>
      </c>
      <c r="CG990" s="1188">
        <f t="shared" ref="CG990:CG1002" si="352">BV990+BW990+BX990</f>
        <v>0</v>
      </c>
      <c r="CH990" s="1317"/>
      <c r="CI990" s="1317"/>
      <c r="CJ990" s="1317"/>
      <c r="CK990" s="327"/>
      <c r="CL990" s="327"/>
    </row>
    <row r="991" s="1184" customFormat="1" customHeight="1" spans="1:111">
      <c r="A991" s="1309">
        <v>46232</v>
      </c>
      <c r="B991" s="1536" t="s">
        <v>3859</v>
      </c>
      <c r="C991" s="1537" t="s">
        <v>291</v>
      </c>
      <c r="D991" s="1540">
        <v>4500217692</v>
      </c>
      <c r="E991" s="1539"/>
      <c r="F991" s="1672" t="s">
        <v>3860</v>
      </c>
      <c r="G991" s="1755" t="s">
        <v>3850</v>
      </c>
      <c r="H991" s="544" t="s">
        <v>893</v>
      </c>
      <c r="I991" s="1542">
        <v>1680</v>
      </c>
      <c r="J991" s="1543">
        <v>0</v>
      </c>
      <c r="K991" s="1543">
        <v>48</v>
      </c>
      <c r="L991" s="1544">
        <f t="shared" si="338"/>
        <v>35</v>
      </c>
      <c r="M991" s="1545">
        <v>46309</v>
      </c>
      <c r="N991" s="1545">
        <v>46305</v>
      </c>
      <c r="O991" s="1545"/>
      <c r="P991" s="1313"/>
      <c r="Q991" s="1313"/>
      <c r="R991" s="488"/>
      <c r="S991" s="488"/>
      <c r="T991" s="1313">
        <v>24</v>
      </c>
      <c r="U991" s="500">
        <f>T991-I991</f>
        <v>-1656</v>
      </c>
      <c r="V991" s="488"/>
      <c r="W991" s="1300" t="s">
        <v>3064</v>
      </c>
      <c r="X991" s="1819" t="s">
        <v>95</v>
      </c>
      <c r="Y991" s="1820" t="s">
        <v>3861</v>
      </c>
      <c r="Z991" s="1821"/>
      <c r="AA991" s="1552"/>
      <c r="AB991" s="544"/>
      <c r="AC991" s="1482" t="s">
        <v>3862</v>
      </c>
      <c r="AD991" s="1822" t="s">
        <v>2269</v>
      </c>
      <c r="AE991" s="1823">
        <v>1.1228</v>
      </c>
      <c r="AF991" s="1315">
        <f t="shared" si="348"/>
        <v>1886.304</v>
      </c>
      <c r="AG991" s="1295"/>
      <c r="AH991" s="1743" t="s">
        <v>3850</v>
      </c>
      <c r="AI991" s="1526" t="s">
        <v>3804</v>
      </c>
      <c r="AJ991" s="488"/>
      <c r="AK991" s="327">
        <f t="shared" si="347"/>
        <v>1680</v>
      </c>
      <c r="AL991" s="327"/>
      <c r="AM991" s="327"/>
      <c r="AN991" s="327"/>
      <c r="AO991" s="327"/>
      <c r="AP991" s="327">
        <f>I991</f>
        <v>1680</v>
      </c>
      <c r="AQ991" s="1316"/>
      <c r="AR991" s="327"/>
      <c r="AS991" s="1317"/>
      <c r="AT991" s="1317"/>
      <c r="AU991" s="327">
        <f>I991</f>
        <v>1680</v>
      </c>
      <c r="AV991" s="1318">
        <f>I991*0.06</f>
        <v>100.8</v>
      </c>
      <c r="AW991" s="1318"/>
      <c r="AX991" s="327"/>
      <c r="AY991" s="327"/>
      <c r="AZ991" s="327"/>
      <c r="BA991" s="327"/>
      <c r="BB991" s="327"/>
      <c r="BC991" s="327"/>
      <c r="BD991" s="327"/>
      <c r="BE991" s="327"/>
      <c r="BF991" s="327"/>
      <c r="BG991" s="327"/>
      <c r="BH991" s="327"/>
      <c r="BI991" s="327"/>
      <c r="BJ991" s="327"/>
      <c r="BK991" s="327"/>
      <c r="BL991" s="327"/>
      <c r="BM991" s="327"/>
      <c r="BN991" s="327"/>
      <c r="BO991" s="1316">
        <f>I991/24</f>
        <v>70</v>
      </c>
      <c r="BP991" s="1316"/>
      <c r="BQ991" s="327"/>
      <c r="BR991" s="1317"/>
      <c r="BS991" s="1317"/>
      <c r="BT991" s="327"/>
      <c r="BU991" s="327"/>
      <c r="BV991" s="1316"/>
      <c r="BW991" s="327"/>
      <c r="BX991" s="327"/>
      <c r="BY991" s="327"/>
      <c r="BZ991" s="327"/>
      <c r="CA991" s="327"/>
      <c r="CB991" s="327"/>
      <c r="CC991" s="327"/>
      <c r="CD991" s="327">
        <f t="shared" si="349"/>
        <v>70</v>
      </c>
      <c r="CE991" s="327">
        <f t="shared" si="350"/>
        <v>0</v>
      </c>
      <c r="CF991" s="327">
        <f t="shared" si="351"/>
        <v>0</v>
      </c>
      <c r="CG991" s="327">
        <f t="shared" si="352"/>
        <v>0</v>
      </c>
      <c r="CH991" s="1317"/>
      <c r="CI991" s="1317"/>
      <c r="CJ991" s="1317"/>
      <c r="CK991" s="327"/>
      <c r="CL991" s="327"/>
      <c r="CM991" s="1180"/>
      <c r="CN991" s="1180"/>
      <c r="CO991" s="1180"/>
      <c r="CP991" s="1180"/>
      <c r="CQ991" s="1180"/>
      <c r="CR991" s="1180"/>
      <c r="CS991" s="1180"/>
      <c r="CT991" s="1180"/>
      <c r="CU991" s="1180"/>
      <c r="CV991" s="1180"/>
      <c r="CW991" s="1180"/>
      <c r="CX991" s="1180"/>
      <c r="CY991" s="1180"/>
      <c r="CZ991" s="1180"/>
      <c r="DA991" s="1180"/>
      <c r="DB991" s="1180"/>
      <c r="DC991" s="1180"/>
      <c r="DD991" s="1180"/>
      <c r="DE991" s="1180"/>
      <c r="DF991" s="1180"/>
      <c r="DG991" s="1180"/>
    </row>
    <row r="992" s="1180" customFormat="1" customHeight="1" spans="1:111">
      <c r="A992" s="1588">
        <v>46237</v>
      </c>
      <c r="B992" s="1708" t="s">
        <v>3863</v>
      </c>
      <c r="C992" s="1054" t="s">
        <v>1461</v>
      </c>
      <c r="D992" s="1761">
        <v>4500218658</v>
      </c>
      <c r="E992" s="1314"/>
      <c r="F992" s="1762" t="s">
        <v>3864</v>
      </c>
      <c r="G992" s="1763" t="s">
        <v>3819</v>
      </c>
      <c r="H992" s="488" t="s">
        <v>175</v>
      </c>
      <c r="I992" s="1714">
        <v>572</v>
      </c>
      <c r="J992" s="1054">
        <v>0</v>
      </c>
      <c r="K992" s="1054">
        <v>52</v>
      </c>
      <c r="L992" s="1715">
        <f t="shared" si="338"/>
        <v>11</v>
      </c>
      <c r="M992" s="1717">
        <v>46310</v>
      </c>
      <c r="N992" s="1717">
        <v>46307</v>
      </c>
      <c r="O992" s="1717"/>
      <c r="P992" s="1314"/>
      <c r="Q992" s="1314"/>
      <c r="R992" s="1054"/>
      <c r="S992" s="1054"/>
      <c r="T992" s="1314"/>
      <c r="U992" s="1313"/>
      <c r="V992" s="1054"/>
      <c r="W992" s="1300">
        <v>46237</v>
      </c>
      <c r="X992" s="1294" t="s">
        <v>95</v>
      </c>
      <c r="Y992" s="1824" t="s">
        <v>3865</v>
      </c>
      <c r="Z992" s="544"/>
      <c r="AA992" s="544"/>
      <c r="AB992" s="544"/>
      <c r="AC992" s="1708" t="s">
        <v>3866</v>
      </c>
      <c r="AD992" s="1717" t="s">
        <v>337</v>
      </c>
      <c r="AE992" s="1187">
        <v>1.0653</v>
      </c>
      <c r="AF992" s="1718">
        <f t="shared" si="348"/>
        <v>609.3516</v>
      </c>
      <c r="AG992" s="1295"/>
      <c r="AH992" s="505" t="s">
        <v>174</v>
      </c>
      <c r="AI992" s="1553" t="s">
        <v>112</v>
      </c>
      <c r="AJ992" s="1054"/>
      <c r="AK992" s="327">
        <f>I992*2</f>
        <v>1144</v>
      </c>
      <c r="AL992" s="1187"/>
      <c r="AM992" s="1187"/>
      <c r="AN992" s="1709">
        <f t="shared" ref="AN992:AN998" si="353">I992</f>
        <v>572</v>
      </c>
      <c r="AO992" s="327"/>
      <c r="AP992" s="327"/>
      <c r="AQ992" s="1679"/>
      <c r="AR992" s="1555"/>
      <c r="AS992" s="1680"/>
      <c r="AT992" s="1680"/>
      <c r="AU992" s="502">
        <f>I992</f>
        <v>572</v>
      </c>
      <c r="AV992" s="1318"/>
      <c r="AW992" s="1318"/>
      <c r="AX992" s="327"/>
      <c r="AY992" s="327"/>
      <c r="AZ992" s="1187"/>
      <c r="BA992" s="1187"/>
      <c r="BB992" s="1187"/>
      <c r="BC992" s="1187"/>
      <c r="BD992" s="1187"/>
      <c r="BE992" s="1187"/>
      <c r="BF992" s="1187"/>
      <c r="BG992" s="327"/>
      <c r="BH992" s="327"/>
      <c r="BI992" s="1187"/>
      <c r="BJ992" s="1187"/>
      <c r="BK992" s="502">
        <f>I992/13</f>
        <v>44</v>
      </c>
      <c r="BL992" s="1187"/>
      <c r="BM992" s="327"/>
      <c r="BN992" s="1187"/>
      <c r="BO992" s="1316"/>
      <c r="BP992" s="1187"/>
      <c r="BQ992" s="1187"/>
      <c r="BR992" s="1187"/>
      <c r="BS992" s="1187"/>
      <c r="BT992" s="1187"/>
      <c r="BU992" s="1187"/>
      <c r="BV992" s="1187"/>
      <c r="BW992" s="1187"/>
      <c r="BX992" s="1187"/>
      <c r="BY992" s="1187"/>
      <c r="BZ992" s="1187"/>
      <c r="CA992" s="1187"/>
      <c r="CB992" s="1187"/>
      <c r="CC992" s="1187"/>
      <c r="CD992" s="1218">
        <f t="shared" si="349"/>
        <v>0</v>
      </c>
      <c r="CE992" s="1218">
        <f t="shared" si="350"/>
        <v>0</v>
      </c>
      <c r="CF992" s="502">
        <f t="shared" si="351"/>
        <v>0</v>
      </c>
      <c r="CG992" s="1218">
        <f t="shared" si="352"/>
        <v>0</v>
      </c>
      <c r="CH992" s="327"/>
      <c r="CI992" s="327"/>
      <c r="CJ992" s="1187"/>
      <c r="CK992" s="1187"/>
      <c r="CL992" s="1187"/>
    </row>
    <row r="993" s="1177" customFormat="1" customHeight="1" spans="1:111">
      <c r="A993" s="1588">
        <v>46220</v>
      </c>
      <c r="B993" s="1708" t="s">
        <v>2578</v>
      </c>
      <c r="C993" s="1054" t="s">
        <v>115</v>
      </c>
      <c r="D993" s="1187">
        <v>4500216909</v>
      </c>
      <c r="E993" s="1314">
        <v>38210863</v>
      </c>
      <c r="F993" s="1187" t="s">
        <v>3867</v>
      </c>
      <c r="G993" s="1713" t="s">
        <v>174</v>
      </c>
      <c r="H993" s="488" t="s">
        <v>175</v>
      </c>
      <c r="I993" s="1714">
        <v>208</v>
      </c>
      <c r="J993" s="1054">
        <v>0</v>
      </c>
      <c r="K993" s="1054">
        <v>52</v>
      </c>
      <c r="L993" s="1715">
        <f t="shared" si="338"/>
        <v>4</v>
      </c>
      <c r="M993" s="1717">
        <v>46311</v>
      </c>
      <c r="N993" s="1717">
        <v>46307</v>
      </c>
      <c r="O993" s="1717"/>
      <c r="P993" s="1314"/>
      <c r="Q993" s="1314"/>
      <c r="R993" s="1054"/>
      <c r="S993" s="1054"/>
      <c r="T993" s="1314"/>
      <c r="U993" s="500">
        <f>T993-I993</f>
        <v>-208</v>
      </c>
      <c r="V993" s="1054"/>
      <c r="W993" s="1300" t="s">
        <v>3064</v>
      </c>
      <c r="X993" s="1294" t="s">
        <v>107</v>
      </c>
      <c r="Y993" s="1294" t="s">
        <v>3868</v>
      </c>
      <c r="Z993" s="544"/>
      <c r="AA993" s="544"/>
      <c r="AB993" s="544"/>
      <c r="AC993" s="1708" t="s">
        <v>2582</v>
      </c>
      <c r="AD993" s="1717" t="s">
        <v>421</v>
      </c>
      <c r="AE993" s="1187">
        <v>0.6504</v>
      </c>
      <c r="AF993" s="1718">
        <f t="shared" si="348"/>
        <v>135.2832</v>
      </c>
      <c r="AG993" s="1295"/>
      <c r="AH993" s="505" t="s">
        <v>174</v>
      </c>
      <c r="AI993" s="1553" t="s">
        <v>112</v>
      </c>
      <c r="AJ993" s="1054"/>
      <c r="AK993" s="327">
        <f>I993*2</f>
        <v>416</v>
      </c>
      <c r="AL993" s="1187"/>
      <c r="AM993" s="1187"/>
      <c r="AN993" s="1702">
        <f t="shared" si="353"/>
        <v>208</v>
      </c>
      <c r="AO993" s="1437"/>
      <c r="AP993" s="502"/>
      <c r="AQ993" s="1615"/>
      <c r="AR993" s="456"/>
      <c r="AS993" s="1616"/>
      <c r="AT993" s="1616"/>
      <c r="AU993" s="502">
        <f>I993</f>
        <v>208</v>
      </c>
      <c r="AV993" s="1318"/>
      <c r="AW993" s="1318"/>
      <c r="AX993" s="327"/>
      <c r="AY993" s="327"/>
      <c r="AZ993" s="1187"/>
      <c r="BA993" s="1187"/>
      <c r="BB993" s="1187"/>
      <c r="BC993" s="1187"/>
      <c r="BD993" s="1187"/>
      <c r="BE993" s="1187"/>
      <c r="BF993" s="1187"/>
      <c r="BG993" s="327"/>
      <c r="BH993" s="327"/>
      <c r="BI993" s="1187"/>
      <c r="BJ993" s="1187"/>
      <c r="BK993" s="502">
        <f>I993/13</f>
        <v>16</v>
      </c>
      <c r="BL993" s="1187"/>
      <c r="BM993" s="327"/>
      <c r="BN993" s="1187"/>
      <c r="BO993" s="1316"/>
      <c r="BP993" s="1187"/>
      <c r="BQ993" s="1187"/>
      <c r="BR993" s="1187"/>
      <c r="BS993" s="1187"/>
      <c r="BT993" s="1187"/>
      <c r="BU993" s="1187"/>
      <c r="BV993" s="1187"/>
      <c r="BW993" s="1187"/>
      <c r="BX993" s="1187"/>
      <c r="BY993" s="1187"/>
      <c r="BZ993" s="1187"/>
      <c r="CA993" s="1187"/>
      <c r="CB993" s="1187"/>
      <c r="CC993" s="1187"/>
      <c r="CD993" s="1218">
        <f t="shared" si="349"/>
        <v>0</v>
      </c>
      <c r="CE993" s="1218">
        <f t="shared" si="350"/>
        <v>0</v>
      </c>
      <c r="CF993" s="502">
        <f t="shared" si="351"/>
        <v>0</v>
      </c>
      <c r="CG993" s="1218">
        <f t="shared" si="352"/>
        <v>0</v>
      </c>
      <c r="CH993" s="327"/>
      <c r="CI993" s="327"/>
      <c r="CJ993" s="1187"/>
      <c r="CK993" s="1187"/>
      <c r="CL993" s="1187"/>
    </row>
    <row r="994" s="1177" customFormat="1" customHeight="1" spans="1:111">
      <c r="A994" s="1588">
        <v>46220</v>
      </c>
      <c r="B994" s="1708" t="s">
        <v>2578</v>
      </c>
      <c r="C994" s="1054" t="s">
        <v>115</v>
      </c>
      <c r="D994" s="1187">
        <v>4500216909</v>
      </c>
      <c r="E994" s="1314">
        <v>38210864</v>
      </c>
      <c r="F994" s="1187" t="s">
        <v>3869</v>
      </c>
      <c r="G994" s="1713" t="s">
        <v>174</v>
      </c>
      <c r="H994" s="488" t="s">
        <v>175</v>
      </c>
      <c r="I994" s="1714">
        <v>156</v>
      </c>
      <c r="J994" s="1054">
        <v>0</v>
      </c>
      <c r="K994" s="1054">
        <v>52</v>
      </c>
      <c r="L994" s="1715">
        <f t="shared" si="338"/>
        <v>3</v>
      </c>
      <c r="M994" s="1717">
        <v>46311</v>
      </c>
      <c r="N994" s="1717">
        <v>46307</v>
      </c>
      <c r="O994" s="1717"/>
      <c r="P994" s="1314"/>
      <c r="Q994" s="1314"/>
      <c r="R994" s="1054"/>
      <c r="S994" s="1054"/>
      <c r="T994" s="1314"/>
      <c r="U994" s="500">
        <f>T994-I994</f>
        <v>-156</v>
      </c>
      <c r="V994" s="1054"/>
      <c r="W994" s="1300" t="s">
        <v>3064</v>
      </c>
      <c r="X994" s="1294" t="s">
        <v>107</v>
      </c>
      <c r="Y994" s="1294" t="s">
        <v>3868</v>
      </c>
      <c r="Z994" s="544"/>
      <c r="AA994" s="544"/>
      <c r="AB994" s="544"/>
      <c r="AC994" s="1708" t="s">
        <v>2582</v>
      </c>
      <c r="AD994" s="1717" t="s">
        <v>421</v>
      </c>
      <c r="AE994" s="1187">
        <v>0.6504</v>
      </c>
      <c r="AF994" s="1718">
        <f t="shared" si="348"/>
        <v>101.4624</v>
      </c>
      <c r="AG994" s="1295"/>
      <c r="AH994" s="505" t="s">
        <v>174</v>
      </c>
      <c r="AI994" s="1553" t="s">
        <v>112</v>
      </c>
      <c r="AJ994" s="1054"/>
      <c r="AK994" s="327">
        <f>I994*2</f>
        <v>312</v>
      </c>
      <c r="AL994" s="1187"/>
      <c r="AM994" s="1187"/>
      <c r="AN994" s="1702">
        <f t="shared" si="353"/>
        <v>156</v>
      </c>
      <c r="AO994" s="1437"/>
      <c r="AP994" s="502"/>
      <c r="AQ994" s="1615"/>
      <c r="AR994" s="456"/>
      <c r="AS994" s="1616"/>
      <c r="AT994" s="1616"/>
      <c r="AU994" s="502">
        <f>I994</f>
        <v>156</v>
      </c>
      <c r="AV994" s="1318"/>
      <c r="AW994" s="1318"/>
      <c r="AX994" s="327"/>
      <c r="AY994" s="327"/>
      <c r="AZ994" s="1187"/>
      <c r="BA994" s="1187"/>
      <c r="BB994" s="1187"/>
      <c r="BC994" s="1187"/>
      <c r="BD994" s="1187"/>
      <c r="BE994" s="1187"/>
      <c r="BF994" s="1187"/>
      <c r="BG994" s="327"/>
      <c r="BH994" s="327"/>
      <c r="BI994" s="1187"/>
      <c r="BJ994" s="1187"/>
      <c r="BK994" s="502">
        <f>I994/13</f>
        <v>12</v>
      </c>
      <c r="BL994" s="1187"/>
      <c r="BM994" s="327"/>
      <c r="BN994" s="1187"/>
      <c r="BO994" s="1316"/>
      <c r="BP994" s="1187"/>
      <c r="BQ994" s="1187"/>
      <c r="BR994" s="1187"/>
      <c r="BS994" s="1187"/>
      <c r="BT994" s="1187"/>
      <c r="BU994" s="1187"/>
      <c r="BV994" s="1187"/>
      <c r="BW994" s="1187"/>
      <c r="BX994" s="1187"/>
      <c r="BY994" s="1187"/>
      <c r="BZ994" s="1187"/>
      <c r="CA994" s="1187"/>
      <c r="CB994" s="1187"/>
      <c r="CC994" s="1187"/>
      <c r="CD994" s="1218">
        <f t="shared" si="349"/>
        <v>0</v>
      </c>
      <c r="CE994" s="1218">
        <f t="shared" si="350"/>
        <v>0</v>
      </c>
      <c r="CF994" s="502">
        <f t="shared" si="351"/>
        <v>0</v>
      </c>
      <c r="CG994" s="1218">
        <f t="shared" si="352"/>
        <v>0</v>
      </c>
      <c r="CH994" s="327"/>
      <c r="CI994" s="327"/>
      <c r="CJ994" s="1187"/>
      <c r="CK994" s="1187"/>
      <c r="CL994" s="1187"/>
    </row>
    <row r="995" s="1184" customFormat="1" customHeight="1" spans="1:111">
      <c r="A995" s="1309">
        <v>46220</v>
      </c>
      <c r="B995" s="1552" t="s">
        <v>2578</v>
      </c>
      <c r="C995" s="1553" t="s">
        <v>115</v>
      </c>
      <c r="D995" s="1555">
        <v>4500216909</v>
      </c>
      <c r="E995" s="1621">
        <v>38205207</v>
      </c>
      <c r="F995" s="1555" t="s">
        <v>3870</v>
      </c>
      <c r="G995" s="1556" t="s">
        <v>174</v>
      </c>
      <c r="H995" s="488" t="s">
        <v>175</v>
      </c>
      <c r="I995" s="1557">
        <v>208</v>
      </c>
      <c r="J995" s="1553">
        <v>0</v>
      </c>
      <c r="K995" s="1553">
        <v>52</v>
      </c>
      <c r="L995" s="1544">
        <f t="shared" si="338"/>
        <v>4</v>
      </c>
      <c r="M995" s="1545">
        <v>46311</v>
      </c>
      <c r="N995" s="1545">
        <v>46307</v>
      </c>
      <c r="O995" s="1545"/>
      <c r="P995" s="1313"/>
      <c r="Q995" s="1313"/>
      <c r="R995" s="488"/>
      <c r="S995" s="488"/>
      <c r="T995" s="1313"/>
      <c r="U995" s="500">
        <f>T995-I995</f>
        <v>-208</v>
      </c>
      <c r="V995" s="488"/>
      <c r="W995" s="1300" t="s">
        <v>3064</v>
      </c>
      <c r="X995" s="1301" t="s">
        <v>107</v>
      </c>
      <c r="Y995" s="1294" t="s">
        <v>3868</v>
      </c>
      <c r="Z995" s="1552"/>
      <c r="AA995" s="1552"/>
      <c r="AB995" s="544"/>
      <c r="AC995" s="1552" t="s">
        <v>2582</v>
      </c>
      <c r="AD995" s="1545" t="s">
        <v>421</v>
      </c>
      <c r="AE995" s="327">
        <v>0.6504</v>
      </c>
      <c r="AF995" s="1315">
        <f t="shared" si="348"/>
        <v>135.2832</v>
      </c>
      <c r="AG995" s="1295"/>
      <c r="AH995" s="505" t="s">
        <v>174</v>
      </c>
      <c r="AI995" s="488" t="s">
        <v>112</v>
      </c>
      <c r="AJ995" s="488"/>
      <c r="AK995" s="327">
        <f>I995*2</f>
        <v>416</v>
      </c>
      <c r="AL995" s="327"/>
      <c r="AM995" s="327"/>
      <c r="AN995" s="1418">
        <f t="shared" si="353"/>
        <v>208</v>
      </c>
      <c r="AO995" s="502"/>
      <c r="AP995" s="502"/>
      <c r="AQ995" s="1296"/>
      <c r="AR995" s="438"/>
      <c r="AS995" s="1297"/>
      <c r="AT995" s="1297"/>
      <c r="AU995" s="502">
        <f>I995</f>
        <v>208</v>
      </c>
      <c r="AV995" s="1318"/>
      <c r="AW995" s="1318"/>
      <c r="AX995" s="327"/>
      <c r="AY995" s="327"/>
      <c r="AZ995" s="327"/>
      <c r="BA995" s="327"/>
      <c r="BB995" s="327"/>
      <c r="BC995" s="327"/>
      <c r="BD995" s="327"/>
      <c r="BE995" s="327"/>
      <c r="BF995" s="327"/>
      <c r="BG995" s="327"/>
      <c r="BH995" s="327"/>
      <c r="BI995" s="327"/>
      <c r="BJ995" s="327"/>
      <c r="BK995" s="502">
        <f>I995/13</f>
        <v>16</v>
      </c>
      <c r="BL995" s="327"/>
      <c r="BM995" s="327"/>
      <c r="BN995" s="327"/>
      <c r="BO995" s="1316"/>
      <c r="BP995" s="1316"/>
      <c r="BQ995" s="327"/>
      <c r="BR995" s="1317"/>
      <c r="BS995" s="1317"/>
      <c r="BT995" s="327"/>
      <c r="BU995" s="327"/>
      <c r="BV995" s="1316"/>
      <c r="BW995" s="327"/>
      <c r="BX995" s="327"/>
      <c r="BY995" s="327"/>
      <c r="BZ995" s="327"/>
      <c r="CA995" s="327"/>
      <c r="CB995" s="327"/>
      <c r="CC995" s="327"/>
      <c r="CD995" s="1218">
        <f t="shared" si="349"/>
        <v>0</v>
      </c>
      <c r="CE995" s="1218">
        <f t="shared" si="350"/>
        <v>0</v>
      </c>
      <c r="CF995" s="502">
        <f t="shared" si="351"/>
        <v>0</v>
      </c>
      <c r="CG995" s="1218">
        <f t="shared" si="352"/>
        <v>0</v>
      </c>
      <c r="CH995" s="1317"/>
      <c r="CI995" s="1317"/>
      <c r="CJ995" s="1317"/>
      <c r="CK995" s="327"/>
      <c r="CL995" s="327"/>
      <c r="CM995" s="1177"/>
      <c r="CN995" s="1177"/>
      <c r="CO995" s="1177"/>
      <c r="CP995" s="1177"/>
      <c r="CQ995" s="1177"/>
      <c r="CR995" s="1177"/>
      <c r="CS995" s="1177"/>
      <c r="CT995" s="1177"/>
      <c r="CU995" s="1177"/>
      <c r="CV995" s="1177"/>
      <c r="CW995" s="1177"/>
      <c r="CX995" s="1177"/>
      <c r="CY995" s="1177"/>
      <c r="CZ995" s="1177"/>
      <c r="DA995" s="1177"/>
      <c r="DB995" s="1177"/>
      <c r="DC995" s="1177"/>
      <c r="DD995" s="1177"/>
      <c r="DE995" s="1177"/>
      <c r="DF995" s="1177"/>
      <c r="DG995" s="1177"/>
    </row>
    <row r="996" s="1180" customFormat="1" customHeight="1" spans="1:111">
      <c r="A996" s="1309">
        <v>46241</v>
      </c>
      <c r="B996" s="1552" t="s">
        <v>525</v>
      </c>
      <c r="C996" s="1553" t="s">
        <v>508</v>
      </c>
      <c r="D996" s="1554" t="s">
        <v>3871</v>
      </c>
      <c r="E996" s="1553" t="s">
        <v>3872</v>
      </c>
      <c r="F996" s="1555" t="s">
        <v>3873</v>
      </c>
      <c r="G996" s="1556" t="s">
        <v>3232</v>
      </c>
      <c r="H996" s="1553" t="s">
        <v>194</v>
      </c>
      <c r="I996" s="1557">
        <v>18408</v>
      </c>
      <c r="J996" s="1553">
        <v>0</v>
      </c>
      <c r="K996" s="1553">
        <v>13</v>
      </c>
      <c r="L996" s="1544">
        <f t="shared" si="338"/>
        <v>1416</v>
      </c>
      <c r="M996" s="1545">
        <v>46314</v>
      </c>
      <c r="N996" s="1545">
        <v>46310</v>
      </c>
      <c r="O996" s="1545"/>
      <c r="P996" s="1313"/>
      <c r="Q996" s="1313"/>
      <c r="R996" s="488"/>
      <c r="S996" s="488"/>
      <c r="T996" s="1313"/>
      <c r="U996" s="1313">
        <f>T996-I996</f>
        <v>-18408</v>
      </c>
      <c r="V996" s="488"/>
      <c r="W996" s="1300" t="s">
        <v>3064</v>
      </c>
      <c r="X996" s="1301" t="s">
        <v>107</v>
      </c>
      <c r="Y996" s="1294" t="s">
        <v>3874</v>
      </c>
      <c r="Z996" s="544" t="s">
        <v>360</v>
      </c>
      <c r="AA996" s="544"/>
      <c r="AB996" s="544"/>
      <c r="AC996" s="1552" t="s">
        <v>3875</v>
      </c>
      <c r="AD996" s="1545" t="s">
        <v>362</v>
      </c>
      <c r="AE996" s="327">
        <v>1.0939</v>
      </c>
      <c r="AF996" s="1315">
        <f>AE996*I996</f>
        <v>20136.5112</v>
      </c>
      <c r="AG996" s="1295"/>
      <c r="AH996" s="488" t="s">
        <v>510</v>
      </c>
      <c r="AI996" s="488" t="s">
        <v>112</v>
      </c>
      <c r="AJ996" s="488"/>
      <c r="AK996" s="327">
        <f>I996</f>
        <v>18408</v>
      </c>
      <c r="AL996" s="327"/>
      <c r="AM996" s="327"/>
      <c r="AN996" s="1420">
        <f t="shared" si="353"/>
        <v>18408</v>
      </c>
      <c r="AO996" s="327"/>
      <c r="AP996" s="327"/>
      <c r="AQ996" s="1316"/>
      <c r="AR996" s="327"/>
      <c r="AS996" s="1317"/>
      <c r="AT996" s="1317"/>
      <c r="AU996" s="327"/>
      <c r="AV996" s="1318">
        <f>I996*0.06</f>
        <v>1104.48</v>
      </c>
      <c r="AW996" s="1318"/>
      <c r="AX996" s="327">
        <f>I996</f>
        <v>18408</v>
      </c>
      <c r="AY996" s="327"/>
      <c r="AZ996" s="327"/>
      <c r="BA996" s="327"/>
      <c r="BB996" s="327"/>
      <c r="BC996" s="327"/>
      <c r="BD996" s="327"/>
      <c r="BE996" s="327"/>
      <c r="BF996" s="327"/>
      <c r="BG996" s="327"/>
      <c r="BH996" s="327"/>
      <c r="BI996" s="327"/>
      <c r="BJ996" s="327"/>
      <c r="BK996" s="327"/>
      <c r="BL996" s="327"/>
      <c r="BM996" s="327"/>
      <c r="BN996" s="327"/>
      <c r="BO996" s="1316"/>
      <c r="BP996" s="1316">
        <f>I996/13</f>
        <v>1416</v>
      </c>
      <c r="BQ996" s="327"/>
      <c r="BR996" s="1317"/>
      <c r="BS996" s="1317"/>
      <c r="BT996" s="327"/>
      <c r="BU996" s="327"/>
      <c r="BV996" s="1316"/>
      <c r="BW996" s="327"/>
      <c r="BX996" s="327"/>
      <c r="BY996" s="327"/>
      <c r="BZ996" s="327"/>
      <c r="CA996" s="327"/>
      <c r="CB996" s="327"/>
      <c r="CC996" s="327"/>
      <c r="CD996" s="327">
        <f t="shared" si="349"/>
        <v>0</v>
      </c>
      <c r="CE996" s="327">
        <f t="shared" si="350"/>
        <v>0</v>
      </c>
      <c r="CF996" s="327">
        <f t="shared" si="351"/>
        <v>0</v>
      </c>
      <c r="CG996" s="327">
        <f t="shared" si="352"/>
        <v>0</v>
      </c>
      <c r="CH996" s="1317"/>
      <c r="CI996" s="1317"/>
      <c r="CJ996" s="1317"/>
      <c r="CK996" s="327"/>
      <c r="CL996" s="327"/>
    </row>
    <row r="997" s="1180" customFormat="1" customHeight="1" spans="1:111">
      <c r="A997" s="1309">
        <v>46241</v>
      </c>
      <c r="B997" s="1552" t="s">
        <v>521</v>
      </c>
      <c r="C997" s="1553" t="s">
        <v>101</v>
      </c>
      <c r="D997" s="1554" t="s">
        <v>3876</v>
      </c>
      <c r="E997" s="1553" t="s">
        <v>3877</v>
      </c>
      <c r="F997" s="1555" t="s">
        <v>3878</v>
      </c>
      <c r="G997" s="1556" t="s">
        <v>3232</v>
      </c>
      <c r="H997" s="1553" t="s">
        <v>194</v>
      </c>
      <c r="I997" s="1557">
        <v>1599</v>
      </c>
      <c r="J997" s="1553">
        <v>0</v>
      </c>
      <c r="K997" s="1553">
        <v>13</v>
      </c>
      <c r="L997" s="1544">
        <f t="shared" si="338"/>
        <v>123</v>
      </c>
      <c r="M997" s="1545">
        <v>46314</v>
      </c>
      <c r="N997" s="1545">
        <v>46310</v>
      </c>
      <c r="O997" s="1545"/>
      <c r="P997" s="1313"/>
      <c r="Q997" s="1313"/>
      <c r="R997" s="488"/>
      <c r="S997" s="488"/>
      <c r="T997" s="1313"/>
      <c r="U997" s="1313">
        <f>T997-I997</f>
        <v>-1599</v>
      </c>
      <c r="V997" s="488"/>
      <c r="W997" s="1300" t="s">
        <v>3064</v>
      </c>
      <c r="X997" s="1301" t="s">
        <v>107</v>
      </c>
      <c r="Y997" s="1294" t="s">
        <v>3879</v>
      </c>
      <c r="Z997" s="544" t="s">
        <v>360</v>
      </c>
      <c r="AA997" s="544"/>
      <c r="AB997" s="544"/>
      <c r="AC997" s="1552" t="s">
        <v>3880</v>
      </c>
      <c r="AD997" s="1545" t="s">
        <v>362</v>
      </c>
      <c r="AE997" s="327">
        <v>1.1186</v>
      </c>
      <c r="AF997" s="1315">
        <f>AE997*I997</f>
        <v>1788.6414</v>
      </c>
      <c r="AG997" s="1295"/>
      <c r="AH997" s="488" t="s">
        <v>510</v>
      </c>
      <c r="AI997" s="488" t="s">
        <v>112</v>
      </c>
      <c r="AJ997" s="488"/>
      <c r="AK997" s="327">
        <f>I997</f>
        <v>1599</v>
      </c>
      <c r="AL997" s="327"/>
      <c r="AM997" s="327"/>
      <c r="AN997" s="1420">
        <f t="shared" si="353"/>
        <v>1599</v>
      </c>
      <c r="AO997" s="327"/>
      <c r="AP997" s="327"/>
      <c r="AQ997" s="1316"/>
      <c r="AR997" s="327"/>
      <c r="AS997" s="1317"/>
      <c r="AT997" s="1317"/>
      <c r="AU997" s="327"/>
      <c r="AV997" s="1318">
        <f>I997*0.06</f>
        <v>95.94</v>
      </c>
      <c r="AW997" s="1318"/>
      <c r="AX997" s="327">
        <f>I997</f>
        <v>1599</v>
      </c>
      <c r="AY997" s="327"/>
      <c r="AZ997" s="327"/>
      <c r="BA997" s="327"/>
      <c r="BB997" s="327"/>
      <c r="BC997" s="327"/>
      <c r="BD997" s="327"/>
      <c r="BE997" s="327"/>
      <c r="BF997" s="327"/>
      <c r="BG997" s="327"/>
      <c r="BH997" s="327"/>
      <c r="BI997" s="327"/>
      <c r="BJ997" s="327"/>
      <c r="BK997" s="327"/>
      <c r="BL997" s="327"/>
      <c r="BM997" s="327"/>
      <c r="BN997" s="327"/>
      <c r="BO997" s="1316"/>
      <c r="BP997" s="1316">
        <f>I997/13</f>
        <v>123</v>
      </c>
      <c r="BQ997" s="327"/>
      <c r="BR997" s="1317"/>
      <c r="BS997" s="1317"/>
      <c r="BT997" s="327"/>
      <c r="BU997" s="327"/>
      <c r="BV997" s="1316"/>
      <c r="BW997" s="327"/>
      <c r="BX997" s="327"/>
      <c r="BY997" s="327"/>
      <c r="BZ997" s="327"/>
      <c r="CA997" s="327"/>
      <c r="CB997" s="327"/>
      <c r="CC997" s="327"/>
      <c r="CD997" s="327">
        <f t="shared" si="349"/>
        <v>0</v>
      </c>
      <c r="CE997" s="327">
        <f t="shared" si="350"/>
        <v>0</v>
      </c>
      <c r="CF997" s="327">
        <f t="shared" si="351"/>
        <v>0</v>
      </c>
      <c r="CG997" s="327">
        <f t="shared" si="352"/>
        <v>0</v>
      </c>
      <c r="CH997" s="1317"/>
      <c r="CI997" s="1317"/>
      <c r="CJ997" s="1317"/>
      <c r="CK997" s="327"/>
      <c r="CL997" s="327"/>
    </row>
    <row r="998" s="1180" customFormat="1" customHeight="1" spans="1:111">
      <c r="A998" s="1670">
        <v>46237</v>
      </c>
      <c r="B998" s="1552" t="s">
        <v>507</v>
      </c>
      <c r="C998" s="1553" t="s">
        <v>508</v>
      </c>
      <c r="D998" s="1554">
        <v>4500218652</v>
      </c>
      <c r="E998" s="1621">
        <v>2655867</v>
      </c>
      <c r="F998" s="1555" t="s">
        <v>3881</v>
      </c>
      <c r="G998" s="1556" t="s">
        <v>3882</v>
      </c>
      <c r="H998" s="1553" t="s">
        <v>3883</v>
      </c>
      <c r="I998" s="1557">
        <v>8400</v>
      </c>
      <c r="J998" s="1553">
        <v>0</v>
      </c>
      <c r="K998" s="1553">
        <v>84</v>
      </c>
      <c r="L998" s="1675">
        <f t="shared" si="338"/>
        <v>100</v>
      </c>
      <c r="M998" s="1545">
        <v>46314</v>
      </c>
      <c r="N998" s="1545">
        <v>46310</v>
      </c>
      <c r="O998" s="1545"/>
      <c r="P998" s="1621"/>
      <c r="Q998" s="1621"/>
      <c r="R998" s="1553"/>
      <c r="S998" s="1553"/>
      <c r="T998" s="1621"/>
      <c r="U998" s="1313"/>
      <c r="V998" s="1553"/>
      <c r="W998" s="1300">
        <v>46237</v>
      </c>
      <c r="X998" s="1301" t="s">
        <v>107</v>
      </c>
      <c r="Y998" s="1301" t="s">
        <v>3884</v>
      </c>
      <c r="Z998" s="544" t="s">
        <v>360</v>
      </c>
      <c r="AA998" s="1552"/>
      <c r="AB998" s="1552"/>
      <c r="AC998" s="1552" t="s">
        <v>3885</v>
      </c>
      <c r="AD998" s="1545" t="s">
        <v>676</v>
      </c>
      <c r="AE998" s="1555">
        <v>250.0421</v>
      </c>
      <c r="AF998" s="1677">
        <f>AE998*L998</f>
        <v>25004.21</v>
      </c>
      <c r="AG998" s="1295"/>
      <c r="AH998" s="488"/>
      <c r="AI998" s="488"/>
      <c r="AJ998" s="1553"/>
      <c r="AK998" s="327">
        <f>I998</f>
        <v>8400</v>
      </c>
      <c r="AL998" s="1555"/>
      <c r="AM998" s="1555"/>
      <c r="AN998" s="1420">
        <f t="shared" si="353"/>
        <v>8400</v>
      </c>
      <c r="AO998" s="327"/>
      <c r="AP998" s="327"/>
      <c r="AQ998" s="1316"/>
      <c r="AR998" s="327"/>
      <c r="AS998" s="1317"/>
      <c r="AT998" s="1317"/>
      <c r="AU998" s="327"/>
      <c r="AV998" s="1318">
        <f>I998*0.06</f>
        <v>504</v>
      </c>
      <c r="AW998" s="1318"/>
      <c r="AX998" s="327">
        <f>I998</f>
        <v>8400</v>
      </c>
      <c r="AY998" s="1555"/>
      <c r="AZ998" s="1555"/>
      <c r="BA998" s="1555"/>
      <c r="BB998" s="1555"/>
      <c r="BC998" s="1555"/>
      <c r="BD998" s="1555"/>
      <c r="BE998" s="1555"/>
      <c r="BF998" s="1555"/>
      <c r="BG998" s="1555"/>
      <c r="BH998" s="1555"/>
      <c r="BI998" s="1555"/>
      <c r="BJ998" s="1555"/>
      <c r="BK998" s="1555"/>
      <c r="BL998" s="1555"/>
      <c r="BM998" s="1555"/>
      <c r="BN998" s="1555"/>
      <c r="BO998" s="1679"/>
      <c r="BP998" s="1679"/>
      <c r="BQ998" s="1555"/>
      <c r="BR998" s="1680"/>
      <c r="BS998" s="1680"/>
      <c r="BT998" s="1555"/>
      <c r="BU998" s="1555"/>
      <c r="BV998" s="1679"/>
      <c r="BW998" s="1555"/>
      <c r="BX998" s="1182">
        <f>I998/84</f>
        <v>100</v>
      </c>
      <c r="BY998" s="1555"/>
      <c r="BZ998" s="1555"/>
      <c r="CA998" s="1555"/>
      <c r="CB998" s="1555"/>
      <c r="CC998" s="1555"/>
      <c r="CD998" s="327">
        <f t="shared" si="349"/>
        <v>0</v>
      </c>
      <c r="CE998" s="327">
        <f t="shared" si="350"/>
        <v>0</v>
      </c>
      <c r="CF998" s="327">
        <f t="shared" si="351"/>
        <v>0</v>
      </c>
      <c r="CG998" s="327">
        <f t="shared" si="352"/>
        <v>100</v>
      </c>
      <c r="CH998" s="1680"/>
      <c r="CI998" s="1680"/>
      <c r="CJ998" s="1680"/>
      <c r="CK998" s="1555"/>
      <c r="CL998" s="1555"/>
    </row>
    <row r="999" s="1180" customFormat="1" customHeight="1" spans="1:111">
      <c r="A999" s="1606">
        <v>46189</v>
      </c>
      <c r="B999" s="1417" t="s">
        <v>3527</v>
      </c>
      <c r="C999" s="1434" t="s">
        <v>2458</v>
      </c>
      <c r="D999" s="1435">
        <v>4500210658</v>
      </c>
      <c r="E999" s="1436">
        <v>5000002246</v>
      </c>
      <c r="F999" s="1437" t="s">
        <v>3886</v>
      </c>
      <c r="G999" s="1438" t="s">
        <v>803</v>
      </c>
      <c r="H999" s="1434" t="s">
        <v>804</v>
      </c>
      <c r="I999" s="1439">
        <v>1200</v>
      </c>
      <c r="J999" s="1434">
        <v>0</v>
      </c>
      <c r="K999" s="1434">
        <v>6</v>
      </c>
      <c r="L999" s="1607">
        <f t="shared" si="338"/>
        <v>200</v>
      </c>
      <c r="M999" s="507">
        <v>46317</v>
      </c>
      <c r="N999" s="507">
        <v>46314</v>
      </c>
      <c r="O999" s="434" t="s">
        <v>2463</v>
      </c>
      <c r="P999" s="1436"/>
      <c r="Q999" s="1436"/>
      <c r="R999" s="1434"/>
      <c r="S999" s="1434"/>
      <c r="T999" s="1436"/>
      <c r="U999" s="500">
        <f>T999-I999</f>
        <v>-1200</v>
      </c>
      <c r="V999" s="1434"/>
      <c r="W999" s="1300" t="s">
        <v>3494</v>
      </c>
      <c r="X999" s="1301" t="s">
        <v>95</v>
      </c>
      <c r="Y999" s="1301" t="s">
        <v>3887</v>
      </c>
      <c r="Z999" s="1552"/>
      <c r="AA999" s="1552"/>
      <c r="AB999" s="1417"/>
      <c r="AC999" s="1552" t="s">
        <v>3888</v>
      </c>
      <c r="AD999" s="507" t="s">
        <v>3531</v>
      </c>
      <c r="AE999" s="1437">
        <v>8.15</v>
      </c>
      <c r="AF999" s="1609">
        <f>AE999*I999</f>
        <v>9780</v>
      </c>
      <c r="AG999" s="1295"/>
      <c r="AH999" s="488" t="s">
        <v>3498</v>
      </c>
      <c r="AI999" s="488" t="s">
        <v>112</v>
      </c>
      <c r="AJ999" s="1434"/>
      <c r="AK999" s="327">
        <f>I999*2</f>
        <v>2400</v>
      </c>
      <c r="AL999" s="1437"/>
      <c r="AM999" s="1617"/>
      <c r="AN999" s="1418">
        <f>I999*2</f>
        <v>2400</v>
      </c>
      <c r="AO999" s="502"/>
      <c r="AP999" s="502"/>
      <c r="AQ999" s="1296"/>
      <c r="AR999" s="438"/>
      <c r="AS999" s="1297"/>
      <c r="AT999" s="1297"/>
      <c r="AU999" s="502"/>
      <c r="AV999" s="1612"/>
      <c r="AW999" s="1612"/>
      <c r="AX999" s="1437"/>
      <c r="AY999" s="1437"/>
      <c r="AZ999" s="1437">
        <f>I999*2</f>
        <v>2400</v>
      </c>
      <c r="BA999" s="1437">
        <f>I999*2</f>
        <v>2400</v>
      </c>
      <c r="BB999" s="1437"/>
      <c r="BC999" s="1437"/>
      <c r="BD999" s="1437"/>
      <c r="BE999" s="1437"/>
      <c r="BF999" s="1437"/>
      <c r="BG999" s="1437"/>
      <c r="BH999" s="1437"/>
      <c r="BI999" s="1437"/>
      <c r="BJ999" s="1437"/>
      <c r="BK999" s="1437"/>
      <c r="BL999" s="1437"/>
      <c r="BM999" s="1437"/>
      <c r="BN999" s="1437"/>
      <c r="BO999" s="1615"/>
      <c r="BP999" s="1615"/>
      <c r="BQ999" s="1617"/>
      <c r="BR999" s="1616"/>
      <c r="BS999" s="1616"/>
      <c r="BT999" s="1437"/>
      <c r="BU999" s="1437"/>
      <c r="BV999" s="1615"/>
      <c r="BW999" s="1617"/>
      <c r="BX999" s="1617"/>
      <c r="BY999" s="1617"/>
      <c r="BZ999" s="1617"/>
      <c r="CA999" s="1617"/>
      <c r="CB999" s="1617"/>
      <c r="CC999" s="1617"/>
      <c r="CD999" s="1218">
        <f t="shared" si="349"/>
        <v>0</v>
      </c>
      <c r="CE999" s="1218">
        <f t="shared" si="350"/>
        <v>0</v>
      </c>
      <c r="CF999" s="502">
        <f t="shared" si="351"/>
        <v>0</v>
      </c>
      <c r="CG999" s="1218">
        <f t="shared" si="352"/>
        <v>0</v>
      </c>
      <c r="CH999" s="1618"/>
      <c r="CI999" s="1618"/>
      <c r="CJ999" s="1616"/>
      <c r="CK999" s="1437"/>
      <c r="CL999" s="1437"/>
      <c r="CM999" s="293"/>
      <c r="CN999" s="293"/>
      <c r="CO999" s="293"/>
      <c r="CP999" s="293"/>
      <c r="CQ999" s="293"/>
      <c r="CR999" s="293"/>
      <c r="CS999" s="293"/>
      <c r="CT999" s="293"/>
      <c r="CU999" s="293"/>
      <c r="CV999" s="293"/>
      <c r="CW999" s="293"/>
      <c r="CX999" s="293"/>
      <c r="CY999" s="293"/>
      <c r="CZ999" s="293"/>
      <c r="DA999" s="293"/>
      <c r="DB999" s="293"/>
      <c r="DC999" s="293"/>
      <c r="DD999" s="293"/>
      <c r="DE999" s="293"/>
      <c r="DF999" s="293"/>
      <c r="DG999" s="293"/>
    </row>
    <row r="1000" s="1180" customFormat="1" customHeight="1" spans="1:111">
      <c r="A1000" s="1289">
        <v>46189</v>
      </c>
      <c r="B1000" s="1417" t="s">
        <v>3527</v>
      </c>
      <c r="C1000" s="1434" t="s">
        <v>2458</v>
      </c>
      <c r="D1000" s="1435">
        <v>4500210658</v>
      </c>
      <c r="E1000" s="1436">
        <v>5000002246</v>
      </c>
      <c r="F1000" s="1437" t="s">
        <v>3889</v>
      </c>
      <c r="G1000" s="1438" t="s">
        <v>803</v>
      </c>
      <c r="H1000" s="504" t="s">
        <v>804</v>
      </c>
      <c r="I1000" s="1439">
        <v>9996</v>
      </c>
      <c r="J1000" s="1434">
        <v>0</v>
      </c>
      <c r="K1000" s="1434">
        <v>6</v>
      </c>
      <c r="L1000" s="1291">
        <f t="shared" si="338"/>
        <v>1666</v>
      </c>
      <c r="M1000" s="507">
        <v>46317</v>
      </c>
      <c r="N1000" s="507">
        <v>46314</v>
      </c>
      <c r="O1000" s="434" t="s">
        <v>2463</v>
      </c>
      <c r="P1000" s="506"/>
      <c r="Q1000" s="506"/>
      <c r="R1000" s="504"/>
      <c r="S1000" s="504"/>
      <c r="T1000" s="506"/>
      <c r="U1000" s="500">
        <f>T1000-I1000</f>
        <v>-9996</v>
      </c>
      <c r="V1000" s="504"/>
      <c r="W1000" s="1300" t="s">
        <v>3494</v>
      </c>
      <c r="X1000" s="1301" t="s">
        <v>95</v>
      </c>
      <c r="Y1000" s="1294" t="s">
        <v>3887</v>
      </c>
      <c r="Z1000" s="1552"/>
      <c r="AA1000" s="1552"/>
      <c r="AB1000" s="543"/>
      <c r="AC1000" s="1552" t="s">
        <v>3888</v>
      </c>
      <c r="AD1000" s="507" t="s">
        <v>3531</v>
      </c>
      <c r="AE1000" s="502">
        <v>8.15</v>
      </c>
      <c r="AF1000" s="503">
        <f>AE1000*I1000</f>
        <v>81467.4</v>
      </c>
      <c r="AG1000" s="1295"/>
      <c r="AH1000" s="488" t="s">
        <v>3498</v>
      </c>
      <c r="AI1000" s="488" t="s">
        <v>112</v>
      </c>
      <c r="AJ1000" s="504"/>
      <c r="AK1000" s="327">
        <f>I1000*2</f>
        <v>19992</v>
      </c>
      <c r="AL1000" s="502"/>
      <c r="AM1000" s="1218"/>
      <c r="AN1000" s="1418">
        <f>I1000*2</f>
        <v>19992</v>
      </c>
      <c r="AO1000" s="502"/>
      <c r="AP1000" s="502"/>
      <c r="AQ1000" s="1296"/>
      <c r="AR1000" s="438"/>
      <c r="AS1000" s="1297"/>
      <c r="AT1000" s="1297"/>
      <c r="AU1000" s="502"/>
      <c r="AV1000" s="1298"/>
      <c r="AW1000" s="1298"/>
      <c r="AX1000" s="502"/>
      <c r="AY1000" s="502"/>
      <c r="AZ1000" s="502">
        <f>I1000*2</f>
        <v>19992</v>
      </c>
      <c r="BA1000" s="502">
        <f>I1000*2</f>
        <v>19992</v>
      </c>
      <c r="BB1000" s="502"/>
      <c r="BC1000" s="502"/>
      <c r="BD1000" s="502"/>
      <c r="BE1000" s="502"/>
      <c r="BF1000" s="502"/>
      <c r="BG1000" s="502"/>
      <c r="BH1000" s="502"/>
      <c r="BI1000" s="502"/>
      <c r="BJ1000" s="502"/>
      <c r="BK1000" s="502"/>
      <c r="BL1000" s="502"/>
      <c r="BM1000" s="502"/>
      <c r="BN1000" s="502"/>
      <c r="BO1000" s="1296"/>
      <c r="BP1000" s="1296"/>
      <c r="BQ1000" s="1218"/>
      <c r="BR1000" s="1297"/>
      <c r="BS1000" s="1297"/>
      <c r="BT1000" s="502"/>
      <c r="BU1000" s="502"/>
      <c r="BV1000" s="1296"/>
      <c r="BW1000" s="1218"/>
      <c r="BX1000" s="1218"/>
      <c r="BY1000" s="1218"/>
      <c r="BZ1000" s="1218"/>
      <c r="CA1000" s="1218"/>
      <c r="CB1000" s="1218"/>
      <c r="CC1000" s="1218"/>
      <c r="CD1000" s="1218">
        <f t="shared" si="349"/>
        <v>0</v>
      </c>
      <c r="CE1000" s="1218">
        <f t="shared" si="350"/>
        <v>0</v>
      </c>
      <c r="CF1000" s="502">
        <f t="shared" si="351"/>
        <v>0</v>
      </c>
      <c r="CG1000" s="1218">
        <f t="shared" si="352"/>
        <v>0</v>
      </c>
      <c r="CH1000" s="1299"/>
      <c r="CI1000" s="1299"/>
      <c r="CJ1000" s="1297"/>
      <c r="CK1000" s="502"/>
      <c r="CL1000" s="502"/>
      <c r="CM1000" s="293"/>
      <c r="CN1000" s="293"/>
      <c r="CO1000" s="293"/>
      <c r="CP1000" s="293"/>
      <c r="CQ1000" s="293"/>
      <c r="CR1000" s="293"/>
      <c r="CS1000" s="293"/>
      <c r="CT1000" s="293"/>
      <c r="CU1000" s="293"/>
      <c r="CV1000" s="293"/>
      <c r="CW1000" s="293"/>
      <c r="CX1000" s="293"/>
      <c r="CY1000" s="293"/>
      <c r="CZ1000" s="293"/>
      <c r="DA1000" s="293"/>
      <c r="DB1000" s="293"/>
      <c r="DC1000" s="293"/>
      <c r="DD1000" s="293"/>
      <c r="DE1000" s="293"/>
      <c r="DF1000" s="293"/>
      <c r="DG1000" s="293"/>
    </row>
    <row r="1001" s="1179" customFormat="1" customHeight="1" spans="1:111">
      <c r="A1001" s="1703">
        <v>46189</v>
      </c>
      <c r="B1001" s="1704" t="s">
        <v>3527</v>
      </c>
      <c r="C1001" s="1454" t="s">
        <v>2458</v>
      </c>
      <c r="D1001" s="1705">
        <v>4500210658</v>
      </c>
      <c r="E1001" s="1292">
        <v>5000002246</v>
      </c>
      <c r="F1001" s="1601" t="s">
        <v>3890</v>
      </c>
      <c r="G1001" s="1706" t="s">
        <v>803</v>
      </c>
      <c r="H1001" s="1454" t="s">
        <v>804</v>
      </c>
      <c r="I1001" s="1707">
        <v>12000</v>
      </c>
      <c r="J1001" s="1454">
        <v>0</v>
      </c>
      <c r="K1001" s="1454">
        <v>6</v>
      </c>
      <c r="L1001" s="1597">
        <f t="shared" si="338"/>
        <v>2000</v>
      </c>
      <c r="M1001" s="1586">
        <v>46317</v>
      </c>
      <c r="N1001" s="1586">
        <v>46314</v>
      </c>
      <c r="O1001" s="434" t="s">
        <v>2463</v>
      </c>
      <c r="P1001" s="1292"/>
      <c r="Q1001" s="1292"/>
      <c r="R1001" s="1454"/>
      <c r="S1001" s="1454"/>
      <c r="T1001" s="1292"/>
      <c r="U1001" s="500">
        <f>T1001-I1001</f>
        <v>-12000</v>
      </c>
      <c r="V1001" s="1454"/>
      <c r="W1001" s="1300" t="s">
        <v>3494</v>
      </c>
      <c r="X1001" s="1294" t="s">
        <v>95</v>
      </c>
      <c r="Y1001" s="1294" t="s">
        <v>3887</v>
      </c>
      <c r="Z1001" s="544"/>
      <c r="AA1001" s="544"/>
      <c r="AB1001" s="543"/>
      <c r="AC1001" s="1708" t="s">
        <v>3888</v>
      </c>
      <c r="AD1001" s="1586" t="s">
        <v>3531</v>
      </c>
      <c r="AE1001" s="1601">
        <v>8.15</v>
      </c>
      <c r="AF1001" s="1600">
        <f>AE1001*I1001</f>
        <v>97800</v>
      </c>
      <c r="AG1001" s="1610"/>
      <c r="AH1001" s="488" t="s">
        <v>3498</v>
      </c>
      <c r="AI1001" s="488" t="s">
        <v>112</v>
      </c>
      <c r="AJ1001" s="1454"/>
      <c r="AK1001" s="327">
        <f>I1001*2</f>
        <v>24000</v>
      </c>
      <c r="AL1001" s="1601"/>
      <c r="AM1001" s="1182"/>
      <c r="AN1001" s="1709">
        <f>I1001*2</f>
        <v>24000</v>
      </c>
      <c r="AO1001" s="1601"/>
      <c r="AP1001" s="1601"/>
      <c r="AQ1001" s="1601"/>
      <c r="AR1001" s="520"/>
      <c r="AS1001" s="1601"/>
      <c r="AT1001" s="1601"/>
      <c r="AU1001" s="1601"/>
      <c r="AV1001" s="1298"/>
      <c r="AW1001" s="1298"/>
      <c r="AX1001" s="1601"/>
      <c r="AY1001" s="1601"/>
      <c r="AZ1001" s="1601">
        <f>I1001*2</f>
        <v>24000</v>
      </c>
      <c r="BA1001" s="1601">
        <f>I1001*2</f>
        <v>24000</v>
      </c>
      <c r="BB1001" s="1601"/>
      <c r="BC1001" s="1601"/>
      <c r="BD1001" s="1601"/>
      <c r="BE1001" s="1601"/>
      <c r="BF1001" s="1601"/>
      <c r="BG1001" s="502"/>
      <c r="BH1001" s="502"/>
      <c r="BI1001" s="1601"/>
      <c r="BJ1001" s="1601"/>
      <c r="BK1001" s="1601"/>
      <c r="BL1001" s="1601"/>
      <c r="BM1001" s="1601"/>
      <c r="BN1001" s="1601"/>
      <c r="BO1001" s="1296"/>
      <c r="BP1001" s="1601"/>
      <c r="BQ1001" s="1182"/>
      <c r="BR1001" s="1601"/>
      <c r="BS1001" s="1601"/>
      <c r="BT1001" s="1601"/>
      <c r="BU1001" s="1601"/>
      <c r="BV1001" s="1601"/>
      <c r="BW1001" s="1182"/>
      <c r="BX1001" s="1182"/>
      <c r="BY1001" s="1182"/>
      <c r="BZ1001" s="1182"/>
      <c r="CA1001" s="1182"/>
      <c r="CB1001" s="1182"/>
      <c r="CC1001" s="1182"/>
      <c r="CD1001" s="1218">
        <f t="shared" si="349"/>
        <v>0</v>
      </c>
      <c r="CE1001" s="1218">
        <f t="shared" si="350"/>
        <v>0</v>
      </c>
      <c r="CF1001" s="502">
        <f t="shared" si="351"/>
        <v>0</v>
      </c>
      <c r="CG1001" s="1218">
        <f t="shared" si="352"/>
        <v>0</v>
      </c>
      <c r="CH1001" s="1218"/>
      <c r="CI1001" s="1218"/>
      <c r="CJ1001" s="1601"/>
      <c r="CK1001" s="1601"/>
      <c r="CL1001" s="1601"/>
      <c r="CM1001" s="293"/>
      <c r="CN1001" s="293"/>
      <c r="CO1001" s="293"/>
      <c r="CP1001" s="293"/>
      <c r="CQ1001" s="293"/>
      <c r="CR1001" s="293"/>
      <c r="CS1001" s="293"/>
      <c r="CT1001" s="293"/>
      <c r="CU1001" s="293"/>
      <c r="CV1001" s="293"/>
      <c r="CW1001" s="293"/>
      <c r="CX1001" s="293"/>
      <c r="CY1001" s="293"/>
      <c r="CZ1001" s="293"/>
      <c r="DA1001" s="293"/>
      <c r="DB1001" s="293"/>
      <c r="DC1001" s="293"/>
      <c r="DD1001" s="293"/>
      <c r="DE1001" s="293"/>
      <c r="DF1001" s="293"/>
      <c r="DG1001" s="293"/>
    </row>
    <row r="1002" s="1181" customFormat="1" customHeight="1" spans="1:111">
      <c r="A1002" s="1782">
        <v>46246</v>
      </c>
      <c r="B1002" s="1783" t="s">
        <v>3891</v>
      </c>
      <c r="C1002" s="1784" t="s">
        <v>201</v>
      </c>
      <c r="D1002" s="1785">
        <v>4500219691</v>
      </c>
      <c r="E1002" s="1784">
        <v>2551020512</v>
      </c>
      <c r="F1002" s="1785" t="s">
        <v>3892</v>
      </c>
      <c r="G1002" s="1786" t="s">
        <v>3893</v>
      </c>
      <c r="H1002" s="1654" t="s">
        <v>381</v>
      </c>
      <c r="I1002" s="1787">
        <v>18144</v>
      </c>
      <c r="J1002" s="1784">
        <v>0</v>
      </c>
      <c r="K1002" s="1784">
        <v>16</v>
      </c>
      <c r="L1002" s="1788">
        <f t="shared" si="338"/>
        <v>1134</v>
      </c>
      <c r="M1002" s="1789">
        <v>46318</v>
      </c>
      <c r="N1002" s="1789">
        <v>46314</v>
      </c>
      <c r="O1002" s="1816" t="s">
        <v>3894</v>
      </c>
      <c r="P1002" s="1790"/>
      <c r="Q1002" s="1790"/>
      <c r="R1002" s="1654"/>
      <c r="S1002" s="1654"/>
      <c r="T1002" s="1790"/>
      <c r="U1002" s="1658"/>
      <c r="V1002" s="1654"/>
      <c r="W1002" s="1659" t="s">
        <v>3064</v>
      </c>
      <c r="X1002" s="1791" t="s">
        <v>95</v>
      </c>
      <c r="Y1002" s="1660" t="s">
        <v>2251</v>
      </c>
      <c r="Z1002" s="1648"/>
      <c r="AA1002" s="1648"/>
      <c r="AB1002" s="1792"/>
      <c r="AC1002" s="1791" t="s">
        <v>3895</v>
      </c>
      <c r="AD1002" s="1789" t="s">
        <v>3896</v>
      </c>
      <c r="AE1002" s="1669">
        <v>1.1511</v>
      </c>
      <c r="AF1002" s="1793">
        <f>I1002*AE1002</f>
        <v>20885.5584</v>
      </c>
      <c r="AG1002" s="1825"/>
      <c r="AH1002" s="1653" t="s">
        <v>385</v>
      </c>
      <c r="AI1002" s="1649" t="s">
        <v>112</v>
      </c>
      <c r="AJ1002" s="1654"/>
      <c r="AK1002" s="1652">
        <f>I1002</f>
        <v>18144</v>
      </c>
      <c r="AL1002" s="1669"/>
      <c r="AM1002" s="1668"/>
      <c r="AN1002" s="1669"/>
      <c r="AO1002" s="1669"/>
      <c r="AP1002" s="1669"/>
      <c r="AQ1002" s="1794"/>
      <c r="AR1002" s="1795"/>
      <c r="AS1002" s="1796"/>
      <c r="AT1002" s="1796">
        <f>I1002</f>
        <v>18144</v>
      </c>
      <c r="AU1002" s="1669">
        <f>I1002</f>
        <v>18144</v>
      </c>
      <c r="AV1002" s="1797">
        <f>I1002*0.06</f>
        <v>1088.64</v>
      </c>
      <c r="AW1002" s="1797"/>
      <c r="AX1002" s="1669"/>
      <c r="AY1002" s="1669"/>
      <c r="AZ1002" s="1669"/>
      <c r="BA1002" s="1669"/>
      <c r="BB1002" s="1669"/>
      <c r="BC1002" s="1669"/>
      <c r="BD1002" s="1669"/>
      <c r="BE1002" s="1669"/>
      <c r="BF1002" s="1669"/>
      <c r="BG1002" s="1669"/>
      <c r="BH1002" s="1669"/>
      <c r="BI1002" s="1669"/>
      <c r="BJ1002" s="1669"/>
      <c r="BK1002" s="1669"/>
      <c r="BL1002" s="1669"/>
      <c r="BM1002" s="1669"/>
      <c r="BN1002" s="1669"/>
      <c r="BO1002" s="1794"/>
      <c r="BP1002" s="1794"/>
      <c r="BQ1002" s="1668"/>
      <c r="BR1002" s="1796"/>
      <c r="BS1002" s="1796">
        <f>I1002/16</f>
        <v>1134</v>
      </c>
      <c r="BT1002" s="1669"/>
      <c r="BU1002" s="1669"/>
      <c r="BV1002" s="1794"/>
      <c r="BW1002" s="1668"/>
      <c r="BX1002" s="1668"/>
      <c r="BY1002" s="1668"/>
      <c r="BZ1002" s="1668"/>
      <c r="CA1002" s="1668"/>
      <c r="CB1002" s="1668"/>
      <c r="CC1002" s="1668"/>
      <c r="CD1002" s="1668">
        <f t="shared" si="349"/>
        <v>1134</v>
      </c>
      <c r="CE1002" s="1668">
        <f t="shared" si="350"/>
        <v>0</v>
      </c>
      <c r="CF1002" s="1669">
        <f t="shared" si="351"/>
        <v>0</v>
      </c>
      <c r="CG1002" s="1668">
        <f t="shared" si="352"/>
        <v>0</v>
      </c>
      <c r="CH1002" s="1798"/>
      <c r="CI1002" s="1798"/>
      <c r="CJ1002" s="1796"/>
      <c r="CK1002" s="1669"/>
      <c r="CL1002" s="1669"/>
      <c r="CM1002" s="1186"/>
      <c r="CN1002" s="1186"/>
      <c r="CO1002" s="1186"/>
      <c r="CP1002" s="1186"/>
      <c r="CQ1002" s="1186"/>
      <c r="CR1002" s="1186"/>
      <c r="CS1002" s="1186"/>
      <c r="CT1002" s="1186"/>
      <c r="CU1002" s="1186"/>
      <c r="CV1002" s="1186"/>
      <c r="CW1002" s="1186"/>
      <c r="CX1002" s="1186"/>
      <c r="CY1002" s="1186"/>
      <c r="CZ1002" s="1186"/>
      <c r="DA1002" s="1186"/>
      <c r="DB1002" s="1186"/>
      <c r="DC1002" s="1186"/>
      <c r="DD1002" s="1186"/>
      <c r="DE1002" s="1186"/>
      <c r="DF1002" s="1186"/>
      <c r="DG1002" s="1186"/>
    </row>
    <row r="1003" s="1180" customFormat="1" customHeight="1" spans="1:111">
      <c r="A1003" s="1670">
        <v>46239</v>
      </c>
      <c r="B1003" s="1552" t="s">
        <v>3897</v>
      </c>
      <c r="C1003" s="1553" t="s">
        <v>508</v>
      </c>
      <c r="D1003" s="1554" t="s">
        <v>3898</v>
      </c>
      <c r="E1003" s="1621" t="s">
        <v>3899</v>
      </c>
      <c r="F1003" s="1555" t="s">
        <v>3900</v>
      </c>
      <c r="G1003" s="1556" t="s">
        <v>3232</v>
      </c>
      <c r="H1003" s="1553" t="s">
        <v>194</v>
      </c>
      <c r="I1003" s="1557">
        <v>23010</v>
      </c>
      <c r="J1003" s="1553">
        <v>0</v>
      </c>
      <c r="K1003" s="1553">
        <v>13</v>
      </c>
      <c r="L1003" s="1675">
        <f t="shared" si="338"/>
        <v>1770</v>
      </c>
      <c r="M1003" s="1545">
        <v>46321</v>
      </c>
      <c r="N1003" s="1545">
        <v>46317</v>
      </c>
      <c r="O1003" s="1545"/>
      <c r="P1003" s="1621"/>
      <c r="Q1003" s="1621"/>
      <c r="R1003" s="1553"/>
      <c r="S1003" s="1553"/>
      <c r="T1003" s="1621"/>
      <c r="U1003" s="1313">
        <f t="shared" ref="U1003:U1009" si="354">T1003-I1003</f>
        <v>-23010</v>
      </c>
      <c r="V1003" s="1553"/>
      <c r="W1003" s="1300" t="s">
        <v>3064</v>
      </c>
      <c r="X1003" s="1301" t="s">
        <v>107</v>
      </c>
      <c r="Y1003" s="1301" t="s">
        <v>3901</v>
      </c>
      <c r="Z1003" s="544" t="s">
        <v>360</v>
      </c>
      <c r="AA1003" s="1552"/>
      <c r="AB1003" s="1552"/>
      <c r="AC1003" s="1552" t="s">
        <v>3902</v>
      </c>
      <c r="AD1003" s="1545" t="s">
        <v>3791</v>
      </c>
      <c r="AE1003" s="1555">
        <v>1.0939</v>
      </c>
      <c r="AF1003" s="1677">
        <f>AE1003*I1003</f>
        <v>25170.639</v>
      </c>
      <c r="AG1003" s="1295"/>
      <c r="AH1003" s="488" t="s">
        <v>510</v>
      </c>
      <c r="AI1003" s="488" t="s">
        <v>112</v>
      </c>
      <c r="AJ1003" s="1553"/>
      <c r="AK1003" s="327">
        <f>I1003</f>
        <v>23010</v>
      </c>
      <c r="AL1003" s="1555"/>
      <c r="AM1003" s="1555"/>
      <c r="AN1003" s="1420">
        <f>I1003</f>
        <v>23010</v>
      </c>
      <c r="AO1003" s="327"/>
      <c r="AP1003" s="327"/>
      <c r="AQ1003" s="1316"/>
      <c r="AR1003" s="327"/>
      <c r="AS1003" s="1317"/>
      <c r="AT1003" s="1317"/>
      <c r="AU1003" s="327"/>
      <c r="AV1003" s="1318">
        <f>I1003*0.06</f>
        <v>1380.6</v>
      </c>
      <c r="AW1003" s="1318"/>
      <c r="AX1003" s="327">
        <f>I1003</f>
        <v>23010</v>
      </c>
      <c r="AY1003" s="1555"/>
      <c r="AZ1003" s="1555"/>
      <c r="BA1003" s="1555"/>
      <c r="BB1003" s="1555"/>
      <c r="BC1003" s="1555"/>
      <c r="BD1003" s="1555"/>
      <c r="BE1003" s="1555"/>
      <c r="BF1003" s="1555"/>
      <c r="BG1003" s="1555"/>
      <c r="BH1003" s="1555"/>
      <c r="BI1003" s="1555"/>
      <c r="BJ1003" s="1555"/>
      <c r="BK1003" s="1555"/>
      <c r="BL1003" s="1555"/>
      <c r="BM1003" s="1555"/>
      <c r="BN1003" s="1555"/>
      <c r="BO1003" s="1679"/>
      <c r="BP1003" s="1316">
        <f>I1003/13</f>
        <v>1770</v>
      </c>
      <c r="BQ1003" s="1555"/>
      <c r="BR1003" s="1680"/>
      <c r="BS1003" s="1680"/>
      <c r="BT1003" s="1555"/>
      <c r="BU1003" s="1555"/>
      <c r="BV1003" s="1679"/>
      <c r="BW1003" s="1555"/>
      <c r="BX1003" s="1555"/>
      <c r="BY1003" s="1555"/>
      <c r="BZ1003" s="1555"/>
      <c r="CA1003" s="1555"/>
      <c r="CB1003" s="1555"/>
      <c r="CC1003" s="1555"/>
      <c r="CD1003" s="327">
        <f t="shared" ref="CD1003:CD1010" si="355">BN1003+BO1003+BQ1003+BS1003+BR1003</f>
        <v>0</v>
      </c>
      <c r="CE1003" s="327">
        <f t="shared" ref="CE1003:CE1010" si="356">BU1003</f>
        <v>0</v>
      </c>
      <c r="CF1003" s="327">
        <f t="shared" ref="CF1003:CF1010" si="357">CC1003</f>
        <v>0</v>
      </c>
      <c r="CG1003" s="327">
        <f t="shared" ref="CG1003:CG1010" si="358">BV1003+BW1003+BX1003</f>
        <v>0</v>
      </c>
      <c r="CH1003" s="1680"/>
      <c r="CI1003" s="1680"/>
      <c r="CJ1003" s="1680"/>
      <c r="CK1003" s="1555"/>
      <c r="CL1003" s="1555"/>
    </row>
    <row r="1004" s="1180" customFormat="1" customHeight="1" spans="1:111">
      <c r="A1004" s="1670">
        <v>46239</v>
      </c>
      <c r="B1004" s="1552" t="s">
        <v>3903</v>
      </c>
      <c r="C1004" s="1553" t="s">
        <v>101</v>
      </c>
      <c r="D1004" s="1554" t="s">
        <v>3904</v>
      </c>
      <c r="E1004" s="1621" t="s">
        <v>3905</v>
      </c>
      <c r="F1004" s="1555" t="s">
        <v>3906</v>
      </c>
      <c r="G1004" s="1556" t="s">
        <v>3232</v>
      </c>
      <c r="H1004" s="1553" t="s">
        <v>194</v>
      </c>
      <c r="I1004" s="1557">
        <v>2002</v>
      </c>
      <c r="J1004" s="1553">
        <v>0</v>
      </c>
      <c r="K1004" s="1553">
        <v>13</v>
      </c>
      <c r="L1004" s="1675">
        <f t="shared" si="338"/>
        <v>154</v>
      </c>
      <c r="M1004" s="1545">
        <v>46321</v>
      </c>
      <c r="N1004" s="1545">
        <v>46317</v>
      </c>
      <c r="O1004" s="1545"/>
      <c r="P1004" s="1621"/>
      <c r="Q1004" s="1621"/>
      <c r="R1004" s="1553"/>
      <c r="S1004" s="1553"/>
      <c r="T1004" s="1621"/>
      <c r="U1004" s="1313">
        <f t="shared" si="354"/>
        <v>-2002</v>
      </c>
      <c r="V1004" s="1553"/>
      <c r="W1004" s="1300" t="s">
        <v>3064</v>
      </c>
      <c r="X1004" s="1301" t="s">
        <v>107</v>
      </c>
      <c r="Y1004" s="1301" t="s">
        <v>3901</v>
      </c>
      <c r="Z1004" s="544" t="s">
        <v>360</v>
      </c>
      <c r="AA1004" s="1552"/>
      <c r="AB1004" s="1552"/>
      <c r="AC1004" s="1552" t="s">
        <v>3907</v>
      </c>
      <c r="AD1004" s="1545" t="s">
        <v>3791</v>
      </c>
      <c r="AE1004" s="1555">
        <v>1.1186</v>
      </c>
      <c r="AF1004" s="1677">
        <f>AE1004*I1004</f>
        <v>2239.4372</v>
      </c>
      <c r="AG1004" s="1295"/>
      <c r="AH1004" s="488" t="s">
        <v>510</v>
      </c>
      <c r="AI1004" s="488" t="s">
        <v>112</v>
      </c>
      <c r="AJ1004" s="1553"/>
      <c r="AK1004" s="327">
        <f>I1004</f>
        <v>2002</v>
      </c>
      <c r="AL1004" s="1555"/>
      <c r="AM1004" s="1555"/>
      <c r="AN1004" s="1420">
        <f>I1004</f>
        <v>2002</v>
      </c>
      <c r="AO1004" s="327"/>
      <c r="AP1004" s="327"/>
      <c r="AQ1004" s="1316"/>
      <c r="AR1004" s="327"/>
      <c r="AS1004" s="1317"/>
      <c r="AT1004" s="1317"/>
      <c r="AU1004" s="327"/>
      <c r="AV1004" s="1318">
        <f>I1004*0.06</f>
        <v>120.12</v>
      </c>
      <c r="AW1004" s="1318"/>
      <c r="AX1004" s="327">
        <f>I1004</f>
        <v>2002</v>
      </c>
      <c r="AY1004" s="1555"/>
      <c r="AZ1004" s="1555"/>
      <c r="BA1004" s="1555"/>
      <c r="BB1004" s="1555"/>
      <c r="BC1004" s="1555"/>
      <c r="BD1004" s="1555"/>
      <c r="BE1004" s="1555"/>
      <c r="BF1004" s="1555"/>
      <c r="BG1004" s="1555"/>
      <c r="BH1004" s="1555"/>
      <c r="BI1004" s="1555"/>
      <c r="BJ1004" s="1555"/>
      <c r="BK1004" s="1555"/>
      <c r="BL1004" s="1555"/>
      <c r="BM1004" s="1555"/>
      <c r="BN1004" s="1555"/>
      <c r="BO1004" s="1679"/>
      <c r="BP1004" s="1679"/>
      <c r="BQ1004" s="1555"/>
      <c r="BR1004" s="1680"/>
      <c r="BS1004" s="1680"/>
      <c r="BT1004" s="1555"/>
      <c r="BU1004" s="1555"/>
      <c r="BV1004" s="1679"/>
      <c r="BW1004" s="1555"/>
      <c r="BX1004" s="1555"/>
      <c r="BY1004" s="1555"/>
      <c r="BZ1004" s="1555"/>
      <c r="CA1004" s="1555"/>
      <c r="CB1004" s="1555"/>
      <c r="CC1004" s="1555"/>
      <c r="CD1004" s="327">
        <f t="shared" si="355"/>
        <v>0</v>
      </c>
      <c r="CE1004" s="327">
        <f t="shared" si="356"/>
        <v>0</v>
      </c>
      <c r="CF1004" s="327">
        <f t="shared" si="357"/>
        <v>0</v>
      </c>
      <c r="CG1004" s="327">
        <f t="shared" si="358"/>
        <v>0</v>
      </c>
      <c r="CH1004" s="1680"/>
      <c r="CI1004" s="1680"/>
      <c r="CJ1004" s="1680"/>
      <c r="CK1004" s="1555"/>
      <c r="CL1004" s="1555"/>
    </row>
    <row r="1005" s="1180" customFormat="1" customHeight="1" spans="1:111">
      <c r="A1005" s="1289">
        <v>46189</v>
      </c>
      <c r="B1005" s="1417" t="s">
        <v>3527</v>
      </c>
      <c r="C1005" s="1434" t="s">
        <v>2458</v>
      </c>
      <c r="D1005" s="1435">
        <v>4500210658</v>
      </c>
      <c r="E1005" s="1436">
        <v>5000002246</v>
      </c>
      <c r="F1005" s="1437" t="s">
        <v>3908</v>
      </c>
      <c r="G1005" s="1438" t="s">
        <v>803</v>
      </c>
      <c r="H1005" s="504" t="s">
        <v>804</v>
      </c>
      <c r="I1005" s="1439">
        <v>60000</v>
      </c>
      <c r="J1005" s="1434">
        <v>0</v>
      </c>
      <c r="K1005" s="1434">
        <v>6</v>
      </c>
      <c r="L1005" s="1291">
        <f t="shared" si="338"/>
        <v>10000</v>
      </c>
      <c r="M1005" s="507">
        <v>46322</v>
      </c>
      <c r="N1005" s="507">
        <v>46318</v>
      </c>
      <c r="O1005" s="434" t="s">
        <v>2463</v>
      </c>
      <c r="P1005" s="506"/>
      <c r="Q1005" s="506"/>
      <c r="R1005" s="504"/>
      <c r="S1005" s="504"/>
      <c r="T1005" s="506"/>
      <c r="U1005" s="500">
        <f t="shared" si="354"/>
        <v>-60000</v>
      </c>
      <c r="V1005" s="504"/>
      <c r="W1005" s="1300" t="s">
        <v>3494</v>
      </c>
      <c r="X1005" s="1301" t="s">
        <v>95</v>
      </c>
      <c r="Y1005" s="1294" t="s">
        <v>3887</v>
      </c>
      <c r="Z1005" s="544"/>
      <c r="AA1005" s="544"/>
      <c r="AB1005" s="543"/>
      <c r="AC1005" s="1552" t="s">
        <v>3888</v>
      </c>
      <c r="AD1005" s="507" t="s">
        <v>3531</v>
      </c>
      <c r="AE1005" s="502">
        <v>8.15</v>
      </c>
      <c r="AF1005" s="503">
        <f>AE1005*I1005</f>
        <v>489000</v>
      </c>
      <c r="AG1005" s="1368"/>
      <c r="AH1005" s="1054" t="s">
        <v>3498</v>
      </c>
      <c r="AI1005" s="488" t="s">
        <v>112</v>
      </c>
      <c r="AJ1005" s="504"/>
      <c r="AK1005" s="327">
        <f>I1005*2</f>
        <v>120000</v>
      </c>
      <c r="AL1005" s="502"/>
      <c r="AM1005" s="1218"/>
      <c r="AN1005" s="1418">
        <f>I1005*2</f>
        <v>120000</v>
      </c>
      <c r="AO1005" s="502"/>
      <c r="AP1005" s="502"/>
      <c r="AQ1005" s="1296"/>
      <c r="AR1005" s="438"/>
      <c r="AS1005" s="1297"/>
      <c r="AT1005" s="1297"/>
      <c r="AU1005" s="502"/>
      <c r="AV1005" s="1298"/>
      <c r="AW1005" s="1298"/>
      <c r="AX1005" s="502"/>
      <c r="AY1005" s="502"/>
      <c r="AZ1005" s="502">
        <f>I1005*2</f>
        <v>120000</v>
      </c>
      <c r="BA1005" s="502">
        <f>I1005*2</f>
        <v>120000</v>
      </c>
      <c r="BB1005" s="502"/>
      <c r="BC1005" s="502"/>
      <c r="BD1005" s="502"/>
      <c r="BE1005" s="502"/>
      <c r="BF1005" s="502"/>
      <c r="BG1005" s="502"/>
      <c r="BH1005" s="502"/>
      <c r="BI1005" s="502"/>
      <c r="BJ1005" s="502"/>
      <c r="BK1005" s="502"/>
      <c r="BL1005" s="502"/>
      <c r="BM1005" s="502"/>
      <c r="BN1005" s="502"/>
      <c r="BO1005" s="1296"/>
      <c r="BP1005" s="1296"/>
      <c r="BQ1005" s="1218"/>
      <c r="BR1005" s="1297"/>
      <c r="BS1005" s="1297"/>
      <c r="BT1005" s="502"/>
      <c r="BU1005" s="502"/>
      <c r="BV1005" s="1296"/>
      <c r="BW1005" s="1218"/>
      <c r="BX1005" s="1218"/>
      <c r="BY1005" s="1218"/>
      <c r="BZ1005" s="1218"/>
      <c r="CA1005" s="1218"/>
      <c r="CB1005" s="1218"/>
      <c r="CC1005" s="1218"/>
      <c r="CD1005" s="1218">
        <f t="shared" si="355"/>
        <v>0</v>
      </c>
      <c r="CE1005" s="1218">
        <f t="shared" si="356"/>
        <v>0</v>
      </c>
      <c r="CF1005" s="502">
        <f t="shared" si="357"/>
        <v>0</v>
      </c>
      <c r="CG1005" s="1218">
        <f t="shared" si="358"/>
        <v>0</v>
      </c>
      <c r="CH1005" s="1299"/>
      <c r="CI1005" s="1299"/>
      <c r="CJ1005" s="1297"/>
      <c r="CK1005" s="502"/>
      <c r="CL1005" s="502"/>
      <c r="CM1005" s="293"/>
      <c r="CN1005" s="293"/>
      <c r="CO1005" s="293"/>
      <c r="CP1005" s="293"/>
      <c r="CQ1005" s="293"/>
      <c r="CR1005" s="293"/>
      <c r="CS1005" s="293"/>
      <c r="CT1005" s="293"/>
      <c r="CU1005" s="293"/>
      <c r="CV1005" s="293"/>
      <c r="CW1005" s="293"/>
      <c r="CX1005" s="293"/>
      <c r="CY1005" s="293"/>
      <c r="CZ1005" s="293"/>
      <c r="DA1005" s="293"/>
      <c r="DB1005" s="293"/>
      <c r="DC1005" s="293"/>
      <c r="DD1005" s="293"/>
      <c r="DE1005" s="293"/>
      <c r="DF1005" s="293"/>
      <c r="DG1005" s="293"/>
    </row>
    <row r="1006" s="1179" customFormat="1" customHeight="1" spans="1:111">
      <c r="A1006" s="1309">
        <v>46232</v>
      </c>
      <c r="B1006" s="1826" t="s">
        <v>418</v>
      </c>
      <c r="C1006" s="1827" t="s">
        <v>115</v>
      </c>
      <c r="D1006" s="1828">
        <v>4500217836</v>
      </c>
      <c r="E1006" s="1906" t="s">
        <v>3909</v>
      </c>
      <c r="F1006" s="1828" t="s">
        <v>3910</v>
      </c>
      <c r="G1006" s="1622" t="s">
        <v>3731</v>
      </c>
      <c r="H1006" s="544" t="s">
        <v>893</v>
      </c>
      <c r="I1006" s="1830">
        <v>14784</v>
      </c>
      <c r="J1006" s="1831">
        <v>0</v>
      </c>
      <c r="K1006" s="1831">
        <v>48</v>
      </c>
      <c r="L1006" s="1544">
        <f t="shared" si="338"/>
        <v>308</v>
      </c>
      <c r="M1006" s="1312">
        <v>46339</v>
      </c>
      <c r="N1006" s="1312">
        <v>46335</v>
      </c>
      <c r="O1006" s="1312"/>
      <c r="P1006" s="1313"/>
      <c r="Q1006" s="1313"/>
      <c r="R1006" s="488"/>
      <c r="S1006" s="488"/>
      <c r="T1006" s="1313"/>
      <c r="U1006" s="500">
        <f t="shared" si="354"/>
        <v>-14784</v>
      </c>
      <c r="V1006" s="488"/>
      <c r="W1006" s="1300" t="s">
        <v>3064</v>
      </c>
      <c r="X1006" s="1301" t="s">
        <v>95</v>
      </c>
      <c r="Y1006" s="1301" t="s">
        <v>95</v>
      </c>
      <c r="Z1006" s="544"/>
      <c r="AA1006" s="544"/>
      <c r="AB1006" s="544"/>
      <c r="AC1006" s="544" t="s">
        <v>3911</v>
      </c>
      <c r="AD1006" s="1832" t="s">
        <v>421</v>
      </c>
      <c r="AE1006" s="1823">
        <v>0.6737</v>
      </c>
      <c r="AF1006" s="1315">
        <f>I1006*AE1006</f>
        <v>9959.9808</v>
      </c>
      <c r="AG1006" s="1610"/>
      <c r="AH1006" s="488" t="s">
        <v>3630</v>
      </c>
      <c r="AI1006" s="488"/>
      <c r="AJ1006" s="488"/>
      <c r="AK1006" s="327">
        <f>I1006</f>
        <v>14784</v>
      </c>
      <c r="AL1006" s="327"/>
      <c r="AM1006" s="327"/>
      <c r="AN1006" s="1420">
        <f>I1006</f>
        <v>14784</v>
      </c>
      <c r="AO1006" s="327"/>
      <c r="AP1006" s="327"/>
      <c r="AQ1006" s="1316"/>
      <c r="AR1006" s="327"/>
      <c r="AS1006" s="1317"/>
      <c r="AT1006" s="1317"/>
      <c r="AU1006" s="327">
        <f>I1006</f>
        <v>14784</v>
      </c>
      <c r="AV1006" s="1318">
        <f>I1006*0.06</f>
        <v>887.04</v>
      </c>
      <c r="AW1006" s="1318"/>
      <c r="AX1006" s="327"/>
      <c r="AY1006" s="327"/>
      <c r="AZ1006" s="327"/>
      <c r="BA1006" s="327"/>
      <c r="BB1006" s="327"/>
      <c r="BC1006" s="327"/>
      <c r="BD1006" s="327"/>
      <c r="BE1006" s="327"/>
      <c r="BF1006" s="327"/>
      <c r="BG1006" s="327"/>
      <c r="BH1006" s="327"/>
      <c r="BI1006" s="327"/>
      <c r="BJ1006" s="327"/>
      <c r="BK1006" s="327"/>
      <c r="BL1006" s="327"/>
      <c r="BM1006" s="327"/>
      <c r="BN1006" s="1420">
        <f>I1006/24</f>
        <v>616</v>
      </c>
      <c r="BO1006" s="1316"/>
      <c r="BP1006" s="1316"/>
      <c r="BQ1006" s="327"/>
      <c r="BR1006" s="1317"/>
      <c r="BS1006" s="1317"/>
      <c r="BT1006" s="327"/>
      <c r="BU1006" s="327"/>
      <c r="BV1006" s="1316"/>
      <c r="BW1006" s="327"/>
      <c r="BX1006" s="327"/>
      <c r="BY1006" s="327"/>
      <c r="BZ1006" s="327"/>
      <c r="CA1006" s="327"/>
      <c r="CB1006" s="327"/>
      <c r="CC1006" s="327"/>
      <c r="CD1006" s="327">
        <f t="shared" si="355"/>
        <v>616</v>
      </c>
      <c r="CE1006" s="327">
        <f t="shared" si="356"/>
        <v>0</v>
      </c>
      <c r="CF1006" s="327">
        <f t="shared" si="357"/>
        <v>0</v>
      </c>
      <c r="CG1006" s="327">
        <f t="shared" si="358"/>
        <v>0</v>
      </c>
      <c r="CH1006" s="1317"/>
      <c r="CI1006" s="1317"/>
      <c r="CJ1006" s="1317"/>
      <c r="CK1006" s="327"/>
      <c r="CL1006" s="327"/>
      <c r="CM1006" s="1180"/>
      <c r="CN1006" s="1180"/>
      <c r="CO1006" s="1180"/>
      <c r="CP1006" s="1180"/>
      <c r="CQ1006" s="1180"/>
      <c r="CR1006" s="1180"/>
      <c r="CS1006" s="1180"/>
      <c r="CT1006" s="1180"/>
      <c r="CU1006" s="1180"/>
      <c r="CV1006" s="1180"/>
      <c r="CW1006" s="1180"/>
      <c r="CX1006" s="1180"/>
      <c r="CY1006" s="1180"/>
      <c r="CZ1006" s="1180"/>
      <c r="DA1006" s="1180"/>
      <c r="DB1006" s="1180"/>
      <c r="DC1006" s="1180"/>
      <c r="DD1006" s="1180"/>
      <c r="DE1006" s="1180"/>
      <c r="DF1006" s="1180"/>
      <c r="DG1006" s="1180"/>
    </row>
    <row r="1007" s="294" customFormat="1" customHeight="1" spans="1:111">
      <c r="A1007" s="1588">
        <v>46108</v>
      </c>
      <c r="B1007" s="1708" t="s">
        <v>3912</v>
      </c>
      <c r="C1007" s="1054" t="s">
        <v>3913</v>
      </c>
      <c r="D1007" s="1187">
        <v>4500198914</v>
      </c>
      <c r="E1007" s="1054"/>
      <c r="F1007" s="1187" t="s">
        <v>3914</v>
      </c>
      <c r="G1007" s="1713" t="s">
        <v>188</v>
      </c>
      <c r="H1007" s="1704" t="s">
        <v>138</v>
      </c>
      <c r="I1007" s="1054">
        <v>5000</v>
      </c>
      <c r="J1007" s="1054">
        <v>0</v>
      </c>
      <c r="K1007" s="1054">
        <v>50</v>
      </c>
      <c r="L1007" s="1715">
        <f t="shared" si="338"/>
        <v>100</v>
      </c>
      <c r="M1007" s="1716">
        <v>46339</v>
      </c>
      <c r="N1007" s="1716">
        <v>46337</v>
      </c>
      <c r="O1007" s="1586"/>
      <c r="P1007" s="1314"/>
      <c r="Q1007" s="1314"/>
      <c r="R1007" s="1054"/>
      <c r="S1007" s="1054"/>
      <c r="T1007" s="1314"/>
      <c r="U1007" s="500">
        <f t="shared" si="354"/>
        <v>-5000</v>
      </c>
      <c r="V1007" s="1054"/>
      <c r="W1007" s="1301">
        <v>46108</v>
      </c>
      <c r="X1007" s="1294" t="s">
        <v>95</v>
      </c>
      <c r="Y1007" s="1294" t="s">
        <v>3525</v>
      </c>
      <c r="Z1007" s="327"/>
      <c r="AA1007" s="327"/>
      <c r="AB1007" s="544"/>
      <c r="AC1007" s="544" t="s">
        <v>3915</v>
      </c>
      <c r="AD1007" s="1717" t="s">
        <v>3916</v>
      </c>
      <c r="AE1007" s="1833">
        <v>1.007</v>
      </c>
      <c r="AF1007" s="1600">
        <f>AE1007*I1007</f>
        <v>5035</v>
      </c>
      <c r="AG1007" s="1610"/>
      <c r="AH1007" s="504" t="s">
        <v>314</v>
      </c>
      <c r="AI1007" s="488" t="s">
        <v>112</v>
      </c>
      <c r="AJ1007" s="1054"/>
      <c r="AK1007" s="327">
        <f>I1007</f>
        <v>5000</v>
      </c>
      <c r="AL1007" s="1054"/>
      <c r="AM1007" s="1187"/>
      <c r="AN1007" s="1054"/>
      <c r="AO1007" s="1054"/>
      <c r="AP1007" s="1054">
        <f>I1007</f>
        <v>5000</v>
      </c>
      <c r="AQ1007" s="1054"/>
      <c r="AR1007" s="520"/>
      <c r="AS1007" s="1187"/>
      <c r="AT1007" s="1187"/>
      <c r="AU1007" s="1182">
        <f>I1007</f>
        <v>5000</v>
      </c>
      <c r="AV1007" s="1298">
        <f>I1007*0.06</f>
        <v>300</v>
      </c>
      <c r="AW1007" s="1298"/>
      <c r="AX1007" s="1054"/>
      <c r="AY1007" s="1054"/>
      <c r="AZ1007" s="1054"/>
      <c r="BA1007" s="1054"/>
      <c r="BB1007" s="488"/>
      <c r="BC1007" s="488"/>
      <c r="BD1007" s="488"/>
      <c r="BE1007" s="327"/>
      <c r="BF1007" s="327"/>
      <c r="BG1007" s="327"/>
      <c r="BH1007" s="327"/>
      <c r="BI1007" s="1187"/>
      <c r="BJ1007" s="1187"/>
      <c r="BK1007" s="1187"/>
      <c r="BL1007" s="1187"/>
      <c r="BM1007" s="1187"/>
      <c r="BN1007" s="1187"/>
      <c r="BO1007" s="1296">
        <f>I1007/25</f>
        <v>200</v>
      </c>
      <c r="BP1007" s="1601"/>
      <c r="BQ1007" s="1187"/>
      <c r="BR1007" s="1187"/>
      <c r="BS1007" s="1187"/>
      <c r="BT1007" s="1187"/>
      <c r="BU1007" s="1187"/>
      <c r="BV1007" s="1187"/>
      <c r="BW1007" s="1187"/>
      <c r="BX1007" s="1187"/>
      <c r="BY1007" s="1187"/>
      <c r="BZ1007" s="1182"/>
      <c r="CA1007" s="1182"/>
      <c r="CB1007" s="1182"/>
      <c r="CC1007" s="1182"/>
      <c r="CD1007" s="1218">
        <f t="shared" si="355"/>
        <v>200</v>
      </c>
      <c r="CE1007" s="1218">
        <f t="shared" si="356"/>
        <v>0</v>
      </c>
      <c r="CF1007" s="502">
        <f t="shared" si="357"/>
        <v>0</v>
      </c>
      <c r="CG1007" s="1218">
        <f t="shared" si="358"/>
        <v>0</v>
      </c>
      <c r="CH1007" s="1218"/>
      <c r="CI1007" s="1218"/>
      <c r="CJ1007" s="1187"/>
      <c r="CK1007" s="1187"/>
      <c r="CL1007" s="1187"/>
      <c r="CM1007" s="293"/>
      <c r="CN1007" s="293"/>
      <c r="CO1007" s="293"/>
      <c r="CP1007" s="293"/>
      <c r="CQ1007" s="293"/>
      <c r="CR1007" s="293"/>
      <c r="CS1007" s="293"/>
      <c r="CT1007" s="293"/>
      <c r="CU1007" s="293"/>
      <c r="CV1007" s="293"/>
      <c r="CW1007" s="293"/>
      <c r="CX1007" s="293"/>
      <c r="CY1007" s="293"/>
      <c r="CZ1007" s="293"/>
      <c r="DA1007" s="293"/>
      <c r="DB1007" s="293"/>
      <c r="DC1007" s="293"/>
      <c r="DD1007" s="293"/>
      <c r="DE1007" s="293"/>
      <c r="DF1007" s="293"/>
      <c r="DG1007" s="293"/>
    </row>
    <row r="1008" s="1177" customFormat="1" customHeight="1" spans="1:111">
      <c r="A1008" s="1289">
        <v>46216</v>
      </c>
      <c r="B1008" s="1417" t="s">
        <v>2680</v>
      </c>
      <c r="C1008" s="1434" t="s">
        <v>2638</v>
      </c>
      <c r="D1008" s="1437">
        <v>4500209374</v>
      </c>
      <c r="E1008" s="1434"/>
      <c r="F1008" s="1437" t="s">
        <v>3917</v>
      </c>
      <c r="G1008" s="1438" t="s">
        <v>482</v>
      </c>
      <c r="H1008" s="504" t="s">
        <v>483</v>
      </c>
      <c r="I1008" s="1439">
        <v>1920</v>
      </c>
      <c r="J1008" s="1434">
        <v>0</v>
      </c>
      <c r="K1008" s="1434">
        <v>120</v>
      </c>
      <c r="L1008" s="1291">
        <f t="shared" si="338"/>
        <v>16</v>
      </c>
      <c r="M1008" s="507">
        <v>46341</v>
      </c>
      <c r="N1008" s="507">
        <v>46337</v>
      </c>
      <c r="O1008" s="507"/>
      <c r="P1008" s="506"/>
      <c r="Q1008" s="506"/>
      <c r="R1008" s="504"/>
      <c r="S1008" s="504"/>
      <c r="T1008" s="506"/>
      <c r="U1008" s="500">
        <f t="shared" si="354"/>
        <v>-1920</v>
      </c>
      <c r="V1008" s="504"/>
      <c r="W1008" s="1300" t="s">
        <v>2683</v>
      </c>
      <c r="X1008" s="1308" t="s">
        <v>95</v>
      </c>
      <c r="Y1008" s="1294" t="s">
        <v>95</v>
      </c>
      <c r="Z1008" s="544"/>
      <c r="AA1008" s="544"/>
      <c r="AB1008" s="543"/>
      <c r="AC1008" s="1710" t="s">
        <v>3918</v>
      </c>
      <c r="AD1008" s="507" t="s">
        <v>2685</v>
      </c>
      <c r="AE1008" s="502">
        <v>1058.7359</v>
      </c>
      <c r="AF1008" s="503">
        <f>L1008*AE1008</f>
        <v>16939.7744</v>
      </c>
      <c r="AG1008" s="1295"/>
      <c r="AH1008" s="504" t="s">
        <v>490</v>
      </c>
      <c r="AI1008" s="488" t="s">
        <v>112</v>
      </c>
      <c r="AJ1008" s="504"/>
      <c r="AK1008" s="327"/>
      <c r="AL1008" s="502">
        <f>I1008*3</f>
        <v>5760</v>
      </c>
      <c r="AM1008" s="1218"/>
      <c r="AN1008" s="502"/>
      <c r="AO1008" s="502"/>
      <c r="AP1008" s="502"/>
      <c r="AQ1008" s="1296"/>
      <c r="AR1008" s="438"/>
      <c r="AS1008" s="1297"/>
      <c r="AT1008" s="1297"/>
      <c r="AU1008" s="502"/>
      <c r="AV1008" s="1298"/>
      <c r="AW1008" s="1298"/>
      <c r="AX1008" s="502"/>
      <c r="AY1008" s="502"/>
      <c r="AZ1008" s="502"/>
      <c r="BA1008" s="502"/>
      <c r="BB1008" s="502">
        <f>I1008*3</f>
        <v>5760</v>
      </c>
      <c r="BC1008" s="502">
        <f>I1008*3</f>
        <v>5760</v>
      </c>
      <c r="BD1008" s="502">
        <f>I1008*3</f>
        <v>5760</v>
      </c>
      <c r="BE1008" s="502">
        <f>I1008</f>
        <v>1920</v>
      </c>
      <c r="BF1008" s="502">
        <f>I1008/6</f>
        <v>320</v>
      </c>
      <c r="BG1008" s="502"/>
      <c r="BH1008" s="502"/>
      <c r="BI1008" s="502"/>
      <c r="BJ1008" s="502"/>
      <c r="BK1008" s="502"/>
      <c r="BL1008" s="502"/>
      <c r="BM1008" s="502"/>
      <c r="BN1008" s="502"/>
      <c r="BO1008" s="1296"/>
      <c r="BP1008" s="1296"/>
      <c r="BQ1008" s="1218"/>
      <c r="BR1008" s="1297"/>
      <c r="BS1008" s="1297"/>
      <c r="BT1008" s="502"/>
      <c r="BU1008" s="502"/>
      <c r="BV1008" s="1296"/>
      <c r="BW1008" s="1218"/>
      <c r="BX1008" s="1218"/>
      <c r="BY1008" s="1218"/>
      <c r="BZ1008" s="1218"/>
      <c r="CA1008" s="1218"/>
      <c r="CB1008" s="1218"/>
      <c r="CC1008" s="1218"/>
      <c r="CD1008" s="1218">
        <f t="shared" si="355"/>
        <v>0</v>
      </c>
      <c r="CE1008" s="1218">
        <f t="shared" si="356"/>
        <v>0</v>
      </c>
      <c r="CF1008" s="502">
        <f t="shared" si="357"/>
        <v>0</v>
      </c>
      <c r="CG1008" s="1218">
        <f t="shared" si="358"/>
        <v>0</v>
      </c>
      <c r="CH1008" s="1299"/>
      <c r="CI1008" s="1299"/>
      <c r="CJ1008" s="1297"/>
      <c r="CK1008" s="502"/>
      <c r="CL1008" s="502"/>
      <c r="CM1008" s="294"/>
      <c r="CN1008" s="294"/>
      <c r="CO1008" s="294"/>
      <c r="CP1008" s="294"/>
      <c r="CQ1008" s="294"/>
      <c r="CR1008" s="294"/>
      <c r="CS1008" s="294"/>
      <c r="CT1008" s="294"/>
      <c r="CU1008" s="294"/>
      <c r="CV1008" s="294"/>
      <c r="CW1008" s="294"/>
      <c r="CX1008" s="294"/>
      <c r="CY1008" s="294"/>
      <c r="CZ1008" s="294"/>
      <c r="DA1008" s="294"/>
      <c r="DB1008" s="294"/>
      <c r="DC1008" s="294"/>
      <c r="DD1008" s="294"/>
      <c r="DE1008" s="294"/>
      <c r="DF1008" s="294"/>
      <c r="DG1008" s="294"/>
    </row>
    <row r="1009" s="1180" customFormat="1" customHeight="1" spans="1:111">
      <c r="A1009" s="1289">
        <v>46216</v>
      </c>
      <c r="B1009" s="1417" t="s">
        <v>2680</v>
      </c>
      <c r="C1009" s="1434" t="s">
        <v>2638</v>
      </c>
      <c r="D1009" s="1437">
        <v>4500209374</v>
      </c>
      <c r="E1009" s="1434"/>
      <c r="F1009" s="1437" t="s">
        <v>3919</v>
      </c>
      <c r="G1009" s="1438" t="s">
        <v>482</v>
      </c>
      <c r="H1009" s="504" t="s">
        <v>483</v>
      </c>
      <c r="I1009" s="1439">
        <v>1920</v>
      </c>
      <c r="J1009" s="1434">
        <v>0</v>
      </c>
      <c r="K1009" s="1434">
        <v>120</v>
      </c>
      <c r="L1009" s="1291">
        <f t="shared" si="338"/>
        <v>16</v>
      </c>
      <c r="M1009" s="507">
        <v>46341</v>
      </c>
      <c r="N1009" s="507">
        <v>46337</v>
      </c>
      <c r="O1009" s="507"/>
      <c r="P1009" s="506"/>
      <c r="Q1009" s="506"/>
      <c r="R1009" s="504"/>
      <c r="S1009" s="504"/>
      <c r="T1009" s="506"/>
      <c r="U1009" s="500">
        <f t="shared" si="354"/>
        <v>-1920</v>
      </c>
      <c r="V1009" s="504"/>
      <c r="W1009" s="1300" t="s">
        <v>2683</v>
      </c>
      <c r="X1009" s="1325" t="s">
        <v>95</v>
      </c>
      <c r="Y1009" s="1294" t="s">
        <v>95</v>
      </c>
      <c r="Z1009" s="544"/>
      <c r="AA1009" s="544"/>
      <c r="AB1009" s="543"/>
      <c r="AC1009" s="1753" t="s">
        <v>3918</v>
      </c>
      <c r="AD1009" s="507" t="s">
        <v>2685</v>
      </c>
      <c r="AE1009" s="502">
        <v>1058.7359</v>
      </c>
      <c r="AF1009" s="503">
        <f>L1009*AE1009</f>
        <v>16939.7744</v>
      </c>
      <c r="AG1009" s="1295"/>
      <c r="AH1009" s="1454" t="s">
        <v>490</v>
      </c>
      <c r="AI1009" s="488" t="s">
        <v>112</v>
      </c>
      <c r="AJ1009" s="504"/>
      <c r="AK1009" s="327"/>
      <c r="AL1009" s="502">
        <f>I1009*3</f>
        <v>5760</v>
      </c>
      <c r="AM1009" s="1218"/>
      <c r="AN1009" s="502"/>
      <c r="AO1009" s="502"/>
      <c r="AP1009" s="502"/>
      <c r="AQ1009" s="1296"/>
      <c r="AR1009" s="438"/>
      <c r="AS1009" s="1297"/>
      <c r="AT1009" s="1297"/>
      <c r="AU1009" s="502"/>
      <c r="AV1009" s="1298"/>
      <c r="AW1009" s="1298"/>
      <c r="AX1009" s="502"/>
      <c r="AY1009" s="502"/>
      <c r="AZ1009" s="502"/>
      <c r="BA1009" s="502"/>
      <c r="BB1009" s="502">
        <f>I1009*3</f>
        <v>5760</v>
      </c>
      <c r="BC1009" s="502">
        <f>I1009*3</f>
        <v>5760</v>
      </c>
      <c r="BD1009" s="502">
        <f>I1009*3</f>
        <v>5760</v>
      </c>
      <c r="BE1009" s="502">
        <f>I1009</f>
        <v>1920</v>
      </c>
      <c r="BF1009" s="502">
        <f>I1009/6</f>
        <v>320</v>
      </c>
      <c r="BG1009" s="502"/>
      <c r="BH1009" s="502"/>
      <c r="BI1009" s="502"/>
      <c r="BJ1009" s="502"/>
      <c r="BK1009" s="502"/>
      <c r="BL1009" s="502"/>
      <c r="BM1009" s="502"/>
      <c r="BN1009" s="502"/>
      <c r="BO1009" s="1296"/>
      <c r="BP1009" s="1296"/>
      <c r="BQ1009" s="1218"/>
      <c r="BR1009" s="1297"/>
      <c r="BS1009" s="1297"/>
      <c r="BT1009" s="502"/>
      <c r="BU1009" s="502"/>
      <c r="BV1009" s="1296"/>
      <c r="BW1009" s="1218"/>
      <c r="BX1009" s="1218"/>
      <c r="BY1009" s="1218"/>
      <c r="BZ1009" s="1218"/>
      <c r="CA1009" s="1218"/>
      <c r="CB1009" s="1218"/>
      <c r="CC1009" s="1218"/>
      <c r="CD1009" s="1218">
        <f t="shared" si="355"/>
        <v>0</v>
      </c>
      <c r="CE1009" s="1218">
        <f t="shared" si="356"/>
        <v>0</v>
      </c>
      <c r="CF1009" s="502">
        <f t="shared" si="357"/>
        <v>0</v>
      </c>
      <c r="CG1009" s="1218">
        <f t="shared" si="358"/>
        <v>0</v>
      </c>
      <c r="CH1009" s="1299"/>
      <c r="CI1009" s="1299"/>
      <c r="CJ1009" s="1297"/>
      <c r="CK1009" s="502"/>
      <c r="CL1009" s="502"/>
      <c r="CM1009" s="294"/>
      <c r="CN1009" s="294"/>
      <c r="CO1009" s="294"/>
      <c r="CP1009" s="294"/>
      <c r="CQ1009" s="294"/>
      <c r="CR1009" s="294"/>
      <c r="CS1009" s="294"/>
      <c r="CT1009" s="294"/>
      <c r="CU1009" s="294"/>
      <c r="CV1009" s="294"/>
      <c r="CW1009" s="294"/>
      <c r="CX1009" s="294"/>
      <c r="CY1009" s="294"/>
      <c r="CZ1009" s="294"/>
      <c r="DA1009" s="294"/>
      <c r="DB1009" s="294"/>
      <c r="DC1009" s="294"/>
      <c r="DD1009" s="294"/>
      <c r="DE1009" s="294"/>
      <c r="DF1009" s="294"/>
      <c r="DG1009" s="294"/>
    </row>
    <row r="1010" s="1181" customFormat="1" customHeight="1" spans="1:111">
      <c r="A1010" s="1782">
        <v>46246</v>
      </c>
      <c r="B1010" s="1783" t="s">
        <v>3891</v>
      </c>
      <c r="C1010" s="1784" t="s">
        <v>201</v>
      </c>
      <c r="D1010" s="1785">
        <v>4500219692</v>
      </c>
      <c r="E1010" s="1784">
        <v>2551020513</v>
      </c>
      <c r="F1010" s="1785" t="s">
        <v>3920</v>
      </c>
      <c r="G1010" s="1786" t="s">
        <v>3893</v>
      </c>
      <c r="H1010" s="1654" t="s">
        <v>381</v>
      </c>
      <c r="I1010" s="1787">
        <v>12096</v>
      </c>
      <c r="J1010" s="1784">
        <v>0</v>
      </c>
      <c r="K1010" s="1784">
        <v>16</v>
      </c>
      <c r="L1010" s="1788">
        <f t="shared" si="338"/>
        <v>756</v>
      </c>
      <c r="M1010" s="1789">
        <v>46346</v>
      </c>
      <c r="N1010" s="1789">
        <v>46342</v>
      </c>
      <c r="O1010" s="1816" t="s">
        <v>3894</v>
      </c>
      <c r="P1010" s="1790"/>
      <c r="Q1010" s="1790"/>
      <c r="R1010" s="1654"/>
      <c r="S1010" s="1654"/>
      <c r="T1010" s="1790"/>
      <c r="U1010" s="1658"/>
      <c r="V1010" s="1654"/>
      <c r="W1010" s="1659" t="s">
        <v>3064</v>
      </c>
      <c r="X1010" s="1791" t="s">
        <v>95</v>
      </c>
      <c r="Y1010" s="1660" t="s">
        <v>2251</v>
      </c>
      <c r="Z1010" s="1648"/>
      <c r="AA1010" s="1648"/>
      <c r="AB1010" s="1792"/>
      <c r="AC1010" s="1791" t="s">
        <v>3921</v>
      </c>
      <c r="AD1010" s="1789" t="s">
        <v>3896</v>
      </c>
      <c r="AE1010" s="1669">
        <v>1.1511</v>
      </c>
      <c r="AF1010" s="1793">
        <f>I1010*AE1010</f>
        <v>13923.7056</v>
      </c>
      <c r="AG1010" s="1817"/>
      <c r="AH1010" s="1653" t="s">
        <v>385</v>
      </c>
      <c r="AI1010" s="1649" t="s">
        <v>112</v>
      </c>
      <c r="AJ1010" s="1654"/>
      <c r="AK1010" s="1652">
        <f>I1010</f>
        <v>12096</v>
      </c>
      <c r="AL1010" s="1669"/>
      <c r="AM1010" s="1668"/>
      <c r="AN1010" s="1669"/>
      <c r="AO1010" s="1669"/>
      <c r="AP1010" s="1669"/>
      <c r="AQ1010" s="1794"/>
      <c r="AR1010" s="1795"/>
      <c r="AS1010" s="1796"/>
      <c r="AT1010" s="1796">
        <f>I1010</f>
        <v>12096</v>
      </c>
      <c r="AU1010" s="1669">
        <f>I1010</f>
        <v>12096</v>
      </c>
      <c r="AV1010" s="1797">
        <f>I1010*0.06</f>
        <v>725.76</v>
      </c>
      <c r="AW1010" s="1797"/>
      <c r="AX1010" s="1669"/>
      <c r="AY1010" s="1669"/>
      <c r="AZ1010" s="1669"/>
      <c r="BA1010" s="1669"/>
      <c r="BB1010" s="1669"/>
      <c r="BC1010" s="1669"/>
      <c r="BD1010" s="1669"/>
      <c r="BE1010" s="1669"/>
      <c r="BF1010" s="1669"/>
      <c r="BG1010" s="1669"/>
      <c r="BH1010" s="1669"/>
      <c r="BI1010" s="1669"/>
      <c r="BJ1010" s="1669"/>
      <c r="BK1010" s="1669"/>
      <c r="BL1010" s="1669"/>
      <c r="BM1010" s="1669"/>
      <c r="BN1010" s="1669"/>
      <c r="BO1010" s="1794"/>
      <c r="BP1010" s="1794"/>
      <c r="BQ1010" s="1668"/>
      <c r="BR1010" s="1796"/>
      <c r="BS1010" s="1796">
        <f>I1010/16</f>
        <v>756</v>
      </c>
      <c r="BT1010" s="1669"/>
      <c r="BU1010" s="1669"/>
      <c r="BV1010" s="1794"/>
      <c r="BW1010" s="1668"/>
      <c r="BX1010" s="1668"/>
      <c r="BY1010" s="1668"/>
      <c r="BZ1010" s="1668"/>
      <c r="CA1010" s="1668"/>
      <c r="CB1010" s="1668"/>
      <c r="CC1010" s="1668"/>
      <c r="CD1010" s="1668">
        <f t="shared" si="355"/>
        <v>756</v>
      </c>
      <c r="CE1010" s="1668">
        <f t="shared" si="356"/>
        <v>0</v>
      </c>
      <c r="CF1010" s="1669">
        <f t="shared" si="357"/>
        <v>0</v>
      </c>
      <c r="CG1010" s="1668">
        <f t="shared" si="358"/>
        <v>0</v>
      </c>
      <c r="CH1010" s="1798"/>
      <c r="CI1010" s="1798"/>
      <c r="CJ1010" s="1796"/>
      <c r="CK1010" s="1669"/>
      <c r="CL1010" s="1669"/>
      <c r="CM1010" s="1186"/>
      <c r="CN1010" s="1186"/>
      <c r="CO1010" s="1186"/>
      <c r="CP1010" s="1186"/>
      <c r="CQ1010" s="1186"/>
      <c r="CR1010" s="1186"/>
      <c r="CS1010" s="1186"/>
      <c r="CT1010" s="1186"/>
      <c r="CU1010" s="1186"/>
      <c r="CV1010" s="1186"/>
      <c r="CW1010" s="1186"/>
      <c r="CX1010" s="1186"/>
      <c r="CY1010" s="1186"/>
      <c r="CZ1010" s="1186"/>
      <c r="DA1010" s="1186"/>
      <c r="DB1010" s="1186"/>
      <c r="DC1010" s="1186"/>
      <c r="DD1010" s="1186"/>
      <c r="DE1010" s="1186"/>
      <c r="DF1010" s="1186"/>
      <c r="DG1010" s="1186"/>
    </row>
    <row r="1011" s="1168" customFormat="1" customHeight="1" spans="1:111">
      <c r="A1011" s="1245">
        <v>45993</v>
      </c>
      <c r="B1011" s="1247" t="s">
        <v>3922</v>
      </c>
      <c r="C1011" s="1234" t="s">
        <v>27</v>
      </c>
      <c r="D1011" s="1188" t="s">
        <v>3923</v>
      </c>
      <c r="E1011" s="1234"/>
      <c r="F1011" s="1188" t="s">
        <v>3924</v>
      </c>
      <c r="G1011" s="1253" t="s">
        <v>91</v>
      </c>
      <c r="H1011" s="1234" t="s">
        <v>92</v>
      </c>
      <c r="I1011" s="1234">
        <v>1008</v>
      </c>
      <c r="J1011" s="1234">
        <v>0</v>
      </c>
      <c r="K1011" s="1234">
        <v>24</v>
      </c>
      <c r="L1011" s="1224">
        <f t="shared" si="338"/>
        <v>42</v>
      </c>
      <c r="M1011" s="1255"/>
      <c r="N1011" s="1255"/>
      <c r="O1011" s="1255"/>
      <c r="P1011" s="1233"/>
      <c r="Q1011" s="1233"/>
      <c r="R1011" s="1234"/>
      <c r="S1011" s="1234"/>
      <c r="T1011" s="1233"/>
      <c r="U1011" s="1233">
        <f t="shared" ref="U1011:U1017" si="359">T1011-I1011</f>
        <v>-1008</v>
      </c>
      <c r="V1011" s="1234"/>
      <c r="W1011" s="1227"/>
      <c r="X1011" s="1227"/>
      <c r="Y1011" s="1227"/>
      <c r="Z1011" s="1834"/>
      <c r="AA1011" s="1834"/>
      <c r="AB1011" s="1247"/>
      <c r="AC1011" s="1247" t="s">
        <v>3925</v>
      </c>
      <c r="AD1011" s="1255" t="s">
        <v>97</v>
      </c>
      <c r="AE1011" s="1835"/>
      <c r="AF1011" s="1248"/>
      <c r="AG1011" s="1295"/>
      <c r="AH1011" s="1234" t="s">
        <v>98</v>
      </c>
      <c r="AI1011" s="1234" t="s">
        <v>99</v>
      </c>
      <c r="AJ1011" s="1234"/>
      <c r="AK1011" s="1188">
        <f>I1011</f>
        <v>1008</v>
      </c>
      <c r="AL1011" s="1234"/>
      <c r="AM1011" s="1188"/>
      <c r="AN1011" s="1234"/>
      <c r="AO1011" s="1234"/>
      <c r="AP1011" s="1234"/>
      <c r="AQ1011" s="1235"/>
      <c r="AR1011" s="1188"/>
      <c r="AS1011" s="1236"/>
      <c r="AT1011" s="1236"/>
      <c r="AU1011" s="1234"/>
      <c r="AV1011" s="1246"/>
      <c r="AW1011" s="1246"/>
      <c r="AX1011" s="1234"/>
      <c r="AY1011" s="1234"/>
      <c r="AZ1011" s="1234"/>
      <c r="BA1011" s="1234"/>
      <c r="BB1011" s="1234"/>
      <c r="BC1011" s="1234"/>
      <c r="BD1011" s="1234"/>
      <c r="BE1011" s="1188"/>
      <c r="BF1011" s="1188"/>
      <c r="BG1011" s="1234"/>
      <c r="BH1011" s="1234"/>
      <c r="BI1011" s="1234"/>
      <c r="BJ1011" s="1234"/>
      <c r="BK1011" s="1234"/>
      <c r="BL1011" s="1234"/>
      <c r="BM1011" s="1234"/>
      <c r="BN1011" s="1234"/>
      <c r="BO1011" s="1235"/>
      <c r="BP1011" s="1235"/>
      <c r="BQ1011" s="1188"/>
      <c r="BR1011" s="1236"/>
      <c r="BS1011" s="1236"/>
      <c r="BT1011" s="1234"/>
      <c r="BU1011" s="1234"/>
      <c r="BV1011" s="1235"/>
      <c r="BW1011" s="1188"/>
      <c r="BX1011" s="1188"/>
      <c r="BY1011" s="1188"/>
      <c r="BZ1011" s="1188"/>
      <c r="CA1011" s="1188"/>
      <c r="CB1011" s="1188"/>
      <c r="CC1011" s="1188"/>
      <c r="CD1011" s="1188">
        <f t="shared" ref="CD1011:CD1016" si="360">BN1011+BO1011+BQ1011+BS1011+BR1011</f>
        <v>0</v>
      </c>
      <c r="CE1011" s="1188">
        <f t="shared" ref="CE1011:CE1016" si="361">BU1011</f>
        <v>0</v>
      </c>
      <c r="CF1011" s="1188">
        <f t="shared" ref="CF1011:CF1016" si="362">CC1011</f>
        <v>0</v>
      </c>
      <c r="CG1011" s="1188">
        <f t="shared" ref="CG1011:CG1016" si="363">BV1011+BW1011+BX1011</f>
        <v>0</v>
      </c>
      <c r="CH1011" s="1236"/>
      <c r="CI1011" s="1236"/>
      <c r="CJ1011" s="1236"/>
      <c r="CK1011" s="1188"/>
      <c r="CL1011" s="1188"/>
    </row>
    <row r="1012" s="1168" customFormat="1" customHeight="1" spans="1:111">
      <c r="A1012" s="1245">
        <v>45993</v>
      </c>
      <c r="B1012" s="1247" t="s">
        <v>3922</v>
      </c>
      <c r="C1012" s="1234" t="s">
        <v>27</v>
      </c>
      <c r="D1012" s="1188" t="s">
        <v>3923</v>
      </c>
      <c r="E1012" s="1234"/>
      <c r="F1012" s="1188" t="s">
        <v>3926</v>
      </c>
      <c r="G1012" s="1253" t="s">
        <v>91</v>
      </c>
      <c r="H1012" s="1234" t="s">
        <v>3927</v>
      </c>
      <c r="I1012" s="1234" t="s">
        <v>127</v>
      </c>
      <c r="J1012" s="1234">
        <v>0</v>
      </c>
      <c r="K1012" s="1234">
        <v>24</v>
      </c>
      <c r="L1012" s="1246">
        <v>1</v>
      </c>
      <c r="M1012" s="1255"/>
      <c r="N1012" s="1255"/>
      <c r="O1012" s="1255"/>
      <c r="P1012" s="1233"/>
      <c r="Q1012" s="1233"/>
      <c r="R1012" s="1234"/>
      <c r="S1012" s="1234"/>
      <c r="T1012" s="1233"/>
      <c r="U1012" s="1233" t="e">
        <f t="shared" si="359"/>
        <v>#VALUE!</v>
      </c>
      <c r="V1012" s="1234"/>
      <c r="W1012" s="1227"/>
      <c r="X1012" s="1227"/>
      <c r="Y1012" s="1227"/>
      <c r="Z1012" s="1834"/>
      <c r="AA1012" s="1834"/>
      <c r="AB1012" s="1247"/>
      <c r="AC1012" s="1247" t="s">
        <v>3928</v>
      </c>
      <c r="AD1012" s="1255" t="s">
        <v>97</v>
      </c>
      <c r="AE1012" s="1835"/>
      <c r="AF1012" s="1248"/>
      <c r="AG1012" s="1295"/>
      <c r="AH1012" s="1234" t="s">
        <v>98</v>
      </c>
      <c r="AI1012" s="1234" t="s">
        <v>99</v>
      </c>
      <c r="AJ1012" s="1234"/>
      <c r="AK1012" s="1188"/>
      <c r="AL1012" s="1234"/>
      <c r="AM1012" s="1188"/>
      <c r="AN1012" s="1234"/>
      <c r="AO1012" s="1234"/>
      <c r="AP1012" s="1234"/>
      <c r="AQ1012" s="1235"/>
      <c r="AR1012" s="1188"/>
      <c r="AS1012" s="1236"/>
      <c r="AT1012" s="1236"/>
      <c r="AU1012" s="1234"/>
      <c r="AV1012" s="1246"/>
      <c r="AW1012" s="1246"/>
      <c r="AX1012" s="1234"/>
      <c r="AY1012" s="1234"/>
      <c r="AZ1012" s="1234"/>
      <c r="BA1012" s="1234"/>
      <c r="BB1012" s="1234"/>
      <c r="BC1012" s="1234"/>
      <c r="BD1012" s="1234"/>
      <c r="BE1012" s="1188"/>
      <c r="BF1012" s="1188"/>
      <c r="BG1012" s="1234"/>
      <c r="BH1012" s="1234"/>
      <c r="BI1012" s="1234"/>
      <c r="BJ1012" s="1234"/>
      <c r="BK1012" s="1234"/>
      <c r="BL1012" s="1234"/>
      <c r="BM1012" s="1234"/>
      <c r="BN1012" s="1234"/>
      <c r="BO1012" s="1235"/>
      <c r="BP1012" s="1235"/>
      <c r="BQ1012" s="1188"/>
      <c r="BR1012" s="1236"/>
      <c r="BS1012" s="1236"/>
      <c r="BT1012" s="1234"/>
      <c r="BU1012" s="1234"/>
      <c r="BV1012" s="1235"/>
      <c r="BW1012" s="1188"/>
      <c r="BX1012" s="1188"/>
      <c r="BY1012" s="1188"/>
      <c r="BZ1012" s="1188"/>
      <c r="CA1012" s="1188"/>
      <c r="CB1012" s="1188"/>
      <c r="CC1012" s="1188"/>
      <c r="CD1012" s="1188">
        <f t="shared" si="360"/>
        <v>0</v>
      </c>
      <c r="CE1012" s="1188">
        <f t="shared" si="361"/>
        <v>0</v>
      </c>
      <c r="CF1012" s="1188">
        <f t="shared" si="362"/>
        <v>0</v>
      </c>
      <c r="CG1012" s="1188">
        <f t="shared" si="363"/>
        <v>0</v>
      </c>
      <c r="CH1012" s="1236"/>
      <c r="CI1012" s="1236"/>
      <c r="CJ1012" s="1236"/>
      <c r="CK1012" s="1188"/>
      <c r="CL1012" s="1188"/>
    </row>
    <row r="1013" s="1168" customFormat="1" customHeight="1" spans="1:111">
      <c r="A1013" s="1245">
        <v>46031</v>
      </c>
      <c r="B1013" s="1247"/>
      <c r="C1013" s="1234"/>
      <c r="D1013" s="1188" t="s">
        <v>3929</v>
      </c>
      <c r="E1013" s="1234"/>
      <c r="F1013" s="1188" t="s">
        <v>3930</v>
      </c>
      <c r="G1013" s="1253" t="s">
        <v>91</v>
      </c>
      <c r="H1013" s="1234" t="s">
        <v>92</v>
      </c>
      <c r="I1013" s="1234">
        <v>1008</v>
      </c>
      <c r="J1013" s="1234">
        <v>0</v>
      </c>
      <c r="K1013" s="1234">
        <v>24</v>
      </c>
      <c r="L1013" s="1246">
        <f>I1013/K1013</f>
        <v>42</v>
      </c>
      <c r="M1013" s="1255"/>
      <c r="N1013" s="1255"/>
      <c r="O1013" s="1255"/>
      <c r="P1013" s="1233"/>
      <c r="Q1013" s="1233"/>
      <c r="R1013" s="1234"/>
      <c r="S1013" s="1234"/>
      <c r="T1013" s="1233"/>
      <c r="U1013" s="1233">
        <f t="shared" si="359"/>
        <v>-1008</v>
      </c>
      <c r="V1013" s="1234"/>
      <c r="W1013" s="1227">
        <v>46031</v>
      </c>
      <c r="X1013" s="1227" t="s">
        <v>95</v>
      </c>
      <c r="Y1013" s="1227" t="s">
        <v>95</v>
      </c>
      <c r="Z1013" s="1188"/>
      <c r="AA1013" s="1188"/>
      <c r="AB1013" s="1247"/>
      <c r="AC1013" s="1247" t="s">
        <v>3931</v>
      </c>
      <c r="AD1013" s="1255"/>
      <c r="AE1013" s="1835"/>
      <c r="AF1013" s="1248"/>
      <c r="AG1013" s="1368"/>
      <c r="AH1013" s="1234" t="s">
        <v>98</v>
      </c>
      <c r="AI1013" s="1234" t="s">
        <v>99</v>
      </c>
      <c r="AJ1013" s="1234"/>
      <c r="AK1013" s="1188">
        <f>I1013</f>
        <v>1008</v>
      </c>
      <c r="AL1013" s="1234"/>
      <c r="AM1013" s="1188"/>
      <c r="AN1013" s="1234">
        <f>I1013</f>
        <v>1008</v>
      </c>
      <c r="AO1013" s="1234"/>
      <c r="AP1013" s="1234"/>
      <c r="AQ1013" s="1235"/>
      <c r="AR1013" s="1188"/>
      <c r="AS1013" s="1236"/>
      <c r="AT1013" s="1236"/>
      <c r="AU1013" s="1234">
        <f>I1013</f>
        <v>1008</v>
      </c>
      <c r="AV1013" s="1246">
        <f>I1013</f>
        <v>1008</v>
      </c>
      <c r="AW1013" s="1246"/>
      <c r="AX1013" s="1234"/>
      <c r="AY1013" s="1234"/>
      <c r="AZ1013" s="1234"/>
      <c r="BA1013" s="1234"/>
      <c r="BB1013" s="1234"/>
      <c r="BC1013" s="1234"/>
      <c r="BD1013" s="1234"/>
      <c r="BE1013" s="1188"/>
      <c r="BF1013" s="1188"/>
      <c r="BG1013" s="1234"/>
      <c r="BH1013" s="1234"/>
      <c r="BI1013" s="1234"/>
      <c r="BJ1013" s="1234"/>
      <c r="BK1013" s="1234"/>
      <c r="BL1013" s="1234"/>
      <c r="BM1013" s="1234"/>
      <c r="BN1013" s="1234"/>
      <c r="BO1013" s="1235"/>
      <c r="BP1013" s="1235"/>
      <c r="BQ1013" s="1188"/>
      <c r="BR1013" s="1236"/>
      <c r="BS1013" s="1236"/>
      <c r="BT1013" s="1234"/>
      <c r="BU1013" s="1234"/>
      <c r="BV1013" s="1235"/>
      <c r="BW1013" s="1188"/>
      <c r="BX1013" s="1188"/>
      <c r="BY1013" s="1188"/>
      <c r="BZ1013" s="1188"/>
      <c r="CA1013" s="1188"/>
      <c r="CB1013" s="1188"/>
      <c r="CC1013" s="1188"/>
      <c r="CD1013" s="1188">
        <f t="shared" si="360"/>
        <v>0</v>
      </c>
      <c r="CE1013" s="1188">
        <f t="shared" si="361"/>
        <v>0</v>
      </c>
      <c r="CF1013" s="1188">
        <f t="shared" si="362"/>
        <v>0</v>
      </c>
      <c r="CG1013" s="1188">
        <f t="shared" si="363"/>
        <v>0</v>
      </c>
      <c r="CH1013" s="1236"/>
      <c r="CI1013" s="1236"/>
      <c r="CJ1013" s="1236"/>
      <c r="CK1013" s="1188"/>
      <c r="CL1013" s="1188"/>
    </row>
    <row r="1014" s="1168" customFormat="1" customHeight="1" spans="1:111">
      <c r="A1014" s="1340">
        <v>46031</v>
      </c>
      <c r="B1014" s="1341"/>
      <c r="C1014" s="1342"/>
      <c r="D1014" s="1172" t="s">
        <v>3929</v>
      </c>
      <c r="E1014" s="1342"/>
      <c r="F1014" s="1172" t="s">
        <v>3932</v>
      </c>
      <c r="G1014" s="1359" t="s">
        <v>174</v>
      </c>
      <c r="H1014" s="1234" t="s">
        <v>175</v>
      </c>
      <c r="I1014" s="1342" t="s">
        <v>3933</v>
      </c>
      <c r="J1014" s="1342">
        <v>0</v>
      </c>
      <c r="K1014" s="1342">
        <v>52</v>
      </c>
      <c r="L1014" s="1345"/>
      <c r="M1014" s="1286"/>
      <c r="N1014" s="1286"/>
      <c r="O1014" s="1286"/>
      <c r="P1014" s="1357"/>
      <c r="Q1014" s="1357"/>
      <c r="R1014" s="1342"/>
      <c r="S1014" s="1342"/>
      <c r="T1014" s="1357"/>
      <c r="U1014" s="1233" t="e">
        <f t="shared" si="359"/>
        <v>#VALUE!</v>
      </c>
      <c r="V1014" s="1342"/>
      <c r="W1014" s="1227">
        <v>46031</v>
      </c>
      <c r="X1014" s="1257" t="s">
        <v>95</v>
      </c>
      <c r="Y1014" s="1257" t="s">
        <v>95</v>
      </c>
      <c r="Z1014" s="1188"/>
      <c r="AA1014" s="1188"/>
      <c r="AB1014" s="1247"/>
      <c r="AC1014" s="1341" t="s">
        <v>3934</v>
      </c>
      <c r="AD1014" s="1286"/>
      <c r="AE1014" s="1836"/>
      <c r="AF1014" s="1360"/>
      <c r="AG1014" s="1258"/>
      <c r="AH1014" s="1234" t="s">
        <v>98</v>
      </c>
      <c r="AI1014" s="1234" t="s">
        <v>99</v>
      </c>
      <c r="AJ1014" s="1342"/>
      <c r="AK1014" s="1188"/>
      <c r="AL1014" s="1342"/>
      <c r="AM1014" s="1172"/>
      <c r="AN1014" s="1342"/>
      <c r="AO1014" s="1342"/>
      <c r="AP1014" s="1342"/>
      <c r="AQ1014" s="1342"/>
      <c r="AR1014" s="1172"/>
      <c r="AS1014" s="1172"/>
      <c r="AT1014" s="1172"/>
      <c r="AU1014" s="1342"/>
      <c r="AV1014" s="1246"/>
      <c r="AW1014" s="1246"/>
      <c r="AX1014" s="1342"/>
      <c r="AY1014" s="1342"/>
      <c r="AZ1014" s="1342"/>
      <c r="BA1014" s="1342"/>
      <c r="BB1014" s="1342"/>
      <c r="BC1014" s="1342"/>
      <c r="BD1014" s="1342"/>
      <c r="BE1014" s="1172"/>
      <c r="BF1014" s="1172"/>
      <c r="BG1014" s="1234"/>
      <c r="BH1014" s="1234"/>
      <c r="BI1014" s="1342"/>
      <c r="BJ1014" s="1342"/>
      <c r="BK1014" s="1342"/>
      <c r="BL1014" s="1342"/>
      <c r="BM1014" s="1342"/>
      <c r="BN1014" s="1342"/>
      <c r="BO1014" s="1235"/>
      <c r="BP1014" s="1342"/>
      <c r="BQ1014" s="1172"/>
      <c r="BR1014" s="1172"/>
      <c r="BS1014" s="1172"/>
      <c r="BT1014" s="1342"/>
      <c r="BU1014" s="1342"/>
      <c r="BV1014" s="1342"/>
      <c r="BW1014" s="1172"/>
      <c r="BX1014" s="1172"/>
      <c r="BY1014" s="1172"/>
      <c r="BZ1014" s="1172"/>
      <c r="CA1014" s="1172"/>
      <c r="CB1014" s="1172"/>
      <c r="CC1014" s="1172"/>
      <c r="CD1014" s="1188">
        <f t="shared" si="360"/>
        <v>0</v>
      </c>
      <c r="CE1014" s="1188">
        <f t="shared" si="361"/>
        <v>0</v>
      </c>
      <c r="CF1014" s="1188">
        <f t="shared" si="362"/>
        <v>0</v>
      </c>
      <c r="CG1014" s="1188">
        <f t="shared" si="363"/>
        <v>0</v>
      </c>
      <c r="CH1014" s="1188"/>
      <c r="CI1014" s="1188"/>
      <c r="CJ1014" s="1172"/>
      <c r="CK1014" s="1172"/>
      <c r="CL1014" s="1172"/>
    </row>
    <row r="1015" s="1171" customFormat="1" customHeight="1" spans="1:111">
      <c r="A1015" s="1340">
        <v>46031</v>
      </c>
      <c r="B1015" s="1341"/>
      <c r="C1015" s="1342"/>
      <c r="D1015" s="1172" t="s">
        <v>3929</v>
      </c>
      <c r="E1015" s="1342"/>
      <c r="F1015" s="1172" t="s">
        <v>3935</v>
      </c>
      <c r="G1015" s="1359" t="s">
        <v>188</v>
      </c>
      <c r="H1015" s="1342" t="s">
        <v>3936</v>
      </c>
      <c r="I1015" s="1342" t="s">
        <v>3937</v>
      </c>
      <c r="J1015" s="1342">
        <v>0</v>
      </c>
      <c r="K1015" s="1342">
        <v>50</v>
      </c>
      <c r="L1015" s="1345"/>
      <c r="M1015" s="1286"/>
      <c r="N1015" s="1286"/>
      <c r="O1015" s="1286"/>
      <c r="P1015" s="1357"/>
      <c r="Q1015" s="1357"/>
      <c r="R1015" s="1342"/>
      <c r="S1015" s="1342"/>
      <c r="T1015" s="1357"/>
      <c r="U1015" s="1233" t="e">
        <f t="shared" si="359"/>
        <v>#VALUE!</v>
      </c>
      <c r="V1015" s="1342"/>
      <c r="W1015" s="1227">
        <v>46031</v>
      </c>
      <c r="X1015" s="1257" t="s">
        <v>95</v>
      </c>
      <c r="Y1015" s="1257" t="s">
        <v>95</v>
      </c>
      <c r="Z1015" s="1188"/>
      <c r="AA1015" s="1188"/>
      <c r="AB1015" s="1247"/>
      <c r="AC1015" s="1341" t="s">
        <v>3934</v>
      </c>
      <c r="AD1015" s="1286"/>
      <c r="AE1015" s="1836"/>
      <c r="AF1015" s="1360"/>
      <c r="AG1015" s="1258"/>
      <c r="AH1015" s="1234" t="s">
        <v>98</v>
      </c>
      <c r="AI1015" s="1234" t="s">
        <v>99</v>
      </c>
      <c r="AJ1015" s="1342"/>
      <c r="AK1015" s="1188"/>
      <c r="AL1015" s="1342"/>
      <c r="AM1015" s="1172"/>
      <c r="AN1015" s="1342"/>
      <c r="AO1015" s="1342"/>
      <c r="AP1015" s="1342"/>
      <c r="AQ1015" s="1342"/>
      <c r="AR1015" s="1172"/>
      <c r="AS1015" s="1172"/>
      <c r="AT1015" s="1172"/>
      <c r="AU1015" s="1342"/>
      <c r="AV1015" s="1246"/>
      <c r="AW1015" s="1246"/>
      <c r="AX1015" s="1342"/>
      <c r="AY1015" s="1342"/>
      <c r="AZ1015" s="1342"/>
      <c r="BA1015" s="1342"/>
      <c r="BB1015" s="1342"/>
      <c r="BC1015" s="1342"/>
      <c r="BD1015" s="1342"/>
      <c r="BE1015" s="1172"/>
      <c r="BF1015" s="1172"/>
      <c r="BG1015" s="1234"/>
      <c r="BH1015" s="1234"/>
      <c r="BI1015" s="1342"/>
      <c r="BJ1015" s="1342"/>
      <c r="BK1015" s="1342"/>
      <c r="BL1015" s="1342"/>
      <c r="BM1015" s="1342"/>
      <c r="BN1015" s="1342"/>
      <c r="BO1015" s="1235"/>
      <c r="BP1015" s="1342"/>
      <c r="BQ1015" s="1172"/>
      <c r="BR1015" s="1172"/>
      <c r="BS1015" s="1172"/>
      <c r="BT1015" s="1342"/>
      <c r="BU1015" s="1342"/>
      <c r="BV1015" s="1342"/>
      <c r="BW1015" s="1172"/>
      <c r="BX1015" s="1172"/>
      <c r="BY1015" s="1172"/>
      <c r="BZ1015" s="1172"/>
      <c r="CA1015" s="1172"/>
      <c r="CB1015" s="1172"/>
      <c r="CC1015" s="1172"/>
      <c r="CD1015" s="1188">
        <f t="shared" si="360"/>
        <v>0</v>
      </c>
      <c r="CE1015" s="1188">
        <f t="shared" si="361"/>
        <v>0</v>
      </c>
      <c r="CF1015" s="1188">
        <f t="shared" si="362"/>
        <v>0</v>
      </c>
      <c r="CG1015" s="1188">
        <f t="shared" si="363"/>
        <v>0</v>
      </c>
      <c r="CH1015" s="1188"/>
      <c r="CI1015" s="1188"/>
      <c r="CJ1015" s="1172"/>
      <c r="CK1015" s="1172"/>
      <c r="CL1015" s="1172"/>
      <c r="CM1015" s="1168"/>
      <c r="CN1015" s="1168"/>
      <c r="CO1015" s="1168"/>
      <c r="CP1015" s="1168"/>
      <c r="CQ1015" s="1168"/>
      <c r="CR1015" s="1168"/>
      <c r="CS1015" s="1168"/>
      <c r="CT1015" s="1168"/>
      <c r="CU1015" s="1168"/>
      <c r="CV1015" s="1168"/>
      <c r="CW1015" s="1168"/>
      <c r="CX1015" s="1168"/>
      <c r="CY1015" s="1168"/>
      <c r="CZ1015" s="1168"/>
      <c r="DA1015" s="1168"/>
      <c r="DB1015" s="1168"/>
      <c r="DC1015" s="1168"/>
      <c r="DD1015" s="1168"/>
      <c r="DE1015" s="1168"/>
      <c r="DF1015" s="1168"/>
      <c r="DG1015" s="1168"/>
    </row>
    <row r="1016" s="1171" customFormat="1" customHeight="1" spans="1:111">
      <c r="A1016" s="1837">
        <v>45989</v>
      </c>
      <c r="B1016" s="1838" t="s">
        <v>3922</v>
      </c>
      <c r="C1016" s="1839" t="s">
        <v>3938</v>
      </c>
      <c r="D1016" s="1840" t="s">
        <v>3939</v>
      </c>
      <c r="E1016" s="1839"/>
      <c r="F1016" s="1840" t="s">
        <v>3940</v>
      </c>
      <c r="G1016" s="1841" t="s">
        <v>91</v>
      </c>
      <c r="H1016" s="1839" t="s">
        <v>92</v>
      </c>
      <c r="I1016" s="1839">
        <v>628</v>
      </c>
      <c r="J1016" s="1839">
        <v>0</v>
      </c>
      <c r="K1016" s="1839">
        <v>24</v>
      </c>
      <c r="L1016" s="1842">
        <f>I1016/K1016</f>
        <v>26.1666666666667</v>
      </c>
      <c r="M1016" s="1843"/>
      <c r="N1016" s="1843"/>
      <c r="O1016" s="1843"/>
      <c r="P1016" s="1844"/>
      <c r="Q1016" s="1844"/>
      <c r="R1016" s="1839"/>
      <c r="S1016" s="1839"/>
      <c r="T1016" s="1844"/>
      <c r="U1016" s="1226">
        <f t="shared" si="359"/>
        <v>-628</v>
      </c>
      <c r="V1016" s="1839"/>
      <c r="W1016" s="1227"/>
      <c r="X1016" s="1227"/>
      <c r="Y1016" s="1227"/>
      <c r="Z1016" s="1222"/>
      <c r="AA1016" s="1222"/>
      <c r="AB1016" s="1220"/>
      <c r="AC1016" s="1838"/>
      <c r="AD1016" s="1843" t="s">
        <v>3941</v>
      </c>
      <c r="AE1016" s="1845"/>
      <c r="AF1016" s="1846"/>
      <c r="AG1016" s="1258"/>
      <c r="AH1016" s="1221" t="s">
        <v>98</v>
      </c>
      <c r="AI1016" s="1221" t="s">
        <v>99</v>
      </c>
      <c r="AJ1016" s="1839"/>
      <c r="AK1016" s="1188">
        <f>I1016</f>
        <v>628</v>
      </c>
      <c r="AL1016" s="1839"/>
      <c r="AM1016" s="1840"/>
      <c r="AN1016" s="1839"/>
      <c r="AO1016" s="1839"/>
      <c r="AP1016" s="1839"/>
      <c r="AQ1016" s="1839"/>
      <c r="AR1016" s="1840"/>
      <c r="AS1016" s="1840"/>
      <c r="AT1016" s="1840"/>
      <c r="AU1016" s="1839"/>
      <c r="AV1016" s="1224"/>
      <c r="AW1016" s="1224"/>
      <c r="AX1016" s="1839"/>
      <c r="AY1016" s="1839"/>
      <c r="AZ1016" s="1839"/>
      <c r="BA1016" s="1839"/>
      <c r="BB1016" s="1839"/>
      <c r="BC1016" s="1839"/>
      <c r="BD1016" s="1839"/>
      <c r="BE1016" s="1840"/>
      <c r="BF1016" s="1840"/>
      <c r="BG1016" s="1221"/>
      <c r="BH1016" s="1221"/>
      <c r="BI1016" s="1839"/>
      <c r="BJ1016" s="1839"/>
      <c r="BK1016" s="1839"/>
      <c r="BL1016" s="1839"/>
      <c r="BM1016" s="1839"/>
      <c r="BN1016" s="1839"/>
      <c r="BO1016" s="1231"/>
      <c r="BP1016" s="1839"/>
      <c r="BQ1016" s="1840"/>
      <c r="BR1016" s="1840"/>
      <c r="BS1016" s="1840"/>
      <c r="BT1016" s="1839"/>
      <c r="BU1016" s="1839"/>
      <c r="BV1016" s="1839"/>
      <c r="BW1016" s="1840"/>
      <c r="BX1016" s="1840"/>
      <c r="BY1016" s="1840"/>
      <c r="BZ1016" s="1840"/>
      <c r="CA1016" s="1840"/>
      <c r="CB1016" s="1840"/>
      <c r="CC1016" s="1840"/>
      <c r="CD1016" s="1222">
        <f t="shared" si="360"/>
        <v>0</v>
      </c>
      <c r="CE1016" s="1222">
        <f t="shared" si="361"/>
        <v>0</v>
      </c>
      <c r="CF1016" s="1222">
        <f t="shared" si="362"/>
        <v>0</v>
      </c>
      <c r="CG1016" s="1222">
        <f t="shared" si="363"/>
        <v>0</v>
      </c>
      <c r="CH1016" s="1222"/>
      <c r="CI1016" s="1222"/>
      <c r="CJ1016" s="1840"/>
      <c r="CK1016" s="1840"/>
      <c r="CL1016" s="1840"/>
      <c r="CM1016" s="1168"/>
      <c r="CN1016" s="1168"/>
      <c r="CO1016" s="1168"/>
      <c r="CP1016" s="1168"/>
      <c r="CQ1016" s="1168"/>
      <c r="CR1016" s="1168"/>
      <c r="CS1016" s="1168"/>
      <c r="CT1016" s="1168"/>
      <c r="CU1016" s="1168"/>
      <c r="CV1016" s="1168"/>
      <c r="CW1016" s="1168"/>
      <c r="CX1016" s="1168"/>
      <c r="CY1016" s="1168"/>
      <c r="CZ1016" s="1168"/>
      <c r="DA1016" s="1168"/>
      <c r="DB1016" s="1168"/>
      <c r="DC1016" s="1168"/>
      <c r="DD1016" s="1168"/>
      <c r="DE1016" s="1168"/>
      <c r="DF1016" s="1168"/>
      <c r="DG1016" s="1168"/>
    </row>
    <row r="1017" s="1171" customFormat="1" customHeight="1" spans="1:111">
      <c r="A1017" s="1847"/>
      <c r="B1017" s="1848"/>
      <c r="C1017" s="1849"/>
      <c r="D1017" s="1850"/>
      <c r="E1017" s="1849"/>
      <c r="F1017" s="1850"/>
      <c r="G1017" s="1851"/>
      <c r="H1017" s="1849"/>
      <c r="I1017" s="1849"/>
      <c r="J1017" s="1849"/>
      <c r="K1017" s="1849"/>
      <c r="L1017" s="1852"/>
      <c r="M1017" s="1853"/>
      <c r="N1017" s="1853"/>
      <c r="O1017" s="1854"/>
      <c r="P1017" s="1855"/>
      <c r="Q1017" s="1855"/>
      <c r="R1017" s="1856"/>
      <c r="S1017" s="1856"/>
      <c r="T1017" s="1855"/>
      <c r="U1017" s="1855">
        <f t="shared" si="359"/>
        <v>0</v>
      </c>
      <c r="V1017" s="1856"/>
      <c r="W1017" s="1857"/>
      <c r="X1017" s="1858"/>
      <c r="Y1017" s="1858"/>
      <c r="Z1017" s="1859"/>
      <c r="AA1017" s="1859"/>
      <c r="AB1017" s="1860"/>
      <c r="AC1017" s="1860"/>
      <c r="AD1017" s="1854"/>
      <c r="AE1017" s="1861"/>
      <c r="AF1017" s="1862"/>
      <c r="AG1017" s="1258"/>
      <c r="AH1017" s="1856"/>
      <c r="AI1017" s="1856"/>
      <c r="AJ1017" s="1856"/>
      <c r="AK1017" s="1856"/>
      <c r="AL1017" s="1856"/>
      <c r="AM1017" s="1859"/>
      <c r="AN1017" s="1856"/>
      <c r="AO1017" s="1856"/>
      <c r="AP1017" s="1856"/>
      <c r="AQ1017" s="1863"/>
      <c r="AR1017" s="1859"/>
      <c r="AS1017" s="1864"/>
      <c r="AT1017" s="1864"/>
      <c r="AU1017" s="1856"/>
      <c r="AV1017" s="1865"/>
      <c r="AW1017" s="1865"/>
      <c r="AX1017" s="1856"/>
      <c r="AY1017" s="1856"/>
      <c r="AZ1017" s="1856"/>
      <c r="BA1017" s="1856"/>
      <c r="BB1017" s="1856"/>
      <c r="BC1017" s="1856"/>
      <c r="BD1017" s="1856"/>
      <c r="BE1017" s="1859"/>
      <c r="BF1017" s="1859"/>
      <c r="BG1017" s="1856"/>
      <c r="BH1017" s="1856"/>
      <c r="BI1017" s="1856"/>
      <c r="BJ1017" s="1856"/>
      <c r="BK1017" s="1856"/>
      <c r="BL1017" s="1856"/>
      <c r="BM1017" s="1856"/>
      <c r="BN1017" s="1856"/>
      <c r="BO1017" s="1863"/>
      <c r="BP1017" s="1863"/>
      <c r="BQ1017" s="1859"/>
      <c r="BR1017" s="1864"/>
      <c r="BS1017" s="1859"/>
      <c r="BT1017" s="1856"/>
      <c r="BU1017" s="1856"/>
      <c r="BV1017" s="1863"/>
      <c r="BW1017" s="1859"/>
      <c r="BX1017" s="1859"/>
      <c r="BY1017" s="1859"/>
      <c r="BZ1017" s="1859"/>
      <c r="CA1017" s="1859"/>
      <c r="CB1017" s="1859"/>
      <c r="CC1017" s="1859"/>
      <c r="CD1017" s="1859"/>
      <c r="CE1017" s="1859"/>
      <c r="CF1017" s="1859"/>
      <c r="CG1017" s="1859"/>
      <c r="CH1017" s="1859"/>
      <c r="CI1017" s="1859"/>
      <c r="CJ1017" s="1859"/>
      <c r="CK1017" s="1859"/>
      <c r="CL1017" s="1859"/>
      <c r="CM1017" s="1168"/>
      <c r="CN1017" s="1168"/>
      <c r="CO1017" s="1168"/>
      <c r="CP1017" s="1168"/>
      <c r="CQ1017" s="1168"/>
      <c r="CR1017" s="1168"/>
      <c r="CS1017" s="1168"/>
      <c r="CT1017" s="1168"/>
      <c r="CU1017" s="1168"/>
      <c r="CV1017" s="1168"/>
      <c r="CW1017" s="1168"/>
      <c r="CX1017" s="1168"/>
      <c r="CY1017" s="1168"/>
      <c r="CZ1017" s="1168"/>
      <c r="DA1017" s="1168"/>
      <c r="DB1017" s="1168"/>
      <c r="DC1017" s="1168"/>
      <c r="DD1017" s="1168"/>
      <c r="DE1017" s="1168"/>
      <c r="DF1017" s="1168"/>
      <c r="DG1017" s="1168"/>
    </row>
    <row r="1018" s="1171" customFormat="1" customHeight="1" spans="1:111">
      <c r="A1018" s="1340"/>
      <c r="B1018" s="1341"/>
      <c r="C1018" s="1342"/>
      <c r="D1018" s="1172"/>
      <c r="E1018" s="1342"/>
      <c r="F1018" s="1172"/>
      <c r="G1018" s="1359"/>
      <c r="H1018" s="1342"/>
      <c r="I1018" s="1342"/>
      <c r="J1018" s="1342"/>
      <c r="K1018" s="1342"/>
      <c r="L1018" s="1345"/>
      <c r="M1018" s="1286"/>
      <c r="N1018" s="1286"/>
      <c r="O1018" s="1854"/>
      <c r="P1018" s="1855"/>
      <c r="Q1018" s="1855"/>
      <c r="R1018" s="1856"/>
      <c r="S1018" s="1856"/>
      <c r="T1018" s="1855"/>
      <c r="U1018" s="1855"/>
      <c r="V1018" s="1856"/>
      <c r="W1018" s="1857"/>
      <c r="X1018" s="1858"/>
      <c r="Y1018" s="1858"/>
      <c r="Z1018" s="1859"/>
      <c r="AA1018" s="1859"/>
      <c r="AB1018" s="1860"/>
      <c r="AC1018" s="1860"/>
      <c r="AD1018" s="1854"/>
      <c r="AE1018" s="1861"/>
      <c r="AF1018" s="1862"/>
      <c r="AG1018" s="1258"/>
      <c r="AH1018" s="1856"/>
      <c r="AI1018" s="1856"/>
      <c r="AJ1018" s="1856"/>
      <c r="AK1018" s="1856"/>
      <c r="AL1018" s="1856"/>
      <c r="AM1018" s="1859"/>
      <c r="AN1018" s="1856"/>
      <c r="AO1018" s="1856"/>
      <c r="AP1018" s="1856"/>
      <c r="AQ1018" s="1863"/>
      <c r="AR1018" s="1859"/>
      <c r="AS1018" s="1864"/>
      <c r="AT1018" s="1864"/>
      <c r="AU1018" s="1856"/>
      <c r="AV1018" s="1865"/>
      <c r="AW1018" s="1865"/>
      <c r="AX1018" s="1856"/>
      <c r="AY1018" s="1856"/>
      <c r="AZ1018" s="1856"/>
      <c r="BA1018" s="1856"/>
      <c r="BB1018" s="1856"/>
      <c r="BC1018" s="1856"/>
      <c r="BD1018" s="1856"/>
      <c r="BE1018" s="1859"/>
      <c r="BF1018" s="1859"/>
      <c r="BG1018" s="1856"/>
      <c r="BH1018" s="1856"/>
      <c r="BI1018" s="1856"/>
      <c r="BJ1018" s="1856"/>
      <c r="BK1018" s="1856"/>
      <c r="BL1018" s="1856"/>
      <c r="BM1018" s="1856"/>
      <c r="BN1018" s="1856"/>
      <c r="BO1018" s="1863"/>
      <c r="BP1018" s="1863"/>
      <c r="BQ1018" s="1859"/>
      <c r="BR1018" s="1864"/>
      <c r="BS1018" s="1859"/>
      <c r="BT1018" s="1856"/>
      <c r="BU1018" s="1856"/>
      <c r="BV1018" s="1863"/>
      <c r="BW1018" s="1859"/>
      <c r="BX1018" s="1859"/>
      <c r="BY1018" s="1859"/>
      <c r="BZ1018" s="1859"/>
      <c r="CA1018" s="1859"/>
      <c r="CB1018" s="1859"/>
      <c r="CC1018" s="1859"/>
      <c r="CD1018" s="1859"/>
      <c r="CE1018" s="1859"/>
      <c r="CF1018" s="1859"/>
      <c r="CG1018" s="1859"/>
      <c r="CH1018" s="1859"/>
      <c r="CI1018" s="1859"/>
      <c r="CJ1018" s="1859"/>
      <c r="CK1018" s="1859"/>
      <c r="CL1018" s="1859"/>
      <c r="CM1018" s="1168"/>
      <c r="CN1018" s="1168"/>
      <c r="CO1018" s="1168"/>
      <c r="CP1018" s="1168"/>
      <c r="CQ1018" s="1168"/>
      <c r="CR1018" s="1168"/>
      <c r="CS1018" s="1168"/>
      <c r="CT1018" s="1168"/>
      <c r="CU1018" s="1168"/>
      <c r="CV1018" s="1168"/>
      <c r="CW1018" s="1168"/>
      <c r="CX1018" s="1168"/>
      <c r="CY1018" s="1168"/>
      <c r="CZ1018" s="1168"/>
      <c r="DA1018" s="1168"/>
      <c r="DB1018" s="1168"/>
      <c r="DC1018" s="1168"/>
      <c r="DD1018" s="1168"/>
      <c r="DE1018" s="1168"/>
      <c r="DF1018" s="1168"/>
      <c r="DG1018" s="1168"/>
    </row>
    <row r="1019" s="293" customFormat="1" customHeight="1" spans="1:111">
      <c r="A1019" s="1866"/>
      <c r="B1019" s="1867"/>
      <c r="C1019" s="1868"/>
      <c r="D1019" s="1869"/>
      <c r="E1019" s="1868"/>
      <c r="F1019" s="1870"/>
      <c r="G1019" s="1868"/>
      <c r="H1019" s="1868"/>
      <c r="I1019" s="1868"/>
      <c r="J1019" s="1868"/>
      <c r="K1019" s="1868"/>
      <c r="L1019" s="1869"/>
      <c r="M1019" s="1866"/>
      <c r="N1019" s="1866"/>
      <c r="O1019" s="1871"/>
      <c r="P1019" s="1872"/>
      <c r="Q1019" s="1872"/>
      <c r="R1019" s="1873"/>
      <c r="S1019" s="1873"/>
      <c r="T1019" s="1872"/>
      <c r="U1019" s="1872"/>
      <c r="V1019" s="1873"/>
      <c r="W1019" s="1874"/>
      <c r="X1019" s="1824"/>
      <c r="Y1019" s="1824"/>
      <c r="Z1019" s="1875"/>
      <c r="AA1019" s="1875"/>
      <c r="AB1019" s="1876"/>
      <c r="AC1019" s="1875"/>
      <c r="AD1019" s="1871"/>
      <c r="AE1019" s="1877"/>
      <c r="AF1019" s="1878"/>
      <c r="AG1019" s="1230"/>
      <c r="AH1019" s="1879"/>
      <c r="AI1019" s="1879"/>
      <c r="AJ1019" s="1873"/>
      <c r="AK1019" s="1880"/>
      <c r="AL1019" s="1877"/>
      <c r="AM1019" s="1747"/>
      <c r="AN1019" s="1877"/>
      <c r="AO1019" s="1877"/>
      <c r="AP1019" s="1877"/>
      <c r="AQ1019" s="1881"/>
      <c r="AR1019" s="1882"/>
      <c r="AS1019" s="1883"/>
      <c r="AT1019" s="1883"/>
      <c r="AU1019" s="1877"/>
      <c r="AV1019" s="1884"/>
      <c r="AW1019" s="1884"/>
      <c r="AX1019" s="1877"/>
      <c r="AY1019" s="1877"/>
      <c r="AZ1019" s="1877"/>
      <c r="BA1019" s="1877"/>
      <c r="BB1019" s="1877"/>
      <c r="BC1019" s="1877"/>
      <c r="BD1019" s="1877"/>
      <c r="BE1019" s="1877"/>
      <c r="BF1019" s="1877"/>
      <c r="BG1019" s="1877"/>
      <c r="BH1019" s="1877"/>
      <c r="BI1019" s="1877"/>
      <c r="BJ1019" s="1877"/>
      <c r="BK1019" s="1877"/>
      <c r="BL1019" s="1877"/>
      <c r="BM1019" s="1877"/>
      <c r="BN1019" s="1877"/>
      <c r="BO1019" s="1881"/>
      <c r="BP1019" s="1881"/>
      <c r="BQ1019" s="1747"/>
      <c r="BR1019" s="1883"/>
      <c r="BS1019" s="1877"/>
      <c r="BT1019" s="1877"/>
      <c r="BU1019" s="1877"/>
      <c r="BV1019" s="1881"/>
      <c r="BW1019" s="1747"/>
      <c r="BX1019" s="1747"/>
      <c r="BY1019" s="1747"/>
      <c r="BZ1019" s="1747"/>
      <c r="CA1019" s="1747"/>
      <c r="CB1019" s="1747"/>
      <c r="CC1019" s="1747"/>
      <c r="CD1019" s="1747"/>
      <c r="CE1019" s="1747"/>
      <c r="CF1019" s="1877"/>
      <c r="CG1019" s="1747"/>
      <c r="CH1019" s="1747"/>
      <c r="CI1019" s="1747"/>
      <c r="CJ1019" s="1877"/>
      <c r="CK1019" s="1877"/>
      <c r="CL1019" s="1877"/>
    </row>
    <row r="1020" s="1188" customFormat="1" customHeight="1" spans="1:111">
      <c r="A1020" s="1245"/>
      <c r="B1020" s="1247"/>
      <c r="C1020" s="1234"/>
      <c r="E1020" s="1234"/>
      <c r="F1020" s="1234"/>
      <c r="G1020" s="1255"/>
      <c r="H1020" s="1234"/>
      <c r="I1020" s="1234"/>
      <c r="J1020" s="1234"/>
      <c r="K1020" s="1234"/>
      <c r="L1020" s="1246"/>
      <c r="M1020" s="1255"/>
      <c r="N1020" s="1255"/>
      <c r="O1020" s="1255"/>
      <c r="P1020" s="1233"/>
      <c r="Q1020" s="1233"/>
      <c r="R1020" s="1234"/>
      <c r="S1020" s="1234"/>
      <c r="T1020" s="1233"/>
      <c r="U1020" s="1233"/>
      <c r="V1020" s="1234"/>
      <c r="W1020" s="1257"/>
      <c r="X1020" s="1257"/>
      <c r="Y1020" s="1257"/>
      <c r="Z1020" s="1257"/>
      <c r="AA1020" s="1257"/>
      <c r="AB1020" s="1257"/>
      <c r="AC1020" s="1188"/>
      <c r="AD1020" s="1255"/>
      <c r="AE1020" s="1885"/>
      <c r="AF1020" s="1248"/>
      <c r="AG1020" s="1886"/>
      <c r="AH1020" s="1234"/>
      <c r="AI1020" s="1234"/>
      <c r="AJ1020" s="1234"/>
      <c r="AQ1020" s="1240"/>
      <c r="AR1020" s="1188"/>
      <c r="AS1020" s="1236"/>
      <c r="AT1020" s="1236"/>
      <c r="AV1020" s="1250"/>
      <c r="AW1020" s="1250"/>
      <c r="BO1020" s="1240"/>
      <c r="BP1020" s="1240"/>
      <c r="BR1020" s="1236"/>
      <c r="BV1020" s="1240"/>
    </row>
    <row r="1021" customHeight="1" spans="1:111">
      <c r="AG1021" s="1886"/>
    </row>
    <row r="1022" customHeight="1" spans="1:111">
      <c r="G1022" s="1218" t="s">
        <v>3942</v>
      </c>
      <c r="I1022" s="1218">
        <f>SUM(I2:I1021)</f>
        <v>8922632</v>
      </c>
      <c r="AG1022" s="1887"/>
      <c r="AK1022" s="1218">
        <f>SUM(AK2:AK1021)</f>
        <v>6951060</v>
      </c>
      <c r="AL1022" s="1218">
        <f>SUM(AL2:AL1021)</f>
        <v>1234170</v>
      </c>
      <c r="AM1022" s="1218">
        <f>SUM(AM2:AM1021)</f>
        <v>2368718</v>
      </c>
      <c r="AN1022" s="1218">
        <f>SUM(AN2:AN1021)</f>
        <v>4375858</v>
      </c>
      <c r="AO1022" s="1218"/>
      <c r="AP1022" s="1218">
        <f t="shared" ref="AP1022:AV1022" si="364">SUM(AP2:AP1021)</f>
        <v>1138327</v>
      </c>
      <c r="AQ1022" s="1218">
        <f t="shared" si="364"/>
        <v>431088</v>
      </c>
      <c r="AR1022" s="1218">
        <f t="shared" si="364"/>
        <v>258636</v>
      </c>
      <c r="AS1022" s="1218">
        <f t="shared" si="364"/>
        <v>18544</v>
      </c>
      <c r="AT1022" s="1218">
        <f t="shared" si="364"/>
        <v>2333533</v>
      </c>
      <c r="AU1022" s="1218">
        <f t="shared" si="364"/>
        <v>7053579</v>
      </c>
      <c r="AV1022" s="1298">
        <f t="shared" si="364"/>
        <v>502046.72</v>
      </c>
      <c r="AW1022" s="1298"/>
      <c r="AX1022" s="1218">
        <f>SUM(AX2:AX1021)</f>
        <v>464627</v>
      </c>
      <c r="AY1022" s="1218"/>
      <c r="AZ1022" s="1218">
        <f>SUM(AZ2:AZ1021)</f>
        <v>402443</v>
      </c>
      <c r="BA1022" s="1218"/>
      <c r="BB1022" s="1218">
        <f t="shared" ref="BB1022:BN1022" si="365">SUM(BB2:BB1021)</f>
        <v>1234200</v>
      </c>
      <c r="BC1022" s="1218">
        <f t="shared" si="365"/>
        <v>1234200</v>
      </c>
      <c r="BD1022" s="1218">
        <f t="shared" si="365"/>
        <v>1234200</v>
      </c>
      <c r="BE1022" s="1218">
        <f t="shared" si="365"/>
        <v>411400</v>
      </c>
      <c r="BF1022" s="1218">
        <f t="shared" si="365"/>
        <v>68560</v>
      </c>
      <c r="BG1022" s="1218">
        <f t="shared" si="365"/>
        <v>430712</v>
      </c>
      <c r="BH1022" s="1218">
        <f t="shared" si="365"/>
        <v>434712</v>
      </c>
      <c r="BI1022" s="1218">
        <f t="shared" si="365"/>
        <v>0</v>
      </c>
      <c r="BJ1022" s="1218">
        <f t="shared" si="365"/>
        <v>0</v>
      </c>
      <c r="BK1022" s="1218">
        <f t="shared" si="365"/>
        <v>70680</v>
      </c>
      <c r="BL1022" s="1218">
        <f t="shared" si="365"/>
        <v>20821</v>
      </c>
      <c r="BM1022" s="1218"/>
      <c r="BN1022" s="1218">
        <f>SUM(BN2:BN1021)</f>
        <v>15867.4166666667</v>
      </c>
      <c r="BO1022" s="1218">
        <f>SUM(BO2:BO1021)</f>
        <v>36518</v>
      </c>
      <c r="BP1022" s="1218"/>
      <c r="BQ1022" s="1218">
        <f t="shared" ref="BQ1022:BX1022" si="366">SUM(BQ2:BQ1021)</f>
        <v>5718</v>
      </c>
      <c r="BR1022" s="1218">
        <f t="shared" si="366"/>
        <v>124768</v>
      </c>
      <c r="BS1022" s="1218">
        <f t="shared" si="366"/>
        <v>14188</v>
      </c>
      <c r="BT1022" s="1218">
        <f t="shared" si="366"/>
        <v>18679</v>
      </c>
      <c r="BU1022" s="1298">
        <f t="shared" si="366"/>
        <v>88022</v>
      </c>
      <c r="BV1022" s="1218">
        <f t="shared" si="366"/>
        <v>468</v>
      </c>
      <c r="BW1022" s="1218">
        <f t="shared" si="366"/>
        <v>794</v>
      </c>
      <c r="BX1022" s="1218">
        <f t="shared" si="366"/>
        <v>822</v>
      </c>
      <c r="BY1022" s="1218"/>
      <c r="BZ1022" s="1218">
        <f t="shared" ref="BZ1022:CG1022" si="367">SUM(BZ2:BZ1021)</f>
        <v>453</v>
      </c>
      <c r="CA1022" s="1218">
        <f t="shared" si="367"/>
        <v>2000</v>
      </c>
      <c r="CB1022" s="1218">
        <f t="shared" si="367"/>
        <v>13</v>
      </c>
      <c r="CC1022" s="1218">
        <f t="shared" si="367"/>
        <v>3123</v>
      </c>
      <c r="CD1022" s="1218">
        <f t="shared" si="367"/>
        <v>196915.416666667</v>
      </c>
      <c r="CE1022" s="1218">
        <f t="shared" si="367"/>
        <v>88022</v>
      </c>
      <c r="CF1022" s="1218">
        <f t="shared" si="367"/>
        <v>3123</v>
      </c>
      <c r="CG1022" s="1218">
        <f t="shared" si="367"/>
        <v>4046</v>
      </c>
      <c r="CH1022" s="1218"/>
      <c r="CI1022" s="1218"/>
      <c r="CJ1022" s="1218">
        <f>SUM(CJ2:CJ1021)</f>
        <v>360336</v>
      </c>
      <c r="CK1022" s="1218">
        <f>SUM(CK2:CK1021)</f>
        <v>360336</v>
      </c>
      <c r="CL1022" s="1218">
        <f>SUM(CL2:CL1021)</f>
        <v>360336</v>
      </c>
    </row>
    <row r="1023" customHeight="1" spans="1:111">
      <c r="AF1023" s="1888"/>
      <c r="AG1023" s="1258"/>
    </row>
    <row r="1024" customHeight="1" spans="1:111">
      <c r="AG1024" s="1889"/>
    </row>
    <row r="1025" customHeight="1" spans="4:33">
      <c r="AG1025" s="1889"/>
    </row>
    <row r="1026" customHeight="1" spans="4:33">
      <c r="AG1026" s="1889"/>
    </row>
    <row r="1027" customHeight="1" spans="4:33">
      <c r="AG1027" s="1889"/>
    </row>
    <row r="1028" customHeight="1" spans="4:33">
      <c r="W1028" s="443"/>
      <c r="X1028" s="452"/>
      <c r="Y1028" s="452"/>
      <c r="AG1028" s="1889"/>
    </row>
    <row r="1029" customHeight="1" spans="4:33">
      <c r="W1029" s="443"/>
      <c r="X1029" s="452"/>
      <c r="Y1029" s="452"/>
      <c r="AG1029" s="1889"/>
    </row>
    <row r="1030" customHeight="1" spans="4:33">
      <c r="W1030" s="451"/>
      <c r="X1030" s="444"/>
      <c r="Y1030" s="444"/>
      <c r="AG1030" s="1889"/>
    </row>
    <row r="1031" customHeight="1" spans="4:33">
      <c r="W1031" s="443"/>
      <c r="X1031" s="444"/>
      <c r="Y1031" s="444"/>
      <c r="AG1031" s="1889"/>
    </row>
    <row r="1032" customHeight="1" spans="4:33">
      <c r="AG1032" s="1889"/>
    </row>
    <row r="1033" customHeight="1" spans="4:33">
      <c r="AG1033" s="1889"/>
    </row>
    <row r="1034" customHeight="1" spans="4:33">
      <c r="AG1034" s="1889"/>
    </row>
    <row r="1035" customHeight="1" spans="4:33">
      <c r="D1035" s="1190"/>
      <c r="AG1035" s="1889"/>
    </row>
    <row r="1036" customHeight="1" spans="4:33">
      <c r="AG1036" s="1889"/>
    </row>
    <row r="1037" customHeight="1" spans="4:33">
      <c r="AG1037" s="1889"/>
    </row>
    <row r="1038" customHeight="1" spans="4:33">
      <c r="AG1038" s="1889"/>
    </row>
    <row r="1039" customHeight="1" spans="4:33">
      <c r="AG1039" s="1889"/>
    </row>
    <row r="1040" customHeight="1" spans="4:33">
      <c r="AG1040" s="1889"/>
    </row>
    <row r="1041" customHeight="1" spans="5:33">
      <c r="AG1041" s="1889"/>
    </row>
    <row r="1042" customHeight="1" spans="5:33">
      <c r="AG1042" s="1889"/>
    </row>
    <row r="1043" customHeight="1" spans="5:33">
      <c r="G1043" s="1180" t="s">
        <v>3943</v>
      </c>
      <c r="AG1043" s="1889"/>
    </row>
    <row r="1044" customHeight="1" spans="5:33">
      <c r="AG1044" s="1889"/>
    </row>
    <row r="1045" customHeight="1" spans="5:33">
      <c r="AG1045" s="1889"/>
    </row>
    <row r="1046" customHeight="1" spans="5:33">
      <c r="AG1046" s="1889"/>
    </row>
    <row r="1047" customHeight="1" spans="5:33">
      <c r="AG1047" s="1889"/>
    </row>
    <row r="1048" customHeight="1" spans="5:33">
      <c r="AG1048" s="1889"/>
    </row>
    <row r="1049" customHeight="1" spans="5:33">
      <c r="E1049" s="293"/>
      <c r="AG1049" s="1889"/>
    </row>
    <row r="1050" customHeight="1" spans="5:33">
      <c r="E1050" s="293"/>
      <c r="AG1050" s="1889"/>
    </row>
    <row r="1051" customHeight="1" spans="5:33">
      <c r="E1051" s="293"/>
      <c r="AG1051" s="1889"/>
    </row>
    <row r="1052" customHeight="1" spans="5:33">
      <c r="E1052" s="293"/>
      <c r="AG1052" s="1889"/>
    </row>
    <row r="1053" customHeight="1" spans="5:33">
      <c r="E1053" s="293"/>
      <c r="AG1053" s="1889"/>
    </row>
    <row r="1054" customHeight="1" spans="5:33">
      <c r="AG1054" s="1889"/>
    </row>
    <row r="1055" customHeight="1" spans="5:33">
      <c r="AG1055" s="1889"/>
    </row>
    <row r="1056" customHeight="1" spans="5:33">
      <c r="AG1056" s="1889"/>
    </row>
    <row r="1057" customHeight="1" spans="5:33">
      <c r="AG1057" s="1889"/>
    </row>
    <row r="1058" customHeight="1" spans="5:33">
      <c r="AG1058" s="1889"/>
    </row>
    <row r="1059" customHeight="1" spans="5:33">
      <c r="AG1059" s="1889"/>
    </row>
    <row r="1060" customHeight="1" spans="5:33">
      <c r="E1060" s="293"/>
      <c r="AG1060" s="1889"/>
    </row>
    <row r="1061" customHeight="1" spans="5:33">
      <c r="E1061" s="293"/>
      <c r="AG1061" s="1889"/>
    </row>
    <row r="1062" customHeight="1" spans="5:33">
      <c r="AG1062" s="1889"/>
    </row>
    <row r="1063" customHeight="1" spans="5:33">
      <c r="AG1063" s="1889"/>
    </row>
    <row r="1064" customHeight="1" spans="5:33">
      <c r="AG1064" s="1889"/>
    </row>
  </sheetData>
  <sheetProtection formatCells="0" formatColumns="0" formatRows="0" insertRows="0" insertColumns="0" insertHyperlinks="0" deleteColumns="0" deleteRows="0" sort="0" autoFilter="0" pivotTables="0"/>
  <protectedRanges>
    <protectedRange sqref="AJ$1:AJ$1048576" name="Range1"/>
    <protectedRange sqref="A$1:AI$1048576 AK$1:CL$1048576" name="Range2"/>
  </protectedRanges>
  <autoFilter xmlns:etc="http://www.wps.cn/officeDocument/2017/etCustomData" ref="A1:DG1064" etc:filterBottomFollowUsedRange="1">
    <extLst/>
  </autoFilter>
  <conditionalFormatting sqref="W1:AB1">
    <cfRule type="cellIs" dxfId="0" priority="11034" operator="equal">
      <formula>"欠"</formula>
    </cfRule>
  </conditionalFormatting>
  <conditionalFormatting sqref="AH1">
    <cfRule type="cellIs" dxfId="0" priority="9807" operator="equal">
      <formula>"未完成"</formula>
    </cfRule>
  </conditionalFormatting>
  <conditionalFormatting sqref="AI1:AJ1">
    <cfRule type="cellIs" dxfId="0" priority="11001" operator="equal">
      <formula>"未完成"</formula>
    </cfRule>
  </conditionalFormatting>
  <conditionalFormatting sqref="W9">
    <cfRule type="containsText" dxfId="0" priority="4742" operator="between" text="欠">
      <formula>NOT(ISERROR(SEARCH("欠",W9)))</formula>
    </cfRule>
    <cfRule type="cellIs" dxfId="0" priority="4750" operator="equal">
      <formula>"欠"</formula>
    </cfRule>
  </conditionalFormatting>
  <conditionalFormatting sqref="X9">
    <cfRule type="cellIs" dxfId="0" priority="4744" operator="equal">
      <formula>"欠"</formula>
    </cfRule>
  </conditionalFormatting>
  <conditionalFormatting sqref="Y9">
    <cfRule type="containsText" dxfId="0" priority="4743" operator="between" text="欠">
      <formula>NOT(ISERROR(SEARCH("欠",Y9)))</formula>
    </cfRule>
    <cfRule type="containsText" dxfId="1" priority="4745" operator="between" text="欠">
      <formula>NOT(ISERROR(SEARCH("欠",Y9)))</formula>
    </cfRule>
    <cfRule type="cellIs" dxfId="0" priority="4747" operator="equal">
      <formula>"欠"</formula>
    </cfRule>
  </conditionalFormatting>
  <conditionalFormatting sqref="W10">
    <cfRule type="containsText" dxfId="0" priority="4919" operator="between" text="欠">
      <formula>NOT(ISERROR(SEARCH("欠",W10)))</formula>
    </cfRule>
    <cfRule type="cellIs" dxfId="0" priority="4927" operator="equal">
      <formula>"欠"</formula>
    </cfRule>
  </conditionalFormatting>
  <conditionalFormatting sqref="X10">
    <cfRule type="cellIs" dxfId="0" priority="4921" operator="equal">
      <formula>"欠"</formula>
    </cfRule>
  </conditionalFormatting>
  <conditionalFormatting sqref="Y10">
    <cfRule type="containsText" dxfId="0" priority="4920" operator="between" text="欠">
      <formula>NOT(ISERROR(SEARCH("欠",Y10)))</formula>
    </cfRule>
    <cfRule type="containsText" dxfId="1" priority="4922" operator="between" text="欠">
      <formula>NOT(ISERROR(SEARCH("欠",Y10)))</formula>
    </cfRule>
    <cfRule type="cellIs" dxfId="0" priority="4924" operator="equal">
      <formula>"欠"</formula>
    </cfRule>
  </conditionalFormatting>
  <conditionalFormatting sqref="W16">
    <cfRule type="containsText" dxfId="0" priority="4656" operator="between" text="欠">
      <formula>NOT(ISERROR(SEARCH("欠",W16)))</formula>
    </cfRule>
    <cfRule type="cellIs" dxfId="0" priority="4688" operator="equal">
      <formula>"欠"</formula>
    </cfRule>
  </conditionalFormatting>
  <conditionalFormatting sqref="X16">
    <cfRule type="cellIs" dxfId="0" priority="4664" operator="equal">
      <formula>"欠"</formula>
    </cfRule>
  </conditionalFormatting>
  <conditionalFormatting sqref="Y16">
    <cfRule type="containsText" dxfId="0" priority="4660" operator="between" text="欠">
      <formula>NOT(ISERROR(SEARCH("欠",Y16)))</formula>
    </cfRule>
    <cfRule type="containsText" dxfId="1" priority="4668" operator="between" text="欠">
      <formula>NOT(ISERROR(SEARCH("欠",Y16)))</formula>
    </cfRule>
    <cfRule type="cellIs" dxfId="0" priority="4676" operator="equal">
      <formula>"欠"</formula>
    </cfRule>
  </conditionalFormatting>
  <conditionalFormatting sqref="W17">
    <cfRule type="containsText" dxfId="0" priority="4655" operator="between" text="欠">
      <formula>NOT(ISERROR(SEARCH("欠",W17)))</formula>
    </cfRule>
    <cfRule type="cellIs" dxfId="0" priority="4687" operator="equal">
      <formula>"欠"</formula>
    </cfRule>
  </conditionalFormatting>
  <conditionalFormatting sqref="X17">
    <cfRule type="cellIs" dxfId="0" priority="4663" operator="equal">
      <formula>"欠"</formula>
    </cfRule>
  </conditionalFormatting>
  <conditionalFormatting sqref="Y17">
    <cfRule type="containsText" dxfId="0" priority="4659" operator="between" text="欠">
      <formula>NOT(ISERROR(SEARCH("欠",Y17)))</formula>
    </cfRule>
    <cfRule type="containsText" dxfId="1" priority="4667" operator="between" text="欠">
      <formula>NOT(ISERROR(SEARCH("欠",Y17)))</formula>
    </cfRule>
    <cfRule type="cellIs" dxfId="0" priority="4675" operator="equal">
      <formula>"欠"</formula>
    </cfRule>
  </conditionalFormatting>
  <conditionalFormatting sqref="W18">
    <cfRule type="containsText" dxfId="0" priority="4654" operator="between" text="欠">
      <formula>NOT(ISERROR(SEARCH("欠",W18)))</formula>
    </cfRule>
    <cfRule type="cellIs" dxfId="0" priority="4686" operator="equal">
      <formula>"欠"</formula>
    </cfRule>
  </conditionalFormatting>
  <conditionalFormatting sqref="X18">
    <cfRule type="cellIs" dxfId="0" priority="4662" operator="equal">
      <formula>"欠"</formula>
    </cfRule>
  </conditionalFormatting>
  <conditionalFormatting sqref="Y18">
    <cfRule type="containsText" dxfId="0" priority="4658" operator="between" text="欠">
      <formula>NOT(ISERROR(SEARCH("欠",Y18)))</formula>
    </cfRule>
    <cfRule type="containsText" dxfId="1" priority="4666" operator="between" text="欠">
      <formula>NOT(ISERROR(SEARCH("欠",Y18)))</formula>
    </cfRule>
    <cfRule type="cellIs" dxfId="0" priority="4674" operator="equal">
      <formula>"欠"</formula>
    </cfRule>
  </conditionalFormatting>
  <conditionalFormatting sqref="W19">
    <cfRule type="containsText" dxfId="0" priority="4653" operator="between" text="欠">
      <formula>NOT(ISERROR(SEARCH("欠",W19)))</formula>
    </cfRule>
    <cfRule type="cellIs" dxfId="0" priority="4685" operator="equal">
      <formula>"欠"</formula>
    </cfRule>
  </conditionalFormatting>
  <conditionalFormatting sqref="X19">
    <cfRule type="cellIs" dxfId="0" priority="4661" operator="equal">
      <formula>"欠"</formula>
    </cfRule>
  </conditionalFormatting>
  <conditionalFormatting sqref="Y19">
    <cfRule type="containsText" dxfId="0" priority="4657" operator="between" text="欠">
      <formula>NOT(ISERROR(SEARCH("欠",Y19)))</formula>
    </cfRule>
    <cfRule type="containsText" dxfId="1" priority="4665" operator="between" text="欠">
      <formula>NOT(ISERROR(SEARCH("欠",Y19)))</formula>
    </cfRule>
    <cfRule type="cellIs" dxfId="0" priority="4673" operator="equal">
      <formula>"欠"</formula>
    </cfRule>
  </conditionalFormatting>
  <conditionalFormatting sqref="W20">
    <cfRule type="containsText" dxfId="0" priority="4724" operator="between" text="欠">
      <formula>NOT(ISERROR(SEARCH("欠",W20)))</formula>
    </cfRule>
    <cfRule type="cellIs" dxfId="0" priority="4732" operator="equal">
      <formula>"欠"</formula>
    </cfRule>
  </conditionalFormatting>
  <conditionalFormatting sqref="X20">
    <cfRule type="cellIs" dxfId="0" priority="4726" operator="equal">
      <formula>"欠"</formula>
    </cfRule>
  </conditionalFormatting>
  <conditionalFormatting sqref="Y20">
    <cfRule type="containsText" dxfId="0" priority="4725" operator="between" text="欠">
      <formula>NOT(ISERROR(SEARCH("欠",Y20)))</formula>
    </cfRule>
    <cfRule type="containsText" dxfId="1" priority="4727" operator="between" text="欠">
      <formula>NOT(ISERROR(SEARCH("欠",Y20)))</formula>
    </cfRule>
    <cfRule type="cellIs" dxfId="0" priority="4729" operator="equal">
      <formula>"欠"</formula>
    </cfRule>
  </conditionalFormatting>
  <conditionalFormatting sqref="W21">
    <cfRule type="containsText" dxfId="0" priority="4644" operator="between" text="欠">
      <formula>NOT(ISERROR(SEARCH("欠",W21)))</formula>
    </cfRule>
    <cfRule type="cellIs" dxfId="0" priority="4652" operator="equal">
      <formula>"欠"</formula>
    </cfRule>
  </conditionalFormatting>
  <conditionalFormatting sqref="X21">
    <cfRule type="cellIs" dxfId="0" priority="4646" operator="equal">
      <formula>"欠"</formula>
    </cfRule>
  </conditionalFormatting>
  <conditionalFormatting sqref="Y21">
    <cfRule type="containsText" dxfId="0" priority="4645" operator="between" text="欠">
      <formula>NOT(ISERROR(SEARCH("欠",Y21)))</formula>
    </cfRule>
    <cfRule type="containsText" dxfId="1" priority="4647" operator="between" text="欠">
      <formula>NOT(ISERROR(SEARCH("欠",Y21)))</formula>
    </cfRule>
    <cfRule type="cellIs" dxfId="0" priority="4649" operator="equal">
      <formula>"欠"</formula>
    </cfRule>
  </conditionalFormatting>
  <conditionalFormatting sqref="W33">
    <cfRule type="containsText" dxfId="0" priority="4779" operator="between" text="欠">
      <formula>NOT(ISERROR(SEARCH("欠",W33)))</formula>
    </cfRule>
  </conditionalFormatting>
  <conditionalFormatting sqref="X33">
    <cfRule type="cellIs" dxfId="0" priority="4557" operator="equal">
      <formula>"欠"</formula>
    </cfRule>
  </conditionalFormatting>
  <conditionalFormatting sqref="Y33">
    <cfRule type="containsText" dxfId="0" priority="4780" operator="between" text="欠">
      <formula>NOT(ISERROR(SEARCH("欠",Y33)))</formula>
    </cfRule>
    <cfRule type="cellIs" dxfId="0" priority="4781" operator="equal">
      <formula>"欠"</formula>
    </cfRule>
  </conditionalFormatting>
  <conditionalFormatting sqref="W37">
    <cfRule type="containsText" dxfId="0" priority="4067" operator="between" text="欠">
      <formula>NOT(ISERROR(SEARCH("欠",W37)))</formula>
    </cfRule>
  </conditionalFormatting>
  <conditionalFormatting sqref="X37">
    <cfRule type="cellIs" dxfId="0" priority="4088" operator="equal">
      <formula>"欠"</formula>
    </cfRule>
  </conditionalFormatting>
  <conditionalFormatting sqref="Y37">
    <cfRule type="containsText" dxfId="0" priority="4074" operator="between" text="欠">
      <formula>NOT(ISERROR(SEARCH("欠",Y37)))</formula>
    </cfRule>
    <cfRule type="cellIs" dxfId="0" priority="4081" operator="equal">
      <formula>"欠"</formula>
    </cfRule>
  </conditionalFormatting>
  <conditionalFormatting sqref="W38">
    <cfRule type="containsText" dxfId="0" priority="4066" operator="between" text="欠">
      <formula>NOT(ISERROR(SEARCH("欠",W38)))</formula>
    </cfRule>
  </conditionalFormatting>
  <conditionalFormatting sqref="X38">
    <cfRule type="cellIs" dxfId="0" priority="4087" operator="equal">
      <formula>"欠"</formula>
    </cfRule>
  </conditionalFormatting>
  <conditionalFormatting sqref="Y38">
    <cfRule type="containsText" dxfId="0" priority="4073" operator="between" text="欠">
      <formula>NOT(ISERROR(SEARCH("欠",Y38)))</formula>
    </cfRule>
    <cfRule type="cellIs" dxfId="0" priority="4080" operator="equal">
      <formula>"欠"</formula>
    </cfRule>
  </conditionalFormatting>
  <conditionalFormatting sqref="W39">
    <cfRule type="containsText" dxfId="0" priority="4065" operator="between" text="欠">
      <formula>NOT(ISERROR(SEARCH("欠",W39)))</formula>
    </cfRule>
  </conditionalFormatting>
  <conditionalFormatting sqref="X39">
    <cfRule type="cellIs" dxfId="0" priority="4086" operator="equal">
      <formula>"欠"</formula>
    </cfRule>
  </conditionalFormatting>
  <conditionalFormatting sqref="Y39">
    <cfRule type="containsText" dxfId="0" priority="4072" operator="between" text="欠">
      <formula>NOT(ISERROR(SEARCH("欠",Y39)))</formula>
    </cfRule>
    <cfRule type="cellIs" dxfId="0" priority="4079" operator="equal">
      <formula>"欠"</formula>
    </cfRule>
  </conditionalFormatting>
  <conditionalFormatting sqref="W40">
    <cfRule type="containsText" dxfId="0" priority="4064" operator="between" text="欠">
      <formula>NOT(ISERROR(SEARCH("欠",W40)))</formula>
    </cfRule>
  </conditionalFormatting>
  <conditionalFormatting sqref="X40">
    <cfRule type="cellIs" dxfId="0" priority="4085" operator="equal">
      <formula>"欠"</formula>
    </cfRule>
  </conditionalFormatting>
  <conditionalFormatting sqref="Y40">
    <cfRule type="containsText" dxfId="0" priority="4071" operator="between" text="欠">
      <formula>NOT(ISERROR(SEARCH("欠",Y40)))</formula>
    </cfRule>
    <cfRule type="cellIs" dxfId="0" priority="4078" operator="equal">
      <formula>"欠"</formula>
    </cfRule>
  </conditionalFormatting>
  <conditionalFormatting sqref="W41">
    <cfRule type="containsText" dxfId="0" priority="4063" operator="between" text="欠">
      <formula>NOT(ISERROR(SEARCH("欠",W41)))</formula>
    </cfRule>
  </conditionalFormatting>
  <conditionalFormatting sqref="X41">
    <cfRule type="cellIs" dxfId="0" priority="4084" operator="equal">
      <formula>"欠"</formula>
    </cfRule>
  </conditionalFormatting>
  <conditionalFormatting sqref="Y41">
    <cfRule type="containsText" dxfId="0" priority="4070" operator="between" text="欠">
      <formula>NOT(ISERROR(SEARCH("欠",Y41)))</formula>
    </cfRule>
    <cfRule type="cellIs" dxfId="0" priority="4077" operator="equal">
      <formula>"欠"</formula>
    </cfRule>
  </conditionalFormatting>
  <conditionalFormatting sqref="W42">
    <cfRule type="containsText" dxfId="0" priority="4062" operator="between" text="欠">
      <formula>NOT(ISERROR(SEARCH("欠",W42)))</formula>
    </cfRule>
  </conditionalFormatting>
  <conditionalFormatting sqref="X42">
    <cfRule type="cellIs" dxfId="0" priority="4083" operator="equal">
      <formula>"欠"</formula>
    </cfRule>
  </conditionalFormatting>
  <conditionalFormatting sqref="W43">
    <cfRule type="containsText" dxfId="0" priority="4061" operator="between" text="欠">
      <formula>NOT(ISERROR(SEARCH("欠",W43)))</formula>
    </cfRule>
  </conditionalFormatting>
  <conditionalFormatting sqref="X43">
    <cfRule type="cellIs" dxfId="0" priority="4082" operator="equal">
      <formula>"欠"</formula>
    </cfRule>
  </conditionalFormatting>
  <conditionalFormatting sqref="W52">
    <cfRule type="containsText" dxfId="0" priority="4720" operator="between" text="欠">
      <formula>NOT(ISERROR(SEARCH("欠",W52)))</formula>
    </cfRule>
  </conditionalFormatting>
  <conditionalFormatting sqref="X52">
    <cfRule type="cellIs" dxfId="0" priority="4723" operator="equal">
      <formula>"欠"</formula>
    </cfRule>
  </conditionalFormatting>
  <conditionalFormatting sqref="Y52">
    <cfRule type="containsText" dxfId="0" priority="4721" operator="between" text="欠">
      <formula>NOT(ISERROR(SEARCH("欠",Y52)))</formula>
    </cfRule>
    <cfRule type="cellIs" dxfId="0" priority="4722" operator="equal">
      <formula>"欠"</formula>
    </cfRule>
  </conditionalFormatting>
  <conditionalFormatting sqref="W58">
    <cfRule type="containsText" dxfId="0" priority="4550" operator="between" text="欠">
      <formula>NOT(ISERROR(SEARCH("欠",W58)))</formula>
    </cfRule>
  </conditionalFormatting>
  <conditionalFormatting sqref="X58">
    <cfRule type="cellIs" dxfId="0" priority="4553" operator="equal">
      <formula>"欠"</formula>
    </cfRule>
  </conditionalFormatting>
  <conditionalFormatting sqref="Y58">
    <cfRule type="containsText" dxfId="0" priority="4551" operator="between" text="欠">
      <formula>NOT(ISERROR(SEARCH("欠",Y58)))</formula>
    </cfRule>
    <cfRule type="cellIs" dxfId="0" priority="4552" operator="equal">
      <formula>"欠"</formula>
    </cfRule>
  </conditionalFormatting>
  <conditionalFormatting sqref="Y73">
    <cfRule type="containsText" dxfId="0" priority="4562" operator="between" text="欠">
      <formula>NOT(ISERROR(SEARCH("欠",Y73)))</formula>
    </cfRule>
    <cfRule type="cellIs" dxfId="0" priority="4563" operator="equal">
      <formula>"欠"</formula>
    </cfRule>
  </conditionalFormatting>
  <conditionalFormatting sqref="W84">
    <cfRule type="containsText" dxfId="0" priority="4148" operator="between" text="欠">
      <formula>NOT(ISERROR(SEARCH("欠",W84)))</formula>
    </cfRule>
  </conditionalFormatting>
  <conditionalFormatting sqref="X84">
    <cfRule type="cellIs" dxfId="0" priority="4151" operator="equal">
      <formula>"欠"</formula>
    </cfRule>
  </conditionalFormatting>
  <conditionalFormatting sqref="W88">
    <cfRule type="containsText" dxfId="0" priority="4761" operator="between" text="欠">
      <formula>NOT(ISERROR(SEARCH("欠",W88)))</formula>
    </cfRule>
  </conditionalFormatting>
  <conditionalFormatting sqref="X88">
    <cfRule type="cellIs" dxfId="0" priority="4764" operator="equal">
      <formula>"欠"</formula>
    </cfRule>
  </conditionalFormatting>
  <conditionalFormatting sqref="Y88">
    <cfRule type="containsText" dxfId="0" priority="4762" operator="between" text="欠">
      <formula>NOT(ISERROR(SEARCH("欠",Y88)))</formula>
    </cfRule>
    <cfRule type="cellIs" dxfId="0" priority="4763" operator="equal">
      <formula>"欠"</formula>
    </cfRule>
  </conditionalFormatting>
  <conditionalFormatting sqref="W89">
    <cfRule type="containsText" dxfId="0" priority="3728" operator="between" text="欠">
      <formula>NOT(ISERROR(SEARCH("欠",W89)))</formula>
    </cfRule>
  </conditionalFormatting>
  <conditionalFormatting sqref="Y89">
    <cfRule type="containsText" dxfId="0" priority="3729" operator="between" text="欠">
      <formula>NOT(ISERROR(SEARCH("欠",Y89)))</formula>
    </cfRule>
    <cfRule type="cellIs" dxfId="0" priority="3730" operator="equal">
      <formula>"欠"</formula>
    </cfRule>
  </conditionalFormatting>
  <conditionalFormatting sqref="W97">
    <cfRule type="containsText" dxfId="0" priority="4799" operator="between" text="欠">
      <formula>NOT(ISERROR(SEARCH("欠",W97)))</formula>
    </cfRule>
  </conditionalFormatting>
  <conditionalFormatting sqref="W104">
    <cfRule type="containsText" dxfId="0" priority="4164" operator="between" text="欠">
      <formula>NOT(ISERROR(SEARCH("欠",W104)))</formula>
    </cfRule>
  </conditionalFormatting>
  <conditionalFormatting sqref="Y104">
    <cfRule type="containsText" dxfId="0" priority="4170" operator="between" text="欠">
      <formula>NOT(ISERROR(SEARCH("欠",Y104)))</formula>
    </cfRule>
    <cfRule type="cellIs" dxfId="0" priority="4176" operator="equal">
      <formula>"欠"</formula>
    </cfRule>
  </conditionalFormatting>
  <conditionalFormatting sqref="W106">
    <cfRule type="containsText" dxfId="0" priority="4230" operator="between" text="欠">
      <formula>NOT(ISERROR(SEARCH("欠",W106)))</formula>
    </cfRule>
  </conditionalFormatting>
  <conditionalFormatting sqref="Y106">
    <cfRule type="containsText" dxfId="0" priority="4237" operator="between" text="欠">
      <formula>NOT(ISERROR(SEARCH("欠",Y106)))</formula>
    </cfRule>
    <cfRule type="cellIs" dxfId="0" priority="4244" operator="equal">
      <formula>"欠"</formula>
    </cfRule>
  </conditionalFormatting>
  <conditionalFormatting sqref="X110">
    <cfRule type="cellIs" dxfId="0" priority="4140" operator="equal">
      <formula>"欠"</formula>
    </cfRule>
  </conditionalFormatting>
  <conditionalFormatting sqref="Y110">
    <cfRule type="containsText" dxfId="0" priority="4138" operator="between" text="欠">
      <formula>NOT(ISERROR(SEARCH("欠",Y110)))</formula>
    </cfRule>
    <cfRule type="cellIs" dxfId="0" priority="4139" operator="equal">
      <formula>"欠"</formula>
    </cfRule>
  </conditionalFormatting>
  <conditionalFormatting sqref="W118">
    <cfRule type="containsText" dxfId="0" priority="3072" operator="between" text="欠">
      <formula>NOT(ISERROR(SEARCH("欠",W118)))</formula>
    </cfRule>
  </conditionalFormatting>
  <conditionalFormatting sqref="Y118">
    <cfRule type="containsText" dxfId="0" priority="3073" operator="between" text="欠">
      <formula>NOT(ISERROR(SEARCH("欠",Y118)))</formula>
    </cfRule>
    <cfRule type="cellIs" dxfId="0" priority="3074" operator="equal">
      <formula>"欠"</formula>
    </cfRule>
  </conditionalFormatting>
  <conditionalFormatting sqref="W124">
    <cfRule type="containsText" dxfId="0" priority="4396" operator="between" text="欠">
      <formula>NOT(ISERROR(SEARCH("欠",W124)))</formula>
    </cfRule>
  </conditionalFormatting>
  <conditionalFormatting sqref="X124">
    <cfRule type="cellIs" dxfId="0" priority="4399" operator="equal">
      <formula>"欠"</formula>
    </cfRule>
  </conditionalFormatting>
  <conditionalFormatting sqref="Y124">
    <cfRule type="containsText" dxfId="0" priority="4397" operator="between" text="欠">
      <formula>NOT(ISERROR(SEARCH("欠",Y124)))</formula>
    </cfRule>
    <cfRule type="cellIs" dxfId="0" priority="4398" operator="equal">
      <formula>"欠"</formula>
    </cfRule>
  </conditionalFormatting>
  <conditionalFormatting sqref="Y128">
    <cfRule type="containsText" dxfId="0" priority="3959" operator="between" text="欠">
      <formula>NOT(ISERROR(SEARCH("欠",Y128)))</formula>
    </cfRule>
    <cfRule type="cellIs" dxfId="0" priority="3960" operator="equal">
      <formula>"欠"</formula>
    </cfRule>
  </conditionalFormatting>
  <conditionalFormatting sqref="AC128">
    <cfRule type="cellIs" dxfId="0" priority="3954" operator="equal">
      <formula>"欠"</formula>
    </cfRule>
  </conditionalFormatting>
  <conditionalFormatting sqref="AC130">
    <cfRule type="cellIs" dxfId="0" priority="3804" operator="equal">
      <formula>"欠"</formula>
    </cfRule>
  </conditionalFormatting>
  <conditionalFormatting sqref="AC131">
    <cfRule type="cellIs" dxfId="0" priority="3802" operator="equal">
      <formula>"欠"</formula>
    </cfRule>
  </conditionalFormatting>
  <conditionalFormatting sqref="AC132">
    <cfRule type="cellIs" dxfId="0" priority="3803" operator="equal">
      <formula>"欠"</formula>
    </cfRule>
  </conditionalFormatting>
  <conditionalFormatting sqref="AC133">
    <cfRule type="cellIs" dxfId="0" priority="3801" operator="equal">
      <formula>"欠"</formula>
    </cfRule>
  </conditionalFormatting>
  <conditionalFormatting sqref="AC134">
    <cfRule type="cellIs" dxfId="0" priority="3800" operator="equal">
      <formula>"欠"</formula>
    </cfRule>
  </conditionalFormatting>
  <conditionalFormatting sqref="W137">
    <cfRule type="containsText" dxfId="0" priority="4403" operator="between" text="欠">
      <formula>NOT(ISERROR(SEARCH("欠",W137)))</formula>
    </cfRule>
  </conditionalFormatting>
  <conditionalFormatting sqref="X137">
    <cfRule type="cellIs" dxfId="0" priority="4409" operator="equal">
      <formula>"欠"</formula>
    </cfRule>
  </conditionalFormatting>
  <conditionalFormatting sqref="Y137">
    <cfRule type="containsText" dxfId="0" priority="4404" operator="between" text="欠">
      <formula>NOT(ISERROR(SEARCH("欠",Y137)))</formula>
    </cfRule>
    <cfRule type="cellIs" dxfId="0" priority="4405" operator="equal">
      <formula>"欠"</formula>
    </cfRule>
  </conditionalFormatting>
  <conditionalFormatting sqref="W138">
    <cfRule type="containsText" dxfId="0" priority="4431" operator="between" text="欠">
      <formula>NOT(ISERROR(SEARCH("欠",W138)))</formula>
    </cfRule>
  </conditionalFormatting>
  <conditionalFormatting sqref="Y138">
    <cfRule type="containsText" dxfId="0" priority="4432" operator="between" text="欠">
      <formula>NOT(ISERROR(SEARCH("欠",Y138)))</formula>
    </cfRule>
    <cfRule type="cellIs" dxfId="0" priority="4433" operator="equal">
      <formula>"欠"</formula>
    </cfRule>
  </conditionalFormatting>
  <conditionalFormatting sqref="W143">
    <cfRule type="containsText" dxfId="0" priority="3081" operator="between" text="欠">
      <formula>NOT(ISERROR(SEARCH("欠",W143)))</formula>
    </cfRule>
  </conditionalFormatting>
  <conditionalFormatting sqref="Y143">
    <cfRule type="containsText" dxfId="0" priority="3082" operator="between" text="欠">
      <formula>NOT(ISERROR(SEARCH("欠",Y143)))</formula>
    </cfRule>
    <cfRule type="cellIs" dxfId="0" priority="3083" operator="equal">
      <formula>"欠"</formula>
    </cfRule>
  </conditionalFormatting>
  <conditionalFormatting sqref="W153">
    <cfRule type="containsText" dxfId="0" priority="3466" operator="between" text="欠">
      <formula>NOT(ISERROR(SEARCH("欠",W153)))</formula>
    </cfRule>
  </conditionalFormatting>
  <conditionalFormatting sqref="Y153">
    <cfRule type="containsText" dxfId="0" priority="3474" operator="between" text="欠">
      <formula>NOT(ISERROR(SEARCH("欠",Y153)))</formula>
    </cfRule>
    <cfRule type="cellIs" dxfId="0" priority="3482" operator="equal">
      <formula>"欠"</formula>
    </cfRule>
  </conditionalFormatting>
  <conditionalFormatting sqref="W154">
    <cfRule type="containsText" dxfId="0" priority="2393" operator="between" text="欠">
      <formula>NOT(ISERROR(SEARCH("欠",W154)))</formula>
    </cfRule>
  </conditionalFormatting>
  <conditionalFormatting sqref="AC154">
    <cfRule type="cellIs" dxfId="0" priority="2392" operator="equal">
      <formula>"欠"</formula>
    </cfRule>
  </conditionalFormatting>
  <conditionalFormatting sqref="Y156">
    <cfRule type="containsText" dxfId="0" priority="3986" operator="between" text="欠">
      <formula>NOT(ISERROR(SEARCH("欠",Y156)))</formula>
    </cfRule>
    <cfRule type="cellIs" dxfId="0" priority="3987" operator="equal">
      <formula>"欠"</formula>
    </cfRule>
  </conditionalFormatting>
  <conditionalFormatting sqref="AC158">
    <cfRule type="cellIs" dxfId="0" priority="3806" operator="equal">
      <formula>"欠"</formula>
    </cfRule>
  </conditionalFormatting>
  <conditionalFormatting sqref="AC159">
    <cfRule type="cellIs" dxfId="0" priority="3805" operator="equal">
      <formula>"欠"</formula>
    </cfRule>
  </conditionalFormatting>
  <conditionalFormatting sqref="AC160">
    <cfRule type="cellIs" dxfId="0" priority="3808" operator="equal">
      <formula>"欠"</formula>
    </cfRule>
  </conditionalFormatting>
  <conditionalFormatting sqref="X162">
    <cfRule type="cellIs" dxfId="0" priority="3953" operator="equal">
      <formula>"欠"</formula>
    </cfRule>
  </conditionalFormatting>
  <conditionalFormatting sqref="Y162">
    <cfRule type="containsText" dxfId="0" priority="3947" operator="between" text="欠">
      <formula>NOT(ISERROR(SEARCH("欠",Y162)))</formula>
    </cfRule>
    <cfRule type="cellIs" dxfId="0" priority="3950" operator="equal">
      <formula>"欠"</formula>
    </cfRule>
  </conditionalFormatting>
  <conditionalFormatting sqref="AC162">
    <cfRule type="cellIs" dxfId="0" priority="3932" operator="equal">
      <formula>"欠"</formula>
    </cfRule>
  </conditionalFormatting>
  <conditionalFormatting sqref="AK164">
    <cfRule type="cellIs" dxfId="2" priority="1920" operator="equal">
      <formula>"未完成"</formula>
    </cfRule>
    <cfRule type="cellIs" dxfId="0" priority="1921" operator="equal">
      <formula>"未完成"</formula>
    </cfRule>
  </conditionalFormatting>
  <conditionalFormatting sqref="W170">
    <cfRule type="containsText" dxfId="0" priority="3110" operator="between" text="欠">
      <formula>NOT(ISERROR(SEARCH("欠",W170)))</formula>
    </cfRule>
  </conditionalFormatting>
  <conditionalFormatting sqref="Y171">
    <cfRule type="containsText" dxfId="0" priority="4544" operator="between" text="欠">
      <formula>NOT(ISERROR(SEARCH("欠",Y171)))</formula>
    </cfRule>
    <cfRule type="cellIs" dxfId="0" priority="4545" operator="equal">
      <formula>"欠"</formula>
    </cfRule>
  </conditionalFormatting>
  <conditionalFormatting sqref="Y179">
    <cfRule type="containsText" dxfId="0" priority="3477" operator="between" text="欠">
      <formula>NOT(ISERROR(SEARCH("欠",Y179)))</formula>
    </cfRule>
    <cfRule type="cellIs" dxfId="0" priority="3485" operator="equal">
      <formula>"欠"</formula>
    </cfRule>
  </conditionalFormatting>
  <conditionalFormatting sqref="W180">
    <cfRule type="containsText" dxfId="0" priority="3044" operator="between" text="欠">
      <formula>NOT(ISERROR(SEARCH("欠",W180)))</formula>
    </cfRule>
  </conditionalFormatting>
  <conditionalFormatting sqref="Y180">
    <cfRule type="containsText" dxfId="0" priority="3045" operator="between" text="欠">
      <formula>NOT(ISERROR(SEARCH("欠",Y180)))</formula>
    </cfRule>
    <cfRule type="cellIs" dxfId="0" priority="3046" operator="equal">
      <formula>"欠"</formula>
    </cfRule>
  </conditionalFormatting>
  <conditionalFormatting sqref="Y194">
    <cfRule type="containsText" dxfId="0" priority="3342" operator="between" text="欠">
      <formula>NOT(ISERROR(SEARCH("欠",Y194)))</formula>
    </cfRule>
    <cfRule type="cellIs" dxfId="0" priority="3344" operator="equal">
      <formula>"欠"</formula>
    </cfRule>
  </conditionalFormatting>
  <conditionalFormatting sqref="Y195">
    <cfRule type="containsText" dxfId="0" priority="2992" operator="between" text="欠">
      <formula>NOT(ISERROR(SEARCH("欠",Y195)))</formula>
    </cfRule>
    <cfRule type="cellIs" dxfId="0" priority="2993" operator="equal">
      <formula>"欠"</formula>
    </cfRule>
  </conditionalFormatting>
  <conditionalFormatting sqref="Y200">
    <cfRule type="containsText" dxfId="0" priority="3104" operator="between" text="欠">
      <formula>NOT(ISERROR(SEARCH("欠",Y200)))</formula>
    </cfRule>
    <cfRule type="cellIs" dxfId="0" priority="3105" operator="equal">
      <formula>"欠"</formula>
    </cfRule>
  </conditionalFormatting>
  <conditionalFormatting sqref="W202">
    <cfRule type="containsText" dxfId="0" priority="3943" operator="between" text="欠">
      <formula>NOT(ISERROR(SEARCH("欠",W202)))</formula>
    </cfRule>
  </conditionalFormatting>
  <conditionalFormatting sqref="X202">
    <cfRule type="cellIs" dxfId="0" priority="3952" operator="equal">
      <formula>"欠"</formula>
    </cfRule>
  </conditionalFormatting>
  <conditionalFormatting sqref="Y202">
    <cfRule type="containsText" dxfId="0" priority="3946" operator="between" text="欠">
      <formula>NOT(ISERROR(SEARCH("欠",Y202)))</formula>
    </cfRule>
    <cfRule type="cellIs" dxfId="0" priority="3949" operator="equal">
      <formula>"欠"</formula>
    </cfRule>
  </conditionalFormatting>
  <conditionalFormatting sqref="AC202">
    <cfRule type="cellIs" dxfId="0" priority="3931" operator="equal">
      <formula>"欠"</formula>
    </cfRule>
  </conditionalFormatting>
  <conditionalFormatting sqref="W203">
    <cfRule type="containsText" dxfId="0" priority="3657" operator="between" text="欠">
      <formula>NOT(ISERROR(SEARCH("欠",W203)))</formula>
    </cfRule>
  </conditionalFormatting>
  <conditionalFormatting sqref="X203">
    <cfRule type="containsText" dxfId="0" priority="3666" operator="between" text="欠">
      <formula>NOT(ISERROR(SEARCH("欠",X203)))</formula>
    </cfRule>
    <cfRule type="cellIs" dxfId="0" priority="3669" operator="equal">
      <formula>"欠"</formula>
    </cfRule>
  </conditionalFormatting>
  <conditionalFormatting sqref="Y203">
    <cfRule type="containsText" dxfId="0" priority="3660" operator="between" text="欠">
      <formula>NOT(ISERROR(SEARCH("欠",Y203)))</formula>
    </cfRule>
    <cfRule type="cellIs" dxfId="0" priority="3663" operator="equal">
      <formula>"欠"</formula>
    </cfRule>
  </conditionalFormatting>
  <conditionalFormatting sqref="W204">
    <cfRule type="containsText" dxfId="0" priority="3088" operator="between" text="欠">
      <formula>NOT(ISERROR(SEARCH("欠",W204)))</formula>
    </cfRule>
  </conditionalFormatting>
  <conditionalFormatting sqref="Y204">
    <cfRule type="containsText" dxfId="0" priority="3089" operator="between" text="欠">
      <formula>NOT(ISERROR(SEARCH("欠",Y204)))</formula>
    </cfRule>
    <cfRule type="cellIs" dxfId="0" priority="3090" operator="equal">
      <formula>"欠"</formula>
    </cfRule>
  </conditionalFormatting>
  <conditionalFormatting sqref="Y206">
    <cfRule type="containsText" dxfId="0" priority="3979" operator="between" text="欠">
      <formula>NOT(ISERROR(SEARCH("欠",Y206)))</formula>
    </cfRule>
    <cfRule type="cellIs" dxfId="0" priority="3980" operator="equal">
      <formula>"欠"</formula>
    </cfRule>
  </conditionalFormatting>
  <conditionalFormatting sqref="W216">
    <cfRule type="containsText" dxfId="0" priority="3397" operator="between" text="欠">
      <formula>NOT(ISERROR(SEARCH("欠",W216)))</formula>
    </cfRule>
  </conditionalFormatting>
  <conditionalFormatting sqref="X216">
    <cfRule type="containsText" dxfId="0" priority="3400" operator="between" text="欠">
      <formula>NOT(ISERROR(SEARCH("欠",X216)))</formula>
    </cfRule>
    <cfRule type="cellIs" dxfId="0" priority="3401" operator="equal">
      <formula>"欠"</formula>
    </cfRule>
  </conditionalFormatting>
  <conditionalFormatting sqref="Y216">
    <cfRule type="containsText" dxfId="0" priority="3398" operator="between" text="欠">
      <formula>NOT(ISERROR(SEARCH("欠",Y216)))</formula>
    </cfRule>
    <cfRule type="cellIs" dxfId="0" priority="3399" operator="equal">
      <formula>"欠"</formula>
    </cfRule>
  </conditionalFormatting>
  <conditionalFormatting sqref="Y217">
    <cfRule type="containsText" dxfId="0" priority="4034" operator="between" text="欠">
      <formula>NOT(ISERROR(SEARCH("欠",Y217)))</formula>
    </cfRule>
    <cfRule type="cellIs" dxfId="0" priority="4035" operator="equal">
      <formula>"欠"</formula>
    </cfRule>
  </conditionalFormatting>
  <conditionalFormatting sqref="AC217">
    <cfRule type="cellIs" dxfId="0" priority="4029" operator="equal">
      <formula>"欠"</formula>
    </cfRule>
  </conditionalFormatting>
  <conditionalFormatting sqref="Y223">
    <cfRule type="containsText" dxfId="0" priority="3442" operator="between" text="欠">
      <formula>NOT(ISERROR(SEARCH("欠",Y223)))</formula>
    </cfRule>
    <cfRule type="cellIs" dxfId="0" priority="3443" operator="equal">
      <formula>"欠"</formula>
    </cfRule>
  </conditionalFormatting>
  <conditionalFormatting sqref="Y231">
    <cfRule type="containsText" dxfId="0" priority="4168" operator="between" text="欠">
      <formula>NOT(ISERROR(SEARCH("欠",Y231)))</formula>
    </cfRule>
    <cfRule type="cellIs" dxfId="0" priority="4174" operator="equal">
      <formula>"欠"</formula>
    </cfRule>
  </conditionalFormatting>
  <conditionalFormatting sqref="AC231">
    <cfRule type="cellIs" dxfId="0" priority="979" operator="equal">
      <formula>"欠"</formula>
    </cfRule>
  </conditionalFormatting>
  <conditionalFormatting sqref="W234">
    <cfRule type="containsText" dxfId="0" priority="3918" operator="between" text="欠">
      <formula>NOT(ISERROR(SEARCH("欠",W234)))</formula>
    </cfRule>
  </conditionalFormatting>
  <conditionalFormatting sqref="X234">
    <cfRule type="cellIs" dxfId="0" priority="3921" operator="equal">
      <formula>"欠"</formula>
    </cfRule>
  </conditionalFormatting>
  <conditionalFormatting sqref="Y234">
    <cfRule type="containsText" dxfId="0" priority="3919" operator="between" text="欠">
      <formula>NOT(ISERROR(SEARCH("欠",Y234)))</formula>
    </cfRule>
    <cfRule type="cellIs" dxfId="0" priority="3920" operator="equal">
      <formula>"欠"</formula>
    </cfRule>
  </conditionalFormatting>
  <conditionalFormatting sqref="AC235">
    <cfRule type="cellIs" dxfId="0" priority="3809" operator="equal">
      <formula>"欠"</formula>
    </cfRule>
  </conditionalFormatting>
  <conditionalFormatting sqref="W237">
    <cfRule type="containsText" dxfId="0" priority="4017" operator="between" text="欠">
      <formula>NOT(ISERROR(SEARCH("欠",W237)))</formula>
    </cfRule>
  </conditionalFormatting>
  <conditionalFormatting sqref="Y237">
    <cfRule type="containsText" dxfId="0" priority="4018" operator="between" text="欠">
      <formula>NOT(ISERROR(SEARCH("欠",Y237)))</formula>
    </cfRule>
    <cfRule type="cellIs" dxfId="0" priority="4019" operator="equal">
      <formula>"欠"</formula>
    </cfRule>
  </conditionalFormatting>
  <conditionalFormatting sqref="AC237">
    <cfRule type="cellIs" dxfId="0" priority="4013" operator="equal">
      <formula>"欠"</formula>
    </cfRule>
  </conditionalFormatting>
  <conditionalFormatting sqref="Y244">
    <cfRule type="containsText" dxfId="0" priority="3685" operator="between" text="欠">
      <formula>NOT(ISERROR(SEARCH("欠",Y244)))</formula>
    </cfRule>
    <cfRule type="cellIs" dxfId="0" priority="3686" operator="equal">
      <formula>"欠"</formula>
    </cfRule>
  </conditionalFormatting>
  <conditionalFormatting sqref="Y248">
    <cfRule type="containsText" dxfId="0" priority="4227" operator="between" text="欠">
      <formula>NOT(ISERROR(SEARCH("欠",Y248)))</formula>
    </cfRule>
    <cfRule type="cellIs" dxfId="0" priority="4228" operator="equal">
      <formula>"欠"</formula>
    </cfRule>
  </conditionalFormatting>
  <conditionalFormatting sqref="Y253">
    <cfRule type="containsText" dxfId="0" priority="4058" operator="between" text="欠">
      <formula>NOT(ISERROR(SEARCH("欠",Y253)))</formula>
    </cfRule>
    <cfRule type="cellIs" dxfId="0" priority="4059" operator="equal">
      <formula>"欠"</formula>
    </cfRule>
  </conditionalFormatting>
  <conditionalFormatting sqref="AC253">
    <cfRule type="cellIs" dxfId="0" priority="4053" operator="equal">
      <formula>"欠"</formula>
    </cfRule>
  </conditionalFormatting>
  <conditionalFormatting sqref="AC265">
    <cfRule type="cellIs" dxfId="0" priority="3807" operator="equal">
      <formula>"欠"</formula>
    </cfRule>
  </conditionalFormatting>
  <conditionalFormatting sqref="Y266">
    <cfRule type="containsText" dxfId="0" priority="3227" operator="between" text="欠">
      <formula>NOT(ISERROR(SEARCH("欠",Y266)))</formula>
    </cfRule>
    <cfRule type="cellIs" dxfId="0" priority="3229" operator="equal">
      <formula>"欠"</formula>
    </cfRule>
  </conditionalFormatting>
  <conditionalFormatting sqref="X267">
    <cfRule type="cellIs" dxfId="0" priority="3969" operator="equal">
      <formula>"欠"</formula>
    </cfRule>
  </conditionalFormatting>
  <conditionalFormatting sqref="Y267">
    <cfRule type="containsText" dxfId="0" priority="3967" operator="between" text="欠">
      <formula>NOT(ISERROR(SEARCH("欠",Y267)))</formula>
    </cfRule>
    <cfRule type="cellIs" dxfId="0" priority="3968" operator="equal">
      <formula>"欠"</formula>
    </cfRule>
  </conditionalFormatting>
  <conditionalFormatting sqref="AC267">
    <cfRule type="cellIs" dxfId="0" priority="3962" operator="equal">
      <formula>"欠"</formula>
    </cfRule>
  </conditionalFormatting>
  <conditionalFormatting sqref="AC268">
    <cfRule type="cellIs" dxfId="0" priority="4279" operator="equal">
      <formula>"欠"</formula>
    </cfRule>
  </conditionalFormatting>
  <conditionalFormatting sqref="Y269">
    <cfRule type="containsText" dxfId="0" priority="1528" operator="between" text="欠">
      <formula>NOT(ISERROR(SEARCH("欠",Y269)))</formula>
    </cfRule>
    <cfRule type="cellIs" dxfId="0" priority="1538" operator="equal">
      <formula>"欠"</formula>
    </cfRule>
  </conditionalFormatting>
  <conditionalFormatting sqref="W283">
    <cfRule type="containsText" dxfId="0" priority="105" operator="between" text="欠">
      <formula>NOT(ISERROR(SEARCH("欠",W283)))</formula>
    </cfRule>
  </conditionalFormatting>
  <conditionalFormatting sqref="X283">
    <cfRule type="cellIs" dxfId="0" priority="108" operator="equal">
      <formula>"欠"</formula>
    </cfRule>
  </conditionalFormatting>
  <conditionalFormatting sqref="Y283">
    <cfRule type="containsText" dxfId="0" priority="106" operator="between" text="欠">
      <formula>NOT(ISERROR(SEARCH("欠",Y283)))</formula>
    </cfRule>
    <cfRule type="cellIs" dxfId="0" priority="107" operator="equal">
      <formula>"欠"</formula>
    </cfRule>
  </conditionalFormatting>
  <conditionalFormatting sqref="W287">
    <cfRule type="containsText" dxfId="0" priority="1888" operator="between" text="欠">
      <formula>NOT(ISERROR(SEARCH("欠",W287)))</formula>
    </cfRule>
  </conditionalFormatting>
  <conditionalFormatting sqref="X287">
    <cfRule type="containsText" dxfId="0" priority="1891" operator="between" text="欠">
      <formula>NOT(ISERROR(SEARCH("欠",X287)))</formula>
    </cfRule>
    <cfRule type="cellIs" dxfId="0" priority="1892" operator="equal">
      <formula>"欠"</formula>
    </cfRule>
  </conditionalFormatting>
  <conditionalFormatting sqref="Y287">
    <cfRule type="containsText" dxfId="0" priority="1889" operator="between" text="欠">
      <formula>NOT(ISERROR(SEARCH("欠",Y287)))</formula>
    </cfRule>
    <cfRule type="cellIs" dxfId="0" priority="1890" operator="equal">
      <formula>"欠"</formula>
    </cfRule>
  </conditionalFormatting>
  <conditionalFormatting sqref="W296">
    <cfRule type="containsText" dxfId="0" priority="3007" operator="between" text="欠">
      <formula>NOT(ISERROR(SEARCH("欠",W296)))</formula>
    </cfRule>
  </conditionalFormatting>
  <conditionalFormatting sqref="Y296">
    <cfRule type="containsText" dxfId="0" priority="3008" operator="between" text="欠">
      <formula>NOT(ISERROR(SEARCH("欠",Y296)))</formula>
    </cfRule>
    <cfRule type="cellIs" dxfId="0" priority="3009" operator="equal">
      <formula>"欠"</formula>
    </cfRule>
  </conditionalFormatting>
  <conditionalFormatting sqref="W298">
    <cfRule type="containsText" dxfId="0" priority="2619" operator="between" text="欠">
      <formula>NOT(ISERROR(SEARCH("欠",W298)))</formula>
    </cfRule>
  </conditionalFormatting>
  <conditionalFormatting sqref="Y298">
    <cfRule type="containsText" dxfId="0" priority="2623" operator="between" text="欠">
      <formula>NOT(ISERROR(SEARCH("欠",Y298)))</formula>
    </cfRule>
    <cfRule type="cellIs" dxfId="0" priority="2627" operator="equal">
      <formula>"欠"</formula>
    </cfRule>
  </conditionalFormatting>
  <conditionalFormatting sqref="W324">
    <cfRule type="containsText" dxfId="0" priority="2394" operator="between" text="欠">
      <formula>NOT(ISERROR(SEARCH("欠",W324)))</formula>
    </cfRule>
  </conditionalFormatting>
  <conditionalFormatting sqref="Y324">
    <cfRule type="containsText" dxfId="0" priority="2396" operator="between" text="欠">
      <formula>NOT(ISERROR(SEARCH("欠",Y324)))</formula>
    </cfRule>
    <cfRule type="cellIs" dxfId="0" priority="2398" operator="equal">
      <formula>"欠"</formula>
    </cfRule>
  </conditionalFormatting>
  <conditionalFormatting sqref="Y340">
    <cfRule type="containsText" dxfId="0" priority="3927" operator="between" text="欠">
      <formula>NOT(ISERROR(SEARCH("欠",Y340)))</formula>
    </cfRule>
    <cfRule type="cellIs" dxfId="0" priority="3928" operator="equal">
      <formula>"欠"</formula>
    </cfRule>
  </conditionalFormatting>
  <conditionalFormatting sqref="AC340">
    <cfRule type="cellIs" dxfId="0" priority="3922" operator="equal">
      <formula>"欠"</formula>
    </cfRule>
  </conditionalFormatting>
  <conditionalFormatting sqref="W355">
    <cfRule type="containsText" dxfId="0" priority="3350" operator="between" text="欠">
      <formula>NOT(ISERROR(SEARCH("欠",W355)))</formula>
    </cfRule>
  </conditionalFormatting>
  <conditionalFormatting sqref="W358">
    <cfRule type="containsText" dxfId="0" priority="2395" operator="between" text="欠">
      <formula>NOT(ISERROR(SEARCH("欠",W358)))</formula>
    </cfRule>
  </conditionalFormatting>
  <conditionalFormatting sqref="Y358">
    <cfRule type="containsText" dxfId="0" priority="2397" operator="between" text="欠">
      <formula>NOT(ISERROR(SEARCH("欠",Y358)))</formula>
    </cfRule>
    <cfRule type="cellIs" dxfId="0" priority="2399" operator="equal">
      <formula>"欠"</formula>
    </cfRule>
  </conditionalFormatting>
  <conditionalFormatting sqref="W361">
    <cfRule type="containsText" dxfId="0" priority="563" operator="between" text="欠">
      <formula>NOT(ISERROR(SEARCH("欠",W361)))</formula>
    </cfRule>
  </conditionalFormatting>
  <conditionalFormatting sqref="Y361">
    <cfRule type="containsText" dxfId="0" priority="523" operator="between" text="欠">
      <formula>NOT(ISERROR(SEARCH("欠",Y361)))</formula>
    </cfRule>
    <cfRule type="cellIs" dxfId="0" priority="531" operator="equal">
      <formula>"欠"</formula>
    </cfRule>
  </conditionalFormatting>
  <conditionalFormatting sqref="AC361">
    <cfRule type="cellIs" dxfId="0" priority="515" operator="equal">
      <formula>"欠"</formula>
    </cfRule>
  </conditionalFormatting>
  <conditionalFormatting sqref="W362">
    <cfRule type="containsText" dxfId="0" priority="1970" operator="between" text="欠">
      <formula>NOT(ISERROR(SEARCH("欠",W362)))</formula>
    </cfRule>
  </conditionalFormatting>
  <conditionalFormatting sqref="X362">
    <cfRule type="containsText" dxfId="0" priority="1951" operator="between" text="欠">
      <formula>NOT(ISERROR(SEARCH("欠",X362)))</formula>
    </cfRule>
    <cfRule type="cellIs" dxfId="0" priority="1955" operator="equal">
      <formula>"欠"</formula>
    </cfRule>
  </conditionalFormatting>
  <conditionalFormatting sqref="Y362">
    <cfRule type="containsText" dxfId="0" priority="1971" operator="between" text="欠">
      <formula>NOT(ISERROR(SEARCH("欠",Y362)))</formula>
    </cfRule>
    <cfRule type="cellIs" dxfId="0" priority="1972" operator="equal">
      <formula>"欠"</formula>
    </cfRule>
  </conditionalFormatting>
  <conditionalFormatting sqref="Y364">
    <cfRule type="containsText" dxfId="0" priority="991" operator="between" text="欠">
      <formula>NOT(ISERROR(SEARCH("欠",Y364)))</formula>
    </cfRule>
    <cfRule type="cellIs" dxfId="0" priority="997" operator="equal">
      <formula>"欠"</formula>
    </cfRule>
  </conditionalFormatting>
  <conditionalFormatting sqref="W365">
    <cfRule type="containsText" dxfId="0" priority="1241" operator="between" text="欠">
      <formula>NOT(ISERROR(SEARCH("欠",W365)))</formula>
    </cfRule>
    <cfRule type="cellIs" dxfId="0" priority="1249" operator="equal">
      <formula>"欠"</formula>
    </cfRule>
  </conditionalFormatting>
  <conditionalFormatting sqref="Y365">
    <cfRule type="containsText" dxfId="0" priority="1242" operator="between" text="欠">
      <formula>NOT(ISERROR(SEARCH("欠",Y365)))</formula>
    </cfRule>
    <cfRule type="containsText" dxfId="1" priority="1244" operator="between" text="欠">
      <formula>NOT(ISERROR(SEARCH("欠",Y365)))</formula>
    </cfRule>
    <cfRule type="cellIs" dxfId="0" priority="1246" operator="equal">
      <formula>"欠"</formula>
    </cfRule>
  </conditionalFormatting>
  <conditionalFormatting sqref="Y366">
    <cfRule type="containsText" dxfId="0" priority="1305" operator="between" text="欠">
      <formula>NOT(ISERROR(SEARCH("欠",Y366)))</formula>
    </cfRule>
    <cfRule type="cellIs" dxfId="0" priority="1310" operator="equal">
      <formula>"欠"</formula>
    </cfRule>
  </conditionalFormatting>
  <conditionalFormatting sqref="Y367">
    <cfRule type="containsText" dxfId="0" priority="1251" operator="between" text="欠">
      <formula>NOT(ISERROR(SEARCH("欠",Y367)))</formula>
    </cfRule>
    <cfRule type="cellIs" dxfId="0" priority="1252" operator="equal">
      <formula>"欠"</formula>
    </cfRule>
  </conditionalFormatting>
  <conditionalFormatting sqref="W370">
    <cfRule type="containsText" dxfId="0" priority="430" operator="between" text="欠">
      <formula>NOT(ISERROR(SEARCH("欠",W370)))</formula>
    </cfRule>
  </conditionalFormatting>
  <conditionalFormatting sqref="Y370">
    <cfRule type="containsText" dxfId="0" priority="441" operator="between" text="欠">
      <formula>NOT(ISERROR(SEARCH("欠",Y370)))</formula>
    </cfRule>
    <cfRule type="cellIs" dxfId="0" priority="452" operator="equal">
      <formula>"欠"</formula>
    </cfRule>
  </conditionalFormatting>
  <conditionalFormatting sqref="W376">
    <cfRule type="containsText" dxfId="0" priority="1258" operator="between" text="欠">
      <formula>NOT(ISERROR(SEARCH("欠",W376)))</formula>
    </cfRule>
  </conditionalFormatting>
  <conditionalFormatting sqref="X376">
    <cfRule type="containsText" dxfId="0" priority="1261" operator="between" text="欠">
      <formula>NOT(ISERROR(SEARCH("欠",X376)))</formula>
    </cfRule>
    <cfRule type="cellIs" dxfId="0" priority="1262" operator="equal">
      <formula>"欠"</formula>
    </cfRule>
  </conditionalFormatting>
  <conditionalFormatting sqref="Y376">
    <cfRule type="containsText" dxfId="0" priority="1259" operator="between" text="欠">
      <formula>NOT(ISERROR(SEARCH("欠",Y376)))</formula>
    </cfRule>
    <cfRule type="cellIs" dxfId="0" priority="1260" operator="equal">
      <formula>"欠"</formula>
    </cfRule>
  </conditionalFormatting>
  <conditionalFormatting sqref="W381">
    <cfRule type="containsText" dxfId="3" priority="19" operator="between" text="欠">
      <formula>NOT(ISERROR(SEARCH("欠",W381)))</formula>
    </cfRule>
    <cfRule type="containsText" dxfId="0" priority="28" operator="between" text="欠">
      <formula>NOT(ISERROR(SEARCH("欠",W381)))</formula>
    </cfRule>
  </conditionalFormatting>
  <conditionalFormatting sqref="Y381:Z381">
    <cfRule type="containsText" dxfId="0" priority="20" operator="between" text="欠">
      <formula>NOT(ISERROR(SEARCH("欠",Y381)))</formula>
    </cfRule>
    <cfRule type="cellIs" dxfId="0" priority="21" operator="equal">
      <formula>"欠"</formula>
    </cfRule>
  </conditionalFormatting>
  <conditionalFormatting sqref="AA381:AB381">
    <cfRule type="containsText" dxfId="0" priority="24" operator="between" text="欠">
      <formula>NOT(ISERROR(SEARCH("欠",AA381)))</formula>
    </cfRule>
    <cfRule type="containsText" dxfId="1" priority="25" operator="between" text="欠">
      <formula>NOT(ISERROR(SEARCH("欠",AA381)))</formula>
    </cfRule>
    <cfRule type="cellIs" dxfId="0" priority="26" operator="equal">
      <formula>"欠"</formula>
    </cfRule>
  </conditionalFormatting>
  <conditionalFormatting sqref="AC381">
    <cfRule type="cellIs" dxfId="0" priority="27" operator="equal">
      <formula>"欠"</formula>
    </cfRule>
  </conditionalFormatting>
  <conditionalFormatting sqref="AJ381">
    <cfRule type="cellIs" dxfId="2" priority="22" operator="equal">
      <formula>"未完成"</formula>
    </cfRule>
    <cfRule type="cellIs" dxfId="0" priority="23" operator="equal">
      <formula>"未完成"</formula>
    </cfRule>
  </conditionalFormatting>
  <conditionalFormatting sqref="X382">
    <cfRule type="cellIs" dxfId="0" priority="3977" operator="equal">
      <formula>"欠"</formula>
    </cfRule>
  </conditionalFormatting>
  <conditionalFormatting sqref="Y382">
    <cfRule type="containsText" dxfId="0" priority="3975" operator="between" text="欠">
      <formula>NOT(ISERROR(SEARCH("欠",Y382)))</formula>
    </cfRule>
    <cfRule type="cellIs" dxfId="0" priority="3976" operator="equal">
      <formula>"欠"</formula>
    </cfRule>
  </conditionalFormatting>
  <conditionalFormatting sqref="AC382">
    <cfRule type="cellIs" dxfId="0" priority="3970" operator="equal">
      <formula>"欠"</formula>
    </cfRule>
  </conditionalFormatting>
  <conditionalFormatting sqref="X393">
    <cfRule type="containsText" dxfId="0" priority="112" operator="between" text="欠">
      <formula>NOT(ISERROR(SEARCH("欠",X393)))</formula>
    </cfRule>
    <cfRule type="cellIs" dxfId="0" priority="113" operator="equal">
      <formula>"欠"</formula>
    </cfRule>
  </conditionalFormatting>
  <conditionalFormatting sqref="AC393">
    <cfRule type="cellIs" dxfId="0" priority="118" operator="equal">
      <formula>"欠"</formula>
    </cfRule>
  </conditionalFormatting>
  <conditionalFormatting sqref="W394">
    <cfRule type="containsText" dxfId="0" priority="62" operator="between" text="欠">
      <formula>NOT(ISERROR(SEARCH("欠",W394)))</formula>
    </cfRule>
  </conditionalFormatting>
  <conditionalFormatting sqref="X394">
    <cfRule type="containsText" dxfId="0" priority="65" operator="between" text="欠">
      <formula>NOT(ISERROR(SEARCH("欠",X394)))</formula>
    </cfRule>
    <cfRule type="cellIs" dxfId="0" priority="66" operator="equal">
      <formula>"欠"</formula>
    </cfRule>
  </conditionalFormatting>
  <conditionalFormatting sqref="Y394">
    <cfRule type="containsText" dxfId="0" priority="63" operator="between" text="欠">
      <formula>NOT(ISERROR(SEARCH("欠",Y394)))</formula>
    </cfRule>
    <cfRule type="cellIs" dxfId="0" priority="64" operator="equal">
      <formula>"欠"</formula>
    </cfRule>
  </conditionalFormatting>
  <conditionalFormatting sqref="Y401">
    <cfRule type="containsText" dxfId="0" priority="1524" operator="between" text="欠">
      <formula>NOT(ISERROR(SEARCH("欠",Y401)))</formula>
    </cfRule>
    <cfRule type="cellIs" dxfId="0" priority="1534" operator="equal">
      <formula>"欠"</formula>
    </cfRule>
  </conditionalFormatting>
  <conditionalFormatting sqref="Y404">
    <cfRule type="containsText" dxfId="0" priority="588" operator="between" text="欠">
      <formula>NOT(ISERROR(SEARCH("欠",Y404)))</formula>
    </cfRule>
    <cfRule type="cellIs" dxfId="0" priority="589" operator="equal">
      <formula>"欠"</formula>
    </cfRule>
  </conditionalFormatting>
  <conditionalFormatting sqref="W412">
    <cfRule type="containsText" dxfId="0" priority="2978" operator="between" text="欠">
      <formula>NOT(ISERROR(SEARCH("欠",W412)))</formula>
    </cfRule>
  </conditionalFormatting>
  <conditionalFormatting sqref="Y412">
    <cfRule type="containsText" dxfId="0" priority="2979" operator="between" text="欠">
      <formula>NOT(ISERROR(SEARCH("欠",Y412)))</formula>
    </cfRule>
    <cfRule type="cellIs" dxfId="0" priority="2980" operator="equal">
      <formula>"欠"</formula>
    </cfRule>
  </conditionalFormatting>
  <conditionalFormatting sqref="Y418">
    <cfRule type="containsText" dxfId="0" priority="3736" operator="between" text="欠">
      <formula>NOT(ISERROR(SEARCH("欠",Y418)))</formula>
    </cfRule>
    <cfRule type="cellIs" dxfId="0" priority="3737" operator="equal">
      <formula>"欠"</formula>
    </cfRule>
  </conditionalFormatting>
  <conditionalFormatting sqref="AC418">
    <cfRule type="cellIs" dxfId="0" priority="3930" operator="equal">
      <formula>"欠"</formula>
    </cfRule>
  </conditionalFormatting>
  <conditionalFormatting sqref="Y421">
    <cfRule type="containsText" dxfId="0" priority="3237" operator="between" text="欠">
      <formula>NOT(ISERROR(SEARCH("欠",Y421)))</formula>
    </cfRule>
    <cfRule type="cellIs" dxfId="0" priority="3238" operator="equal">
      <formula>"欠"</formula>
    </cfRule>
  </conditionalFormatting>
  <conditionalFormatting sqref="Y426">
    <cfRule type="containsText" dxfId="0" priority="590" operator="between" text="欠">
      <formula>NOT(ISERROR(SEARCH("欠",Y426)))</formula>
    </cfRule>
    <cfRule type="cellIs" dxfId="0" priority="591" operator="equal">
      <formula>"欠"</formula>
    </cfRule>
  </conditionalFormatting>
  <conditionalFormatting sqref="X428">
    <cfRule type="cellIs" dxfId="0" priority="3360" operator="equal">
      <formula>"欠"</formula>
    </cfRule>
  </conditionalFormatting>
  <conditionalFormatting sqref="Y428">
    <cfRule type="containsText" dxfId="0" priority="3358" operator="between" text="欠">
      <formula>NOT(ISERROR(SEARCH("欠",Y428)))</formula>
    </cfRule>
    <cfRule type="cellIs" dxfId="0" priority="3359" operator="equal">
      <formula>"欠"</formula>
    </cfRule>
  </conditionalFormatting>
  <conditionalFormatting sqref="W431">
    <cfRule type="containsText" dxfId="0" priority="3449" operator="between" text="欠">
      <formula>NOT(ISERROR(SEARCH("欠",W431)))</formula>
    </cfRule>
  </conditionalFormatting>
  <conditionalFormatting sqref="X431">
    <cfRule type="containsText" dxfId="0" priority="3452" operator="between" text="欠">
      <formula>NOT(ISERROR(SEARCH("欠",X431)))</formula>
    </cfRule>
    <cfRule type="cellIs" dxfId="0" priority="3453" operator="equal">
      <formula>"欠"</formula>
    </cfRule>
  </conditionalFormatting>
  <conditionalFormatting sqref="W432">
    <cfRule type="containsText" dxfId="0" priority="4345" operator="between" text="欠">
      <formula>NOT(ISERROR(SEARCH("欠",W432)))</formula>
    </cfRule>
  </conditionalFormatting>
  <conditionalFormatting sqref="X432">
    <cfRule type="cellIs" dxfId="0" priority="4351" operator="equal">
      <formula>"欠"</formula>
    </cfRule>
  </conditionalFormatting>
  <conditionalFormatting sqref="Y433">
    <cfRule type="containsText" dxfId="0" priority="1307" operator="between" text="欠">
      <formula>NOT(ISERROR(SEARCH("欠",Y433)))</formula>
    </cfRule>
    <cfRule type="cellIs" dxfId="0" priority="1312" operator="equal">
      <formula>"欠"</formula>
    </cfRule>
  </conditionalFormatting>
  <conditionalFormatting sqref="W435">
    <cfRule type="containsText" dxfId="0" priority="4320" operator="between" text="欠">
      <formula>NOT(ISERROR(SEARCH("欠",W435)))</formula>
    </cfRule>
  </conditionalFormatting>
  <conditionalFormatting sqref="X435">
    <cfRule type="cellIs" dxfId="0" priority="4323" operator="equal">
      <formula>"欠"</formula>
    </cfRule>
  </conditionalFormatting>
  <conditionalFormatting sqref="Y435">
    <cfRule type="containsText" dxfId="0" priority="4321" operator="between" text="欠">
      <formula>NOT(ISERROR(SEARCH("欠",Y435)))</formula>
    </cfRule>
    <cfRule type="cellIs" dxfId="0" priority="4322" operator="equal">
      <formula>"欠"</formula>
    </cfRule>
  </conditionalFormatting>
  <conditionalFormatting sqref="X437">
    <cfRule type="cellIs" dxfId="0" priority="3029" operator="equal">
      <formula>"欠"</formula>
    </cfRule>
  </conditionalFormatting>
  <conditionalFormatting sqref="X439">
    <cfRule type="containsText" dxfId="0" priority="3389" operator="between" text="欠">
      <formula>NOT(ISERROR(SEARCH("欠",X439)))</formula>
    </cfRule>
    <cfRule type="cellIs" dxfId="0" priority="3390" operator="equal">
      <formula>"欠"</formula>
    </cfRule>
  </conditionalFormatting>
  <conditionalFormatting sqref="Y443">
    <cfRule type="containsText" dxfId="0" priority="210" operator="between" text="欠">
      <formula>NOT(ISERROR(SEARCH("欠",Y443)))</formula>
    </cfRule>
    <cfRule type="cellIs" dxfId="0" priority="216" operator="equal">
      <formula>"欠"</formula>
    </cfRule>
  </conditionalFormatting>
  <conditionalFormatting sqref="W445">
    <cfRule type="containsText" dxfId="0" priority="322" operator="between" text="欠">
      <formula>NOT(ISERROR(SEARCH("欠",W445)))</formula>
    </cfRule>
  </conditionalFormatting>
  <conditionalFormatting sqref="Y445">
    <cfRule type="containsText" dxfId="0" priority="323" operator="between" text="欠">
      <formula>NOT(ISERROR(SEARCH("欠",Y445)))</formula>
    </cfRule>
    <cfRule type="cellIs" dxfId="0" priority="324" operator="equal">
      <formula>"欠"</formula>
    </cfRule>
  </conditionalFormatting>
  <conditionalFormatting sqref="W446">
    <cfRule type="containsText" dxfId="0" priority="420" operator="between" text="欠">
      <formula>NOT(ISERROR(SEARCH("欠",W446)))</formula>
    </cfRule>
  </conditionalFormatting>
  <conditionalFormatting sqref="X457">
    <cfRule type="cellIs" dxfId="0" priority="2082" operator="equal">
      <formula>"欠"</formula>
    </cfRule>
  </conditionalFormatting>
  <conditionalFormatting sqref="Y457">
    <cfRule type="containsText" dxfId="0" priority="2080" operator="between" text="欠">
      <formula>NOT(ISERROR(SEARCH("欠",Y457)))</formula>
    </cfRule>
    <cfRule type="cellIs" dxfId="0" priority="2081" operator="equal">
      <formula>"欠"</formula>
    </cfRule>
  </conditionalFormatting>
  <conditionalFormatting sqref="AC464">
    <cfRule type="cellIs" dxfId="0" priority="3797" operator="equal">
      <formula>"欠"</formula>
    </cfRule>
  </conditionalFormatting>
  <conditionalFormatting sqref="X470">
    <cfRule type="containsText" dxfId="0" priority="455" operator="between" text="欠">
      <formula>NOT(ISERROR(SEARCH("欠",X470)))</formula>
    </cfRule>
    <cfRule type="cellIs" dxfId="0" priority="466" operator="equal">
      <formula>"欠"</formula>
    </cfRule>
  </conditionalFormatting>
  <conditionalFormatting sqref="W471">
    <cfRule type="containsText" dxfId="0" priority="598" operator="between" text="欠">
      <formula>NOT(ISERROR(SEARCH("欠",W471)))</formula>
    </cfRule>
  </conditionalFormatting>
  <conditionalFormatting sqref="X471">
    <cfRule type="containsText" dxfId="0" priority="601" operator="between" text="欠">
      <formula>NOT(ISERROR(SEARCH("欠",X471)))</formula>
    </cfRule>
    <cfRule type="cellIs" dxfId="0" priority="602" operator="equal">
      <formula>"欠"</formula>
    </cfRule>
  </conditionalFormatting>
  <conditionalFormatting sqref="Y471">
    <cfRule type="containsText" dxfId="0" priority="599" operator="between" text="欠">
      <formula>NOT(ISERROR(SEARCH("欠",Y471)))</formula>
    </cfRule>
    <cfRule type="cellIs" dxfId="0" priority="600" operator="equal">
      <formula>"欠"</formula>
    </cfRule>
  </conditionalFormatting>
  <conditionalFormatting sqref="X486">
    <cfRule type="cellIs" dxfId="0" priority="3095" operator="equal">
      <formula>"欠"</formula>
    </cfRule>
  </conditionalFormatting>
  <conditionalFormatting sqref="Y489">
    <cfRule type="containsText" dxfId="0" priority="3243" operator="between" text="欠">
      <formula>NOT(ISERROR(SEARCH("欠",Y489)))</formula>
    </cfRule>
    <cfRule type="cellIs" dxfId="0" priority="3244" operator="equal">
      <formula>"欠"</formula>
    </cfRule>
  </conditionalFormatting>
  <conditionalFormatting sqref="W492">
    <cfRule type="containsText" dxfId="0" priority="1757" operator="between" text="欠">
      <formula>NOT(ISERROR(SEARCH("欠",W492)))</formula>
    </cfRule>
    <cfRule type="cellIs" dxfId="0" priority="1765" operator="equal">
      <formula>"欠"</formula>
    </cfRule>
  </conditionalFormatting>
  <conditionalFormatting sqref="Y494">
    <cfRule type="containsText" dxfId="0" priority="2059" operator="between" text="欠">
      <formula>NOT(ISERROR(SEARCH("欠",Y494)))</formula>
    </cfRule>
    <cfRule type="cellIs" dxfId="0" priority="2060" operator="equal">
      <formula>"欠"</formula>
    </cfRule>
  </conditionalFormatting>
  <conditionalFormatting sqref="W497">
    <cfRule type="containsText" dxfId="0" priority="1941" operator="between" text="欠">
      <formula>NOT(ISERROR(SEARCH("欠",W497)))</formula>
    </cfRule>
  </conditionalFormatting>
  <conditionalFormatting sqref="X497">
    <cfRule type="containsText" dxfId="0" priority="1953" operator="between" text="欠">
      <formula>NOT(ISERROR(SEARCH("欠",X497)))</formula>
    </cfRule>
    <cfRule type="cellIs" dxfId="0" priority="1957" operator="equal">
      <formula>"欠"</formula>
    </cfRule>
  </conditionalFormatting>
  <conditionalFormatting sqref="Y497">
    <cfRule type="containsText" dxfId="0" priority="1945" operator="between" text="欠">
      <formula>NOT(ISERROR(SEARCH("欠",Y497)))</formula>
    </cfRule>
    <cfRule type="cellIs" dxfId="0" priority="1949" operator="equal">
      <formula>"欠"</formula>
    </cfRule>
  </conditionalFormatting>
  <conditionalFormatting sqref="W499">
    <cfRule type="containsText" dxfId="0" priority="3115" operator="between" text="欠">
      <formula>NOT(ISERROR(SEARCH("欠",W499)))</formula>
    </cfRule>
  </conditionalFormatting>
  <conditionalFormatting sqref="Y499">
    <cfRule type="containsText" dxfId="0" priority="3351" operator="between" text="欠">
      <formula>NOT(ISERROR(SEARCH("欠",Y499)))</formula>
    </cfRule>
    <cfRule type="cellIs" dxfId="0" priority="3352" operator="equal">
      <formula>"欠"</formula>
    </cfRule>
  </conditionalFormatting>
  <conditionalFormatting sqref="W504">
    <cfRule type="containsText" dxfId="0" priority="82" operator="between" text="欠">
      <formula>NOT(ISERROR(SEARCH("欠",W504)))</formula>
    </cfRule>
  </conditionalFormatting>
  <conditionalFormatting sqref="X504">
    <cfRule type="cellIs" dxfId="0" priority="85" operator="equal">
      <formula>"欠"</formula>
    </cfRule>
  </conditionalFormatting>
  <conditionalFormatting sqref="Y504">
    <cfRule type="containsText" dxfId="0" priority="83" operator="between" text="欠">
      <formula>NOT(ISERROR(SEARCH("欠",Y504)))</formula>
    </cfRule>
    <cfRule type="cellIs" dxfId="0" priority="84" operator="equal">
      <formula>"欠"</formula>
    </cfRule>
  </conditionalFormatting>
  <conditionalFormatting sqref="AC504">
    <cfRule type="cellIs" dxfId="0" priority="78" operator="equal">
      <formula>"欠"</formula>
    </cfRule>
  </conditionalFormatting>
  <conditionalFormatting sqref="AC510">
    <cfRule type="cellIs" dxfId="0" priority="508" operator="equal">
      <formula>"欠"</formula>
    </cfRule>
  </conditionalFormatting>
  <conditionalFormatting sqref="Y522">
    <cfRule type="containsText" dxfId="0" priority="163" operator="between" text="欠">
      <formula>NOT(ISERROR(SEARCH("欠",Y522)))</formula>
    </cfRule>
    <cfRule type="cellIs" dxfId="0" priority="169" operator="equal">
      <formula>"欠"</formula>
    </cfRule>
  </conditionalFormatting>
  <conditionalFormatting sqref="W525">
    <cfRule type="containsText" dxfId="0" priority="1940" operator="between" text="欠">
      <formula>NOT(ISERROR(SEARCH("欠",W525)))</formula>
    </cfRule>
  </conditionalFormatting>
  <conditionalFormatting sqref="X525">
    <cfRule type="containsText" dxfId="0" priority="1952" operator="between" text="欠">
      <formula>NOT(ISERROR(SEARCH("欠",X525)))</formula>
    </cfRule>
    <cfRule type="cellIs" dxfId="0" priority="1956" operator="equal">
      <formula>"欠"</formula>
    </cfRule>
  </conditionalFormatting>
  <conditionalFormatting sqref="Y525">
    <cfRule type="containsText" dxfId="0" priority="1944" operator="between" text="欠">
      <formula>NOT(ISERROR(SEARCH("欠",Y525)))</formula>
    </cfRule>
    <cfRule type="cellIs" dxfId="0" priority="1948" operator="equal">
      <formula>"欠"</formula>
    </cfRule>
  </conditionalFormatting>
  <conditionalFormatting sqref="Y530">
    <cfRule type="containsText" dxfId="0" priority="3542" operator="between" text="欠">
      <formula>NOT(ISERROR(SEARCH("欠",Y530)))</formula>
    </cfRule>
    <cfRule type="cellIs" dxfId="0" priority="3547" operator="equal">
      <formula>"欠"</formula>
    </cfRule>
  </conditionalFormatting>
  <conditionalFormatting sqref="Y542">
    <cfRule type="containsText" dxfId="0" priority="3037" operator="between" text="欠">
      <formula>NOT(ISERROR(SEARCH("欠",Y542)))</formula>
    </cfRule>
    <cfRule type="cellIs" dxfId="0" priority="3038" operator="equal">
      <formula>"欠"</formula>
    </cfRule>
  </conditionalFormatting>
  <conditionalFormatting sqref="W555">
    <cfRule type="containsText" dxfId="0" priority="560" operator="between" text="欠">
      <formula>NOT(ISERROR(SEARCH("欠",W555)))</formula>
    </cfRule>
  </conditionalFormatting>
  <conditionalFormatting sqref="AC555">
    <cfRule type="cellIs" dxfId="0" priority="512" operator="equal">
      <formula>"欠"</formula>
    </cfRule>
  </conditionalFormatting>
  <conditionalFormatting sqref="W556">
    <cfRule type="containsText" dxfId="0" priority="2072" operator="between" text="欠">
      <formula>NOT(ISERROR(SEARCH("欠",W556)))</formula>
    </cfRule>
  </conditionalFormatting>
  <conditionalFormatting sqref="X556">
    <cfRule type="cellIs" dxfId="0" priority="2075" operator="equal">
      <formula>"欠"</formula>
    </cfRule>
  </conditionalFormatting>
  <conditionalFormatting sqref="Y556">
    <cfRule type="containsText" dxfId="0" priority="2073" operator="between" text="欠">
      <formula>NOT(ISERROR(SEARCH("欠",Y556)))</formula>
    </cfRule>
    <cfRule type="cellIs" dxfId="0" priority="2074" operator="equal">
      <formula>"欠"</formula>
    </cfRule>
  </conditionalFormatting>
  <conditionalFormatting sqref="Y562">
    <cfRule type="containsText" dxfId="0" priority="2622" operator="between" text="欠">
      <formula>NOT(ISERROR(SEARCH("欠",Y562)))</formula>
    </cfRule>
    <cfRule type="cellIs" dxfId="0" priority="2626" operator="equal">
      <formula>"欠"</formula>
    </cfRule>
  </conditionalFormatting>
  <conditionalFormatting sqref="W565">
    <cfRule type="containsText" dxfId="0" priority="2091" operator="between" text="欠">
      <formula>NOT(ISERROR(SEARCH("欠",W565)))</formula>
    </cfRule>
  </conditionalFormatting>
  <conditionalFormatting sqref="W567">
    <cfRule type="containsText" dxfId="0" priority="2026" operator="between" text="欠">
      <formula>NOT(ISERROR(SEARCH("欠",W567)))</formula>
    </cfRule>
  </conditionalFormatting>
  <conditionalFormatting sqref="X567">
    <cfRule type="containsText" dxfId="0" priority="2029" operator="between" text="欠">
      <formula>NOT(ISERROR(SEARCH("欠",X567)))</formula>
    </cfRule>
    <cfRule type="cellIs" dxfId="0" priority="2030" operator="equal">
      <formula>"欠"</formula>
    </cfRule>
  </conditionalFormatting>
  <conditionalFormatting sqref="W568">
    <cfRule type="containsText" dxfId="0" priority="89" operator="between" text="欠">
      <formula>NOT(ISERROR(SEARCH("欠",W568)))</formula>
    </cfRule>
  </conditionalFormatting>
  <conditionalFormatting sqref="X568">
    <cfRule type="containsText" dxfId="0" priority="92" operator="between" text="欠">
      <formula>NOT(ISERROR(SEARCH("欠",X568)))</formula>
    </cfRule>
    <cfRule type="cellIs" dxfId="0" priority="93" operator="equal">
      <formula>"欠"</formula>
    </cfRule>
  </conditionalFormatting>
  <conditionalFormatting sqref="Y568">
    <cfRule type="containsText" dxfId="0" priority="90" operator="between" text="欠">
      <formula>NOT(ISERROR(SEARCH("欠",Y568)))</formula>
    </cfRule>
    <cfRule type="cellIs" dxfId="0" priority="91" operator="equal">
      <formula>"欠"</formula>
    </cfRule>
  </conditionalFormatting>
  <conditionalFormatting sqref="X569">
    <cfRule type="containsText" dxfId="0" priority="254" operator="between" text="欠">
      <formula>NOT(ISERROR(SEARCH("欠",X569)))</formula>
    </cfRule>
    <cfRule type="cellIs" dxfId="0" priority="255" operator="equal">
      <formula>"欠"</formula>
    </cfRule>
  </conditionalFormatting>
  <conditionalFormatting sqref="W575">
    <cfRule type="containsText" dxfId="0" priority="2018" operator="between" text="欠">
      <formula>NOT(ISERROR(SEARCH("欠",W575)))</formula>
    </cfRule>
  </conditionalFormatting>
  <conditionalFormatting sqref="X575">
    <cfRule type="containsText" dxfId="0" priority="2021" operator="between" text="欠">
      <formula>NOT(ISERROR(SEARCH("欠",X575)))</formula>
    </cfRule>
    <cfRule type="cellIs" dxfId="0" priority="2022" operator="equal">
      <formula>"欠"</formula>
    </cfRule>
  </conditionalFormatting>
  <conditionalFormatting sqref="Y575">
    <cfRule type="containsText" dxfId="0" priority="2019" operator="between" text="欠">
      <formula>NOT(ISERROR(SEARCH("欠",Y575)))</formula>
    </cfRule>
    <cfRule type="cellIs" dxfId="0" priority="2020" operator="equal">
      <formula>"欠"</formula>
    </cfRule>
  </conditionalFormatting>
  <conditionalFormatting sqref="W580">
    <cfRule type="containsText" dxfId="0" priority="557" operator="between" text="欠">
      <formula>NOT(ISERROR(SEARCH("欠",W580)))</formula>
    </cfRule>
  </conditionalFormatting>
  <conditionalFormatting sqref="Y580">
    <cfRule type="containsText" dxfId="0" priority="517" operator="between" text="欠">
      <formula>NOT(ISERROR(SEARCH("欠",Y580)))</formula>
    </cfRule>
    <cfRule type="cellIs" dxfId="0" priority="525" operator="equal">
      <formula>"欠"</formula>
    </cfRule>
  </conditionalFormatting>
  <conditionalFormatting sqref="AC580">
    <cfRule type="cellIs" dxfId="0" priority="509" operator="equal">
      <formula>"欠"</formula>
    </cfRule>
  </conditionalFormatting>
  <conditionalFormatting sqref="W588">
    <cfRule type="containsText" dxfId="0" priority="98" operator="between" text="欠">
      <formula>NOT(ISERROR(SEARCH("欠",W588)))</formula>
    </cfRule>
  </conditionalFormatting>
  <conditionalFormatting sqref="X588">
    <cfRule type="containsText" dxfId="0" priority="96" operator="between" text="欠">
      <formula>NOT(ISERROR(SEARCH("欠",X588)))</formula>
    </cfRule>
    <cfRule type="cellIs" dxfId="0" priority="97" operator="equal">
      <formula>"欠"</formula>
    </cfRule>
  </conditionalFormatting>
  <conditionalFormatting sqref="Y588">
    <cfRule type="containsText" dxfId="0" priority="94" operator="between" text="欠">
      <formula>NOT(ISERROR(SEARCH("欠",Y588)))</formula>
    </cfRule>
    <cfRule type="cellIs" dxfId="0" priority="95" operator="equal">
      <formula>"欠"</formula>
    </cfRule>
  </conditionalFormatting>
  <conditionalFormatting sqref="W590">
    <cfRule type="containsText" dxfId="0" priority="2985" operator="between" text="欠">
      <formula>NOT(ISERROR(SEARCH("欠",W590)))</formula>
    </cfRule>
  </conditionalFormatting>
  <conditionalFormatting sqref="Y590">
    <cfRule type="containsText" dxfId="0" priority="2990" operator="between" text="欠">
      <formula>NOT(ISERROR(SEARCH("欠",Y590)))</formula>
    </cfRule>
    <cfRule type="cellIs" dxfId="0" priority="2991" operator="equal">
      <formula>"欠"</formula>
    </cfRule>
  </conditionalFormatting>
  <conditionalFormatting sqref="X591">
    <cfRule type="cellIs" dxfId="0" priority="1121" operator="equal">
      <formula>"欠"</formula>
    </cfRule>
  </conditionalFormatting>
  <conditionalFormatting sqref="Y591">
    <cfRule type="containsText" dxfId="0" priority="1119" operator="between" text="欠">
      <formula>NOT(ISERROR(SEARCH("欠",Y591)))</formula>
    </cfRule>
    <cfRule type="cellIs" dxfId="0" priority="1120" operator="equal">
      <formula>"欠"</formula>
    </cfRule>
  </conditionalFormatting>
  <conditionalFormatting sqref="AC602">
    <cfRule type="cellIs" dxfId="0" priority="513" operator="equal">
      <formula>"欠"</formula>
    </cfRule>
  </conditionalFormatting>
  <conditionalFormatting sqref="W609">
    <cfRule type="containsText" dxfId="0" priority="427" operator="between" text="欠">
      <formula>NOT(ISERROR(SEARCH("欠",W609)))</formula>
    </cfRule>
  </conditionalFormatting>
  <conditionalFormatting sqref="X609">
    <cfRule type="containsText" dxfId="0" priority="460" operator="between" text="欠">
      <formula>NOT(ISERROR(SEARCH("欠",X609)))</formula>
    </cfRule>
    <cfRule type="cellIs" dxfId="0" priority="471" operator="equal">
      <formula>"欠"</formula>
    </cfRule>
  </conditionalFormatting>
  <conditionalFormatting sqref="Y609">
    <cfRule type="containsText" dxfId="0" priority="438" operator="between" text="欠">
      <formula>NOT(ISERROR(SEARCH("欠",Y609)))</formula>
    </cfRule>
    <cfRule type="cellIs" dxfId="0" priority="449" operator="equal">
      <formula>"欠"</formula>
    </cfRule>
  </conditionalFormatting>
  <conditionalFormatting sqref="W617">
    <cfRule type="containsText" dxfId="0" priority="984" operator="between" text="欠">
      <formula>NOT(ISERROR(SEARCH("欠",W617)))</formula>
    </cfRule>
  </conditionalFormatting>
  <conditionalFormatting sqref="W619">
    <cfRule type="containsText" dxfId="0" priority="798" operator="between" text="欠">
      <formula>NOT(ISERROR(SEARCH("欠",W619)))</formula>
    </cfRule>
  </conditionalFormatting>
  <conditionalFormatting sqref="X619">
    <cfRule type="containsText" dxfId="0" priority="801" operator="between" text="欠">
      <formula>NOT(ISERROR(SEARCH("欠",X619)))</formula>
    </cfRule>
    <cfRule type="cellIs" dxfId="0" priority="802" operator="equal">
      <formula>"欠"</formula>
    </cfRule>
  </conditionalFormatting>
  <conditionalFormatting sqref="Y619">
    <cfRule type="containsText" dxfId="0" priority="799" operator="between" text="欠">
      <formula>NOT(ISERROR(SEARCH("欠",Y619)))</formula>
    </cfRule>
    <cfRule type="cellIs" dxfId="0" priority="800" operator="equal">
      <formula>"欠"</formula>
    </cfRule>
  </conditionalFormatting>
  <conditionalFormatting sqref="Y624">
    <cfRule type="containsText" dxfId="0" priority="308" operator="between" text="欠">
      <formula>NOT(ISERROR(SEARCH("欠",Y624)))</formula>
    </cfRule>
    <cfRule type="cellIs" dxfId="0" priority="309" operator="equal">
      <formula>"欠"</formula>
    </cfRule>
  </conditionalFormatting>
  <conditionalFormatting sqref="W627">
    <cfRule type="containsText" dxfId="0" priority="2292" operator="between" text="欠">
      <formula>NOT(ISERROR(SEARCH("欠",W627)))</formula>
    </cfRule>
  </conditionalFormatting>
  <conditionalFormatting sqref="X627">
    <cfRule type="containsText" dxfId="0" priority="2323" operator="between" text="欠">
      <formula>NOT(ISERROR(SEARCH("欠",X627)))</formula>
    </cfRule>
    <cfRule type="cellIs" dxfId="0" priority="2333" operator="equal">
      <formula>"欠"</formula>
    </cfRule>
  </conditionalFormatting>
  <conditionalFormatting sqref="Y633">
    <cfRule type="containsText" dxfId="0" priority="209" operator="between" text="欠">
      <formula>NOT(ISERROR(SEARCH("欠",Y633)))</formula>
    </cfRule>
    <cfRule type="cellIs" dxfId="0" priority="215" operator="equal">
      <formula>"欠"</formula>
    </cfRule>
  </conditionalFormatting>
  <conditionalFormatting sqref="AC641">
    <cfRule type="cellIs" dxfId="0" priority="153" operator="equal">
      <formula>"欠"</formula>
    </cfRule>
  </conditionalFormatting>
  <conditionalFormatting sqref="Y644">
    <cfRule type="containsText" dxfId="0" priority="383" operator="between" text="欠">
      <formula>NOT(ISERROR(SEARCH("欠",Y644)))</formula>
    </cfRule>
    <cfRule type="cellIs" dxfId="0" priority="389" operator="equal">
      <formula>"欠"</formula>
    </cfRule>
  </conditionalFormatting>
  <conditionalFormatting sqref="W654">
    <cfRule type="containsText" dxfId="0" priority="284" operator="between" text="欠">
      <formula>NOT(ISERROR(SEARCH("欠",W654)))</formula>
    </cfRule>
  </conditionalFormatting>
  <conditionalFormatting sqref="Y654">
    <cfRule type="containsText" dxfId="0" priority="285" operator="between" text="欠">
      <formula>NOT(ISERROR(SEARCH("欠",Y654)))</formula>
    </cfRule>
    <cfRule type="cellIs" dxfId="0" priority="286" operator="equal">
      <formula>"欠"</formula>
    </cfRule>
  </conditionalFormatting>
  <conditionalFormatting sqref="X667">
    <cfRule type="containsText" dxfId="0" priority="394" operator="between" text="欠">
      <formula>NOT(ISERROR(SEARCH("欠",X667)))</formula>
    </cfRule>
    <cfRule type="cellIs" dxfId="0" priority="400" operator="equal">
      <formula>"欠"</formula>
    </cfRule>
  </conditionalFormatting>
  <conditionalFormatting sqref="AC668">
    <cfRule type="cellIs" dxfId="0" priority="3796" operator="equal">
      <formula>"欠"</formula>
    </cfRule>
  </conditionalFormatting>
  <conditionalFormatting sqref="Y688">
    <cfRule type="containsText" dxfId="0" priority="165" operator="between" text="欠">
      <formula>NOT(ISERROR(SEARCH("欠",Y688)))</formula>
    </cfRule>
    <cfRule type="cellIs" dxfId="0" priority="171" operator="equal">
      <formula>"欠"</formula>
    </cfRule>
  </conditionalFormatting>
  <conditionalFormatting sqref="X694">
    <cfRule type="containsText" dxfId="0" priority="139" operator="between" text="欠">
      <formula>NOT(ISERROR(SEARCH("欠",X694)))</formula>
    </cfRule>
    <cfRule type="cellIs" dxfId="0" priority="140" operator="equal">
      <formula>"欠"</formula>
    </cfRule>
  </conditionalFormatting>
  <conditionalFormatting sqref="Y694">
    <cfRule type="containsText" dxfId="3" priority="135" operator="between" text="欠">
      <formula>NOT(ISERROR(SEARCH("欠",Y694)))</formula>
    </cfRule>
    <cfRule type="containsText" dxfId="0" priority="137" operator="between" text="欠">
      <formula>NOT(ISERROR(SEARCH("欠",Y694)))</formula>
    </cfRule>
    <cfRule type="cellIs" dxfId="0" priority="138" operator="equal">
      <formula>"欠"</formula>
    </cfRule>
  </conditionalFormatting>
  <conditionalFormatting sqref="X711">
    <cfRule type="containsText" dxfId="0" priority="44" operator="between" text="欠">
      <formula>NOT(ISERROR(SEARCH("欠",X711)))</formula>
    </cfRule>
    <cfRule type="cellIs" dxfId="0" priority="45" operator="equal">
      <formula>"欠"</formula>
    </cfRule>
  </conditionalFormatting>
  <conditionalFormatting sqref="Y711">
    <cfRule type="containsText" dxfId="3" priority="40" operator="between" text="欠">
      <formula>NOT(ISERROR(SEARCH("欠",Y711)))</formula>
    </cfRule>
    <cfRule type="containsText" dxfId="0" priority="42" operator="between" text="欠">
      <formula>NOT(ISERROR(SEARCH("欠",Y711)))</formula>
    </cfRule>
    <cfRule type="cellIs" dxfId="0" priority="43" operator="equal">
      <formula>"欠"</formula>
    </cfRule>
  </conditionalFormatting>
  <conditionalFormatting sqref="Y713">
    <cfRule type="containsText" dxfId="0" priority="749" operator="between" text="欠">
      <formula>NOT(ISERROR(SEARCH("欠",Y713)))</formula>
    </cfRule>
    <cfRule type="cellIs" dxfId="0" priority="751" operator="equal">
      <formula>"欠"</formula>
    </cfRule>
  </conditionalFormatting>
  <conditionalFormatting sqref="AC729">
    <cfRule type="cellIs" dxfId="0" priority="597" operator="equal">
      <formula>"欠"</formula>
    </cfRule>
  </conditionalFormatting>
  <conditionalFormatting sqref="W737">
    <cfRule type="containsText" dxfId="0" priority="4280" operator="between" text="欠">
      <formula>NOT(ISERROR(SEARCH("欠",W737)))</formula>
    </cfRule>
    <cfRule type="cellIs" dxfId="0" priority="4288" operator="equal">
      <formula>"欠"</formula>
    </cfRule>
  </conditionalFormatting>
  <conditionalFormatting sqref="X737">
    <cfRule type="cellIs" dxfId="0" priority="4282" operator="equal">
      <formula>"欠"</formula>
    </cfRule>
  </conditionalFormatting>
  <conditionalFormatting sqref="Y737">
    <cfRule type="containsText" dxfId="0" priority="4281" operator="between" text="欠">
      <formula>NOT(ISERROR(SEARCH("欠",Y737)))</formula>
    </cfRule>
    <cfRule type="containsText" dxfId="1" priority="4283" operator="between" text="欠">
      <formula>NOT(ISERROR(SEARCH("欠",Y737)))</formula>
    </cfRule>
    <cfRule type="cellIs" dxfId="0" priority="4285" operator="equal">
      <formula>"欠"</formula>
    </cfRule>
  </conditionalFormatting>
  <conditionalFormatting sqref="Y739">
    <cfRule type="containsText" dxfId="0" priority="276" operator="between" text="欠">
      <formula>NOT(ISERROR(SEARCH("欠",Y739)))</formula>
    </cfRule>
    <cfRule type="cellIs" dxfId="0" priority="277" operator="equal">
      <formula>"欠"</formula>
    </cfRule>
  </conditionalFormatting>
  <conditionalFormatting sqref="AC739">
    <cfRule type="cellIs" dxfId="0" priority="275" operator="equal">
      <formula>"欠"</formula>
    </cfRule>
  </conditionalFormatting>
  <conditionalFormatting sqref="W742">
    <cfRule type="containsText" dxfId="0" priority="360" operator="between" text="欠">
      <formula>NOT(ISERROR(SEARCH("欠",W742)))</formula>
    </cfRule>
  </conditionalFormatting>
  <conditionalFormatting sqref="Y742">
    <cfRule type="containsText" dxfId="0" priority="355" operator="between" text="欠">
      <formula>NOT(ISERROR(SEARCH("欠",Y742)))</formula>
    </cfRule>
    <cfRule type="cellIs" dxfId="0" priority="356" operator="equal">
      <formula>"欠"</formula>
    </cfRule>
  </conditionalFormatting>
  <conditionalFormatting sqref="AC742">
    <cfRule type="cellIs" dxfId="0" priority="354" operator="equal">
      <formula>"欠"</formula>
    </cfRule>
  </conditionalFormatting>
  <conditionalFormatting sqref="X747">
    <cfRule type="containsText" dxfId="0" priority="459" operator="between" text="欠">
      <formula>NOT(ISERROR(SEARCH("欠",X747)))</formula>
    </cfRule>
    <cfRule type="cellIs" dxfId="0" priority="470" operator="equal">
      <formula>"欠"</formula>
    </cfRule>
  </conditionalFormatting>
  <conditionalFormatting sqref="Y747">
    <cfRule type="containsText" dxfId="0" priority="437" operator="between" text="欠">
      <formula>NOT(ISERROR(SEARCH("欠",Y747)))</formula>
    </cfRule>
    <cfRule type="cellIs" dxfId="0" priority="448" operator="equal">
      <formula>"欠"</formula>
    </cfRule>
  </conditionalFormatting>
  <conditionalFormatting sqref="W758">
    <cfRule type="containsText" dxfId="0" priority="3534" operator="between" text="欠">
      <formula>NOT(ISERROR(SEARCH("欠",W758)))</formula>
    </cfRule>
  </conditionalFormatting>
  <conditionalFormatting sqref="Y758">
    <cfRule type="containsText" dxfId="0" priority="3539" operator="between" text="欠">
      <formula>NOT(ISERROR(SEARCH("欠",Y758)))</formula>
    </cfRule>
    <cfRule type="cellIs" dxfId="0" priority="3544" operator="equal">
      <formula>"欠"</formula>
    </cfRule>
  </conditionalFormatting>
  <conditionalFormatting sqref="Y772">
    <cfRule type="containsText" dxfId="0" priority="1767" operator="between" text="欠">
      <formula>NOT(ISERROR(SEARCH("欠",Y772)))</formula>
    </cfRule>
    <cfRule type="containsText" dxfId="1" priority="1769" operator="between" text="欠">
      <formula>NOT(ISERROR(SEARCH("欠",Y772)))</formula>
    </cfRule>
    <cfRule type="cellIs" dxfId="0" priority="1771" operator="equal">
      <formula>"欠"</formula>
    </cfRule>
  </conditionalFormatting>
  <conditionalFormatting sqref="R907:V907">
    <cfRule type="containsText" dxfId="3" priority="2" operator="between" text="欠">
      <formula>NOT(ISERROR(SEARCH("欠",R907)))</formula>
    </cfRule>
    <cfRule type="containsText" dxfId="0" priority="5" operator="between" text="欠">
      <formula>NOT(ISERROR(SEARCH("欠",R907)))</formula>
    </cfRule>
  </conditionalFormatting>
  <conditionalFormatting sqref="Y907">
    <cfRule type="containsText" dxfId="0" priority="7" operator="between" text="欠">
      <formula>NOT(ISERROR(SEARCH("欠",Y907)))</formula>
    </cfRule>
    <cfRule type="cellIs" dxfId="0" priority="8" operator="equal">
      <formula>"欠"</formula>
    </cfRule>
    <cfRule type="containsText" dxfId="0" priority="17" operator="between" text="欠">
      <formula>NOT(ISERROR(SEARCH("欠",Y907)))</formula>
    </cfRule>
  </conditionalFormatting>
  <conditionalFormatting sqref="Z907:AA907">
    <cfRule type="containsText" dxfId="0" priority="9" operator="between" text="欠">
      <formula>NOT(ISERROR(SEARCH("欠",Z907)))</formula>
    </cfRule>
    <cfRule type="containsText" dxfId="1" priority="10" operator="between" text="欠">
      <formula>NOT(ISERROR(SEARCH("欠",Z907)))</formula>
    </cfRule>
    <cfRule type="cellIs" dxfId="0" priority="11" operator="equal">
      <formula>"欠"</formula>
    </cfRule>
  </conditionalFormatting>
  <conditionalFormatting sqref="AB907">
    <cfRule type="cellIs" dxfId="0" priority="12" operator="equal">
      <formula>"欠"</formula>
    </cfRule>
  </conditionalFormatting>
  <conditionalFormatting sqref="AI907">
    <cfRule type="cellIs" dxfId="2" priority="3" operator="equal">
      <formula>"未完成"</formula>
    </cfRule>
    <cfRule type="cellIs" dxfId="0" priority="4" operator="equal">
      <formula>"未完成"</formula>
    </cfRule>
  </conditionalFormatting>
  <conditionalFormatting sqref="X1020">
    <cfRule type="cellIs" dxfId="0" priority="10994" operator="equal">
      <formula>"欠"</formula>
    </cfRule>
  </conditionalFormatting>
  <conditionalFormatting sqref="W22:W23">
    <cfRule type="containsText" dxfId="0" priority="4850" operator="between" text="欠">
      <formula>NOT(ISERROR(SEARCH("欠",W22)))</formula>
    </cfRule>
  </conditionalFormatting>
  <conditionalFormatting sqref="W24:W25">
    <cfRule type="containsText" dxfId="0" priority="4829" operator="between" text="欠">
      <formula>NOT(ISERROR(SEARCH("欠",W24)))</formula>
    </cfRule>
  </conditionalFormatting>
  <conditionalFormatting sqref="W65:W66">
    <cfRule type="containsText" dxfId="0" priority="4704" operator="between" text="欠">
      <formula>NOT(ISERROR(SEARCH("欠",W65)))</formula>
    </cfRule>
  </conditionalFormatting>
  <conditionalFormatting sqref="W110:W112">
    <cfRule type="containsText" dxfId="0" priority="4144" operator="between" text="欠">
      <formula>NOT(ISERROR(SEARCH("欠",W110)))</formula>
    </cfRule>
  </conditionalFormatting>
  <conditionalFormatting sqref="W114:W117">
    <cfRule type="containsText" dxfId="0" priority="4306" operator="between" text="欠">
      <formula>NOT(ISERROR(SEARCH("欠",W114)))</formula>
    </cfRule>
  </conditionalFormatting>
  <conditionalFormatting sqref="W156:W157">
    <cfRule type="containsText" dxfId="0" priority="3739" operator="between" text="欠">
      <formula>NOT(ISERROR(SEARCH("欠",W156)))</formula>
    </cfRule>
  </conditionalFormatting>
  <conditionalFormatting sqref="W196:W199">
    <cfRule type="containsText" dxfId="0" priority="3590" operator="between" text="欠">
      <formula>NOT(ISERROR(SEARCH("欠",W196)))</formula>
    </cfRule>
  </conditionalFormatting>
  <conditionalFormatting sqref="W242:W243">
    <cfRule type="containsText" dxfId="0" priority="3023" operator="between" text="欠">
      <formula>NOT(ISERROR(SEARCH("欠",W242)))</formula>
    </cfRule>
  </conditionalFormatting>
  <conditionalFormatting sqref="W255:W256">
    <cfRule type="containsText" dxfId="0" priority="4163" operator="between" text="欠">
      <formula>NOT(ISERROR(SEARCH("欠",W255)))</formula>
    </cfRule>
  </conditionalFormatting>
  <conditionalFormatting sqref="W298:W299">
    <cfRule type="containsText" dxfId="0" priority="1250" operator="between" text="欠">
      <formula>NOT(ISERROR(SEARCH("欠",W298)))</formula>
    </cfRule>
  </conditionalFormatting>
  <conditionalFormatting sqref="W330:W331">
    <cfRule type="containsText" dxfId="0" priority="3536" operator="between" text="欠">
      <formula>NOT(ISERROR(SEARCH("欠",W330)))</formula>
    </cfRule>
  </conditionalFormatting>
  <conditionalFormatting sqref="W382:W383">
    <cfRule type="containsText" dxfId="0" priority="1448" operator="between" text="欠">
      <formula>NOT(ISERROR(SEARCH("欠",W382)))</formula>
    </cfRule>
  </conditionalFormatting>
  <conditionalFormatting sqref="W395:W396">
    <cfRule type="containsText" dxfId="0" priority="3329" operator="between" text="欠">
      <formula>NOT(ISERROR(SEARCH("欠",W395)))</formula>
    </cfRule>
  </conditionalFormatting>
  <conditionalFormatting sqref="W400:W401">
    <cfRule type="containsText" dxfId="0" priority="2050" operator="between" text="欠">
      <formula>NOT(ISERROR(SEARCH("欠",W400)))</formula>
    </cfRule>
  </conditionalFormatting>
  <conditionalFormatting sqref="W423:W425">
    <cfRule type="containsText" dxfId="0" priority="1640" operator="between" text="欠">
      <formula>NOT(ISERROR(SEARCH("欠",W423)))</formula>
    </cfRule>
  </conditionalFormatting>
  <conditionalFormatting sqref="W426:W427">
    <cfRule type="containsText" dxfId="0" priority="267" operator="between" text="欠">
      <formula>NOT(ISERROR(SEARCH("欠",W426)))</formula>
    </cfRule>
  </conditionalFormatting>
  <conditionalFormatting sqref="W430:W432">
    <cfRule type="containsText" dxfId="0" priority="782" operator="between" text="欠">
      <formula>NOT(ISERROR(SEARCH("欠",W430)))</formula>
    </cfRule>
  </conditionalFormatting>
  <conditionalFormatting sqref="W508:W509">
    <cfRule type="containsText" dxfId="0" priority="966" operator="between" text="欠">
      <formula>NOT(ISERROR(SEARCH("欠",W508)))</formula>
    </cfRule>
  </conditionalFormatting>
  <conditionalFormatting sqref="W511:W512">
    <cfRule type="containsText" dxfId="0" priority="821" operator="between" text="欠">
      <formula>NOT(ISERROR(SEARCH("欠",W511)))</formula>
    </cfRule>
  </conditionalFormatting>
  <conditionalFormatting sqref="W519:W520">
    <cfRule type="containsText" dxfId="0" priority="635" operator="between" text="欠">
      <formula>NOT(ISERROR(SEARCH("欠",W519)))</formula>
    </cfRule>
  </conditionalFormatting>
  <conditionalFormatting sqref="W564:W565">
    <cfRule type="containsText" dxfId="0" priority="2058" operator="between" text="欠">
      <formula>NOT(ISERROR(SEARCH("欠",W564)))</formula>
    </cfRule>
  </conditionalFormatting>
  <conditionalFormatting sqref="W602:W604">
    <cfRule type="containsText" dxfId="0" priority="53" operator="between" text="欠">
      <formula>NOT(ISERROR(SEARCH("欠",W602)))</formula>
    </cfRule>
  </conditionalFormatting>
  <conditionalFormatting sqref="W680:W682">
    <cfRule type="containsText" dxfId="0" priority="373" operator="between" text="欠">
      <formula>NOT(ISERROR(SEARCH("欠",W680)))</formula>
    </cfRule>
  </conditionalFormatting>
  <conditionalFormatting sqref="W795:W798">
    <cfRule type="containsText" dxfId="0" priority="1516" operator="between" text="欠">
      <formula>NOT(ISERROR(SEARCH("欠",W795)))</formula>
    </cfRule>
  </conditionalFormatting>
  <conditionalFormatting sqref="X24:X25">
    <cfRule type="cellIs" dxfId="0" priority="4835" operator="equal">
      <formula>"欠"</formula>
    </cfRule>
  </conditionalFormatting>
  <conditionalFormatting sqref="X65:X66">
    <cfRule type="cellIs" dxfId="0" priority="4710" operator="equal">
      <formula>"欠"</formula>
    </cfRule>
  </conditionalFormatting>
  <conditionalFormatting sqref="X97:X98">
    <cfRule type="cellIs" dxfId="0" priority="4802" operator="equal">
      <formula>"欠"</formula>
    </cfRule>
  </conditionalFormatting>
  <conditionalFormatting sqref="X111:X112">
    <cfRule type="cellIs" dxfId="0" priority="4121" operator="equal">
      <formula>"欠"</formula>
    </cfRule>
  </conditionalFormatting>
  <conditionalFormatting sqref="X156:X157">
    <cfRule type="cellIs" dxfId="0" priority="3988" operator="equal">
      <formula>"欠"</formula>
    </cfRule>
  </conditionalFormatting>
  <conditionalFormatting sqref="X164:X165">
    <cfRule type="cellIs" dxfId="0" priority="4344" operator="equal">
      <formula>"欠"</formula>
    </cfRule>
  </conditionalFormatting>
  <conditionalFormatting sqref="X255:X256">
    <cfRule type="cellIs" dxfId="0" priority="4181" operator="equal">
      <formula>"欠"</formula>
    </cfRule>
  </conditionalFormatting>
  <conditionalFormatting sqref="X288:X289">
    <cfRule type="containsText" dxfId="0" priority="1549" operator="between" text="欠">
      <formula>NOT(ISERROR(SEARCH("欠",X288)))</formula>
    </cfRule>
    <cfRule type="cellIs" dxfId="0" priority="1559" operator="equal">
      <formula>"欠"</formula>
    </cfRule>
  </conditionalFormatting>
  <conditionalFormatting sqref="X330:X331">
    <cfRule type="containsText" dxfId="0" priority="3551" operator="between" text="欠">
      <formula>NOT(ISERROR(SEARCH("欠",X330)))</formula>
    </cfRule>
    <cfRule type="cellIs" dxfId="0" priority="3556" operator="equal">
      <formula>"欠"</formula>
    </cfRule>
  </conditionalFormatting>
  <conditionalFormatting sqref="X395:X396">
    <cfRule type="cellIs" dxfId="0" priority="4179" operator="equal">
      <formula>"欠"</formula>
    </cfRule>
  </conditionalFormatting>
  <conditionalFormatting sqref="X400:X401">
    <cfRule type="containsText" dxfId="0" priority="2053" operator="between" text="欠">
      <formula>NOT(ISERROR(SEARCH("欠",X400)))</formula>
    </cfRule>
    <cfRule type="cellIs" dxfId="0" priority="2054" operator="equal">
      <formula>"欠"</formula>
    </cfRule>
  </conditionalFormatting>
  <conditionalFormatting sqref="X430:X432">
    <cfRule type="containsText" dxfId="0" priority="783" operator="between" text="欠">
      <formula>NOT(ISERROR(SEARCH("欠",X430)))</formula>
    </cfRule>
    <cfRule type="cellIs" dxfId="0" priority="784" operator="equal">
      <formula>"欠"</formula>
    </cfRule>
  </conditionalFormatting>
  <conditionalFormatting sqref="X432:X433">
    <cfRule type="containsText" dxfId="0" priority="1317" operator="between" text="欠">
      <formula>NOT(ISERROR(SEARCH("欠",X432)))</formula>
    </cfRule>
    <cfRule type="cellIs" dxfId="0" priority="1322" operator="equal">
      <formula>"欠"</formula>
    </cfRule>
  </conditionalFormatting>
  <conditionalFormatting sqref="X434:X436">
    <cfRule type="cellIs" dxfId="0" priority="3070" operator="equal">
      <formula>"欠"</formula>
    </cfRule>
  </conditionalFormatting>
  <conditionalFormatting sqref="X518:X519">
    <cfRule type="containsText" dxfId="0" priority="680" operator="between" text="欠">
      <formula>NOT(ISERROR(SEARCH("欠",X518)))</formula>
    </cfRule>
    <cfRule type="cellIs" dxfId="0" priority="695" operator="equal">
      <formula>"欠"</formula>
    </cfRule>
  </conditionalFormatting>
  <conditionalFormatting sqref="X564:X566">
    <cfRule type="containsText" dxfId="0" priority="2106" operator="between" text="欠">
      <formula>NOT(ISERROR(SEARCH("欠",X564)))</formula>
    </cfRule>
    <cfRule type="cellIs" dxfId="0" priority="2110" operator="equal">
      <formula>"欠"</formula>
    </cfRule>
  </conditionalFormatting>
  <conditionalFormatting sqref="X564:X565">
    <cfRule type="containsText" dxfId="0" priority="2061" operator="between" text="欠">
      <formula>NOT(ISERROR(SEARCH("欠",X564)))</formula>
    </cfRule>
    <cfRule type="cellIs" dxfId="0" priority="2062" operator="equal">
      <formula>"欠"</formula>
    </cfRule>
  </conditionalFormatting>
  <conditionalFormatting sqref="X602:X606">
    <cfRule type="containsText" dxfId="0" priority="51" operator="between" text="欠">
      <formula>NOT(ISERROR(SEARCH("欠",X602)))</formula>
    </cfRule>
    <cfRule type="cellIs" dxfId="0" priority="52" operator="equal">
      <formula>"欠"</formula>
    </cfRule>
  </conditionalFormatting>
  <conditionalFormatting sqref="X643:X645">
    <cfRule type="containsText" dxfId="0" priority="225" operator="between" text="欠">
      <formula>NOT(ISERROR(SEARCH("欠",X643)))</formula>
    </cfRule>
    <cfRule type="cellIs" dxfId="0" priority="231" operator="equal">
      <formula>"欠"</formula>
    </cfRule>
  </conditionalFormatting>
  <conditionalFormatting sqref="X643:X644">
    <cfRule type="containsText" dxfId="0" priority="175" operator="between" text="欠">
      <formula>NOT(ISERROR(SEARCH("欠",X643)))</formula>
    </cfRule>
    <cfRule type="cellIs" dxfId="0" priority="181" operator="equal">
      <formula>"欠"</formula>
    </cfRule>
  </conditionalFormatting>
  <conditionalFormatting sqref="X821:X822">
    <cfRule type="containsText" dxfId="0" priority="668" operator="between" text="欠">
      <formula>NOT(ISERROR(SEARCH("欠",X821)))</formula>
    </cfRule>
    <cfRule type="cellIs" dxfId="0" priority="683" operator="equal">
      <formula>"欠"</formula>
    </cfRule>
  </conditionalFormatting>
  <conditionalFormatting sqref="Y24:Y25">
    <cfRule type="containsText" dxfId="0" priority="4831" operator="between" text="欠">
      <formula>NOT(ISERROR(SEARCH("欠",Y24)))</formula>
    </cfRule>
    <cfRule type="cellIs" dxfId="0" priority="4833" operator="equal">
      <formula>"欠"</formula>
    </cfRule>
  </conditionalFormatting>
  <conditionalFormatting sqref="Y42:Y43">
    <cfRule type="containsText" dxfId="0" priority="4069" operator="between" text="欠">
      <formula>NOT(ISERROR(SEARCH("欠",Y42)))</formula>
    </cfRule>
    <cfRule type="cellIs" dxfId="0" priority="4076" operator="equal">
      <formula>"欠"</formula>
    </cfRule>
  </conditionalFormatting>
  <conditionalFormatting sqref="Y65:Y66">
    <cfRule type="containsText" dxfId="0" priority="4706" operator="between" text="欠">
      <formula>NOT(ISERROR(SEARCH("欠",Y65)))</formula>
    </cfRule>
    <cfRule type="cellIs" dxfId="0" priority="4708" operator="equal">
      <formula>"欠"</formula>
    </cfRule>
  </conditionalFormatting>
  <conditionalFormatting sqref="Y111:Y112">
    <cfRule type="containsText" dxfId="0" priority="4202" operator="between" text="欠">
      <formula>NOT(ISERROR(SEARCH("欠",Y111)))</formula>
    </cfRule>
    <cfRule type="cellIs" dxfId="0" priority="4204" operator="equal">
      <formula>"欠"</formula>
    </cfRule>
  </conditionalFormatting>
  <conditionalFormatting sqref="Y164:Y165">
    <cfRule type="containsText" dxfId="0" priority="4342" operator="between" text="欠">
      <formula>NOT(ISERROR(SEARCH("欠",Y164)))</formula>
    </cfRule>
    <cfRule type="cellIs" dxfId="0" priority="4343" operator="equal">
      <formula>"欠"</formula>
    </cfRule>
  </conditionalFormatting>
  <conditionalFormatting sqref="Y242:Y243">
    <cfRule type="containsText" dxfId="0" priority="3024" operator="between" text="欠">
      <formula>NOT(ISERROR(SEARCH("欠",Y242)))</formula>
    </cfRule>
    <cfRule type="cellIs" dxfId="0" priority="3025" operator="equal">
      <formula>"欠"</formula>
    </cfRule>
  </conditionalFormatting>
  <conditionalFormatting sqref="Y255:Y256">
    <cfRule type="containsText" dxfId="0" priority="4119" operator="between" text="欠">
      <formula>NOT(ISERROR(SEARCH("欠",Y255)))</formula>
    </cfRule>
    <cfRule type="cellIs" dxfId="0" priority="4120" operator="equal">
      <formula>"欠"</formula>
    </cfRule>
  </conditionalFormatting>
  <conditionalFormatting sqref="Y277:Y278">
    <cfRule type="containsText" dxfId="0" priority="4239" operator="between" text="欠">
      <formula>NOT(ISERROR(SEARCH("欠",Y277)))</formula>
    </cfRule>
    <cfRule type="cellIs" dxfId="0" priority="4246" operator="equal">
      <formula>"欠"</formula>
    </cfRule>
  </conditionalFormatting>
  <conditionalFormatting sqref="Y288:Y289">
    <cfRule type="containsText" dxfId="0" priority="1529" operator="between" text="欠">
      <formula>NOT(ISERROR(SEARCH("欠",Y288)))</formula>
    </cfRule>
    <cfRule type="cellIs" dxfId="0" priority="1539" operator="equal">
      <formula>"欠"</formula>
    </cfRule>
  </conditionalFormatting>
  <conditionalFormatting sqref="Y330:Y331">
    <cfRule type="containsText" dxfId="0" priority="3541" operator="between" text="欠">
      <formula>NOT(ISERROR(SEARCH("欠",Y330)))</formula>
    </cfRule>
    <cfRule type="cellIs" dxfId="0" priority="3546" operator="equal">
      <formula>"欠"</formula>
    </cfRule>
  </conditionalFormatting>
  <conditionalFormatting sqref="Y382:Y383">
    <cfRule type="containsText" dxfId="0" priority="1449" operator="between" text="欠">
      <formula>NOT(ISERROR(SEARCH("欠",Y382)))</formula>
    </cfRule>
    <cfRule type="cellIs" dxfId="0" priority="1450" operator="equal">
      <formula>"欠"</formula>
    </cfRule>
  </conditionalFormatting>
  <conditionalFormatting sqref="Y395:Y396">
    <cfRule type="containsText" dxfId="0" priority="3330" operator="between" text="欠">
      <formula>NOT(ISERROR(SEARCH("欠",Y395)))</formula>
    </cfRule>
    <cfRule type="cellIs" dxfId="0" priority="3331" operator="equal">
      <formula>"欠"</formula>
    </cfRule>
  </conditionalFormatting>
  <conditionalFormatting sqref="Y396:Y397">
    <cfRule type="containsText" dxfId="0" priority="1126" operator="between" text="欠">
      <formula>NOT(ISERROR(SEARCH("欠",Y396)))</formula>
    </cfRule>
    <cfRule type="cellIs" dxfId="0" priority="1127" operator="equal">
      <formula>"欠"</formula>
    </cfRule>
  </conditionalFormatting>
  <conditionalFormatting sqref="Y400:Y401">
    <cfRule type="containsText" dxfId="0" priority="2051" operator="between" text="欠">
      <formula>NOT(ISERROR(SEARCH("欠",Y400)))</formula>
    </cfRule>
    <cfRule type="cellIs" dxfId="0" priority="2052" operator="equal">
      <formula>"欠"</formula>
    </cfRule>
  </conditionalFormatting>
  <conditionalFormatting sqref="Y402:Y404">
    <cfRule type="containsText" dxfId="0" priority="1506" operator="between" text="欠">
      <formula>NOT(ISERROR(SEARCH("欠",Y402)))</formula>
    </cfRule>
    <cfRule type="cellIs" dxfId="0" priority="1507" operator="equal">
      <formula>"欠"</formula>
    </cfRule>
  </conditionalFormatting>
  <conditionalFormatting sqref="Y426:Y427">
    <cfRule type="containsText" dxfId="0" priority="268" operator="between" text="欠">
      <formula>NOT(ISERROR(SEARCH("欠",Y426)))</formula>
    </cfRule>
    <cfRule type="cellIs" dxfId="0" priority="269" operator="equal">
      <formula>"欠"</formula>
    </cfRule>
  </conditionalFormatting>
  <conditionalFormatting sqref="Y430:Y432">
    <cfRule type="containsText" dxfId="0" priority="788" operator="between" text="欠">
      <formula>NOT(ISERROR(SEARCH("欠",Y430)))</formula>
    </cfRule>
    <cfRule type="cellIs" dxfId="0" priority="789" operator="equal">
      <formula>"欠"</formula>
    </cfRule>
  </conditionalFormatting>
  <conditionalFormatting sqref="Y434:Y436">
    <cfRule type="containsText" dxfId="0" priority="3066" operator="between" text="欠">
      <formula>NOT(ISERROR(SEARCH("欠",Y434)))</formula>
    </cfRule>
    <cfRule type="cellIs" dxfId="0" priority="3068" operator="equal">
      <formula>"欠"</formula>
    </cfRule>
  </conditionalFormatting>
  <conditionalFormatting sqref="Y446:Y447">
    <cfRule type="containsText" dxfId="0" priority="431" operator="between" text="欠">
      <formula>NOT(ISERROR(SEARCH("欠",Y446)))</formula>
    </cfRule>
    <cfRule type="cellIs" dxfId="0" priority="442" operator="equal">
      <formula>"欠"</formula>
    </cfRule>
  </conditionalFormatting>
  <conditionalFormatting sqref="Y448:Y450">
    <cfRule type="containsText" dxfId="0" priority="435" operator="between" text="欠">
      <formula>NOT(ISERROR(SEARCH("欠",Y448)))</formula>
    </cfRule>
    <cfRule type="cellIs" dxfId="0" priority="446" operator="equal">
      <formula>"欠"</formula>
    </cfRule>
  </conditionalFormatting>
  <conditionalFormatting sqref="Y468:Y471">
    <cfRule type="containsText" dxfId="0" priority="3450" operator="between" text="欠">
      <formula>NOT(ISERROR(SEARCH("欠",Y468)))</formula>
    </cfRule>
    <cfRule type="cellIs" dxfId="0" priority="3451" operator="equal">
      <formula>"欠"</formula>
    </cfRule>
  </conditionalFormatting>
  <conditionalFormatting sqref="Y510:Y511">
    <cfRule type="containsText" dxfId="0" priority="2304" operator="between" text="欠">
      <formula>NOT(ISERROR(SEARCH("欠",Y510)))</formula>
    </cfRule>
    <cfRule type="cellIs" dxfId="0" priority="2314" operator="equal">
      <formula>"欠"</formula>
    </cfRule>
  </conditionalFormatting>
  <conditionalFormatting sqref="Y511:Y512">
    <cfRule type="containsText" dxfId="0" priority="822" operator="between" text="欠">
      <formula>NOT(ISERROR(SEARCH("欠",Y511)))</formula>
    </cfRule>
    <cfRule type="cellIs" dxfId="0" priority="823" operator="equal">
      <formula>"欠"</formula>
    </cfRule>
  </conditionalFormatting>
  <conditionalFormatting sqref="Y518:Y520">
    <cfRule type="containsText" dxfId="0" priority="650" operator="between" text="欠">
      <formula>NOT(ISERROR(SEARCH("欠",Y518)))</formula>
    </cfRule>
    <cfRule type="cellIs" dxfId="0" priority="665" operator="equal">
      <formula>"欠"</formula>
    </cfRule>
  </conditionalFormatting>
  <conditionalFormatting sqref="Y561:Y565">
    <cfRule type="containsText" dxfId="0" priority="2098" operator="between" text="欠">
      <formula>NOT(ISERROR(SEARCH("欠",Y561)))</formula>
    </cfRule>
    <cfRule type="cellIs" dxfId="0" priority="2102" operator="equal">
      <formula>"欠"</formula>
    </cfRule>
  </conditionalFormatting>
  <conditionalFormatting sqref="Y602:Y606">
    <cfRule type="containsText" dxfId="0" priority="49" operator="between" text="欠">
      <formula>NOT(ISERROR(SEARCH("欠",Y602)))</formula>
    </cfRule>
    <cfRule type="cellIs" dxfId="0" priority="50" operator="equal">
      <formula>"欠"</formula>
    </cfRule>
  </conditionalFormatting>
  <conditionalFormatting sqref="Y610:Y611">
    <cfRule type="containsText" dxfId="0" priority="1790" operator="between" text="欠">
      <formula>NOT(ISERROR(SEARCH("欠",Y610)))</formula>
    </cfRule>
    <cfRule type="cellIs" dxfId="0" priority="1791" operator="equal">
      <formula>"欠"</formula>
    </cfRule>
  </conditionalFormatting>
  <conditionalFormatting sqref="Y632:Y636">
    <cfRule type="containsText" dxfId="0" priority="521" operator="between" text="欠">
      <formula>NOT(ISERROR(SEARCH("欠",Y632)))</formula>
    </cfRule>
    <cfRule type="cellIs" dxfId="0" priority="529" operator="equal">
      <formula>"欠"</formula>
    </cfRule>
  </conditionalFormatting>
  <conditionalFormatting sqref="Y657:Y658">
    <cfRule type="containsText" dxfId="0" priority="379" operator="between" text="欠">
      <formula>NOT(ISERROR(SEARCH("欠",Y657)))</formula>
    </cfRule>
    <cfRule type="cellIs" dxfId="0" priority="385" operator="equal">
      <formula>"欠"</formula>
    </cfRule>
  </conditionalFormatting>
  <conditionalFormatting sqref="Y667:Y669">
    <cfRule type="containsText" dxfId="0" priority="382" operator="between" text="欠">
      <formula>NOT(ISERROR(SEARCH("欠",Y667)))</formula>
    </cfRule>
    <cfRule type="cellIs" dxfId="0" priority="388" operator="equal">
      <formula>"欠"</formula>
    </cfRule>
  </conditionalFormatting>
  <conditionalFormatting sqref="Y677:Y678">
    <cfRule type="containsText" dxfId="0" priority="4116" operator="between" text="欠">
      <formula>NOT(ISERROR(SEARCH("欠",Y677)))</formula>
    </cfRule>
    <cfRule type="cellIs" dxfId="0" priority="4117" operator="equal">
      <formula>"欠"</formula>
    </cfRule>
  </conditionalFormatting>
  <conditionalFormatting sqref="Y707:Y709">
    <cfRule type="containsText" dxfId="3" priority="152" operator="between" text="欠">
      <formula>NOT(ISERROR(SEARCH("欠",Y707)))</formula>
    </cfRule>
  </conditionalFormatting>
  <conditionalFormatting sqref="Y795:Y798">
    <cfRule type="containsText" dxfId="0" priority="1306" operator="between" text="欠">
      <formula>NOT(ISERROR(SEARCH("欠",Y795)))</formula>
    </cfRule>
    <cfRule type="cellIs" dxfId="0" priority="1311" operator="equal">
      <formula>"欠"</formula>
    </cfRule>
  </conditionalFormatting>
  <conditionalFormatting sqref="Y821:Y822">
    <cfRule type="containsText" dxfId="0" priority="638" operator="between" text="欠">
      <formula>NOT(ISERROR(SEARCH("欠",Y821)))</formula>
    </cfRule>
    <cfRule type="cellIs" dxfId="0" priority="653" operator="equal">
      <formula>"欠"</formula>
    </cfRule>
  </conditionalFormatting>
  <conditionalFormatting sqref="AC596:AC597">
    <cfRule type="cellIs" dxfId="0" priority="202" operator="equal">
      <formula>"欠"</formula>
    </cfRule>
  </conditionalFormatting>
  <conditionalFormatting sqref="W1 W1020:W1048576">
    <cfRule type="containsText" dxfId="0" priority="5091" operator="between" text="欠">
      <formula>NOT(ISERROR(SEARCH("欠",W1)))</formula>
    </cfRule>
  </conditionalFormatting>
  <conditionalFormatting sqref="W1:W380 W382:W1048576">
    <cfRule type="containsText" dxfId="3" priority="38" operator="between" text="欠">
      <formula>NOT(ISERROR(SEARCH("欠",W1)))</formula>
    </cfRule>
  </conditionalFormatting>
  <conditionalFormatting sqref="Y1 Y1020:Y1048576">
    <cfRule type="containsText" dxfId="0" priority="5092" operator="between" text="欠">
      <formula>NOT(ISERROR(SEARCH("欠",Y1)))</formula>
    </cfRule>
    <cfRule type="containsText" dxfId="1" priority="7765" operator="between" text="欠">
      <formula>NOT(ISERROR(SEARCH("欠",Y1)))</formula>
    </cfRule>
  </conditionalFormatting>
  <conditionalFormatting sqref="Y1:Y380 Y382:Y1048576">
    <cfRule type="containsText" dxfId="3" priority="39" operator="between" text="欠">
      <formula>NOT(ISERROR(SEARCH("欠",Y1)))</formula>
    </cfRule>
  </conditionalFormatting>
  <conditionalFormatting sqref="W15 W400 W434 W476 W484 W586 W632:W633 W706:W707 W713 W725 W735:W753 W758:W760 W762:W763 W766:W775 W777 W781:W785 W820:W823 W825 W852 W870:W874">
    <cfRule type="containsText" dxfId="0" priority="4110" operator="between" text="欠">
      <formula>NOT(ISERROR(SEARCH("欠",W15)))</formula>
    </cfRule>
  </conditionalFormatting>
  <conditionalFormatting sqref="X22:X23 X49 X51">
    <cfRule type="cellIs" dxfId="0" priority="4912" operator="equal">
      <formula>"欠"</formula>
    </cfRule>
  </conditionalFormatting>
  <conditionalFormatting sqref="Y22:Y23 Y49 Y51">
    <cfRule type="containsText" dxfId="0" priority="4908" operator="between" text="欠">
      <formula>NOT(ISERROR(SEARCH("欠",Y22)))</formula>
    </cfRule>
    <cfRule type="cellIs" dxfId="0" priority="4909" operator="equal">
      <formula>"欠"</formula>
    </cfRule>
  </conditionalFormatting>
  <conditionalFormatting sqref="W26:W32 W34:W36 W44 W46:W48 W50 W59 W77:W78 W85:W87 W98:W101 W105 W107:W109 W119:W120 W123 W144:W145 W150 W153:W154 W163:W166 W170:W175 W182:W194 W202:W203 W206:W212 W222 W235 W237:W240 W243:W245 W260:W262 W272 W276 W294:W295 W297 W306:W311 W313:W322 W325 W328:W329 W337 W356:W360 W380:W384 W389:W390 W397:W399 W459:W460 W472:W475 W480 W490 W521:W522 W578 W585:W586 W592 W602 W642:W657">
    <cfRule type="containsText" dxfId="0" priority="4828" operator="between" text="欠">
      <formula>NOT(ISERROR(SEARCH("欠",W26)))</formula>
    </cfRule>
  </conditionalFormatting>
  <conditionalFormatting sqref="X26:X32 X34:X36 X44 X46:X48 X50 X53 X59 X77:X78 X85:X87 X91 X99:X101 X105 X107 X120 X123 X145:X148 X151 X157 X160 X167:X168 X174 X180:X193 X203 X206 X208:X215 X245:X247 X283 X295 X299 X441 X501 X509 X558 X569:X570 X783:X784 X786 X840 X852 X860:X861 X877:X879 X919:X920 X923 X939:X941 X944 X956:X957 X962:X963 X970 X974:X975">
    <cfRule type="cellIs" dxfId="0" priority="4834" operator="equal">
      <formula>"欠"</formula>
    </cfRule>
  </conditionalFormatting>
  <conditionalFormatting sqref="Y26:Y32 Y34:Y36 Y44:Y48 Y50 Y59 Y77:Y78 Y85:Y87 Y91 Y99:Y101 Y105 Y107:Y109 Y120 Y123 Y145:Y148 Y151 Y154 Y157 Y160 Y165:Y169 Y180:Y193 Y203 Y206 Y208:Y215 Y241 Y243:Y245 Y386 Y420 Y473:Y474 Y501 Y562 Y569 Y605:Y606 Y685:Y691 Y783 Y935">
    <cfRule type="containsText" dxfId="0" priority="4830" operator="between" text="欠">
      <formula>NOT(ISERROR(SEARCH("欠",Y26)))</formula>
    </cfRule>
    <cfRule type="cellIs" dxfId="0" priority="4832" operator="equal">
      <formula>"欠"</formula>
    </cfRule>
  </conditionalFormatting>
  <conditionalFormatting sqref="W45 W56 W60 W64 W67 W82 W92 W135">
    <cfRule type="containsText" dxfId="0" priority="4712" operator="between" text="欠">
      <formula>NOT(ISERROR(SEARCH("欠",W45)))</formula>
    </cfRule>
  </conditionalFormatting>
  <conditionalFormatting sqref="X45 X56 X60 X64 X67 X82 X92 X135">
    <cfRule type="containsText" dxfId="0" priority="4713" operator="between" text="欠">
      <formula>NOT(ISERROR(SEARCH("欠",X45)))</formula>
    </cfRule>
    <cfRule type="cellIs" dxfId="0" priority="4714" operator="equal">
      <formula>"欠"</formula>
    </cfRule>
  </conditionalFormatting>
  <conditionalFormatting sqref="W49 W51">
    <cfRule type="containsText" dxfId="0" priority="4910" operator="between" text="欠">
      <formula>NOT(ISERROR(SEARCH("欠",W49)))</formula>
    </cfRule>
    <cfRule type="cellIs" dxfId="0" priority="4918" operator="equal">
      <formula>"欠"</formula>
    </cfRule>
  </conditionalFormatting>
  <conditionalFormatting sqref="W53:W55 W69:W71 W93:W96 W136">
    <cfRule type="containsText" dxfId="0" priority="4754" operator="between" text="欠">
      <formula>NOT(ISERROR(SEARCH("欠",W53)))</formula>
    </cfRule>
  </conditionalFormatting>
  <conditionalFormatting sqref="Y53:Y55 Y69:Y71 Y80:Y81 Y93:Y98 Y102:Y103 Y125 Y136 Y149:Y150 Y230 Y303">
    <cfRule type="containsText" dxfId="0" priority="4755" operator="between" text="欠">
      <formula>NOT(ISERROR(SEARCH("欠",Y53)))</formula>
    </cfRule>
    <cfRule type="cellIs" dxfId="0" priority="4756" operator="equal">
      <formula>"欠"</formula>
    </cfRule>
  </conditionalFormatting>
  <conditionalFormatting sqref="X54:X55 X69:X71 X80:X81 X93:X96 X102:X103 X125 X136 X149:X150 X230 X303 X347">
    <cfRule type="cellIs" dxfId="0" priority="4757" operator="equal">
      <formula>"欠"</formula>
    </cfRule>
  </conditionalFormatting>
  <conditionalFormatting sqref="Y56 Y60 Y64">
    <cfRule type="containsText" dxfId="0" priority="4122" operator="between" text="欠">
      <formula>NOT(ISERROR(SEARCH("欠",Y56)))</formula>
    </cfRule>
    <cfRule type="cellIs" dxfId="0" priority="4123" operator="equal">
      <formula>"欠"</formula>
    </cfRule>
  </conditionalFormatting>
  <conditionalFormatting sqref="W57 W61:W63 W90:W91">
    <cfRule type="containsText" dxfId="0" priority="4788" operator="between" text="欠">
      <formula>NOT(ISERROR(SEARCH("欠",W57)))</formula>
    </cfRule>
  </conditionalFormatting>
  <conditionalFormatting sqref="X57 X61:X63 X90">
    <cfRule type="cellIs" dxfId="0" priority="4791" operator="equal">
      <formula>"欠"</formula>
    </cfRule>
  </conditionalFormatting>
  <conditionalFormatting sqref="Y57 Y61:Y63 Y90">
    <cfRule type="containsText" dxfId="0" priority="4789" operator="between" text="欠">
      <formula>NOT(ISERROR(SEARCH("欠",Y57)))</formula>
    </cfRule>
    <cfRule type="cellIs" dxfId="0" priority="4790" operator="equal">
      <formula>"欠"</formula>
    </cfRule>
  </conditionalFormatting>
  <conditionalFormatting sqref="Y67 Y82 Y92 Y135">
    <cfRule type="containsText" dxfId="0" priority="4715" operator="between" text="欠">
      <formula>NOT(ISERROR(SEARCH("欠",Y67)))</formula>
    </cfRule>
    <cfRule type="cellIs" dxfId="0" priority="4716" operator="equal">
      <formula>"欠"</formula>
    </cfRule>
  </conditionalFormatting>
  <conditionalFormatting sqref="W68 W72:W73">
    <cfRule type="containsText" dxfId="0" priority="4689" operator="between" text="欠">
      <formula>NOT(ISERROR(SEARCH("欠",W68)))</formula>
    </cfRule>
  </conditionalFormatting>
  <conditionalFormatting sqref="X68 X72:X73">
    <cfRule type="containsText" dxfId="0" priority="4690" operator="between" text="欠">
      <formula>NOT(ISERROR(SEARCH("欠",X68)))</formula>
    </cfRule>
    <cfRule type="cellIs" dxfId="0" priority="4691" operator="equal">
      <formula>"欠"</formula>
    </cfRule>
  </conditionalFormatting>
  <conditionalFormatting sqref="Y68 Y72">
    <cfRule type="containsText" dxfId="0" priority="4692" operator="between" text="欠">
      <formula>NOT(ISERROR(SEARCH("欠",Y68)))</formula>
    </cfRule>
    <cfRule type="cellIs" dxfId="0" priority="4693" operator="equal">
      <formula>"欠"</formula>
    </cfRule>
  </conditionalFormatting>
  <conditionalFormatting sqref="W74:W76 W83 W113 W126:W127 W129 W147:W150 W218:W220 W263:W266 W283">
    <cfRule type="containsText" dxfId="0" priority="4772" operator="between" text="欠">
      <formula>NOT(ISERROR(SEARCH("欠",W74)))</formula>
    </cfRule>
  </conditionalFormatting>
  <conditionalFormatting sqref="X74:X76 X83 X113 X126:X127 X129 X147:X150 X218:X220 X246:X247 X263:X266 X346 X377 X384:X385 X388:X389 X397:X400 X424:X426">
    <cfRule type="cellIs" dxfId="0" priority="4775" operator="equal">
      <formula>"欠"</formula>
    </cfRule>
  </conditionalFormatting>
  <conditionalFormatting sqref="Y74:Y76 Y83:Y84 Y113 Y126:Y127 Y129 Y147:Y150 Y218:Y220 Y246:Y247 Y263:Y266 Y377 Y384:Y385 Y388:Y389 Y424:Y426">
    <cfRule type="containsText" dxfId="0" priority="4773" operator="between" text="欠">
      <formula>NOT(ISERROR(SEARCH("欠",Y74)))</formula>
    </cfRule>
    <cfRule type="cellIs" dxfId="0" priority="4774" operator="equal">
      <formula>"欠"</formula>
    </cfRule>
  </conditionalFormatting>
  <conditionalFormatting sqref="W79 W121:W122 W164 W177">
    <cfRule type="containsText" dxfId="0" priority="4218" operator="between" text="欠">
      <formula>NOT(ISERROR(SEARCH("欠",W79)))</formula>
    </cfRule>
  </conditionalFormatting>
  <conditionalFormatting sqref="X79 X106 X121:X122 X164 X177">
    <cfRule type="cellIs" dxfId="0" priority="4251" operator="equal">
      <formula>"欠"</formula>
    </cfRule>
  </conditionalFormatting>
  <conditionalFormatting sqref="Y79 Y121:Y122 Y164 Y177">
    <cfRule type="containsText" dxfId="0" priority="4221" operator="between" text="欠">
      <formula>NOT(ISERROR(SEARCH("欠",Y79)))</formula>
    </cfRule>
    <cfRule type="cellIs" dxfId="0" priority="4222" operator="equal">
      <formula>"欠"</formula>
    </cfRule>
  </conditionalFormatting>
  <conditionalFormatting sqref="W80:W81 W102:W103 W125 W149:W150">
    <cfRule type="containsText" dxfId="0" priority="4494" operator="between" text="欠">
      <formula>NOT(ISERROR(SEARCH("欠",W80)))</formula>
    </cfRule>
  </conditionalFormatting>
  <conditionalFormatting sqref="X89 X153">
    <cfRule type="containsText" dxfId="0" priority="3731" operator="between" text="欠">
      <formula>NOT(ISERROR(SEARCH("欠",X89)))</formula>
    </cfRule>
    <cfRule type="cellIs" dxfId="0" priority="3732" operator="equal">
      <formula>"欠"</formula>
    </cfRule>
  </conditionalFormatting>
  <conditionalFormatting sqref="X104 X151 X169">
    <cfRule type="cellIs" dxfId="0" priority="4182" operator="equal">
      <formula>"欠"</formula>
    </cfRule>
  </conditionalFormatting>
  <conditionalFormatting sqref="X108:X109 X119 X138 X155 X171">
    <cfRule type="cellIs" dxfId="0" priority="4434" operator="equal">
      <formula>"欠"</formula>
    </cfRule>
  </conditionalFormatting>
  <conditionalFormatting sqref="X114:X117 X130:X134 X158:X160 X234:X235 X464">
    <cfRule type="cellIs" dxfId="0" priority="4309" operator="equal">
      <formula>"欠"</formula>
    </cfRule>
  </conditionalFormatting>
  <conditionalFormatting sqref="Y114:Y117 Y130:Y134 Y158:Y160 Y234:Y235 Y464">
    <cfRule type="containsText" dxfId="0" priority="4307" operator="between" text="欠">
      <formula>NOT(ISERROR(SEARCH("欠",Y114)))</formula>
    </cfRule>
    <cfRule type="cellIs" dxfId="0" priority="4308" operator="equal">
      <formula>"欠"</formula>
    </cfRule>
  </conditionalFormatting>
  <conditionalFormatting sqref="X118 X143 X175 X184:X185 X206:X207 X215:X216 X242:X243 X255 X455:X456 X564">
    <cfRule type="cellIs" dxfId="0" priority="3071" operator="equal">
      <formula>"欠"</formula>
    </cfRule>
  </conditionalFormatting>
  <conditionalFormatting sqref="Y119 Y155">
    <cfRule type="containsText" dxfId="0" priority="4516" operator="between" text="欠">
      <formula>NOT(ISERROR(SEARCH("欠",Y119)))</formula>
    </cfRule>
    <cfRule type="cellIs" dxfId="0" priority="4517" operator="equal">
      <formula>"欠"</formula>
    </cfRule>
  </conditionalFormatting>
  <conditionalFormatting sqref="W128 W253">
    <cfRule type="containsText" dxfId="0" priority="4057" operator="between" text="欠">
      <formula>NOT(ISERROR(SEARCH("欠",W128)))</formula>
    </cfRule>
  </conditionalFormatting>
  <conditionalFormatting sqref="X128 X253">
    <cfRule type="cellIs" dxfId="0" priority="4060" operator="equal">
      <formula>"欠"</formula>
    </cfRule>
  </conditionalFormatting>
  <conditionalFormatting sqref="W130:W134 W158:W160 W234:W235 W463:W464 W602 W652 W668 W691:W694">
    <cfRule type="containsText" dxfId="0" priority="3860" operator="between" text="欠">
      <formula>NOT(ISERROR(SEARCH("欠",W130)))</formula>
    </cfRule>
  </conditionalFormatting>
  <conditionalFormatting sqref="X142 X152 X166">
    <cfRule type="cellIs" dxfId="0" priority="4155" operator="equal">
      <formula>"欠"</formula>
    </cfRule>
  </conditionalFormatting>
  <conditionalFormatting sqref="Y142 Y152">
    <cfRule type="containsText" dxfId="0" priority="4153" operator="between" text="欠">
      <formula>NOT(ISERROR(SEARCH("欠",Y142)))</formula>
    </cfRule>
    <cfRule type="cellIs" dxfId="0" priority="4154" operator="equal">
      <formula>"欠"</formula>
    </cfRule>
  </conditionalFormatting>
  <conditionalFormatting sqref="W145:W146 W167:W168 W181 W357">
    <cfRule type="containsText" dxfId="0" priority="4423" operator="between" text="欠">
      <formula>NOT(ISERROR(SEARCH("欠",W145)))</formula>
    </cfRule>
  </conditionalFormatting>
  <conditionalFormatting sqref="W162 W217 W562">
    <cfRule type="containsText" dxfId="0" priority="3944" operator="between" text="欠">
      <formula>NOT(ISERROR(SEARCH("欠",W162)))</formula>
    </cfRule>
  </conditionalFormatting>
  <conditionalFormatting sqref="Y165 Y338">
    <cfRule type="containsText" dxfId="0" priority="3478" operator="between" text="欠">
      <formula>NOT(ISERROR(SEARCH("欠",Y165)))</formula>
    </cfRule>
    <cfRule type="cellIs" dxfId="0" priority="3486" operator="equal">
      <formula>"欠"</formula>
    </cfRule>
  </conditionalFormatting>
  <conditionalFormatting sqref="Y170 Y629 Y649:Y652 Y728:Y748 Y750 Y771:Y784 Y787:Y788 Y790:Y791 Y820:Y823">
    <cfRule type="containsText" dxfId="0" priority="3111" operator="between" text="欠">
      <formula>NOT(ISERROR(SEARCH("欠",Y170)))</formula>
    </cfRule>
    <cfRule type="cellIs" dxfId="0" priority="3112" operator="equal">
      <formula>"欠"</formula>
    </cfRule>
  </conditionalFormatting>
  <conditionalFormatting sqref="W175 W254:W255">
    <cfRule type="containsText" dxfId="0" priority="3312" operator="between" text="欠">
      <formula>NOT(ISERROR(SEARCH("欠",W175)))</formula>
    </cfRule>
  </conditionalFormatting>
  <conditionalFormatting sqref="Y175 Y254:Y255">
    <cfRule type="containsText" dxfId="0" priority="3313" operator="between" text="欠">
      <formula>NOT(ISERROR(SEARCH("欠",Y175)))</formula>
    </cfRule>
    <cfRule type="cellIs" dxfId="0" priority="3314" operator="equal">
      <formula>"欠"</formula>
    </cfRule>
  </conditionalFormatting>
  <conditionalFormatting sqref="W179 W215:W216 W338">
    <cfRule type="containsText" dxfId="0" priority="3470" operator="between" text="欠">
      <formula>NOT(ISERROR(SEARCH("欠",W179)))</formula>
    </cfRule>
  </conditionalFormatting>
  <conditionalFormatting sqref="X179:X180 X210:X211 X244 X256 X262:X265 X367 X456:X457 X501:X502 X652">
    <cfRule type="containsText" dxfId="0" priority="3494" operator="between" text="欠">
      <formula>NOT(ISERROR(SEARCH("欠",X179)))</formula>
    </cfRule>
    <cfRule type="cellIs" dxfId="0" priority="3502" operator="equal">
      <formula>"欠"</formula>
    </cfRule>
  </conditionalFormatting>
  <conditionalFormatting sqref="Y196:Y199 Y363 Y452">
    <cfRule type="containsText" dxfId="0" priority="3596" operator="between" text="欠">
      <formula>NOT(ISERROR(SEARCH("欠",Y196)))</formula>
    </cfRule>
    <cfRule type="cellIs" dxfId="0" priority="3602" operator="equal">
      <formula>"欠"</formula>
    </cfRule>
  </conditionalFormatting>
  <conditionalFormatting sqref="W207 W229">
    <cfRule type="containsText" dxfId="0" priority="1685" operator="between" text="欠">
      <formula>NOT(ISERROR(SEARCH("欠",W207)))</formula>
    </cfRule>
  </conditionalFormatting>
  <conditionalFormatting sqref="X207 X229 X298:X299 X383:X384">
    <cfRule type="containsText" dxfId="0" priority="1688" operator="between" text="欠">
      <formula>NOT(ISERROR(SEARCH("欠",X207)))</formula>
    </cfRule>
    <cfRule type="cellIs" dxfId="0" priority="1689" operator="equal">
      <formula>"欠"</formula>
    </cfRule>
  </conditionalFormatting>
  <conditionalFormatting sqref="Y207 Y229">
    <cfRule type="containsText" dxfId="0" priority="1686" operator="between" text="欠">
      <formula>NOT(ISERROR(SEARCH("欠",Y207)))</formula>
    </cfRule>
    <cfRule type="cellIs" dxfId="0" priority="1687" operator="equal">
      <formula>"欠"</formula>
    </cfRule>
  </conditionalFormatting>
  <conditionalFormatting sqref="X217 X237 X278 X562 X713">
    <cfRule type="cellIs" dxfId="0" priority="4036" operator="equal">
      <formula>"欠"</formula>
    </cfRule>
  </conditionalFormatting>
  <conditionalFormatting sqref="X221:X222 X237:X238 X242:X243 X337:X339 X345 X355:X359 X367:X368 X372:X375 X456:X457 X472:X478 X494 X556:X557 X607:X613">
    <cfRule type="cellIs" dxfId="0" priority="3218" operator="equal">
      <formula>"欠"</formula>
    </cfRule>
  </conditionalFormatting>
  <conditionalFormatting sqref="Y221:Y222 Y237:Y238 Y242:Y243 Y345 Y355:Y359 Y365:Y367 Y379:Y383 Y464:Y465 Y468:Y471 Y494 Y629 Y649:Y652 Y728:Y748 Y750 Y771:Y784 Y787:Y788 Y790:Y791 Y820:Y823">
    <cfRule type="containsText" dxfId="0" priority="3216" operator="between" text="欠">
      <formula>NOT(ISERROR(SEARCH("欠",Y221)))</formula>
    </cfRule>
    <cfRule type="cellIs" dxfId="0" priority="3217" operator="equal">
      <formula>"欠"</formula>
    </cfRule>
  </conditionalFormatting>
  <conditionalFormatting sqref="W223 W244 W530">
    <cfRule type="containsText" dxfId="0" priority="3441" operator="between" text="欠">
      <formula>NOT(ISERROR(SEARCH("欠",W223)))</formula>
    </cfRule>
  </conditionalFormatting>
  <conditionalFormatting sqref="W231 W250 W276:W278">
    <cfRule type="containsText" dxfId="0" priority="4162" operator="between" text="欠">
      <formula>NOT(ISERROR(SEARCH("欠",W231)))</formula>
    </cfRule>
  </conditionalFormatting>
  <conditionalFormatting sqref="X231 X250 X276:X278">
    <cfRule type="cellIs" dxfId="0" priority="4180" operator="equal">
      <formula>"欠"</formula>
    </cfRule>
  </conditionalFormatting>
  <conditionalFormatting sqref="W244 W258:W261 W295 W369 W511 W668">
    <cfRule type="containsText" dxfId="0" priority="3103" operator="between" text="欠">
      <formula>NOT(ISERROR(SEARCH("欠",W244)))</formula>
    </cfRule>
  </conditionalFormatting>
  <conditionalFormatting sqref="X244 X258:X261 X295 X369 X511 X668">
    <cfRule type="cellIs" dxfId="0" priority="3106" operator="equal">
      <formula>"欠"</formula>
    </cfRule>
  </conditionalFormatting>
  <conditionalFormatting sqref="W246:W247 W384:W385 W402">
    <cfRule type="containsText" dxfId="0" priority="2680" operator="between" text="欠">
      <formula>NOT(ISERROR(SEARCH("欠",W246)))</formula>
    </cfRule>
  </conditionalFormatting>
  <conditionalFormatting sqref="W257:W261 W369 W511 W668">
    <cfRule type="containsText" dxfId="0" priority="4006" operator="between" text="欠">
      <formula>NOT(ISERROR(SEARCH("欠",W257)))</formula>
    </cfRule>
  </conditionalFormatting>
  <conditionalFormatting sqref="X257:X261 X329 X369 X511 X668">
    <cfRule type="cellIs" dxfId="0" priority="4009" operator="equal">
      <formula>"欠"</formula>
    </cfRule>
  </conditionalFormatting>
  <conditionalFormatting sqref="Y257:Y261 Y329 Y369 Y511">
    <cfRule type="containsText" dxfId="0" priority="4007" operator="between" text="欠">
      <formula>NOT(ISERROR(SEARCH("欠",Y257)))</formula>
    </cfRule>
    <cfRule type="cellIs" dxfId="0" priority="4008" operator="equal">
      <formula>"欠"</formula>
    </cfRule>
  </conditionalFormatting>
  <conditionalFormatting sqref="W266:W280 W317 W377 W444">
    <cfRule type="containsText" dxfId="0" priority="2199" operator="between" text="欠">
      <formula>NOT(ISERROR(SEARCH("欠",W266)))</formula>
    </cfRule>
  </conditionalFormatting>
  <conditionalFormatting sqref="X266:X280 X377 X444">
    <cfRule type="containsText" dxfId="0" priority="2238" operator="between" text="欠">
      <formula>NOT(ISERROR(SEARCH("欠",X266)))</formula>
    </cfRule>
    <cfRule type="cellIs" dxfId="0" priority="2251" operator="equal">
      <formula>"欠"</formula>
    </cfRule>
  </conditionalFormatting>
  <conditionalFormatting sqref="Y266:Y280 Y377 Y444">
    <cfRule type="containsText" dxfId="0" priority="2212" operator="between" text="欠">
      <formula>NOT(ISERROR(SEARCH("欠",Y266)))</formula>
    </cfRule>
    <cfRule type="cellIs" dxfId="0" priority="2225" operator="equal">
      <formula>"欠"</formula>
    </cfRule>
  </conditionalFormatting>
  <conditionalFormatting sqref="W267 W382">
    <cfRule type="containsText" dxfId="0" priority="3966" operator="between" text="欠">
      <formula>NOT(ISERROR(SEARCH("欠",W267)))</formula>
    </cfRule>
  </conditionalFormatting>
  <conditionalFormatting sqref="W298:W299 W381:W384 W473:W474 W554:W557 W602:W612 W640 W643:W645">
    <cfRule type="containsText" dxfId="0" priority="1884" operator="between" text="欠">
      <formula>NOT(ISERROR(SEARCH("欠",W298)))</formula>
    </cfRule>
  </conditionalFormatting>
  <conditionalFormatting sqref="X298:X299 X381:X384 X447:X450 X473:X474 X503 X539:X542 X565:X566 X609:X610 X641:X646 X649:X655 X663:X665 X683:X685 X709:X710 X744:X745 X754 X782:X785 X793:X794 X801 X804:X807 X818:X819 X842:X844 X874 X890:X891 X966 X999:X1001">
    <cfRule type="cellIs" dxfId="0" priority="1887" operator="equal">
      <formula>"欠"</formula>
    </cfRule>
  </conditionalFormatting>
  <conditionalFormatting sqref="Y298:Y299 Y381:Y384 Y473:Y474 Y491:Y492 Y634:Y635 Y640:Y643 Y646 Y675:Y680 Y682:Y685 Y717 Y752:Y753 Y783:Y786 Y819:Y824 Y848 Y853:Y854 Y870:Y878 Y922">
    <cfRule type="containsText" dxfId="0" priority="1885" operator="between" text="欠">
      <formula>NOT(ISERROR(SEARCH("欠",Y298)))</formula>
    </cfRule>
    <cfRule type="cellIs" dxfId="0" priority="1886" operator="equal">
      <formula>"欠"</formula>
    </cfRule>
  </conditionalFormatting>
  <conditionalFormatting sqref="W303 W457">
    <cfRule type="containsText" dxfId="0" priority="2079" operator="between" text="欠">
      <formula>NOT(ISERROR(SEARCH("欠",W303)))</formula>
    </cfRule>
  </conditionalFormatting>
  <conditionalFormatting sqref="Y304 Y508:Y509 Y535:Y536 Y561:Y565 Y643:Y645">
    <cfRule type="containsText" dxfId="0" priority="211" operator="between" text="欠">
      <formula>NOT(ISERROR(SEARCH("欠",Y304)))</formula>
    </cfRule>
    <cfRule type="cellIs" dxfId="0" priority="217" operator="equal">
      <formula>"欠"</formula>
    </cfRule>
  </conditionalFormatting>
  <conditionalFormatting sqref="X320 X418 X474 X546:X547 X586 X599 X726:X728 X736 X747 X752:X758 X791:X792 X848 X863 X872">
    <cfRule type="containsText" dxfId="0" priority="4113" operator="between" text="欠">
      <formula>NOT(ISERROR(SEARCH("欠",X320)))</formula>
    </cfRule>
    <cfRule type="cellIs" dxfId="0" priority="4114" operator="equal">
      <formula>"欠"</formula>
    </cfRule>
  </conditionalFormatting>
  <conditionalFormatting sqref="W326:W327 W335 W392:W393 W412:W413 W422:W425 W428 W445 W554">
    <cfRule type="containsText" dxfId="0" priority="1519" operator="between" text="欠">
      <formula>NOT(ISERROR(SEARCH("欠",W326)))</formula>
    </cfRule>
  </conditionalFormatting>
  <conditionalFormatting sqref="X335 X422:X425 X554">
    <cfRule type="containsText" dxfId="0" priority="1544" operator="between" text="欠">
      <formula>NOT(ISERROR(SEARCH("欠",X335)))</formula>
    </cfRule>
    <cfRule type="cellIs" dxfId="0" priority="1554" operator="equal">
      <formula>"欠"</formula>
    </cfRule>
  </conditionalFormatting>
  <conditionalFormatting sqref="W340 W418">
    <cfRule type="containsText" dxfId="0" priority="3738" operator="between" text="欠">
      <formula>NOT(ISERROR(SEARCH("欠",W340)))</formula>
    </cfRule>
  </conditionalFormatting>
  <conditionalFormatting sqref="X340 X418">
    <cfRule type="cellIs" dxfId="0" priority="3911" operator="equal">
      <formula>"欠"</formula>
    </cfRule>
  </conditionalFormatting>
  <conditionalFormatting sqref="W355:W357 W395:W396 W498">
    <cfRule type="containsText" dxfId="0" priority="2298" operator="between" text="欠">
      <formula>NOT(ISERROR(SEARCH("欠",W355)))</formula>
    </cfRule>
  </conditionalFormatting>
  <conditionalFormatting sqref="W355:W357 W599">
    <cfRule type="containsText" dxfId="0" priority="3692" operator="between" text="欠">
      <formula>NOT(ISERROR(SEARCH("欠",W355)))</formula>
    </cfRule>
  </conditionalFormatting>
  <conditionalFormatting sqref="X355:X357 X395:X396 X464 X498">
    <cfRule type="containsText" dxfId="0" priority="2328" operator="between" text="欠">
      <formula>NOT(ISERROR(SEARCH("欠",X355)))</formula>
    </cfRule>
    <cfRule type="cellIs" dxfId="0" priority="2338" operator="equal">
      <formula>"欠"</formula>
    </cfRule>
  </conditionalFormatting>
  <conditionalFormatting sqref="X355 X412 X499 X590">
    <cfRule type="cellIs" dxfId="0" priority="2986" operator="equal">
      <formula>"欠"</formula>
    </cfRule>
  </conditionalFormatting>
  <conditionalFormatting sqref="Y357:Y358 Y395:Y396 Y406:Y409 Y418 Y498">
    <cfRule type="containsText" dxfId="0" priority="2308" operator="between" text="欠">
      <formula>NOT(ISERROR(SEARCH("欠",Y357)))</formula>
    </cfRule>
    <cfRule type="cellIs" dxfId="0" priority="2318" operator="equal">
      <formula>"欠"</formula>
    </cfRule>
  </conditionalFormatting>
  <conditionalFormatting sqref="X358 X565">
    <cfRule type="containsText" dxfId="0" priority="2103" operator="between" text="欠">
      <formula>NOT(ISERROR(SEARCH("欠",X358)))</formula>
    </cfRule>
    <cfRule type="cellIs" dxfId="0" priority="2107" operator="equal">
      <formula>"欠"</formula>
    </cfRule>
  </conditionalFormatting>
  <conditionalFormatting sqref="W363 W448:W452 W541 W633:W634 W641:W645 W664:W665">
    <cfRule type="containsText" dxfId="0" priority="424" operator="between" text="欠">
      <formula>NOT(ISERROR(SEARCH("欠",W363)))</formula>
    </cfRule>
  </conditionalFormatting>
  <conditionalFormatting sqref="W364 W440">
    <cfRule type="containsText" dxfId="0" priority="758" operator="between" text="欠">
      <formula>NOT(ISERROR(SEARCH("欠",W364)))</formula>
    </cfRule>
  </conditionalFormatting>
  <conditionalFormatting sqref="X364 X400 X426 X453 X511:X512 X567">
    <cfRule type="containsText" dxfId="0" priority="681" operator="between" text="欠">
      <formula>NOT(ISERROR(SEARCH("欠",X364)))</formula>
    </cfRule>
    <cfRule type="cellIs" dxfId="0" priority="696" operator="equal">
      <formula>"欠"</formula>
    </cfRule>
  </conditionalFormatting>
  <conditionalFormatting sqref="W366 W626:W628">
    <cfRule type="containsText" dxfId="0" priority="1300" operator="between" text="欠">
      <formula>NOT(ISERROR(SEARCH("欠",W366)))</formula>
    </cfRule>
  </conditionalFormatting>
  <conditionalFormatting sqref="X369 X423:X426">
    <cfRule type="containsText" dxfId="0" priority="463" operator="between" text="欠">
      <formula>NOT(ISERROR(SEARCH("欠",X369)))</formula>
    </cfRule>
    <cfRule type="cellIs" dxfId="0" priority="474" operator="equal">
      <formula>"欠"</formula>
    </cfRule>
  </conditionalFormatting>
  <conditionalFormatting sqref="W379:W383 W396:W399 W557:W566">
    <cfRule type="containsText" dxfId="0" priority="2435" operator="between" text="欠">
      <formula>NOT(ISERROR(SEARCH("欠",W379)))</formula>
    </cfRule>
  </conditionalFormatting>
  <conditionalFormatting sqref="X379 X476:X478 X484">
    <cfRule type="cellIs" dxfId="0" priority="2066" operator="equal">
      <formula>"欠"</formula>
    </cfRule>
  </conditionalFormatting>
  <conditionalFormatting sqref="X379:X383 X396:X399 X557:X566">
    <cfRule type="containsText" dxfId="0" priority="2513" operator="between" text="欠">
      <formula>NOT(ISERROR(SEARCH("欠",X379)))</formula>
    </cfRule>
    <cfRule type="cellIs" dxfId="0" priority="2539" operator="equal">
      <formula>"欠"</formula>
    </cfRule>
  </conditionalFormatting>
  <conditionalFormatting sqref="W381 Y381:Z381">
    <cfRule type="containsText" dxfId="3" priority="18" operator="between" text="欠">
      <formula>NOT(ISERROR(SEARCH("欠",W381)))</formula>
    </cfRule>
  </conditionalFormatting>
  <conditionalFormatting sqref="X381:X382 X396:X397">
    <cfRule type="containsText" dxfId="0" priority="1055" operator="between" text="欠">
      <formula>NOT(ISERROR(SEARCH("欠",X381)))</formula>
    </cfRule>
    <cfRule type="cellIs" dxfId="0" priority="1056" operator="equal">
      <formula>"欠"</formula>
    </cfRule>
  </conditionalFormatting>
  <conditionalFormatting sqref="W383 W559">
    <cfRule type="containsText" dxfId="0" priority="369" operator="between" text="欠">
      <formula>NOT(ISERROR(SEARCH("欠",W383)))</formula>
    </cfRule>
  </conditionalFormatting>
  <conditionalFormatting sqref="X383 X559">
    <cfRule type="containsText" dxfId="0" priority="370" operator="between" text="欠">
      <formula>NOT(ISERROR(SEARCH("欠",X383)))</formula>
    </cfRule>
    <cfRule type="cellIs" dxfId="0" priority="371" operator="equal">
      <formula>"欠"</formula>
    </cfRule>
  </conditionalFormatting>
  <conditionalFormatting sqref="Y383 Y559">
    <cfRule type="containsText" dxfId="0" priority="364" operator="between" text="欠">
      <formula>NOT(ISERROR(SEARCH("欠",Y383)))</formula>
    </cfRule>
    <cfRule type="cellIs" dxfId="0" priority="365" operator="equal">
      <formula>"欠"</formula>
    </cfRule>
  </conditionalFormatting>
  <conditionalFormatting sqref="Y388:Y389 Y801">
    <cfRule type="containsText" dxfId="0" priority="522" operator="between" text="欠">
      <formula>NOT(ISERROR(SEARCH("欠",Y388)))</formula>
    </cfRule>
    <cfRule type="cellIs" dxfId="0" priority="530" operator="equal">
      <formula>"欠"</formula>
    </cfRule>
  </conditionalFormatting>
  <conditionalFormatting sqref="Y400 Y476 Y484">
    <cfRule type="containsText" dxfId="0" priority="2067" operator="between" text="欠">
      <formula>NOT(ISERROR(SEARCH("欠",Y400)))</formula>
    </cfRule>
    <cfRule type="cellIs" dxfId="0" priority="2068" operator="equal">
      <formula>"欠"</formula>
    </cfRule>
  </conditionalFormatting>
  <conditionalFormatting sqref="W404 W426">
    <cfRule type="containsText" dxfId="0" priority="982" operator="between" text="欠">
      <formula>NOT(ISERROR(SEARCH("欠",W404)))</formula>
    </cfRule>
  </conditionalFormatting>
  <conditionalFormatting sqref="X421 X542 X564:X565">
    <cfRule type="containsText" dxfId="0" priority="3034" operator="between" text="欠">
      <formula>NOT(ISERROR(SEARCH("欠",X421)))</formula>
    </cfRule>
    <cfRule type="cellIs" dxfId="0" priority="3035" operator="equal">
      <formula>"欠"</formula>
    </cfRule>
  </conditionalFormatting>
  <conditionalFormatting sqref="W428 W434:W437 W439">
    <cfRule type="containsText" dxfId="0" priority="3064" operator="between" text="欠">
      <formula>NOT(ISERROR(SEARCH("欠",W428)))</formula>
    </cfRule>
  </conditionalFormatting>
  <conditionalFormatting sqref="Y434 Y579:Y582 Y608:Y612 Y696 Y705:Y706 Y723 Y796:Y797 Y802 Y815 Y859:Y862 Y864">
    <cfRule type="containsText" dxfId="0" priority="4111" operator="between" text="欠">
      <formula>NOT(ISERROR(SEARCH("欠",Y434)))</formula>
    </cfRule>
    <cfRule type="cellIs" dxfId="0" priority="4112" operator="equal">
      <formula>"欠"</formula>
    </cfRule>
  </conditionalFormatting>
  <conditionalFormatting sqref="W441 W615:W618 W690:W691 W719:W721">
    <cfRule type="containsText" dxfId="0" priority="3036" operator="between" text="欠">
      <formula>NOT(ISERROR(SEARCH("欠",W441)))</formula>
    </cfRule>
  </conditionalFormatting>
  <conditionalFormatting sqref="W443 W510">
    <cfRule type="containsText" dxfId="0" priority="556" operator="between" text="欠">
      <formula>NOT(ISERROR(SEARCH("欠",W443)))</formula>
    </cfRule>
  </conditionalFormatting>
  <conditionalFormatting sqref="W445 W554:W556">
    <cfRule type="containsText" dxfId="0" priority="1810" operator="between" text="欠">
      <formula>NOT(ISERROR(SEARCH("欠",W445)))</formula>
    </cfRule>
  </conditionalFormatting>
  <conditionalFormatting sqref="X445:X449 X527 X569">
    <cfRule type="containsText" dxfId="0" priority="564" operator="between" text="欠">
      <formula>NOT(ISERROR(SEARCH("欠",X445)))</formula>
    </cfRule>
    <cfRule type="cellIs" dxfId="0" priority="572" operator="equal">
      <formula>"欠"</formula>
    </cfRule>
  </conditionalFormatting>
  <conditionalFormatting sqref="Y453 Y459">
    <cfRule type="containsText" dxfId="0" priority="1825" operator="between" text="欠">
      <formula>NOT(ISERROR(SEARCH("欠",Y453)))</formula>
    </cfRule>
    <cfRule type="cellIs" dxfId="0" priority="1826" operator="equal">
      <formula>"欠"</formula>
    </cfRule>
  </conditionalFormatting>
  <conditionalFormatting sqref="X464 X472:X477 X567:X568">
    <cfRule type="cellIs" dxfId="0" priority="1813" operator="equal">
      <formula>"欠"</formula>
    </cfRule>
  </conditionalFormatting>
  <conditionalFormatting sqref="W470 W569">
    <cfRule type="containsText" dxfId="0" priority="251" operator="between" text="欠">
      <formula>NOT(ISERROR(SEARCH("欠",W470)))</formula>
    </cfRule>
  </conditionalFormatting>
  <conditionalFormatting sqref="Y470 Y569">
    <cfRule type="containsText" dxfId="0" priority="252" operator="between" text="欠">
      <formula>NOT(ISERROR(SEARCH("欠",Y470)))</formula>
    </cfRule>
    <cfRule type="cellIs" dxfId="0" priority="253" operator="equal">
      <formula>"欠"</formula>
    </cfRule>
  </conditionalFormatting>
  <conditionalFormatting sqref="Y472:Y479 Y801">
    <cfRule type="containsText" dxfId="0" priority="989" operator="between" text="欠">
      <formula>NOT(ISERROR(SEARCH("欠",Y472)))</formula>
    </cfRule>
    <cfRule type="cellIs" dxfId="0" priority="995" operator="equal">
      <formula>"欠"</formula>
    </cfRule>
  </conditionalFormatting>
  <conditionalFormatting sqref="Y476:Y478 Y554:Y564">
    <cfRule type="containsText" dxfId="0" priority="2461" operator="between" text="欠">
      <formula>NOT(ISERROR(SEARCH("欠",Y476)))</formula>
    </cfRule>
    <cfRule type="cellIs" dxfId="0" priority="2487" operator="equal">
      <formula>"欠"</formula>
    </cfRule>
  </conditionalFormatting>
  <conditionalFormatting sqref="Y480 Y492">
    <cfRule type="containsText" dxfId="0" priority="1499" operator="between" text="欠">
      <formula>NOT(ISERROR(SEARCH("欠",Y480)))</formula>
    </cfRule>
    <cfRule type="cellIs" dxfId="0" priority="1500" operator="equal">
      <formula>"欠"</formula>
    </cfRule>
  </conditionalFormatting>
  <conditionalFormatting sqref="W490:W491 W676 W737:W752 W756:W758 W760 W769:W776 W778:W785 W820:W823 W825">
    <cfRule type="containsText" dxfId="0" priority="1749" operator="between" text="欠">
      <formula>NOT(ISERROR(SEARCH("欠",W490)))</formula>
    </cfRule>
  </conditionalFormatting>
  <conditionalFormatting sqref="X490:X491 X676 X730:X748 X750:X752 X771:X788 X820:X823 X933">
    <cfRule type="containsText" dxfId="0" priority="1752" operator="between" text="欠">
      <formula>NOT(ISERROR(SEARCH("欠",X490)))</formula>
    </cfRule>
    <cfRule type="cellIs" dxfId="0" priority="1753" operator="equal">
      <formula>"欠"</formula>
    </cfRule>
  </conditionalFormatting>
  <conditionalFormatting sqref="Y490:Y491 Y724 Y742">
    <cfRule type="containsText" dxfId="0" priority="1750" operator="between" text="欠">
      <formula>NOT(ISERROR(SEARCH("欠",Y490)))</formula>
    </cfRule>
    <cfRule type="cellIs" dxfId="0" priority="1751" operator="equal">
      <formula>"欠"</formula>
    </cfRule>
  </conditionalFormatting>
  <conditionalFormatting sqref="X508:X509 X617">
    <cfRule type="containsText" dxfId="0" priority="1002" operator="between" text="欠">
      <formula>NOT(ISERROR(SEARCH("欠",X508)))</formula>
    </cfRule>
    <cfRule type="cellIs" dxfId="0" priority="1008" operator="equal">
      <formula>"欠"</formula>
    </cfRule>
  </conditionalFormatting>
  <conditionalFormatting sqref="Y508:Y509 Y617">
    <cfRule type="containsText" dxfId="0" priority="990" operator="between" text="欠">
      <formula>NOT(ISERROR(SEARCH("欠",Y508)))</formula>
    </cfRule>
    <cfRule type="cellIs" dxfId="0" priority="996" operator="equal">
      <formula>"欠"</formula>
    </cfRule>
  </conditionalFormatting>
  <conditionalFormatting sqref="X509:X510 X559:X563 X592 X612 X641:X645">
    <cfRule type="containsText" dxfId="0" priority="223" operator="between" text="欠">
      <formula>NOT(ISERROR(SEARCH("欠",X509)))</formula>
    </cfRule>
    <cfRule type="cellIs" dxfId="0" priority="229" operator="equal">
      <formula>"欠"</formula>
    </cfRule>
  </conditionalFormatting>
  <conditionalFormatting sqref="W512:W513 W564:W566">
    <cfRule type="containsText" dxfId="0" priority="2294" operator="between" text="欠">
      <formula>NOT(ISERROR(SEARCH("欠",W512)))</formula>
    </cfRule>
  </conditionalFormatting>
  <conditionalFormatting sqref="X547 X671">
    <cfRule type="containsText" dxfId="0" priority="1680" operator="between" text="欠">
      <formula>NOT(ISERROR(SEARCH("欠",X547)))</formula>
    </cfRule>
    <cfRule type="cellIs" dxfId="0" priority="1681" operator="equal">
      <formula>"欠"</formula>
    </cfRule>
  </conditionalFormatting>
  <conditionalFormatting sqref="Y579:Y589 Y633:Y638 Y642:Y693 Y695:Y711 Y713 Y721:Y732 Y749 Y754:Y755 Y757:Y768 Y779:Y805 Y807:Y818 Y827:Y944 Y946:Y976 Y981 Y989 Y991 Y993:Y1019">
    <cfRule type="containsText" dxfId="0" priority="593" operator="between" text="欠">
      <formula>NOT(ISERROR(SEARCH("欠",Y579)))</formula>
    </cfRule>
    <cfRule type="cellIs" dxfId="0" priority="594" operator="equal">
      <formula>"欠"</formula>
    </cfRule>
  </conditionalFormatting>
  <conditionalFormatting sqref="W595 W669 W698:W701 W734">
    <cfRule type="containsText" dxfId="0" priority="376" operator="between" text="欠">
      <formula>NOT(ISERROR(SEARCH("欠",W595)))</formula>
    </cfRule>
  </conditionalFormatting>
  <conditionalFormatting sqref="X595 X691:X692 X701 X742">
    <cfRule type="containsText" dxfId="0" priority="567" operator="between" text="欠">
      <formula>NOT(ISERROR(SEARCH("欠",X595)))</formula>
    </cfRule>
    <cfRule type="cellIs" dxfId="0" priority="575" operator="equal">
      <formula>"欠"</formula>
    </cfRule>
  </conditionalFormatting>
  <conditionalFormatting sqref="W606:W609 W723:W724">
    <cfRule type="containsText" dxfId="0" priority="318" operator="between" text="欠">
      <formula>NOT(ISERROR(SEARCH("欠",W606)))</formula>
    </cfRule>
  </conditionalFormatting>
  <conditionalFormatting sqref="X606:X632 X644:X711 X717:X733 X735:X753 X755:X795 X798:X801 X803:X850 X852:X857 X859:X866 X869:X882 X886:X924 X926:X941 X944 X946:X989 X991:X1019">
    <cfRule type="containsText" dxfId="0" priority="595" operator="between" text="欠">
      <formula>NOT(ISERROR(SEARCH("欠",X606)))</formula>
    </cfRule>
    <cfRule type="cellIs" dxfId="0" priority="596" operator="equal">
      <formula>"欠"</formula>
    </cfRule>
  </conditionalFormatting>
  <conditionalFormatting sqref="W612:W621 W624:W641 W643:W644 W653 W658:W697 W704:W990 W995:W1000 W1002:W1019">
    <cfRule type="containsText" dxfId="0" priority="592" operator="between" text="欠">
      <formula>NOT(ISERROR(SEARCH("欠",W612)))</formula>
    </cfRule>
  </conditionalFormatting>
  <conditionalFormatting sqref="X616:X618 X690 X718:X720">
    <cfRule type="containsText" dxfId="0" priority="3374" operator="between" text="欠">
      <formula>NOT(ISERROR(SEARCH("欠",X616)))</formula>
    </cfRule>
    <cfRule type="cellIs" dxfId="0" priority="3377" operator="equal">
      <formula>"欠"</formula>
    </cfRule>
  </conditionalFormatting>
  <conditionalFormatting sqref="X633:X635 X882:X884">
    <cfRule type="containsText" dxfId="0" priority="3395" operator="between" text="欠">
      <formula>NOT(ISERROR(SEARCH("欠",X633)))</formula>
    </cfRule>
    <cfRule type="cellIs" dxfId="0" priority="3396" operator="equal">
      <formula>"欠"</formula>
    </cfRule>
  </conditionalFormatting>
  <conditionalFormatting sqref="X638:X639 X652:X653">
    <cfRule type="cellIs" dxfId="0" priority="1792" operator="equal">
      <formula>"欠"</formula>
    </cfRule>
  </conditionalFormatting>
  <conditionalFormatting sqref="X656:X658 X674:X676">
    <cfRule type="containsText" dxfId="0" priority="221" operator="between" text="欠">
      <formula>NOT(ISERROR(SEARCH("欠",X656)))</formula>
    </cfRule>
    <cfRule type="cellIs" dxfId="0" priority="227" operator="equal">
      <formula>"欠"</formula>
    </cfRule>
  </conditionalFormatting>
  <conditionalFormatting sqref="W662:W667 W717 W751:W752 W775:W776 W802:W817 W827:W828 W836:W840 W842:W844 W851:W852 W911 W915:W918">
    <cfRule type="containsText" dxfId="0" priority="933" operator="between" text="欠">
      <formula>NOT(ISERROR(SEARCH("欠",W662)))</formula>
    </cfRule>
  </conditionalFormatting>
  <conditionalFormatting sqref="W677:W678 W708:W709">
    <cfRule type="containsText" dxfId="0" priority="4115" operator="between" text="欠">
      <formula>NOT(ISERROR(SEARCH("欠",W677)))</formula>
    </cfRule>
  </conditionalFormatting>
  <conditionalFormatting sqref="X677:X678 X708:X709">
    <cfRule type="cellIs" dxfId="0" priority="4118" operator="equal">
      <formula>"欠"</formula>
    </cfRule>
  </conditionalFormatting>
  <conditionalFormatting sqref="W697:W699 W773 W782:W785">
    <cfRule type="containsText" dxfId="0" priority="747" operator="between" text="欠">
      <formula>NOT(ISERROR(SEARCH("欠",W697)))</formula>
    </cfRule>
  </conditionalFormatting>
  <conditionalFormatting sqref="X697:X699 X749:X753 X758:X763 X770:X772 X854:X855 X857 X863 X865 X868:X873 X885 X890:X891 X903:X906 X908:X909 X919 X934:X935 X944 X956:X957 X970 X974:X976 X1002 X1010">
    <cfRule type="containsText" dxfId="0" priority="743" operator="between" text="欠">
      <formula>NOT(ISERROR(SEARCH("欠",X697)))</formula>
    </cfRule>
    <cfRule type="cellIs" dxfId="0" priority="745" operator="equal">
      <formula>"欠"</formula>
    </cfRule>
  </conditionalFormatting>
  <conditionalFormatting sqref="W747 W842:W843 W869:W870 W892:W894 W897:W898 W902:W909 W911:W914">
    <cfRule type="containsText" dxfId="0" priority="426" operator="between" text="欠">
      <formula>NOT(ISERROR(SEARCH("欠",W747)))</formula>
    </cfRule>
  </conditionalFormatting>
  <conditionalFormatting sqref="X798:X801 X814:X817 X822:X823 X846">
    <cfRule type="containsText" dxfId="0" priority="1546" operator="between" text="欠">
      <formula>NOT(ISERROR(SEARCH("欠",X798)))</formula>
    </cfRule>
    <cfRule type="cellIs" dxfId="0" priority="1556" operator="equal">
      <formula>"欠"</formula>
    </cfRule>
  </conditionalFormatting>
  <conditionalFormatting sqref="Y818 Y935">
    <cfRule type="containsText" dxfId="0" priority="436" operator="between" text="欠">
      <formula>NOT(ISERROR(SEARCH("欠",Y818)))</formula>
    </cfRule>
    <cfRule type="cellIs" dxfId="0" priority="447" operator="equal">
      <formula>"欠"</formula>
    </cfRule>
  </conditionalFormatting>
  <conditionalFormatting sqref="W821:W822 W825">
    <cfRule type="containsText" dxfId="0" priority="623" operator="between" text="欠">
      <formula>NOT(ISERROR(SEARCH("欠",W821)))</formula>
    </cfRule>
  </conditionalFormatting>
  <conditionalFormatting sqref="Y859:Y862 Y864 Y866:Y869">
    <cfRule type="containsText" dxfId="0" priority="3662" operator="between" text="欠">
      <formula>NOT(ISERROR(SEARCH("欠",Y859)))</formula>
    </cfRule>
    <cfRule type="cellIs" dxfId="0" priority="3665" operator="equal">
      <formula>"欠"</formula>
    </cfRule>
  </conditionalFormatting>
  <conditionalFormatting sqref="W882:W884 W907">
    <cfRule type="containsText" dxfId="0" priority="3659" operator="between" text="欠">
      <formula>NOT(ISERROR(SEARCH("欠",W882)))</formula>
    </cfRule>
  </conditionalFormatting>
  <conditionalFormatting sqref="R907:V907 Y907">
    <cfRule type="containsText" dxfId="3" priority="1" operator="between" text="欠">
      <formula>NOT(ISERROR(SEARCH("欠",R907)))</formula>
    </cfRule>
  </conditionalFormatting>
  <conditionalFormatting sqref="W1020 Y1020:AB1020">
    <cfRule type="cellIs" dxfId="0" priority="11028" operator="equal">
      <formula>"欠"</formula>
    </cfRule>
  </conditionalFormatting>
  <dataValidations count="1">
    <dataValidation type="list" allowBlank="1" showInputMessage="1" showErrorMessage="1" sqref="S907 S757:S758 S1020:S1023 S1028:S1048576">
      <formula1>"未完成,已完成,OK"</formula1>
    </dataValidation>
  </dataValidations>
  <pageMargins left="0.0784722222222222" right="0.118055555555556" top="0.196527777777778" bottom="0.196527777777778" header="0.156944444444444" footer="1.0625"/>
  <pageSetup paperSize="9" scale="49" orientation="landscape" horizontalDpi="600"/>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D2379"/>
  <sheetViews>
    <sheetView tabSelected="1" zoomScale="80" zoomScaleNormal="80" workbookViewId="0">
      <pane xSplit="14" ySplit="1" topLeftCell="AH2389" activePane="bottomRight" state="frozen"/>
      <selection/>
      <selection pane="topRight"/>
      <selection pane="bottomLeft"/>
      <selection pane="bottomRight" activeCell="A699" sqref="$A1:$XFD1048576"/>
    </sheetView>
  </sheetViews>
  <sheetFormatPr defaultColWidth="9" defaultRowHeight="13.5"/>
  <cols>
    <col min="1" max="1" width="19.0666666666667" style="680" customWidth="1"/>
    <col min="2" max="2" width="14.1333333333333" style="649" customWidth="1"/>
    <col min="3" max="3" width="11.05" style="649" customWidth="1"/>
    <col min="4" max="4" width="13.25" style="649" customWidth="1"/>
    <col min="5" max="5" width="15.175" style="681" customWidth="1"/>
    <col min="6" max="6" width="17.325" style="649" customWidth="1"/>
    <col min="7" max="7" width="16.8833333333333" style="649" customWidth="1"/>
    <col min="8" max="8" width="15.45" style="649" customWidth="1"/>
    <col min="9" max="9" width="10.3833333333333" style="682" customWidth="1"/>
    <col min="10" max="10" width="6.75833333333333" style="649" customWidth="1"/>
    <col min="11" max="11" width="9.2" style="649" customWidth="1"/>
    <col min="12" max="12" width="6.525" style="649" customWidth="1"/>
    <col min="13" max="13" width="17.1333333333333" style="649" customWidth="1"/>
    <col min="14" max="14" width="19.5833333333333" style="649" customWidth="1"/>
    <col min="15" max="15" width="12.6583333333333" style="681" customWidth="1"/>
    <col min="16" max="16" width="10.8166666666667" style="649" customWidth="1"/>
    <col min="17" max="17" width="12.6166666666667" style="649" customWidth="1"/>
    <col min="18" max="18" width="12.2333333333333" style="649" customWidth="1"/>
    <col min="19" max="22" width="9.775" style="649" customWidth="1"/>
    <col min="23" max="23" width="14.1666666666667" style="649" customWidth="1"/>
    <col min="24" max="24" width="37.1333333333333" style="649" customWidth="1"/>
    <col min="25" max="25" width="17.675" style="649" customWidth="1"/>
    <col min="26" max="26" width="12.675" style="683" customWidth="1"/>
    <col min="27" max="27" width="14.2833333333333" style="684" customWidth="1"/>
    <col min="28" max="28" width="14.4666666666667" style="650" customWidth="1"/>
    <col min="29" max="29" width="19.1333333333333" style="685" customWidth="1"/>
    <col min="30" max="30" width="9.99166666666667" style="650" customWidth="1"/>
    <col min="31" max="31" width="9" style="649" customWidth="1"/>
    <col min="32" max="32" width="11.05" style="649" customWidth="1"/>
    <col min="33" max="33" width="10.35" style="686" customWidth="1"/>
    <col min="34" max="34" width="8.96666666666667" style="686" customWidth="1"/>
    <col min="35" max="35" width="7.85" style="687" customWidth="1"/>
    <col min="36" max="36" width="12.2" style="650" customWidth="1"/>
    <col min="37" max="40" width="9" style="649" customWidth="1"/>
    <col min="41" max="42" width="9" style="688" customWidth="1"/>
    <col min="43" max="43" width="10.95" style="649" customWidth="1"/>
    <col min="44" max="46" width="9" style="649" customWidth="1"/>
    <col min="47" max="49" width="9.68333333333333" style="649" customWidth="1"/>
    <col min="50" max="52" width="12.1416666666667" style="649" customWidth="1"/>
    <col min="53" max="58" width="11.5916666666667" style="649" customWidth="1"/>
    <col min="59" max="59" width="10.95" style="649" customWidth="1"/>
    <col min="60" max="60" width="11.5916666666667" style="649" customWidth="1"/>
    <col min="61" max="67" width="10.95" style="649" customWidth="1"/>
    <col min="68" max="70" width="9" style="649" customWidth="1"/>
    <col min="71" max="71" width="11.8833333333333" style="649"/>
    <col min="72" max="78" width="9" style="649"/>
    <col min="79" max="82" width="11.8833333333333" style="649"/>
    <col min="83" max="83" width="14.3333333333333" style="689"/>
    <col min="84" max="84" width="11.2666666666667" style="689" customWidth="1"/>
    <col min="85" max="87" width="10.65" style="689" customWidth="1"/>
    <col min="88" max="89" width="10.65" style="649" customWidth="1"/>
    <col min="90" max="90" width="13.55" style="649"/>
    <col min="91" max="91" width="9" style="689"/>
    <col min="92" max="92" width="9.38333333333333" style="689"/>
    <col min="93" max="93" width="9" style="689"/>
    <col min="94" max="94" width="11.8833333333333" style="689"/>
    <col min="95" max="95" width="10.3833333333333" style="689"/>
    <col min="96" max="96" width="9" style="689"/>
    <col min="97" max="16384" width="9" style="649"/>
  </cols>
  <sheetData>
    <row r="1" s="649" customFormat="1" ht="57" customHeight="1" spans="1:96">
      <c r="A1" s="690" t="s">
        <v>0</v>
      </c>
      <c r="B1" s="691" t="s">
        <v>1</v>
      </c>
      <c r="C1" s="691" t="s">
        <v>2</v>
      </c>
      <c r="D1" s="691" t="s">
        <v>3</v>
      </c>
      <c r="E1" s="692" t="s">
        <v>4</v>
      </c>
      <c r="F1" s="692" t="s">
        <v>5</v>
      </c>
      <c r="G1" s="691" t="s">
        <v>6</v>
      </c>
      <c r="H1" s="691" t="s">
        <v>7</v>
      </c>
      <c r="I1" s="693" t="s">
        <v>8</v>
      </c>
      <c r="J1" s="691" t="s">
        <v>9</v>
      </c>
      <c r="K1" s="691" t="s">
        <v>10</v>
      </c>
      <c r="L1" s="691" t="s">
        <v>11</v>
      </c>
      <c r="M1" s="694" t="s">
        <v>12</v>
      </c>
      <c r="N1" s="694" t="s">
        <v>13</v>
      </c>
      <c r="O1" s="693" t="s">
        <v>15</v>
      </c>
      <c r="P1" s="693" t="s">
        <v>16</v>
      </c>
      <c r="Q1" s="691" t="s">
        <v>17</v>
      </c>
      <c r="R1" s="695" t="s">
        <v>22</v>
      </c>
      <c r="S1" s="695" t="s">
        <v>23</v>
      </c>
      <c r="T1" s="695" t="s">
        <v>24</v>
      </c>
      <c r="U1" s="696" t="s">
        <v>26</v>
      </c>
      <c r="V1" s="695" t="s">
        <v>25</v>
      </c>
      <c r="W1" s="695" t="s">
        <v>27</v>
      </c>
      <c r="X1" s="694" t="s">
        <v>28</v>
      </c>
      <c r="Y1" s="691" t="s">
        <v>29</v>
      </c>
      <c r="Z1" s="697" t="s">
        <v>30</v>
      </c>
      <c r="AA1" s="698" t="s">
        <v>31</v>
      </c>
      <c r="AB1" s="699" t="s">
        <v>32</v>
      </c>
      <c r="AC1" s="699" t="s">
        <v>33</v>
      </c>
      <c r="AD1" s="693" t="s">
        <v>34</v>
      </c>
      <c r="AE1" s="700" t="s">
        <v>3944</v>
      </c>
      <c r="AF1" s="701" t="s">
        <v>18</v>
      </c>
      <c r="AG1" s="701" t="s">
        <v>19</v>
      </c>
      <c r="AH1" s="701" t="s">
        <v>20</v>
      </c>
      <c r="AI1" s="702" t="s">
        <v>21</v>
      </c>
      <c r="AJ1" s="701" t="s">
        <v>35</v>
      </c>
      <c r="AK1" s="700" t="s">
        <v>3945</v>
      </c>
      <c r="AL1" s="703" t="s">
        <v>3946</v>
      </c>
      <c r="AM1" s="703" t="s">
        <v>3947</v>
      </c>
      <c r="AN1" s="704" t="s">
        <v>3948</v>
      </c>
      <c r="AO1" s="705" t="s">
        <v>3949</v>
      </c>
      <c r="AP1" s="705" t="s">
        <v>3950</v>
      </c>
      <c r="AQ1" s="703" t="s">
        <v>3951</v>
      </c>
      <c r="AR1" s="703" t="s">
        <v>3952</v>
      </c>
      <c r="AS1" s="703" t="s">
        <v>3953</v>
      </c>
      <c r="AT1" s="700" t="s">
        <v>3954</v>
      </c>
      <c r="AU1" s="703" t="s">
        <v>3955</v>
      </c>
      <c r="AV1" s="703" t="s">
        <v>3956</v>
      </c>
      <c r="AW1" s="703" t="s">
        <v>3957</v>
      </c>
      <c r="AX1" s="700" t="s">
        <v>3958</v>
      </c>
      <c r="AY1" s="706" t="s">
        <v>3959</v>
      </c>
      <c r="AZ1" s="706" t="s">
        <v>3960</v>
      </c>
      <c r="BA1" s="700" t="s">
        <v>3961</v>
      </c>
      <c r="BB1" s="706" t="s">
        <v>3962</v>
      </c>
      <c r="BC1" s="700" t="s">
        <v>3963</v>
      </c>
      <c r="BD1" s="700" t="s">
        <v>73</v>
      </c>
      <c r="BE1" s="700" t="s">
        <v>76</v>
      </c>
      <c r="BF1" s="700" t="s">
        <v>77</v>
      </c>
      <c r="BG1" s="704" t="s">
        <v>3964</v>
      </c>
      <c r="BH1" s="703" t="s">
        <v>3965</v>
      </c>
      <c r="BI1" s="700" t="s">
        <v>3966</v>
      </c>
      <c r="BJ1" s="707"/>
      <c r="BK1" s="704"/>
      <c r="BL1" s="704"/>
      <c r="BM1" s="700"/>
      <c r="BN1" s="703"/>
      <c r="BO1" s="704"/>
      <c r="BP1" s="703"/>
      <c r="BQ1" s="703"/>
      <c r="BR1" s="708"/>
      <c r="BS1" s="708"/>
      <c r="BT1" s="624"/>
      <c r="BU1" s="624"/>
      <c r="BV1" s="708"/>
      <c r="BW1" s="703"/>
      <c r="BX1" s="703"/>
      <c r="BY1" s="709"/>
      <c r="BZ1" s="700"/>
      <c r="CA1" s="703"/>
      <c r="CB1" s="706"/>
      <c r="CC1" s="706"/>
      <c r="CD1" s="706"/>
      <c r="CE1" s="710"/>
      <c r="CF1" s="710"/>
      <c r="CG1" s="710"/>
      <c r="CH1" s="710"/>
      <c r="CI1" s="710"/>
      <c r="CJ1" s="700"/>
      <c r="CK1" s="700"/>
      <c r="CL1" s="709"/>
      <c r="CM1" s="711"/>
      <c r="CN1" s="710"/>
      <c r="CO1" s="710"/>
      <c r="CP1" s="710"/>
      <c r="CQ1" s="710"/>
      <c r="CR1" s="712"/>
    </row>
    <row r="2" s="650" customFormat="1" ht="31" customHeight="1" spans="1:96">
      <c r="A2" s="713">
        <v>45989</v>
      </c>
      <c r="B2" s="714" t="s">
        <v>3922</v>
      </c>
      <c r="C2" s="715" t="s">
        <v>3938</v>
      </c>
      <c r="D2" s="652" t="s">
        <v>3939</v>
      </c>
      <c r="E2" s="715"/>
      <c r="F2" s="652" t="s">
        <v>3967</v>
      </c>
      <c r="G2" s="716" t="s">
        <v>3968</v>
      </c>
      <c r="H2" s="715" t="s">
        <v>3969</v>
      </c>
      <c r="I2" s="717">
        <v>424</v>
      </c>
      <c r="J2" s="715">
        <v>0</v>
      </c>
      <c r="K2" s="715">
        <v>16</v>
      </c>
      <c r="L2" s="718">
        <f>I2/K2</f>
        <v>26.5</v>
      </c>
      <c r="M2" s="719">
        <v>46048</v>
      </c>
      <c r="N2" s="719">
        <v>46044</v>
      </c>
      <c r="O2" s="714"/>
      <c r="P2" s="717"/>
      <c r="Q2" s="717"/>
      <c r="R2" s="715"/>
      <c r="S2" s="720"/>
      <c r="T2" s="720"/>
      <c r="U2" s="720"/>
      <c r="V2" s="720"/>
      <c r="W2" s="720"/>
      <c r="X2" s="720"/>
      <c r="Y2" s="719" t="s">
        <v>3941</v>
      </c>
      <c r="Z2" s="652"/>
      <c r="AA2" s="652"/>
      <c r="AB2" s="721"/>
      <c r="AC2" s="722"/>
      <c r="AD2" s="715" t="s">
        <v>99</v>
      </c>
      <c r="AE2" s="715">
        <f>I2</f>
        <v>424</v>
      </c>
      <c r="AF2" s="715"/>
      <c r="AG2" s="715"/>
      <c r="AH2" s="715"/>
      <c r="AI2" s="717"/>
      <c r="AJ2" s="715"/>
      <c r="AK2" s="652"/>
      <c r="AL2" s="652"/>
      <c r="AM2" s="652"/>
      <c r="AN2" s="652"/>
      <c r="AO2" s="652"/>
      <c r="AP2" s="652"/>
      <c r="AQ2" s="652"/>
      <c r="AR2" s="652"/>
      <c r="AS2" s="652"/>
      <c r="AT2" s="652"/>
      <c r="AU2" s="652"/>
      <c r="AV2" s="652"/>
      <c r="AW2" s="652"/>
      <c r="AX2" s="652"/>
      <c r="AY2" s="652"/>
      <c r="AZ2" s="652"/>
      <c r="BA2" s="652"/>
      <c r="BB2" s="652"/>
      <c r="BC2" s="652"/>
      <c r="BD2" s="652"/>
      <c r="BE2" s="652"/>
      <c r="BF2" s="652"/>
      <c r="BG2" s="652"/>
      <c r="BH2" s="652"/>
      <c r="BI2" s="652"/>
    </row>
    <row r="3" s="650" customFormat="1" ht="31" customHeight="1" spans="1:96">
      <c r="A3" s="713">
        <v>46031</v>
      </c>
      <c r="B3" s="714"/>
      <c r="C3" s="715"/>
      <c r="D3" s="652" t="s">
        <v>3929</v>
      </c>
      <c r="E3" s="715"/>
      <c r="F3" s="652" t="s">
        <v>3970</v>
      </c>
      <c r="G3" s="716" t="s">
        <v>3968</v>
      </c>
      <c r="H3" s="715" t="s">
        <v>3969</v>
      </c>
      <c r="I3" s="717">
        <v>240</v>
      </c>
      <c r="J3" s="715">
        <v>0</v>
      </c>
      <c r="K3" s="715">
        <v>16</v>
      </c>
      <c r="L3" s="718">
        <f>I3/K3</f>
        <v>15</v>
      </c>
      <c r="M3" s="719">
        <v>46048</v>
      </c>
      <c r="N3" s="719">
        <v>46044</v>
      </c>
      <c r="O3" s="714"/>
      <c r="P3" s="717" t="s">
        <v>106</v>
      </c>
      <c r="Q3" s="717"/>
      <c r="R3" s="723">
        <v>46031</v>
      </c>
      <c r="S3" s="720" t="s">
        <v>107</v>
      </c>
      <c r="T3" s="720" t="s">
        <v>95</v>
      </c>
      <c r="U3" s="720"/>
      <c r="V3" s="720"/>
      <c r="W3" s="720"/>
      <c r="X3" s="720" t="s">
        <v>3971</v>
      </c>
      <c r="Y3" s="719"/>
      <c r="Z3" s="715"/>
      <c r="AA3" s="715"/>
      <c r="AB3" s="721"/>
      <c r="AC3" s="722"/>
      <c r="AD3" s="715" t="s">
        <v>99</v>
      </c>
      <c r="AE3" s="715">
        <f>I3</f>
        <v>240</v>
      </c>
      <c r="AF3" s="715"/>
      <c r="AG3" s="715">
        <v>240</v>
      </c>
      <c r="AH3" s="715">
        <f>AG3-I3</f>
        <v>0</v>
      </c>
      <c r="AI3" s="717"/>
      <c r="AJ3" s="715"/>
      <c r="AK3" s="652"/>
      <c r="AL3" s="652"/>
      <c r="AM3" s="652"/>
      <c r="AN3" s="652">
        <f>I3</f>
        <v>240</v>
      </c>
      <c r="AO3" s="652"/>
      <c r="AP3" s="652"/>
      <c r="AQ3" s="652"/>
      <c r="AR3" s="652"/>
      <c r="AS3" s="652"/>
      <c r="AT3" s="652"/>
      <c r="AU3" s="652"/>
      <c r="AV3" s="652"/>
      <c r="AW3" s="652"/>
      <c r="AX3" s="652"/>
      <c r="AY3" s="652"/>
      <c r="AZ3" s="652"/>
      <c r="BA3" s="652"/>
      <c r="BB3" s="652"/>
      <c r="BC3" s="652"/>
      <c r="BD3" s="652"/>
      <c r="BE3" s="652"/>
      <c r="BF3" s="652"/>
      <c r="BG3" s="652"/>
      <c r="BH3" s="652"/>
      <c r="BI3" s="652"/>
      <c r="BJ3" s="724"/>
      <c r="BK3" s="724"/>
      <c r="BL3" s="724"/>
      <c r="BM3" s="724"/>
      <c r="BN3" s="724"/>
      <c r="BO3" s="724"/>
      <c r="BP3" s="724"/>
      <c r="BQ3" s="724"/>
      <c r="BR3" s="724"/>
      <c r="BS3" s="724"/>
      <c r="BT3" s="724"/>
      <c r="BU3" s="724"/>
      <c r="BV3" s="724"/>
      <c r="BW3" s="724"/>
      <c r="BX3" s="724"/>
      <c r="BY3" s="724"/>
      <c r="BZ3" s="724"/>
      <c r="CA3" s="724"/>
      <c r="CB3" s="724"/>
      <c r="CC3" s="724"/>
      <c r="CD3" s="724"/>
      <c r="CE3" s="724"/>
      <c r="CF3" s="724"/>
      <c r="CG3" s="724"/>
      <c r="CH3" s="724"/>
      <c r="CI3" s="724"/>
      <c r="CJ3" s="724"/>
      <c r="CK3" s="724"/>
      <c r="CL3" s="724"/>
      <c r="CM3" s="724"/>
      <c r="CN3" s="724"/>
      <c r="CO3" s="724"/>
      <c r="CP3" s="724"/>
      <c r="CQ3" s="724"/>
      <c r="CR3" s="724"/>
    </row>
    <row r="4" s="650" customFormat="1" ht="31" customHeight="1" spans="1:96">
      <c r="A4" s="713">
        <v>46031</v>
      </c>
      <c r="B4" s="714"/>
      <c r="C4" s="715"/>
      <c r="D4" s="652" t="s">
        <v>3929</v>
      </c>
      <c r="E4" s="715"/>
      <c r="F4" s="652" t="s">
        <v>3972</v>
      </c>
      <c r="G4" s="716" t="s">
        <v>3973</v>
      </c>
      <c r="H4" s="715" t="s">
        <v>3974</v>
      </c>
      <c r="I4" s="717" t="s">
        <v>3937</v>
      </c>
      <c r="J4" s="715">
        <v>0</v>
      </c>
      <c r="K4" s="715">
        <v>16</v>
      </c>
      <c r="L4" s="718"/>
      <c r="M4" s="719">
        <v>46048</v>
      </c>
      <c r="N4" s="719">
        <v>46044</v>
      </c>
      <c r="O4" s="714"/>
      <c r="P4" s="717" t="s">
        <v>106</v>
      </c>
      <c r="Q4" s="717"/>
      <c r="R4" s="723">
        <v>46031</v>
      </c>
      <c r="S4" s="720" t="s">
        <v>107</v>
      </c>
      <c r="T4" s="720" t="s">
        <v>95</v>
      </c>
      <c r="U4" s="720"/>
      <c r="V4" s="720"/>
      <c r="W4" s="720"/>
      <c r="X4" s="720" t="s">
        <v>3975</v>
      </c>
      <c r="Y4" s="719"/>
      <c r="Z4" s="715"/>
      <c r="AA4" s="715"/>
      <c r="AB4" s="721">
        <v>-9</v>
      </c>
      <c r="AC4" s="722"/>
      <c r="AD4" s="715" t="s">
        <v>99</v>
      </c>
      <c r="AE4" s="715"/>
      <c r="AF4" s="715"/>
      <c r="AG4" s="715"/>
      <c r="AH4" s="715" t="e">
        <f t="shared" ref="AH4:AH31" si="0">AG4-I4</f>
        <v>#VALUE!</v>
      </c>
      <c r="AI4" s="717"/>
      <c r="AJ4" s="715"/>
      <c r="AK4" s="652"/>
      <c r="AL4" s="652"/>
      <c r="AM4" s="652"/>
      <c r="AN4" s="652"/>
      <c r="AO4" s="652"/>
      <c r="AP4" s="652"/>
      <c r="AQ4" s="652"/>
      <c r="AR4" s="652"/>
      <c r="AS4" s="652"/>
      <c r="AT4" s="652">
        <v>100</v>
      </c>
      <c r="AU4" s="652"/>
      <c r="AV4" s="652"/>
      <c r="AW4" s="652"/>
      <c r="AX4" s="652"/>
      <c r="AY4" s="652"/>
      <c r="AZ4" s="652"/>
      <c r="BA4" s="652"/>
      <c r="BB4" s="652"/>
      <c r="BC4" s="652"/>
      <c r="BD4" s="652"/>
      <c r="BE4" s="652"/>
      <c r="BF4" s="652"/>
      <c r="BG4" s="652"/>
      <c r="BH4" s="652"/>
      <c r="BI4" s="652"/>
      <c r="BJ4" s="724"/>
      <c r="BK4" s="724"/>
      <c r="BL4" s="724"/>
      <c r="BM4" s="724"/>
      <c r="BN4" s="724"/>
      <c r="BO4" s="724"/>
      <c r="BP4" s="724"/>
      <c r="BQ4" s="724"/>
      <c r="BR4" s="724"/>
      <c r="BS4" s="724"/>
      <c r="BT4" s="724"/>
      <c r="BU4" s="724"/>
      <c r="BV4" s="724"/>
      <c r="BW4" s="724"/>
      <c r="BX4" s="724"/>
      <c r="BY4" s="724"/>
      <c r="BZ4" s="724"/>
      <c r="CA4" s="724"/>
      <c r="CB4" s="724"/>
      <c r="CC4" s="724"/>
      <c r="CD4" s="724"/>
      <c r="CE4" s="724"/>
      <c r="CF4" s="724"/>
      <c r="CG4" s="724"/>
      <c r="CH4" s="724"/>
      <c r="CI4" s="724"/>
      <c r="CJ4" s="724"/>
      <c r="CK4" s="724"/>
      <c r="CL4" s="724"/>
      <c r="CM4" s="724"/>
      <c r="CN4" s="724"/>
      <c r="CO4" s="724"/>
      <c r="CP4" s="724"/>
      <c r="CQ4" s="724"/>
      <c r="CR4" s="724"/>
    </row>
    <row r="5" s="650" customFormat="1" ht="31" customHeight="1" spans="1:96">
      <c r="A5" s="713">
        <v>46029</v>
      </c>
      <c r="B5" s="714" t="s">
        <v>100</v>
      </c>
      <c r="C5" s="715" t="s">
        <v>101</v>
      </c>
      <c r="D5" s="652">
        <v>4500190798</v>
      </c>
      <c r="E5" s="715">
        <v>5200008655</v>
      </c>
      <c r="F5" s="652" t="s">
        <v>3976</v>
      </c>
      <c r="G5" s="716" t="s">
        <v>3977</v>
      </c>
      <c r="H5" s="715" t="s">
        <v>3978</v>
      </c>
      <c r="I5" s="717">
        <v>32</v>
      </c>
      <c r="J5" s="715">
        <v>0</v>
      </c>
      <c r="K5" s="715">
        <v>8</v>
      </c>
      <c r="L5" s="718">
        <f t="shared" ref="L5:L50" si="1">I5/K5</f>
        <v>4</v>
      </c>
      <c r="M5" s="719">
        <v>46059</v>
      </c>
      <c r="N5" s="719">
        <v>46055</v>
      </c>
      <c r="O5" s="714" t="s">
        <v>105</v>
      </c>
      <c r="P5" s="717"/>
      <c r="Q5" s="717"/>
      <c r="R5" s="723">
        <v>46029</v>
      </c>
      <c r="S5" s="720" t="s">
        <v>107</v>
      </c>
      <c r="T5" s="720" t="s">
        <v>3979</v>
      </c>
      <c r="U5" s="720"/>
      <c r="V5" s="720"/>
      <c r="W5" s="720"/>
      <c r="X5" s="720" t="s">
        <v>109</v>
      </c>
      <c r="Y5" s="719" t="s">
        <v>123</v>
      </c>
      <c r="Z5" s="715">
        <v>5</v>
      </c>
      <c r="AA5" s="715">
        <f>Z5*I5</f>
        <v>160</v>
      </c>
      <c r="AB5" s="721"/>
      <c r="AC5" s="722" t="s">
        <v>3980</v>
      </c>
      <c r="AD5" s="715" t="s">
        <v>112</v>
      </c>
      <c r="AE5" s="715"/>
      <c r="AF5" s="715"/>
      <c r="AG5" s="715"/>
      <c r="AH5" s="715">
        <f t="shared" si="0"/>
        <v>-32</v>
      </c>
      <c r="AI5" s="717"/>
      <c r="AJ5" s="715" t="s">
        <v>3981</v>
      </c>
      <c r="AK5" s="652"/>
      <c r="AL5" s="652"/>
      <c r="AM5" s="652"/>
      <c r="AN5" s="652"/>
      <c r="AO5" s="652"/>
      <c r="AP5" s="652"/>
      <c r="AQ5" s="652"/>
      <c r="AR5" s="652"/>
      <c r="AS5" s="652"/>
      <c r="AT5" s="652"/>
      <c r="AU5" s="652"/>
      <c r="AV5" s="652"/>
      <c r="AW5" s="652"/>
      <c r="AX5" s="652"/>
      <c r="AY5" s="652"/>
      <c r="AZ5" s="652"/>
      <c r="BA5" s="652"/>
      <c r="BB5" s="652"/>
      <c r="BC5" s="652"/>
      <c r="BD5" s="652"/>
      <c r="BE5" s="652"/>
      <c r="BF5" s="652"/>
      <c r="BG5" s="652"/>
      <c r="BH5" s="652"/>
      <c r="BI5" s="652"/>
      <c r="BJ5" s="724"/>
      <c r="BK5" s="724"/>
      <c r="BL5" s="724"/>
      <c r="BM5" s="724"/>
      <c r="BN5" s="724"/>
      <c r="BO5" s="724"/>
      <c r="BP5" s="724"/>
      <c r="BQ5" s="724"/>
      <c r="BR5" s="724"/>
      <c r="BS5" s="724"/>
      <c r="BT5" s="724"/>
      <c r="BU5" s="724"/>
      <c r="BV5" s="724"/>
      <c r="BW5" s="724"/>
      <c r="BX5" s="724"/>
      <c r="BY5" s="724"/>
      <c r="BZ5" s="724"/>
      <c r="CA5" s="724"/>
      <c r="CB5" s="724"/>
      <c r="CC5" s="724"/>
      <c r="CD5" s="724"/>
      <c r="CE5" s="724"/>
      <c r="CF5" s="724"/>
      <c r="CG5" s="724"/>
      <c r="CH5" s="724"/>
      <c r="CI5" s="724"/>
      <c r="CJ5" s="724"/>
      <c r="CK5" s="724"/>
      <c r="CL5" s="724"/>
      <c r="CM5" s="724"/>
      <c r="CN5" s="724"/>
      <c r="CO5" s="724"/>
      <c r="CP5" s="724"/>
      <c r="CQ5" s="724"/>
      <c r="CR5" s="724"/>
    </row>
    <row r="6" s="650" customFormat="1" ht="31" customHeight="1" spans="1:96">
      <c r="A6" s="713">
        <v>46014</v>
      </c>
      <c r="B6" s="714" t="s">
        <v>114</v>
      </c>
      <c r="C6" s="715" t="s">
        <v>115</v>
      </c>
      <c r="D6" s="652">
        <v>4500189603</v>
      </c>
      <c r="E6" s="715" t="s">
        <v>116</v>
      </c>
      <c r="F6" s="652" t="s">
        <v>3982</v>
      </c>
      <c r="G6" s="716" t="s">
        <v>3980</v>
      </c>
      <c r="H6" s="715" t="s">
        <v>3978</v>
      </c>
      <c r="I6" s="717">
        <v>15600</v>
      </c>
      <c r="J6" s="715">
        <v>0</v>
      </c>
      <c r="K6" s="715">
        <v>8</v>
      </c>
      <c r="L6" s="718">
        <f t="shared" si="1"/>
        <v>1950</v>
      </c>
      <c r="M6" s="719">
        <v>46085</v>
      </c>
      <c r="N6" s="719">
        <f>M6-4</f>
        <v>46081</v>
      </c>
      <c r="O6" s="714"/>
      <c r="P6" s="717" t="s">
        <v>106</v>
      </c>
      <c r="Q6" s="717" t="s">
        <v>3983</v>
      </c>
      <c r="R6" s="723">
        <v>46027</v>
      </c>
      <c r="S6" s="720" t="s">
        <v>107</v>
      </c>
      <c r="T6" s="720" t="s">
        <v>3984</v>
      </c>
      <c r="U6" s="720"/>
      <c r="V6" s="720" t="s">
        <v>3985</v>
      </c>
      <c r="W6" s="720"/>
      <c r="X6" s="720" t="s">
        <v>3986</v>
      </c>
      <c r="Y6" s="719" t="s">
        <v>123</v>
      </c>
      <c r="Z6" s="715">
        <v>2.88</v>
      </c>
      <c r="AA6" s="715">
        <f>Z6*I6</f>
        <v>44928</v>
      </c>
      <c r="AB6" s="725" t="s">
        <v>3987</v>
      </c>
      <c r="AC6" s="722" t="s">
        <v>3980</v>
      </c>
      <c r="AD6" s="715" t="s">
        <v>112</v>
      </c>
      <c r="AE6" s="715">
        <f>I6</f>
        <v>15600</v>
      </c>
      <c r="AF6" s="715" t="s">
        <v>3988</v>
      </c>
      <c r="AG6" s="715"/>
      <c r="AH6" s="715">
        <f t="shared" si="0"/>
        <v>-15600</v>
      </c>
      <c r="AI6" s="717" t="s">
        <v>120</v>
      </c>
      <c r="AJ6" s="715" t="s">
        <v>3981</v>
      </c>
      <c r="AK6" s="652">
        <f>I6</f>
        <v>15600</v>
      </c>
      <c r="AL6" s="652"/>
      <c r="AM6" s="652"/>
      <c r="AN6" s="652">
        <f t="shared" ref="AN6:AN24" si="2">I6</f>
        <v>15600</v>
      </c>
      <c r="AO6" s="652"/>
      <c r="AP6" s="652"/>
      <c r="AQ6" s="652"/>
      <c r="AR6" s="652"/>
      <c r="AS6" s="652"/>
      <c r="AT6" s="652">
        <f>I6/8</f>
        <v>1950</v>
      </c>
      <c r="AU6" s="652"/>
      <c r="AV6" s="652"/>
      <c r="AW6" s="652"/>
      <c r="AX6" s="652"/>
      <c r="AY6" s="652"/>
      <c r="AZ6" s="652"/>
      <c r="BA6" s="652"/>
      <c r="BB6" s="652"/>
      <c r="BC6" s="652"/>
      <c r="BD6" s="652"/>
      <c r="BE6" s="652"/>
      <c r="BF6" s="652"/>
      <c r="BG6" s="652"/>
      <c r="BH6" s="652"/>
      <c r="BI6" s="652"/>
    </row>
    <row r="7" s="650" customFormat="1" ht="31" customHeight="1" spans="1:96">
      <c r="A7" s="713">
        <v>46013</v>
      </c>
      <c r="B7" s="714" t="s">
        <v>114</v>
      </c>
      <c r="C7" s="715" t="s">
        <v>115</v>
      </c>
      <c r="D7" s="652">
        <v>4500189608</v>
      </c>
      <c r="E7" s="715" t="s">
        <v>129</v>
      </c>
      <c r="F7" s="652" t="s">
        <v>3989</v>
      </c>
      <c r="G7" s="716" t="s">
        <v>3980</v>
      </c>
      <c r="H7" s="715" t="s">
        <v>3978</v>
      </c>
      <c r="I7" s="717">
        <v>34400</v>
      </c>
      <c r="J7" s="715">
        <v>0</v>
      </c>
      <c r="K7" s="715">
        <v>8</v>
      </c>
      <c r="L7" s="718">
        <f t="shared" si="1"/>
        <v>4300</v>
      </c>
      <c r="M7" s="719">
        <v>46091</v>
      </c>
      <c r="N7" s="719">
        <v>46087</v>
      </c>
      <c r="O7" s="714"/>
      <c r="P7" s="717" t="s">
        <v>106</v>
      </c>
      <c r="Q7" s="717"/>
      <c r="R7" s="723">
        <v>46027</v>
      </c>
      <c r="S7" s="720" t="s">
        <v>107</v>
      </c>
      <c r="T7" s="720" t="s">
        <v>3984</v>
      </c>
      <c r="U7" s="720"/>
      <c r="V7" s="720" t="s">
        <v>3985</v>
      </c>
      <c r="W7" s="720"/>
      <c r="X7" s="720" t="s">
        <v>3990</v>
      </c>
      <c r="Y7" s="719" t="s">
        <v>123</v>
      </c>
      <c r="Z7" s="715">
        <v>2.88</v>
      </c>
      <c r="AA7" s="715">
        <f>Z7*I7</f>
        <v>99072</v>
      </c>
      <c r="AB7" s="725" t="s">
        <v>3991</v>
      </c>
      <c r="AC7" s="722" t="s">
        <v>3980</v>
      </c>
      <c r="AD7" s="715" t="s">
        <v>112</v>
      </c>
      <c r="AE7" s="715">
        <f t="shared" ref="AE7:AE70" si="3">I7</f>
        <v>34400</v>
      </c>
      <c r="AF7" s="715"/>
      <c r="AG7" s="715">
        <f>34400+12296+4848+17856</f>
        <v>69400</v>
      </c>
      <c r="AH7" s="715">
        <f t="shared" si="0"/>
        <v>35000</v>
      </c>
      <c r="AI7" s="717" t="s">
        <v>120</v>
      </c>
      <c r="AJ7" s="715" t="s">
        <v>3981</v>
      </c>
      <c r="AK7" s="652">
        <f>I7</f>
        <v>34400</v>
      </c>
      <c r="AL7" s="652"/>
      <c r="AM7" s="652"/>
      <c r="AN7" s="652">
        <f t="shared" si="2"/>
        <v>34400</v>
      </c>
      <c r="AO7" s="652"/>
      <c r="AP7" s="652"/>
      <c r="AQ7" s="652"/>
      <c r="AR7" s="652"/>
      <c r="AS7" s="652"/>
      <c r="AT7" s="652">
        <f>I7/8</f>
        <v>4300</v>
      </c>
      <c r="AU7" s="652"/>
      <c r="AV7" s="652"/>
      <c r="AW7" s="652"/>
      <c r="AX7" s="652"/>
      <c r="AY7" s="652"/>
      <c r="AZ7" s="652"/>
      <c r="BA7" s="652"/>
      <c r="BB7" s="652"/>
      <c r="BC7" s="652"/>
      <c r="BD7" s="652"/>
      <c r="BE7" s="652"/>
      <c r="BF7" s="652"/>
      <c r="BG7" s="652"/>
      <c r="BH7" s="652"/>
      <c r="BI7" s="652"/>
      <c r="BJ7" s="724"/>
      <c r="BK7" s="724"/>
      <c r="BL7" s="724"/>
      <c r="BM7" s="724"/>
      <c r="BN7" s="724"/>
      <c r="BO7" s="724"/>
      <c r="BP7" s="724"/>
      <c r="BQ7" s="724"/>
      <c r="BR7" s="724"/>
      <c r="BS7" s="724"/>
      <c r="BT7" s="724"/>
      <c r="BU7" s="724"/>
      <c r="BV7" s="724"/>
      <c r="BW7" s="724"/>
      <c r="BX7" s="724"/>
      <c r="BY7" s="724"/>
      <c r="BZ7" s="724"/>
      <c r="CA7" s="724"/>
      <c r="CB7" s="724"/>
      <c r="CC7" s="724"/>
      <c r="CD7" s="724"/>
      <c r="CE7" s="724"/>
      <c r="CF7" s="724"/>
      <c r="CG7" s="724"/>
      <c r="CH7" s="724"/>
      <c r="CI7" s="724"/>
      <c r="CJ7" s="724"/>
      <c r="CK7" s="724"/>
      <c r="CL7" s="724"/>
      <c r="CM7" s="724"/>
      <c r="CN7" s="724"/>
      <c r="CO7" s="724"/>
      <c r="CP7" s="724"/>
      <c r="CQ7" s="724"/>
      <c r="CR7" s="724"/>
    </row>
    <row r="8" s="650" customFormat="1" ht="31" customHeight="1" spans="1:96">
      <c r="A8" s="713">
        <v>46044</v>
      </c>
      <c r="B8" s="714" t="s">
        <v>147</v>
      </c>
      <c r="C8" s="715" t="s">
        <v>148</v>
      </c>
      <c r="D8" s="652">
        <v>4500191989</v>
      </c>
      <c r="E8" s="715">
        <v>4400528766</v>
      </c>
      <c r="F8" s="652" t="s">
        <v>149</v>
      </c>
      <c r="G8" s="716" t="s">
        <v>3992</v>
      </c>
      <c r="H8" s="715" t="s">
        <v>151</v>
      </c>
      <c r="I8" s="717">
        <v>2016</v>
      </c>
      <c r="J8" s="715">
        <v>0</v>
      </c>
      <c r="K8" s="715">
        <v>48</v>
      </c>
      <c r="L8" s="718">
        <f t="shared" si="1"/>
        <v>42</v>
      </c>
      <c r="M8" s="719">
        <v>46097</v>
      </c>
      <c r="N8" s="719">
        <v>46093</v>
      </c>
      <c r="O8" s="714"/>
      <c r="P8" s="717" t="s">
        <v>106</v>
      </c>
      <c r="Q8" s="715" t="s">
        <v>152</v>
      </c>
      <c r="R8" s="723">
        <v>46044</v>
      </c>
      <c r="S8" s="720" t="s">
        <v>107</v>
      </c>
      <c r="T8" s="720" t="s">
        <v>153</v>
      </c>
      <c r="U8" s="720"/>
      <c r="V8" s="720"/>
      <c r="W8" s="720"/>
      <c r="X8" s="720" t="s">
        <v>154</v>
      </c>
      <c r="Y8" s="719" t="s">
        <v>142</v>
      </c>
      <c r="Z8" s="715">
        <v>306.676</v>
      </c>
      <c r="AA8" s="715">
        <f>L8*Z8</f>
        <v>12880.392</v>
      </c>
      <c r="AB8" s="721"/>
      <c r="AC8" s="722" t="s">
        <v>3993</v>
      </c>
      <c r="AD8" s="715" t="s">
        <v>112</v>
      </c>
      <c r="AE8" s="715">
        <f t="shared" si="3"/>
        <v>2016</v>
      </c>
      <c r="AF8" s="715"/>
      <c r="AG8" s="715">
        <v>2016</v>
      </c>
      <c r="AH8" s="715">
        <f t="shared" si="0"/>
        <v>0</v>
      </c>
      <c r="AI8" s="717"/>
      <c r="AJ8" s="715" t="s">
        <v>3981</v>
      </c>
      <c r="AK8" s="652"/>
      <c r="AL8" s="652"/>
      <c r="AM8" s="652">
        <f>I8</f>
        <v>2016</v>
      </c>
      <c r="AN8" s="652">
        <f t="shared" si="2"/>
        <v>2016</v>
      </c>
      <c r="AO8" s="652"/>
      <c r="AP8" s="652"/>
      <c r="AQ8" s="652"/>
      <c r="AR8" s="652"/>
      <c r="AS8" s="652"/>
      <c r="AT8" s="652"/>
      <c r="AU8" s="652"/>
      <c r="AV8" s="652"/>
      <c r="AW8" s="652"/>
      <c r="AX8" s="652"/>
      <c r="AY8" s="652"/>
      <c r="AZ8" s="652"/>
      <c r="BA8" s="652">
        <f>I8/K8</f>
        <v>42</v>
      </c>
      <c r="BB8" s="652"/>
      <c r="BC8" s="652"/>
      <c r="BD8" s="652"/>
      <c r="BE8" s="652"/>
      <c r="BF8" s="652"/>
      <c r="BG8" s="652"/>
      <c r="BH8" s="652"/>
      <c r="BI8" s="726"/>
      <c r="BJ8" s="727"/>
      <c r="BK8" s="727"/>
      <c r="BL8" s="727"/>
      <c r="BM8" s="727"/>
      <c r="BN8" s="727"/>
      <c r="BO8" s="727"/>
      <c r="BP8" s="727"/>
      <c r="BQ8" s="727"/>
      <c r="BR8" s="727"/>
      <c r="BS8" s="727"/>
      <c r="BT8" s="727"/>
      <c r="BU8" s="727"/>
      <c r="BV8" s="727"/>
      <c r="BW8" s="727"/>
      <c r="BX8" s="727"/>
      <c r="BY8" s="727"/>
      <c r="BZ8" s="727"/>
      <c r="CA8" s="727"/>
      <c r="CB8" s="727"/>
      <c r="CC8" s="727"/>
      <c r="CD8" s="727"/>
      <c r="CE8" s="727"/>
      <c r="CF8" s="727"/>
      <c r="CG8" s="727"/>
      <c r="CH8" s="727"/>
      <c r="CI8" s="727"/>
      <c r="CJ8" s="727"/>
      <c r="CK8" s="727"/>
      <c r="CL8" s="727"/>
      <c r="CM8" s="727"/>
      <c r="CN8" s="727"/>
      <c r="CO8" s="727"/>
      <c r="CP8" s="727"/>
      <c r="CQ8" s="727"/>
      <c r="CR8" s="727"/>
    </row>
    <row r="9" s="650" customFormat="1" ht="31" customHeight="1" spans="1:96">
      <c r="A9" s="713">
        <v>46044</v>
      </c>
      <c r="B9" s="714" t="s">
        <v>147</v>
      </c>
      <c r="C9" s="715" t="s">
        <v>148</v>
      </c>
      <c r="D9" s="652">
        <v>4500191989</v>
      </c>
      <c r="E9" s="715">
        <v>4400528767</v>
      </c>
      <c r="F9" s="652" t="s">
        <v>156</v>
      </c>
      <c r="G9" s="716" t="s">
        <v>3992</v>
      </c>
      <c r="H9" s="715" t="s">
        <v>151</v>
      </c>
      <c r="I9" s="717">
        <v>864</v>
      </c>
      <c r="J9" s="715">
        <v>0</v>
      </c>
      <c r="K9" s="715">
        <v>48</v>
      </c>
      <c r="L9" s="718">
        <f t="shared" si="1"/>
        <v>18</v>
      </c>
      <c r="M9" s="719">
        <v>46097</v>
      </c>
      <c r="N9" s="719">
        <v>46093</v>
      </c>
      <c r="O9" s="714"/>
      <c r="P9" s="717" t="s">
        <v>106</v>
      </c>
      <c r="Q9" s="717" t="s">
        <v>158</v>
      </c>
      <c r="R9" s="723">
        <v>46044</v>
      </c>
      <c r="S9" s="720" t="s">
        <v>107</v>
      </c>
      <c r="T9" s="720" t="s">
        <v>153</v>
      </c>
      <c r="U9" s="720"/>
      <c r="V9" s="720"/>
      <c r="W9" s="720"/>
      <c r="X9" s="720" t="s">
        <v>154</v>
      </c>
      <c r="Y9" s="719" t="s">
        <v>142</v>
      </c>
      <c r="Z9" s="715">
        <v>306.676</v>
      </c>
      <c r="AA9" s="715">
        <f>L9*Z9</f>
        <v>5520.168</v>
      </c>
      <c r="AB9" s="721"/>
      <c r="AC9" s="722" t="s">
        <v>3993</v>
      </c>
      <c r="AD9" s="715" t="s">
        <v>112</v>
      </c>
      <c r="AE9" s="715">
        <f t="shared" si="3"/>
        <v>864</v>
      </c>
      <c r="AF9" s="715"/>
      <c r="AG9" s="715">
        <v>864</v>
      </c>
      <c r="AH9" s="715">
        <f t="shared" si="0"/>
        <v>0</v>
      </c>
      <c r="AI9" s="717"/>
      <c r="AJ9" s="715" t="s">
        <v>3981</v>
      </c>
      <c r="AK9" s="652"/>
      <c r="AL9" s="652"/>
      <c r="AM9" s="652">
        <f>I9</f>
        <v>864</v>
      </c>
      <c r="AN9" s="652">
        <f t="shared" si="2"/>
        <v>864</v>
      </c>
      <c r="AO9" s="652"/>
      <c r="AP9" s="652"/>
      <c r="AQ9" s="652"/>
      <c r="AR9" s="652"/>
      <c r="AS9" s="652"/>
      <c r="AT9" s="652"/>
      <c r="AU9" s="652"/>
      <c r="AV9" s="652"/>
      <c r="AW9" s="652"/>
      <c r="AX9" s="652"/>
      <c r="AY9" s="652"/>
      <c r="AZ9" s="652"/>
      <c r="BA9" s="652">
        <f>I9/K9</f>
        <v>18</v>
      </c>
      <c r="BB9" s="652"/>
      <c r="BC9" s="652"/>
      <c r="BD9" s="652"/>
      <c r="BE9" s="652"/>
      <c r="BF9" s="652"/>
      <c r="BG9" s="652"/>
      <c r="BH9" s="652"/>
      <c r="BI9" s="726"/>
      <c r="BJ9" s="724"/>
      <c r="BK9" s="724"/>
      <c r="BL9" s="724"/>
      <c r="BM9" s="724"/>
      <c r="BN9" s="724"/>
      <c r="BO9" s="724"/>
      <c r="BP9" s="724"/>
      <c r="BQ9" s="724"/>
      <c r="BR9" s="724"/>
      <c r="BS9" s="724"/>
      <c r="BT9" s="724"/>
      <c r="BU9" s="724"/>
      <c r="BV9" s="724"/>
      <c r="BW9" s="724"/>
      <c r="BX9" s="724"/>
      <c r="BY9" s="724"/>
      <c r="BZ9" s="724"/>
      <c r="CA9" s="724"/>
      <c r="CB9" s="724"/>
      <c r="CC9" s="724"/>
      <c r="CD9" s="724"/>
      <c r="CE9" s="724"/>
      <c r="CF9" s="724"/>
      <c r="CG9" s="724"/>
      <c r="CH9" s="724"/>
      <c r="CI9" s="724"/>
      <c r="CJ9" s="724"/>
      <c r="CK9" s="724"/>
      <c r="CL9" s="724"/>
      <c r="CM9" s="724"/>
      <c r="CN9" s="724"/>
      <c r="CO9" s="724"/>
      <c r="CP9" s="724"/>
      <c r="CQ9" s="724"/>
      <c r="CR9" s="724"/>
    </row>
    <row r="10" s="651" customFormat="1" ht="31" customHeight="1" spans="1:96">
      <c r="A10" s="713">
        <v>46043</v>
      </c>
      <c r="B10" s="714" t="s">
        <v>134</v>
      </c>
      <c r="C10" s="715" t="s">
        <v>135</v>
      </c>
      <c r="D10" s="652">
        <v>4500191960</v>
      </c>
      <c r="E10" s="715">
        <v>4400528768</v>
      </c>
      <c r="F10" s="652" t="s">
        <v>3994</v>
      </c>
      <c r="G10" s="716" t="s">
        <v>3973</v>
      </c>
      <c r="H10" s="715" t="s">
        <v>3995</v>
      </c>
      <c r="I10" s="717">
        <v>5008</v>
      </c>
      <c r="J10" s="715">
        <v>0</v>
      </c>
      <c r="K10" s="715">
        <v>16</v>
      </c>
      <c r="L10" s="718">
        <f t="shared" si="1"/>
        <v>313</v>
      </c>
      <c r="M10" s="719">
        <v>46097</v>
      </c>
      <c r="N10" s="719">
        <v>46093</v>
      </c>
      <c r="O10" s="714"/>
      <c r="P10" s="717" t="s">
        <v>106</v>
      </c>
      <c r="Q10" s="717" t="s">
        <v>3996</v>
      </c>
      <c r="R10" s="723">
        <v>46044</v>
      </c>
      <c r="S10" s="720" t="s">
        <v>107</v>
      </c>
      <c r="T10" s="720" t="s">
        <v>3997</v>
      </c>
      <c r="U10" s="720"/>
      <c r="V10" s="720"/>
      <c r="W10" s="720"/>
      <c r="X10" s="720" t="s">
        <v>3998</v>
      </c>
      <c r="Y10" s="719" t="s">
        <v>142</v>
      </c>
      <c r="Z10" s="715">
        <v>4.355</v>
      </c>
      <c r="AA10" s="715">
        <f>I10*Z10</f>
        <v>21809.84</v>
      </c>
      <c r="AB10" s="721"/>
      <c r="AC10" s="722" t="s">
        <v>3999</v>
      </c>
      <c r="AD10" s="715" t="s">
        <v>112</v>
      </c>
      <c r="AE10" s="715">
        <f t="shared" si="3"/>
        <v>5008</v>
      </c>
      <c r="AF10" s="715"/>
      <c r="AG10" s="715">
        <v>5008</v>
      </c>
      <c r="AH10" s="715">
        <f t="shared" si="0"/>
        <v>0</v>
      </c>
      <c r="AI10" s="717" t="s">
        <v>120</v>
      </c>
      <c r="AJ10" s="715" t="s">
        <v>3981</v>
      </c>
      <c r="AK10" s="652"/>
      <c r="AL10" s="652"/>
      <c r="AM10" s="652">
        <f>I10</f>
        <v>5008</v>
      </c>
      <c r="AN10" s="652">
        <f t="shared" si="2"/>
        <v>5008</v>
      </c>
      <c r="AO10" s="652"/>
      <c r="AP10" s="652"/>
      <c r="AQ10" s="652"/>
      <c r="AR10" s="652"/>
      <c r="AS10" s="652"/>
      <c r="AT10" s="652"/>
      <c r="AU10" s="652">
        <f>I10/8</f>
        <v>626</v>
      </c>
      <c r="AV10" s="652"/>
      <c r="AW10" s="652"/>
      <c r="AX10" s="652"/>
      <c r="AY10" s="652"/>
      <c r="AZ10" s="652"/>
      <c r="BA10" s="652"/>
      <c r="BB10" s="652"/>
      <c r="BC10" s="652"/>
      <c r="BD10" s="652"/>
      <c r="BE10" s="652"/>
      <c r="BF10" s="652"/>
      <c r="BG10" s="652"/>
      <c r="BH10" s="652"/>
      <c r="BI10" s="726"/>
      <c r="BJ10" s="724"/>
      <c r="BK10" s="724"/>
      <c r="BL10" s="724"/>
      <c r="BM10" s="724"/>
      <c r="BN10" s="724"/>
      <c r="BO10" s="724"/>
      <c r="BP10" s="724"/>
      <c r="BQ10" s="724"/>
      <c r="BR10" s="724"/>
      <c r="BS10" s="724"/>
      <c r="BT10" s="724"/>
      <c r="BU10" s="724"/>
      <c r="BV10" s="724"/>
      <c r="BW10" s="724"/>
      <c r="BX10" s="724"/>
      <c r="BY10" s="724"/>
      <c r="BZ10" s="724"/>
      <c r="CA10" s="724"/>
      <c r="CB10" s="724"/>
      <c r="CC10" s="724"/>
      <c r="CD10" s="724"/>
      <c r="CE10" s="724"/>
      <c r="CF10" s="724"/>
      <c r="CG10" s="724"/>
      <c r="CH10" s="724"/>
      <c r="CI10" s="724"/>
      <c r="CJ10" s="724"/>
      <c r="CK10" s="724"/>
      <c r="CL10" s="724"/>
      <c r="CM10" s="724"/>
      <c r="CN10" s="724"/>
      <c r="CO10" s="724"/>
      <c r="CP10" s="724"/>
      <c r="CQ10" s="724"/>
      <c r="CR10" s="724"/>
    </row>
    <row r="11" s="651" customFormat="1" ht="31" customHeight="1" spans="1:96">
      <c r="A11" s="713">
        <v>46043</v>
      </c>
      <c r="B11" s="714" t="s">
        <v>264</v>
      </c>
      <c r="C11" s="715" t="s">
        <v>265</v>
      </c>
      <c r="D11" s="652">
        <v>4500191968</v>
      </c>
      <c r="E11" s="715">
        <v>4400528769</v>
      </c>
      <c r="F11" s="652" t="s">
        <v>4000</v>
      </c>
      <c r="G11" s="716" t="s">
        <v>3973</v>
      </c>
      <c r="H11" s="715" t="s">
        <v>3995</v>
      </c>
      <c r="I11" s="717">
        <v>2512</v>
      </c>
      <c r="J11" s="715">
        <v>0</v>
      </c>
      <c r="K11" s="715">
        <v>16</v>
      </c>
      <c r="L11" s="718">
        <f t="shared" si="1"/>
        <v>157</v>
      </c>
      <c r="M11" s="719">
        <v>46097</v>
      </c>
      <c r="N11" s="719">
        <v>46093</v>
      </c>
      <c r="O11" s="714"/>
      <c r="P11" s="717" t="s">
        <v>106</v>
      </c>
      <c r="Q11" s="717" t="s">
        <v>4001</v>
      </c>
      <c r="R11" s="723">
        <v>46044</v>
      </c>
      <c r="S11" s="720" t="s">
        <v>107</v>
      </c>
      <c r="T11" s="720" t="s">
        <v>153</v>
      </c>
      <c r="U11" s="720"/>
      <c r="V11" s="720"/>
      <c r="W11" s="720"/>
      <c r="X11" s="720" t="s">
        <v>4002</v>
      </c>
      <c r="Y11" s="719" t="s">
        <v>142</v>
      </c>
      <c r="Z11" s="715">
        <v>4.355</v>
      </c>
      <c r="AA11" s="715">
        <f>I11*Z11</f>
        <v>10939.76</v>
      </c>
      <c r="AB11" s="721"/>
      <c r="AC11" s="722" t="s">
        <v>3999</v>
      </c>
      <c r="AD11" s="715" t="s">
        <v>112</v>
      </c>
      <c r="AE11" s="715">
        <f t="shared" si="3"/>
        <v>2512</v>
      </c>
      <c r="AF11" s="715"/>
      <c r="AG11" s="715">
        <v>2512</v>
      </c>
      <c r="AH11" s="715">
        <f t="shared" si="0"/>
        <v>0</v>
      </c>
      <c r="AI11" s="717" t="s">
        <v>120</v>
      </c>
      <c r="AJ11" s="715" t="s">
        <v>3981</v>
      </c>
      <c r="AK11" s="652"/>
      <c r="AL11" s="652"/>
      <c r="AM11" s="652">
        <f>I11</f>
        <v>2512</v>
      </c>
      <c r="AN11" s="652">
        <f t="shared" si="2"/>
        <v>2512</v>
      </c>
      <c r="AO11" s="652"/>
      <c r="AP11" s="652"/>
      <c r="AQ11" s="652"/>
      <c r="AR11" s="652"/>
      <c r="AS11" s="652"/>
      <c r="AT11" s="652"/>
      <c r="AU11" s="652">
        <f>I11/8</f>
        <v>314</v>
      </c>
      <c r="AV11" s="652"/>
      <c r="AW11" s="652"/>
      <c r="AX11" s="652"/>
      <c r="AY11" s="652"/>
      <c r="AZ11" s="652"/>
      <c r="BA11" s="652"/>
      <c r="BB11" s="652"/>
      <c r="BC11" s="652"/>
      <c r="BD11" s="652"/>
      <c r="BE11" s="652"/>
      <c r="BF11" s="652"/>
      <c r="BG11" s="652"/>
      <c r="BH11" s="652"/>
      <c r="BI11" s="652"/>
      <c r="BJ11" s="724"/>
      <c r="BK11" s="724"/>
      <c r="BL11" s="724"/>
      <c r="BM11" s="724"/>
      <c r="BN11" s="724"/>
      <c r="BO11" s="724"/>
      <c r="BP11" s="724"/>
      <c r="BQ11" s="724"/>
      <c r="BR11" s="724"/>
      <c r="BS11" s="724"/>
      <c r="BT11" s="724"/>
      <c r="BU11" s="724"/>
      <c r="BV11" s="724"/>
      <c r="BW11" s="724"/>
      <c r="BX11" s="724"/>
      <c r="BY11" s="724"/>
      <c r="BZ11" s="724"/>
      <c r="CA11" s="724"/>
      <c r="CB11" s="724"/>
      <c r="CC11" s="724"/>
      <c r="CD11" s="724"/>
      <c r="CE11" s="724"/>
      <c r="CF11" s="724"/>
      <c r="CG11" s="724"/>
      <c r="CH11" s="724"/>
      <c r="CI11" s="724"/>
      <c r="CJ11" s="724"/>
      <c r="CK11" s="724"/>
      <c r="CL11" s="724"/>
      <c r="CM11" s="724"/>
      <c r="CN11" s="724"/>
      <c r="CO11" s="724"/>
      <c r="CP11" s="724"/>
      <c r="CQ11" s="724"/>
      <c r="CR11" s="724"/>
    </row>
    <row r="12" s="651" customFormat="1" ht="31" customHeight="1" spans="1:96">
      <c r="A12" s="713">
        <v>46084</v>
      </c>
      <c r="B12" s="714" t="s">
        <v>100</v>
      </c>
      <c r="C12" s="715" t="s">
        <v>101</v>
      </c>
      <c r="D12" s="652">
        <v>4500194964</v>
      </c>
      <c r="E12" s="715">
        <v>5200009119</v>
      </c>
      <c r="F12" s="652" t="s">
        <v>4003</v>
      </c>
      <c r="G12" s="716" t="s">
        <v>3977</v>
      </c>
      <c r="H12" s="715" t="s">
        <v>3978</v>
      </c>
      <c r="I12" s="717">
        <v>32</v>
      </c>
      <c r="J12" s="715">
        <v>0</v>
      </c>
      <c r="K12" s="715">
        <v>8</v>
      </c>
      <c r="L12" s="718">
        <f t="shared" si="1"/>
        <v>4</v>
      </c>
      <c r="M12" s="719">
        <v>46097</v>
      </c>
      <c r="N12" s="719">
        <v>46093</v>
      </c>
      <c r="O12" s="714"/>
      <c r="P12" s="717" t="s">
        <v>106</v>
      </c>
      <c r="Q12" s="717"/>
      <c r="R12" s="723">
        <v>46029</v>
      </c>
      <c r="S12" s="720" t="s">
        <v>107</v>
      </c>
      <c r="T12" s="720" t="s">
        <v>3979</v>
      </c>
      <c r="U12" s="720"/>
      <c r="V12" s="720"/>
      <c r="W12" s="720"/>
      <c r="X12" s="714" t="s">
        <v>145</v>
      </c>
      <c r="Y12" s="719" t="s">
        <v>110</v>
      </c>
      <c r="Z12" s="652">
        <v>5</v>
      </c>
      <c r="AA12" s="715">
        <f>I12*Z12</f>
        <v>160</v>
      </c>
      <c r="AB12" s="721"/>
      <c r="AC12" s="722" t="s">
        <v>3980</v>
      </c>
      <c r="AD12" s="715" t="s">
        <v>112</v>
      </c>
      <c r="AE12" s="715">
        <f t="shared" si="3"/>
        <v>32</v>
      </c>
      <c r="AF12" s="715"/>
      <c r="AG12" s="715">
        <v>32</v>
      </c>
      <c r="AH12" s="715">
        <f t="shared" si="0"/>
        <v>0</v>
      </c>
      <c r="AI12" s="717"/>
      <c r="AJ12" s="715" t="s">
        <v>3981</v>
      </c>
      <c r="AK12" s="652">
        <f>I12</f>
        <v>32</v>
      </c>
      <c r="AL12" s="652"/>
      <c r="AM12" s="652"/>
      <c r="AN12" s="652">
        <f t="shared" si="2"/>
        <v>32</v>
      </c>
      <c r="AO12" s="652"/>
      <c r="AP12" s="652"/>
      <c r="AQ12" s="652"/>
      <c r="AR12" s="652"/>
      <c r="AS12" s="652"/>
      <c r="AT12" s="652">
        <f>I12/8</f>
        <v>4</v>
      </c>
      <c r="AU12" s="652"/>
      <c r="AV12" s="652"/>
      <c r="AW12" s="652"/>
      <c r="AX12" s="652"/>
      <c r="AY12" s="652"/>
      <c r="AZ12" s="652"/>
      <c r="BA12" s="652"/>
      <c r="BB12" s="652"/>
      <c r="BC12" s="652"/>
      <c r="BD12" s="652"/>
      <c r="BE12" s="652"/>
      <c r="BF12" s="652"/>
      <c r="BG12" s="652"/>
      <c r="BH12" s="652"/>
      <c r="BI12" s="652"/>
      <c r="BJ12" s="724"/>
      <c r="BK12" s="724"/>
      <c r="BL12" s="724"/>
      <c r="BM12" s="724"/>
      <c r="BN12" s="724"/>
      <c r="BO12" s="724"/>
      <c r="BP12" s="724"/>
      <c r="BQ12" s="724"/>
      <c r="BR12" s="724"/>
      <c r="BS12" s="724"/>
      <c r="BT12" s="724"/>
      <c r="BU12" s="724"/>
      <c r="BV12" s="724"/>
      <c r="BW12" s="724"/>
      <c r="BX12" s="724"/>
      <c r="BY12" s="724"/>
      <c r="BZ12" s="724"/>
      <c r="CA12" s="724"/>
      <c r="CB12" s="724"/>
      <c r="CC12" s="724"/>
      <c r="CD12" s="724"/>
      <c r="CE12" s="724"/>
      <c r="CF12" s="724"/>
      <c r="CG12" s="724"/>
      <c r="CH12" s="724"/>
      <c r="CI12" s="724"/>
      <c r="CJ12" s="724"/>
      <c r="CK12" s="724"/>
      <c r="CL12" s="724"/>
      <c r="CM12" s="724"/>
      <c r="CN12" s="724"/>
      <c r="CO12" s="724"/>
      <c r="CP12" s="724"/>
      <c r="CQ12" s="724"/>
      <c r="CR12" s="724"/>
    </row>
    <row r="13" s="650" customFormat="1" ht="31" customHeight="1" spans="1:96">
      <c r="A13" s="713">
        <v>46044</v>
      </c>
      <c r="B13" s="714" t="s">
        <v>4004</v>
      </c>
      <c r="C13" s="715" t="s">
        <v>148</v>
      </c>
      <c r="D13" s="652">
        <v>4500191990</v>
      </c>
      <c r="E13" s="715">
        <v>4400528766</v>
      </c>
      <c r="F13" s="652" t="s">
        <v>4005</v>
      </c>
      <c r="G13" s="716" t="s">
        <v>3973</v>
      </c>
      <c r="H13" s="715" t="s">
        <v>3995</v>
      </c>
      <c r="I13" s="717">
        <v>560</v>
      </c>
      <c r="J13" s="715">
        <v>0</v>
      </c>
      <c r="K13" s="715">
        <v>16</v>
      </c>
      <c r="L13" s="718">
        <f t="shared" si="1"/>
        <v>35</v>
      </c>
      <c r="M13" s="728">
        <v>46098</v>
      </c>
      <c r="N13" s="719">
        <v>46094</v>
      </c>
      <c r="O13" s="714"/>
      <c r="P13" s="717" t="s">
        <v>106</v>
      </c>
      <c r="Q13" s="717"/>
      <c r="R13" s="723">
        <v>46044</v>
      </c>
      <c r="S13" s="720" t="s">
        <v>107</v>
      </c>
      <c r="T13" s="720" t="s">
        <v>153</v>
      </c>
      <c r="U13" s="720"/>
      <c r="V13" s="720"/>
      <c r="W13" s="720"/>
      <c r="X13" s="720" t="s">
        <v>4006</v>
      </c>
      <c r="Y13" s="719" t="s">
        <v>142</v>
      </c>
      <c r="Z13" s="715">
        <v>4.355</v>
      </c>
      <c r="AA13" s="715">
        <f>I13*Z13</f>
        <v>2438.8</v>
      </c>
      <c r="AB13" s="721"/>
      <c r="AC13" s="722" t="s">
        <v>3999</v>
      </c>
      <c r="AD13" s="715" t="s">
        <v>112</v>
      </c>
      <c r="AE13" s="715">
        <f t="shared" si="3"/>
        <v>560</v>
      </c>
      <c r="AF13" s="715"/>
      <c r="AG13" s="715">
        <v>560</v>
      </c>
      <c r="AH13" s="715">
        <f t="shared" si="0"/>
        <v>0</v>
      </c>
      <c r="AI13" s="717" t="s">
        <v>120</v>
      </c>
      <c r="AJ13" s="715" t="s">
        <v>3981</v>
      </c>
      <c r="AK13" s="652"/>
      <c r="AL13" s="652"/>
      <c r="AM13" s="652">
        <f t="shared" ref="AM13:AM20" si="4">I13</f>
        <v>560</v>
      </c>
      <c r="AN13" s="652">
        <f t="shared" si="2"/>
        <v>560</v>
      </c>
      <c r="AO13" s="652"/>
      <c r="AP13" s="652"/>
      <c r="AQ13" s="652"/>
      <c r="AR13" s="652"/>
      <c r="AS13" s="652"/>
      <c r="AT13" s="652"/>
      <c r="AU13" s="652">
        <f>I13/8</f>
        <v>70</v>
      </c>
      <c r="AV13" s="652"/>
      <c r="AW13" s="652"/>
      <c r="AX13" s="652"/>
      <c r="AY13" s="652"/>
      <c r="AZ13" s="652"/>
      <c r="BA13" s="652"/>
      <c r="BB13" s="652"/>
      <c r="BC13" s="652"/>
      <c r="BD13" s="652"/>
      <c r="BE13" s="652"/>
      <c r="BF13" s="652"/>
      <c r="BG13" s="652"/>
      <c r="BH13" s="652"/>
      <c r="BI13" s="726"/>
      <c r="BJ13" s="727"/>
      <c r="BK13" s="727"/>
      <c r="BL13" s="727"/>
      <c r="BM13" s="727"/>
      <c r="BN13" s="727"/>
      <c r="BO13" s="727"/>
      <c r="BP13" s="727"/>
      <c r="BQ13" s="727"/>
      <c r="BR13" s="727"/>
      <c r="BS13" s="727"/>
      <c r="BT13" s="727"/>
      <c r="BU13" s="727"/>
      <c r="BV13" s="727"/>
      <c r="BW13" s="727"/>
      <c r="BX13" s="727"/>
      <c r="BY13" s="727"/>
      <c r="BZ13" s="727"/>
      <c r="CA13" s="727"/>
      <c r="CB13" s="727"/>
      <c r="CC13" s="727"/>
      <c r="CD13" s="727"/>
      <c r="CE13" s="727"/>
      <c r="CF13" s="727"/>
      <c r="CG13" s="727"/>
      <c r="CH13" s="727"/>
      <c r="CI13" s="727"/>
      <c r="CJ13" s="727"/>
      <c r="CK13" s="727"/>
      <c r="CL13" s="727"/>
      <c r="CM13" s="727"/>
      <c r="CN13" s="727"/>
      <c r="CO13" s="727"/>
      <c r="CP13" s="727"/>
      <c r="CQ13" s="727"/>
      <c r="CR13" s="727"/>
    </row>
    <row r="14" s="651" customFormat="1" ht="31" customHeight="1" spans="1:96">
      <c r="A14" s="713">
        <v>46044</v>
      </c>
      <c r="B14" s="714" t="s">
        <v>4004</v>
      </c>
      <c r="C14" s="715" t="s">
        <v>148</v>
      </c>
      <c r="D14" s="652">
        <v>4500191990</v>
      </c>
      <c r="E14" s="715">
        <v>4400528767</v>
      </c>
      <c r="F14" s="652" t="s">
        <v>4007</v>
      </c>
      <c r="G14" s="716" t="s">
        <v>3973</v>
      </c>
      <c r="H14" s="715" t="s">
        <v>3995</v>
      </c>
      <c r="I14" s="717">
        <v>240</v>
      </c>
      <c r="J14" s="715">
        <v>0</v>
      </c>
      <c r="K14" s="715">
        <v>16</v>
      </c>
      <c r="L14" s="718">
        <f t="shared" si="1"/>
        <v>15</v>
      </c>
      <c r="M14" s="719">
        <v>46098</v>
      </c>
      <c r="N14" s="719">
        <v>46094</v>
      </c>
      <c r="O14" s="714"/>
      <c r="P14" s="717" t="s">
        <v>106</v>
      </c>
      <c r="Q14" s="715" t="s">
        <v>152</v>
      </c>
      <c r="R14" s="723">
        <v>46044</v>
      </c>
      <c r="S14" s="720" t="s">
        <v>107</v>
      </c>
      <c r="T14" s="720" t="s">
        <v>153</v>
      </c>
      <c r="U14" s="720"/>
      <c r="V14" s="720"/>
      <c r="W14" s="720"/>
      <c r="X14" s="720" t="s">
        <v>4006</v>
      </c>
      <c r="Y14" s="719" t="s">
        <v>142</v>
      </c>
      <c r="Z14" s="715">
        <v>4.355</v>
      </c>
      <c r="AA14" s="715">
        <f>I14*Z14</f>
        <v>1045.2</v>
      </c>
      <c r="AB14" s="721"/>
      <c r="AC14" s="722" t="s">
        <v>3999</v>
      </c>
      <c r="AD14" s="715" t="s">
        <v>112</v>
      </c>
      <c r="AE14" s="715">
        <f t="shared" si="3"/>
        <v>240</v>
      </c>
      <c r="AF14" s="715"/>
      <c r="AG14" s="715">
        <v>240</v>
      </c>
      <c r="AH14" s="715">
        <f t="shared" si="0"/>
        <v>0</v>
      </c>
      <c r="AI14" s="717" t="s">
        <v>120</v>
      </c>
      <c r="AJ14" s="715" t="s">
        <v>3981</v>
      </c>
      <c r="AK14" s="652"/>
      <c r="AL14" s="652"/>
      <c r="AM14" s="652">
        <f t="shared" si="4"/>
        <v>240</v>
      </c>
      <c r="AN14" s="652">
        <f t="shared" si="2"/>
        <v>240</v>
      </c>
      <c r="AO14" s="652"/>
      <c r="AP14" s="652"/>
      <c r="AQ14" s="652"/>
      <c r="AR14" s="652"/>
      <c r="AS14" s="652"/>
      <c r="AT14" s="652"/>
      <c r="AU14" s="652">
        <f>I14/8</f>
        <v>30</v>
      </c>
      <c r="AV14" s="652"/>
      <c r="AW14" s="652"/>
      <c r="AX14" s="652"/>
      <c r="AY14" s="652"/>
      <c r="AZ14" s="652"/>
      <c r="BA14" s="652"/>
      <c r="BB14" s="652"/>
      <c r="BC14" s="652"/>
      <c r="BD14" s="652"/>
      <c r="BE14" s="652"/>
      <c r="BF14" s="652"/>
      <c r="BG14" s="652"/>
      <c r="BH14" s="652"/>
      <c r="BI14" s="726"/>
      <c r="BJ14" s="727"/>
      <c r="BK14" s="727"/>
      <c r="BL14" s="727"/>
      <c r="BM14" s="727"/>
      <c r="BN14" s="727"/>
      <c r="BO14" s="727"/>
      <c r="BP14" s="727"/>
      <c r="BQ14" s="727"/>
      <c r="BR14" s="727"/>
      <c r="BS14" s="727"/>
      <c r="BT14" s="727"/>
      <c r="BU14" s="727"/>
      <c r="BV14" s="727"/>
      <c r="BW14" s="727"/>
      <c r="BX14" s="727"/>
      <c r="BY14" s="727"/>
      <c r="BZ14" s="727"/>
      <c r="CA14" s="727"/>
      <c r="CB14" s="727"/>
      <c r="CC14" s="727"/>
      <c r="CD14" s="727"/>
      <c r="CE14" s="727"/>
      <c r="CF14" s="727"/>
      <c r="CG14" s="727"/>
      <c r="CH14" s="727"/>
      <c r="CI14" s="727"/>
      <c r="CJ14" s="727"/>
      <c r="CK14" s="727"/>
      <c r="CL14" s="727"/>
      <c r="CM14" s="727"/>
      <c r="CN14" s="727"/>
      <c r="CO14" s="727"/>
      <c r="CP14" s="727"/>
      <c r="CQ14" s="727"/>
      <c r="CR14" s="727"/>
    </row>
    <row r="15" s="651" customFormat="1" ht="31" customHeight="1" spans="1:96">
      <c r="A15" s="713">
        <v>46043</v>
      </c>
      <c r="B15" s="714" t="s">
        <v>134</v>
      </c>
      <c r="C15" s="715" t="s">
        <v>135</v>
      </c>
      <c r="D15" s="652">
        <v>4500191961</v>
      </c>
      <c r="E15" s="715">
        <v>4400528768</v>
      </c>
      <c r="F15" s="652" t="s">
        <v>161</v>
      </c>
      <c r="G15" s="716" t="s">
        <v>3992</v>
      </c>
      <c r="H15" s="715" t="s">
        <v>151</v>
      </c>
      <c r="I15" s="717">
        <v>6384</v>
      </c>
      <c r="J15" s="715">
        <v>0</v>
      </c>
      <c r="K15" s="715">
        <v>48</v>
      </c>
      <c r="L15" s="718">
        <f t="shared" si="1"/>
        <v>133</v>
      </c>
      <c r="M15" s="719">
        <v>46098</v>
      </c>
      <c r="N15" s="719">
        <v>46094</v>
      </c>
      <c r="O15" s="714"/>
      <c r="P15" s="717" t="s">
        <v>106</v>
      </c>
      <c r="Q15" s="715" t="s">
        <v>152</v>
      </c>
      <c r="R15" s="723">
        <v>46044</v>
      </c>
      <c r="S15" s="720" t="s">
        <v>107</v>
      </c>
      <c r="T15" s="720" t="s">
        <v>3997</v>
      </c>
      <c r="U15" s="720"/>
      <c r="V15" s="720"/>
      <c r="W15" s="720"/>
      <c r="X15" s="720" t="s">
        <v>162</v>
      </c>
      <c r="Y15" s="719" t="s">
        <v>142</v>
      </c>
      <c r="Z15" s="715">
        <v>306.676</v>
      </c>
      <c r="AA15" s="715">
        <f>L15*Z15</f>
        <v>40787.908</v>
      </c>
      <c r="AB15" s="721"/>
      <c r="AC15" s="722" t="s">
        <v>3993</v>
      </c>
      <c r="AD15" s="715" t="s">
        <v>112</v>
      </c>
      <c r="AE15" s="715">
        <f t="shared" si="3"/>
        <v>6384</v>
      </c>
      <c r="AF15" s="715"/>
      <c r="AG15" s="715">
        <f>3442+2741+201</f>
        <v>6384</v>
      </c>
      <c r="AH15" s="715">
        <f t="shared" si="0"/>
        <v>0</v>
      </c>
      <c r="AI15" s="717" t="s">
        <v>120</v>
      </c>
      <c r="AJ15" s="715" t="s">
        <v>3981</v>
      </c>
      <c r="AK15" s="652"/>
      <c r="AL15" s="652"/>
      <c r="AM15" s="652">
        <f t="shared" si="4"/>
        <v>6384</v>
      </c>
      <c r="AN15" s="652">
        <f t="shared" si="2"/>
        <v>6384</v>
      </c>
      <c r="AO15" s="652"/>
      <c r="AP15" s="652"/>
      <c r="AQ15" s="652"/>
      <c r="AR15" s="652"/>
      <c r="AS15" s="652"/>
      <c r="AT15" s="652"/>
      <c r="AU15" s="652"/>
      <c r="AV15" s="652"/>
      <c r="AW15" s="652"/>
      <c r="AX15" s="652"/>
      <c r="AY15" s="652"/>
      <c r="AZ15" s="652"/>
      <c r="BA15" s="652">
        <f>I15/K15</f>
        <v>133</v>
      </c>
      <c r="BB15" s="652"/>
      <c r="BC15" s="652"/>
      <c r="BD15" s="652"/>
      <c r="BE15" s="652"/>
      <c r="BF15" s="652"/>
      <c r="BG15" s="652"/>
      <c r="BH15" s="652"/>
      <c r="BI15" s="726"/>
      <c r="BJ15" s="724"/>
      <c r="BK15" s="724"/>
      <c r="BL15" s="724"/>
      <c r="BM15" s="724"/>
      <c r="BN15" s="724"/>
      <c r="BO15" s="724"/>
      <c r="BP15" s="724"/>
      <c r="BQ15" s="724"/>
      <c r="BR15" s="724"/>
      <c r="BS15" s="724"/>
      <c r="BT15" s="724"/>
      <c r="BU15" s="724"/>
      <c r="BV15" s="724"/>
      <c r="BW15" s="724"/>
      <c r="BX15" s="724"/>
      <c r="BY15" s="724"/>
      <c r="BZ15" s="724"/>
      <c r="CA15" s="724"/>
      <c r="CB15" s="724"/>
      <c r="CC15" s="724"/>
      <c r="CD15" s="724"/>
      <c r="CE15" s="724"/>
      <c r="CF15" s="724"/>
      <c r="CG15" s="724"/>
      <c r="CH15" s="724"/>
      <c r="CI15" s="724"/>
      <c r="CJ15" s="724"/>
      <c r="CK15" s="724"/>
      <c r="CL15" s="724"/>
      <c r="CM15" s="724"/>
      <c r="CN15" s="724"/>
      <c r="CO15" s="724"/>
      <c r="CP15" s="724"/>
      <c r="CQ15" s="724"/>
      <c r="CR15" s="724"/>
    </row>
    <row r="16" s="651" customFormat="1" ht="31" customHeight="1" spans="1:96">
      <c r="A16" s="713">
        <v>46043</v>
      </c>
      <c r="B16" s="714" t="s">
        <v>264</v>
      </c>
      <c r="C16" s="715" t="s">
        <v>265</v>
      </c>
      <c r="D16" s="652">
        <v>4500191969</v>
      </c>
      <c r="E16" s="715">
        <v>4400528769</v>
      </c>
      <c r="F16" s="652" t="s">
        <v>4008</v>
      </c>
      <c r="G16" s="716" t="s">
        <v>3992</v>
      </c>
      <c r="H16" s="715" t="s">
        <v>151</v>
      </c>
      <c r="I16" s="717">
        <v>1536</v>
      </c>
      <c r="J16" s="715">
        <v>0</v>
      </c>
      <c r="K16" s="715">
        <v>48</v>
      </c>
      <c r="L16" s="718">
        <f t="shared" si="1"/>
        <v>32</v>
      </c>
      <c r="M16" s="719">
        <v>46099</v>
      </c>
      <c r="N16" s="719">
        <v>46095</v>
      </c>
      <c r="O16" s="714"/>
      <c r="P16" s="717" t="s">
        <v>106</v>
      </c>
      <c r="Q16" s="715" t="s">
        <v>195</v>
      </c>
      <c r="R16" s="723">
        <v>46044</v>
      </c>
      <c r="S16" s="720" t="s">
        <v>107</v>
      </c>
      <c r="T16" s="720" t="s">
        <v>153</v>
      </c>
      <c r="U16" s="720"/>
      <c r="V16" s="720"/>
      <c r="W16" s="720"/>
      <c r="X16" s="720" t="s">
        <v>4009</v>
      </c>
      <c r="Y16" s="719" t="s">
        <v>142</v>
      </c>
      <c r="Z16" s="715">
        <v>306.676</v>
      </c>
      <c r="AA16" s="715">
        <f>L16*Z16</f>
        <v>9813.632</v>
      </c>
      <c r="AB16" s="721"/>
      <c r="AC16" s="722" t="s">
        <v>3993</v>
      </c>
      <c r="AD16" s="715" t="s">
        <v>112</v>
      </c>
      <c r="AE16" s="715">
        <f t="shared" si="3"/>
        <v>1536</v>
      </c>
      <c r="AF16" s="715"/>
      <c r="AG16" s="715">
        <v>1536</v>
      </c>
      <c r="AH16" s="715">
        <f t="shared" si="0"/>
        <v>0</v>
      </c>
      <c r="AI16" s="717"/>
      <c r="AJ16" s="715" t="s">
        <v>3981</v>
      </c>
      <c r="AK16" s="652"/>
      <c r="AL16" s="652"/>
      <c r="AM16" s="652">
        <f t="shared" si="4"/>
        <v>1536</v>
      </c>
      <c r="AN16" s="652">
        <f t="shared" si="2"/>
        <v>1536</v>
      </c>
      <c r="AO16" s="652"/>
      <c r="AP16" s="652"/>
      <c r="AQ16" s="652"/>
      <c r="AR16" s="652"/>
      <c r="AS16" s="652"/>
      <c r="AT16" s="652"/>
      <c r="AU16" s="652"/>
      <c r="AV16" s="652"/>
      <c r="AW16" s="652"/>
      <c r="AX16" s="652"/>
      <c r="AY16" s="652"/>
      <c r="AZ16" s="652"/>
      <c r="BA16" s="652">
        <f>I16/K16</f>
        <v>32</v>
      </c>
      <c r="BB16" s="652"/>
      <c r="BC16" s="652"/>
      <c r="BD16" s="652"/>
      <c r="BE16" s="652"/>
      <c r="BF16" s="652"/>
      <c r="BG16" s="652"/>
      <c r="BH16" s="652"/>
      <c r="BI16" s="726"/>
      <c r="BJ16" s="724"/>
      <c r="BK16" s="724"/>
      <c r="BL16" s="724"/>
      <c r="BM16" s="724"/>
      <c r="BN16" s="724"/>
      <c r="BO16" s="724"/>
      <c r="BP16" s="724"/>
      <c r="BQ16" s="724"/>
      <c r="BR16" s="724"/>
      <c r="BS16" s="724"/>
      <c r="BT16" s="724"/>
      <c r="BU16" s="724"/>
      <c r="BV16" s="724"/>
      <c r="BW16" s="724"/>
      <c r="BX16" s="724"/>
      <c r="BY16" s="724"/>
      <c r="BZ16" s="724"/>
      <c r="CA16" s="724"/>
      <c r="CB16" s="724"/>
      <c r="CC16" s="724"/>
      <c r="CD16" s="724"/>
      <c r="CE16" s="724"/>
      <c r="CF16" s="724"/>
      <c r="CG16" s="724"/>
      <c r="CH16" s="724"/>
      <c r="CI16" s="724"/>
      <c r="CJ16" s="724"/>
      <c r="CK16" s="724"/>
      <c r="CL16" s="724"/>
      <c r="CM16" s="724"/>
      <c r="CN16" s="724"/>
      <c r="CO16" s="724"/>
      <c r="CP16" s="724"/>
      <c r="CQ16" s="724"/>
      <c r="CR16" s="724"/>
    </row>
    <row r="17" s="651" customFormat="1" ht="31" customHeight="1" spans="1:96">
      <c r="A17" s="713">
        <v>46044</v>
      </c>
      <c r="B17" s="714" t="s">
        <v>163</v>
      </c>
      <c r="C17" s="715" t="s">
        <v>164</v>
      </c>
      <c r="D17" s="652">
        <v>4500191996</v>
      </c>
      <c r="E17" s="715">
        <v>4400528770</v>
      </c>
      <c r="F17" s="652" t="s">
        <v>4010</v>
      </c>
      <c r="G17" s="716" t="s">
        <v>3973</v>
      </c>
      <c r="H17" s="715" t="s">
        <v>3995</v>
      </c>
      <c r="I17" s="717">
        <v>992</v>
      </c>
      <c r="J17" s="715">
        <v>0</v>
      </c>
      <c r="K17" s="715">
        <v>16</v>
      </c>
      <c r="L17" s="718">
        <f t="shared" si="1"/>
        <v>62</v>
      </c>
      <c r="M17" s="719">
        <v>46099</v>
      </c>
      <c r="N17" s="719">
        <v>46095</v>
      </c>
      <c r="O17" s="714"/>
      <c r="P17" s="717" t="s">
        <v>106</v>
      </c>
      <c r="Q17" s="717"/>
      <c r="R17" s="723">
        <v>46044</v>
      </c>
      <c r="S17" s="720" t="s">
        <v>107</v>
      </c>
      <c r="T17" s="720" t="s">
        <v>153</v>
      </c>
      <c r="U17" s="720"/>
      <c r="V17" s="720" t="s">
        <v>4011</v>
      </c>
      <c r="W17" s="720"/>
      <c r="X17" s="720" t="s">
        <v>4012</v>
      </c>
      <c r="Y17" s="719" t="s">
        <v>142</v>
      </c>
      <c r="Z17" s="715">
        <v>4.355</v>
      </c>
      <c r="AA17" s="715">
        <f>I17*Z17</f>
        <v>4320.16</v>
      </c>
      <c r="AB17" s="721"/>
      <c r="AC17" s="722" t="s">
        <v>3999</v>
      </c>
      <c r="AD17" s="715" t="s">
        <v>112</v>
      </c>
      <c r="AE17" s="715">
        <f t="shared" si="3"/>
        <v>992</v>
      </c>
      <c r="AF17" s="715"/>
      <c r="AG17" s="715">
        <v>992</v>
      </c>
      <c r="AH17" s="715">
        <f t="shared" si="0"/>
        <v>0</v>
      </c>
      <c r="AI17" s="717" t="s">
        <v>120</v>
      </c>
      <c r="AJ17" s="715" t="s">
        <v>3981</v>
      </c>
      <c r="AK17" s="652"/>
      <c r="AL17" s="652"/>
      <c r="AM17" s="652">
        <f t="shared" si="4"/>
        <v>992</v>
      </c>
      <c r="AN17" s="652">
        <f t="shared" si="2"/>
        <v>992</v>
      </c>
      <c r="AO17" s="652"/>
      <c r="AP17" s="652"/>
      <c r="AQ17" s="652"/>
      <c r="AR17" s="652"/>
      <c r="AS17" s="652"/>
      <c r="AT17" s="652"/>
      <c r="AU17" s="652">
        <f>I17/8</f>
        <v>124</v>
      </c>
      <c r="AV17" s="652"/>
      <c r="AW17" s="652"/>
      <c r="AX17" s="652"/>
      <c r="AY17" s="652"/>
      <c r="AZ17" s="652"/>
      <c r="BA17" s="652"/>
      <c r="BB17" s="652"/>
      <c r="BC17" s="652"/>
      <c r="BD17" s="652"/>
      <c r="BE17" s="652"/>
      <c r="BF17" s="652"/>
      <c r="BG17" s="652"/>
      <c r="BH17" s="726"/>
      <c r="BI17" s="726"/>
      <c r="BJ17" s="724"/>
      <c r="BK17" s="724"/>
      <c r="BL17" s="724"/>
      <c r="BM17" s="724"/>
      <c r="BN17" s="724"/>
      <c r="BO17" s="724"/>
      <c r="BP17" s="724"/>
      <c r="BQ17" s="724"/>
      <c r="BR17" s="724"/>
      <c r="BS17" s="724"/>
      <c r="BT17" s="724"/>
      <c r="BU17" s="724"/>
      <c r="BV17" s="724"/>
      <c r="BW17" s="724"/>
      <c r="BX17" s="724"/>
      <c r="BY17" s="724"/>
      <c r="BZ17" s="724"/>
      <c r="CA17" s="724"/>
      <c r="CB17" s="724"/>
      <c r="CC17" s="724"/>
      <c r="CD17" s="724"/>
      <c r="CE17" s="724"/>
      <c r="CF17" s="724"/>
      <c r="CG17" s="724"/>
      <c r="CH17" s="724"/>
      <c r="CI17" s="724"/>
      <c r="CJ17" s="724"/>
      <c r="CK17" s="724"/>
      <c r="CL17" s="724"/>
      <c r="CM17" s="724"/>
      <c r="CN17" s="724"/>
      <c r="CO17" s="724"/>
      <c r="CP17" s="724"/>
      <c r="CQ17" s="724"/>
      <c r="CR17" s="724"/>
    </row>
    <row r="18" s="651" customFormat="1" ht="31" customHeight="1" spans="1:96">
      <c r="A18" s="713">
        <v>46044</v>
      </c>
      <c r="B18" s="714" t="s">
        <v>163</v>
      </c>
      <c r="C18" s="715" t="s">
        <v>164</v>
      </c>
      <c r="D18" s="652">
        <v>4500191996</v>
      </c>
      <c r="E18" s="715">
        <v>4400528771</v>
      </c>
      <c r="F18" s="652" t="s">
        <v>4013</v>
      </c>
      <c r="G18" s="716" t="s">
        <v>3973</v>
      </c>
      <c r="H18" s="715" t="s">
        <v>3995</v>
      </c>
      <c r="I18" s="717">
        <v>608</v>
      </c>
      <c r="J18" s="715">
        <v>0</v>
      </c>
      <c r="K18" s="715">
        <v>16</v>
      </c>
      <c r="L18" s="718">
        <f t="shared" si="1"/>
        <v>38</v>
      </c>
      <c r="M18" s="719">
        <v>46099</v>
      </c>
      <c r="N18" s="719">
        <v>46095</v>
      </c>
      <c r="O18" s="714"/>
      <c r="P18" s="717" t="s">
        <v>106</v>
      </c>
      <c r="Q18" s="715" t="s">
        <v>166</v>
      </c>
      <c r="R18" s="723">
        <v>46044</v>
      </c>
      <c r="S18" s="720" t="s">
        <v>107</v>
      </c>
      <c r="T18" s="720" t="s">
        <v>153</v>
      </c>
      <c r="U18" s="720"/>
      <c r="V18" s="720" t="s">
        <v>4011</v>
      </c>
      <c r="W18" s="720"/>
      <c r="X18" s="720" t="s">
        <v>4012</v>
      </c>
      <c r="Y18" s="719" t="s">
        <v>142</v>
      </c>
      <c r="Z18" s="715">
        <v>4.355</v>
      </c>
      <c r="AA18" s="715">
        <f>I18*Z18</f>
        <v>2647.84</v>
      </c>
      <c r="AB18" s="721"/>
      <c r="AC18" s="722" t="s">
        <v>3999</v>
      </c>
      <c r="AD18" s="715" t="s">
        <v>112</v>
      </c>
      <c r="AE18" s="715">
        <f t="shared" si="3"/>
        <v>608</v>
      </c>
      <c r="AF18" s="715"/>
      <c r="AG18" s="715">
        <v>608</v>
      </c>
      <c r="AH18" s="715">
        <f t="shared" si="0"/>
        <v>0</v>
      </c>
      <c r="AI18" s="717" t="s">
        <v>120</v>
      </c>
      <c r="AJ18" s="715" t="s">
        <v>3981</v>
      </c>
      <c r="AK18" s="652"/>
      <c r="AL18" s="652"/>
      <c r="AM18" s="652">
        <f t="shared" si="4"/>
        <v>608</v>
      </c>
      <c r="AN18" s="652">
        <f t="shared" si="2"/>
        <v>608</v>
      </c>
      <c r="AO18" s="652"/>
      <c r="AP18" s="652"/>
      <c r="AQ18" s="652"/>
      <c r="AR18" s="652"/>
      <c r="AS18" s="652"/>
      <c r="AT18" s="652"/>
      <c r="AU18" s="652">
        <f>I18/8</f>
        <v>76</v>
      </c>
      <c r="AV18" s="652"/>
      <c r="AW18" s="652"/>
      <c r="AX18" s="652"/>
      <c r="AY18" s="652"/>
      <c r="AZ18" s="652"/>
      <c r="BA18" s="652"/>
      <c r="BB18" s="652"/>
      <c r="BC18" s="652"/>
      <c r="BD18" s="652"/>
      <c r="BE18" s="652"/>
      <c r="BF18" s="652"/>
      <c r="BG18" s="652"/>
      <c r="BH18" s="726"/>
      <c r="BI18" s="726"/>
      <c r="BJ18" s="724"/>
      <c r="BK18" s="724"/>
      <c r="BL18" s="724"/>
      <c r="BM18" s="724"/>
      <c r="BN18" s="724"/>
      <c r="BO18" s="724"/>
      <c r="BP18" s="724"/>
      <c r="BQ18" s="724"/>
      <c r="BR18" s="724"/>
      <c r="BS18" s="724"/>
      <c r="BT18" s="724"/>
      <c r="BU18" s="724"/>
      <c r="BV18" s="724"/>
      <c r="BW18" s="724"/>
      <c r="BX18" s="724"/>
      <c r="BY18" s="724"/>
      <c r="BZ18" s="724"/>
      <c r="CA18" s="724"/>
      <c r="CB18" s="724"/>
      <c r="CC18" s="724"/>
      <c r="CD18" s="724"/>
      <c r="CE18" s="724"/>
      <c r="CF18" s="724"/>
      <c r="CG18" s="724"/>
      <c r="CH18" s="724"/>
      <c r="CI18" s="724"/>
      <c r="CJ18" s="724"/>
      <c r="CK18" s="724"/>
      <c r="CL18" s="724"/>
      <c r="CM18" s="724"/>
      <c r="CN18" s="724"/>
      <c r="CO18" s="724"/>
      <c r="CP18" s="724"/>
      <c r="CQ18" s="724"/>
      <c r="CR18" s="724"/>
    </row>
    <row r="19" s="651" customFormat="1" ht="31" customHeight="1" spans="1:96">
      <c r="A19" s="713">
        <v>46044</v>
      </c>
      <c r="B19" s="714" t="s">
        <v>163</v>
      </c>
      <c r="C19" s="715" t="s">
        <v>164</v>
      </c>
      <c r="D19" s="652">
        <v>4500191997</v>
      </c>
      <c r="E19" s="715">
        <v>4400528770</v>
      </c>
      <c r="F19" s="652" t="s">
        <v>169</v>
      </c>
      <c r="G19" s="716" t="s">
        <v>3992</v>
      </c>
      <c r="H19" s="715" t="s">
        <v>151</v>
      </c>
      <c r="I19" s="717">
        <v>2784</v>
      </c>
      <c r="J19" s="715">
        <v>0</v>
      </c>
      <c r="K19" s="715">
        <v>48</v>
      </c>
      <c r="L19" s="718">
        <f t="shared" si="1"/>
        <v>58</v>
      </c>
      <c r="M19" s="719">
        <v>46100</v>
      </c>
      <c r="N19" s="719">
        <v>46097</v>
      </c>
      <c r="O19" s="714"/>
      <c r="P19" s="717" t="s">
        <v>106</v>
      </c>
      <c r="Q19" s="717"/>
      <c r="R19" s="723">
        <v>46044</v>
      </c>
      <c r="S19" s="720" t="s">
        <v>107</v>
      </c>
      <c r="T19" s="720" t="s">
        <v>153</v>
      </c>
      <c r="U19" s="720"/>
      <c r="V19" s="720" t="s">
        <v>4011</v>
      </c>
      <c r="W19" s="720"/>
      <c r="X19" s="720" t="s">
        <v>170</v>
      </c>
      <c r="Y19" s="719" t="s">
        <v>142</v>
      </c>
      <c r="Z19" s="715">
        <v>306.676</v>
      </c>
      <c r="AA19" s="715">
        <f>L19*Z19</f>
        <v>17787.208</v>
      </c>
      <c r="AB19" s="721"/>
      <c r="AC19" s="722" t="s">
        <v>3993</v>
      </c>
      <c r="AD19" s="715" t="s">
        <v>112</v>
      </c>
      <c r="AE19" s="715">
        <f t="shared" si="3"/>
        <v>2784</v>
      </c>
      <c r="AF19" s="715"/>
      <c r="AG19" s="715">
        <v>2784</v>
      </c>
      <c r="AH19" s="715">
        <f t="shared" si="0"/>
        <v>0</v>
      </c>
      <c r="AI19" s="717" t="s">
        <v>120</v>
      </c>
      <c r="AJ19" s="715" t="s">
        <v>3981</v>
      </c>
      <c r="AK19" s="652"/>
      <c r="AL19" s="652"/>
      <c r="AM19" s="652">
        <f t="shared" si="4"/>
        <v>2784</v>
      </c>
      <c r="AN19" s="652">
        <f t="shared" si="2"/>
        <v>2784</v>
      </c>
      <c r="AO19" s="652"/>
      <c r="AP19" s="652"/>
      <c r="AQ19" s="652"/>
      <c r="AR19" s="652"/>
      <c r="AS19" s="652"/>
      <c r="AT19" s="652"/>
      <c r="AU19" s="652"/>
      <c r="AV19" s="652"/>
      <c r="AW19" s="652"/>
      <c r="AX19" s="652"/>
      <c r="AY19" s="652"/>
      <c r="AZ19" s="652"/>
      <c r="BA19" s="652">
        <f>I19/K19</f>
        <v>58</v>
      </c>
      <c r="BB19" s="652"/>
      <c r="BC19" s="652"/>
      <c r="BD19" s="652"/>
      <c r="BE19" s="652"/>
      <c r="BF19" s="652"/>
      <c r="BG19" s="652"/>
      <c r="BH19" s="652"/>
      <c r="BI19" s="726"/>
      <c r="BJ19" s="724"/>
      <c r="BK19" s="724"/>
      <c r="BL19" s="724"/>
      <c r="BM19" s="724"/>
      <c r="BN19" s="724"/>
      <c r="BO19" s="724"/>
      <c r="BP19" s="724"/>
      <c r="BQ19" s="724"/>
      <c r="BR19" s="724"/>
      <c r="BS19" s="724"/>
      <c r="BT19" s="724"/>
      <c r="BU19" s="724"/>
      <c r="BV19" s="724"/>
      <c r="BW19" s="724"/>
      <c r="BX19" s="724"/>
      <c r="BY19" s="724"/>
      <c r="BZ19" s="724"/>
      <c r="CA19" s="724"/>
      <c r="CB19" s="724"/>
      <c r="CC19" s="724"/>
      <c r="CD19" s="724"/>
      <c r="CE19" s="724"/>
      <c r="CF19" s="724"/>
      <c r="CG19" s="724"/>
      <c r="CH19" s="724"/>
      <c r="CI19" s="724"/>
      <c r="CJ19" s="724"/>
      <c r="CK19" s="724"/>
      <c r="CL19" s="724"/>
      <c r="CM19" s="724"/>
      <c r="CN19" s="724"/>
      <c r="CO19" s="724"/>
      <c r="CP19" s="724"/>
      <c r="CQ19" s="724"/>
      <c r="CR19" s="724"/>
    </row>
    <row r="20" s="651" customFormat="1" ht="31" customHeight="1" spans="1:96">
      <c r="A20" s="713">
        <v>46044</v>
      </c>
      <c r="B20" s="714" t="s">
        <v>163</v>
      </c>
      <c r="C20" s="715" t="s">
        <v>164</v>
      </c>
      <c r="D20" s="652">
        <v>4500191997</v>
      </c>
      <c r="E20" s="715">
        <v>4400528771</v>
      </c>
      <c r="F20" s="652" t="s">
        <v>171</v>
      </c>
      <c r="G20" s="716" t="s">
        <v>3992</v>
      </c>
      <c r="H20" s="715" t="s">
        <v>151</v>
      </c>
      <c r="I20" s="717">
        <v>3216</v>
      </c>
      <c r="J20" s="715">
        <v>0</v>
      </c>
      <c r="K20" s="715">
        <v>48</v>
      </c>
      <c r="L20" s="718">
        <f t="shared" si="1"/>
        <v>67</v>
      </c>
      <c r="M20" s="719">
        <v>46100</v>
      </c>
      <c r="N20" s="719">
        <v>46097</v>
      </c>
      <c r="O20" s="714"/>
      <c r="P20" s="717" t="s">
        <v>106</v>
      </c>
      <c r="Q20" s="717"/>
      <c r="R20" s="723">
        <v>46044</v>
      </c>
      <c r="S20" s="720" t="s">
        <v>107</v>
      </c>
      <c r="T20" s="720" t="s">
        <v>153</v>
      </c>
      <c r="U20" s="720"/>
      <c r="V20" s="720" t="s">
        <v>4011</v>
      </c>
      <c r="W20" s="720"/>
      <c r="X20" s="720" t="s">
        <v>170</v>
      </c>
      <c r="Y20" s="719" t="s">
        <v>142</v>
      </c>
      <c r="Z20" s="715">
        <v>306.676</v>
      </c>
      <c r="AA20" s="715">
        <f>L20*Z20</f>
        <v>20547.292</v>
      </c>
      <c r="AB20" s="721"/>
      <c r="AC20" s="722" t="s">
        <v>3993</v>
      </c>
      <c r="AD20" s="715" t="s">
        <v>112</v>
      </c>
      <c r="AE20" s="715">
        <f t="shared" si="3"/>
        <v>3216</v>
      </c>
      <c r="AF20" s="715"/>
      <c r="AG20" s="715">
        <v>3216</v>
      </c>
      <c r="AH20" s="715">
        <f t="shared" si="0"/>
        <v>0</v>
      </c>
      <c r="AI20" s="717" t="s">
        <v>120</v>
      </c>
      <c r="AJ20" s="715" t="s">
        <v>3981</v>
      </c>
      <c r="AK20" s="652"/>
      <c r="AL20" s="652"/>
      <c r="AM20" s="652">
        <f t="shared" si="4"/>
        <v>3216</v>
      </c>
      <c r="AN20" s="652">
        <f t="shared" si="2"/>
        <v>3216</v>
      </c>
      <c r="AO20" s="652"/>
      <c r="AP20" s="652"/>
      <c r="AQ20" s="652"/>
      <c r="AR20" s="652"/>
      <c r="AS20" s="652"/>
      <c r="AT20" s="652"/>
      <c r="AU20" s="652"/>
      <c r="AV20" s="652"/>
      <c r="AW20" s="652"/>
      <c r="AX20" s="652"/>
      <c r="AY20" s="652"/>
      <c r="AZ20" s="652"/>
      <c r="BA20" s="652">
        <f>I20/K20</f>
        <v>67</v>
      </c>
      <c r="BB20" s="652"/>
      <c r="BC20" s="652"/>
      <c r="BD20" s="652"/>
      <c r="BE20" s="652"/>
      <c r="BF20" s="652"/>
      <c r="BG20" s="652"/>
      <c r="BH20" s="652"/>
      <c r="BI20" s="726"/>
      <c r="BJ20" s="724"/>
      <c r="BK20" s="724"/>
      <c r="BL20" s="724"/>
      <c r="BM20" s="724"/>
      <c r="BN20" s="724"/>
      <c r="BO20" s="724"/>
      <c r="BP20" s="724"/>
      <c r="BQ20" s="724"/>
      <c r="BR20" s="724"/>
      <c r="BS20" s="724"/>
      <c r="BT20" s="724"/>
      <c r="BU20" s="724"/>
      <c r="BV20" s="724"/>
      <c r="BW20" s="724"/>
      <c r="BX20" s="724"/>
      <c r="BY20" s="724"/>
      <c r="BZ20" s="724"/>
      <c r="CA20" s="724"/>
      <c r="CB20" s="724"/>
      <c r="CC20" s="724"/>
      <c r="CD20" s="724"/>
      <c r="CE20" s="724"/>
      <c r="CF20" s="724"/>
      <c r="CG20" s="724"/>
      <c r="CH20" s="724"/>
      <c r="CI20" s="724"/>
      <c r="CJ20" s="724"/>
      <c r="CK20" s="724"/>
      <c r="CL20" s="724"/>
      <c r="CM20" s="724"/>
      <c r="CN20" s="724"/>
      <c r="CO20" s="724"/>
      <c r="CP20" s="724"/>
      <c r="CQ20" s="724"/>
      <c r="CR20" s="724"/>
    </row>
    <row r="21" s="650" customFormat="1" ht="31" customHeight="1" spans="1:96">
      <c r="A21" s="713">
        <v>46052</v>
      </c>
      <c r="B21" s="714" t="s">
        <v>346</v>
      </c>
      <c r="C21" s="715" t="s">
        <v>115</v>
      </c>
      <c r="D21" s="652">
        <v>4500192823</v>
      </c>
      <c r="E21" s="715">
        <v>7137243194</v>
      </c>
      <c r="F21" s="652" t="s">
        <v>4014</v>
      </c>
      <c r="G21" s="716" t="s">
        <v>4015</v>
      </c>
      <c r="H21" s="715" t="s">
        <v>4016</v>
      </c>
      <c r="I21" s="717">
        <v>4320</v>
      </c>
      <c r="J21" s="715">
        <v>0</v>
      </c>
      <c r="K21" s="715">
        <v>16</v>
      </c>
      <c r="L21" s="718">
        <f t="shared" si="1"/>
        <v>270</v>
      </c>
      <c r="M21" s="719">
        <v>46104</v>
      </c>
      <c r="N21" s="719">
        <f>M21-4</f>
        <v>46100</v>
      </c>
      <c r="O21" s="714" t="s">
        <v>4017</v>
      </c>
      <c r="P21" s="717" t="s">
        <v>106</v>
      </c>
      <c r="Q21" s="717"/>
      <c r="R21" s="723">
        <v>46052</v>
      </c>
      <c r="S21" s="720" t="s">
        <v>107</v>
      </c>
      <c r="T21" s="720" t="s">
        <v>4018</v>
      </c>
      <c r="U21" s="720"/>
      <c r="V21" s="720"/>
      <c r="W21" s="720" t="s">
        <v>4019</v>
      </c>
      <c r="X21" s="720" t="s">
        <v>4020</v>
      </c>
      <c r="Y21" s="719" t="s">
        <v>354</v>
      </c>
      <c r="Z21" s="715">
        <v>44.256</v>
      </c>
      <c r="AA21" s="715">
        <f>L21*Z21</f>
        <v>11949.12</v>
      </c>
      <c r="AB21" s="729" t="s">
        <v>4021</v>
      </c>
      <c r="AC21" s="722" t="s">
        <v>4015</v>
      </c>
      <c r="AD21" s="715" t="s">
        <v>112</v>
      </c>
      <c r="AE21" s="715">
        <f t="shared" si="3"/>
        <v>4320</v>
      </c>
      <c r="AF21" s="715" t="s">
        <v>4022</v>
      </c>
      <c r="AG21" s="715">
        <v>4320</v>
      </c>
      <c r="AH21" s="715">
        <f t="shared" si="0"/>
        <v>0</v>
      </c>
      <c r="AI21" s="717" t="s">
        <v>120</v>
      </c>
      <c r="AJ21" s="715" t="s">
        <v>3981</v>
      </c>
      <c r="AK21" s="652">
        <f>I21</f>
        <v>4320</v>
      </c>
      <c r="AL21" s="652"/>
      <c r="AM21" s="652"/>
      <c r="AN21" s="652">
        <f t="shared" si="2"/>
        <v>4320</v>
      </c>
      <c r="AO21" s="652"/>
      <c r="AP21" s="652"/>
      <c r="AQ21" s="652"/>
      <c r="AR21" s="652"/>
      <c r="AS21" s="652"/>
      <c r="AT21" s="652"/>
      <c r="AU21" s="652"/>
      <c r="AV21" s="652"/>
      <c r="AW21" s="652"/>
      <c r="AX21" s="652"/>
      <c r="AY21" s="652"/>
      <c r="AZ21" s="652"/>
      <c r="BA21" s="652"/>
      <c r="BB21" s="652"/>
      <c r="BC21" s="652"/>
      <c r="BD21" s="652"/>
      <c r="BE21" s="652"/>
      <c r="BF21" s="652"/>
      <c r="BG21" s="652">
        <f>I21/16</f>
        <v>270</v>
      </c>
      <c r="BH21" s="652"/>
      <c r="BI21" s="726"/>
      <c r="BJ21" s="724"/>
      <c r="BK21" s="724"/>
      <c r="BL21" s="724"/>
      <c r="BM21" s="724"/>
      <c r="BN21" s="724"/>
      <c r="BO21" s="724"/>
      <c r="BP21" s="724"/>
      <c r="BQ21" s="724"/>
      <c r="BR21" s="724"/>
      <c r="BS21" s="724"/>
      <c r="BT21" s="724"/>
      <c r="BU21" s="724"/>
      <c r="BV21" s="724"/>
      <c r="BW21" s="724"/>
      <c r="BX21" s="724"/>
      <c r="BY21" s="724"/>
      <c r="BZ21" s="724"/>
      <c r="CA21" s="724"/>
      <c r="CB21" s="724"/>
      <c r="CC21" s="724"/>
      <c r="CD21" s="724"/>
      <c r="CE21" s="724"/>
      <c r="CF21" s="724"/>
      <c r="CG21" s="724"/>
      <c r="CH21" s="724"/>
      <c r="CI21" s="724"/>
      <c r="CJ21" s="724"/>
      <c r="CK21" s="724"/>
      <c r="CL21" s="724"/>
      <c r="CM21" s="724"/>
      <c r="CN21" s="724"/>
      <c r="CO21" s="724"/>
      <c r="CP21" s="724"/>
      <c r="CQ21" s="724"/>
      <c r="CR21" s="724"/>
    </row>
    <row r="22" s="650" customFormat="1" ht="31" customHeight="1" spans="1:96">
      <c r="A22" s="713">
        <v>46062</v>
      </c>
      <c r="B22" s="714" t="s">
        <v>180</v>
      </c>
      <c r="C22" s="715" t="s">
        <v>115</v>
      </c>
      <c r="D22" s="652">
        <v>4500193475</v>
      </c>
      <c r="E22" s="715">
        <v>5200009006</v>
      </c>
      <c r="F22" s="652" t="s">
        <v>4023</v>
      </c>
      <c r="G22" s="716" t="s">
        <v>4024</v>
      </c>
      <c r="H22" s="715" t="s">
        <v>3995</v>
      </c>
      <c r="I22" s="717">
        <v>400</v>
      </c>
      <c r="J22" s="715">
        <v>0</v>
      </c>
      <c r="K22" s="715">
        <v>16</v>
      </c>
      <c r="L22" s="718">
        <f t="shared" si="1"/>
        <v>25</v>
      </c>
      <c r="M22" s="719">
        <v>46108</v>
      </c>
      <c r="N22" s="719">
        <f>M22-4</f>
        <v>46104</v>
      </c>
      <c r="O22" s="714"/>
      <c r="P22" s="717" t="s">
        <v>106</v>
      </c>
      <c r="Q22" s="715" t="s">
        <v>183</v>
      </c>
      <c r="R22" s="723">
        <v>46062</v>
      </c>
      <c r="S22" s="720" t="s">
        <v>107</v>
      </c>
      <c r="T22" s="720" t="s">
        <v>4025</v>
      </c>
      <c r="U22" s="720"/>
      <c r="V22" s="720"/>
      <c r="W22" s="720"/>
      <c r="X22" s="720" t="s">
        <v>4026</v>
      </c>
      <c r="Y22" s="719" t="s">
        <v>186</v>
      </c>
      <c r="Z22" s="715">
        <v>2.613</v>
      </c>
      <c r="AA22" s="715">
        <f>I22*Z22</f>
        <v>1045.2</v>
      </c>
      <c r="AB22" s="729" t="s">
        <v>187</v>
      </c>
      <c r="AC22" s="652" t="s">
        <v>3973</v>
      </c>
      <c r="AD22" s="715" t="s">
        <v>112</v>
      </c>
      <c r="AE22" s="715">
        <f t="shared" si="3"/>
        <v>400</v>
      </c>
      <c r="AF22" s="715"/>
      <c r="AG22" s="715">
        <v>400</v>
      </c>
      <c r="AH22" s="715">
        <f t="shared" si="0"/>
        <v>0</v>
      </c>
      <c r="AI22" s="717" t="s">
        <v>120</v>
      </c>
      <c r="AJ22" s="715" t="s">
        <v>3981</v>
      </c>
      <c r="AK22" s="652">
        <f>I22</f>
        <v>400</v>
      </c>
      <c r="AL22" s="652"/>
      <c r="AM22" s="652"/>
      <c r="AN22" s="652">
        <f t="shared" si="2"/>
        <v>400</v>
      </c>
      <c r="AO22" s="652"/>
      <c r="AP22" s="652"/>
      <c r="AQ22" s="652"/>
      <c r="AR22" s="652"/>
      <c r="AS22" s="652"/>
      <c r="AT22" s="652">
        <f>I22/8</f>
        <v>50</v>
      </c>
      <c r="AU22" s="652"/>
      <c r="AV22" s="652"/>
      <c r="AW22" s="652"/>
      <c r="AX22" s="652"/>
      <c r="AY22" s="652"/>
      <c r="AZ22" s="652"/>
      <c r="BA22" s="652"/>
      <c r="BB22" s="652"/>
      <c r="BC22" s="652"/>
      <c r="BD22" s="652"/>
      <c r="BE22" s="652"/>
      <c r="BF22" s="652"/>
      <c r="BG22" s="652"/>
      <c r="BH22" s="652"/>
      <c r="BI22" s="652"/>
      <c r="BJ22" s="724"/>
      <c r="BK22" s="724"/>
      <c r="BL22" s="724"/>
      <c r="BM22" s="724"/>
      <c r="BN22" s="724"/>
      <c r="BO22" s="724"/>
      <c r="BP22" s="724"/>
      <c r="BQ22" s="724"/>
      <c r="BR22" s="724"/>
      <c r="BS22" s="724"/>
      <c r="BT22" s="724"/>
      <c r="BU22" s="724"/>
      <c r="BV22" s="724"/>
      <c r="BW22" s="724"/>
      <c r="BX22" s="724"/>
      <c r="BY22" s="724"/>
      <c r="BZ22" s="724"/>
      <c r="CA22" s="724"/>
      <c r="CB22" s="724"/>
      <c r="CC22" s="724"/>
      <c r="CD22" s="724"/>
      <c r="CE22" s="724"/>
      <c r="CF22" s="724"/>
      <c r="CG22" s="724"/>
      <c r="CH22" s="724"/>
      <c r="CI22" s="724"/>
      <c r="CJ22" s="724"/>
      <c r="CK22" s="724"/>
      <c r="CL22" s="724"/>
      <c r="CM22" s="724"/>
      <c r="CN22" s="724"/>
      <c r="CO22" s="724"/>
      <c r="CP22" s="724"/>
      <c r="CQ22" s="724"/>
      <c r="CR22" s="724"/>
    </row>
    <row r="23" s="650" customFormat="1" ht="31" customHeight="1" spans="1:96">
      <c r="A23" s="713">
        <v>46045</v>
      </c>
      <c r="B23" s="714" t="s">
        <v>191</v>
      </c>
      <c r="C23" s="715" t="s">
        <v>164</v>
      </c>
      <c r="D23" s="652">
        <v>4500192187</v>
      </c>
      <c r="E23" s="715">
        <v>5200008729</v>
      </c>
      <c r="F23" s="652" t="s">
        <v>4027</v>
      </c>
      <c r="G23" s="716" t="s">
        <v>4028</v>
      </c>
      <c r="H23" s="715" t="s">
        <v>3978</v>
      </c>
      <c r="I23" s="717">
        <v>6400</v>
      </c>
      <c r="J23" s="715">
        <v>0</v>
      </c>
      <c r="K23" s="715">
        <v>8</v>
      </c>
      <c r="L23" s="718">
        <f t="shared" si="1"/>
        <v>800</v>
      </c>
      <c r="M23" s="719">
        <v>46112</v>
      </c>
      <c r="N23" s="719">
        <v>46122</v>
      </c>
      <c r="O23" s="714"/>
      <c r="P23" s="717" t="s">
        <v>106</v>
      </c>
      <c r="Q23" s="717" t="s">
        <v>4029</v>
      </c>
      <c r="R23" s="723">
        <v>46050</v>
      </c>
      <c r="S23" s="720" t="s">
        <v>107</v>
      </c>
      <c r="T23" s="720">
        <v>46105</v>
      </c>
      <c r="U23" s="720"/>
      <c r="V23" s="720" t="s">
        <v>4011</v>
      </c>
      <c r="W23" s="720"/>
      <c r="X23" s="720" t="s">
        <v>4030</v>
      </c>
      <c r="Y23" s="719" t="s">
        <v>198</v>
      </c>
      <c r="Z23" s="715">
        <v>5</v>
      </c>
      <c r="AA23" s="715">
        <f>I23*Z23</f>
        <v>32000</v>
      </c>
      <c r="AB23" s="721"/>
      <c r="AC23" s="722" t="s">
        <v>4031</v>
      </c>
      <c r="AD23" s="715" t="s">
        <v>112</v>
      </c>
      <c r="AE23" s="715">
        <f t="shared" si="3"/>
        <v>6400</v>
      </c>
      <c r="AF23" s="715" t="s">
        <v>4032</v>
      </c>
      <c r="AG23" s="715">
        <v>6400</v>
      </c>
      <c r="AH23" s="715">
        <f t="shared" si="0"/>
        <v>0</v>
      </c>
      <c r="AI23" s="717" t="s">
        <v>120</v>
      </c>
      <c r="AJ23" s="715" t="s">
        <v>3981</v>
      </c>
      <c r="AK23" s="652"/>
      <c r="AL23" s="652">
        <f>I23</f>
        <v>6400</v>
      </c>
      <c r="AM23" s="652"/>
      <c r="AN23" s="652">
        <f t="shared" si="2"/>
        <v>6400</v>
      </c>
      <c r="AO23" s="652"/>
      <c r="AP23" s="652"/>
      <c r="AQ23" s="652"/>
      <c r="AR23" s="652"/>
      <c r="AS23" s="652"/>
      <c r="AT23" s="652"/>
      <c r="AU23" s="652">
        <f>I23/8</f>
        <v>800</v>
      </c>
      <c r="AV23" s="652"/>
      <c r="AW23" s="652"/>
      <c r="AX23" s="652"/>
      <c r="AY23" s="652"/>
      <c r="AZ23" s="652"/>
      <c r="BA23" s="652"/>
      <c r="BB23" s="652"/>
      <c r="BC23" s="652"/>
      <c r="BD23" s="652"/>
      <c r="BE23" s="652"/>
      <c r="BF23" s="652"/>
      <c r="BG23" s="652"/>
      <c r="BH23" s="652"/>
      <c r="BI23" s="652"/>
      <c r="BJ23" s="724"/>
      <c r="BK23" s="724"/>
      <c r="BL23" s="724"/>
      <c r="BM23" s="724"/>
      <c r="BN23" s="724"/>
      <c r="BO23" s="724"/>
      <c r="BP23" s="724"/>
      <c r="BQ23" s="724"/>
      <c r="BR23" s="724"/>
      <c r="BS23" s="724"/>
      <c r="BT23" s="724"/>
      <c r="BU23" s="724"/>
      <c r="BV23" s="724"/>
      <c r="BW23" s="724"/>
      <c r="BX23" s="724"/>
      <c r="BY23" s="724"/>
      <c r="BZ23" s="724"/>
      <c r="CA23" s="724"/>
      <c r="CB23" s="724"/>
      <c r="CC23" s="724"/>
      <c r="CD23" s="724"/>
      <c r="CE23" s="724"/>
      <c r="CF23" s="724"/>
      <c r="CG23" s="724"/>
      <c r="CH23" s="724"/>
      <c r="CI23" s="724"/>
      <c r="CJ23" s="724"/>
      <c r="CK23" s="724"/>
      <c r="CL23" s="724"/>
      <c r="CM23" s="724"/>
      <c r="CN23" s="724"/>
      <c r="CO23" s="724"/>
      <c r="CP23" s="724"/>
      <c r="CQ23" s="724"/>
      <c r="CR23" s="724"/>
    </row>
    <row r="24" s="650" customFormat="1" ht="31" customHeight="1" spans="1:96">
      <c r="A24" s="713">
        <v>46052</v>
      </c>
      <c r="B24" s="714" t="s">
        <v>1853</v>
      </c>
      <c r="C24" s="715" t="s">
        <v>201</v>
      </c>
      <c r="D24" s="652">
        <v>4500192784</v>
      </c>
      <c r="E24" s="715" t="s">
        <v>4033</v>
      </c>
      <c r="F24" s="652" t="s">
        <v>4034</v>
      </c>
      <c r="G24" s="716" t="s">
        <v>3980</v>
      </c>
      <c r="H24" s="715" t="s">
        <v>3978</v>
      </c>
      <c r="I24" s="717">
        <v>6000</v>
      </c>
      <c r="J24" s="715">
        <v>0</v>
      </c>
      <c r="K24" s="715">
        <v>8</v>
      </c>
      <c r="L24" s="718">
        <f t="shared" si="1"/>
        <v>750</v>
      </c>
      <c r="M24" s="719">
        <v>46118</v>
      </c>
      <c r="N24" s="719">
        <f>M24-4</f>
        <v>46114</v>
      </c>
      <c r="O24" s="714"/>
      <c r="P24" s="717" t="s">
        <v>106</v>
      </c>
      <c r="Q24" s="717"/>
      <c r="R24" s="723">
        <v>46052</v>
      </c>
      <c r="S24" s="720" t="s">
        <v>107</v>
      </c>
      <c r="T24" s="720">
        <v>46062</v>
      </c>
      <c r="U24" s="720"/>
      <c r="V24" s="720"/>
      <c r="W24" s="720"/>
      <c r="X24" s="720" t="s">
        <v>4035</v>
      </c>
      <c r="Y24" s="719" t="s">
        <v>204</v>
      </c>
      <c r="Z24" s="715">
        <v>5</v>
      </c>
      <c r="AA24" s="715">
        <f>Z24*I24</f>
        <v>30000</v>
      </c>
      <c r="AB24" s="721"/>
      <c r="AC24" s="722" t="s">
        <v>4031</v>
      </c>
      <c r="AD24" s="715" t="s">
        <v>112</v>
      </c>
      <c r="AE24" s="715">
        <f t="shared" si="3"/>
        <v>6000</v>
      </c>
      <c r="AF24" s="715"/>
      <c r="AG24" s="715">
        <v>6000</v>
      </c>
      <c r="AH24" s="715">
        <f t="shared" si="0"/>
        <v>0</v>
      </c>
      <c r="AI24" s="717"/>
      <c r="AJ24" s="715" t="s">
        <v>3981</v>
      </c>
      <c r="AK24" s="652"/>
      <c r="AL24" s="652">
        <f>I24</f>
        <v>6000</v>
      </c>
      <c r="AM24" s="652"/>
      <c r="AN24" s="652">
        <f t="shared" si="2"/>
        <v>6000</v>
      </c>
      <c r="AO24" s="652"/>
      <c r="AP24" s="652"/>
      <c r="AQ24" s="652"/>
      <c r="AR24" s="652"/>
      <c r="AS24" s="652"/>
      <c r="AT24" s="652"/>
      <c r="AU24" s="652">
        <f>I24/8</f>
        <v>750</v>
      </c>
      <c r="AV24" s="652"/>
      <c r="AW24" s="652"/>
      <c r="AX24" s="652"/>
      <c r="AY24" s="652"/>
      <c r="AZ24" s="652"/>
      <c r="BA24" s="652"/>
      <c r="BB24" s="652"/>
      <c r="BC24" s="652"/>
      <c r="BD24" s="652"/>
      <c r="BE24" s="652"/>
      <c r="BF24" s="652"/>
      <c r="BG24" s="652"/>
      <c r="BH24" s="652"/>
      <c r="BI24" s="652"/>
      <c r="BJ24" s="724"/>
      <c r="BK24" s="724"/>
      <c r="BL24" s="724"/>
      <c r="BM24" s="724"/>
      <c r="BN24" s="724"/>
      <c r="BO24" s="724"/>
      <c r="BP24" s="724"/>
      <c r="BQ24" s="724"/>
      <c r="BR24" s="724"/>
      <c r="BS24" s="724"/>
      <c r="BT24" s="724"/>
      <c r="BU24" s="724"/>
      <c r="BV24" s="724"/>
      <c r="BW24" s="724"/>
      <c r="BX24" s="724"/>
      <c r="BY24" s="724"/>
      <c r="BZ24" s="724"/>
      <c r="CA24" s="724"/>
      <c r="CB24" s="724"/>
      <c r="CC24" s="724"/>
      <c r="CD24" s="724"/>
      <c r="CE24" s="724"/>
      <c r="CF24" s="724"/>
      <c r="CG24" s="724"/>
      <c r="CH24" s="724"/>
      <c r="CI24" s="724"/>
      <c r="CJ24" s="724"/>
      <c r="CK24" s="724"/>
      <c r="CL24" s="724"/>
      <c r="CM24" s="724"/>
      <c r="CN24" s="724"/>
      <c r="CO24" s="724"/>
      <c r="CP24" s="724"/>
      <c r="CQ24" s="724"/>
      <c r="CR24" s="724"/>
    </row>
    <row r="25" s="650" customFormat="1" ht="31" customHeight="1" spans="1:96">
      <c r="A25" s="713">
        <v>46050</v>
      </c>
      <c r="B25" s="714" t="s">
        <v>114</v>
      </c>
      <c r="C25" s="715" t="s">
        <v>115</v>
      </c>
      <c r="D25" s="652">
        <v>4500192438</v>
      </c>
      <c r="E25" s="715" t="s">
        <v>4036</v>
      </c>
      <c r="F25" s="652" t="s">
        <v>4037</v>
      </c>
      <c r="G25" s="716" t="s">
        <v>3965</v>
      </c>
      <c r="H25" s="715" t="s">
        <v>4038</v>
      </c>
      <c r="I25" s="717">
        <v>777</v>
      </c>
      <c r="J25" s="715">
        <v>0</v>
      </c>
      <c r="K25" s="715">
        <v>1</v>
      </c>
      <c r="L25" s="718">
        <f t="shared" si="1"/>
        <v>777</v>
      </c>
      <c r="M25" s="719">
        <v>46118</v>
      </c>
      <c r="N25" s="719">
        <f>M25-4</f>
        <v>46114</v>
      </c>
      <c r="O25" s="714"/>
      <c r="P25" s="717" t="s">
        <v>106</v>
      </c>
      <c r="Q25" s="717"/>
      <c r="R25" s="723">
        <v>46059</v>
      </c>
      <c r="S25" s="720" t="s">
        <v>107</v>
      </c>
      <c r="T25" s="720">
        <v>46106</v>
      </c>
      <c r="U25" s="720"/>
      <c r="V25" s="720"/>
      <c r="W25" s="720"/>
      <c r="X25" s="720" t="s">
        <v>4039</v>
      </c>
      <c r="Y25" s="719" t="s">
        <v>123</v>
      </c>
      <c r="Z25" s="715">
        <v>12</v>
      </c>
      <c r="AA25" s="715">
        <f>I25*Z25</f>
        <v>9324</v>
      </c>
      <c r="AB25" s="729" t="s">
        <v>4040</v>
      </c>
      <c r="AC25" s="722" t="s">
        <v>3965</v>
      </c>
      <c r="AD25" s="715" t="s">
        <v>112</v>
      </c>
      <c r="AE25" s="715">
        <f t="shared" si="3"/>
        <v>777</v>
      </c>
      <c r="AF25" s="715" t="s">
        <v>736</v>
      </c>
      <c r="AG25" s="715">
        <v>777</v>
      </c>
      <c r="AH25" s="715">
        <f t="shared" si="0"/>
        <v>0</v>
      </c>
      <c r="AI25" s="717"/>
      <c r="AJ25" s="715" t="s">
        <v>3981</v>
      </c>
      <c r="AK25" s="652"/>
      <c r="AL25" s="652"/>
      <c r="AM25" s="652"/>
      <c r="AN25" s="652"/>
      <c r="AO25" s="652"/>
      <c r="AP25" s="652"/>
      <c r="AQ25" s="652"/>
      <c r="AR25" s="652"/>
      <c r="AS25" s="652"/>
      <c r="AT25" s="652"/>
      <c r="AU25" s="652"/>
      <c r="AV25" s="652"/>
      <c r="AW25" s="652"/>
      <c r="AX25" s="652"/>
      <c r="AY25" s="652"/>
      <c r="AZ25" s="652"/>
      <c r="BA25" s="652"/>
      <c r="BB25" s="652"/>
      <c r="BC25" s="652"/>
      <c r="BD25" s="652"/>
      <c r="BE25" s="652"/>
      <c r="BF25" s="652"/>
      <c r="BG25" s="652"/>
      <c r="BH25" s="652">
        <f>I25</f>
        <v>777</v>
      </c>
      <c r="BI25" s="652"/>
      <c r="BJ25" s="724"/>
      <c r="BK25" s="724"/>
      <c r="BL25" s="724"/>
      <c r="BM25" s="724"/>
      <c r="BN25" s="724"/>
      <c r="BO25" s="724"/>
      <c r="BP25" s="724"/>
      <c r="BQ25" s="724"/>
      <c r="BR25" s="724"/>
      <c r="BS25" s="724"/>
      <c r="BT25" s="724"/>
      <c r="BU25" s="724"/>
      <c r="BV25" s="724"/>
      <c r="BW25" s="724"/>
      <c r="BX25" s="724"/>
      <c r="BY25" s="724"/>
      <c r="BZ25" s="724"/>
      <c r="CA25" s="724"/>
      <c r="CB25" s="724"/>
      <c r="CC25" s="724"/>
      <c r="CD25" s="724"/>
      <c r="CE25" s="724"/>
      <c r="CF25" s="724"/>
      <c r="CG25" s="724"/>
      <c r="CH25" s="724"/>
      <c r="CI25" s="724"/>
      <c r="CJ25" s="724"/>
      <c r="CK25" s="724"/>
      <c r="CL25" s="724"/>
      <c r="CM25" s="724"/>
      <c r="CN25" s="724"/>
      <c r="CO25" s="724"/>
      <c r="CP25" s="724"/>
      <c r="CQ25" s="724"/>
      <c r="CR25" s="724"/>
    </row>
    <row r="26" s="650" customFormat="1" ht="31" customHeight="1" spans="1:96">
      <c r="A26" s="713">
        <v>46052</v>
      </c>
      <c r="B26" s="714" t="s">
        <v>346</v>
      </c>
      <c r="C26" s="715" t="s">
        <v>115</v>
      </c>
      <c r="D26" s="652">
        <v>4500192824</v>
      </c>
      <c r="E26" s="715">
        <v>7137243190</v>
      </c>
      <c r="F26" s="652" t="s">
        <v>4041</v>
      </c>
      <c r="G26" s="716" t="s">
        <v>4015</v>
      </c>
      <c r="H26" s="715" t="s">
        <v>4016</v>
      </c>
      <c r="I26" s="717">
        <v>4560</v>
      </c>
      <c r="J26" s="715">
        <v>0</v>
      </c>
      <c r="K26" s="715">
        <v>16</v>
      </c>
      <c r="L26" s="718">
        <f t="shared" si="1"/>
        <v>285</v>
      </c>
      <c r="M26" s="719">
        <v>46118</v>
      </c>
      <c r="N26" s="719">
        <f>M26-4</f>
        <v>46114</v>
      </c>
      <c r="O26" s="714" t="s">
        <v>4017</v>
      </c>
      <c r="P26" s="717" t="s">
        <v>106</v>
      </c>
      <c r="Q26" s="717"/>
      <c r="R26" s="723">
        <v>46052</v>
      </c>
      <c r="S26" s="720" t="s">
        <v>107</v>
      </c>
      <c r="T26" s="720" t="s">
        <v>4018</v>
      </c>
      <c r="U26" s="720"/>
      <c r="V26" s="720"/>
      <c r="W26" s="720"/>
      <c r="X26" s="720" t="s">
        <v>4042</v>
      </c>
      <c r="Y26" s="719" t="s">
        <v>354</v>
      </c>
      <c r="Z26" s="715">
        <v>44.256</v>
      </c>
      <c r="AA26" s="715">
        <f>L26*Z26</f>
        <v>12612.96</v>
      </c>
      <c r="AB26" s="729" t="s">
        <v>4043</v>
      </c>
      <c r="AC26" s="722" t="s">
        <v>4015</v>
      </c>
      <c r="AD26" s="715" t="s">
        <v>112</v>
      </c>
      <c r="AE26" s="715">
        <f t="shared" si="3"/>
        <v>4560</v>
      </c>
      <c r="AF26" s="715" t="s">
        <v>4044</v>
      </c>
      <c r="AG26" s="715">
        <v>4560</v>
      </c>
      <c r="AH26" s="715">
        <f t="shared" si="0"/>
        <v>0</v>
      </c>
      <c r="AI26" s="717" t="s">
        <v>120</v>
      </c>
      <c r="AJ26" s="715" t="s">
        <v>3981</v>
      </c>
      <c r="AK26" s="652">
        <f t="shared" ref="AK26:AK42" si="5">I26</f>
        <v>4560</v>
      </c>
      <c r="AL26" s="652"/>
      <c r="AM26" s="652"/>
      <c r="AN26" s="652">
        <f t="shared" ref="AN26:AN48" si="6">I26</f>
        <v>4560</v>
      </c>
      <c r="AO26" s="652"/>
      <c r="AP26" s="652"/>
      <c r="AQ26" s="652"/>
      <c r="AR26" s="652"/>
      <c r="AS26" s="652"/>
      <c r="AT26" s="652"/>
      <c r="AU26" s="652"/>
      <c r="AV26" s="652"/>
      <c r="AW26" s="652"/>
      <c r="AX26" s="652"/>
      <c r="AY26" s="652"/>
      <c r="AZ26" s="652"/>
      <c r="BA26" s="652"/>
      <c r="BB26" s="652"/>
      <c r="BC26" s="652"/>
      <c r="BD26" s="652"/>
      <c r="BE26" s="652"/>
      <c r="BF26" s="652"/>
      <c r="BG26" s="652">
        <f>I26/16</f>
        <v>285</v>
      </c>
      <c r="BH26" s="652"/>
      <c r="BI26" s="652"/>
      <c r="BJ26" s="724"/>
      <c r="BK26" s="724"/>
      <c r="BL26" s="724"/>
      <c r="BM26" s="724"/>
      <c r="BN26" s="724"/>
      <c r="BO26" s="724"/>
      <c r="BP26" s="724"/>
      <c r="BQ26" s="724"/>
      <c r="BR26" s="724"/>
      <c r="BS26" s="724"/>
      <c r="BT26" s="724"/>
      <c r="BU26" s="724"/>
      <c r="BV26" s="724"/>
      <c r="BW26" s="724"/>
      <c r="BX26" s="724"/>
      <c r="BY26" s="724"/>
      <c r="BZ26" s="724"/>
      <c r="CA26" s="724"/>
      <c r="CB26" s="724"/>
      <c r="CC26" s="724"/>
      <c r="CD26" s="724"/>
      <c r="CE26" s="724"/>
      <c r="CF26" s="724"/>
      <c r="CG26" s="724"/>
      <c r="CH26" s="724"/>
      <c r="CI26" s="724"/>
      <c r="CJ26" s="724"/>
      <c r="CK26" s="724"/>
      <c r="CL26" s="724"/>
      <c r="CM26" s="724"/>
      <c r="CN26" s="724"/>
      <c r="CO26" s="724"/>
      <c r="CP26" s="724"/>
      <c r="CQ26" s="724"/>
      <c r="CR26" s="724"/>
    </row>
    <row r="27" s="650" customFormat="1" ht="31" customHeight="1" spans="1:96">
      <c r="A27" s="713">
        <v>46062</v>
      </c>
      <c r="B27" s="714" t="s">
        <v>4045</v>
      </c>
      <c r="C27" s="715" t="s">
        <v>101</v>
      </c>
      <c r="D27" s="652">
        <v>4500193541</v>
      </c>
      <c r="E27" s="715">
        <v>21431976</v>
      </c>
      <c r="F27" s="652" t="s">
        <v>4046</v>
      </c>
      <c r="G27" s="716" t="s">
        <v>3980</v>
      </c>
      <c r="H27" s="715" t="s">
        <v>3978</v>
      </c>
      <c r="I27" s="717">
        <v>248</v>
      </c>
      <c r="J27" s="715">
        <v>0</v>
      </c>
      <c r="K27" s="715">
        <v>8</v>
      </c>
      <c r="L27" s="715">
        <f t="shared" si="1"/>
        <v>31</v>
      </c>
      <c r="M27" s="719">
        <v>46119</v>
      </c>
      <c r="N27" s="719">
        <v>46115</v>
      </c>
      <c r="O27" s="714"/>
      <c r="P27" s="717" t="s">
        <v>106</v>
      </c>
      <c r="Q27" s="717"/>
      <c r="R27" s="723">
        <v>46088</v>
      </c>
      <c r="S27" s="720" t="s">
        <v>107</v>
      </c>
      <c r="T27" s="720">
        <v>46126</v>
      </c>
      <c r="U27" s="720"/>
      <c r="V27" s="720"/>
      <c r="W27" s="720"/>
      <c r="X27" s="720" t="s">
        <v>4047</v>
      </c>
      <c r="Y27" s="719" t="s">
        <v>4048</v>
      </c>
      <c r="Z27" s="730">
        <v>5</v>
      </c>
      <c r="AA27" s="652">
        <f>Z27*I27</f>
        <v>1240</v>
      </c>
      <c r="AB27" s="721"/>
      <c r="AC27" s="716" t="s">
        <v>3980</v>
      </c>
      <c r="AD27" s="715" t="s">
        <v>112</v>
      </c>
      <c r="AE27" s="715">
        <f t="shared" si="3"/>
        <v>248</v>
      </c>
      <c r="AF27" s="715"/>
      <c r="AG27" s="715">
        <v>248</v>
      </c>
      <c r="AH27" s="715">
        <f t="shared" si="0"/>
        <v>0</v>
      </c>
      <c r="AI27" s="717"/>
      <c r="AJ27" s="715" t="s">
        <v>3981</v>
      </c>
      <c r="AK27" s="652">
        <f t="shared" si="5"/>
        <v>248</v>
      </c>
      <c r="AL27" s="652"/>
      <c r="AM27" s="652"/>
      <c r="AN27" s="652">
        <f t="shared" si="6"/>
        <v>248</v>
      </c>
      <c r="AO27" s="652"/>
      <c r="AP27" s="652"/>
      <c r="AQ27" s="652"/>
      <c r="AR27" s="652"/>
      <c r="AS27" s="652"/>
      <c r="AT27" s="652">
        <f>I27/8</f>
        <v>31</v>
      </c>
      <c r="AU27" s="652"/>
      <c r="AV27" s="652"/>
      <c r="AW27" s="652"/>
      <c r="AX27" s="652"/>
      <c r="AY27" s="652"/>
      <c r="AZ27" s="652"/>
      <c r="BA27" s="652"/>
      <c r="BB27" s="652"/>
      <c r="BC27" s="652"/>
      <c r="BD27" s="652"/>
      <c r="BE27" s="652"/>
      <c r="BF27" s="652"/>
      <c r="BG27" s="652"/>
      <c r="BH27" s="652"/>
      <c r="BI27" s="652"/>
      <c r="BJ27" s="731"/>
      <c r="BK27" s="731"/>
      <c r="BL27" s="731"/>
      <c r="BM27" s="731"/>
      <c r="BN27" s="731"/>
      <c r="BO27" s="731"/>
      <c r="BP27" s="731"/>
      <c r="BQ27" s="731"/>
      <c r="BR27" s="731"/>
      <c r="BS27" s="731"/>
      <c r="BT27" s="731"/>
      <c r="BU27" s="731"/>
      <c r="BV27" s="731"/>
      <c r="BW27" s="731"/>
      <c r="BX27" s="731"/>
      <c r="BY27" s="731"/>
      <c r="BZ27" s="731"/>
      <c r="CA27" s="731"/>
      <c r="CB27" s="731"/>
      <c r="CC27" s="731"/>
      <c r="CD27" s="731"/>
      <c r="CE27" s="731"/>
      <c r="CF27" s="731"/>
      <c r="CG27" s="731"/>
      <c r="CH27" s="731"/>
      <c r="CI27" s="731"/>
      <c r="CJ27" s="731"/>
      <c r="CK27" s="731"/>
      <c r="CL27" s="731"/>
      <c r="CM27" s="731"/>
      <c r="CN27" s="731"/>
      <c r="CO27" s="731"/>
      <c r="CP27" s="731"/>
      <c r="CQ27" s="731"/>
      <c r="CR27" s="731"/>
    </row>
    <row r="28" s="650" customFormat="1" ht="31" customHeight="1" spans="1:96">
      <c r="A28" s="713">
        <v>46062</v>
      </c>
      <c r="B28" s="714" t="s">
        <v>525</v>
      </c>
      <c r="C28" s="715" t="s">
        <v>508</v>
      </c>
      <c r="D28" s="652">
        <v>4500193539</v>
      </c>
      <c r="E28" s="715">
        <v>21431973</v>
      </c>
      <c r="F28" s="652" t="s">
        <v>4049</v>
      </c>
      <c r="G28" s="716" t="s">
        <v>3980</v>
      </c>
      <c r="H28" s="715" t="s">
        <v>3978</v>
      </c>
      <c r="I28" s="717">
        <v>2720</v>
      </c>
      <c r="J28" s="715">
        <v>0</v>
      </c>
      <c r="K28" s="715">
        <v>8</v>
      </c>
      <c r="L28" s="718">
        <f t="shared" si="1"/>
        <v>340</v>
      </c>
      <c r="M28" s="719">
        <v>46119</v>
      </c>
      <c r="N28" s="719">
        <v>46121</v>
      </c>
      <c r="O28" s="714"/>
      <c r="P28" s="717" t="s">
        <v>106</v>
      </c>
      <c r="Q28" s="717"/>
      <c r="R28" s="723">
        <v>46088</v>
      </c>
      <c r="S28" s="720" t="s">
        <v>107</v>
      </c>
      <c r="T28" s="720" t="s">
        <v>4050</v>
      </c>
      <c r="U28" s="720"/>
      <c r="V28" s="720"/>
      <c r="W28" s="720"/>
      <c r="X28" s="720" t="s">
        <v>4051</v>
      </c>
      <c r="Y28" s="719" t="s">
        <v>362</v>
      </c>
      <c r="Z28" s="715">
        <v>5</v>
      </c>
      <c r="AA28" s="715">
        <f>Z28*I28</f>
        <v>13600</v>
      </c>
      <c r="AB28" s="721"/>
      <c r="AC28" s="722" t="s">
        <v>3980</v>
      </c>
      <c r="AD28" s="715" t="s">
        <v>112</v>
      </c>
      <c r="AE28" s="715">
        <f t="shared" si="3"/>
        <v>2720</v>
      </c>
      <c r="AF28" s="715" t="s">
        <v>736</v>
      </c>
      <c r="AG28" s="715">
        <v>2720</v>
      </c>
      <c r="AH28" s="715">
        <f t="shared" si="0"/>
        <v>0</v>
      </c>
      <c r="AI28" s="717"/>
      <c r="AJ28" s="715" t="s">
        <v>3981</v>
      </c>
      <c r="AK28" s="652">
        <f t="shared" si="5"/>
        <v>2720</v>
      </c>
      <c r="AL28" s="652"/>
      <c r="AM28" s="652"/>
      <c r="AN28" s="652">
        <f t="shared" si="6"/>
        <v>2720</v>
      </c>
      <c r="AO28" s="652"/>
      <c r="AP28" s="652"/>
      <c r="AQ28" s="652"/>
      <c r="AR28" s="652"/>
      <c r="AS28" s="652"/>
      <c r="AT28" s="652">
        <f>I28/8</f>
        <v>340</v>
      </c>
      <c r="AU28" s="652"/>
      <c r="AV28" s="652"/>
      <c r="AW28" s="652"/>
      <c r="AX28" s="652"/>
      <c r="AY28" s="652"/>
      <c r="AZ28" s="652"/>
      <c r="BA28" s="652"/>
      <c r="BB28" s="652"/>
      <c r="BC28" s="652"/>
      <c r="BD28" s="652"/>
      <c r="BE28" s="652"/>
      <c r="BF28" s="652"/>
      <c r="BG28" s="652"/>
      <c r="BH28" s="652"/>
      <c r="BI28" s="652"/>
      <c r="BJ28" s="731"/>
      <c r="BK28" s="731"/>
      <c r="BL28" s="731"/>
      <c r="BM28" s="731"/>
      <c r="BN28" s="731"/>
      <c r="BO28" s="731"/>
      <c r="BP28" s="731"/>
      <c r="BQ28" s="731"/>
      <c r="BR28" s="731"/>
      <c r="BS28" s="731"/>
      <c r="BT28" s="731"/>
      <c r="BU28" s="731"/>
      <c r="BV28" s="731"/>
      <c r="BW28" s="731"/>
      <c r="BX28" s="731"/>
      <c r="BY28" s="731"/>
      <c r="BZ28" s="731"/>
      <c r="CA28" s="731"/>
      <c r="CB28" s="731"/>
      <c r="CC28" s="731"/>
      <c r="CD28" s="731"/>
      <c r="CE28" s="731"/>
      <c r="CF28" s="731"/>
      <c r="CG28" s="731"/>
      <c r="CH28" s="731"/>
      <c r="CI28" s="731"/>
      <c r="CJ28" s="731"/>
      <c r="CK28" s="731"/>
      <c r="CL28" s="731"/>
      <c r="CM28" s="731"/>
      <c r="CN28" s="731"/>
      <c r="CO28" s="731"/>
      <c r="CP28" s="731"/>
      <c r="CQ28" s="731"/>
      <c r="CR28" s="731"/>
    </row>
    <row r="29" s="650" customFormat="1" ht="31" customHeight="1" spans="1:96">
      <c r="A29" s="713">
        <v>46059</v>
      </c>
      <c r="B29" s="714" t="s">
        <v>114</v>
      </c>
      <c r="C29" s="715" t="s">
        <v>115</v>
      </c>
      <c r="D29" s="652">
        <v>4500190738</v>
      </c>
      <c r="E29" s="715" t="s">
        <v>211</v>
      </c>
      <c r="F29" s="652" t="s">
        <v>4052</v>
      </c>
      <c r="G29" s="716" t="s">
        <v>3980</v>
      </c>
      <c r="H29" s="715" t="s">
        <v>3978</v>
      </c>
      <c r="I29" s="717">
        <v>6840</v>
      </c>
      <c r="J29" s="715">
        <v>0</v>
      </c>
      <c r="K29" s="715">
        <v>8</v>
      </c>
      <c r="L29" s="718">
        <f t="shared" si="1"/>
        <v>855</v>
      </c>
      <c r="M29" s="719">
        <v>46119</v>
      </c>
      <c r="N29" s="719">
        <v>46122</v>
      </c>
      <c r="O29" s="714"/>
      <c r="P29" s="717" t="s">
        <v>106</v>
      </c>
      <c r="Q29" s="717" t="s">
        <v>4053</v>
      </c>
      <c r="R29" s="723" t="s">
        <v>4054</v>
      </c>
      <c r="S29" s="720" t="s">
        <v>107</v>
      </c>
      <c r="T29" s="720" t="s">
        <v>4055</v>
      </c>
      <c r="U29" s="720"/>
      <c r="V29" s="720" t="s">
        <v>4056</v>
      </c>
      <c r="W29" s="720"/>
      <c r="X29" s="720" t="s">
        <v>4057</v>
      </c>
      <c r="Y29" s="719" t="s">
        <v>123</v>
      </c>
      <c r="Z29" s="715">
        <v>2.88</v>
      </c>
      <c r="AA29" s="715">
        <f>Z29*I29</f>
        <v>19699.2</v>
      </c>
      <c r="AB29" s="725" t="s">
        <v>4058</v>
      </c>
      <c r="AC29" s="722" t="s">
        <v>3980</v>
      </c>
      <c r="AD29" s="715" t="s">
        <v>112</v>
      </c>
      <c r="AE29" s="715">
        <f t="shared" si="3"/>
        <v>6840</v>
      </c>
      <c r="AF29" s="715" t="s">
        <v>736</v>
      </c>
      <c r="AG29" s="715">
        <f>6744+96</f>
        <v>6840</v>
      </c>
      <c r="AH29" s="715">
        <f t="shared" si="0"/>
        <v>0</v>
      </c>
      <c r="AI29" s="717"/>
      <c r="AJ29" s="715" t="s">
        <v>3981</v>
      </c>
      <c r="AK29" s="652">
        <f t="shared" si="5"/>
        <v>6840</v>
      </c>
      <c r="AL29" s="652"/>
      <c r="AM29" s="652"/>
      <c r="AN29" s="652">
        <f t="shared" si="6"/>
        <v>6840</v>
      </c>
      <c r="AO29" s="652"/>
      <c r="AP29" s="652"/>
      <c r="AQ29" s="652"/>
      <c r="AR29" s="652"/>
      <c r="AS29" s="652"/>
      <c r="AT29" s="652">
        <f>I29/8</f>
        <v>855</v>
      </c>
      <c r="AU29" s="652"/>
      <c r="AV29" s="652"/>
      <c r="AW29" s="652"/>
      <c r="AX29" s="652"/>
      <c r="AY29" s="652"/>
      <c r="AZ29" s="652"/>
      <c r="BA29" s="652"/>
      <c r="BB29" s="652"/>
      <c r="BC29" s="652"/>
      <c r="BD29" s="652"/>
      <c r="BE29" s="652"/>
      <c r="BF29" s="652"/>
      <c r="BG29" s="652"/>
      <c r="BH29" s="652"/>
      <c r="BI29" s="652"/>
      <c r="BJ29" s="724"/>
      <c r="BK29" s="724"/>
      <c r="BL29" s="724"/>
      <c r="BM29" s="724"/>
      <c r="BN29" s="724"/>
      <c r="BO29" s="724"/>
      <c r="BP29" s="724"/>
      <c r="BQ29" s="724"/>
      <c r="BR29" s="724"/>
      <c r="BS29" s="724"/>
      <c r="BT29" s="724"/>
      <c r="BU29" s="724"/>
      <c r="BV29" s="724"/>
      <c r="BW29" s="724"/>
      <c r="BX29" s="724"/>
      <c r="BY29" s="724"/>
      <c r="BZ29" s="724"/>
      <c r="CA29" s="724"/>
      <c r="CB29" s="724"/>
      <c r="CC29" s="724"/>
      <c r="CD29" s="724"/>
      <c r="CE29" s="724"/>
      <c r="CF29" s="724"/>
      <c r="CG29" s="724"/>
      <c r="CH29" s="724"/>
      <c r="CI29" s="724"/>
      <c r="CJ29" s="724"/>
      <c r="CK29" s="724"/>
      <c r="CL29" s="724"/>
      <c r="CM29" s="724"/>
      <c r="CN29" s="724"/>
      <c r="CO29" s="724"/>
      <c r="CP29" s="724"/>
      <c r="CQ29" s="724"/>
      <c r="CR29" s="724"/>
    </row>
    <row r="30" s="650" customFormat="1" ht="31" customHeight="1" spans="1:96">
      <c r="A30" s="713">
        <v>46061</v>
      </c>
      <c r="B30" s="714" t="s">
        <v>223</v>
      </c>
      <c r="C30" s="715" t="s">
        <v>217</v>
      </c>
      <c r="D30" s="652">
        <v>4500193379</v>
      </c>
      <c r="E30" s="715" t="s">
        <v>224</v>
      </c>
      <c r="F30" s="652" t="s">
        <v>4059</v>
      </c>
      <c r="G30" s="716" t="s">
        <v>3973</v>
      </c>
      <c r="H30" s="715" t="s">
        <v>3995</v>
      </c>
      <c r="I30" s="717">
        <v>240</v>
      </c>
      <c r="J30" s="715">
        <v>0</v>
      </c>
      <c r="K30" s="715">
        <v>16</v>
      </c>
      <c r="L30" s="718">
        <f t="shared" si="1"/>
        <v>15</v>
      </c>
      <c r="M30" s="719">
        <v>46120</v>
      </c>
      <c r="N30" s="719">
        <v>46122</v>
      </c>
      <c r="O30" s="714"/>
      <c r="P30" s="717" t="s">
        <v>106</v>
      </c>
      <c r="Q30" s="717"/>
      <c r="R30" s="723" t="s">
        <v>4060</v>
      </c>
      <c r="S30" s="720" t="s">
        <v>107</v>
      </c>
      <c r="T30" s="720">
        <v>46104</v>
      </c>
      <c r="U30" s="720"/>
      <c r="V30" s="720"/>
      <c r="W30" s="720"/>
      <c r="X30" s="720" t="s">
        <v>4061</v>
      </c>
      <c r="Y30" s="719" t="s">
        <v>222</v>
      </c>
      <c r="Z30" s="715">
        <v>4.355</v>
      </c>
      <c r="AA30" s="715">
        <f>I30*Z30</f>
        <v>1045.2</v>
      </c>
      <c r="AB30" s="721"/>
      <c r="AC30" s="722" t="s">
        <v>3973</v>
      </c>
      <c r="AD30" s="715" t="s">
        <v>112</v>
      </c>
      <c r="AE30" s="715">
        <f t="shared" si="3"/>
        <v>240</v>
      </c>
      <c r="AF30" s="715" t="s">
        <v>736</v>
      </c>
      <c r="AG30" s="715">
        <v>240</v>
      </c>
      <c r="AH30" s="715">
        <f t="shared" si="0"/>
        <v>0</v>
      </c>
      <c r="AI30" s="717" t="s">
        <v>120</v>
      </c>
      <c r="AJ30" s="715" t="s">
        <v>3981</v>
      </c>
      <c r="AK30" s="652">
        <f t="shared" si="5"/>
        <v>240</v>
      </c>
      <c r="AL30" s="652"/>
      <c r="AM30" s="652"/>
      <c r="AN30" s="652">
        <f t="shared" si="6"/>
        <v>240</v>
      </c>
      <c r="AO30" s="652"/>
      <c r="AP30" s="652"/>
      <c r="AQ30" s="652"/>
      <c r="AR30" s="652"/>
      <c r="AS30" s="652"/>
      <c r="AT30" s="652">
        <f>I30/8</f>
        <v>30</v>
      </c>
      <c r="AU30" s="652"/>
      <c r="AV30" s="652"/>
      <c r="AW30" s="652"/>
      <c r="AX30" s="652"/>
      <c r="AY30" s="652"/>
      <c r="AZ30" s="652"/>
      <c r="BA30" s="652"/>
      <c r="BB30" s="652"/>
      <c r="BC30" s="652"/>
      <c r="BD30" s="652"/>
      <c r="BE30" s="652"/>
      <c r="BF30" s="652"/>
      <c r="BG30" s="652"/>
      <c r="BH30" s="652"/>
      <c r="BI30" s="652"/>
      <c r="BJ30" s="724"/>
      <c r="BK30" s="724"/>
      <c r="BL30" s="724"/>
      <c r="BM30" s="724"/>
      <c r="BN30" s="724"/>
      <c r="BO30" s="724"/>
      <c r="BP30" s="724"/>
      <c r="BQ30" s="724"/>
      <c r="BR30" s="724"/>
      <c r="BS30" s="724"/>
      <c r="BT30" s="724"/>
      <c r="BU30" s="724"/>
      <c r="BV30" s="724"/>
      <c r="BW30" s="724"/>
      <c r="BX30" s="724"/>
      <c r="BY30" s="724"/>
      <c r="BZ30" s="724"/>
      <c r="CA30" s="724"/>
      <c r="CB30" s="724"/>
      <c r="CC30" s="724"/>
      <c r="CD30" s="724"/>
      <c r="CE30" s="724"/>
      <c r="CF30" s="724"/>
      <c r="CG30" s="724"/>
      <c r="CH30" s="724"/>
      <c r="CI30" s="724"/>
      <c r="CJ30" s="724"/>
      <c r="CK30" s="724"/>
      <c r="CL30" s="724"/>
      <c r="CM30" s="724"/>
      <c r="CN30" s="724"/>
      <c r="CO30" s="724"/>
      <c r="CP30" s="724"/>
      <c r="CQ30" s="724"/>
      <c r="CR30" s="724"/>
    </row>
    <row r="31" s="650" customFormat="1" ht="31" customHeight="1" spans="1:96">
      <c r="A31" s="713">
        <v>46061</v>
      </c>
      <c r="B31" s="714" t="s">
        <v>216</v>
      </c>
      <c r="C31" s="715" t="s">
        <v>217</v>
      </c>
      <c r="D31" s="652">
        <v>4500193384</v>
      </c>
      <c r="E31" s="715" t="s">
        <v>218</v>
      </c>
      <c r="F31" s="652" t="s">
        <v>4062</v>
      </c>
      <c r="G31" s="716" t="s">
        <v>3973</v>
      </c>
      <c r="H31" s="715" t="s">
        <v>3995</v>
      </c>
      <c r="I31" s="717">
        <v>240</v>
      </c>
      <c r="J31" s="715">
        <v>0</v>
      </c>
      <c r="K31" s="715">
        <v>16</v>
      </c>
      <c r="L31" s="718">
        <f t="shared" si="1"/>
        <v>15</v>
      </c>
      <c r="M31" s="719">
        <v>46120</v>
      </c>
      <c r="N31" s="719">
        <v>46122</v>
      </c>
      <c r="O31" s="714"/>
      <c r="P31" s="717" t="s">
        <v>106</v>
      </c>
      <c r="Q31" s="717"/>
      <c r="R31" s="723" t="s">
        <v>4060</v>
      </c>
      <c r="S31" s="720" t="s">
        <v>107</v>
      </c>
      <c r="T31" s="720">
        <v>46097</v>
      </c>
      <c r="U31" s="720"/>
      <c r="V31" s="720"/>
      <c r="W31" s="720"/>
      <c r="X31" s="720" t="s">
        <v>4063</v>
      </c>
      <c r="Y31" s="719" t="s">
        <v>222</v>
      </c>
      <c r="Z31" s="715">
        <v>4.355</v>
      </c>
      <c r="AA31" s="715">
        <f>I31*Z31</f>
        <v>1045.2</v>
      </c>
      <c r="AB31" s="721"/>
      <c r="AC31" s="722" t="s">
        <v>3973</v>
      </c>
      <c r="AD31" s="715" t="s">
        <v>112</v>
      </c>
      <c r="AE31" s="715">
        <f t="shared" si="3"/>
        <v>240</v>
      </c>
      <c r="AF31" s="715" t="s">
        <v>736</v>
      </c>
      <c r="AG31" s="715">
        <v>240</v>
      </c>
      <c r="AH31" s="715">
        <f t="shared" ref="AH31:AH60" si="7">AG31-I31</f>
        <v>0</v>
      </c>
      <c r="AI31" s="717" t="s">
        <v>4064</v>
      </c>
      <c r="AJ31" s="715" t="s">
        <v>3981</v>
      </c>
      <c r="AK31" s="652">
        <f t="shared" si="5"/>
        <v>240</v>
      </c>
      <c r="AL31" s="652"/>
      <c r="AM31" s="652"/>
      <c r="AN31" s="652">
        <f t="shared" si="6"/>
        <v>240</v>
      </c>
      <c r="AO31" s="652"/>
      <c r="AP31" s="652"/>
      <c r="AQ31" s="652"/>
      <c r="AR31" s="652"/>
      <c r="AS31" s="652"/>
      <c r="AT31" s="652">
        <f>I31/8</f>
        <v>30</v>
      </c>
      <c r="AU31" s="652"/>
      <c r="AV31" s="652"/>
      <c r="AW31" s="652"/>
      <c r="AX31" s="652"/>
      <c r="AY31" s="652"/>
      <c r="AZ31" s="652"/>
      <c r="BA31" s="652"/>
      <c r="BB31" s="652"/>
      <c r="BC31" s="652"/>
      <c r="BD31" s="652"/>
      <c r="BE31" s="652"/>
      <c r="BF31" s="652"/>
      <c r="BG31" s="652"/>
      <c r="BH31" s="652"/>
      <c r="BI31" s="652"/>
      <c r="BJ31" s="724"/>
      <c r="BK31" s="724"/>
      <c r="BL31" s="724"/>
      <c r="BM31" s="724"/>
      <c r="BN31" s="724"/>
      <c r="BO31" s="724"/>
      <c r="BP31" s="724"/>
      <c r="BQ31" s="724"/>
      <c r="BR31" s="724"/>
      <c r="BS31" s="724"/>
      <c r="BT31" s="724"/>
      <c r="BU31" s="724"/>
      <c r="BV31" s="724"/>
      <c r="BW31" s="724"/>
      <c r="BX31" s="724"/>
      <c r="BY31" s="724"/>
      <c r="BZ31" s="724"/>
      <c r="CA31" s="724"/>
      <c r="CB31" s="724"/>
      <c r="CC31" s="724"/>
      <c r="CD31" s="724"/>
      <c r="CE31" s="724"/>
      <c r="CF31" s="724"/>
      <c r="CG31" s="724"/>
      <c r="CH31" s="724"/>
      <c r="CI31" s="724"/>
      <c r="CJ31" s="724"/>
      <c r="CK31" s="724"/>
      <c r="CL31" s="724"/>
      <c r="CM31" s="724"/>
      <c r="CN31" s="724"/>
      <c r="CO31" s="724"/>
      <c r="CP31" s="724"/>
      <c r="CQ31" s="724"/>
      <c r="CR31" s="724"/>
    </row>
    <row r="32" s="650" customFormat="1" ht="31" customHeight="1" spans="1:96">
      <c r="A32" s="713">
        <v>46052</v>
      </c>
      <c r="B32" s="714" t="s">
        <v>346</v>
      </c>
      <c r="C32" s="715" t="s">
        <v>115</v>
      </c>
      <c r="D32" s="652">
        <v>4500192825</v>
      </c>
      <c r="E32" s="715">
        <v>7137243189</v>
      </c>
      <c r="F32" s="652" t="s">
        <v>4065</v>
      </c>
      <c r="G32" s="716" t="s">
        <v>4015</v>
      </c>
      <c r="H32" s="715" t="s">
        <v>4016</v>
      </c>
      <c r="I32" s="717">
        <v>2832</v>
      </c>
      <c r="J32" s="715">
        <v>0</v>
      </c>
      <c r="K32" s="715">
        <v>16</v>
      </c>
      <c r="L32" s="718">
        <f t="shared" si="1"/>
        <v>177</v>
      </c>
      <c r="M32" s="719">
        <v>46121</v>
      </c>
      <c r="N32" s="719">
        <v>46122</v>
      </c>
      <c r="O32" s="714" t="s">
        <v>4066</v>
      </c>
      <c r="P32" s="717"/>
      <c r="Q32" s="717"/>
      <c r="R32" s="723">
        <v>46052</v>
      </c>
      <c r="S32" s="720" t="s">
        <v>107</v>
      </c>
      <c r="T32" s="720" t="s">
        <v>4018</v>
      </c>
      <c r="U32" s="720"/>
      <c r="V32" s="720"/>
      <c r="W32" s="720"/>
      <c r="X32" s="720" t="s">
        <v>4042</v>
      </c>
      <c r="Y32" s="719" t="s">
        <v>354</v>
      </c>
      <c r="Z32" s="715">
        <v>44.256</v>
      </c>
      <c r="AA32" s="715">
        <f>L32*Z32</f>
        <v>7833.312</v>
      </c>
      <c r="AB32" s="729" t="s">
        <v>4067</v>
      </c>
      <c r="AC32" s="722" t="s">
        <v>4015</v>
      </c>
      <c r="AD32" s="715" t="s">
        <v>112</v>
      </c>
      <c r="AE32" s="715">
        <f t="shared" si="3"/>
        <v>2832</v>
      </c>
      <c r="AF32" s="715" t="s">
        <v>4044</v>
      </c>
      <c r="AG32" s="715">
        <v>2832</v>
      </c>
      <c r="AH32" s="715">
        <f t="shared" si="7"/>
        <v>0</v>
      </c>
      <c r="AI32" s="717" t="s">
        <v>120</v>
      </c>
      <c r="AJ32" s="715" t="s">
        <v>3981</v>
      </c>
      <c r="AK32" s="652">
        <f t="shared" si="5"/>
        <v>2832</v>
      </c>
      <c r="AL32" s="652"/>
      <c r="AM32" s="652"/>
      <c r="AN32" s="652">
        <f t="shared" si="6"/>
        <v>2832</v>
      </c>
      <c r="AO32" s="652"/>
      <c r="AP32" s="652"/>
      <c r="AQ32" s="652"/>
      <c r="AR32" s="652"/>
      <c r="AS32" s="652"/>
      <c r="AT32" s="652"/>
      <c r="AU32" s="652"/>
      <c r="AV32" s="652"/>
      <c r="AW32" s="652"/>
      <c r="AX32" s="652"/>
      <c r="AY32" s="652"/>
      <c r="AZ32" s="652"/>
      <c r="BA32" s="652"/>
      <c r="BB32" s="652"/>
      <c r="BC32" s="652"/>
      <c r="BD32" s="652"/>
      <c r="BE32" s="652"/>
      <c r="BF32" s="652"/>
      <c r="BG32" s="652">
        <f>I32/16</f>
        <v>177</v>
      </c>
      <c r="BH32" s="652"/>
      <c r="BI32" s="652"/>
    </row>
    <row r="33" s="650" customFormat="1" ht="31" customHeight="1" spans="1:108">
      <c r="A33" s="713">
        <v>46052</v>
      </c>
      <c r="B33" s="714" t="s">
        <v>346</v>
      </c>
      <c r="C33" s="715" t="s">
        <v>115</v>
      </c>
      <c r="D33" s="652">
        <v>4500192826</v>
      </c>
      <c r="E33" s="715">
        <v>7137243192</v>
      </c>
      <c r="F33" s="652" t="s">
        <v>4068</v>
      </c>
      <c r="G33" s="716" t="s">
        <v>4015</v>
      </c>
      <c r="H33" s="715" t="s">
        <v>4016</v>
      </c>
      <c r="I33" s="717">
        <v>4272</v>
      </c>
      <c r="J33" s="715">
        <v>0</v>
      </c>
      <c r="K33" s="715">
        <v>16</v>
      </c>
      <c r="L33" s="718">
        <f t="shared" si="1"/>
        <v>267</v>
      </c>
      <c r="M33" s="719">
        <v>46122</v>
      </c>
      <c r="N33" s="719">
        <v>46122</v>
      </c>
      <c r="O33" s="732" t="s">
        <v>4069</v>
      </c>
      <c r="P33" s="717" t="s">
        <v>106</v>
      </c>
      <c r="Q33" s="717"/>
      <c r="R33" s="723">
        <v>46052</v>
      </c>
      <c r="S33" s="720" t="s">
        <v>107</v>
      </c>
      <c r="T33" s="720" t="s">
        <v>4018</v>
      </c>
      <c r="U33" s="720"/>
      <c r="V33" s="720"/>
      <c r="W33" s="720"/>
      <c r="X33" s="720" t="s">
        <v>4042</v>
      </c>
      <c r="Y33" s="719" t="s">
        <v>354</v>
      </c>
      <c r="Z33" s="715">
        <v>44.256</v>
      </c>
      <c r="AA33" s="715">
        <f>L33*Z33</f>
        <v>11816.352</v>
      </c>
      <c r="AB33" s="729" t="s">
        <v>4070</v>
      </c>
      <c r="AC33" s="722" t="s">
        <v>4015</v>
      </c>
      <c r="AD33" s="715" t="s">
        <v>112</v>
      </c>
      <c r="AE33" s="715">
        <f t="shared" si="3"/>
        <v>4272</v>
      </c>
      <c r="AF33" s="715" t="s">
        <v>4044</v>
      </c>
      <c r="AG33" s="715">
        <v>4272</v>
      </c>
      <c r="AH33" s="715">
        <f t="shared" si="7"/>
        <v>0</v>
      </c>
      <c r="AI33" s="717" t="s">
        <v>120</v>
      </c>
      <c r="AJ33" s="715" t="s">
        <v>3981</v>
      </c>
      <c r="AK33" s="652">
        <f t="shared" si="5"/>
        <v>4272</v>
      </c>
      <c r="AL33" s="652"/>
      <c r="AM33" s="652"/>
      <c r="AN33" s="652">
        <f t="shared" si="6"/>
        <v>4272</v>
      </c>
      <c r="AO33" s="652"/>
      <c r="AP33" s="652"/>
      <c r="AQ33" s="652"/>
      <c r="AR33" s="652"/>
      <c r="AS33" s="652"/>
      <c r="AT33" s="652"/>
      <c r="AU33" s="652"/>
      <c r="AV33" s="652"/>
      <c r="AW33" s="652"/>
      <c r="AX33" s="652"/>
      <c r="AY33" s="652"/>
      <c r="AZ33" s="652"/>
      <c r="BA33" s="652"/>
      <c r="BB33" s="652"/>
      <c r="BC33" s="652"/>
      <c r="BD33" s="652"/>
      <c r="BE33" s="652"/>
      <c r="BF33" s="652"/>
      <c r="BG33" s="652">
        <f>I33/16</f>
        <v>267</v>
      </c>
      <c r="BH33" s="652"/>
      <c r="BI33" s="652"/>
    </row>
    <row r="34" s="650" customFormat="1" ht="31" customHeight="1" spans="1:108">
      <c r="A34" s="713">
        <v>46065</v>
      </c>
      <c r="B34" s="714" t="s">
        <v>230</v>
      </c>
      <c r="C34" s="715" t="s">
        <v>135</v>
      </c>
      <c r="D34" s="652">
        <v>4500193688</v>
      </c>
      <c r="E34" s="715" t="s">
        <v>231</v>
      </c>
      <c r="F34" s="652" t="s">
        <v>4071</v>
      </c>
      <c r="G34" s="716" t="s">
        <v>3973</v>
      </c>
      <c r="H34" s="715" t="s">
        <v>3995</v>
      </c>
      <c r="I34" s="717">
        <v>1600</v>
      </c>
      <c r="J34" s="715">
        <v>0</v>
      </c>
      <c r="K34" s="715">
        <v>16</v>
      </c>
      <c r="L34" s="718">
        <f t="shared" si="1"/>
        <v>100</v>
      </c>
      <c r="M34" s="719">
        <v>46125</v>
      </c>
      <c r="N34" s="719">
        <v>46123</v>
      </c>
      <c r="O34" s="714"/>
      <c r="P34" s="717" t="s">
        <v>106</v>
      </c>
      <c r="Q34" s="717"/>
      <c r="R34" s="723" t="s">
        <v>233</v>
      </c>
      <c r="S34" s="720" t="s">
        <v>107</v>
      </c>
      <c r="T34" s="720" t="s">
        <v>4072</v>
      </c>
      <c r="U34" s="720"/>
      <c r="V34" s="720"/>
      <c r="W34" s="720"/>
      <c r="X34" s="720" t="s">
        <v>4073</v>
      </c>
      <c r="Y34" s="719" t="s">
        <v>236</v>
      </c>
      <c r="Z34" s="715">
        <v>4.355</v>
      </c>
      <c r="AA34" s="715">
        <f>I34*Z34</f>
        <v>6968</v>
      </c>
      <c r="AB34" s="721"/>
      <c r="AC34" s="722" t="s">
        <v>3973</v>
      </c>
      <c r="AD34" s="715" t="s">
        <v>112</v>
      </c>
      <c r="AE34" s="715">
        <f t="shared" si="3"/>
        <v>1600</v>
      </c>
      <c r="AF34" s="715" t="s">
        <v>4074</v>
      </c>
      <c r="AG34" s="715">
        <f>1520+80</f>
        <v>1600</v>
      </c>
      <c r="AH34" s="715">
        <f t="shared" si="7"/>
        <v>0</v>
      </c>
      <c r="AI34" s="717"/>
      <c r="AJ34" s="715" t="s">
        <v>3981</v>
      </c>
      <c r="AK34" s="652">
        <f t="shared" si="5"/>
        <v>1600</v>
      </c>
      <c r="AL34" s="652"/>
      <c r="AM34" s="652"/>
      <c r="AN34" s="652">
        <f t="shared" si="6"/>
        <v>1600</v>
      </c>
      <c r="AO34" s="652"/>
      <c r="AP34" s="652"/>
      <c r="AQ34" s="652"/>
      <c r="AR34" s="652"/>
      <c r="AS34" s="652"/>
      <c r="AT34" s="652">
        <f>I34/8</f>
        <v>200</v>
      </c>
      <c r="AU34" s="652"/>
      <c r="AV34" s="652"/>
      <c r="AW34" s="652"/>
      <c r="AX34" s="652"/>
      <c r="AY34" s="652"/>
      <c r="AZ34" s="652"/>
      <c r="BA34" s="652"/>
      <c r="BB34" s="652"/>
      <c r="BC34" s="652"/>
      <c r="BD34" s="652"/>
      <c r="BE34" s="652"/>
      <c r="BF34" s="652"/>
      <c r="BG34" s="652"/>
      <c r="BH34" s="652"/>
      <c r="BI34" s="652"/>
      <c r="BJ34" s="724"/>
      <c r="BK34" s="724"/>
      <c r="BL34" s="724"/>
      <c r="BM34" s="724"/>
      <c r="BN34" s="724"/>
      <c r="BO34" s="724"/>
      <c r="BP34" s="724"/>
      <c r="BQ34" s="724"/>
      <c r="BR34" s="724"/>
      <c r="BS34" s="724"/>
      <c r="BT34" s="724"/>
      <c r="BU34" s="724"/>
      <c r="BV34" s="724"/>
      <c r="BW34" s="724"/>
      <c r="BX34" s="724"/>
      <c r="BY34" s="724"/>
      <c r="BZ34" s="724"/>
      <c r="CA34" s="724"/>
      <c r="CB34" s="724"/>
      <c r="CC34" s="724"/>
      <c r="CD34" s="724"/>
      <c r="CE34" s="724"/>
      <c r="CF34" s="724"/>
      <c r="CG34" s="724"/>
      <c r="CH34" s="724"/>
      <c r="CI34" s="724"/>
      <c r="CJ34" s="724"/>
      <c r="CK34" s="724"/>
      <c r="CL34" s="724"/>
      <c r="CM34" s="724"/>
      <c r="CN34" s="724"/>
      <c r="CO34" s="724"/>
      <c r="CP34" s="724"/>
      <c r="CQ34" s="724"/>
      <c r="CR34" s="724"/>
    </row>
    <row r="35" s="650" customFormat="1" ht="31" customHeight="1" spans="1:108">
      <c r="A35" s="713">
        <v>46062</v>
      </c>
      <c r="B35" s="714" t="s">
        <v>602</v>
      </c>
      <c r="C35" s="715" t="s">
        <v>508</v>
      </c>
      <c r="D35" s="652">
        <v>4500193524</v>
      </c>
      <c r="E35" s="715">
        <v>86065</v>
      </c>
      <c r="F35" s="652" t="s">
        <v>4075</v>
      </c>
      <c r="G35" s="716" t="s">
        <v>3980</v>
      </c>
      <c r="H35" s="715" t="s">
        <v>3978</v>
      </c>
      <c r="I35" s="717">
        <v>2400</v>
      </c>
      <c r="J35" s="715">
        <v>0</v>
      </c>
      <c r="K35" s="715">
        <v>8</v>
      </c>
      <c r="L35" s="718">
        <f t="shared" si="1"/>
        <v>300</v>
      </c>
      <c r="M35" s="719">
        <v>46125</v>
      </c>
      <c r="N35" s="719">
        <v>46126</v>
      </c>
      <c r="O35" s="714"/>
      <c r="P35" s="717" t="s">
        <v>106</v>
      </c>
      <c r="Q35" s="717"/>
      <c r="R35" s="723" t="s">
        <v>4076</v>
      </c>
      <c r="S35" s="720" t="s">
        <v>107</v>
      </c>
      <c r="T35" s="720" t="s">
        <v>4077</v>
      </c>
      <c r="U35" s="720"/>
      <c r="V35" s="720"/>
      <c r="W35" s="720"/>
      <c r="X35" s="720" t="s">
        <v>4078</v>
      </c>
      <c r="Y35" s="719" t="s">
        <v>362</v>
      </c>
      <c r="Z35" s="715">
        <v>5</v>
      </c>
      <c r="AA35" s="715">
        <f>Z35*I35</f>
        <v>12000</v>
      </c>
      <c r="AB35" s="721"/>
      <c r="AC35" s="722" t="s">
        <v>3980</v>
      </c>
      <c r="AD35" s="715" t="s">
        <v>112</v>
      </c>
      <c r="AE35" s="715">
        <f t="shared" si="3"/>
        <v>2400</v>
      </c>
      <c r="AF35" s="715" t="s">
        <v>4032</v>
      </c>
      <c r="AG35" s="715">
        <f>2360+40</f>
        <v>2400</v>
      </c>
      <c r="AH35" s="715">
        <f t="shared" si="7"/>
        <v>0</v>
      </c>
      <c r="AI35" s="717" t="s">
        <v>120</v>
      </c>
      <c r="AJ35" s="715" t="s">
        <v>3981</v>
      </c>
      <c r="AK35" s="652">
        <f t="shared" si="5"/>
        <v>2400</v>
      </c>
      <c r="AL35" s="652"/>
      <c r="AM35" s="652"/>
      <c r="AN35" s="652">
        <f t="shared" si="6"/>
        <v>2400</v>
      </c>
      <c r="AO35" s="652"/>
      <c r="AP35" s="652"/>
      <c r="AQ35" s="652"/>
      <c r="AR35" s="652"/>
      <c r="AS35" s="652"/>
      <c r="AT35" s="652">
        <f>I35/8</f>
        <v>300</v>
      </c>
      <c r="AU35" s="652"/>
      <c r="AV35" s="652"/>
      <c r="AW35" s="652"/>
      <c r="AX35" s="652"/>
      <c r="AY35" s="652"/>
      <c r="AZ35" s="652"/>
      <c r="BA35" s="652"/>
      <c r="BB35" s="652"/>
      <c r="BC35" s="652"/>
      <c r="BD35" s="652"/>
      <c r="BE35" s="652"/>
      <c r="BF35" s="652"/>
      <c r="BG35" s="652"/>
      <c r="BH35" s="652"/>
      <c r="BI35" s="652"/>
      <c r="BJ35" s="650"/>
      <c r="BK35" s="650"/>
      <c r="BL35" s="650"/>
      <c r="BM35" s="650"/>
      <c r="BN35" s="650"/>
      <c r="BO35" s="650"/>
      <c r="BP35" s="650"/>
      <c r="BQ35" s="650"/>
      <c r="BR35" s="650"/>
      <c r="BS35" s="650"/>
      <c r="BT35" s="650"/>
      <c r="BU35" s="650"/>
      <c r="BV35" s="650"/>
      <c r="BW35" s="650"/>
      <c r="BX35" s="650"/>
      <c r="BY35" s="650"/>
      <c r="BZ35" s="650"/>
      <c r="CA35" s="650"/>
      <c r="CB35" s="650"/>
      <c r="CC35" s="650"/>
      <c r="CD35" s="650"/>
      <c r="CE35" s="650"/>
      <c r="CF35" s="650"/>
      <c r="CG35" s="650"/>
      <c r="CH35" s="650"/>
      <c r="CI35" s="650"/>
      <c r="CJ35" s="650"/>
      <c r="CK35" s="650"/>
      <c r="CL35" s="650"/>
      <c r="CM35" s="650"/>
      <c r="CN35" s="650"/>
      <c r="CO35" s="650"/>
      <c r="CP35" s="650"/>
      <c r="CQ35" s="650"/>
      <c r="CR35" s="650"/>
      <c r="CS35" s="651"/>
      <c r="CT35" s="651"/>
      <c r="CU35" s="651"/>
      <c r="CV35" s="651"/>
      <c r="CW35" s="651"/>
      <c r="CX35" s="651"/>
      <c r="CY35" s="651"/>
      <c r="CZ35" s="651"/>
      <c r="DA35" s="651"/>
      <c r="DB35" s="651"/>
      <c r="DC35" s="651"/>
      <c r="DD35" s="651"/>
    </row>
    <row r="36" s="650" customFormat="1" ht="31" customHeight="1" spans="1:108">
      <c r="A36" s="713">
        <v>46052</v>
      </c>
      <c r="B36" s="714" t="s">
        <v>346</v>
      </c>
      <c r="C36" s="715" t="s">
        <v>115</v>
      </c>
      <c r="D36" s="652">
        <v>4500192827</v>
      </c>
      <c r="E36" s="715">
        <v>7137243191</v>
      </c>
      <c r="F36" s="652" t="s">
        <v>4079</v>
      </c>
      <c r="G36" s="716" t="s">
        <v>4015</v>
      </c>
      <c r="H36" s="715" t="s">
        <v>4016</v>
      </c>
      <c r="I36" s="717">
        <v>6528</v>
      </c>
      <c r="J36" s="715">
        <v>0</v>
      </c>
      <c r="K36" s="715">
        <v>16</v>
      </c>
      <c r="L36" s="718">
        <f t="shared" si="1"/>
        <v>408</v>
      </c>
      <c r="M36" s="719">
        <v>46125</v>
      </c>
      <c r="N36" s="719">
        <v>46127</v>
      </c>
      <c r="O36" s="732" t="s">
        <v>4069</v>
      </c>
      <c r="P36" s="717" t="s">
        <v>106</v>
      </c>
      <c r="Q36" s="717"/>
      <c r="R36" s="723">
        <v>46052</v>
      </c>
      <c r="S36" s="720" t="s">
        <v>107</v>
      </c>
      <c r="T36" s="720" t="s">
        <v>4018</v>
      </c>
      <c r="U36" s="720"/>
      <c r="V36" s="720"/>
      <c r="W36" s="720"/>
      <c r="X36" s="720" t="s">
        <v>4042</v>
      </c>
      <c r="Y36" s="719" t="s">
        <v>354</v>
      </c>
      <c r="Z36" s="715">
        <v>44.256</v>
      </c>
      <c r="AA36" s="715">
        <f>L36*Z36</f>
        <v>18056.448</v>
      </c>
      <c r="AB36" s="729" t="s">
        <v>4080</v>
      </c>
      <c r="AC36" s="722" t="s">
        <v>4015</v>
      </c>
      <c r="AD36" s="715" t="s">
        <v>112</v>
      </c>
      <c r="AE36" s="715">
        <f t="shared" si="3"/>
        <v>6528</v>
      </c>
      <c r="AF36" s="715" t="s">
        <v>4044</v>
      </c>
      <c r="AG36" s="715">
        <v>6528</v>
      </c>
      <c r="AH36" s="715">
        <f t="shared" si="7"/>
        <v>0</v>
      </c>
      <c r="AI36" s="717" t="s">
        <v>120</v>
      </c>
      <c r="AJ36" s="715" t="s">
        <v>3981</v>
      </c>
      <c r="AK36" s="652">
        <f t="shared" si="5"/>
        <v>6528</v>
      </c>
      <c r="AL36" s="652"/>
      <c r="AM36" s="652"/>
      <c r="AN36" s="652">
        <f t="shared" si="6"/>
        <v>6528</v>
      </c>
      <c r="AO36" s="652"/>
      <c r="AP36" s="652"/>
      <c r="AQ36" s="652"/>
      <c r="AR36" s="652"/>
      <c r="AS36" s="652"/>
      <c r="AT36" s="652"/>
      <c r="AU36" s="652"/>
      <c r="AV36" s="652"/>
      <c r="AW36" s="652"/>
      <c r="AX36" s="652"/>
      <c r="AY36" s="652"/>
      <c r="AZ36" s="652"/>
      <c r="BA36" s="652"/>
      <c r="BB36" s="652"/>
      <c r="BC36" s="652"/>
      <c r="BD36" s="652"/>
      <c r="BE36" s="652"/>
      <c r="BF36" s="652"/>
      <c r="BG36" s="652">
        <f>I36/16</f>
        <v>408</v>
      </c>
      <c r="BH36" s="652"/>
      <c r="BI36" s="652"/>
      <c r="BJ36" s="724"/>
      <c r="BK36" s="724"/>
      <c r="BL36" s="724"/>
      <c r="BM36" s="724"/>
      <c r="BN36" s="724"/>
      <c r="BO36" s="724"/>
      <c r="BP36" s="724"/>
      <c r="BQ36" s="724"/>
      <c r="BR36" s="724"/>
      <c r="BS36" s="724"/>
      <c r="BT36" s="724"/>
      <c r="BU36" s="724"/>
      <c r="BV36" s="724"/>
      <c r="BW36" s="724"/>
      <c r="BX36" s="724"/>
      <c r="BY36" s="724"/>
      <c r="BZ36" s="724"/>
      <c r="CA36" s="724"/>
      <c r="CB36" s="724"/>
      <c r="CC36" s="724"/>
      <c r="CD36" s="724"/>
      <c r="CE36" s="724"/>
      <c r="CF36" s="724"/>
      <c r="CG36" s="724"/>
      <c r="CH36" s="724"/>
      <c r="CI36" s="724"/>
      <c r="CJ36" s="724"/>
      <c r="CK36" s="724"/>
      <c r="CL36" s="724"/>
      <c r="CM36" s="724"/>
      <c r="CN36" s="724"/>
      <c r="CO36" s="724"/>
      <c r="CP36" s="724"/>
      <c r="CQ36" s="724"/>
      <c r="CR36" s="724"/>
    </row>
    <row r="37" s="650" customFormat="1" ht="31" customHeight="1" spans="1:108">
      <c r="A37" s="713">
        <v>46079</v>
      </c>
      <c r="B37" s="714" t="s">
        <v>237</v>
      </c>
      <c r="C37" s="715" t="s">
        <v>115</v>
      </c>
      <c r="D37" s="652">
        <v>4500194334</v>
      </c>
      <c r="E37" s="715">
        <v>4360138834</v>
      </c>
      <c r="F37" s="652" t="s">
        <v>4081</v>
      </c>
      <c r="G37" s="716" t="s">
        <v>3968</v>
      </c>
      <c r="H37" s="715" t="s">
        <v>3969</v>
      </c>
      <c r="I37" s="717">
        <v>4656</v>
      </c>
      <c r="J37" s="715">
        <v>0</v>
      </c>
      <c r="K37" s="715">
        <v>16</v>
      </c>
      <c r="L37" s="718">
        <f t="shared" si="1"/>
        <v>291</v>
      </c>
      <c r="M37" s="719">
        <v>46126</v>
      </c>
      <c r="N37" s="719">
        <v>46127</v>
      </c>
      <c r="O37" s="714"/>
      <c r="P37" s="717" t="s">
        <v>106</v>
      </c>
      <c r="Q37" s="717" t="s">
        <v>4082</v>
      </c>
      <c r="R37" s="723">
        <v>46094</v>
      </c>
      <c r="S37" s="720" t="s">
        <v>107</v>
      </c>
      <c r="T37" s="720" t="s">
        <v>95</v>
      </c>
      <c r="U37" s="720"/>
      <c r="V37" s="720"/>
      <c r="W37" s="720"/>
      <c r="X37" s="720" t="s">
        <v>4083</v>
      </c>
      <c r="Y37" s="719" t="s">
        <v>241</v>
      </c>
      <c r="Z37" s="715">
        <v>2.466</v>
      </c>
      <c r="AA37" s="715">
        <f>I37*Z37</f>
        <v>11481.696</v>
      </c>
      <c r="AB37" s="729" t="s">
        <v>242</v>
      </c>
      <c r="AC37" s="722" t="s">
        <v>3968</v>
      </c>
      <c r="AD37" s="715" t="s">
        <v>112</v>
      </c>
      <c r="AE37" s="715">
        <f t="shared" si="3"/>
        <v>4656</v>
      </c>
      <c r="AF37" s="715" t="s">
        <v>736</v>
      </c>
      <c r="AG37" s="715">
        <f>4496+160</f>
        <v>4656</v>
      </c>
      <c r="AH37" s="715">
        <f t="shared" si="7"/>
        <v>0</v>
      </c>
      <c r="AI37" s="717"/>
      <c r="AJ37" s="715" t="s">
        <v>3981</v>
      </c>
      <c r="AK37" s="652">
        <f t="shared" si="5"/>
        <v>4656</v>
      </c>
      <c r="AL37" s="652"/>
      <c r="AM37" s="652"/>
      <c r="AN37" s="652">
        <f t="shared" si="6"/>
        <v>4656</v>
      </c>
      <c r="AO37" s="652"/>
      <c r="AP37" s="652"/>
      <c r="AQ37" s="652"/>
      <c r="AR37" s="652"/>
      <c r="AS37" s="652"/>
      <c r="AT37" s="652"/>
      <c r="AU37" s="652"/>
      <c r="AV37" s="652"/>
      <c r="AW37" s="652"/>
      <c r="AX37" s="652"/>
      <c r="AY37" s="652"/>
      <c r="AZ37" s="652"/>
      <c r="BA37" s="652"/>
      <c r="BB37" s="652"/>
      <c r="BC37" s="652"/>
      <c r="BD37" s="652"/>
      <c r="BE37" s="652"/>
      <c r="BF37" s="652"/>
      <c r="BG37" s="652"/>
      <c r="BH37" s="652"/>
      <c r="BI37" s="652"/>
      <c r="BJ37" s="724"/>
      <c r="BK37" s="724"/>
      <c r="BL37" s="724"/>
      <c r="BM37" s="724"/>
      <c r="BN37" s="724"/>
      <c r="BO37" s="724"/>
      <c r="BP37" s="724"/>
      <c r="BQ37" s="724"/>
      <c r="BR37" s="724"/>
      <c r="BS37" s="724"/>
      <c r="BT37" s="724"/>
      <c r="BU37" s="724"/>
      <c r="BV37" s="724"/>
      <c r="BW37" s="724"/>
      <c r="BX37" s="724"/>
      <c r="BY37" s="724"/>
      <c r="BZ37" s="724"/>
      <c r="CA37" s="724"/>
      <c r="CB37" s="724"/>
      <c r="CC37" s="724"/>
      <c r="CD37" s="724"/>
      <c r="CE37" s="724"/>
      <c r="CF37" s="724"/>
      <c r="CG37" s="724"/>
      <c r="CH37" s="724"/>
      <c r="CI37" s="724"/>
      <c r="CJ37" s="724"/>
      <c r="CK37" s="724"/>
      <c r="CL37" s="724"/>
      <c r="CM37" s="724"/>
      <c r="CN37" s="724"/>
      <c r="CO37" s="724"/>
      <c r="CP37" s="724"/>
      <c r="CQ37" s="724"/>
      <c r="CR37" s="724"/>
    </row>
    <row r="38" s="651" customFormat="1" ht="31" customHeight="1" spans="1:108">
      <c r="A38" s="713">
        <v>46079</v>
      </c>
      <c r="B38" s="714" t="s">
        <v>237</v>
      </c>
      <c r="C38" s="715" t="s">
        <v>115</v>
      </c>
      <c r="D38" s="652">
        <v>4500194341</v>
      </c>
      <c r="E38" s="715">
        <v>4360138853</v>
      </c>
      <c r="F38" s="652" t="s">
        <v>4084</v>
      </c>
      <c r="G38" s="716" t="s">
        <v>3968</v>
      </c>
      <c r="H38" s="715" t="s">
        <v>3969</v>
      </c>
      <c r="I38" s="717">
        <v>3744</v>
      </c>
      <c r="J38" s="715">
        <v>0</v>
      </c>
      <c r="K38" s="715">
        <v>16</v>
      </c>
      <c r="L38" s="718">
        <f t="shared" si="1"/>
        <v>234</v>
      </c>
      <c r="M38" s="719">
        <v>46126</v>
      </c>
      <c r="N38" s="719">
        <v>46127</v>
      </c>
      <c r="O38" s="714"/>
      <c r="P38" s="717" t="s">
        <v>106</v>
      </c>
      <c r="Q38" s="717" t="s">
        <v>4085</v>
      </c>
      <c r="R38" s="723">
        <v>46094</v>
      </c>
      <c r="S38" s="720" t="s">
        <v>107</v>
      </c>
      <c r="T38" s="720" t="s">
        <v>95</v>
      </c>
      <c r="U38" s="720"/>
      <c r="V38" s="720"/>
      <c r="W38" s="720"/>
      <c r="X38" s="720" t="s">
        <v>4083</v>
      </c>
      <c r="Y38" s="719" t="s">
        <v>241</v>
      </c>
      <c r="Z38" s="715">
        <v>2.466</v>
      </c>
      <c r="AA38" s="715">
        <f>I38*Z38</f>
        <v>9232.704</v>
      </c>
      <c r="AB38" s="729" t="s">
        <v>245</v>
      </c>
      <c r="AC38" s="722" t="s">
        <v>3968</v>
      </c>
      <c r="AD38" s="715" t="s">
        <v>112</v>
      </c>
      <c r="AE38" s="715">
        <f t="shared" si="3"/>
        <v>3744</v>
      </c>
      <c r="AF38" s="715" t="s">
        <v>736</v>
      </c>
      <c r="AG38" s="715">
        <v>3744</v>
      </c>
      <c r="AH38" s="715">
        <f t="shared" si="7"/>
        <v>0</v>
      </c>
      <c r="AI38" s="717"/>
      <c r="AJ38" s="715" t="s">
        <v>3981</v>
      </c>
      <c r="AK38" s="652">
        <f t="shared" si="5"/>
        <v>3744</v>
      </c>
      <c r="AL38" s="652"/>
      <c r="AM38" s="652"/>
      <c r="AN38" s="652">
        <f t="shared" si="6"/>
        <v>3744</v>
      </c>
      <c r="AO38" s="652"/>
      <c r="AP38" s="652"/>
      <c r="AQ38" s="652"/>
      <c r="AR38" s="652"/>
      <c r="AS38" s="652"/>
      <c r="AT38" s="652"/>
      <c r="AU38" s="652"/>
      <c r="AV38" s="652"/>
      <c r="AW38" s="652"/>
      <c r="AX38" s="652"/>
      <c r="AY38" s="652"/>
      <c r="AZ38" s="652"/>
      <c r="BA38" s="652"/>
      <c r="BB38" s="652"/>
      <c r="BC38" s="652"/>
      <c r="BD38" s="652"/>
      <c r="BE38" s="652"/>
      <c r="BF38" s="652"/>
      <c r="BG38" s="652"/>
      <c r="BH38" s="652"/>
      <c r="BI38" s="652"/>
      <c r="BJ38" s="724"/>
      <c r="BK38" s="724"/>
      <c r="BL38" s="724"/>
      <c r="BM38" s="724"/>
      <c r="BN38" s="724"/>
      <c r="BO38" s="724"/>
      <c r="BP38" s="724"/>
      <c r="BQ38" s="724"/>
      <c r="BR38" s="724"/>
      <c r="BS38" s="724"/>
      <c r="BT38" s="724"/>
      <c r="BU38" s="724"/>
      <c r="BV38" s="724"/>
      <c r="BW38" s="724"/>
      <c r="BX38" s="724"/>
      <c r="BY38" s="724"/>
      <c r="BZ38" s="724"/>
      <c r="CA38" s="724"/>
      <c r="CB38" s="724"/>
      <c r="CC38" s="724"/>
      <c r="CD38" s="724"/>
      <c r="CE38" s="724"/>
      <c r="CF38" s="724"/>
      <c r="CG38" s="724"/>
      <c r="CH38" s="724"/>
      <c r="CI38" s="724"/>
      <c r="CJ38" s="724"/>
      <c r="CK38" s="724"/>
      <c r="CL38" s="724"/>
      <c r="CM38" s="724"/>
      <c r="CN38" s="724"/>
      <c r="CO38" s="724"/>
      <c r="CP38" s="724"/>
      <c r="CQ38" s="724"/>
      <c r="CR38" s="724"/>
      <c r="CS38" s="650"/>
      <c r="CT38" s="650"/>
      <c r="CU38" s="650"/>
      <c r="CV38" s="650"/>
      <c r="CW38" s="650"/>
      <c r="CX38" s="650"/>
      <c r="CY38" s="650"/>
      <c r="CZ38" s="650"/>
      <c r="DA38" s="650"/>
      <c r="DB38" s="650"/>
      <c r="DC38" s="650"/>
      <c r="DD38" s="650"/>
    </row>
    <row r="39" s="650" customFormat="1" ht="31" customHeight="1" spans="1:108">
      <c r="A39" s="713">
        <v>46030</v>
      </c>
      <c r="B39" s="714" t="s">
        <v>246</v>
      </c>
      <c r="C39" s="715" t="s">
        <v>115</v>
      </c>
      <c r="D39" s="652">
        <v>4500188838</v>
      </c>
      <c r="E39" s="715">
        <v>277707</v>
      </c>
      <c r="F39" s="652" t="s">
        <v>4086</v>
      </c>
      <c r="G39" s="716" t="s">
        <v>3980</v>
      </c>
      <c r="H39" s="715" t="s">
        <v>3978</v>
      </c>
      <c r="I39" s="717">
        <v>4000</v>
      </c>
      <c r="J39" s="715">
        <v>0</v>
      </c>
      <c r="K39" s="715">
        <v>8</v>
      </c>
      <c r="L39" s="718">
        <f t="shared" si="1"/>
        <v>500</v>
      </c>
      <c r="M39" s="719">
        <v>46127</v>
      </c>
      <c r="N39" s="719">
        <v>46122</v>
      </c>
      <c r="O39" s="714" t="s">
        <v>250</v>
      </c>
      <c r="P39" s="717" t="s">
        <v>106</v>
      </c>
      <c r="Q39" s="717" t="s">
        <v>4087</v>
      </c>
      <c r="R39" s="723" t="s">
        <v>4088</v>
      </c>
      <c r="S39" s="720" t="s">
        <v>107</v>
      </c>
      <c r="T39" s="720" t="s">
        <v>4089</v>
      </c>
      <c r="U39" s="720"/>
      <c r="V39" s="720"/>
      <c r="W39" s="720" t="s">
        <v>4090</v>
      </c>
      <c r="X39" s="720" t="s">
        <v>4091</v>
      </c>
      <c r="Y39" s="719" t="s">
        <v>255</v>
      </c>
      <c r="Z39" s="715">
        <v>3</v>
      </c>
      <c r="AA39" s="715">
        <f>Z39*I39</f>
        <v>12000</v>
      </c>
      <c r="AB39" s="729" t="s">
        <v>256</v>
      </c>
      <c r="AC39" s="722" t="s">
        <v>3980</v>
      </c>
      <c r="AD39" s="715" t="s">
        <v>112</v>
      </c>
      <c r="AE39" s="715">
        <f t="shared" si="3"/>
        <v>4000</v>
      </c>
      <c r="AF39" s="715" t="s">
        <v>736</v>
      </c>
      <c r="AG39" s="715">
        <v>4000</v>
      </c>
      <c r="AH39" s="715">
        <f t="shared" si="7"/>
        <v>0</v>
      </c>
      <c r="AI39" s="717" t="s">
        <v>120</v>
      </c>
      <c r="AJ39" s="715" t="s">
        <v>3981</v>
      </c>
      <c r="AK39" s="652">
        <f t="shared" si="5"/>
        <v>4000</v>
      </c>
      <c r="AL39" s="652"/>
      <c r="AM39" s="652"/>
      <c r="AN39" s="652">
        <f t="shared" si="6"/>
        <v>4000</v>
      </c>
      <c r="AO39" s="652"/>
      <c r="AP39" s="652"/>
      <c r="AQ39" s="652"/>
      <c r="AR39" s="652"/>
      <c r="AS39" s="652"/>
      <c r="AT39" s="652">
        <f>I39/8</f>
        <v>500</v>
      </c>
      <c r="AU39" s="652"/>
      <c r="AV39" s="652"/>
      <c r="AW39" s="652"/>
      <c r="AX39" s="652"/>
      <c r="AY39" s="652"/>
      <c r="AZ39" s="652"/>
      <c r="BA39" s="652"/>
      <c r="BB39" s="652"/>
      <c r="BC39" s="652"/>
      <c r="BD39" s="652"/>
      <c r="BE39" s="652"/>
      <c r="BF39" s="652"/>
      <c r="BG39" s="652"/>
      <c r="BH39" s="652"/>
      <c r="BI39" s="652"/>
      <c r="BJ39" s="724"/>
      <c r="BK39" s="724"/>
      <c r="BL39" s="724"/>
      <c r="BM39" s="724"/>
      <c r="BN39" s="724"/>
      <c r="BO39" s="724"/>
      <c r="BP39" s="724"/>
      <c r="BQ39" s="724"/>
      <c r="BR39" s="724"/>
      <c r="BS39" s="724"/>
      <c r="BT39" s="724"/>
      <c r="BU39" s="724"/>
      <c r="BV39" s="724"/>
      <c r="BW39" s="724"/>
      <c r="BX39" s="724"/>
      <c r="BY39" s="724"/>
      <c r="BZ39" s="724"/>
      <c r="CA39" s="724"/>
      <c r="CB39" s="724"/>
      <c r="CC39" s="724"/>
      <c r="CD39" s="724"/>
      <c r="CE39" s="724"/>
      <c r="CF39" s="724"/>
      <c r="CG39" s="724"/>
      <c r="CH39" s="724"/>
      <c r="CI39" s="724"/>
      <c r="CJ39" s="724"/>
      <c r="CK39" s="724"/>
      <c r="CL39" s="724"/>
      <c r="CM39" s="724"/>
      <c r="CN39" s="724"/>
      <c r="CO39" s="724"/>
      <c r="CP39" s="724"/>
      <c r="CQ39" s="724"/>
      <c r="CR39" s="724"/>
    </row>
    <row r="40" s="650" customFormat="1" ht="31" customHeight="1" spans="1:108">
      <c r="A40" s="713">
        <v>46081</v>
      </c>
      <c r="B40" s="714" t="s">
        <v>114</v>
      </c>
      <c r="C40" s="715" t="s">
        <v>115</v>
      </c>
      <c r="D40" s="652">
        <v>4500194701</v>
      </c>
      <c r="E40" s="715" t="s">
        <v>4092</v>
      </c>
      <c r="F40" s="652" t="s">
        <v>4093</v>
      </c>
      <c r="G40" s="716" t="s">
        <v>3980</v>
      </c>
      <c r="H40" s="715" t="s">
        <v>3978</v>
      </c>
      <c r="I40" s="717">
        <v>13000</v>
      </c>
      <c r="J40" s="715">
        <v>0</v>
      </c>
      <c r="K40" s="715">
        <v>8</v>
      </c>
      <c r="L40" s="718">
        <f t="shared" si="1"/>
        <v>1625</v>
      </c>
      <c r="M40" s="719">
        <v>46127</v>
      </c>
      <c r="N40" s="719">
        <v>46127</v>
      </c>
      <c r="O40" s="714"/>
      <c r="P40" s="717" t="s">
        <v>106</v>
      </c>
      <c r="Q40" s="717" t="s">
        <v>4094</v>
      </c>
      <c r="R40" s="723" t="s">
        <v>4095</v>
      </c>
      <c r="S40" s="720" t="s">
        <v>107</v>
      </c>
      <c r="T40" s="720" t="s">
        <v>229</v>
      </c>
      <c r="U40" s="720"/>
      <c r="V40" s="720" t="s">
        <v>4056</v>
      </c>
      <c r="W40" s="720"/>
      <c r="X40" s="720" t="s">
        <v>4096</v>
      </c>
      <c r="Y40" s="719" t="s">
        <v>123</v>
      </c>
      <c r="Z40" s="715">
        <v>2.88</v>
      </c>
      <c r="AA40" s="715">
        <f>Z40*I40</f>
        <v>37440</v>
      </c>
      <c r="AB40" s="729" t="s">
        <v>4097</v>
      </c>
      <c r="AC40" s="722" t="s">
        <v>3980</v>
      </c>
      <c r="AD40" s="715" t="s">
        <v>112</v>
      </c>
      <c r="AE40" s="715">
        <f t="shared" si="3"/>
        <v>13000</v>
      </c>
      <c r="AF40" s="715"/>
      <c r="AG40" s="715">
        <f>5856+7144</f>
        <v>13000</v>
      </c>
      <c r="AH40" s="715">
        <f t="shared" si="7"/>
        <v>0</v>
      </c>
      <c r="AI40" s="717"/>
      <c r="AJ40" s="715" t="s">
        <v>3981</v>
      </c>
      <c r="AK40" s="652">
        <f t="shared" si="5"/>
        <v>13000</v>
      </c>
      <c r="AL40" s="652"/>
      <c r="AM40" s="652"/>
      <c r="AN40" s="652">
        <f t="shared" si="6"/>
        <v>13000</v>
      </c>
      <c r="AO40" s="652"/>
      <c r="AP40" s="652"/>
      <c r="AQ40" s="652"/>
      <c r="AR40" s="652"/>
      <c r="AS40" s="652"/>
      <c r="AT40" s="652">
        <f>I40/8</f>
        <v>1625</v>
      </c>
      <c r="AU40" s="652"/>
      <c r="AV40" s="652"/>
      <c r="AW40" s="652"/>
      <c r="AX40" s="652"/>
      <c r="AY40" s="652"/>
      <c r="AZ40" s="652"/>
      <c r="BA40" s="652"/>
      <c r="BB40" s="652"/>
      <c r="BC40" s="652"/>
      <c r="BD40" s="652"/>
      <c r="BE40" s="652"/>
      <c r="BF40" s="652"/>
      <c r="BG40" s="652"/>
      <c r="BH40" s="652"/>
      <c r="BI40" s="652"/>
      <c r="BJ40" s="724"/>
      <c r="BK40" s="724"/>
      <c r="BL40" s="724"/>
      <c r="BM40" s="724"/>
      <c r="BN40" s="724"/>
      <c r="BO40" s="724"/>
      <c r="BP40" s="724"/>
      <c r="BQ40" s="724"/>
      <c r="BR40" s="724"/>
      <c r="BS40" s="724"/>
      <c r="BT40" s="724"/>
      <c r="BU40" s="724"/>
      <c r="BV40" s="724"/>
      <c r="BW40" s="724"/>
      <c r="BX40" s="724"/>
      <c r="BY40" s="724"/>
      <c r="BZ40" s="724"/>
      <c r="CA40" s="724"/>
      <c r="CB40" s="724"/>
      <c r="CC40" s="724"/>
      <c r="CD40" s="724"/>
      <c r="CE40" s="724"/>
      <c r="CF40" s="724"/>
      <c r="CG40" s="724"/>
      <c r="CH40" s="724"/>
      <c r="CI40" s="724"/>
      <c r="CJ40" s="724"/>
      <c r="CK40" s="724"/>
      <c r="CL40" s="724"/>
      <c r="CM40" s="724"/>
      <c r="CN40" s="724"/>
      <c r="CO40" s="724"/>
      <c r="CP40" s="724"/>
      <c r="CQ40" s="724"/>
      <c r="CR40" s="724"/>
    </row>
    <row r="41" s="650" customFormat="1" ht="31" customHeight="1" spans="1:108">
      <c r="A41" s="713">
        <v>46114</v>
      </c>
      <c r="B41" s="714"/>
      <c r="C41" s="715"/>
      <c r="D41" s="652" t="s">
        <v>4098</v>
      </c>
      <c r="E41" s="715"/>
      <c r="F41" s="652" t="s">
        <v>4099</v>
      </c>
      <c r="G41" s="716" t="s">
        <v>3968</v>
      </c>
      <c r="H41" s="715" t="s">
        <v>3969</v>
      </c>
      <c r="I41" s="717">
        <v>1666</v>
      </c>
      <c r="J41" s="715">
        <v>0</v>
      </c>
      <c r="K41" s="715">
        <v>16</v>
      </c>
      <c r="L41" s="718">
        <f t="shared" si="1"/>
        <v>104.125</v>
      </c>
      <c r="M41" s="719">
        <v>46129</v>
      </c>
      <c r="N41" s="719">
        <f>M41-4</f>
        <v>46125</v>
      </c>
      <c r="O41" s="714"/>
      <c r="P41" s="717" t="s">
        <v>106</v>
      </c>
      <c r="Q41" s="717"/>
      <c r="R41" s="723">
        <v>46114</v>
      </c>
      <c r="S41" s="720" t="s">
        <v>95</v>
      </c>
      <c r="T41" s="720" t="s">
        <v>95</v>
      </c>
      <c r="U41" s="720"/>
      <c r="V41" s="720"/>
      <c r="W41" s="720"/>
      <c r="X41" s="720" t="s">
        <v>4100</v>
      </c>
      <c r="Y41" s="719" t="s">
        <v>272</v>
      </c>
      <c r="Z41" s="715"/>
      <c r="AA41" s="715"/>
      <c r="AB41" s="721"/>
      <c r="AC41" s="716" t="s">
        <v>3968</v>
      </c>
      <c r="AD41" s="715" t="s">
        <v>112</v>
      </c>
      <c r="AE41" s="715">
        <f t="shared" si="3"/>
        <v>1666</v>
      </c>
      <c r="AF41" s="715"/>
      <c r="AG41" s="715">
        <v>1666</v>
      </c>
      <c r="AH41" s="715">
        <f t="shared" si="7"/>
        <v>0</v>
      </c>
      <c r="AI41" s="717" t="s">
        <v>95</v>
      </c>
      <c r="AJ41" s="715" t="s">
        <v>3981</v>
      </c>
      <c r="AK41" s="652">
        <f t="shared" si="5"/>
        <v>1666</v>
      </c>
      <c r="AL41" s="652"/>
      <c r="AM41" s="652"/>
      <c r="AN41" s="652">
        <f t="shared" si="6"/>
        <v>1666</v>
      </c>
      <c r="AO41" s="652"/>
      <c r="AP41" s="652"/>
      <c r="AQ41" s="652"/>
      <c r="AR41" s="652"/>
      <c r="AS41" s="652"/>
      <c r="AT41" s="652"/>
      <c r="AU41" s="652"/>
      <c r="AV41" s="652"/>
      <c r="AW41" s="652"/>
      <c r="AX41" s="652"/>
      <c r="AY41" s="652"/>
      <c r="AZ41" s="652"/>
      <c r="BA41" s="652"/>
      <c r="BB41" s="652"/>
      <c r="BC41" s="652"/>
      <c r="BD41" s="652"/>
      <c r="BE41" s="652"/>
      <c r="BF41" s="652"/>
      <c r="BG41" s="652"/>
      <c r="BH41" s="652"/>
      <c r="BI41" s="652"/>
      <c r="BJ41" s="724"/>
      <c r="BK41" s="724"/>
      <c r="BL41" s="724"/>
      <c r="BM41" s="724"/>
      <c r="BN41" s="724"/>
      <c r="BO41" s="724"/>
      <c r="BP41" s="724"/>
      <c r="BQ41" s="724"/>
      <c r="BR41" s="724"/>
      <c r="BS41" s="724"/>
      <c r="BT41" s="724"/>
      <c r="BU41" s="724"/>
      <c r="BV41" s="724"/>
      <c r="BW41" s="724"/>
      <c r="BX41" s="724"/>
      <c r="BY41" s="724"/>
      <c r="BZ41" s="724"/>
      <c r="CA41" s="724"/>
      <c r="CB41" s="724"/>
      <c r="CC41" s="724"/>
      <c r="CD41" s="724"/>
      <c r="CE41" s="724"/>
      <c r="CF41" s="724"/>
      <c r="CG41" s="724"/>
      <c r="CH41" s="724"/>
      <c r="CI41" s="724"/>
      <c r="CJ41" s="724"/>
      <c r="CK41" s="724"/>
      <c r="CL41" s="724"/>
      <c r="CM41" s="724"/>
      <c r="CN41" s="724"/>
      <c r="CO41" s="724"/>
      <c r="CP41" s="724"/>
      <c r="CQ41" s="724"/>
      <c r="CR41" s="724"/>
    </row>
    <row r="42" s="650" customFormat="1" ht="31" customHeight="1" spans="1:108">
      <c r="A42" s="713">
        <v>46045</v>
      </c>
      <c r="B42" s="714" t="s">
        <v>172</v>
      </c>
      <c r="C42" s="715" t="s">
        <v>115</v>
      </c>
      <c r="D42" s="652">
        <v>4500192217</v>
      </c>
      <c r="E42" s="715" t="s">
        <v>4101</v>
      </c>
      <c r="F42" s="652" t="s">
        <v>4102</v>
      </c>
      <c r="G42" s="716" t="s">
        <v>3973</v>
      </c>
      <c r="H42" s="715" t="s">
        <v>3995</v>
      </c>
      <c r="I42" s="717">
        <v>400</v>
      </c>
      <c r="J42" s="715">
        <v>0</v>
      </c>
      <c r="K42" s="715">
        <v>16</v>
      </c>
      <c r="L42" s="718">
        <f t="shared" si="1"/>
        <v>25</v>
      </c>
      <c r="M42" s="719">
        <v>46129</v>
      </c>
      <c r="N42" s="719">
        <v>46125</v>
      </c>
      <c r="O42" s="714"/>
      <c r="P42" s="717" t="s">
        <v>106</v>
      </c>
      <c r="Q42" s="717" t="s">
        <v>4103</v>
      </c>
      <c r="R42" s="723">
        <v>46092</v>
      </c>
      <c r="S42" s="720" t="s">
        <v>107</v>
      </c>
      <c r="T42" s="720" t="s">
        <v>95</v>
      </c>
      <c r="U42" s="720"/>
      <c r="V42" s="720"/>
      <c r="W42" s="720"/>
      <c r="X42" s="720" t="s">
        <v>177</v>
      </c>
      <c r="Y42" s="719" t="s">
        <v>178</v>
      </c>
      <c r="Z42" s="715">
        <v>2.613</v>
      </c>
      <c r="AA42" s="715">
        <f>I42*Z42</f>
        <v>1045.2</v>
      </c>
      <c r="AB42" s="729" t="s">
        <v>4104</v>
      </c>
      <c r="AC42" s="652" t="s">
        <v>3973</v>
      </c>
      <c r="AD42" s="715" t="s">
        <v>112</v>
      </c>
      <c r="AE42" s="715">
        <f t="shared" si="3"/>
        <v>400</v>
      </c>
      <c r="AF42" s="715" t="s">
        <v>4105</v>
      </c>
      <c r="AG42" s="715">
        <v>400</v>
      </c>
      <c r="AH42" s="715">
        <f t="shared" si="7"/>
        <v>0</v>
      </c>
      <c r="AI42" s="717" t="s">
        <v>95</v>
      </c>
      <c r="AJ42" s="715" t="s">
        <v>3981</v>
      </c>
      <c r="AK42" s="652">
        <f t="shared" si="5"/>
        <v>400</v>
      </c>
      <c r="AL42" s="652"/>
      <c r="AM42" s="652"/>
      <c r="AN42" s="652">
        <f t="shared" si="6"/>
        <v>400</v>
      </c>
      <c r="AO42" s="652"/>
      <c r="AP42" s="652"/>
      <c r="AQ42" s="652"/>
      <c r="AR42" s="652"/>
      <c r="AS42" s="652"/>
      <c r="AT42" s="652">
        <f>I42/8</f>
        <v>50</v>
      </c>
      <c r="AU42" s="652"/>
      <c r="AV42" s="652"/>
      <c r="AW42" s="652"/>
      <c r="AX42" s="652"/>
      <c r="AY42" s="652"/>
      <c r="AZ42" s="652"/>
      <c r="BA42" s="652"/>
      <c r="BB42" s="652"/>
      <c r="BC42" s="652"/>
      <c r="BD42" s="652"/>
      <c r="BE42" s="652"/>
      <c r="BF42" s="652"/>
      <c r="BG42" s="652"/>
      <c r="BH42" s="652"/>
      <c r="BI42" s="726"/>
      <c r="BJ42" s="724"/>
      <c r="BK42" s="724"/>
      <c r="BL42" s="724"/>
      <c r="BM42" s="724"/>
      <c r="BN42" s="724"/>
      <c r="BO42" s="724"/>
      <c r="BP42" s="724"/>
      <c r="BQ42" s="724"/>
      <c r="BR42" s="724"/>
      <c r="BS42" s="724"/>
      <c r="BT42" s="724"/>
      <c r="BU42" s="724"/>
      <c r="BV42" s="724"/>
      <c r="BW42" s="724"/>
      <c r="BX42" s="724"/>
      <c r="BY42" s="724"/>
      <c r="BZ42" s="724"/>
      <c r="CA42" s="724"/>
      <c r="CB42" s="724"/>
      <c r="CC42" s="724"/>
      <c r="CD42" s="724"/>
      <c r="CE42" s="724"/>
      <c r="CF42" s="724"/>
      <c r="CG42" s="724"/>
      <c r="CH42" s="724"/>
      <c r="CI42" s="724"/>
      <c r="CJ42" s="724"/>
      <c r="CK42" s="724"/>
      <c r="CL42" s="724"/>
      <c r="CM42" s="724"/>
      <c r="CN42" s="724"/>
      <c r="CO42" s="724"/>
      <c r="CP42" s="724"/>
      <c r="CQ42" s="724"/>
      <c r="CR42" s="724"/>
    </row>
    <row r="43" s="650" customFormat="1" ht="31" customHeight="1" spans="1:108">
      <c r="A43" s="713">
        <v>46091</v>
      </c>
      <c r="B43" s="714" t="s">
        <v>163</v>
      </c>
      <c r="C43" s="715" t="s">
        <v>164</v>
      </c>
      <c r="D43" s="652">
        <v>4500196046</v>
      </c>
      <c r="E43" s="715">
        <v>4400549000</v>
      </c>
      <c r="F43" s="652" t="s">
        <v>4106</v>
      </c>
      <c r="G43" s="716" t="s">
        <v>3973</v>
      </c>
      <c r="H43" s="715" t="s">
        <v>3995</v>
      </c>
      <c r="I43" s="717">
        <v>912</v>
      </c>
      <c r="J43" s="715">
        <v>0</v>
      </c>
      <c r="K43" s="715">
        <v>16</v>
      </c>
      <c r="L43" s="718">
        <f t="shared" si="1"/>
        <v>57</v>
      </c>
      <c r="M43" s="719">
        <v>46132</v>
      </c>
      <c r="N43" s="719">
        <v>46128</v>
      </c>
      <c r="O43" s="714"/>
      <c r="P43" s="717" t="s">
        <v>106</v>
      </c>
      <c r="Q43" s="717"/>
      <c r="R43" s="723">
        <v>46097</v>
      </c>
      <c r="S43" s="720" t="s">
        <v>107</v>
      </c>
      <c r="T43" s="720" t="s">
        <v>153</v>
      </c>
      <c r="U43" s="720"/>
      <c r="V43" s="720" t="s">
        <v>4011</v>
      </c>
      <c r="W43" s="720"/>
      <c r="X43" s="720" t="s">
        <v>4107</v>
      </c>
      <c r="Y43" s="719" t="s">
        <v>142</v>
      </c>
      <c r="Z43" s="715">
        <v>4.355</v>
      </c>
      <c r="AA43" s="715">
        <f>I43*Z43</f>
        <v>3971.76</v>
      </c>
      <c r="AB43" s="721"/>
      <c r="AC43" s="652" t="s">
        <v>4108</v>
      </c>
      <c r="AD43" s="715" t="s">
        <v>112</v>
      </c>
      <c r="AE43" s="715">
        <f t="shared" si="3"/>
        <v>912</v>
      </c>
      <c r="AF43" s="715" t="s">
        <v>4109</v>
      </c>
      <c r="AG43" s="715">
        <v>912</v>
      </c>
      <c r="AH43" s="715">
        <f t="shared" si="7"/>
        <v>0</v>
      </c>
      <c r="AI43" s="717"/>
      <c r="AJ43" s="715" t="s">
        <v>3981</v>
      </c>
      <c r="AK43" s="652"/>
      <c r="AL43" s="652">
        <f>I43</f>
        <v>912</v>
      </c>
      <c r="AM43" s="652"/>
      <c r="AN43" s="652">
        <f t="shared" si="6"/>
        <v>912</v>
      </c>
      <c r="AO43" s="652"/>
      <c r="AP43" s="652"/>
      <c r="AQ43" s="652"/>
      <c r="AR43" s="652"/>
      <c r="AS43" s="652"/>
      <c r="AT43" s="652"/>
      <c r="AU43" s="652">
        <f>I43/8</f>
        <v>114</v>
      </c>
      <c r="AV43" s="652"/>
      <c r="AW43" s="652"/>
      <c r="AX43" s="652"/>
      <c r="AY43" s="652"/>
      <c r="AZ43" s="652"/>
      <c r="BA43" s="652"/>
      <c r="BB43" s="652"/>
      <c r="BC43" s="652"/>
      <c r="BD43" s="652"/>
      <c r="BE43" s="652"/>
      <c r="BF43" s="652"/>
      <c r="BG43" s="652"/>
      <c r="BH43" s="652"/>
      <c r="BI43" s="652"/>
      <c r="BJ43" s="724"/>
      <c r="BK43" s="724"/>
      <c r="BL43" s="724"/>
      <c r="BM43" s="724"/>
      <c r="BN43" s="724"/>
      <c r="BO43" s="724"/>
      <c r="BP43" s="724"/>
      <c r="BQ43" s="724"/>
      <c r="BR43" s="724"/>
      <c r="BS43" s="724"/>
      <c r="BT43" s="724"/>
      <c r="BU43" s="724"/>
      <c r="BV43" s="724"/>
      <c r="BW43" s="724"/>
      <c r="BX43" s="724"/>
      <c r="BY43" s="724"/>
      <c r="BZ43" s="724"/>
      <c r="CA43" s="724"/>
      <c r="CB43" s="724"/>
      <c r="CC43" s="724"/>
      <c r="CD43" s="724"/>
      <c r="CE43" s="724"/>
      <c r="CF43" s="724"/>
      <c r="CG43" s="724"/>
      <c r="CH43" s="724"/>
      <c r="CI43" s="724"/>
      <c r="CJ43" s="724"/>
      <c r="CK43" s="724"/>
      <c r="CL43" s="724"/>
      <c r="CM43" s="724"/>
      <c r="CN43" s="724"/>
      <c r="CO43" s="724"/>
      <c r="CP43" s="724"/>
      <c r="CQ43" s="724"/>
      <c r="CR43" s="724"/>
    </row>
    <row r="44" s="650" customFormat="1" ht="31" customHeight="1" spans="1:108">
      <c r="A44" s="713">
        <v>46066</v>
      </c>
      <c r="B44" s="714" t="s">
        <v>191</v>
      </c>
      <c r="C44" s="715" t="s">
        <v>164</v>
      </c>
      <c r="D44" s="652">
        <v>4500193875</v>
      </c>
      <c r="E44" s="715">
        <v>5200008771</v>
      </c>
      <c r="F44" s="652" t="s">
        <v>4110</v>
      </c>
      <c r="G44" s="716" t="s">
        <v>4028</v>
      </c>
      <c r="H44" s="715" t="s">
        <v>3978</v>
      </c>
      <c r="I44" s="717">
        <v>3600</v>
      </c>
      <c r="J44" s="715">
        <v>0</v>
      </c>
      <c r="K44" s="715">
        <v>8</v>
      </c>
      <c r="L44" s="718">
        <f t="shared" si="1"/>
        <v>450</v>
      </c>
      <c r="M44" s="719">
        <v>46132</v>
      </c>
      <c r="N44" s="719">
        <v>46128</v>
      </c>
      <c r="O44" s="714"/>
      <c r="P44" s="717" t="s">
        <v>106</v>
      </c>
      <c r="Q44" s="717"/>
      <c r="R44" s="723">
        <v>46098</v>
      </c>
      <c r="S44" s="720" t="s">
        <v>107</v>
      </c>
      <c r="T44" s="720" t="s">
        <v>4111</v>
      </c>
      <c r="U44" s="720"/>
      <c r="V44" s="720" t="s">
        <v>4112</v>
      </c>
      <c r="W44" s="720"/>
      <c r="X44" s="720" t="s">
        <v>4113</v>
      </c>
      <c r="Y44" s="719" t="s">
        <v>337</v>
      </c>
      <c r="Z44" s="715">
        <v>5</v>
      </c>
      <c r="AA44" s="715">
        <f>I44*Z44</f>
        <v>18000</v>
      </c>
      <c r="AB44" s="721"/>
      <c r="AC44" s="722" t="s">
        <v>4031</v>
      </c>
      <c r="AD44" s="715" t="s">
        <v>112</v>
      </c>
      <c r="AE44" s="715">
        <f t="shared" si="3"/>
        <v>3600</v>
      </c>
      <c r="AF44" s="715" t="s">
        <v>4109</v>
      </c>
      <c r="AG44" s="715">
        <v>3600</v>
      </c>
      <c r="AH44" s="715">
        <f t="shared" si="7"/>
        <v>0</v>
      </c>
      <c r="AI44" s="717" t="s">
        <v>120</v>
      </c>
      <c r="AJ44" s="715" t="s">
        <v>3981</v>
      </c>
      <c r="AK44" s="652"/>
      <c r="AL44" s="652">
        <f>I44</f>
        <v>3600</v>
      </c>
      <c r="AM44" s="652"/>
      <c r="AN44" s="652">
        <f t="shared" si="6"/>
        <v>3600</v>
      </c>
      <c r="AO44" s="652"/>
      <c r="AP44" s="652"/>
      <c r="AQ44" s="652"/>
      <c r="AR44" s="652"/>
      <c r="AS44" s="652"/>
      <c r="AT44" s="652"/>
      <c r="AU44" s="652">
        <f>I44/8</f>
        <v>450</v>
      </c>
      <c r="AV44" s="652"/>
      <c r="AW44" s="652"/>
      <c r="AX44" s="652"/>
      <c r="AY44" s="652"/>
      <c r="AZ44" s="652"/>
      <c r="BA44" s="652"/>
      <c r="BB44" s="652"/>
      <c r="BC44" s="652"/>
      <c r="BD44" s="652"/>
      <c r="BE44" s="652"/>
      <c r="BF44" s="652"/>
      <c r="BG44" s="652"/>
      <c r="BH44" s="652"/>
      <c r="BI44" s="652"/>
      <c r="BJ44" s="724"/>
      <c r="BK44" s="724"/>
      <c r="BL44" s="724"/>
      <c r="BM44" s="724"/>
      <c r="BN44" s="724"/>
      <c r="BO44" s="724"/>
      <c r="BP44" s="724"/>
      <c r="BQ44" s="724"/>
      <c r="BR44" s="724"/>
      <c r="BS44" s="724"/>
      <c r="BT44" s="724"/>
      <c r="BU44" s="724"/>
      <c r="BV44" s="724"/>
      <c r="BW44" s="724"/>
      <c r="BX44" s="724"/>
      <c r="BY44" s="724"/>
      <c r="BZ44" s="724"/>
      <c r="CA44" s="724"/>
      <c r="CB44" s="724"/>
      <c r="CC44" s="724"/>
      <c r="CD44" s="724"/>
      <c r="CE44" s="724"/>
      <c r="CF44" s="724"/>
      <c r="CG44" s="724"/>
      <c r="CH44" s="724"/>
      <c r="CI44" s="724"/>
      <c r="CJ44" s="724"/>
      <c r="CK44" s="724"/>
      <c r="CL44" s="724"/>
      <c r="CM44" s="724"/>
      <c r="CN44" s="724"/>
      <c r="CO44" s="724"/>
      <c r="CP44" s="724"/>
      <c r="CQ44" s="724"/>
      <c r="CR44" s="724"/>
    </row>
    <row r="45" s="650" customFormat="1" ht="31" customHeight="1" spans="1:108">
      <c r="A45" s="713">
        <v>46078</v>
      </c>
      <c r="B45" s="714" t="s">
        <v>290</v>
      </c>
      <c r="C45" s="715" t="s">
        <v>291</v>
      </c>
      <c r="D45" s="652">
        <v>4500194136</v>
      </c>
      <c r="E45" s="715">
        <v>50212600321</v>
      </c>
      <c r="F45" s="652" t="s">
        <v>4114</v>
      </c>
      <c r="G45" s="716" t="s">
        <v>3980</v>
      </c>
      <c r="H45" s="715" t="s">
        <v>3978</v>
      </c>
      <c r="I45" s="717">
        <v>5520</v>
      </c>
      <c r="J45" s="715">
        <v>0</v>
      </c>
      <c r="K45" s="715">
        <v>8</v>
      </c>
      <c r="L45" s="718">
        <f t="shared" si="1"/>
        <v>690</v>
      </c>
      <c r="M45" s="719">
        <v>46132</v>
      </c>
      <c r="N45" s="719">
        <v>46128</v>
      </c>
      <c r="O45" s="714" t="s">
        <v>1228</v>
      </c>
      <c r="P45" s="717" t="s">
        <v>106</v>
      </c>
      <c r="Q45" s="717"/>
      <c r="R45" s="723" t="s">
        <v>4115</v>
      </c>
      <c r="S45" s="720" t="s">
        <v>107</v>
      </c>
      <c r="T45" s="720" t="s">
        <v>4116</v>
      </c>
      <c r="U45" s="720"/>
      <c r="V45" s="720"/>
      <c r="W45" s="720"/>
      <c r="X45" s="720" t="s">
        <v>4117</v>
      </c>
      <c r="Y45" s="719" t="s">
        <v>295</v>
      </c>
      <c r="Z45" s="715">
        <v>5</v>
      </c>
      <c r="AA45" s="715">
        <f>Z45*I45</f>
        <v>27600</v>
      </c>
      <c r="AB45" s="721"/>
      <c r="AC45" s="722" t="s">
        <v>3980</v>
      </c>
      <c r="AD45" s="715" t="s">
        <v>4118</v>
      </c>
      <c r="AE45" s="715">
        <f t="shared" si="3"/>
        <v>5520</v>
      </c>
      <c r="AF45" s="715"/>
      <c r="AG45" s="715">
        <v>5520</v>
      </c>
      <c r="AH45" s="715">
        <f t="shared" si="7"/>
        <v>0</v>
      </c>
      <c r="AI45" s="717" t="s">
        <v>120</v>
      </c>
      <c r="AJ45" s="715" t="s">
        <v>3981</v>
      </c>
      <c r="AK45" s="652">
        <f>I45</f>
        <v>5520</v>
      </c>
      <c r="AL45" s="652"/>
      <c r="AM45" s="652"/>
      <c r="AN45" s="652">
        <f t="shared" si="6"/>
        <v>5520</v>
      </c>
      <c r="AO45" s="652"/>
      <c r="AP45" s="652"/>
      <c r="AQ45" s="652"/>
      <c r="AR45" s="652"/>
      <c r="AS45" s="652"/>
      <c r="AT45" s="652">
        <f>I45/8</f>
        <v>690</v>
      </c>
      <c r="AU45" s="652"/>
      <c r="AV45" s="652"/>
      <c r="AW45" s="652"/>
      <c r="AX45" s="652"/>
      <c r="AY45" s="652"/>
      <c r="AZ45" s="652"/>
      <c r="BA45" s="652"/>
      <c r="BB45" s="652"/>
      <c r="BC45" s="652"/>
      <c r="BD45" s="652"/>
      <c r="BE45" s="652"/>
      <c r="BF45" s="652"/>
      <c r="BG45" s="652"/>
      <c r="BH45" s="652"/>
      <c r="BI45" s="652"/>
      <c r="BJ45" s="724"/>
      <c r="BK45" s="724"/>
      <c r="BL45" s="724"/>
      <c r="BM45" s="724"/>
      <c r="BN45" s="724"/>
      <c r="BO45" s="724"/>
      <c r="BP45" s="724"/>
      <c r="BQ45" s="724"/>
      <c r="BR45" s="724"/>
      <c r="BS45" s="724"/>
      <c r="BT45" s="724"/>
      <c r="BU45" s="724"/>
      <c r="BV45" s="724"/>
      <c r="BW45" s="724"/>
      <c r="BX45" s="724"/>
      <c r="BY45" s="724"/>
      <c r="BZ45" s="724"/>
      <c r="CA45" s="724"/>
      <c r="CB45" s="724"/>
      <c r="CC45" s="724"/>
      <c r="CD45" s="724"/>
      <c r="CE45" s="724"/>
      <c r="CF45" s="724"/>
      <c r="CG45" s="724"/>
      <c r="CH45" s="724"/>
      <c r="CI45" s="724"/>
      <c r="CJ45" s="724"/>
      <c r="CK45" s="724"/>
      <c r="CL45" s="724"/>
      <c r="CM45" s="724"/>
      <c r="CN45" s="724"/>
      <c r="CO45" s="724"/>
      <c r="CP45" s="724"/>
      <c r="CQ45" s="724"/>
      <c r="CR45" s="724"/>
    </row>
    <row r="46" s="650" customFormat="1" ht="31" customHeight="1" spans="1:108">
      <c r="A46" s="713">
        <v>46093</v>
      </c>
      <c r="B46" s="714" t="s">
        <v>338</v>
      </c>
      <c r="C46" s="715" t="s">
        <v>135</v>
      </c>
      <c r="D46" s="652">
        <v>4500196425</v>
      </c>
      <c r="E46" s="715" t="s">
        <v>4119</v>
      </c>
      <c r="F46" s="652" t="s">
        <v>4120</v>
      </c>
      <c r="G46" s="716" t="s">
        <v>3973</v>
      </c>
      <c r="H46" s="715" t="s">
        <v>3995</v>
      </c>
      <c r="I46" s="717">
        <v>6000</v>
      </c>
      <c r="J46" s="715">
        <v>0</v>
      </c>
      <c r="K46" s="715">
        <v>16</v>
      </c>
      <c r="L46" s="718">
        <f t="shared" si="1"/>
        <v>375</v>
      </c>
      <c r="M46" s="719">
        <v>46132</v>
      </c>
      <c r="N46" s="719">
        <v>46128</v>
      </c>
      <c r="O46" s="714"/>
      <c r="P46" s="717" t="s">
        <v>106</v>
      </c>
      <c r="Q46" s="717" t="s">
        <v>4121</v>
      </c>
      <c r="R46" s="723">
        <v>46099</v>
      </c>
      <c r="S46" s="720" t="s">
        <v>107</v>
      </c>
      <c r="T46" s="720" t="s">
        <v>4122</v>
      </c>
      <c r="U46" s="720"/>
      <c r="V46" s="720"/>
      <c r="W46" s="720"/>
      <c r="X46" s="720" t="s">
        <v>4123</v>
      </c>
      <c r="Y46" s="719" t="s">
        <v>343</v>
      </c>
      <c r="Z46" s="715">
        <v>4.355</v>
      </c>
      <c r="AA46" s="715">
        <f>I46*Z46</f>
        <v>26130</v>
      </c>
      <c r="AB46" s="721"/>
      <c r="AC46" s="652" t="s">
        <v>3973</v>
      </c>
      <c r="AD46" s="715" t="s">
        <v>112</v>
      </c>
      <c r="AE46" s="715">
        <f t="shared" si="3"/>
        <v>6000</v>
      </c>
      <c r="AF46" s="715" t="s">
        <v>4109</v>
      </c>
      <c r="AG46" s="715">
        <f>16+5984</f>
        <v>6000</v>
      </c>
      <c r="AH46" s="715">
        <f t="shared" si="7"/>
        <v>0</v>
      </c>
      <c r="AI46" s="717" t="s">
        <v>120</v>
      </c>
      <c r="AJ46" s="715" t="s">
        <v>3981</v>
      </c>
      <c r="AK46" s="652">
        <f>I46</f>
        <v>6000</v>
      </c>
      <c r="AL46" s="652"/>
      <c r="AM46" s="652"/>
      <c r="AN46" s="652">
        <f t="shared" si="6"/>
        <v>6000</v>
      </c>
      <c r="AO46" s="652"/>
      <c r="AP46" s="652"/>
      <c r="AQ46" s="652"/>
      <c r="AR46" s="652"/>
      <c r="AS46" s="652"/>
      <c r="AT46" s="652">
        <f>I46/8</f>
        <v>750</v>
      </c>
      <c r="AU46" s="652"/>
      <c r="AV46" s="652"/>
      <c r="AW46" s="652"/>
      <c r="AX46" s="652"/>
      <c r="AY46" s="652"/>
      <c r="AZ46" s="652"/>
      <c r="BA46" s="652"/>
      <c r="BB46" s="652"/>
      <c r="BC46" s="652"/>
      <c r="BD46" s="652"/>
      <c r="BE46" s="652"/>
      <c r="BF46" s="652"/>
      <c r="BG46" s="652"/>
      <c r="BH46" s="652"/>
      <c r="BI46" s="652"/>
      <c r="BJ46" s="724"/>
      <c r="BK46" s="724"/>
      <c r="BL46" s="724"/>
      <c r="BM46" s="724"/>
      <c r="BN46" s="724"/>
      <c r="BO46" s="724"/>
      <c r="BP46" s="724"/>
      <c r="BQ46" s="724"/>
      <c r="BR46" s="724"/>
      <c r="BS46" s="724"/>
      <c r="BT46" s="724"/>
      <c r="BU46" s="724"/>
      <c r="BV46" s="724"/>
      <c r="BW46" s="724"/>
      <c r="BX46" s="724"/>
      <c r="BY46" s="724"/>
      <c r="BZ46" s="724"/>
      <c r="CA46" s="724"/>
      <c r="CB46" s="724"/>
      <c r="CC46" s="724"/>
      <c r="CD46" s="724"/>
      <c r="CE46" s="724"/>
      <c r="CF46" s="724"/>
      <c r="CG46" s="724"/>
      <c r="CH46" s="724"/>
      <c r="CI46" s="724"/>
      <c r="CJ46" s="724"/>
      <c r="CK46" s="724"/>
      <c r="CL46" s="724"/>
      <c r="CM46" s="724"/>
      <c r="CN46" s="724"/>
      <c r="CO46" s="724"/>
      <c r="CP46" s="724"/>
      <c r="CQ46" s="724"/>
      <c r="CR46" s="724"/>
    </row>
    <row r="47" s="650" customFormat="1" ht="31" customHeight="1" spans="1:108">
      <c r="A47" s="713">
        <v>46093</v>
      </c>
      <c r="B47" s="714" t="s">
        <v>338</v>
      </c>
      <c r="C47" s="715" t="s">
        <v>135</v>
      </c>
      <c r="D47" s="652">
        <v>4500196425</v>
      </c>
      <c r="E47" s="715" t="s">
        <v>4124</v>
      </c>
      <c r="F47" s="652" t="s">
        <v>4125</v>
      </c>
      <c r="G47" s="716" t="s">
        <v>3973</v>
      </c>
      <c r="H47" s="715" t="s">
        <v>3995</v>
      </c>
      <c r="I47" s="717">
        <v>6000</v>
      </c>
      <c r="J47" s="715">
        <v>0</v>
      </c>
      <c r="K47" s="715">
        <v>16</v>
      </c>
      <c r="L47" s="718">
        <f t="shared" si="1"/>
        <v>375</v>
      </c>
      <c r="M47" s="719">
        <v>46132</v>
      </c>
      <c r="N47" s="719">
        <v>46128</v>
      </c>
      <c r="O47" s="714"/>
      <c r="P47" s="717" t="s">
        <v>106</v>
      </c>
      <c r="Q47" s="717" t="s">
        <v>4121</v>
      </c>
      <c r="R47" s="723">
        <v>46099</v>
      </c>
      <c r="S47" s="720" t="s">
        <v>107</v>
      </c>
      <c r="T47" s="720" t="s">
        <v>4122</v>
      </c>
      <c r="U47" s="720"/>
      <c r="V47" s="720"/>
      <c r="W47" s="720"/>
      <c r="X47" s="720" t="s">
        <v>4123</v>
      </c>
      <c r="Y47" s="719" t="s">
        <v>343</v>
      </c>
      <c r="Z47" s="715">
        <v>4.355</v>
      </c>
      <c r="AA47" s="715">
        <f>I47*Z47</f>
        <v>26130</v>
      </c>
      <c r="AB47" s="721"/>
      <c r="AC47" s="652" t="s">
        <v>3973</v>
      </c>
      <c r="AD47" s="715" t="s">
        <v>112</v>
      </c>
      <c r="AE47" s="715">
        <f t="shared" si="3"/>
        <v>6000</v>
      </c>
      <c r="AF47" s="715" t="s">
        <v>4109</v>
      </c>
      <c r="AG47" s="715">
        <v>6000</v>
      </c>
      <c r="AH47" s="715">
        <f t="shared" si="7"/>
        <v>0</v>
      </c>
      <c r="AI47" s="717" t="s">
        <v>120</v>
      </c>
      <c r="AJ47" s="715" t="s">
        <v>3981</v>
      </c>
      <c r="AK47" s="652">
        <f>I47</f>
        <v>6000</v>
      </c>
      <c r="AL47" s="652"/>
      <c r="AM47" s="652"/>
      <c r="AN47" s="652">
        <f t="shared" si="6"/>
        <v>6000</v>
      </c>
      <c r="AO47" s="652"/>
      <c r="AP47" s="652"/>
      <c r="AQ47" s="652"/>
      <c r="AR47" s="652"/>
      <c r="AS47" s="652"/>
      <c r="AT47" s="652">
        <f>I47/8</f>
        <v>750</v>
      </c>
      <c r="AU47" s="652"/>
      <c r="AV47" s="652"/>
      <c r="AW47" s="652"/>
      <c r="AX47" s="652"/>
      <c r="AY47" s="652"/>
      <c r="AZ47" s="652"/>
      <c r="BA47" s="652"/>
      <c r="BB47" s="652"/>
      <c r="BC47" s="652"/>
      <c r="BD47" s="652"/>
      <c r="BE47" s="652"/>
      <c r="BF47" s="652"/>
      <c r="BG47" s="652"/>
      <c r="BH47" s="652"/>
      <c r="BI47" s="652"/>
      <c r="BJ47" s="724"/>
      <c r="BK47" s="724"/>
      <c r="BL47" s="724"/>
      <c r="BM47" s="724"/>
      <c r="BN47" s="724"/>
      <c r="BO47" s="724"/>
      <c r="BP47" s="724"/>
      <c r="BQ47" s="724"/>
      <c r="BR47" s="724"/>
      <c r="BS47" s="724"/>
      <c r="BT47" s="724"/>
      <c r="BU47" s="724"/>
      <c r="BV47" s="724"/>
      <c r="BW47" s="724"/>
      <c r="BX47" s="724"/>
      <c r="BY47" s="724"/>
      <c r="BZ47" s="724"/>
      <c r="CA47" s="724"/>
      <c r="CB47" s="724"/>
      <c r="CC47" s="724"/>
      <c r="CD47" s="724"/>
      <c r="CE47" s="724"/>
      <c r="CF47" s="724"/>
      <c r="CG47" s="724"/>
      <c r="CH47" s="724"/>
      <c r="CI47" s="724"/>
      <c r="CJ47" s="724"/>
      <c r="CK47" s="724"/>
      <c r="CL47" s="724"/>
      <c r="CM47" s="724"/>
      <c r="CN47" s="724"/>
      <c r="CO47" s="724"/>
      <c r="CP47" s="724"/>
      <c r="CQ47" s="724"/>
      <c r="CR47" s="724"/>
    </row>
    <row r="48" s="650" customFormat="1" ht="31" customHeight="1" spans="1:108">
      <c r="A48" s="713">
        <v>46079</v>
      </c>
      <c r="B48" s="714" t="s">
        <v>114</v>
      </c>
      <c r="C48" s="715" t="s">
        <v>115</v>
      </c>
      <c r="D48" s="652">
        <v>4500194297</v>
      </c>
      <c r="E48" s="715" t="s">
        <v>315</v>
      </c>
      <c r="F48" s="652" t="s">
        <v>4126</v>
      </c>
      <c r="G48" s="716" t="s">
        <v>3980</v>
      </c>
      <c r="H48" s="715" t="s">
        <v>3978</v>
      </c>
      <c r="I48" s="717">
        <v>9416</v>
      </c>
      <c r="J48" s="715">
        <v>0</v>
      </c>
      <c r="K48" s="715">
        <v>8</v>
      </c>
      <c r="L48" s="718">
        <f t="shared" si="1"/>
        <v>1177</v>
      </c>
      <c r="M48" s="719">
        <v>46132</v>
      </c>
      <c r="N48" s="719">
        <v>46128</v>
      </c>
      <c r="O48" s="714"/>
      <c r="P48" s="717" t="s">
        <v>106</v>
      </c>
      <c r="Q48" s="717"/>
      <c r="R48" s="723" t="s">
        <v>4115</v>
      </c>
      <c r="S48" s="720" t="s">
        <v>107</v>
      </c>
      <c r="T48" s="720" t="s">
        <v>4127</v>
      </c>
      <c r="U48" s="720"/>
      <c r="V48" s="720" t="s">
        <v>4056</v>
      </c>
      <c r="W48" s="720"/>
      <c r="X48" s="720" t="s">
        <v>4128</v>
      </c>
      <c r="Y48" s="719" t="s">
        <v>123</v>
      </c>
      <c r="Z48" s="715">
        <v>2.88</v>
      </c>
      <c r="AA48" s="715">
        <f>Z48*I48</f>
        <v>27118.08</v>
      </c>
      <c r="AB48" s="729" t="s">
        <v>318</v>
      </c>
      <c r="AC48" s="722" t="s">
        <v>3980</v>
      </c>
      <c r="AD48" s="715" t="s">
        <v>112</v>
      </c>
      <c r="AE48" s="715">
        <f t="shared" si="3"/>
        <v>9416</v>
      </c>
      <c r="AF48" s="715" t="s">
        <v>4109</v>
      </c>
      <c r="AG48" s="715">
        <f>5632+3784</f>
        <v>9416</v>
      </c>
      <c r="AH48" s="715">
        <f t="shared" si="7"/>
        <v>0</v>
      </c>
      <c r="AI48" s="717"/>
      <c r="AJ48" s="715" t="s">
        <v>3981</v>
      </c>
      <c r="AK48" s="652">
        <f>I48</f>
        <v>9416</v>
      </c>
      <c r="AL48" s="652"/>
      <c r="AM48" s="652"/>
      <c r="AN48" s="652">
        <f t="shared" si="6"/>
        <v>9416</v>
      </c>
      <c r="AO48" s="652"/>
      <c r="AP48" s="652"/>
      <c r="AQ48" s="652"/>
      <c r="AR48" s="652"/>
      <c r="AS48" s="652"/>
      <c r="AT48" s="652">
        <f>I48/8</f>
        <v>1177</v>
      </c>
      <c r="AU48" s="652"/>
      <c r="AV48" s="652"/>
      <c r="AW48" s="652"/>
      <c r="AX48" s="652"/>
      <c r="AY48" s="652"/>
      <c r="AZ48" s="652"/>
      <c r="BA48" s="652"/>
      <c r="BB48" s="652"/>
      <c r="BC48" s="652"/>
      <c r="BD48" s="652"/>
      <c r="BE48" s="652"/>
      <c r="BF48" s="652"/>
      <c r="BG48" s="652"/>
      <c r="BH48" s="652"/>
      <c r="BI48" s="652"/>
      <c r="BJ48" s="724"/>
      <c r="BK48" s="724"/>
      <c r="BL48" s="724"/>
      <c r="BM48" s="724"/>
      <c r="BN48" s="724"/>
      <c r="BO48" s="724"/>
      <c r="BP48" s="724"/>
      <c r="BQ48" s="724"/>
      <c r="BR48" s="724"/>
      <c r="BS48" s="724"/>
      <c r="BT48" s="724"/>
      <c r="BU48" s="724"/>
      <c r="BV48" s="724"/>
      <c r="BW48" s="724"/>
      <c r="BX48" s="724"/>
      <c r="BY48" s="724"/>
      <c r="BZ48" s="724"/>
      <c r="CA48" s="724"/>
      <c r="CB48" s="724"/>
      <c r="CC48" s="724"/>
      <c r="CD48" s="724"/>
      <c r="CE48" s="724"/>
      <c r="CF48" s="724"/>
      <c r="CG48" s="724"/>
      <c r="CH48" s="724"/>
      <c r="CI48" s="724"/>
      <c r="CJ48" s="724"/>
      <c r="CK48" s="724"/>
      <c r="CL48" s="724"/>
      <c r="CM48" s="724"/>
      <c r="CN48" s="724"/>
      <c r="CO48" s="724"/>
      <c r="CP48" s="724"/>
      <c r="CQ48" s="724"/>
      <c r="CR48" s="724"/>
    </row>
    <row r="49" s="651" customFormat="1" ht="31" customHeight="1" spans="1:96">
      <c r="A49" s="713">
        <v>46050</v>
      </c>
      <c r="B49" s="714" t="s">
        <v>114</v>
      </c>
      <c r="C49" s="715" t="s">
        <v>115</v>
      </c>
      <c r="D49" s="652">
        <v>4500192440</v>
      </c>
      <c r="E49" s="715" t="s">
        <v>4129</v>
      </c>
      <c r="F49" s="652" t="s">
        <v>4130</v>
      </c>
      <c r="G49" s="716" t="s">
        <v>3965</v>
      </c>
      <c r="H49" s="715" t="s">
        <v>4038</v>
      </c>
      <c r="I49" s="717">
        <v>1070</v>
      </c>
      <c r="J49" s="715">
        <v>0</v>
      </c>
      <c r="K49" s="715">
        <v>1</v>
      </c>
      <c r="L49" s="718">
        <f t="shared" si="1"/>
        <v>1070</v>
      </c>
      <c r="M49" s="719">
        <v>46132</v>
      </c>
      <c r="N49" s="719">
        <v>46128</v>
      </c>
      <c r="O49" s="714"/>
      <c r="P49" s="717" t="s">
        <v>106</v>
      </c>
      <c r="Q49" s="717"/>
      <c r="R49" s="723">
        <v>46059</v>
      </c>
      <c r="S49" s="720" t="s">
        <v>107</v>
      </c>
      <c r="T49" s="720">
        <v>46056</v>
      </c>
      <c r="U49" s="720"/>
      <c r="V49" s="720" t="s">
        <v>4056</v>
      </c>
      <c r="W49" s="720"/>
      <c r="X49" s="720" t="s">
        <v>4039</v>
      </c>
      <c r="Y49" s="719" t="s">
        <v>123</v>
      </c>
      <c r="Z49" s="715">
        <v>12</v>
      </c>
      <c r="AA49" s="715">
        <f>I49*Z49</f>
        <v>12840</v>
      </c>
      <c r="AB49" s="729" t="s">
        <v>4131</v>
      </c>
      <c r="AC49" s="722" t="s">
        <v>3965</v>
      </c>
      <c r="AD49" s="715" t="s">
        <v>112</v>
      </c>
      <c r="AE49" s="715">
        <f t="shared" si="3"/>
        <v>1070</v>
      </c>
      <c r="AF49" s="715"/>
      <c r="AG49" s="715">
        <v>1070</v>
      </c>
      <c r="AH49" s="715">
        <f t="shared" si="7"/>
        <v>0</v>
      </c>
      <c r="AI49" s="717"/>
      <c r="AJ49" s="715" t="s">
        <v>3981</v>
      </c>
      <c r="AK49" s="652"/>
      <c r="AL49" s="652"/>
      <c r="AM49" s="652"/>
      <c r="AN49" s="652"/>
      <c r="AO49" s="652"/>
      <c r="AP49" s="652"/>
      <c r="AQ49" s="652"/>
      <c r="AR49" s="652"/>
      <c r="AS49" s="652"/>
      <c r="AT49" s="652"/>
      <c r="AU49" s="652"/>
      <c r="AV49" s="652"/>
      <c r="AW49" s="652"/>
      <c r="AX49" s="652"/>
      <c r="AY49" s="652"/>
      <c r="AZ49" s="652"/>
      <c r="BA49" s="652"/>
      <c r="BB49" s="652"/>
      <c r="BC49" s="652"/>
      <c r="BD49" s="652"/>
      <c r="BE49" s="652"/>
      <c r="BF49" s="652"/>
      <c r="BG49" s="726"/>
      <c r="BH49" s="652">
        <f>I49</f>
        <v>1070</v>
      </c>
      <c r="BI49" s="726"/>
      <c r="BJ49" s="724"/>
      <c r="BK49" s="724"/>
      <c r="BL49" s="724"/>
      <c r="BM49" s="724"/>
      <c r="BN49" s="724"/>
      <c r="BO49" s="724"/>
      <c r="BP49" s="724"/>
      <c r="BQ49" s="724"/>
      <c r="BR49" s="724"/>
      <c r="BS49" s="724"/>
      <c r="BT49" s="724"/>
      <c r="BU49" s="724"/>
      <c r="BV49" s="724"/>
      <c r="BW49" s="724"/>
      <c r="BX49" s="724"/>
      <c r="BY49" s="724"/>
      <c r="BZ49" s="724"/>
      <c r="CA49" s="724"/>
      <c r="CB49" s="724"/>
      <c r="CC49" s="724"/>
      <c r="CD49" s="724"/>
      <c r="CE49" s="724"/>
      <c r="CF49" s="724"/>
      <c r="CG49" s="724"/>
      <c r="CH49" s="724"/>
      <c r="CI49" s="724"/>
      <c r="CJ49" s="724"/>
      <c r="CK49" s="724"/>
      <c r="CL49" s="724"/>
      <c r="CM49" s="724"/>
      <c r="CN49" s="724"/>
      <c r="CO49" s="724"/>
      <c r="CP49" s="724"/>
      <c r="CQ49" s="724"/>
      <c r="CR49" s="724"/>
    </row>
    <row r="50" s="651" customFormat="1" ht="31" customHeight="1" spans="1:96">
      <c r="A50" s="713">
        <v>46090</v>
      </c>
      <c r="B50" s="714" t="s">
        <v>114</v>
      </c>
      <c r="C50" s="715" t="s">
        <v>115</v>
      </c>
      <c r="D50" s="652">
        <v>4500195753</v>
      </c>
      <c r="E50" s="715" t="s">
        <v>4132</v>
      </c>
      <c r="F50" s="652" t="s">
        <v>4133</v>
      </c>
      <c r="G50" s="716" t="s">
        <v>3980</v>
      </c>
      <c r="H50" s="715" t="s">
        <v>3978</v>
      </c>
      <c r="I50" s="717">
        <v>20336</v>
      </c>
      <c r="J50" s="715">
        <v>0</v>
      </c>
      <c r="K50" s="715">
        <v>8</v>
      </c>
      <c r="L50" s="715">
        <f t="shared" si="1"/>
        <v>2542</v>
      </c>
      <c r="M50" s="719">
        <v>46132</v>
      </c>
      <c r="N50" s="719">
        <v>46128</v>
      </c>
      <c r="O50" s="714"/>
      <c r="P50" s="717" t="s">
        <v>106</v>
      </c>
      <c r="Q50" s="717"/>
      <c r="R50" s="723">
        <v>46105</v>
      </c>
      <c r="S50" s="720" t="s">
        <v>107</v>
      </c>
      <c r="T50" s="720" t="s">
        <v>4134</v>
      </c>
      <c r="U50" s="720"/>
      <c r="V50" s="720" t="s">
        <v>4056</v>
      </c>
      <c r="W50" s="720"/>
      <c r="X50" s="720" t="s">
        <v>4135</v>
      </c>
      <c r="Y50" s="719" t="s">
        <v>123</v>
      </c>
      <c r="Z50" s="715">
        <v>2.88</v>
      </c>
      <c r="AA50" s="652">
        <f>Z50*I50</f>
        <v>58567.68</v>
      </c>
      <c r="AB50" s="729" t="s">
        <v>4136</v>
      </c>
      <c r="AC50" s="652" t="s">
        <v>3980</v>
      </c>
      <c r="AD50" s="715" t="s">
        <v>112</v>
      </c>
      <c r="AE50" s="715">
        <f t="shared" si="3"/>
        <v>20336</v>
      </c>
      <c r="AF50" s="715"/>
      <c r="AG50" s="715">
        <f>3840+16496</f>
        <v>20336</v>
      </c>
      <c r="AH50" s="715">
        <f t="shared" si="7"/>
        <v>0</v>
      </c>
      <c r="AI50" s="717"/>
      <c r="AJ50" s="715" t="s">
        <v>3981</v>
      </c>
      <c r="AK50" s="652">
        <f>I50</f>
        <v>20336</v>
      </c>
      <c r="AL50" s="652"/>
      <c r="AM50" s="652"/>
      <c r="AN50" s="652">
        <f>I50</f>
        <v>20336</v>
      </c>
      <c r="AO50" s="652"/>
      <c r="AP50" s="652"/>
      <c r="AQ50" s="652"/>
      <c r="AR50" s="652"/>
      <c r="AS50" s="652"/>
      <c r="AT50" s="652">
        <f>I50/8</f>
        <v>2542</v>
      </c>
      <c r="AU50" s="652"/>
      <c r="AV50" s="652"/>
      <c r="AW50" s="652"/>
      <c r="AX50" s="652"/>
      <c r="AY50" s="652"/>
      <c r="AZ50" s="652"/>
      <c r="BA50" s="652"/>
      <c r="BB50" s="652"/>
      <c r="BC50" s="652"/>
      <c r="BD50" s="652"/>
      <c r="BE50" s="652"/>
      <c r="BF50" s="652"/>
      <c r="BG50" s="652"/>
      <c r="BH50" s="652"/>
      <c r="BI50" s="652"/>
      <c r="BJ50" s="724"/>
      <c r="BK50" s="724"/>
      <c r="BL50" s="724"/>
      <c r="BM50" s="724"/>
      <c r="BN50" s="724"/>
      <c r="BO50" s="724"/>
      <c r="BP50" s="724"/>
      <c r="BQ50" s="724"/>
      <c r="BR50" s="724"/>
      <c r="BS50" s="724"/>
      <c r="BT50" s="724"/>
      <c r="BU50" s="724"/>
      <c r="BV50" s="724"/>
      <c r="BW50" s="724"/>
      <c r="BX50" s="724"/>
      <c r="BY50" s="724"/>
      <c r="BZ50" s="724"/>
      <c r="CA50" s="724"/>
      <c r="CB50" s="724"/>
      <c r="CC50" s="724"/>
      <c r="CD50" s="724"/>
      <c r="CE50" s="724"/>
      <c r="CF50" s="724"/>
      <c r="CG50" s="724"/>
      <c r="CH50" s="724"/>
      <c r="CI50" s="724"/>
      <c r="CJ50" s="724"/>
      <c r="CK50" s="724"/>
      <c r="CL50" s="724"/>
      <c r="CM50" s="724"/>
      <c r="CN50" s="724"/>
      <c r="CO50" s="724"/>
      <c r="CP50" s="724"/>
      <c r="CQ50" s="724"/>
      <c r="CR50" s="724"/>
    </row>
    <row r="51" s="650" customFormat="1" ht="31" customHeight="1" spans="1:96">
      <c r="A51" s="713">
        <v>46121</v>
      </c>
      <c r="B51" s="714"/>
      <c r="C51" s="715"/>
      <c r="D51" s="652" t="s">
        <v>4137</v>
      </c>
      <c r="E51" s="715"/>
      <c r="F51" s="652" t="s">
        <v>4138</v>
      </c>
      <c r="G51" s="716" t="s">
        <v>3965</v>
      </c>
      <c r="H51" s="715"/>
      <c r="I51" s="717">
        <v>2</v>
      </c>
      <c r="J51" s="715"/>
      <c r="K51" s="715"/>
      <c r="L51" s="718"/>
      <c r="M51" s="719">
        <v>46132</v>
      </c>
      <c r="N51" s="719">
        <f>M51-4</f>
        <v>46128</v>
      </c>
      <c r="O51" s="714"/>
      <c r="P51" s="717"/>
      <c r="Q51" s="717"/>
      <c r="R51" s="723" t="s">
        <v>94</v>
      </c>
      <c r="S51" s="720" t="s">
        <v>95</v>
      </c>
      <c r="T51" s="720" t="s">
        <v>95</v>
      </c>
      <c r="U51" s="720"/>
      <c r="V51" s="720"/>
      <c r="W51" s="720"/>
      <c r="X51" s="720" t="s">
        <v>4139</v>
      </c>
      <c r="Y51" s="719" t="s">
        <v>272</v>
      </c>
      <c r="Z51" s="715"/>
      <c r="AA51" s="715"/>
      <c r="AB51" s="721"/>
      <c r="AC51" s="722"/>
      <c r="AD51" s="715" t="s">
        <v>99</v>
      </c>
      <c r="AE51" s="715">
        <f t="shared" si="3"/>
        <v>2</v>
      </c>
      <c r="AF51" s="715"/>
      <c r="AG51" s="715"/>
      <c r="AH51" s="715">
        <f t="shared" si="7"/>
        <v>-2</v>
      </c>
      <c r="AI51" s="717"/>
      <c r="AJ51" s="715"/>
      <c r="AK51" s="652"/>
      <c r="AL51" s="652"/>
      <c r="AM51" s="652"/>
      <c r="AN51" s="652"/>
      <c r="AO51" s="652"/>
      <c r="AP51" s="652"/>
      <c r="AQ51" s="652"/>
      <c r="AR51" s="652"/>
      <c r="AS51" s="652"/>
      <c r="AT51" s="652"/>
      <c r="AU51" s="652"/>
      <c r="AV51" s="652"/>
      <c r="AW51" s="652"/>
      <c r="AX51" s="652"/>
      <c r="AY51" s="652"/>
      <c r="AZ51" s="652"/>
      <c r="BA51" s="652"/>
      <c r="BB51" s="652"/>
      <c r="BC51" s="652"/>
      <c r="BD51" s="652"/>
      <c r="BE51" s="652"/>
      <c r="BF51" s="652"/>
      <c r="BG51" s="652"/>
      <c r="BH51" s="652">
        <f>I51</f>
        <v>2</v>
      </c>
      <c r="BI51" s="652"/>
      <c r="BJ51" s="724"/>
      <c r="BK51" s="724"/>
      <c r="BL51" s="724"/>
      <c r="BM51" s="724"/>
      <c r="BN51" s="724"/>
      <c r="BO51" s="724"/>
      <c r="BP51" s="724"/>
      <c r="BQ51" s="724"/>
      <c r="BR51" s="724"/>
      <c r="BS51" s="724"/>
      <c r="BT51" s="724"/>
      <c r="BU51" s="724"/>
      <c r="BV51" s="724"/>
      <c r="BW51" s="724"/>
      <c r="BX51" s="724"/>
      <c r="BY51" s="724"/>
      <c r="BZ51" s="724"/>
      <c r="CA51" s="724"/>
      <c r="CB51" s="724"/>
      <c r="CC51" s="724"/>
      <c r="CD51" s="724"/>
      <c r="CE51" s="724"/>
      <c r="CF51" s="724"/>
      <c r="CG51" s="724"/>
      <c r="CH51" s="724"/>
      <c r="CI51" s="724"/>
      <c r="CJ51" s="724"/>
      <c r="CK51" s="724"/>
      <c r="CL51" s="724"/>
      <c r="CM51" s="724"/>
      <c r="CN51" s="724"/>
      <c r="CO51" s="724"/>
      <c r="CP51" s="724"/>
      <c r="CQ51" s="724"/>
      <c r="CR51" s="724"/>
    </row>
    <row r="52" s="650" customFormat="1" ht="31" customHeight="1" spans="1:96">
      <c r="A52" s="713">
        <v>46086</v>
      </c>
      <c r="B52" s="714" t="s">
        <v>180</v>
      </c>
      <c r="C52" s="715" t="s">
        <v>115</v>
      </c>
      <c r="D52" s="652">
        <v>4500195402</v>
      </c>
      <c r="E52" s="715">
        <v>5200009175</v>
      </c>
      <c r="F52" s="652" t="s">
        <v>4140</v>
      </c>
      <c r="G52" s="716" t="s">
        <v>4141</v>
      </c>
      <c r="H52" s="715" t="s">
        <v>3969</v>
      </c>
      <c r="I52" s="717">
        <v>992</v>
      </c>
      <c r="J52" s="715">
        <v>0</v>
      </c>
      <c r="K52" s="715">
        <v>16</v>
      </c>
      <c r="L52" s="718">
        <f t="shared" ref="L52:L91" si="8">I52/K52</f>
        <v>62</v>
      </c>
      <c r="M52" s="719">
        <v>46132</v>
      </c>
      <c r="N52" s="719">
        <v>46128</v>
      </c>
      <c r="O52" s="714"/>
      <c r="P52" s="717" t="s">
        <v>4142</v>
      </c>
      <c r="Q52" s="717"/>
      <c r="R52" s="723">
        <v>46086</v>
      </c>
      <c r="S52" s="720" t="s">
        <v>107</v>
      </c>
      <c r="T52" s="720" t="s">
        <v>95</v>
      </c>
      <c r="U52" s="720"/>
      <c r="V52" s="720"/>
      <c r="W52" s="720"/>
      <c r="X52" s="720" t="s">
        <v>4143</v>
      </c>
      <c r="Y52" s="719" t="s">
        <v>393</v>
      </c>
      <c r="Z52" s="715">
        <v>2.466</v>
      </c>
      <c r="AA52" s="715">
        <f>I52*Z52</f>
        <v>2446.272</v>
      </c>
      <c r="AB52" s="729" t="s">
        <v>4144</v>
      </c>
      <c r="AC52" s="722" t="s">
        <v>3968</v>
      </c>
      <c r="AD52" s="715" t="s">
        <v>112</v>
      </c>
      <c r="AE52" s="715">
        <f t="shared" si="3"/>
        <v>992</v>
      </c>
      <c r="AF52" s="715"/>
      <c r="AG52" s="715">
        <v>992</v>
      </c>
      <c r="AH52" s="715">
        <f t="shared" si="7"/>
        <v>0</v>
      </c>
      <c r="AI52" s="717" t="s">
        <v>95</v>
      </c>
      <c r="AJ52" s="715" t="s">
        <v>3981</v>
      </c>
      <c r="AK52" s="652">
        <f>I52</f>
        <v>992</v>
      </c>
      <c r="AL52" s="652"/>
      <c r="AM52" s="652"/>
      <c r="AN52" s="652">
        <f t="shared" ref="AN52:AN76" si="9">I52</f>
        <v>992</v>
      </c>
      <c r="AO52" s="652"/>
      <c r="AP52" s="652"/>
      <c r="AQ52" s="652"/>
      <c r="AR52" s="652"/>
      <c r="AS52" s="652"/>
      <c r="AT52" s="652"/>
      <c r="AU52" s="652"/>
      <c r="AV52" s="652"/>
      <c r="AW52" s="652"/>
      <c r="AX52" s="652"/>
      <c r="AY52" s="652"/>
      <c r="AZ52" s="652"/>
      <c r="BA52" s="652"/>
      <c r="BB52" s="652"/>
      <c r="BC52" s="652"/>
      <c r="BD52" s="652"/>
      <c r="BE52" s="652"/>
      <c r="BF52" s="652"/>
      <c r="BG52" s="652"/>
      <c r="BH52" s="652"/>
      <c r="BI52" s="652"/>
      <c r="BJ52" s="724"/>
      <c r="BK52" s="724"/>
      <c r="BL52" s="724"/>
      <c r="BM52" s="724"/>
      <c r="BN52" s="724"/>
      <c r="BO52" s="724"/>
      <c r="BP52" s="724"/>
      <c r="BQ52" s="724"/>
      <c r="BR52" s="724"/>
      <c r="BS52" s="724"/>
      <c r="BT52" s="724"/>
      <c r="BU52" s="724"/>
      <c r="BV52" s="724"/>
      <c r="BW52" s="724"/>
      <c r="BX52" s="724"/>
      <c r="BY52" s="724"/>
      <c r="BZ52" s="724"/>
      <c r="CA52" s="724"/>
      <c r="CB52" s="724"/>
      <c r="CC52" s="724"/>
      <c r="CD52" s="724"/>
      <c r="CE52" s="724"/>
      <c r="CF52" s="724"/>
      <c r="CG52" s="724"/>
      <c r="CH52" s="724"/>
      <c r="CI52" s="724"/>
      <c r="CJ52" s="724"/>
      <c r="CK52" s="724"/>
      <c r="CL52" s="724"/>
      <c r="CM52" s="724"/>
      <c r="CN52" s="724"/>
      <c r="CO52" s="724"/>
      <c r="CP52" s="724"/>
      <c r="CQ52" s="724"/>
      <c r="CR52" s="724"/>
    </row>
    <row r="53" s="650" customFormat="1" ht="31" customHeight="1" spans="1:96">
      <c r="A53" s="713">
        <v>46052</v>
      </c>
      <c r="B53" s="714" t="s">
        <v>346</v>
      </c>
      <c r="C53" s="715" t="s">
        <v>115</v>
      </c>
      <c r="D53" s="652">
        <v>4500192828</v>
      </c>
      <c r="E53" s="715">
        <v>7137243188</v>
      </c>
      <c r="F53" s="652" t="s">
        <v>4145</v>
      </c>
      <c r="G53" s="716" t="s">
        <v>4015</v>
      </c>
      <c r="H53" s="715" t="s">
        <v>4016</v>
      </c>
      <c r="I53" s="717">
        <v>5184</v>
      </c>
      <c r="J53" s="715">
        <v>0</v>
      </c>
      <c r="K53" s="715">
        <v>16</v>
      </c>
      <c r="L53" s="718">
        <f t="shared" si="8"/>
        <v>324</v>
      </c>
      <c r="M53" s="719">
        <v>46132</v>
      </c>
      <c r="N53" s="719">
        <v>46128</v>
      </c>
      <c r="O53" s="714" t="s">
        <v>4146</v>
      </c>
      <c r="P53" s="717" t="s">
        <v>1202</v>
      </c>
      <c r="Q53" s="717"/>
      <c r="R53" s="723">
        <v>46052</v>
      </c>
      <c r="S53" s="720" t="s">
        <v>107</v>
      </c>
      <c r="T53" s="720" t="s">
        <v>4018</v>
      </c>
      <c r="U53" s="720"/>
      <c r="V53" s="720"/>
      <c r="W53" s="720"/>
      <c r="X53" s="720" t="s">
        <v>4042</v>
      </c>
      <c r="Y53" s="719" t="s">
        <v>354</v>
      </c>
      <c r="Z53" s="715">
        <v>44.256</v>
      </c>
      <c r="AA53" s="715">
        <f>L53*Z53</f>
        <v>14338.944</v>
      </c>
      <c r="AB53" s="729" t="s">
        <v>4147</v>
      </c>
      <c r="AC53" s="722" t="s">
        <v>4015</v>
      </c>
      <c r="AD53" s="715" t="s">
        <v>112</v>
      </c>
      <c r="AE53" s="715">
        <f t="shared" si="3"/>
        <v>5184</v>
      </c>
      <c r="AF53" s="715"/>
      <c r="AG53" s="715">
        <v>5184</v>
      </c>
      <c r="AH53" s="715">
        <f t="shared" si="7"/>
        <v>0</v>
      </c>
      <c r="AI53" s="717" t="s">
        <v>120</v>
      </c>
      <c r="AJ53" s="715" t="s">
        <v>3981</v>
      </c>
      <c r="AK53" s="652">
        <f>I53</f>
        <v>5184</v>
      </c>
      <c r="AL53" s="652"/>
      <c r="AM53" s="652"/>
      <c r="AN53" s="652">
        <f t="shared" si="9"/>
        <v>5184</v>
      </c>
      <c r="AO53" s="652"/>
      <c r="AP53" s="652"/>
      <c r="AQ53" s="652"/>
      <c r="AR53" s="652"/>
      <c r="AS53" s="652"/>
      <c r="AT53" s="652"/>
      <c r="AU53" s="652"/>
      <c r="AV53" s="652"/>
      <c r="AW53" s="652"/>
      <c r="AX53" s="652"/>
      <c r="AY53" s="652"/>
      <c r="AZ53" s="652"/>
      <c r="BA53" s="652"/>
      <c r="BB53" s="652"/>
      <c r="BC53" s="652"/>
      <c r="BD53" s="652"/>
      <c r="BE53" s="652"/>
      <c r="BF53" s="652"/>
      <c r="BG53" s="726">
        <f>I53/16</f>
        <v>324</v>
      </c>
      <c r="BH53" s="652"/>
      <c r="BI53" s="726"/>
      <c r="BJ53" s="724"/>
      <c r="BK53" s="724"/>
      <c r="BL53" s="724"/>
      <c r="BM53" s="724"/>
      <c r="BN53" s="724"/>
      <c r="BO53" s="724"/>
      <c r="BP53" s="724"/>
      <c r="BQ53" s="724"/>
      <c r="BR53" s="724"/>
      <c r="BS53" s="724"/>
      <c r="BT53" s="724"/>
      <c r="BU53" s="724"/>
      <c r="BV53" s="724"/>
      <c r="BW53" s="724"/>
      <c r="BX53" s="724"/>
      <c r="BY53" s="724"/>
      <c r="BZ53" s="724"/>
      <c r="CA53" s="724"/>
      <c r="CB53" s="724"/>
      <c r="CC53" s="724"/>
      <c r="CD53" s="724"/>
      <c r="CE53" s="724"/>
      <c r="CF53" s="724"/>
      <c r="CG53" s="724"/>
      <c r="CH53" s="724"/>
      <c r="CI53" s="724"/>
      <c r="CJ53" s="724"/>
      <c r="CK53" s="724"/>
      <c r="CL53" s="724"/>
      <c r="CM53" s="724"/>
      <c r="CN53" s="724"/>
      <c r="CO53" s="724"/>
      <c r="CP53" s="724"/>
      <c r="CQ53" s="724"/>
      <c r="CR53" s="724"/>
    </row>
    <row r="54" s="650" customFormat="1" ht="31" customHeight="1" spans="1:96">
      <c r="A54" s="713">
        <v>46052</v>
      </c>
      <c r="B54" s="714" t="s">
        <v>346</v>
      </c>
      <c r="C54" s="715" t="s">
        <v>115</v>
      </c>
      <c r="D54" s="652">
        <v>4500192828</v>
      </c>
      <c r="E54" s="715">
        <v>7137243193</v>
      </c>
      <c r="F54" s="652" t="s">
        <v>4148</v>
      </c>
      <c r="G54" s="716" t="s">
        <v>4015</v>
      </c>
      <c r="H54" s="715" t="s">
        <v>4016</v>
      </c>
      <c r="I54" s="717">
        <v>4304</v>
      </c>
      <c r="J54" s="715">
        <v>0</v>
      </c>
      <c r="K54" s="715">
        <v>16</v>
      </c>
      <c r="L54" s="718">
        <f t="shared" si="8"/>
        <v>269</v>
      </c>
      <c r="M54" s="719">
        <v>46132</v>
      </c>
      <c r="N54" s="719">
        <v>46128</v>
      </c>
      <c r="O54" s="714" t="s">
        <v>4146</v>
      </c>
      <c r="P54" s="717" t="s">
        <v>1202</v>
      </c>
      <c r="Q54" s="717"/>
      <c r="R54" s="723">
        <v>46052</v>
      </c>
      <c r="S54" s="720" t="s">
        <v>107</v>
      </c>
      <c r="T54" s="720" t="s">
        <v>4018</v>
      </c>
      <c r="U54" s="720"/>
      <c r="V54" s="720"/>
      <c r="W54" s="720"/>
      <c r="X54" s="720" t="s">
        <v>4042</v>
      </c>
      <c r="Y54" s="719" t="s">
        <v>354</v>
      </c>
      <c r="Z54" s="715">
        <v>44.256</v>
      </c>
      <c r="AA54" s="715">
        <f>L54*Z54</f>
        <v>11904.864</v>
      </c>
      <c r="AB54" s="729" t="s">
        <v>4149</v>
      </c>
      <c r="AC54" s="722" t="s">
        <v>4015</v>
      </c>
      <c r="AD54" s="715" t="s">
        <v>112</v>
      </c>
      <c r="AE54" s="715">
        <f t="shared" si="3"/>
        <v>4304</v>
      </c>
      <c r="AF54" s="715"/>
      <c r="AG54" s="715">
        <v>4304</v>
      </c>
      <c r="AH54" s="715">
        <f t="shared" si="7"/>
        <v>0</v>
      </c>
      <c r="AI54" s="717" t="s">
        <v>120</v>
      </c>
      <c r="AJ54" s="715" t="s">
        <v>3981</v>
      </c>
      <c r="AK54" s="652">
        <f>I54</f>
        <v>4304</v>
      </c>
      <c r="AL54" s="652"/>
      <c r="AM54" s="652"/>
      <c r="AN54" s="652">
        <f t="shared" si="9"/>
        <v>4304</v>
      </c>
      <c r="AO54" s="652"/>
      <c r="AP54" s="652"/>
      <c r="AQ54" s="652"/>
      <c r="AR54" s="652"/>
      <c r="AS54" s="652"/>
      <c r="AT54" s="652"/>
      <c r="AU54" s="652"/>
      <c r="AV54" s="652"/>
      <c r="AW54" s="652"/>
      <c r="AX54" s="652"/>
      <c r="AY54" s="652"/>
      <c r="AZ54" s="652"/>
      <c r="BA54" s="652"/>
      <c r="BB54" s="652"/>
      <c r="BC54" s="652"/>
      <c r="BD54" s="652"/>
      <c r="BE54" s="652"/>
      <c r="BF54" s="652"/>
      <c r="BG54" s="726">
        <f>I54/16</f>
        <v>269</v>
      </c>
      <c r="BH54" s="652"/>
      <c r="BI54" s="726"/>
      <c r="BJ54" s="724"/>
      <c r="BK54" s="724"/>
      <c r="BL54" s="724"/>
      <c r="BM54" s="724"/>
      <c r="BN54" s="724"/>
      <c r="BO54" s="724"/>
      <c r="BP54" s="724"/>
      <c r="BQ54" s="724"/>
      <c r="BR54" s="724"/>
      <c r="BS54" s="724"/>
      <c r="BT54" s="724"/>
      <c r="BU54" s="724"/>
      <c r="BV54" s="724"/>
      <c r="BW54" s="724"/>
      <c r="BX54" s="724"/>
      <c r="BY54" s="724"/>
      <c r="BZ54" s="724"/>
      <c r="CA54" s="724"/>
      <c r="CB54" s="724"/>
      <c r="CC54" s="724"/>
      <c r="CD54" s="724"/>
      <c r="CE54" s="724"/>
      <c r="CF54" s="724"/>
      <c r="CG54" s="724"/>
      <c r="CH54" s="724"/>
      <c r="CI54" s="724"/>
      <c r="CJ54" s="724"/>
      <c r="CK54" s="724"/>
      <c r="CL54" s="724"/>
      <c r="CM54" s="724"/>
      <c r="CN54" s="724"/>
      <c r="CO54" s="724"/>
      <c r="CP54" s="724"/>
      <c r="CQ54" s="724"/>
      <c r="CR54" s="724"/>
    </row>
    <row r="55" s="650" customFormat="1" ht="31" customHeight="1" spans="1:96">
      <c r="A55" s="713">
        <v>46108</v>
      </c>
      <c r="B55" s="714"/>
      <c r="C55" s="715"/>
      <c r="D55" s="652" t="s">
        <v>4150</v>
      </c>
      <c r="E55" s="715"/>
      <c r="F55" s="652" t="s">
        <v>4151</v>
      </c>
      <c r="G55" s="716" t="s">
        <v>3968</v>
      </c>
      <c r="H55" s="715" t="s">
        <v>3969</v>
      </c>
      <c r="I55" s="717">
        <v>240</v>
      </c>
      <c r="J55" s="715">
        <v>0</v>
      </c>
      <c r="K55" s="715">
        <v>16</v>
      </c>
      <c r="L55" s="715">
        <f t="shared" si="8"/>
        <v>15</v>
      </c>
      <c r="M55" s="719">
        <v>46132</v>
      </c>
      <c r="N55" s="719">
        <v>46128</v>
      </c>
      <c r="O55" s="714"/>
      <c r="P55" s="717"/>
      <c r="Q55" s="717"/>
      <c r="R55" s="723">
        <v>46108</v>
      </c>
      <c r="S55" s="720" t="s">
        <v>107</v>
      </c>
      <c r="T55" s="720" t="s">
        <v>95</v>
      </c>
      <c r="U55" s="720"/>
      <c r="V55" s="720"/>
      <c r="W55" s="720"/>
      <c r="X55" s="720" t="s">
        <v>4152</v>
      </c>
      <c r="Y55" s="719" t="s">
        <v>272</v>
      </c>
      <c r="Z55" s="715"/>
      <c r="AA55" s="652"/>
      <c r="AB55" s="721"/>
      <c r="AC55" s="716" t="s">
        <v>3968</v>
      </c>
      <c r="AD55" s="715" t="s">
        <v>112</v>
      </c>
      <c r="AE55" s="715">
        <f t="shared" si="3"/>
        <v>240</v>
      </c>
      <c r="AF55" s="715"/>
      <c r="AG55" s="715"/>
      <c r="AH55" s="715">
        <f t="shared" si="7"/>
        <v>-240</v>
      </c>
      <c r="AI55" s="717" t="s">
        <v>95</v>
      </c>
      <c r="AJ55" s="715" t="s">
        <v>3981</v>
      </c>
      <c r="AK55" s="652">
        <f>I55</f>
        <v>240</v>
      </c>
      <c r="AL55" s="652"/>
      <c r="AM55" s="652"/>
      <c r="AN55" s="652">
        <f t="shared" si="9"/>
        <v>240</v>
      </c>
      <c r="AO55" s="652"/>
      <c r="AP55" s="652"/>
      <c r="AQ55" s="652"/>
      <c r="AR55" s="652"/>
      <c r="AS55" s="652"/>
      <c r="AT55" s="652"/>
      <c r="AU55" s="652"/>
      <c r="AV55" s="652"/>
      <c r="AW55" s="652"/>
      <c r="AX55" s="652"/>
      <c r="AY55" s="652"/>
      <c r="AZ55" s="652"/>
      <c r="BA55" s="652"/>
      <c r="BB55" s="652"/>
      <c r="BC55" s="652"/>
      <c r="BD55" s="652"/>
      <c r="BE55" s="652"/>
      <c r="BF55" s="652"/>
      <c r="BG55" s="652"/>
      <c r="BH55" s="652"/>
      <c r="BI55" s="652"/>
      <c r="BJ55" s="724"/>
      <c r="BK55" s="724"/>
      <c r="BL55" s="724"/>
      <c r="BM55" s="724"/>
      <c r="BN55" s="724"/>
      <c r="BO55" s="724"/>
      <c r="BP55" s="724"/>
      <c r="BQ55" s="724"/>
      <c r="BR55" s="724"/>
      <c r="BS55" s="724"/>
      <c r="BT55" s="724"/>
      <c r="BU55" s="724"/>
      <c r="BV55" s="724"/>
      <c r="BW55" s="724"/>
      <c r="BX55" s="724"/>
      <c r="BY55" s="724"/>
      <c r="BZ55" s="724"/>
      <c r="CA55" s="724"/>
      <c r="CB55" s="724"/>
      <c r="CC55" s="724"/>
      <c r="CD55" s="724"/>
      <c r="CE55" s="724"/>
      <c r="CF55" s="724"/>
      <c r="CG55" s="724"/>
      <c r="CH55" s="724"/>
      <c r="CI55" s="724"/>
      <c r="CJ55" s="724"/>
      <c r="CK55" s="724"/>
      <c r="CL55" s="724"/>
      <c r="CM55" s="724"/>
      <c r="CN55" s="724"/>
      <c r="CO55" s="724"/>
      <c r="CP55" s="724"/>
      <c r="CQ55" s="724"/>
      <c r="CR55" s="724"/>
    </row>
    <row r="56" s="651" customFormat="1" ht="31" customHeight="1" spans="1:96">
      <c r="A56" s="713">
        <v>46094</v>
      </c>
      <c r="B56" s="714" t="s">
        <v>100</v>
      </c>
      <c r="C56" s="715" t="s">
        <v>101</v>
      </c>
      <c r="D56" s="652">
        <v>4500196745</v>
      </c>
      <c r="E56" s="715">
        <v>5200009279</v>
      </c>
      <c r="F56" s="652" t="s">
        <v>4153</v>
      </c>
      <c r="G56" s="716" t="s">
        <v>4024</v>
      </c>
      <c r="H56" s="715" t="s">
        <v>3995</v>
      </c>
      <c r="I56" s="717">
        <v>400</v>
      </c>
      <c r="J56" s="715">
        <v>0</v>
      </c>
      <c r="K56" s="715">
        <v>16</v>
      </c>
      <c r="L56" s="718">
        <f t="shared" si="8"/>
        <v>25</v>
      </c>
      <c r="M56" s="719">
        <v>46136</v>
      </c>
      <c r="N56" s="719">
        <v>46132</v>
      </c>
      <c r="O56" s="714"/>
      <c r="P56" s="713" t="s">
        <v>106</v>
      </c>
      <c r="Q56" s="717"/>
      <c r="R56" s="723">
        <v>46099</v>
      </c>
      <c r="S56" s="720" t="s">
        <v>107</v>
      </c>
      <c r="T56" s="720" t="s">
        <v>4154</v>
      </c>
      <c r="U56" s="720"/>
      <c r="V56" s="720"/>
      <c r="W56" s="720"/>
      <c r="X56" s="720" t="s">
        <v>4155</v>
      </c>
      <c r="Y56" s="719" t="s">
        <v>362</v>
      </c>
      <c r="Z56" s="730">
        <v>4.355</v>
      </c>
      <c r="AA56" s="715">
        <f>I56*Z56</f>
        <v>1742</v>
      </c>
      <c r="AB56" s="721"/>
      <c r="AC56" s="652" t="s">
        <v>3973</v>
      </c>
      <c r="AD56" s="715" t="s">
        <v>112</v>
      </c>
      <c r="AE56" s="715">
        <f t="shared" si="3"/>
        <v>400</v>
      </c>
      <c r="AF56" s="715" t="s">
        <v>736</v>
      </c>
      <c r="AG56" s="715">
        <f>368+32</f>
        <v>400</v>
      </c>
      <c r="AH56" s="715">
        <f t="shared" si="7"/>
        <v>0</v>
      </c>
      <c r="AI56" s="717"/>
      <c r="AJ56" s="715" t="s">
        <v>3981</v>
      </c>
      <c r="AK56" s="652">
        <f>I56</f>
        <v>400</v>
      </c>
      <c r="AL56" s="652"/>
      <c r="AM56" s="652"/>
      <c r="AN56" s="652">
        <f t="shared" si="9"/>
        <v>400</v>
      </c>
      <c r="AO56" s="652"/>
      <c r="AP56" s="652"/>
      <c r="AQ56" s="652"/>
      <c r="AR56" s="652"/>
      <c r="AS56" s="652"/>
      <c r="AT56" s="652">
        <f>I56/8</f>
        <v>50</v>
      </c>
      <c r="AU56" s="652"/>
      <c r="AV56" s="652"/>
      <c r="AW56" s="652"/>
      <c r="AX56" s="652"/>
      <c r="AY56" s="652"/>
      <c r="AZ56" s="652"/>
      <c r="BA56" s="652"/>
      <c r="BB56" s="652"/>
      <c r="BC56" s="652"/>
      <c r="BD56" s="652"/>
      <c r="BE56" s="652"/>
      <c r="BF56" s="652"/>
      <c r="BG56" s="652"/>
      <c r="BH56" s="652"/>
      <c r="BI56" s="652"/>
      <c r="BJ56" s="724"/>
      <c r="BK56" s="724"/>
      <c r="BL56" s="724"/>
      <c r="BM56" s="724"/>
      <c r="BN56" s="724"/>
      <c r="BO56" s="724"/>
      <c r="BP56" s="724"/>
      <c r="BQ56" s="724"/>
      <c r="BR56" s="724"/>
      <c r="BS56" s="724"/>
      <c r="BT56" s="724"/>
      <c r="BU56" s="724"/>
      <c r="BV56" s="724"/>
      <c r="BW56" s="724"/>
      <c r="BX56" s="724"/>
      <c r="BY56" s="724"/>
      <c r="BZ56" s="724"/>
      <c r="CA56" s="724"/>
      <c r="CB56" s="724"/>
      <c r="CC56" s="724"/>
      <c r="CD56" s="724"/>
      <c r="CE56" s="724"/>
      <c r="CF56" s="724"/>
      <c r="CG56" s="724"/>
      <c r="CH56" s="724"/>
      <c r="CI56" s="724"/>
      <c r="CJ56" s="724"/>
      <c r="CK56" s="724"/>
      <c r="CL56" s="724"/>
      <c r="CM56" s="724"/>
      <c r="CN56" s="724"/>
      <c r="CO56" s="724"/>
      <c r="CP56" s="724"/>
      <c r="CQ56" s="724"/>
      <c r="CR56" s="724"/>
    </row>
    <row r="57" s="650" customFormat="1" ht="31" customHeight="1" spans="1:96">
      <c r="A57" s="713">
        <v>46090</v>
      </c>
      <c r="B57" s="714" t="s">
        <v>378</v>
      </c>
      <c r="C57" s="715" t="s">
        <v>201</v>
      </c>
      <c r="D57" s="652">
        <v>4500195369</v>
      </c>
      <c r="E57" s="715">
        <v>7000991881</v>
      </c>
      <c r="F57" s="652" t="s">
        <v>4156</v>
      </c>
      <c r="G57" s="716" t="s">
        <v>3980</v>
      </c>
      <c r="H57" s="715" t="s">
        <v>3978</v>
      </c>
      <c r="I57" s="717">
        <v>3192</v>
      </c>
      <c r="J57" s="715">
        <v>0</v>
      </c>
      <c r="K57" s="715">
        <v>8</v>
      </c>
      <c r="L57" s="715">
        <f t="shared" si="8"/>
        <v>399</v>
      </c>
      <c r="M57" s="719">
        <v>46136</v>
      </c>
      <c r="N57" s="719">
        <v>46132</v>
      </c>
      <c r="O57" s="714" t="s">
        <v>382</v>
      </c>
      <c r="P57" s="717" t="s">
        <v>106</v>
      </c>
      <c r="Q57" s="717"/>
      <c r="R57" s="723">
        <v>46098</v>
      </c>
      <c r="S57" s="720" t="s">
        <v>107</v>
      </c>
      <c r="T57" s="720" t="s">
        <v>4157</v>
      </c>
      <c r="U57" s="720"/>
      <c r="V57" s="720"/>
      <c r="W57" s="720"/>
      <c r="X57" s="720" t="s">
        <v>4158</v>
      </c>
      <c r="Y57" s="719" t="s">
        <v>384</v>
      </c>
      <c r="Z57" s="715">
        <v>5</v>
      </c>
      <c r="AA57" s="652">
        <f t="shared" ref="AA57:AA64" si="10">Z57*I57</f>
        <v>15960</v>
      </c>
      <c r="AB57" s="721"/>
      <c r="AC57" s="722" t="s">
        <v>4031</v>
      </c>
      <c r="AD57" s="715" t="s">
        <v>112</v>
      </c>
      <c r="AE57" s="715">
        <f t="shared" si="3"/>
        <v>3192</v>
      </c>
      <c r="AF57" s="715" t="s">
        <v>4109</v>
      </c>
      <c r="AG57" s="715">
        <f>3088+104</f>
        <v>3192</v>
      </c>
      <c r="AH57" s="715">
        <f t="shared" si="7"/>
        <v>0</v>
      </c>
      <c r="AI57" s="717" t="s">
        <v>120</v>
      </c>
      <c r="AJ57" s="715" t="s">
        <v>3981</v>
      </c>
      <c r="AK57" s="652"/>
      <c r="AL57" s="652">
        <f>I57</f>
        <v>3192</v>
      </c>
      <c r="AM57" s="652"/>
      <c r="AN57" s="652">
        <f t="shared" si="9"/>
        <v>3192</v>
      </c>
      <c r="AO57" s="652"/>
      <c r="AP57" s="652"/>
      <c r="AQ57" s="652"/>
      <c r="AR57" s="652"/>
      <c r="AS57" s="652"/>
      <c r="AT57" s="652"/>
      <c r="AU57" s="652">
        <f>I57/8</f>
        <v>399</v>
      </c>
      <c r="AV57" s="652"/>
      <c r="AW57" s="652"/>
      <c r="AX57" s="652"/>
      <c r="AY57" s="652"/>
      <c r="AZ57" s="652"/>
      <c r="BA57" s="652"/>
      <c r="BB57" s="652"/>
      <c r="BC57" s="652"/>
      <c r="BD57" s="652"/>
      <c r="BE57" s="652"/>
      <c r="BF57" s="652"/>
      <c r="BG57" s="652"/>
      <c r="BH57" s="652"/>
      <c r="BI57" s="652"/>
      <c r="BJ57" s="724"/>
      <c r="BK57" s="724"/>
      <c r="BL57" s="724"/>
      <c r="BM57" s="724"/>
      <c r="BN57" s="724"/>
      <c r="BO57" s="724"/>
      <c r="BP57" s="724"/>
      <c r="BQ57" s="724"/>
      <c r="BR57" s="724"/>
      <c r="BS57" s="724"/>
      <c r="BT57" s="724"/>
      <c r="BU57" s="724"/>
      <c r="BV57" s="724"/>
      <c r="BW57" s="724"/>
      <c r="BX57" s="724"/>
      <c r="BY57" s="724"/>
      <c r="BZ57" s="724"/>
      <c r="CA57" s="724"/>
      <c r="CB57" s="724"/>
      <c r="CC57" s="724"/>
      <c r="CD57" s="724"/>
      <c r="CE57" s="724"/>
      <c r="CF57" s="724"/>
      <c r="CG57" s="724"/>
      <c r="CH57" s="724"/>
      <c r="CI57" s="724"/>
      <c r="CJ57" s="724"/>
      <c r="CK57" s="724"/>
      <c r="CL57" s="724"/>
      <c r="CM57" s="724"/>
      <c r="CN57" s="724"/>
      <c r="CO57" s="724"/>
      <c r="CP57" s="724"/>
      <c r="CQ57" s="724"/>
      <c r="CR57" s="724"/>
    </row>
    <row r="58" s="650" customFormat="1" ht="31" customHeight="1" spans="1:96">
      <c r="A58" s="713">
        <v>46079</v>
      </c>
      <c r="B58" s="714" t="s">
        <v>114</v>
      </c>
      <c r="C58" s="715" t="s">
        <v>115</v>
      </c>
      <c r="D58" s="652">
        <v>4500194290</v>
      </c>
      <c r="E58" s="715" t="s">
        <v>363</v>
      </c>
      <c r="F58" s="652" t="s">
        <v>4159</v>
      </c>
      <c r="G58" s="716" t="s">
        <v>3980</v>
      </c>
      <c r="H58" s="715" t="s">
        <v>3978</v>
      </c>
      <c r="I58" s="717">
        <v>2000</v>
      </c>
      <c r="J58" s="715">
        <v>0</v>
      </c>
      <c r="K58" s="715">
        <v>8</v>
      </c>
      <c r="L58" s="715">
        <f t="shared" si="8"/>
        <v>250</v>
      </c>
      <c r="M58" s="719">
        <v>46136</v>
      </c>
      <c r="N58" s="719">
        <v>46132</v>
      </c>
      <c r="O58" s="714"/>
      <c r="P58" s="717" t="s">
        <v>106</v>
      </c>
      <c r="Q58" s="717"/>
      <c r="R58" s="723">
        <v>46105</v>
      </c>
      <c r="S58" s="720" t="s">
        <v>107</v>
      </c>
      <c r="T58" s="720" t="s">
        <v>4134</v>
      </c>
      <c r="U58" s="720"/>
      <c r="V58" s="720" t="s">
        <v>4056</v>
      </c>
      <c r="W58" s="720"/>
      <c r="X58" s="720" t="s">
        <v>4160</v>
      </c>
      <c r="Y58" s="719" t="s">
        <v>123</v>
      </c>
      <c r="Z58" s="715">
        <v>2.88</v>
      </c>
      <c r="AA58" s="652">
        <f t="shared" si="10"/>
        <v>5760</v>
      </c>
      <c r="AB58" s="729" t="s">
        <v>368</v>
      </c>
      <c r="AC58" s="722" t="s">
        <v>3980</v>
      </c>
      <c r="AD58" s="715" t="s">
        <v>112</v>
      </c>
      <c r="AE58" s="715">
        <f t="shared" si="3"/>
        <v>2000</v>
      </c>
      <c r="AF58" s="715" t="s">
        <v>4109</v>
      </c>
      <c r="AG58" s="715">
        <v>2000</v>
      </c>
      <c r="AH58" s="715">
        <f t="shared" si="7"/>
        <v>0</v>
      </c>
      <c r="AI58" s="717" t="s">
        <v>120</v>
      </c>
      <c r="AJ58" s="715" t="s">
        <v>3981</v>
      </c>
      <c r="AK58" s="652">
        <f t="shared" ref="AK58:AK69" si="11">I58</f>
        <v>2000</v>
      </c>
      <c r="AL58" s="652"/>
      <c r="AM58" s="652"/>
      <c r="AN58" s="652">
        <f t="shared" si="9"/>
        <v>2000</v>
      </c>
      <c r="AO58" s="652"/>
      <c r="AP58" s="652"/>
      <c r="AQ58" s="652"/>
      <c r="AR58" s="652"/>
      <c r="AS58" s="652"/>
      <c r="AT58" s="652">
        <f t="shared" ref="AT58:AT69" si="12">I58/8</f>
        <v>250</v>
      </c>
      <c r="AU58" s="652"/>
      <c r="AV58" s="652"/>
      <c r="AW58" s="652"/>
      <c r="AX58" s="652"/>
      <c r="AY58" s="652"/>
      <c r="AZ58" s="652"/>
      <c r="BA58" s="652"/>
      <c r="BB58" s="652"/>
      <c r="BC58" s="652"/>
      <c r="BD58" s="652"/>
      <c r="BE58" s="652"/>
      <c r="BF58" s="652"/>
      <c r="BG58" s="652"/>
      <c r="BH58" s="652"/>
      <c r="BI58" s="652"/>
      <c r="BJ58" s="724"/>
      <c r="BK58" s="724"/>
      <c r="BL58" s="724"/>
      <c r="BM58" s="724"/>
      <c r="BN58" s="724"/>
      <c r="BO58" s="724"/>
      <c r="BP58" s="724"/>
      <c r="BQ58" s="724"/>
      <c r="BR58" s="724"/>
      <c r="BS58" s="724"/>
      <c r="BT58" s="724"/>
      <c r="BU58" s="724"/>
      <c r="BV58" s="724"/>
      <c r="BW58" s="724"/>
      <c r="BX58" s="724"/>
      <c r="BY58" s="724"/>
      <c r="BZ58" s="724"/>
      <c r="CA58" s="724"/>
      <c r="CB58" s="724"/>
      <c r="CC58" s="724"/>
      <c r="CD58" s="724"/>
      <c r="CE58" s="724"/>
      <c r="CF58" s="724"/>
      <c r="CG58" s="724"/>
      <c r="CH58" s="724"/>
      <c r="CI58" s="724"/>
      <c r="CJ58" s="724"/>
      <c r="CK58" s="724"/>
      <c r="CL58" s="724"/>
      <c r="CM58" s="724"/>
      <c r="CN58" s="724"/>
      <c r="CO58" s="724"/>
      <c r="CP58" s="724"/>
      <c r="CQ58" s="724"/>
      <c r="CR58" s="724"/>
    </row>
    <row r="59" s="650" customFormat="1" ht="31" customHeight="1" spans="1:96">
      <c r="A59" s="713">
        <v>46090</v>
      </c>
      <c r="B59" s="714" t="s">
        <v>114</v>
      </c>
      <c r="C59" s="715" t="s">
        <v>115</v>
      </c>
      <c r="D59" s="652">
        <v>4500195755</v>
      </c>
      <c r="E59" s="715" t="s">
        <v>4161</v>
      </c>
      <c r="F59" s="652" t="s">
        <v>4162</v>
      </c>
      <c r="G59" s="716" t="s">
        <v>3980</v>
      </c>
      <c r="H59" s="715" t="s">
        <v>3978</v>
      </c>
      <c r="I59" s="717">
        <v>14200</v>
      </c>
      <c r="J59" s="715">
        <v>0</v>
      </c>
      <c r="K59" s="715">
        <v>8</v>
      </c>
      <c r="L59" s="715">
        <f t="shared" si="8"/>
        <v>1775</v>
      </c>
      <c r="M59" s="719">
        <v>46141</v>
      </c>
      <c r="N59" s="719">
        <v>46137</v>
      </c>
      <c r="O59" s="714"/>
      <c r="P59" s="717" t="s">
        <v>106</v>
      </c>
      <c r="Q59" s="717"/>
      <c r="R59" s="723">
        <v>46105</v>
      </c>
      <c r="S59" s="720" t="s">
        <v>107</v>
      </c>
      <c r="T59" s="720" t="s">
        <v>4163</v>
      </c>
      <c r="U59" s="720"/>
      <c r="V59" s="720" t="s">
        <v>4056</v>
      </c>
      <c r="W59" s="720"/>
      <c r="X59" s="720" t="s">
        <v>4135</v>
      </c>
      <c r="Y59" s="719" t="s">
        <v>123</v>
      </c>
      <c r="Z59" s="715">
        <v>2.88</v>
      </c>
      <c r="AA59" s="652">
        <f t="shared" si="10"/>
        <v>40896</v>
      </c>
      <c r="AB59" s="729" t="s">
        <v>4164</v>
      </c>
      <c r="AC59" s="722" t="s">
        <v>3980</v>
      </c>
      <c r="AD59" s="715" t="s">
        <v>112</v>
      </c>
      <c r="AE59" s="715">
        <f t="shared" si="3"/>
        <v>14200</v>
      </c>
      <c r="AF59" s="715" t="s">
        <v>4109</v>
      </c>
      <c r="AG59" s="715">
        <f>2304+3456+8152+288</f>
        <v>14200</v>
      </c>
      <c r="AH59" s="715">
        <f t="shared" ref="AH59:AH90" si="13">AG59-I59</f>
        <v>0</v>
      </c>
      <c r="AI59" s="717" t="s">
        <v>120</v>
      </c>
      <c r="AJ59" s="715" t="s">
        <v>3981</v>
      </c>
      <c r="AK59" s="652">
        <f t="shared" si="11"/>
        <v>14200</v>
      </c>
      <c r="AL59" s="652"/>
      <c r="AM59" s="652"/>
      <c r="AN59" s="652">
        <f t="shared" si="9"/>
        <v>14200</v>
      </c>
      <c r="AO59" s="652"/>
      <c r="AP59" s="652"/>
      <c r="AQ59" s="652"/>
      <c r="AR59" s="652"/>
      <c r="AS59" s="652"/>
      <c r="AT59" s="652">
        <f t="shared" si="12"/>
        <v>1775</v>
      </c>
      <c r="AU59" s="652"/>
      <c r="AV59" s="652"/>
      <c r="AW59" s="652"/>
      <c r="AX59" s="652"/>
      <c r="AY59" s="652"/>
      <c r="AZ59" s="652"/>
      <c r="BA59" s="652"/>
      <c r="BB59" s="652"/>
      <c r="BC59" s="652"/>
      <c r="BD59" s="652"/>
      <c r="BE59" s="652"/>
      <c r="BF59" s="652"/>
      <c r="BG59" s="652"/>
      <c r="BH59" s="652"/>
      <c r="BI59" s="652"/>
      <c r="BJ59" s="731"/>
      <c r="BK59" s="731"/>
      <c r="BL59" s="731"/>
      <c r="BM59" s="731"/>
      <c r="BN59" s="731"/>
      <c r="BO59" s="731"/>
      <c r="BP59" s="731"/>
      <c r="BQ59" s="731"/>
      <c r="BR59" s="731"/>
      <c r="BS59" s="731"/>
      <c r="BT59" s="731"/>
      <c r="BU59" s="731"/>
      <c r="BV59" s="731"/>
      <c r="BW59" s="731"/>
      <c r="BX59" s="731"/>
      <c r="BY59" s="731"/>
      <c r="BZ59" s="731"/>
      <c r="CA59" s="731"/>
      <c r="CB59" s="731"/>
      <c r="CC59" s="731"/>
      <c r="CD59" s="731"/>
      <c r="CE59" s="731"/>
      <c r="CF59" s="731"/>
      <c r="CG59" s="731"/>
      <c r="CH59" s="731"/>
      <c r="CI59" s="731"/>
      <c r="CJ59" s="731"/>
      <c r="CK59" s="731"/>
      <c r="CL59" s="731"/>
      <c r="CM59" s="731"/>
      <c r="CN59" s="731"/>
      <c r="CO59" s="731"/>
      <c r="CP59" s="731"/>
      <c r="CQ59" s="731"/>
      <c r="CR59" s="731"/>
    </row>
    <row r="60" s="650" customFormat="1" ht="31" customHeight="1" spans="1:96">
      <c r="A60" s="713">
        <v>46080</v>
      </c>
      <c r="B60" s="714" t="s">
        <v>296</v>
      </c>
      <c r="C60" s="715" t="s">
        <v>115</v>
      </c>
      <c r="D60" s="652">
        <v>4500194444</v>
      </c>
      <c r="E60" s="715">
        <v>219021593</v>
      </c>
      <c r="F60" s="652" t="s">
        <v>4165</v>
      </c>
      <c r="G60" s="716" t="s">
        <v>3980</v>
      </c>
      <c r="H60" s="715" t="s">
        <v>3978</v>
      </c>
      <c r="I60" s="717">
        <v>1824</v>
      </c>
      <c r="J60" s="715">
        <v>0</v>
      </c>
      <c r="K60" s="715">
        <v>8</v>
      </c>
      <c r="L60" s="715">
        <f t="shared" si="8"/>
        <v>228</v>
      </c>
      <c r="M60" s="719">
        <v>46142</v>
      </c>
      <c r="N60" s="719">
        <v>46139</v>
      </c>
      <c r="O60" s="714"/>
      <c r="P60" s="717" t="s">
        <v>106</v>
      </c>
      <c r="Q60" s="717"/>
      <c r="R60" s="723">
        <v>46111</v>
      </c>
      <c r="S60" s="720" t="s">
        <v>107</v>
      </c>
      <c r="T60" s="720" t="s">
        <v>95</v>
      </c>
      <c r="U60" s="720"/>
      <c r="V60" s="720"/>
      <c r="W60" s="720"/>
      <c r="X60" s="720" t="s">
        <v>4166</v>
      </c>
      <c r="Y60" s="719" t="s">
        <v>299</v>
      </c>
      <c r="Z60" s="733">
        <v>3</v>
      </c>
      <c r="AA60" s="652">
        <f t="shared" si="10"/>
        <v>5472</v>
      </c>
      <c r="AB60" s="729" t="s">
        <v>4167</v>
      </c>
      <c r="AC60" s="722" t="s">
        <v>3980</v>
      </c>
      <c r="AD60" s="715" t="s">
        <v>112</v>
      </c>
      <c r="AE60" s="715">
        <f t="shared" si="3"/>
        <v>1824</v>
      </c>
      <c r="AF60" s="715"/>
      <c r="AG60" s="715">
        <v>1824</v>
      </c>
      <c r="AH60" s="715">
        <f t="shared" si="13"/>
        <v>0</v>
      </c>
      <c r="AI60" s="717"/>
      <c r="AJ60" s="715" t="s">
        <v>3981</v>
      </c>
      <c r="AK60" s="652">
        <f t="shared" si="11"/>
        <v>1824</v>
      </c>
      <c r="AL60" s="652"/>
      <c r="AM60" s="652"/>
      <c r="AN60" s="652">
        <f t="shared" si="9"/>
        <v>1824</v>
      </c>
      <c r="AO60" s="652"/>
      <c r="AP60" s="652"/>
      <c r="AQ60" s="652"/>
      <c r="AR60" s="652"/>
      <c r="AS60" s="652"/>
      <c r="AT60" s="652">
        <f t="shared" si="12"/>
        <v>228</v>
      </c>
      <c r="AU60" s="652"/>
      <c r="AV60" s="652"/>
      <c r="AW60" s="652"/>
      <c r="AX60" s="652"/>
      <c r="AY60" s="652"/>
      <c r="AZ60" s="652"/>
      <c r="BA60" s="652"/>
      <c r="BB60" s="652"/>
      <c r="BC60" s="652"/>
      <c r="BD60" s="652"/>
      <c r="BE60" s="652"/>
      <c r="BF60" s="652"/>
      <c r="BG60" s="652"/>
      <c r="BH60" s="652"/>
      <c r="BI60" s="652"/>
      <c r="BJ60" s="724"/>
      <c r="BK60" s="724"/>
      <c r="BL60" s="724"/>
      <c r="BM60" s="724"/>
      <c r="BN60" s="724"/>
      <c r="BO60" s="724"/>
      <c r="BP60" s="724"/>
      <c r="BQ60" s="724"/>
      <c r="BR60" s="724"/>
      <c r="BS60" s="724"/>
      <c r="BT60" s="724"/>
      <c r="BU60" s="724"/>
      <c r="BV60" s="724"/>
      <c r="BW60" s="724"/>
      <c r="BX60" s="724"/>
      <c r="BY60" s="724"/>
      <c r="BZ60" s="724"/>
      <c r="CA60" s="724"/>
      <c r="CB60" s="724"/>
      <c r="CC60" s="724"/>
      <c r="CD60" s="724"/>
      <c r="CE60" s="724"/>
      <c r="CF60" s="724"/>
      <c r="CG60" s="724"/>
      <c r="CH60" s="724"/>
      <c r="CI60" s="724"/>
      <c r="CJ60" s="724"/>
      <c r="CK60" s="724"/>
      <c r="CL60" s="724"/>
      <c r="CM60" s="724"/>
      <c r="CN60" s="724"/>
      <c r="CO60" s="724"/>
      <c r="CP60" s="724"/>
      <c r="CQ60" s="724"/>
      <c r="CR60" s="724"/>
    </row>
    <row r="61" s="650" customFormat="1" ht="31" customHeight="1" spans="1:96">
      <c r="A61" s="713">
        <v>46080</v>
      </c>
      <c r="B61" s="714" t="s">
        <v>296</v>
      </c>
      <c r="C61" s="715" t="s">
        <v>115</v>
      </c>
      <c r="D61" s="652">
        <v>4500194444</v>
      </c>
      <c r="E61" s="715">
        <v>219021652</v>
      </c>
      <c r="F61" s="652" t="s">
        <v>4168</v>
      </c>
      <c r="G61" s="716" t="s">
        <v>3980</v>
      </c>
      <c r="H61" s="715" t="s">
        <v>3978</v>
      </c>
      <c r="I61" s="717">
        <v>1064</v>
      </c>
      <c r="J61" s="715">
        <v>0</v>
      </c>
      <c r="K61" s="715">
        <v>8</v>
      </c>
      <c r="L61" s="715">
        <f t="shared" si="8"/>
        <v>133</v>
      </c>
      <c r="M61" s="719">
        <v>46142</v>
      </c>
      <c r="N61" s="719">
        <v>46139</v>
      </c>
      <c r="O61" s="714"/>
      <c r="P61" s="717" t="s">
        <v>106</v>
      </c>
      <c r="Q61" s="717"/>
      <c r="R61" s="723">
        <v>46111</v>
      </c>
      <c r="S61" s="720" t="s">
        <v>107</v>
      </c>
      <c r="T61" s="720" t="s">
        <v>95</v>
      </c>
      <c r="U61" s="720"/>
      <c r="V61" s="720"/>
      <c r="W61" s="720"/>
      <c r="X61" s="720" t="s">
        <v>4166</v>
      </c>
      <c r="Y61" s="719" t="s">
        <v>299</v>
      </c>
      <c r="Z61" s="715">
        <v>3</v>
      </c>
      <c r="AA61" s="652">
        <f t="shared" si="10"/>
        <v>3192</v>
      </c>
      <c r="AB61" s="729" t="s">
        <v>4169</v>
      </c>
      <c r="AC61" s="722" t="s">
        <v>3980</v>
      </c>
      <c r="AD61" s="715" t="s">
        <v>112</v>
      </c>
      <c r="AE61" s="715">
        <f t="shared" si="3"/>
        <v>1064</v>
      </c>
      <c r="AF61" s="715"/>
      <c r="AG61" s="715">
        <v>1064</v>
      </c>
      <c r="AH61" s="715">
        <f t="shared" si="13"/>
        <v>0</v>
      </c>
      <c r="AI61" s="717"/>
      <c r="AJ61" s="715" t="s">
        <v>3981</v>
      </c>
      <c r="AK61" s="652">
        <f t="shared" si="11"/>
        <v>1064</v>
      </c>
      <c r="AL61" s="652"/>
      <c r="AM61" s="652"/>
      <c r="AN61" s="652">
        <f t="shared" si="9"/>
        <v>1064</v>
      </c>
      <c r="AO61" s="652"/>
      <c r="AP61" s="652"/>
      <c r="AQ61" s="652"/>
      <c r="AR61" s="652"/>
      <c r="AS61" s="652"/>
      <c r="AT61" s="652">
        <f t="shared" si="12"/>
        <v>133</v>
      </c>
      <c r="AU61" s="652"/>
      <c r="AV61" s="652"/>
      <c r="AW61" s="652"/>
      <c r="AX61" s="652"/>
      <c r="AY61" s="652"/>
      <c r="AZ61" s="652"/>
      <c r="BA61" s="652"/>
      <c r="BB61" s="652"/>
      <c r="BC61" s="652"/>
      <c r="BD61" s="652"/>
      <c r="BE61" s="652"/>
      <c r="BF61" s="652"/>
      <c r="BG61" s="652"/>
      <c r="BH61" s="652"/>
      <c r="BI61" s="652"/>
      <c r="BJ61" s="724"/>
      <c r="BK61" s="724"/>
      <c r="BL61" s="724"/>
      <c r="BM61" s="724"/>
      <c r="BN61" s="724"/>
      <c r="BO61" s="724"/>
      <c r="BP61" s="724"/>
      <c r="BQ61" s="724"/>
      <c r="BR61" s="724"/>
      <c r="BS61" s="724"/>
      <c r="BT61" s="724"/>
      <c r="BU61" s="724"/>
      <c r="BV61" s="724"/>
      <c r="BW61" s="724"/>
      <c r="BX61" s="724"/>
      <c r="BY61" s="724"/>
      <c r="BZ61" s="724"/>
      <c r="CA61" s="724"/>
      <c r="CB61" s="724"/>
      <c r="CC61" s="724"/>
      <c r="CD61" s="724"/>
      <c r="CE61" s="724"/>
      <c r="CF61" s="724"/>
      <c r="CG61" s="724"/>
      <c r="CH61" s="724"/>
      <c r="CI61" s="724"/>
      <c r="CJ61" s="724"/>
      <c r="CK61" s="724"/>
      <c r="CL61" s="724"/>
      <c r="CM61" s="724"/>
      <c r="CN61" s="724"/>
      <c r="CO61" s="724"/>
      <c r="CP61" s="724"/>
      <c r="CQ61" s="724"/>
      <c r="CR61" s="724"/>
    </row>
    <row r="62" s="651" customFormat="1" ht="31" customHeight="1" spans="1:96">
      <c r="A62" s="713">
        <v>46080</v>
      </c>
      <c r="B62" s="714" t="s">
        <v>296</v>
      </c>
      <c r="C62" s="715" t="s">
        <v>115</v>
      </c>
      <c r="D62" s="652">
        <v>4500194442</v>
      </c>
      <c r="E62" s="715">
        <v>219072777</v>
      </c>
      <c r="F62" s="652" t="s">
        <v>4170</v>
      </c>
      <c r="G62" s="716" t="s">
        <v>3980</v>
      </c>
      <c r="H62" s="715" t="s">
        <v>3978</v>
      </c>
      <c r="I62" s="717">
        <v>984</v>
      </c>
      <c r="J62" s="715">
        <v>0</v>
      </c>
      <c r="K62" s="715">
        <v>8</v>
      </c>
      <c r="L62" s="715">
        <f t="shared" si="8"/>
        <v>123</v>
      </c>
      <c r="M62" s="719">
        <v>46142</v>
      </c>
      <c r="N62" s="719">
        <v>46139</v>
      </c>
      <c r="O62" s="714"/>
      <c r="P62" s="717" t="s">
        <v>106</v>
      </c>
      <c r="Q62" s="717"/>
      <c r="R62" s="723">
        <v>46111</v>
      </c>
      <c r="S62" s="720" t="s">
        <v>107</v>
      </c>
      <c r="T62" s="720" t="s">
        <v>95</v>
      </c>
      <c r="U62" s="720"/>
      <c r="V62" s="720"/>
      <c r="W62" s="720"/>
      <c r="X62" s="720" t="s">
        <v>4171</v>
      </c>
      <c r="Y62" s="719" t="s">
        <v>299</v>
      </c>
      <c r="Z62" s="715">
        <v>3</v>
      </c>
      <c r="AA62" s="652">
        <f t="shared" si="10"/>
        <v>2952</v>
      </c>
      <c r="AB62" s="729" t="s">
        <v>425</v>
      </c>
      <c r="AC62" s="722" t="s">
        <v>3980</v>
      </c>
      <c r="AD62" s="715" t="s">
        <v>112</v>
      </c>
      <c r="AE62" s="715">
        <f t="shared" si="3"/>
        <v>984</v>
      </c>
      <c r="AF62" s="715"/>
      <c r="AG62" s="715">
        <v>984</v>
      </c>
      <c r="AH62" s="715">
        <f t="shared" si="13"/>
        <v>0</v>
      </c>
      <c r="AI62" s="717"/>
      <c r="AJ62" s="715" t="s">
        <v>3981</v>
      </c>
      <c r="AK62" s="652">
        <f t="shared" si="11"/>
        <v>984</v>
      </c>
      <c r="AL62" s="652"/>
      <c r="AM62" s="652"/>
      <c r="AN62" s="652">
        <f t="shared" si="9"/>
        <v>984</v>
      </c>
      <c r="AO62" s="652"/>
      <c r="AP62" s="652"/>
      <c r="AQ62" s="652"/>
      <c r="AR62" s="652"/>
      <c r="AS62" s="652"/>
      <c r="AT62" s="652">
        <f t="shared" si="12"/>
        <v>123</v>
      </c>
      <c r="AU62" s="652"/>
      <c r="AV62" s="652"/>
      <c r="AW62" s="652"/>
      <c r="AX62" s="652"/>
      <c r="AY62" s="652"/>
      <c r="AZ62" s="652"/>
      <c r="BA62" s="652"/>
      <c r="BB62" s="652"/>
      <c r="BC62" s="652"/>
      <c r="BD62" s="652"/>
      <c r="BE62" s="652"/>
      <c r="BF62" s="652"/>
      <c r="BG62" s="652"/>
      <c r="BH62" s="652"/>
      <c r="BI62" s="652"/>
      <c r="BJ62" s="724"/>
      <c r="BK62" s="724"/>
      <c r="BL62" s="724"/>
      <c r="BM62" s="724"/>
      <c r="BN62" s="724"/>
      <c r="BO62" s="724"/>
      <c r="BP62" s="724"/>
      <c r="BQ62" s="724"/>
      <c r="BR62" s="724"/>
      <c r="BS62" s="724"/>
      <c r="BT62" s="724"/>
      <c r="BU62" s="724"/>
      <c r="BV62" s="724"/>
      <c r="BW62" s="724"/>
      <c r="BX62" s="724"/>
      <c r="BY62" s="724"/>
      <c r="BZ62" s="724"/>
      <c r="CA62" s="724"/>
      <c r="CB62" s="724"/>
      <c r="CC62" s="724"/>
      <c r="CD62" s="724"/>
      <c r="CE62" s="724"/>
      <c r="CF62" s="724"/>
      <c r="CG62" s="724"/>
      <c r="CH62" s="724"/>
      <c r="CI62" s="724"/>
      <c r="CJ62" s="724"/>
      <c r="CK62" s="724"/>
      <c r="CL62" s="724"/>
      <c r="CM62" s="724"/>
      <c r="CN62" s="724"/>
      <c r="CO62" s="724"/>
      <c r="CP62" s="724"/>
      <c r="CQ62" s="724"/>
      <c r="CR62" s="724"/>
    </row>
    <row r="63" s="650" customFormat="1" ht="31" customHeight="1" spans="1:96">
      <c r="A63" s="713">
        <v>46080</v>
      </c>
      <c r="B63" s="714" t="s">
        <v>296</v>
      </c>
      <c r="C63" s="715" t="s">
        <v>115</v>
      </c>
      <c r="D63" s="652">
        <v>4500194442</v>
      </c>
      <c r="E63" s="715">
        <v>219072785</v>
      </c>
      <c r="F63" s="652" t="s">
        <v>4172</v>
      </c>
      <c r="G63" s="716" t="s">
        <v>3980</v>
      </c>
      <c r="H63" s="715" t="s">
        <v>3978</v>
      </c>
      <c r="I63" s="717">
        <v>1824</v>
      </c>
      <c r="J63" s="715">
        <v>0</v>
      </c>
      <c r="K63" s="715">
        <v>8</v>
      </c>
      <c r="L63" s="715">
        <f t="shared" si="8"/>
        <v>228</v>
      </c>
      <c r="M63" s="719">
        <v>46142</v>
      </c>
      <c r="N63" s="719">
        <v>46139</v>
      </c>
      <c r="O63" s="714"/>
      <c r="P63" s="717" t="s">
        <v>106</v>
      </c>
      <c r="Q63" s="717"/>
      <c r="R63" s="723">
        <v>46111</v>
      </c>
      <c r="S63" s="720" t="s">
        <v>107</v>
      </c>
      <c r="T63" s="720" t="s">
        <v>95</v>
      </c>
      <c r="U63" s="720"/>
      <c r="V63" s="720"/>
      <c r="W63" s="720"/>
      <c r="X63" s="720" t="s">
        <v>4171</v>
      </c>
      <c r="Y63" s="719" t="s">
        <v>299</v>
      </c>
      <c r="Z63" s="715">
        <v>3</v>
      </c>
      <c r="AA63" s="652">
        <f t="shared" si="10"/>
        <v>5472</v>
      </c>
      <c r="AB63" s="729" t="s">
        <v>425</v>
      </c>
      <c r="AC63" s="722" t="s">
        <v>3980</v>
      </c>
      <c r="AD63" s="715" t="s">
        <v>112</v>
      </c>
      <c r="AE63" s="715">
        <f t="shared" si="3"/>
        <v>1824</v>
      </c>
      <c r="AF63" s="715"/>
      <c r="AG63" s="715">
        <v>1824</v>
      </c>
      <c r="AH63" s="715">
        <f t="shared" si="13"/>
        <v>0</v>
      </c>
      <c r="AI63" s="717"/>
      <c r="AJ63" s="715" t="s">
        <v>3981</v>
      </c>
      <c r="AK63" s="652">
        <f t="shared" si="11"/>
        <v>1824</v>
      </c>
      <c r="AL63" s="652"/>
      <c r="AM63" s="652"/>
      <c r="AN63" s="652">
        <f t="shared" si="9"/>
        <v>1824</v>
      </c>
      <c r="AO63" s="652"/>
      <c r="AP63" s="652"/>
      <c r="AQ63" s="652"/>
      <c r="AR63" s="652"/>
      <c r="AS63" s="652"/>
      <c r="AT63" s="652">
        <f t="shared" si="12"/>
        <v>228</v>
      </c>
      <c r="AU63" s="652"/>
      <c r="AV63" s="652"/>
      <c r="AW63" s="652"/>
      <c r="AX63" s="652"/>
      <c r="AY63" s="652"/>
      <c r="AZ63" s="652"/>
      <c r="BA63" s="652"/>
      <c r="BB63" s="652"/>
      <c r="BC63" s="652"/>
      <c r="BD63" s="652"/>
      <c r="BE63" s="652"/>
      <c r="BF63" s="652"/>
      <c r="BG63" s="652"/>
      <c r="BH63" s="652"/>
      <c r="BI63" s="652"/>
      <c r="BJ63" s="724"/>
      <c r="BK63" s="724"/>
      <c r="BL63" s="724"/>
      <c r="BM63" s="724"/>
      <c r="BN63" s="724"/>
      <c r="BO63" s="724"/>
      <c r="BP63" s="724"/>
      <c r="BQ63" s="724"/>
      <c r="BR63" s="724"/>
      <c r="BS63" s="724"/>
      <c r="BT63" s="724"/>
      <c r="BU63" s="724"/>
      <c r="BV63" s="724"/>
      <c r="BW63" s="724"/>
      <c r="BX63" s="724"/>
      <c r="BY63" s="724"/>
      <c r="BZ63" s="724"/>
      <c r="CA63" s="724"/>
      <c r="CB63" s="724"/>
      <c r="CC63" s="724"/>
      <c r="CD63" s="724"/>
      <c r="CE63" s="724"/>
      <c r="CF63" s="724"/>
      <c r="CG63" s="724"/>
      <c r="CH63" s="724"/>
      <c r="CI63" s="724"/>
      <c r="CJ63" s="724"/>
      <c r="CK63" s="724"/>
      <c r="CL63" s="724"/>
      <c r="CM63" s="724"/>
      <c r="CN63" s="724"/>
      <c r="CO63" s="724"/>
      <c r="CP63" s="724"/>
      <c r="CQ63" s="724"/>
      <c r="CR63" s="724"/>
    </row>
    <row r="64" s="650" customFormat="1" ht="31" customHeight="1" spans="1:96">
      <c r="A64" s="713">
        <v>46080</v>
      </c>
      <c r="B64" s="714" t="s">
        <v>280</v>
      </c>
      <c r="C64" s="715" t="s">
        <v>135</v>
      </c>
      <c r="D64" s="652">
        <v>4500194581</v>
      </c>
      <c r="E64" s="715" t="s">
        <v>332</v>
      </c>
      <c r="F64" s="652" t="s">
        <v>4173</v>
      </c>
      <c r="G64" s="716" t="s">
        <v>3980</v>
      </c>
      <c r="H64" s="715" t="s">
        <v>3978</v>
      </c>
      <c r="I64" s="717">
        <v>3000</v>
      </c>
      <c r="J64" s="715">
        <v>0</v>
      </c>
      <c r="K64" s="715">
        <v>8</v>
      </c>
      <c r="L64" s="718">
        <f t="shared" si="8"/>
        <v>375</v>
      </c>
      <c r="M64" s="719">
        <v>46142</v>
      </c>
      <c r="N64" s="719">
        <f>M64-3</f>
        <v>46139</v>
      </c>
      <c r="O64" s="717" t="s">
        <v>4174</v>
      </c>
      <c r="P64" s="717" t="s">
        <v>106</v>
      </c>
      <c r="Q64" s="717" t="s">
        <v>285</v>
      </c>
      <c r="R64" s="734">
        <v>46093</v>
      </c>
      <c r="S64" s="720" t="s">
        <v>107</v>
      </c>
      <c r="T64" s="735" t="s">
        <v>4175</v>
      </c>
      <c r="U64" s="735"/>
      <c r="V64" s="720" t="s">
        <v>4176</v>
      </c>
      <c r="W64" s="720" t="s">
        <v>4177</v>
      </c>
      <c r="X64" s="720" t="s">
        <v>4178</v>
      </c>
      <c r="Y64" s="719" t="s">
        <v>288</v>
      </c>
      <c r="Z64" s="715">
        <v>5</v>
      </c>
      <c r="AA64" s="715">
        <f t="shared" si="10"/>
        <v>15000</v>
      </c>
      <c r="AB64" s="736"/>
      <c r="AC64" s="722" t="s">
        <v>3980</v>
      </c>
      <c r="AD64" s="715" t="s">
        <v>112</v>
      </c>
      <c r="AE64" s="715">
        <f t="shared" si="3"/>
        <v>3000</v>
      </c>
      <c r="AF64" s="715" t="s">
        <v>4109</v>
      </c>
      <c r="AG64" s="715">
        <v>3000</v>
      </c>
      <c r="AH64" s="715">
        <f t="shared" si="13"/>
        <v>0</v>
      </c>
      <c r="AI64" s="717"/>
      <c r="AJ64" s="715" t="s">
        <v>3981</v>
      </c>
      <c r="AK64" s="652">
        <f t="shared" si="11"/>
        <v>3000</v>
      </c>
      <c r="AL64" s="652"/>
      <c r="AM64" s="652"/>
      <c r="AN64" s="652">
        <f t="shared" si="9"/>
        <v>3000</v>
      </c>
      <c r="AO64" s="652"/>
      <c r="AP64" s="652"/>
      <c r="AQ64" s="652"/>
      <c r="AR64" s="652"/>
      <c r="AS64" s="652"/>
      <c r="AT64" s="652">
        <f t="shared" si="12"/>
        <v>375</v>
      </c>
      <c r="AU64" s="652"/>
      <c r="AV64" s="652"/>
      <c r="AW64" s="652"/>
      <c r="AX64" s="652"/>
      <c r="AY64" s="652"/>
      <c r="AZ64" s="652"/>
      <c r="BA64" s="652"/>
      <c r="BB64" s="652"/>
      <c r="BC64" s="652"/>
      <c r="BD64" s="652"/>
      <c r="BE64" s="652"/>
      <c r="BF64" s="652"/>
      <c r="BG64" s="652"/>
      <c r="BH64" s="652"/>
      <c r="BI64" s="652"/>
      <c r="BJ64" s="731"/>
      <c r="BK64" s="731"/>
      <c r="BL64" s="731"/>
      <c r="BM64" s="731"/>
      <c r="BN64" s="731"/>
      <c r="BO64" s="731"/>
      <c r="BP64" s="731"/>
      <c r="BQ64" s="731"/>
      <c r="BR64" s="731"/>
      <c r="BS64" s="731"/>
      <c r="BT64" s="731"/>
      <c r="BU64" s="731"/>
      <c r="BV64" s="731"/>
      <c r="BW64" s="731"/>
      <c r="BX64" s="731"/>
      <c r="BY64" s="731"/>
      <c r="BZ64" s="731"/>
      <c r="CA64" s="731"/>
      <c r="CB64" s="731"/>
      <c r="CC64" s="731"/>
      <c r="CD64" s="731"/>
      <c r="CE64" s="731"/>
      <c r="CF64" s="731"/>
      <c r="CG64" s="731"/>
      <c r="CH64" s="731"/>
      <c r="CI64" s="731"/>
      <c r="CJ64" s="731"/>
      <c r="CK64" s="731"/>
      <c r="CL64" s="731"/>
      <c r="CM64" s="731"/>
      <c r="CN64" s="731"/>
      <c r="CO64" s="731"/>
      <c r="CP64" s="731"/>
      <c r="CQ64" s="731"/>
      <c r="CR64" s="731"/>
    </row>
    <row r="65" s="650" customFormat="1" ht="31" customHeight="1" spans="1:96">
      <c r="A65" s="713">
        <v>46091</v>
      </c>
      <c r="B65" s="714" t="s">
        <v>432</v>
      </c>
      <c r="C65" s="715" t="s">
        <v>433</v>
      </c>
      <c r="D65" s="652">
        <v>4500196085</v>
      </c>
      <c r="E65" s="715"/>
      <c r="F65" s="652" t="s">
        <v>4179</v>
      </c>
      <c r="G65" s="716" t="s">
        <v>3973</v>
      </c>
      <c r="H65" s="715" t="s">
        <v>3995</v>
      </c>
      <c r="I65" s="717">
        <v>800</v>
      </c>
      <c r="J65" s="715">
        <v>0</v>
      </c>
      <c r="K65" s="715">
        <v>16</v>
      </c>
      <c r="L65" s="718">
        <f t="shared" si="8"/>
        <v>50</v>
      </c>
      <c r="M65" s="719">
        <v>46142</v>
      </c>
      <c r="N65" s="719">
        <v>46139</v>
      </c>
      <c r="O65" s="714"/>
      <c r="P65" s="717" t="s">
        <v>106</v>
      </c>
      <c r="Q65" s="717"/>
      <c r="R65" s="723">
        <v>46107</v>
      </c>
      <c r="S65" s="720" t="s">
        <v>107</v>
      </c>
      <c r="T65" s="720" t="s">
        <v>4180</v>
      </c>
      <c r="U65" s="720"/>
      <c r="V65" s="720"/>
      <c r="W65" s="720"/>
      <c r="X65" s="720" t="s">
        <v>4181</v>
      </c>
      <c r="Y65" s="719" t="s">
        <v>437</v>
      </c>
      <c r="Z65" s="715">
        <v>4.355</v>
      </c>
      <c r="AA65" s="715">
        <f>I65*Z65</f>
        <v>3484</v>
      </c>
      <c r="AB65" s="721"/>
      <c r="AC65" s="652" t="s">
        <v>3973</v>
      </c>
      <c r="AD65" s="715" t="s">
        <v>112</v>
      </c>
      <c r="AE65" s="715">
        <f t="shared" si="3"/>
        <v>800</v>
      </c>
      <c r="AF65" s="715"/>
      <c r="AG65" s="715">
        <v>800</v>
      </c>
      <c r="AH65" s="715">
        <f t="shared" si="13"/>
        <v>0</v>
      </c>
      <c r="AI65" s="717" t="s">
        <v>120</v>
      </c>
      <c r="AJ65" s="715" t="s">
        <v>3981</v>
      </c>
      <c r="AK65" s="652">
        <f t="shared" si="11"/>
        <v>800</v>
      </c>
      <c r="AL65" s="652"/>
      <c r="AM65" s="652"/>
      <c r="AN65" s="652">
        <f t="shared" si="9"/>
        <v>800</v>
      </c>
      <c r="AO65" s="652"/>
      <c r="AP65" s="652"/>
      <c r="AQ65" s="652"/>
      <c r="AR65" s="652"/>
      <c r="AS65" s="652"/>
      <c r="AT65" s="652">
        <f t="shared" si="12"/>
        <v>100</v>
      </c>
      <c r="AU65" s="652"/>
      <c r="AV65" s="652"/>
      <c r="AW65" s="652"/>
      <c r="AX65" s="652"/>
      <c r="AY65" s="652"/>
      <c r="AZ65" s="652"/>
      <c r="BA65" s="652"/>
      <c r="BB65" s="652"/>
      <c r="BC65" s="652"/>
      <c r="BD65" s="652"/>
      <c r="BE65" s="652"/>
      <c r="BF65" s="652"/>
      <c r="BG65" s="652"/>
      <c r="BH65" s="652"/>
      <c r="BI65" s="652"/>
      <c r="BJ65" s="737"/>
      <c r="BK65" s="737"/>
      <c r="BL65" s="737"/>
      <c r="BM65" s="737"/>
      <c r="BN65" s="737"/>
      <c r="BO65" s="737"/>
      <c r="BP65" s="737"/>
      <c r="BQ65" s="737"/>
      <c r="BR65" s="737"/>
      <c r="BS65" s="737"/>
      <c r="BT65" s="737"/>
      <c r="BU65" s="737"/>
      <c r="BV65" s="737"/>
      <c r="BW65" s="737"/>
      <c r="BX65" s="737"/>
      <c r="BY65" s="737"/>
      <c r="BZ65" s="737"/>
      <c r="CA65" s="737"/>
      <c r="CB65" s="737"/>
      <c r="CC65" s="737"/>
      <c r="CD65" s="737"/>
      <c r="CE65" s="737"/>
      <c r="CF65" s="737"/>
      <c r="CG65" s="737"/>
      <c r="CH65" s="737"/>
      <c r="CI65" s="737"/>
      <c r="CJ65" s="737"/>
      <c r="CK65" s="737"/>
      <c r="CL65" s="737"/>
      <c r="CM65" s="737"/>
      <c r="CN65" s="737"/>
      <c r="CO65" s="737"/>
      <c r="CP65" s="737"/>
      <c r="CQ65" s="737"/>
      <c r="CR65" s="737"/>
    </row>
    <row r="66" s="650" customFormat="1" ht="31" customHeight="1" spans="1:96">
      <c r="A66" s="713">
        <v>46093</v>
      </c>
      <c r="B66" s="714" t="s">
        <v>427</v>
      </c>
      <c r="C66" s="715" t="s">
        <v>115</v>
      </c>
      <c r="D66" s="652">
        <v>4500196320</v>
      </c>
      <c r="E66" s="715">
        <v>5228</v>
      </c>
      <c r="F66" s="652" t="s">
        <v>4182</v>
      </c>
      <c r="G66" s="716" t="s">
        <v>3973</v>
      </c>
      <c r="H66" s="715" t="s">
        <v>3995</v>
      </c>
      <c r="I66" s="717">
        <v>704</v>
      </c>
      <c r="J66" s="715">
        <v>0</v>
      </c>
      <c r="K66" s="715">
        <v>16</v>
      </c>
      <c r="L66" s="718">
        <f t="shared" si="8"/>
        <v>44</v>
      </c>
      <c r="M66" s="719">
        <v>46142</v>
      </c>
      <c r="N66" s="719">
        <v>46139</v>
      </c>
      <c r="O66" s="714"/>
      <c r="P66" s="717" t="s">
        <v>106</v>
      </c>
      <c r="Q66" s="717"/>
      <c r="R66" s="723">
        <v>46114</v>
      </c>
      <c r="S66" s="720" t="s">
        <v>107</v>
      </c>
      <c r="T66" s="720" t="s">
        <v>95</v>
      </c>
      <c r="U66" s="720"/>
      <c r="V66" s="720"/>
      <c r="W66" s="720"/>
      <c r="X66" s="720" t="s">
        <v>429</v>
      </c>
      <c r="Y66" s="719" t="s">
        <v>430</v>
      </c>
      <c r="Z66" s="715">
        <v>2.613</v>
      </c>
      <c r="AA66" s="715">
        <f>I66*Z66</f>
        <v>1839.552</v>
      </c>
      <c r="AB66" s="729" t="s">
        <v>431</v>
      </c>
      <c r="AC66" s="652" t="s">
        <v>3973</v>
      </c>
      <c r="AD66" s="715" t="s">
        <v>112</v>
      </c>
      <c r="AE66" s="715">
        <f t="shared" si="3"/>
        <v>704</v>
      </c>
      <c r="AF66" s="715"/>
      <c r="AG66" s="715">
        <v>704</v>
      </c>
      <c r="AH66" s="715">
        <f t="shared" si="13"/>
        <v>0</v>
      </c>
      <c r="AI66" s="717" t="s">
        <v>95</v>
      </c>
      <c r="AJ66" s="715" t="s">
        <v>3981</v>
      </c>
      <c r="AK66" s="652">
        <f t="shared" si="11"/>
        <v>704</v>
      </c>
      <c r="AL66" s="652"/>
      <c r="AM66" s="652"/>
      <c r="AN66" s="652">
        <f t="shared" si="9"/>
        <v>704</v>
      </c>
      <c r="AO66" s="652"/>
      <c r="AP66" s="652"/>
      <c r="AQ66" s="652"/>
      <c r="AR66" s="652"/>
      <c r="AS66" s="652"/>
      <c r="AT66" s="652">
        <f t="shared" si="12"/>
        <v>88</v>
      </c>
      <c r="AU66" s="652"/>
      <c r="AV66" s="652"/>
      <c r="AW66" s="652"/>
      <c r="AX66" s="652"/>
      <c r="AY66" s="652"/>
      <c r="AZ66" s="652"/>
      <c r="BA66" s="652"/>
      <c r="BB66" s="652"/>
      <c r="BC66" s="652"/>
      <c r="BD66" s="652"/>
      <c r="BE66" s="652"/>
      <c r="BF66" s="652"/>
      <c r="BG66" s="652"/>
      <c r="BH66" s="652"/>
      <c r="BI66" s="652"/>
      <c r="BJ66" s="724"/>
      <c r="BK66" s="724"/>
      <c r="BL66" s="724"/>
      <c r="BM66" s="724"/>
      <c r="BN66" s="724"/>
      <c r="BO66" s="724"/>
      <c r="BP66" s="724"/>
      <c r="BQ66" s="724"/>
      <c r="BR66" s="724"/>
      <c r="BS66" s="724"/>
      <c r="BT66" s="724"/>
      <c r="BU66" s="724"/>
      <c r="BV66" s="724"/>
      <c r="BW66" s="724"/>
      <c r="BX66" s="724"/>
      <c r="BY66" s="724"/>
      <c r="BZ66" s="724"/>
      <c r="CA66" s="724"/>
      <c r="CB66" s="724"/>
      <c r="CC66" s="724"/>
      <c r="CD66" s="724"/>
      <c r="CE66" s="724"/>
      <c r="CF66" s="724"/>
      <c r="CG66" s="724"/>
      <c r="CH66" s="724"/>
      <c r="CI66" s="724"/>
      <c r="CJ66" s="724"/>
      <c r="CK66" s="724"/>
      <c r="CL66" s="724"/>
      <c r="CM66" s="724"/>
      <c r="CN66" s="724"/>
      <c r="CO66" s="724"/>
      <c r="CP66" s="724"/>
      <c r="CQ66" s="724"/>
      <c r="CR66" s="724"/>
    </row>
    <row r="67" s="650" customFormat="1" ht="31" customHeight="1" spans="1:96">
      <c r="A67" s="713">
        <v>46080</v>
      </c>
      <c r="B67" s="714" t="s">
        <v>280</v>
      </c>
      <c r="C67" s="715" t="s">
        <v>135</v>
      </c>
      <c r="D67" s="652">
        <v>4500194581</v>
      </c>
      <c r="E67" s="715" t="s">
        <v>4183</v>
      </c>
      <c r="F67" s="652" t="s">
        <v>4184</v>
      </c>
      <c r="G67" s="716" t="s">
        <v>3980</v>
      </c>
      <c r="H67" s="715" t="s">
        <v>3978</v>
      </c>
      <c r="I67" s="717">
        <v>8000</v>
      </c>
      <c r="J67" s="715">
        <v>0</v>
      </c>
      <c r="K67" s="715">
        <v>8</v>
      </c>
      <c r="L67" s="715">
        <f t="shared" si="8"/>
        <v>1000</v>
      </c>
      <c r="M67" s="719">
        <v>46142</v>
      </c>
      <c r="N67" s="719">
        <f>M67-3</f>
        <v>46139</v>
      </c>
      <c r="O67" s="714"/>
      <c r="P67" s="713">
        <v>46142</v>
      </c>
      <c r="Q67" s="717"/>
      <c r="R67" s="723">
        <v>46093</v>
      </c>
      <c r="S67" s="720" t="s">
        <v>107</v>
      </c>
      <c r="T67" s="720" t="s">
        <v>4185</v>
      </c>
      <c r="U67" s="720"/>
      <c r="V67" s="720" t="s">
        <v>4176</v>
      </c>
      <c r="W67" s="720" t="s">
        <v>4177</v>
      </c>
      <c r="X67" s="720" t="s">
        <v>4178</v>
      </c>
      <c r="Y67" s="719" t="s">
        <v>288</v>
      </c>
      <c r="Z67" s="715">
        <v>4.8</v>
      </c>
      <c r="AA67" s="652">
        <f>Z67*I67</f>
        <v>38400</v>
      </c>
      <c r="AB67" s="736"/>
      <c r="AC67" s="722" t="s">
        <v>3980</v>
      </c>
      <c r="AD67" s="715" t="s">
        <v>112</v>
      </c>
      <c r="AE67" s="715">
        <f t="shared" si="3"/>
        <v>8000</v>
      </c>
      <c r="AF67" s="715" t="s">
        <v>4109</v>
      </c>
      <c r="AG67" s="715">
        <f>880+768+6352</f>
        <v>8000</v>
      </c>
      <c r="AH67" s="715">
        <f t="shared" si="13"/>
        <v>0</v>
      </c>
      <c r="AI67" s="717"/>
      <c r="AJ67" s="715" t="s">
        <v>3981</v>
      </c>
      <c r="AK67" s="652">
        <f t="shared" si="11"/>
        <v>8000</v>
      </c>
      <c r="AL67" s="652"/>
      <c r="AM67" s="652"/>
      <c r="AN67" s="652">
        <f t="shared" si="9"/>
        <v>8000</v>
      </c>
      <c r="AO67" s="652"/>
      <c r="AP67" s="652"/>
      <c r="AQ67" s="652"/>
      <c r="AR67" s="652"/>
      <c r="AS67" s="652"/>
      <c r="AT67" s="652">
        <f t="shared" si="12"/>
        <v>1000</v>
      </c>
      <c r="AU67" s="652"/>
      <c r="AV67" s="652"/>
      <c r="AW67" s="652"/>
      <c r="AX67" s="652"/>
      <c r="AY67" s="652"/>
      <c r="AZ67" s="652"/>
      <c r="BA67" s="652"/>
      <c r="BB67" s="652"/>
      <c r="BC67" s="652"/>
      <c r="BD67" s="652"/>
      <c r="BE67" s="652"/>
      <c r="BF67" s="652"/>
      <c r="BG67" s="652"/>
      <c r="BH67" s="652"/>
      <c r="BI67" s="652"/>
      <c r="BJ67" s="731"/>
      <c r="BK67" s="731"/>
      <c r="BL67" s="731"/>
      <c r="BM67" s="731"/>
      <c r="BN67" s="731"/>
      <c r="BO67" s="731"/>
      <c r="BP67" s="731"/>
      <c r="BQ67" s="731"/>
      <c r="BR67" s="731"/>
      <c r="BS67" s="731"/>
      <c r="BT67" s="731"/>
      <c r="BU67" s="731"/>
      <c r="BV67" s="731"/>
      <c r="BW67" s="731"/>
      <c r="BX67" s="731"/>
      <c r="BY67" s="731"/>
      <c r="BZ67" s="731"/>
      <c r="CA67" s="731"/>
      <c r="CB67" s="731"/>
      <c r="CC67" s="731"/>
      <c r="CD67" s="731"/>
      <c r="CE67" s="731"/>
      <c r="CF67" s="731"/>
      <c r="CG67" s="731"/>
      <c r="CH67" s="731"/>
      <c r="CI67" s="731"/>
      <c r="CJ67" s="731"/>
      <c r="CK67" s="731"/>
      <c r="CL67" s="731"/>
      <c r="CM67" s="731"/>
      <c r="CN67" s="731"/>
      <c r="CO67" s="731"/>
      <c r="CP67" s="731"/>
      <c r="CQ67" s="731"/>
      <c r="CR67" s="731"/>
    </row>
    <row r="68" s="650" customFormat="1" ht="31" customHeight="1" spans="1:96">
      <c r="A68" s="713">
        <v>46090</v>
      </c>
      <c r="B68" s="714" t="s">
        <v>525</v>
      </c>
      <c r="C68" s="715" t="s">
        <v>508</v>
      </c>
      <c r="D68" s="652">
        <v>4500195654</v>
      </c>
      <c r="E68" s="715">
        <v>21650903</v>
      </c>
      <c r="F68" s="652" t="s">
        <v>4186</v>
      </c>
      <c r="G68" s="716" t="s">
        <v>3980</v>
      </c>
      <c r="H68" s="715" t="s">
        <v>3978</v>
      </c>
      <c r="I68" s="717">
        <v>1416</v>
      </c>
      <c r="J68" s="715">
        <v>0</v>
      </c>
      <c r="K68" s="715">
        <v>8</v>
      </c>
      <c r="L68" s="715">
        <f t="shared" si="8"/>
        <v>177</v>
      </c>
      <c r="M68" s="738">
        <v>46146</v>
      </c>
      <c r="N68" s="738">
        <f>M68-4</f>
        <v>46142</v>
      </c>
      <c r="O68" s="714"/>
      <c r="P68" s="717" t="s">
        <v>106</v>
      </c>
      <c r="Q68" s="717"/>
      <c r="R68" s="723">
        <v>46107</v>
      </c>
      <c r="S68" s="720" t="s">
        <v>107</v>
      </c>
      <c r="T68" s="720" t="s">
        <v>4050</v>
      </c>
      <c r="U68" s="720"/>
      <c r="V68" s="720"/>
      <c r="W68" s="720"/>
      <c r="X68" s="720" t="s">
        <v>4187</v>
      </c>
      <c r="Y68" s="719" t="s">
        <v>362</v>
      </c>
      <c r="Z68" s="715">
        <v>5</v>
      </c>
      <c r="AA68" s="652">
        <f>Z68*I68</f>
        <v>7080</v>
      </c>
      <c r="AB68" s="721"/>
      <c r="AC68" s="722" t="s">
        <v>3980</v>
      </c>
      <c r="AD68" s="715" t="s">
        <v>112</v>
      </c>
      <c r="AE68" s="715">
        <f t="shared" si="3"/>
        <v>1416</v>
      </c>
      <c r="AF68" s="715"/>
      <c r="AG68" s="715">
        <v>1416</v>
      </c>
      <c r="AH68" s="715">
        <f t="shared" si="13"/>
        <v>0</v>
      </c>
      <c r="AI68" s="717"/>
      <c r="AJ68" s="715" t="s">
        <v>3981</v>
      </c>
      <c r="AK68" s="652">
        <f t="shared" si="11"/>
        <v>1416</v>
      </c>
      <c r="AL68" s="652"/>
      <c r="AM68" s="652"/>
      <c r="AN68" s="652">
        <f t="shared" si="9"/>
        <v>1416</v>
      </c>
      <c r="AO68" s="652"/>
      <c r="AP68" s="652"/>
      <c r="AQ68" s="652"/>
      <c r="AR68" s="652"/>
      <c r="AS68" s="652"/>
      <c r="AT68" s="652">
        <f t="shared" si="12"/>
        <v>177</v>
      </c>
      <c r="AU68" s="652"/>
      <c r="AV68" s="652"/>
      <c r="AW68" s="652"/>
      <c r="AX68" s="652"/>
      <c r="AY68" s="652"/>
      <c r="AZ68" s="652"/>
      <c r="BA68" s="652"/>
      <c r="BB68" s="652"/>
      <c r="BC68" s="652"/>
      <c r="BD68" s="652"/>
      <c r="BE68" s="652"/>
      <c r="BF68" s="652"/>
      <c r="BG68" s="652"/>
      <c r="BH68" s="652"/>
      <c r="BI68" s="652"/>
      <c r="BJ68" s="724"/>
      <c r="BK68" s="724"/>
      <c r="BL68" s="724"/>
      <c r="BM68" s="724"/>
      <c r="BN68" s="724"/>
      <c r="BO68" s="724"/>
      <c r="BP68" s="724"/>
      <c r="BQ68" s="724"/>
      <c r="BR68" s="724"/>
      <c r="BS68" s="724"/>
      <c r="BT68" s="724"/>
      <c r="BU68" s="724"/>
      <c r="BV68" s="724"/>
      <c r="BW68" s="724"/>
      <c r="BX68" s="724"/>
      <c r="BY68" s="724"/>
      <c r="BZ68" s="724"/>
      <c r="CA68" s="724"/>
      <c r="CB68" s="724"/>
      <c r="CC68" s="724"/>
      <c r="CD68" s="724"/>
      <c r="CE68" s="724"/>
      <c r="CF68" s="724"/>
      <c r="CG68" s="724"/>
      <c r="CH68" s="724"/>
      <c r="CI68" s="724"/>
      <c r="CJ68" s="724"/>
      <c r="CK68" s="724"/>
      <c r="CL68" s="724"/>
      <c r="CM68" s="724"/>
      <c r="CN68" s="724"/>
      <c r="CO68" s="724"/>
      <c r="CP68" s="724"/>
      <c r="CQ68" s="724"/>
      <c r="CR68" s="724"/>
    </row>
    <row r="69" s="651" customFormat="1" ht="31" customHeight="1" spans="1:96">
      <c r="A69" s="713">
        <v>46090</v>
      </c>
      <c r="B69" s="714" t="s">
        <v>521</v>
      </c>
      <c r="C69" s="715" t="s">
        <v>101</v>
      </c>
      <c r="D69" s="652">
        <v>4500195655</v>
      </c>
      <c r="E69" s="739">
        <v>21650902</v>
      </c>
      <c r="F69" s="652" t="s">
        <v>4188</v>
      </c>
      <c r="G69" s="716" t="s">
        <v>3980</v>
      </c>
      <c r="H69" s="715" t="s">
        <v>3978</v>
      </c>
      <c r="I69" s="717">
        <v>88</v>
      </c>
      <c r="J69" s="715">
        <v>0</v>
      </c>
      <c r="K69" s="715">
        <v>8</v>
      </c>
      <c r="L69" s="715">
        <f t="shared" si="8"/>
        <v>11</v>
      </c>
      <c r="M69" s="738">
        <v>46146</v>
      </c>
      <c r="N69" s="738">
        <f>M69-4</f>
        <v>46142</v>
      </c>
      <c r="O69" s="714"/>
      <c r="P69" s="717" t="s">
        <v>106</v>
      </c>
      <c r="Q69" s="717"/>
      <c r="R69" s="723">
        <v>46107</v>
      </c>
      <c r="S69" s="720" t="s">
        <v>107</v>
      </c>
      <c r="T69" s="720" t="s">
        <v>4050</v>
      </c>
      <c r="U69" s="720"/>
      <c r="V69" s="720"/>
      <c r="W69" s="720"/>
      <c r="X69" s="720" t="s">
        <v>662</v>
      </c>
      <c r="Y69" s="719" t="s">
        <v>362</v>
      </c>
      <c r="Z69" s="739">
        <v>4.6676</v>
      </c>
      <c r="AA69" s="726">
        <f>Z69*I69</f>
        <v>410.7488</v>
      </c>
      <c r="AB69" s="721"/>
      <c r="AC69" s="722" t="s">
        <v>3980</v>
      </c>
      <c r="AD69" s="715" t="s">
        <v>112</v>
      </c>
      <c r="AE69" s="715">
        <f t="shared" si="3"/>
        <v>88</v>
      </c>
      <c r="AF69" s="715"/>
      <c r="AG69" s="715">
        <v>88</v>
      </c>
      <c r="AH69" s="715">
        <f t="shared" si="13"/>
        <v>0</v>
      </c>
      <c r="AI69" s="717"/>
      <c r="AJ69" s="715" t="s">
        <v>3981</v>
      </c>
      <c r="AK69" s="652">
        <f t="shared" si="11"/>
        <v>88</v>
      </c>
      <c r="AL69" s="652"/>
      <c r="AM69" s="652"/>
      <c r="AN69" s="652">
        <f t="shared" si="9"/>
        <v>88</v>
      </c>
      <c r="AO69" s="652"/>
      <c r="AP69" s="652"/>
      <c r="AQ69" s="652"/>
      <c r="AR69" s="652"/>
      <c r="AS69" s="652"/>
      <c r="AT69" s="652">
        <f t="shared" si="12"/>
        <v>11</v>
      </c>
      <c r="AU69" s="652"/>
      <c r="AV69" s="652"/>
      <c r="AW69" s="652"/>
      <c r="AX69" s="652"/>
      <c r="AY69" s="652"/>
      <c r="AZ69" s="652"/>
      <c r="BA69" s="652"/>
      <c r="BB69" s="652"/>
      <c r="BC69" s="652"/>
      <c r="BD69" s="652"/>
      <c r="BE69" s="652"/>
      <c r="BF69" s="652"/>
      <c r="BG69" s="652"/>
      <c r="BH69" s="652"/>
      <c r="BI69" s="652"/>
      <c r="BJ69" s="724"/>
      <c r="BK69" s="724"/>
      <c r="BL69" s="724"/>
      <c r="BM69" s="724"/>
      <c r="BN69" s="724"/>
      <c r="BO69" s="724"/>
      <c r="BP69" s="724"/>
      <c r="BQ69" s="724"/>
      <c r="BR69" s="724"/>
      <c r="BS69" s="724"/>
      <c r="BT69" s="724"/>
      <c r="BU69" s="724"/>
      <c r="BV69" s="724"/>
      <c r="BW69" s="724"/>
      <c r="BX69" s="724"/>
      <c r="BY69" s="724"/>
      <c r="BZ69" s="724"/>
      <c r="CA69" s="724"/>
      <c r="CB69" s="724"/>
      <c r="CC69" s="724"/>
      <c r="CD69" s="724"/>
      <c r="CE69" s="724"/>
      <c r="CF69" s="724"/>
      <c r="CG69" s="724"/>
      <c r="CH69" s="724"/>
      <c r="CI69" s="724"/>
      <c r="CJ69" s="724"/>
      <c r="CK69" s="724"/>
      <c r="CL69" s="724"/>
      <c r="CM69" s="724"/>
      <c r="CN69" s="724"/>
      <c r="CO69" s="724"/>
      <c r="CP69" s="724"/>
      <c r="CQ69" s="724"/>
      <c r="CR69" s="724"/>
    </row>
    <row r="70" s="650" customFormat="1" ht="31" customHeight="1" spans="1:96">
      <c r="A70" s="713">
        <v>46065</v>
      </c>
      <c r="B70" s="714" t="s">
        <v>445</v>
      </c>
      <c r="C70" s="715" t="s">
        <v>291</v>
      </c>
      <c r="D70" s="652">
        <v>4500193910</v>
      </c>
      <c r="E70" s="715"/>
      <c r="F70" s="652" t="s">
        <v>4189</v>
      </c>
      <c r="G70" s="716" t="s">
        <v>3973</v>
      </c>
      <c r="H70" s="715" t="s">
        <v>3995</v>
      </c>
      <c r="I70" s="717">
        <v>736</v>
      </c>
      <c r="J70" s="715">
        <v>0</v>
      </c>
      <c r="K70" s="715">
        <v>16</v>
      </c>
      <c r="L70" s="718">
        <f t="shared" si="8"/>
        <v>46</v>
      </c>
      <c r="M70" s="719">
        <v>46148</v>
      </c>
      <c r="N70" s="719">
        <v>46144</v>
      </c>
      <c r="O70" s="714" t="s">
        <v>2453</v>
      </c>
      <c r="P70" s="717" t="s">
        <v>106</v>
      </c>
      <c r="Q70" s="717"/>
      <c r="R70" s="723">
        <v>46093</v>
      </c>
      <c r="S70" s="720" t="s">
        <v>107</v>
      </c>
      <c r="T70" s="720" t="s">
        <v>4190</v>
      </c>
      <c r="U70" s="720"/>
      <c r="V70" s="720"/>
      <c r="W70" s="720"/>
      <c r="X70" s="720" t="s">
        <v>4191</v>
      </c>
      <c r="Y70" s="719" t="s">
        <v>450</v>
      </c>
      <c r="Z70" s="715">
        <v>4.355</v>
      </c>
      <c r="AA70" s="715">
        <f>I70*Z70</f>
        <v>3205.28</v>
      </c>
      <c r="AB70" s="721"/>
      <c r="AC70" s="652" t="s">
        <v>4108</v>
      </c>
      <c r="AD70" s="715" t="s">
        <v>112</v>
      </c>
      <c r="AE70" s="715">
        <f t="shared" si="3"/>
        <v>736</v>
      </c>
      <c r="AF70" s="715"/>
      <c r="AG70" s="715">
        <v>736</v>
      </c>
      <c r="AH70" s="715">
        <f t="shared" si="13"/>
        <v>0</v>
      </c>
      <c r="AI70" s="717" t="s">
        <v>120</v>
      </c>
      <c r="AJ70" s="715" t="s">
        <v>3981</v>
      </c>
      <c r="AK70" s="652"/>
      <c r="AL70" s="652">
        <f>I70</f>
        <v>736</v>
      </c>
      <c r="AM70" s="652"/>
      <c r="AN70" s="652">
        <f t="shared" si="9"/>
        <v>736</v>
      </c>
      <c r="AO70" s="652"/>
      <c r="AP70" s="652"/>
      <c r="AQ70" s="652"/>
      <c r="AR70" s="652"/>
      <c r="AS70" s="652"/>
      <c r="AT70" s="652"/>
      <c r="AU70" s="652">
        <f>I70/8</f>
        <v>92</v>
      </c>
      <c r="AV70" s="652"/>
      <c r="AW70" s="652"/>
      <c r="AX70" s="652"/>
      <c r="AY70" s="652"/>
      <c r="AZ70" s="652"/>
      <c r="BA70" s="652"/>
      <c r="BB70" s="652"/>
      <c r="BC70" s="652"/>
      <c r="BD70" s="652"/>
      <c r="BE70" s="652"/>
      <c r="BF70" s="652"/>
      <c r="BG70" s="652"/>
      <c r="BH70" s="652"/>
      <c r="BI70" s="652"/>
      <c r="BJ70" s="737"/>
      <c r="BK70" s="737"/>
      <c r="BL70" s="737"/>
      <c r="BM70" s="737"/>
      <c r="BN70" s="737"/>
      <c r="BO70" s="737"/>
      <c r="BP70" s="737"/>
      <c r="BQ70" s="737"/>
      <c r="BR70" s="737"/>
      <c r="BS70" s="737"/>
      <c r="BT70" s="737"/>
      <c r="BU70" s="737"/>
      <c r="BV70" s="737"/>
      <c r="BW70" s="737"/>
      <c r="BX70" s="737"/>
      <c r="BY70" s="737"/>
      <c r="BZ70" s="737"/>
      <c r="CA70" s="737"/>
      <c r="CB70" s="737"/>
      <c r="CC70" s="737"/>
      <c r="CD70" s="737"/>
      <c r="CE70" s="737"/>
      <c r="CF70" s="737"/>
      <c r="CG70" s="737"/>
      <c r="CH70" s="737"/>
      <c r="CI70" s="737"/>
      <c r="CJ70" s="737"/>
      <c r="CK70" s="737"/>
      <c r="CL70" s="737"/>
      <c r="CM70" s="737"/>
      <c r="CN70" s="737"/>
      <c r="CO70" s="737"/>
      <c r="CP70" s="737"/>
      <c r="CQ70" s="737"/>
      <c r="CR70" s="737"/>
    </row>
    <row r="71" s="650" customFormat="1" ht="31" customHeight="1" spans="1:96">
      <c r="A71" s="713">
        <v>46093</v>
      </c>
      <c r="B71" s="714" t="s">
        <v>346</v>
      </c>
      <c r="C71" s="715" t="s">
        <v>115</v>
      </c>
      <c r="D71" s="652">
        <v>4500196335</v>
      </c>
      <c r="E71" s="1907" t="s">
        <v>4192</v>
      </c>
      <c r="F71" s="652" t="s">
        <v>4193</v>
      </c>
      <c r="G71" s="716" t="s">
        <v>4194</v>
      </c>
      <c r="H71" s="715" t="s">
        <v>4195</v>
      </c>
      <c r="I71" s="717">
        <v>10752</v>
      </c>
      <c r="J71" s="715">
        <v>0</v>
      </c>
      <c r="K71" s="715">
        <v>512</v>
      </c>
      <c r="L71" s="718">
        <f t="shared" si="8"/>
        <v>21</v>
      </c>
      <c r="M71" s="719">
        <v>46149</v>
      </c>
      <c r="N71" s="719">
        <v>46146</v>
      </c>
      <c r="O71" s="714" t="s">
        <v>4196</v>
      </c>
      <c r="P71" s="717" t="s">
        <v>106</v>
      </c>
      <c r="Q71" s="717"/>
      <c r="R71" s="723">
        <v>46093</v>
      </c>
      <c r="S71" s="720" t="s">
        <v>107</v>
      </c>
      <c r="T71" s="720" t="s">
        <v>4197</v>
      </c>
      <c r="U71" s="720"/>
      <c r="V71" s="720"/>
      <c r="W71" s="720"/>
      <c r="X71" s="720" t="s">
        <v>4198</v>
      </c>
      <c r="Y71" s="719" t="s">
        <v>354</v>
      </c>
      <c r="Z71" s="715">
        <v>1309.3919</v>
      </c>
      <c r="AA71" s="715">
        <f>L71*Z71</f>
        <v>27497.2299</v>
      </c>
      <c r="AB71" s="721" t="s">
        <v>518</v>
      </c>
      <c r="AC71" s="716" t="s">
        <v>4194</v>
      </c>
      <c r="AD71" s="715" t="s">
        <v>112</v>
      </c>
      <c r="AE71" s="715">
        <f t="shared" ref="AE71:AE134" si="14">I71</f>
        <v>10752</v>
      </c>
      <c r="AF71" s="715"/>
      <c r="AG71" s="715">
        <v>10752</v>
      </c>
      <c r="AH71" s="715">
        <f t="shared" si="13"/>
        <v>0</v>
      </c>
      <c r="AI71" s="717" t="s">
        <v>120</v>
      </c>
      <c r="AJ71" s="715" t="s">
        <v>3981</v>
      </c>
      <c r="AK71" s="652">
        <f>I71</f>
        <v>10752</v>
      </c>
      <c r="AL71" s="652"/>
      <c r="AM71" s="652"/>
      <c r="AN71" s="652">
        <f t="shared" si="9"/>
        <v>10752</v>
      </c>
      <c r="AO71" s="652"/>
      <c r="AP71" s="652"/>
      <c r="AQ71" s="652"/>
      <c r="AR71" s="652"/>
      <c r="AS71" s="652"/>
      <c r="AT71" s="652">
        <f>I71/8</f>
        <v>1344</v>
      </c>
      <c r="AU71" s="652"/>
      <c r="AV71" s="652"/>
      <c r="AW71" s="652"/>
      <c r="AX71" s="652"/>
      <c r="AY71" s="652"/>
      <c r="AZ71" s="652"/>
      <c r="BA71" s="652"/>
      <c r="BB71" s="652"/>
      <c r="BC71" s="652"/>
      <c r="BD71" s="652"/>
      <c r="BE71" s="652"/>
      <c r="BF71" s="652"/>
      <c r="BG71" s="652"/>
      <c r="BH71" s="652"/>
      <c r="BI71" s="652"/>
      <c r="BJ71" s="731"/>
      <c r="BK71" s="731"/>
      <c r="BL71" s="731"/>
      <c r="BM71" s="731"/>
      <c r="BN71" s="731"/>
      <c r="BO71" s="731"/>
      <c r="BP71" s="731"/>
      <c r="BQ71" s="731"/>
      <c r="BR71" s="731"/>
      <c r="BS71" s="731"/>
      <c r="BT71" s="731"/>
      <c r="BU71" s="731"/>
      <c r="BV71" s="731"/>
      <c r="BW71" s="731"/>
      <c r="BX71" s="731"/>
      <c r="BY71" s="731"/>
      <c r="BZ71" s="731"/>
      <c r="CA71" s="731"/>
      <c r="CB71" s="731"/>
      <c r="CC71" s="731"/>
      <c r="CD71" s="731"/>
      <c r="CE71" s="731"/>
      <c r="CF71" s="731"/>
      <c r="CG71" s="731"/>
      <c r="CH71" s="731"/>
      <c r="CI71" s="731"/>
      <c r="CJ71" s="731"/>
      <c r="CK71" s="731"/>
      <c r="CL71" s="731"/>
      <c r="CM71" s="731"/>
      <c r="CN71" s="731"/>
      <c r="CO71" s="731"/>
      <c r="CP71" s="731"/>
      <c r="CQ71" s="731"/>
      <c r="CR71" s="731"/>
    </row>
    <row r="72" s="650" customFormat="1" ht="31" customHeight="1" spans="1:96">
      <c r="A72" s="713">
        <v>46105</v>
      </c>
      <c r="B72" s="714" t="s">
        <v>346</v>
      </c>
      <c r="C72" s="715" t="s">
        <v>115</v>
      </c>
      <c r="D72" s="652">
        <v>4500198363</v>
      </c>
      <c r="E72" s="1907" t="s">
        <v>4199</v>
      </c>
      <c r="F72" s="652" t="s">
        <v>4200</v>
      </c>
      <c r="G72" s="716" t="s">
        <v>4194</v>
      </c>
      <c r="H72" s="715" t="s">
        <v>4195</v>
      </c>
      <c r="I72" s="717">
        <v>8704</v>
      </c>
      <c r="J72" s="715">
        <v>0</v>
      </c>
      <c r="K72" s="715">
        <v>512</v>
      </c>
      <c r="L72" s="718">
        <f t="shared" si="8"/>
        <v>17</v>
      </c>
      <c r="M72" s="719">
        <v>46149</v>
      </c>
      <c r="N72" s="719">
        <v>46146</v>
      </c>
      <c r="O72" s="714" t="s">
        <v>501</v>
      </c>
      <c r="P72" s="717" t="s">
        <v>106</v>
      </c>
      <c r="Q72" s="717"/>
      <c r="R72" s="723" t="s">
        <v>4201</v>
      </c>
      <c r="S72" s="720" t="s">
        <v>107</v>
      </c>
      <c r="T72" s="720" t="s">
        <v>4197</v>
      </c>
      <c r="U72" s="720"/>
      <c r="V72" s="720"/>
      <c r="W72" s="720"/>
      <c r="X72" s="720" t="s">
        <v>4202</v>
      </c>
      <c r="Y72" s="719" t="s">
        <v>354</v>
      </c>
      <c r="Z72" s="715">
        <v>1309.3918</v>
      </c>
      <c r="AA72" s="715">
        <f>L72*Z72</f>
        <v>22259.6606</v>
      </c>
      <c r="AB72" s="721" t="s">
        <v>518</v>
      </c>
      <c r="AC72" s="716" t="s">
        <v>4194</v>
      </c>
      <c r="AD72" s="715" t="s">
        <v>112</v>
      </c>
      <c r="AE72" s="715">
        <f t="shared" si="14"/>
        <v>8704</v>
      </c>
      <c r="AF72" s="715"/>
      <c r="AG72" s="715">
        <v>8704</v>
      </c>
      <c r="AH72" s="715">
        <f t="shared" si="13"/>
        <v>0</v>
      </c>
      <c r="AI72" s="717" t="s">
        <v>120</v>
      </c>
      <c r="AJ72" s="715" t="s">
        <v>3981</v>
      </c>
      <c r="AK72" s="652">
        <f>I72</f>
        <v>8704</v>
      </c>
      <c r="AL72" s="652"/>
      <c r="AM72" s="652"/>
      <c r="AN72" s="652">
        <f t="shared" si="9"/>
        <v>8704</v>
      </c>
      <c r="AO72" s="652"/>
      <c r="AP72" s="652"/>
      <c r="AQ72" s="652"/>
      <c r="AR72" s="652"/>
      <c r="AS72" s="652"/>
      <c r="AT72" s="652">
        <f>I72/8</f>
        <v>1088</v>
      </c>
      <c r="AU72" s="652"/>
      <c r="AV72" s="652"/>
      <c r="AW72" s="652"/>
      <c r="AX72" s="652"/>
      <c r="AY72" s="652"/>
      <c r="AZ72" s="652"/>
      <c r="BA72" s="652"/>
      <c r="BB72" s="652"/>
      <c r="BC72" s="652"/>
      <c r="BD72" s="652"/>
      <c r="BE72" s="652"/>
      <c r="BF72" s="652"/>
      <c r="BG72" s="652"/>
      <c r="BH72" s="652"/>
      <c r="BI72" s="652"/>
      <c r="BJ72" s="737"/>
      <c r="BK72" s="737"/>
      <c r="BL72" s="737"/>
      <c r="BM72" s="737"/>
      <c r="BN72" s="737"/>
      <c r="BO72" s="737"/>
      <c r="BP72" s="737"/>
      <c r="BQ72" s="737"/>
      <c r="BR72" s="737"/>
      <c r="BS72" s="737"/>
      <c r="BT72" s="737"/>
      <c r="BU72" s="737"/>
      <c r="BV72" s="737"/>
      <c r="BW72" s="737"/>
      <c r="BX72" s="737"/>
      <c r="BY72" s="737"/>
      <c r="BZ72" s="737"/>
      <c r="CA72" s="737"/>
      <c r="CB72" s="737"/>
      <c r="CC72" s="737"/>
      <c r="CD72" s="737"/>
      <c r="CE72" s="737"/>
      <c r="CF72" s="737"/>
      <c r="CG72" s="737"/>
      <c r="CH72" s="737"/>
      <c r="CI72" s="737"/>
      <c r="CJ72" s="737"/>
      <c r="CK72" s="737"/>
      <c r="CL72" s="737"/>
      <c r="CM72" s="737"/>
      <c r="CN72" s="737"/>
      <c r="CO72" s="737"/>
      <c r="CP72" s="737"/>
      <c r="CQ72" s="737"/>
      <c r="CR72" s="737"/>
    </row>
    <row r="73" s="650" customFormat="1" ht="31" customHeight="1" spans="1:96">
      <c r="A73" s="713">
        <v>46111</v>
      </c>
      <c r="B73" s="714"/>
      <c r="C73" s="715"/>
      <c r="D73" s="652" t="s">
        <v>464</v>
      </c>
      <c r="E73" s="715"/>
      <c r="F73" s="652" t="s">
        <v>4203</v>
      </c>
      <c r="G73" s="716" t="s">
        <v>3968</v>
      </c>
      <c r="H73" s="715" t="s">
        <v>3969</v>
      </c>
      <c r="I73" s="717">
        <v>208</v>
      </c>
      <c r="J73" s="715">
        <v>0</v>
      </c>
      <c r="K73" s="715">
        <v>16</v>
      </c>
      <c r="L73" s="715">
        <f t="shared" si="8"/>
        <v>13</v>
      </c>
      <c r="M73" s="719">
        <v>46149</v>
      </c>
      <c r="N73" s="719">
        <v>46146</v>
      </c>
      <c r="O73" s="714"/>
      <c r="P73" s="717" t="s">
        <v>1410</v>
      </c>
      <c r="Q73" s="717"/>
      <c r="R73" s="723">
        <v>46111</v>
      </c>
      <c r="S73" s="720" t="s">
        <v>95</v>
      </c>
      <c r="T73" s="720" t="s">
        <v>95</v>
      </c>
      <c r="U73" s="720"/>
      <c r="V73" s="720"/>
      <c r="W73" s="720"/>
      <c r="X73" s="714" t="s">
        <v>4204</v>
      </c>
      <c r="Y73" s="719" t="s">
        <v>272</v>
      </c>
      <c r="Z73" s="715"/>
      <c r="AA73" s="715"/>
      <c r="AB73" s="721"/>
      <c r="AC73" s="716" t="s">
        <v>3968</v>
      </c>
      <c r="AD73" s="715" t="s">
        <v>112</v>
      </c>
      <c r="AE73" s="715">
        <f t="shared" si="14"/>
        <v>208</v>
      </c>
      <c r="AF73" s="715"/>
      <c r="AG73" s="715">
        <v>208</v>
      </c>
      <c r="AH73" s="715">
        <f t="shared" si="13"/>
        <v>0</v>
      </c>
      <c r="AI73" s="717"/>
      <c r="AJ73" s="715" t="s">
        <v>3981</v>
      </c>
      <c r="AK73" s="652">
        <f>I73</f>
        <v>208</v>
      </c>
      <c r="AL73" s="652"/>
      <c r="AM73" s="652"/>
      <c r="AN73" s="652">
        <f t="shared" si="9"/>
        <v>208</v>
      </c>
      <c r="AO73" s="652"/>
      <c r="AP73" s="652"/>
      <c r="AQ73" s="652"/>
      <c r="AR73" s="652"/>
      <c r="AS73" s="652"/>
      <c r="AT73" s="652"/>
      <c r="AU73" s="652"/>
      <c r="AV73" s="652"/>
      <c r="AW73" s="652"/>
      <c r="AX73" s="652"/>
      <c r="AY73" s="652"/>
      <c r="AZ73" s="652"/>
      <c r="BA73" s="652"/>
      <c r="BB73" s="652"/>
      <c r="BC73" s="652"/>
      <c r="BD73" s="652"/>
      <c r="BE73" s="652"/>
      <c r="BF73" s="652"/>
      <c r="BG73" s="652"/>
      <c r="BH73" s="652"/>
      <c r="BI73" s="652"/>
    </row>
    <row r="74" s="650" customFormat="1" ht="31" customHeight="1" spans="1:96">
      <c r="A74" s="713">
        <v>46108</v>
      </c>
      <c r="B74" s="714" t="s">
        <v>114</v>
      </c>
      <c r="C74" s="715" t="s">
        <v>115</v>
      </c>
      <c r="D74" s="652">
        <v>4500199055</v>
      </c>
      <c r="E74" s="715" t="s">
        <v>475</v>
      </c>
      <c r="F74" s="652" t="s">
        <v>4205</v>
      </c>
      <c r="G74" s="716" t="s">
        <v>3980</v>
      </c>
      <c r="H74" s="715" t="s">
        <v>3978</v>
      </c>
      <c r="I74" s="717">
        <v>19552</v>
      </c>
      <c r="J74" s="715">
        <v>0</v>
      </c>
      <c r="K74" s="715">
        <v>8</v>
      </c>
      <c r="L74" s="718">
        <f t="shared" si="8"/>
        <v>2444</v>
      </c>
      <c r="M74" s="719">
        <v>46150</v>
      </c>
      <c r="N74" s="719">
        <v>46146</v>
      </c>
      <c r="O74" s="714"/>
      <c r="P74" s="717" t="s">
        <v>106</v>
      </c>
      <c r="Q74" s="717"/>
      <c r="R74" s="723">
        <v>46120</v>
      </c>
      <c r="S74" s="720" t="s">
        <v>107</v>
      </c>
      <c r="T74" s="720" t="s">
        <v>4206</v>
      </c>
      <c r="U74" s="720"/>
      <c r="V74" s="720" t="s">
        <v>4056</v>
      </c>
      <c r="W74" s="720"/>
      <c r="X74" s="720" t="s">
        <v>4207</v>
      </c>
      <c r="Y74" s="719" t="s">
        <v>123</v>
      </c>
      <c r="Z74" s="715">
        <v>2.88</v>
      </c>
      <c r="AA74" s="715">
        <f>L74*Z74</f>
        <v>7038.72</v>
      </c>
      <c r="AB74" s="729" t="s">
        <v>479</v>
      </c>
      <c r="AC74" s="652" t="s">
        <v>3980</v>
      </c>
      <c r="AD74" s="715" t="s">
        <v>112</v>
      </c>
      <c r="AE74" s="715">
        <f t="shared" si="14"/>
        <v>19552</v>
      </c>
      <c r="AF74" s="715"/>
      <c r="AG74" s="715">
        <v>19552</v>
      </c>
      <c r="AH74" s="715">
        <f t="shared" si="13"/>
        <v>0</v>
      </c>
      <c r="AI74" s="717" t="s">
        <v>120</v>
      </c>
      <c r="AJ74" s="715" t="s">
        <v>3981</v>
      </c>
      <c r="AK74" s="652">
        <f>I74</f>
        <v>19552</v>
      </c>
      <c r="AL74" s="652"/>
      <c r="AM74" s="652"/>
      <c r="AN74" s="652">
        <f t="shared" si="9"/>
        <v>19552</v>
      </c>
      <c r="AO74" s="652"/>
      <c r="AP74" s="652"/>
      <c r="AQ74" s="652"/>
      <c r="AR74" s="652"/>
      <c r="AS74" s="652"/>
      <c r="AT74" s="652">
        <f>I74/8</f>
        <v>2444</v>
      </c>
      <c r="AU74" s="652"/>
      <c r="AV74" s="652"/>
      <c r="AW74" s="652"/>
      <c r="AX74" s="652"/>
      <c r="AY74" s="652"/>
      <c r="AZ74" s="652"/>
      <c r="BA74" s="652"/>
      <c r="BB74" s="652"/>
      <c r="BC74" s="652"/>
      <c r="BD74" s="652"/>
      <c r="BE74" s="652"/>
      <c r="BF74" s="652"/>
      <c r="BG74" s="652"/>
      <c r="BH74" s="652"/>
      <c r="BI74" s="652"/>
      <c r="BJ74" s="737"/>
      <c r="BK74" s="737"/>
      <c r="BL74" s="737"/>
      <c r="BM74" s="737"/>
      <c r="BN74" s="737"/>
      <c r="BO74" s="737"/>
      <c r="BP74" s="737"/>
      <c r="BQ74" s="737"/>
      <c r="BR74" s="737"/>
      <c r="BS74" s="737"/>
      <c r="BT74" s="737"/>
      <c r="BU74" s="737"/>
      <c r="BV74" s="737"/>
      <c r="BW74" s="737"/>
      <c r="BX74" s="737"/>
      <c r="BY74" s="737"/>
      <c r="BZ74" s="737"/>
      <c r="CA74" s="737"/>
      <c r="CB74" s="737"/>
      <c r="CC74" s="737"/>
      <c r="CD74" s="737"/>
      <c r="CE74" s="737"/>
      <c r="CF74" s="737"/>
      <c r="CG74" s="737"/>
      <c r="CH74" s="737"/>
      <c r="CI74" s="737"/>
      <c r="CJ74" s="737"/>
      <c r="CK74" s="737"/>
      <c r="CL74" s="737"/>
      <c r="CM74" s="737"/>
      <c r="CN74" s="737"/>
      <c r="CO74" s="737"/>
      <c r="CP74" s="737"/>
      <c r="CQ74" s="737"/>
      <c r="CR74" s="737"/>
    </row>
    <row r="75" s="650" customFormat="1" ht="31" customHeight="1" spans="1:96">
      <c r="A75" s="713">
        <v>46080</v>
      </c>
      <c r="B75" s="714" t="s">
        <v>467</v>
      </c>
      <c r="C75" s="715" t="s">
        <v>115</v>
      </c>
      <c r="D75" s="652">
        <v>4500194421</v>
      </c>
      <c r="E75" s="715">
        <v>5633896</v>
      </c>
      <c r="F75" s="652" t="s">
        <v>4208</v>
      </c>
      <c r="G75" s="716" t="s">
        <v>3980</v>
      </c>
      <c r="H75" s="715" t="s">
        <v>3978</v>
      </c>
      <c r="I75" s="717">
        <v>1704</v>
      </c>
      <c r="J75" s="715">
        <v>0</v>
      </c>
      <c r="K75" s="715">
        <v>8</v>
      </c>
      <c r="L75" s="715">
        <f t="shared" si="8"/>
        <v>213</v>
      </c>
      <c r="M75" s="719">
        <v>46150</v>
      </c>
      <c r="N75" s="719">
        <v>46146</v>
      </c>
      <c r="O75" s="714" t="s">
        <v>469</v>
      </c>
      <c r="P75" s="717" t="s">
        <v>106</v>
      </c>
      <c r="Q75" s="717"/>
      <c r="R75" s="723">
        <v>46105</v>
      </c>
      <c r="S75" s="720" t="s">
        <v>107</v>
      </c>
      <c r="T75" s="720" t="s">
        <v>95</v>
      </c>
      <c r="U75" s="720"/>
      <c r="V75" s="720"/>
      <c r="W75" s="720" t="s">
        <v>471</v>
      </c>
      <c r="X75" s="720" t="s">
        <v>4209</v>
      </c>
      <c r="Y75" s="719" t="s">
        <v>473</v>
      </c>
      <c r="Z75" s="715">
        <v>3</v>
      </c>
      <c r="AA75" s="652">
        <f>Z75*I75</f>
        <v>5112</v>
      </c>
      <c r="AB75" s="729" t="s">
        <v>474</v>
      </c>
      <c r="AC75" s="722" t="s">
        <v>3980</v>
      </c>
      <c r="AD75" s="715" t="s">
        <v>112</v>
      </c>
      <c r="AE75" s="715">
        <f t="shared" si="14"/>
        <v>1704</v>
      </c>
      <c r="AF75" s="715"/>
      <c r="AG75" s="715">
        <v>1704</v>
      </c>
      <c r="AH75" s="715">
        <f t="shared" si="13"/>
        <v>0</v>
      </c>
      <c r="AI75" s="717" t="s">
        <v>95</v>
      </c>
      <c r="AJ75" s="715" t="s">
        <v>3981</v>
      </c>
      <c r="AK75" s="652">
        <f>I75</f>
        <v>1704</v>
      </c>
      <c r="AL75" s="652"/>
      <c r="AM75" s="652"/>
      <c r="AN75" s="652">
        <f t="shared" si="9"/>
        <v>1704</v>
      </c>
      <c r="AO75" s="652"/>
      <c r="AP75" s="652"/>
      <c r="AQ75" s="652"/>
      <c r="AR75" s="652"/>
      <c r="AS75" s="652"/>
      <c r="AT75" s="652">
        <f>I75/8</f>
        <v>213</v>
      </c>
      <c r="AU75" s="652"/>
      <c r="AV75" s="652"/>
      <c r="AW75" s="652"/>
      <c r="AX75" s="652"/>
      <c r="AY75" s="652"/>
      <c r="AZ75" s="652"/>
      <c r="BA75" s="652"/>
      <c r="BB75" s="652"/>
      <c r="BC75" s="652"/>
      <c r="BD75" s="652"/>
      <c r="BE75" s="652"/>
      <c r="BF75" s="652"/>
      <c r="BG75" s="652"/>
      <c r="BH75" s="652"/>
      <c r="BI75" s="652"/>
      <c r="BJ75" s="724"/>
      <c r="BK75" s="724"/>
      <c r="BL75" s="724"/>
      <c r="BM75" s="724"/>
      <c r="BN75" s="724"/>
      <c r="BO75" s="724"/>
      <c r="BP75" s="724"/>
      <c r="BQ75" s="724"/>
      <c r="BR75" s="724"/>
      <c r="BS75" s="724"/>
      <c r="BT75" s="724"/>
      <c r="BU75" s="724"/>
      <c r="BV75" s="724"/>
      <c r="BW75" s="724"/>
      <c r="BX75" s="724"/>
      <c r="BY75" s="724"/>
      <c r="BZ75" s="724"/>
      <c r="CA75" s="724"/>
      <c r="CB75" s="724"/>
      <c r="CC75" s="724"/>
      <c r="CD75" s="724"/>
      <c r="CE75" s="724"/>
      <c r="CF75" s="724"/>
      <c r="CG75" s="724"/>
      <c r="CH75" s="724"/>
      <c r="CI75" s="724"/>
      <c r="CJ75" s="724"/>
      <c r="CK75" s="724"/>
      <c r="CL75" s="724"/>
      <c r="CM75" s="724"/>
      <c r="CN75" s="724"/>
      <c r="CO75" s="724"/>
      <c r="CP75" s="724"/>
      <c r="CQ75" s="724"/>
      <c r="CR75" s="724"/>
    </row>
    <row r="76" s="650" customFormat="1" ht="31" customHeight="1" spans="1:96">
      <c r="A76" s="713">
        <v>46095</v>
      </c>
      <c r="B76" s="714" t="s">
        <v>491</v>
      </c>
      <c r="C76" s="715" t="s">
        <v>492</v>
      </c>
      <c r="D76" s="652">
        <v>4500196870</v>
      </c>
      <c r="E76" s="715">
        <v>32830058</v>
      </c>
      <c r="F76" s="652" t="s">
        <v>4210</v>
      </c>
      <c r="G76" s="716" t="s">
        <v>3980</v>
      </c>
      <c r="H76" s="715" t="s">
        <v>3978</v>
      </c>
      <c r="I76" s="717">
        <v>600</v>
      </c>
      <c r="J76" s="715">
        <v>0</v>
      </c>
      <c r="K76" s="715">
        <v>8</v>
      </c>
      <c r="L76" s="715">
        <f t="shared" si="8"/>
        <v>75</v>
      </c>
      <c r="M76" s="719">
        <v>46150</v>
      </c>
      <c r="N76" s="719">
        <v>46146</v>
      </c>
      <c r="O76" s="714"/>
      <c r="P76" s="717" t="s">
        <v>106</v>
      </c>
      <c r="Q76" s="717"/>
      <c r="R76" s="715" t="s">
        <v>4211</v>
      </c>
      <c r="S76" s="720" t="s">
        <v>107</v>
      </c>
      <c r="T76" s="720" t="s">
        <v>4212</v>
      </c>
      <c r="U76" s="720"/>
      <c r="V76" s="720"/>
      <c r="W76" s="720"/>
      <c r="X76" s="720" t="s">
        <v>4213</v>
      </c>
      <c r="Y76" s="719" t="s">
        <v>236</v>
      </c>
      <c r="Z76" s="715">
        <v>5</v>
      </c>
      <c r="AA76" s="652">
        <f>Z76*I76</f>
        <v>3000</v>
      </c>
      <c r="AB76" s="721"/>
      <c r="AC76" s="722" t="s">
        <v>4031</v>
      </c>
      <c r="AD76" s="715" t="s">
        <v>112</v>
      </c>
      <c r="AE76" s="715">
        <f t="shared" si="14"/>
        <v>600</v>
      </c>
      <c r="AF76" s="715"/>
      <c r="AG76" s="715">
        <v>600</v>
      </c>
      <c r="AH76" s="715">
        <f t="shared" si="13"/>
        <v>0</v>
      </c>
      <c r="AI76" s="717" t="s">
        <v>120</v>
      </c>
      <c r="AJ76" s="715" t="s">
        <v>3981</v>
      </c>
      <c r="AK76" s="652"/>
      <c r="AL76" s="652">
        <f>I76</f>
        <v>600</v>
      </c>
      <c r="AM76" s="652"/>
      <c r="AN76" s="652">
        <f t="shared" si="9"/>
        <v>600</v>
      </c>
      <c r="AO76" s="652"/>
      <c r="AP76" s="652"/>
      <c r="AQ76" s="652"/>
      <c r="AR76" s="652"/>
      <c r="AS76" s="652"/>
      <c r="AT76" s="652"/>
      <c r="AU76" s="652">
        <f>I76/8</f>
        <v>75</v>
      </c>
      <c r="AV76" s="652"/>
      <c r="AW76" s="652"/>
      <c r="AX76" s="652"/>
      <c r="AY76" s="652"/>
      <c r="AZ76" s="652"/>
      <c r="BA76" s="652"/>
      <c r="BB76" s="652"/>
      <c r="BC76" s="652"/>
      <c r="BD76" s="652"/>
      <c r="BE76" s="652"/>
      <c r="BF76" s="652"/>
      <c r="BG76" s="652"/>
      <c r="BH76" s="652"/>
      <c r="BI76" s="652"/>
      <c r="BJ76" s="724"/>
      <c r="BK76" s="724"/>
      <c r="BL76" s="724"/>
      <c r="BM76" s="724"/>
      <c r="BN76" s="724"/>
      <c r="BO76" s="724"/>
      <c r="BP76" s="724"/>
      <c r="BQ76" s="724"/>
      <c r="BR76" s="724"/>
      <c r="BS76" s="724"/>
      <c r="BT76" s="724"/>
      <c r="BU76" s="724"/>
      <c r="BV76" s="724"/>
      <c r="BW76" s="724"/>
      <c r="BX76" s="724"/>
      <c r="BY76" s="724"/>
      <c r="BZ76" s="724"/>
      <c r="CA76" s="724"/>
      <c r="CB76" s="724"/>
      <c r="CC76" s="724"/>
      <c r="CD76" s="724"/>
      <c r="CE76" s="724"/>
      <c r="CF76" s="724"/>
      <c r="CG76" s="724"/>
      <c r="CH76" s="724"/>
      <c r="CI76" s="724"/>
      <c r="CJ76" s="724"/>
      <c r="CK76" s="724"/>
      <c r="CL76" s="724"/>
      <c r="CM76" s="724"/>
      <c r="CN76" s="724"/>
      <c r="CO76" s="724"/>
      <c r="CP76" s="724"/>
      <c r="CQ76" s="724"/>
      <c r="CR76" s="724"/>
    </row>
    <row r="77" s="650" customFormat="1" ht="31" customHeight="1" spans="1:96">
      <c r="A77" s="713">
        <v>46084</v>
      </c>
      <c r="B77" s="714" t="s">
        <v>480</v>
      </c>
      <c r="C77" s="715" t="s">
        <v>115</v>
      </c>
      <c r="D77" s="652">
        <v>4500194937</v>
      </c>
      <c r="E77" s="1908" t="s">
        <v>4214</v>
      </c>
      <c r="F77" s="652" t="s">
        <v>481</v>
      </c>
      <c r="G77" s="716" t="s">
        <v>4215</v>
      </c>
      <c r="H77" s="715" t="s">
        <v>483</v>
      </c>
      <c r="I77" s="717">
        <v>4320</v>
      </c>
      <c r="J77" s="715">
        <v>0</v>
      </c>
      <c r="K77" s="715">
        <v>120</v>
      </c>
      <c r="L77" s="718">
        <f t="shared" si="8"/>
        <v>36</v>
      </c>
      <c r="M77" s="719">
        <v>46150</v>
      </c>
      <c r="N77" s="719">
        <v>46146</v>
      </c>
      <c r="O77" s="732" t="s">
        <v>4216</v>
      </c>
      <c r="P77" s="717"/>
      <c r="Q77" s="717"/>
      <c r="R77" s="723">
        <v>46155</v>
      </c>
      <c r="S77" s="720" t="s">
        <v>107</v>
      </c>
      <c r="T77" s="720" t="s">
        <v>95</v>
      </c>
      <c r="U77" s="720"/>
      <c r="V77" s="720"/>
      <c r="W77" s="720" t="s">
        <v>486</v>
      </c>
      <c r="X77" s="720" t="s">
        <v>487</v>
      </c>
      <c r="Y77" s="719" t="s">
        <v>488</v>
      </c>
      <c r="Z77" s="715">
        <v>642</v>
      </c>
      <c r="AA77" s="715">
        <f>L77*Z77</f>
        <v>23112</v>
      </c>
      <c r="AB77" s="729" t="s">
        <v>489</v>
      </c>
      <c r="AC77" s="722" t="s">
        <v>490</v>
      </c>
      <c r="AD77" s="715" t="s">
        <v>112</v>
      </c>
      <c r="AE77" s="715">
        <f t="shared" si="14"/>
        <v>4320</v>
      </c>
      <c r="AF77" s="715" t="s">
        <v>4109</v>
      </c>
      <c r="AG77" s="715">
        <f>456+1176+1529+999+160</f>
        <v>4320</v>
      </c>
      <c r="AH77" s="715">
        <f t="shared" si="13"/>
        <v>0</v>
      </c>
      <c r="AI77" s="717" t="s">
        <v>120</v>
      </c>
      <c r="AJ77" s="715" t="s">
        <v>3981</v>
      </c>
      <c r="AK77" s="652"/>
      <c r="AL77" s="652"/>
      <c r="AM77" s="652"/>
      <c r="AN77" s="652"/>
      <c r="AO77" s="652"/>
      <c r="AP77" s="652"/>
      <c r="AQ77" s="652">
        <f>I77</f>
        <v>4320</v>
      </c>
      <c r="AR77" s="652">
        <f>I77</f>
        <v>4320</v>
      </c>
      <c r="AS77" s="652">
        <f>I77/6</f>
        <v>720</v>
      </c>
      <c r="AT77" s="652"/>
      <c r="AU77" s="652"/>
      <c r="AV77" s="652"/>
      <c r="AW77" s="652"/>
      <c r="AX77" s="652"/>
      <c r="AY77" s="652"/>
      <c r="AZ77" s="652"/>
      <c r="BA77" s="652"/>
      <c r="BB77" s="652"/>
      <c r="BC77" s="652"/>
      <c r="BD77" s="652"/>
      <c r="BE77" s="652"/>
      <c r="BF77" s="652"/>
      <c r="BG77" s="652"/>
      <c r="BH77" s="652"/>
      <c r="BI77" s="652"/>
      <c r="BJ77" s="731"/>
      <c r="BK77" s="731"/>
      <c r="BL77" s="731"/>
      <c r="BM77" s="731"/>
      <c r="BN77" s="731"/>
      <c r="BO77" s="731"/>
      <c r="BP77" s="731"/>
      <c r="BQ77" s="731"/>
      <c r="BR77" s="731"/>
      <c r="BS77" s="731"/>
      <c r="BT77" s="731"/>
      <c r="BU77" s="731"/>
      <c r="BV77" s="731"/>
      <c r="BW77" s="731"/>
      <c r="BX77" s="731"/>
      <c r="BY77" s="731"/>
      <c r="BZ77" s="731"/>
      <c r="CA77" s="731"/>
      <c r="CB77" s="731"/>
      <c r="CC77" s="731"/>
      <c r="CD77" s="731"/>
      <c r="CE77" s="731"/>
      <c r="CF77" s="731"/>
      <c r="CG77" s="731"/>
      <c r="CH77" s="731"/>
      <c r="CI77" s="731"/>
      <c r="CJ77" s="731"/>
      <c r="CK77" s="731"/>
      <c r="CL77" s="731"/>
      <c r="CM77" s="731"/>
      <c r="CN77" s="731"/>
      <c r="CO77" s="731"/>
      <c r="CP77" s="731"/>
      <c r="CQ77" s="731"/>
      <c r="CR77" s="731"/>
    </row>
    <row r="78" s="650" customFormat="1" ht="31" customHeight="1" spans="1:96">
      <c r="A78" s="713">
        <v>46107</v>
      </c>
      <c r="B78" s="714"/>
      <c r="C78" s="715"/>
      <c r="D78" s="652" t="s">
        <v>496</v>
      </c>
      <c r="E78" s="715"/>
      <c r="F78" s="652" t="s">
        <v>4217</v>
      </c>
      <c r="G78" s="716" t="s">
        <v>3968</v>
      </c>
      <c r="H78" s="715" t="s">
        <v>3969</v>
      </c>
      <c r="I78" s="717">
        <v>480</v>
      </c>
      <c r="J78" s="715">
        <v>0</v>
      </c>
      <c r="K78" s="715">
        <v>16</v>
      </c>
      <c r="L78" s="715">
        <f t="shared" si="8"/>
        <v>30</v>
      </c>
      <c r="M78" s="719">
        <v>46152</v>
      </c>
      <c r="N78" s="719">
        <v>46148</v>
      </c>
      <c r="O78" s="714"/>
      <c r="P78" s="717"/>
      <c r="Q78" s="717"/>
      <c r="R78" s="723">
        <v>46107</v>
      </c>
      <c r="S78" s="720" t="s">
        <v>107</v>
      </c>
      <c r="T78" s="720" t="s">
        <v>95</v>
      </c>
      <c r="U78" s="720"/>
      <c r="V78" s="720"/>
      <c r="W78" s="720"/>
      <c r="X78" s="720" t="s">
        <v>4218</v>
      </c>
      <c r="Y78" s="719" t="s">
        <v>272</v>
      </c>
      <c r="Z78" s="715"/>
      <c r="AA78" s="652"/>
      <c r="AB78" s="721"/>
      <c r="AC78" s="716" t="s">
        <v>3968</v>
      </c>
      <c r="AD78" s="715" t="s">
        <v>112</v>
      </c>
      <c r="AE78" s="715">
        <f t="shared" si="14"/>
        <v>480</v>
      </c>
      <c r="AF78" s="715"/>
      <c r="AG78" s="715"/>
      <c r="AH78" s="715">
        <f t="shared" si="13"/>
        <v>-480</v>
      </c>
      <c r="AI78" s="717"/>
      <c r="AJ78" s="715" t="s">
        <v>3981</v>
      </c>
      <c r="AK78" s="652">
        <f t="shared" ref="AK78:AK90" si="15">I78</f>
        <v>480</v>
      </c>
      <c r="AL78" s="652"/>
      <c r="AM78" s="652"/>
      <c r="AN78" s="652">
        <f t="shared" ref="AN78:AN90" si="16">I78</f>
        <v>480</v>
      </c>
      <c r="AO78" s="652"/>
      <c r="AP78" s="652"/>
      <c r="AQ78" s="652"/>
      <c r="AR78" s="652"/>
      <c r="AS78" s="652"/>
      <c r="AT78" s="652"/>
      <c r="AU78" s="652"/>
      <c r="AV78" s="652"/>
      <c r="AW78" s="652"/>
      <c r="AX78" s="652"/>
      <c r="AY78" s="652"/>
      <c r="AZ78" s="652"/>
      <c r="BA78" s="652"/>
      <c r="BB78" s="652"/>
      <c r="BC78" s="652"/>
      <c r="BD78" s="652"/>
      <c r="BE78" s="652"/>
      <c r="BF78" s="652"/>
      <c r="BG78" s="652"/>
      <c r="BH78" s="652"/>
      <c r="BI78" s="652"/>
    </row>
    <row r="79" s="650" customFormat="1" ht="31" customHeight="1" spans="1:96">
      <c r="A79" s="713">
        <v>46093</v>
      </c>
      <c r="B79" s="714" t="s">
        <v>499</v>
      </c>
      <c r="C79" s="715" t="s">
        <v>115</v>
      </c>
      <c r="D79" s="652">
        <v>4500196509</v>
      </c>
      <c r="E79" s="716" t="s">
        <v>4219</v>
      </c>
      <c r="F79" s="652" t="s">
        <v>4220</v>
      </c>
      <c r="G79" s="716" t="s">
        <v>3980</v>
      </c>
      <c r="H79" s="715" t="s">
        <v>3978</v>
      </c>
      <c r="I79" s="717">
        <v>8896</v>
      </c>
      <c r="J79" s="715">
        <v>0</v>
      </c>
      <c r="K79" s="715">
        <v>8</v>
      </c>
      <c r="L79" s="718">
        <f t="shared" si="8"/>
        <v>1112</v>
      </c>
      <c r="M79" s="719">
        <v>46153</v>
      </c>
      <c r="N79" s="719">
        <v>46149</v>
      </c>
      <c r="O79" s="714" t="s">
        <v>501</v>
      </c>
      <c r="P79" s="717" t="s">
        <v>106</v>
      </c>
      <c r="Q79" s="717"/>
      <c r="R79" s="723">
        <v>46093</v>
      </c>
      <c r="S79" s="720" t="s">
        <v>107</v>
      </c>
      <c r="T79" s="720" t="s">
        <v>4221</v>
      </c>
      <c r="U79" s="720"/>
      <c r="V79" s="720"/>
      <c r="W79" s="720"/>
      <c r="X79" s="720" t="s">
        <v>4222</v>
      </c>
      <c r="Y79" s="719" t="s">
        <v>503</v>
      </c>
      <c r="Z79" s="730">
        <v>3</v>
      </c>
      <c r="AA79" s="715">
        <f>Z79*I79</f>
        <v>26688</v>
      </c>
      <c r="AB79" s="729" t="s">
        <v>4223</v>
      </c>
      <c r="AC79" s="722" t="s">
        <v>3980</v>
      </c>
      <c r="AD79" s="715" t="s">
        <v>112</v>
      </c>
      <c r="AE79" s="715">
        <f t="shared" si="14"/>
        <v>8896</v>
      </c>
      <c r="AF79" s="715" t="s">
        <v>4109</v>
      </c>
      <c r="AG79" s="715">
        <v>8896</v>
      </c>
      <c r="AH79" s="715">
        <f t="shared" si="13"/>
        <v>0</v>
      </c>
      <c r="AI79" s="717" t="s">
        <v>120</v>
      </c>
      <c r="AJ79" s="715" t="s">
        <v>3981</v>
      </c>
      <c r="AK79" s="652">
        <f t="shared" si="15"/>
        <v>8896</v>
      </c>
      <c r="AL79" s="652"/>
      <c r="AM79" s="652"/>
      <c r="AN79" s="652">
        <f t="shared" si="16"/>
        <v>8896</v>
      </c>
      <c r="AO79" s="652"/>
      <c r="AP79" s="652"/>
      <c r="AQ79" s="652"/>
      <c r="AR79" s="652"/>
      <c r="AS79" s="652"/>
      <c r="AT79" s="652">
        <f t="shared" ref="AT79:AT84" si="17">I79/8</f>
        <v>1112</v>
      </c>
      <c r="AU79" s="652"/>
      <c r="AV79" s="652"/>
      <c r="AW79" s="652"/>
      <c r="AX79" s="652"/>
      <c r="AY79" s="652"/>
      <c r="AZ79" s="652"/>
      <c r="BA79" s="652"/>
      <c r="BB79" s="652"/>
      <c r="BC79" s="652"/>
      <c r="BD79" s="652"/>
      <c r="BE79" s="652"/>
      <c r="BF79" s="652"/>
      <c r="BG79" s="652"/>
      <c r="BH79" s="652"/>
      <c r="BI79" s="652"/>
    </row>
    <row r="80" s="650" customFormat="1" ht="31" customHeight="1" spans="1:96">
      <c r="A80" s="713">
        <v>46093</v>
      </c>
      <c r="B80" s="714" t="s">
        <v>499</v>
      </c>
      <c r="C80" s="715" t="s">
        <v>115</v>
      </c>
      <c r="D80" s="652">
        <v>4500196509</v>
      </c>
      <c r="E80" s="716" t="s">
        <v>4224</v>
      </c>
      <c r="F80" s="652" t="s">
        <v>4225</v>
      </c>
      <c r="G80" s="716" t="s">
        <v>3980</v>
      </c>
      <c r="H80" s="715" t="s">
        <v>3978</v>
      </c>
      <c r="I80" s="717">
        <v>7840</v>
      </c>
      <c r="J80" s="715">
        <v>0</v>
      </c>
      <c r="K80" s="715">
        <v>8</v>
      </c>
      <c r="L80" s="718">
        <f t="shared" si="8"/>
        <v>980</v>
      </c>
      <c r="M80" s="719">
        <v>46153</v>
      </c>
      <c r="N80" s="719">
        <v>46149</v>
      </c>
      <c r="O80" s="714" t="s">
        <v>501</v>
      </c>
      <c r="P80" s="717" t="s">
        <v>106</v>
      </c>
      <c r="Q80" s="717"/>
      <c r="R80" s="723">
        <v>46093</v>
      </c>
      <c r="S80" s="720" t="s">
        <v>107</v>
      </c>
      <c r="T80" s="720" t="s">
        <v>4221</v>
      </c>
      <c r="U80" s="720"/>
      <c r="V80" s="720"/>
      <c r="W80" s="720"/>
      <c r="X80" s="720" t="s">
        <v>4222</v>
      </c>
      <c r="Y80" s="719" t="s">
        <v>503</v>
      </c>
      <c r="Z80" s="730">
        <v>3</v>
      </c>
      <c r="AA80" s="715">
        <f>Z80*I80</f>
        <v>23520</v>
      </c>
      <c r="AB80" s="729" t="s">
        <v>4226</v>
      </c>
      <c r="AC80" s="722" t="s">
        <v>3980</v>
      </c>
      <c r="AD80" s="715" t="s">
        <v>112</v>
      </c>
      <c r="AE80" s="715">
        <f t="shared" si="14"/>
        <v>7840</v>
      </c>
      <c r="AF80" s="715" t="s">
        <v>4109</v>
      </c>
      <c r="AG80" s="715">
        <v>7840</v>
      </c>
      <c r="AH80" s="715">
        <f t="shared" si="13"/>
        <v>0</v>
      </c>
      <c r="AI80" s="717" t="s">
        <v>120</v>
      </c>
      <c r="AJ80" s="715" t="s">
        <v>3981</v>
      </c>
      <c r="AK80" s="652">
        <f t="shared" si="15"/>
        <v>7840</v>
      </c>
      <c r="AL80" s="652"/>
      <c r="AM80" s="652"/>
      <c r="AN80" s="652">
        <f t="shared" si="16"/>
        <v>7840</v>
      </c>
      <c r="AO80" s="652"/>
      <c r="AP80" s="652"/>
      <c r="AQ80" s="652"/>
      <c r="AR80" s="652"/>
      <c r="AS80" s="652"/>
      <c r="AT80" s="652">
        <f t="shared" si="17"/>
        <v>980</v>
      </c>
      <c r="AU80" s="652"/>
      <c r="AV80" s="652"/>
      <c r="AW80" s="652"/>
      <c r="AX80" s="652"/>
      <c r="AY80" s="652"/>
      <c r="AZ80" s="652"/>
      <c r="BA80" s="652"/>
      <c r="BB80" s="652"/>
      <c r="BC80" s="652"/>
      <c r="BD80" s="652"/>
      <c r="BE80" s="652"/>
      <c r="BF80" s="652"/>
      <c r="BG80" s="652"/>
      <c r="BH80" s="652"/>
      <c r="BI80" s="652"/>
    </row>
    <row r="81" s="650" customFormat="1" ht="31" customHeight="1" spans="1:96">
      <c r="A81" s="713">
        <v>46105</v>
      </c>
      <c r="B81" s="714" t="s">
        <v>346</v>
      </c>
      <c r="C81" s="715" t="s">
        <v>115</v>
      </c>
      <c r="D81" s="652">
        <v>4500198365</v>
      </c>
      <c r="E81" s="716" t="s">
        <v>4227</v>
      </c>
      <c r="F81" s="652" t="s">
        <v>4228</v>
      </c>
      <c r="G81" s="716" t="s">
        <v>4194</v>
      </c>
      <c r="H81" s="715" t="s">
        <v>4195</v>
      </c>
      <c r="I81" s="717">
        <v>6144</v>
      </c>
      <c r="J81" s="715">
        <v>0</v>
      </c>
      <c r="K81" s="715">
        <v>512</v>
      </c>
      <c r="L81" s="718">
        <f t="shared" si="8"/>
        <v>12</v>
      </c>
      <c r="M81" s="719">
        <v>46153</v>
      </c>
      <c r="N81" s="719">
        <v>46149</v>
      </c>
      <c r="O81" s="714" t="s">
        <v>4229</v>
      </c>
      <c r="P81" s="717" t="s">
        <v>106</v>
      </c>
      <c r="Q81" s="717"/>
      <c r="R81" s="723" t="s">
        <v>4201</v>
      </c>
      <c r="S81" s="720" t="s">
        <v>107</v>
      </c>
      <c r="T81" s="720" t="s">
        <v>4197</v>
      </c>
      <c r="U81" s="720"/>
      <c r="V81" s="720"/>
      <c r="W81" s="720"/>
      <c r="X81" s="720" t="s">
        <v>4202</v>
      </c>
      <c r="Y81" s="719" t="s">
        <v>354</v>
      </c>
      <c r="Z81" s="715">
        <v>1309.3917</v>
      </c>
      <c r="AA81" s="715">
        <f>L81*Z81</f>
        <v>15712.7004</v>
      </c>
      <c r="AB81" s="721" t="s">
        <v>518</v>
      </c>
      <c r="AC81" s="716" t="s">
        <v>4194</v>
      </c>
      <c r="AD81" s="715" t="s">
        <v>112</v>
      </c>
      <c r="AE81" s="715">
        <f t="shared" si="14"/>
        <v>6144</v>
      </c>
      <c r="AF81" s="715"/>
      <c r="AG81" s="715">
        <v>6144</v>
      </c>
      <c r="AH81" s="715">
        <f t="shared" si="13"/>
        <v>0</v>
      </c>
      <c r="AI81" s="717" t="s">
        <v>120</v>
      </c>
      <c r="AJ81" s="715" t="s">
        <v>3981</v>
      </c>
      <c r="AK81" s="652">
        <f t="shared" si="15"/>
        <v>6144</v>
      </c>
      <c r="AL81" s="652"/>
      <c r="AM81" s="652"/>
      <c r="AN81" s="652">
        <f t="shared" si="16"/>
        <v>6144</v>
      </c>
      <c r="AO81" s="652"/>
      <c r="AP81" s="652"/>
      <c r="AQ81" s="652"/>
      <c r="AR81" s="652"/>
      <c r="AS81" s="652"/>
      <c r="AT81" s="652">
        <f t="shared" si="17"/>
        <v>768</v>
      </c>
      <c r="AU81" s="652"/>
      <c r="AV81" s="652"/>
      <c r="AW81" s="652"/>
      <c r="AX81" s="652"/>
      <c r="AY81" s="652"/>
      <c r="AZ81" s="652"/>
      <c r="BA81" s="652"/>
      <c r="BB81" s="652"/>
      <c r="BC81" s="652"/>
      <c r="BD81" s="652"/>
      <c r="BE81" s="652"/>
      <c r="BF81" s="652"/>
      <c r="BG81" s="652"/>
      <c r="BH81" s="652"/>
      <c r="BI81" s="652"/>
    </row>
    <row r="82" s="650" customFormat="1" ht="31" customHeight="1" spans="1:96">
      <c r="A82" s="713">
        <v>46105</v>
      </c>
      <c r="B82" s="714" t="s">
        <v>346</v>
      </c>
      <c r="C82" s="715" t="s">
        <v>115</v>
      </c>
      <c r="D82" s="652">
        <v>4500198365</v>
      </c>
      <c r="E82" s="716" t="s">
        <v>4230</v>
      </c>
      <c r="F82" s="652" t="s">
        <v>4231</v>
      </c>
      <c r="G82" s="716" t="s">
        <v>4194</v>
      </c>
      <c r="H82" s="715" t="s">
        <v>4195</v>
      </c>
      <c r="I82" s="717">
        <v>9216</v>
      </c>
      <c r="J82" s="715">
        <v>0</v>
      </c>
      <c r="K82" s="715">
        <v>512</v>
      </c>
      <c r="L82" s="718">
        <f t="shared" si="8"/>
        <v>18</v>
      </c>
      <c r="M82" s="719">
        <v>46153</v>
      </c>
      <c r="N82" s="719">
        <v>46149</v>
      </c>
      <c r="O82" s="714" t="s">
        <v>516</v>
      </c>
      <c r="P82" s="717" t="s">
        <v>106</v>
      </c>
      <c r="Q82" s="717"/>
      <c r="R82" s="723" t="s">
        <v>4201</v>
      </c>
      <c r="S82" s="720" t="s">
        <v>107</v>
      </c>
      <c r="T82" s="720" t="s">
        <v>4197</v>
      </c>
      <c r="U82" s="720"/>
      <c r="V82" s="720"/>
      <c r="W82" s="720"/>
      <c r="X82" s="720" t="s">
        <v>4202</v>
      </c>
      <c r="Y82" s="719" t="s">
        <v>354</v>
      </c>
      <c r="Z82" s="715">
        <v>1309.3922</v>
      </c>
      <c r="AA82" s="715">
        <f>L82*Z82</f>
        <v>23569.0596</v>
      </c>
      <c r="AB82" s="721" t="s">
        <v>518</v>
      </c>
      <c r="AC82" s="716" t="s">
        <v>4194</v>
      </c>
      <c r="AD82" s="715" t="s">
        <v>112</v>
      </c>
      <c r="AE82" s="715">
        <f t="shared" si="14"/>
        <v>9216</v>
      </c>
      <c r="AF82" s="715"/>
      <c r="AG82" s="715">
        <v>9216</v>
      </c>
      <c r="AH82" s="715">
        <f t="shared" si="13"/>
        <v>0</v>
      </c>
      <c r="AI82" s="717" t="s">
        <v>120</v>
      </c>
      <c r="AJ82" s="715" t="s">
        <v>3981</v>
      </c>
      <c r="AK82" s="652">
        <f t="shared" si="15"/>
        <v>9216</v>
      </c>
      <c r="AL82" s="652"/>
      <c r="AM82" s="652"/>
      <c r="AN82" s="652">
        <f t="shared" si="16"/>
        <v>9216</v>
      </c>
      <c r="AO82" s="652"/>
      <c r="AP82" s="652"/>
      <c r="AQ82" s="652"/>
      <c r="AR82" s="652"/>
      <c r="AS82" s="652"/>
      <c r="AT82" s="652">
        <f t="shared" si="17"/>
        <v>1152</v>
      </c>
      <c r="AU82" s="652"/>
      <c r="AV82" s="652"/>
      <c r="AW82" s="652"/>
      <c r="AX82" s="652"/>
      <c r="AY82" s="652"/>
      <c r="AZ82" s="652"/>
      <c r="BA82" s="652"/>
      <c r="BB82" s="652"/>
      <c r="BC82" s="652"/>
      <c r="BD82" s="652"/>
      <c r="BE82" s="652"/>
      <c r="BF82" s="652"/>
      <c r="BG82" s="652"/>
      <c r="BH82" s="652"/>
      <c r="BI82" s="652"/>
      <c r="BJ82" s="731"/>
      <c r="BK82" s="731"/>
      <c r="BL82" s="731"/>
      <c r="BM82" s="731"/>
      <c r="BN82" s="731"/>
      <c r="BO82" s="731"/>
      <c r="BP82" s="731"/>
      <c r="BQ82" s="731"/>
      <c r="BR82" s="731"/>
      <c r="BS82" s="731"/>
      <c r="BT82" s="731"/>
      <c r="BU82" s="731"/>
      <c r="BV82" s="731"/>
      <c r="BW82" s="731"/>
      <c r="BX82" s="731"/>
      <c r="BY82" s="731"/>
      <c r="BZ82" s="731"/>
      <c r="CA82" s="731"/>
      <c r="CB82" s="731"/>
      <c r="CC82" s="731"/>
      <c r="CD82" s="731"/>
      <c r="CE82" s="731"/>
      <c r="CF82" s="731"/>
      <c r="CG82" s="731"/>
      <c r="CH82" s="731"/>
      <c r="CI82" s="731"/>
      <c r="CJ82" s="731"/>
      <c r="CK82" s="731"/>
      <c r="CL82" s="731"/>
      <c r="CM82" s="731"/>
      <c r="CN82" s="731"/>
      <c r="CO82" s="731"/>
      <c r="CP82" s="731"/>
      <c r="CQ82" s="731"/>
      <c r="CR82" s="731"/>
    </row>
    <row r="83" s="650" customFormat="1" ht="31" customHeight="1" spans="1:96">
      <c r="A83" s="713">
        <v>46095</v>
      </c>
      <c r="B83" s="714" t="s">
        <v>507</v>
      </c>
      <c r="C83" s="715" t="s">
        <v>508</v>
      </c>
      <c r="D83" s="652">
        <v>4500196881</v>
      </c>
      <c r="E83" s="716" t="s">
        <v>4232</v>
      </c>
      <c r="F83" s="652" t="s">
        <v>4233</v>
      </c>
      <c r="G83" s="716" t="s">
        <v>3980</v>
      </c>
      <c r="H83" s="715" t="s">
        <v>3978</v>
      </c>
      <c r="I83" s="717">
        <v>1840</v>
      </c>
      <c r="J83" s="715">
        <v>0</v>
      </c>
      <c r="K83" s="715">
        <v>8</v>
      </c>
      <c r="L83" s="718">
        <f t="shared" si="8"/>
        <v>230</v>
      </c>
      <c r="M83" s="719">
        <v>46153</v>
      </c>
      <c r="N83" s="719">
        <v>46149</v>
      </c>
      <c r="O83" s="714"/>
      <c r="P83" s="717" t="s">
        <v>106</v>
      </c>
      <c r="Q83" s="717"/>
      <c r="R83" s="723">
        <v>46125</v>
      </c>
      <c r="S83" s="720" t="s">
        <v>107</v>
      </c>
      <c r="T83" s="720">
        <v>46134</v>
      </c>
      <c r="U83" s="720"/>
      <c r="V83" s="720" t="s">
        <v>4056</v>
      </c>
      <c r="W83" s="720"/>
      <c r="X83" s="720" t="s">
        <v>4234</v>
      </c>
      <c r="Y83" s="719" t="s">
        <v>513</v>
      </c>
      <c r="Z83" s="730">
        <v>5</v>
      </c>
      <c r="AA83" s="715">
        <f>Z83*I83</f>
        <v>9200</v>
      </c>
      <c r="AB83" s="721"/>
      <c r="AC83" s="722" t="s">
        <v>3980</v>
      </c>
      <c r="AD83" s="715" t="s">
        <v>112</v>
      </c>
      <c r="AE83" s="715">
        <f t="shared" si="14"/>
        <v>1840</v>
      </c>
      <c r="AF83" s="715" t="s">
        <v>4109</v>
      </c>
      <c r="AG83" s="715">
        <v>1840</v>
      </c>
      <c r="AH83" s="715">
        <f t="shared" si="13"/>
        <v>0</v>
      </c>
      <c r="AI83" s="717" t="s">
        <v>120</v>
      </c>
      <c r="AJ83" s="715" t="s">
        <v>3981</v>
      </c>
      <c r="AK83" s="652">
        <f t="shared" si="15"/>
        <v>1840</v>
      </c>
      <c r="AL83" s="652"/>
      <c r="AM83" s="652"/>
      <c r="AN83" s="652">
        <f t="shared" si="16"/>
        <v>1840</v>
      </c>
      <c r="AO83" s="652"/>
      <c r="AP83" s="652"/>
      <c r="AQ83" s="652"/>
      <c r="AR83" s="652"/>
      <c r="AS83" s="652"/>
      <c r="AT83" s="652">
        <f t="shared" si="17"/>
        <v>230</v>
      </c>
      <c r="AU83" s="652"/>
      <c r="AV83" s="652"/>
      <c r="AW83" s="652"/>
      <c r="AX83" s="652"/>
      <c r="AY83" s="652"/>
      <c r="AZ83" s="652"/>
      <c r="BA83" s="652"/>
      <c r="BB83" s="652"/>
      <c r="BC83" s="652"/>
      <c r="BD83" s="652"/>
      <c r="BE83" s="652"/>
      <c r="BF83" s="652"/>
      <c r="BG83" s="652"/>
      <c r="BH83" s="652"/>
      <c r="BI83" s="652"/>
      <c r="BJ83" s="731"/>
      <c r="BK83" s="731"/>
      <c r="BL83" s="731"/>
      <c r="BM83" s="731"/>
      <c r="BN83" s="731"/>
      <c r="BO83" s="731"/>
      <c r="BP83" s="731"/>
      <c r="BQ83" s="731"/>
      <c r="BR83" s="731"/>
      <c r="BS83" s="731"/>
      <c r="BT83" s="731"/>
      <c r="BU83" s="731"/>
      <c r="BV83" s="731"/>
      <c r="BW83" s="731"/>
      <c r="BX83" s="731"/>
      <c r="BY83" s="731"/>
      <c r="BZ83" s="731"/>
      <c r="CA83" s="731"/>
      <c r="CB83" s="731"/>
      <c r="CC83" s="731"/>
      <c r="CD83" s="731"/>
      <c r="CE83" s="731"/>
      <c r="CF83" s="731"/>
      <c r="CG83" s="731"/>
      <c r="CH83" s="731"/>
      <c r="CI83" s="731"/>
      <c r="CJ83" s="731"/>
      <c r="CK83" s="731"/>
      <c r="CL83" s="731"/>
      <c r="CM83" s="731"/>
      <c r="CN83" s="731"/>
      <c r="CO83" s="731"/>
      <c r="CP83" s="731"/>
      <c r="CQ83" s="731"/>
      <c r="CR83" s="731"/>
    </row>
    <row r="84" s="650" customFormat="1" ht="33" customHeight="1" spans="1:96">
      <c r="A84" s="713">
        <v>46112</v>
      </c>
      <c r="B84" s="714" t="s">
        <v>530</v>
      </c>
      <c r="C84" s="715" t="s">
        <v>135</v>
      </c>
      <c r="D84" s="652" t="s">
        <v>4235</v>
      </c>
      <c r="E84" s="716" t="s">
        <v>4236</v>
      </c>
      <c r="F84" s="652" t="s">
        <v>4237</v>
      </c>
      <c r="G84" s="716" t="s">
        <v>4238</v>
      </c>
      <c r="H84" s="715" t="s">
        <v>3978</v>
      </c>
      <c r="I84" s="717">
        <v>3328</v>
      </c>
      <c r="J84" s="715">
        <v>8</v>
      </c>
      <c r="K84" s="715">
        <v>32</v>
      </c>
      <c r="L84" s="718">
        <f t="shared" si="8"/>
        <v>104</v>
      </c>
      <c r="M84" s="719">
        <v>46153</v>
      </c>
      <c r="N84" s="719">
        <v>46149</v>
      </c>
      <c r="O84" s="714"/>
      <c r="P84" s="717"/>
      <c r="Q84" s="717"/>
      <c r="R84" s="723">
        <v>46129</v>
      </c>
      <c r="S84" s="720" t="s">
        <v>107</v>
      </c>
      <c r="T84" s="720" t="s">
        <v>4239</v>
      </c>
      <c r="U84" s="720"/>
      <c r="V84" s="720" t="s">
        <v>4240</v>
      </c>
      <c r="W84" s="720"/>
      <c r="X84" s="720" t="s">
        <v>4241</v>
      </c>
      <c r="Y84" s="719" t="s">
        <v>142</v>
      </c>
      <c r="Z84" s="715">
        <v>5</v>
      </c>
      <c r="AA84" s="715">
        <f>L84*Z84</f>
        <v>520</v>
      </c>
      <c r="AB84" s="721"/>
      <c r="AC84" s="716" t="s">
        <v>4238</v>
      </c>
      <c r="AD84" s="715" t="s">
        <v>112</v>
      </c>
      <c r="AE84" s="715">
        <f t="shared" si="14"/>
        <v>3328</v>
      </c>
      <c r="AF84" s="715" t="s">
        <v>4109</v>
      </c>
      <c r="AG84" s="715">
        <v>3328</v>
      </c>
      <c r="AH84" s="715">
        <f t="shared" si="13"/>
        <v>0</v>
      </c>
      <c r="AI84" s="717"/>
      <c r="AJ84" s="715" t="s">
        <v>3981</v>
      </c>
      <c r="AK84" s="652">
        <f t="shared" si="15"/>
        <v>3328</v>
      </c>
      <c r="AL84" s="652"/>
      <c r="AM84" s="652"/>
      <c r="AN84" s="652">
        <f t="shared" si="16"/>
        <v>3328</v>
      </c>
      <c r="AO84" s="652"/>
      <c r="AP84" s="652"/>
      <c r="AQ84" s="652"/>
      <c r="AR84" s="652"/>
      <c r="AS84" s="652"/>
      <c r="AT84" s="652">
        <f t="shared" si="17"/>
        <v>416</v>
      </c>
      <c r="AU84" s="652"/>
      <c r="AV84" s="652"/>
      <c r="AW84" s="652"/>
      <c r="AX84" s="652"/>
      <c r="AY84" s="652"/>
      <c r="AZ84" s="652"/>
      <c r="BA84" s="652"/>
      <c r="BB84" s="652"/>
      <c r="BC84" s="652"/>
      <c r="BD84" s="652"/>
      <c r="BE84" s="652"/>
      <c r="BF84" s="652"/>
      <c r="BG84" s="652"/>
      <c r="BH84" s="652"/>
      <c r="BI84" s="652"/>
      <c r="BJ84" s="731"/>
      <c r="BK84" s="731"/>
      <c r="BL84" s="731"/>
      <c r="BM84" s="731"/>
      <c r="BN84" s="731"/>
      <c r="BO84" s="731"/>
      <c r="BP84" s="731"/>
      <c r="BQ84" s="731"/>
      <c r="BR84" s="731"/>
      <c r="BS84" s="731"/>
      <c r="BT84" s="731"/>
      <c r="BU84" s="731"/>
      <c r="BV84" s="731"/>
      <c r="BW84" s="731"/>
      <c r="BX84" s="731"/>
      <c r="BY84" s="731"/>
      <c r="BZ84" s="731"/>
      <c r="CA84" s="731"/>
      <c r="CB84" s="731"/>
      <c r="CC84" s="731"/>
      <c r="CD84" s="731"/>
      <c r="CE84" s="731"/>
      <c r="CF84" s="731"/>
      <c r="CG84" s="731"/>
      <c r="CH84" s="731"/>
      <c r="CI84" s="731"/>
      <c r="CJ84" s="731"/>
      <c r="CK84" s="731"/>
      <c r="CL84" s="731"/>
      <c r="CM84" s="731"/>
      <c r="CN84" s="731"/>
      <c r="CO84" s="731"/>
      <c r="CP84" s="731"/>
      <c r="CQ84" s="731"/>
      <c r="CR84" s="731"/>
    </row>
    <row r="85" s="650" customFormat="1" ht="31" customHeight="1" spans="1:96">
      <c r="A85" s="713">
        <v>46107</v>
      </c>
      <c r="B85" s="714" t="s">
        <v>751</v>
      </c>
      <c r="C85" s="715" t="s">
        <v>135</v>
      </c>
      <c r="D85" s="652">
        <v>4500198584</v>
      </c>
      <c r="E85" s="716" t="s">
        <v>4242</v>
      </c>
      <c r="F85" s="652" t="s">
        <v>4243</v>
      </c>
      <c r="G85" s="716" t="s">
        <v>3968</v>
      </c>
      <c r="H85" s="715" t="s">
        <v>3969</v>
      </c>
      <c r="I85" s="717">
        <v>1264</v>
      </c>
      <c r="J85" s="715">
        <v>0</v>
      </c>
      <c r="K85" s="715">
        <v>16</v>
      </c>
      <c r="L85" s="718">
        <f t="shared" si="8"/>
        <v>79</v>
      </c>
      <c r="M85" s="719">
        <v>46154</v>
      </c>
      <c r="N85" s="719">
        <f>M85-4</f>
        <v>46150</v>
      </c>
      <c r="O85" s="714"/>
      <c r="P85" s="717" t="s">
        <v>106</v>
      </c>
      <c r="Q85" s="717"/>
      <c r="R85" s="723" t="s">
        <v>4088</v>
      </c>
      <c r="S85" s="720" t="s">
        <v>107</v>
      </c>
      <c r="T85" s="720" t="s">
        <v>4244</v>
      </c>
      <c r="U85" s="720"/>
      <c r="V85" s="720"/>
      <c r="W85" s="720"/>
      <c r="X85" s="720" t="s">
        <v>4245</v>
      </c>
      <c r="Y85" s="719" t="s">
        <v>757</v>
      </c>
      <c r="Z85" s="715">
        <v>4.11</v>
      </c>
      <c r="AA85" s="715">
        <f>Z85*I85</f>
        <v>5195.04</v>
      </c>
      <c r="AB85" s="721"/>
      <c r="AC85" s="716" t="s">
        <v>3968</v>
      </c>
      <c r="AD85" s="715" t="s">
        <v>112</v>
      </c>
      <c r="AE85" s="715">
        <f t="shared" si="14"/>
        <v>1264</v>
      </c>
      <c r="AF85" s="715" t="s">
        <v>4109</v>
      </c>
      <c r="AG85" s="715">
        <v>1264</v>
      </c>
      <c r="AH85" s="715">
        <f t="shared" si="13"/>
        <v>0</v>
      </c>
      <c r="AI85" s="717" t="s">
        <v>120</v>
      </c>
      <c r="AJ85" s="715" t="s">
        <v>3981</v>
      </c>
      <c r="AK85" s="652">
        <f t="shared" si="15"/>
        <v>1264</v>
      </c>
      <c r="AL85" s="652"/>
      <c r="AM85" s="652"/>
      <c r="AN85" s="652">
        <f t="shared" si="16"/>
        <v>1264</v>
      </c>
      <c r="AO85" s="652"/>
      <c r="AP85" s="652"/>
      <c r="AQ85" s="652"/>
      <c r="AR85" s="652"/>
      <c r="AS85" s="652"/>
      <c r="AT85" s="652"/>
      <c r="AU85" s="652"/>
      <c r="AV85" s="652"/>
      <c r="AW85" s="652"/>
      <c r="AX85" s="652"/>
      <c r="AY85" s="652"/>
      <c r="AZ85" s="652"/>
      <c r="BA85" s="652"/>
      <c r="BB85" s="652"/>
      <c r="BC85" s="652"/>
      <c r="BD85" s="652"/>
      <c r="BE85" s="652"/>
      <c r="BF85" s="652"/>
      <c r="BG85" s="652"/>
      <c r="BH85" s="652"/>
      <c r="BI85" s="652"/>
      <c r="BJ85" s="724"/>
      <c r="BK85" s="724"/>
      <c r="BL85" s="724"/>
      <c r="BM85" s="724"/>
      <c r="BN85" s="724"/>
      <c r="BO85" s="724"/>
      <c r="BP85" s="724"/>
      <c r="BQ85" s="724"/>
      <c r="BR85" s="724"/>
      <c r="BS85" s="724"/>
      <c r="BT85" s="724"/>
      <c r="BU85" s="724"/>
      <c r="BV85" s="724"/>
      <c r="BW85" s="724"/>
      <c r="BX85" s="724"/>
      <c r="BY85" s="724"/>
      <c r="BZ85" s="724"/>
      <c r="CA85" s="724"/>
      <c r="CB85" s="724"/>
      <c r="CC85" s="724"/>
      <c r="CD85" s="724"/>
      <c r="CE85" s="724"/>
      <c r="CF85" s="724"/>
      <c r="CG85" s="724"/>
      <c r="CH85" s="724"/>
      <c r="CI85" s="724"/>
      <c r="CJ85" s="724"/>
      <c r="CK85" s="724"/>
      <c r="CL85" s="724"/>
      <c r="CM85" s="724"/>
      <c r="CN85" s="724"/>
      <c r="CO85" s="724"/>
      <c r="CP85" s="724"/>
      <c r="CQ85" s="724"/>
      <c r="CR85" s="724"/>
    </row>
    <row r="86" s="650" customFormat="1" ht="31" customHeight="1" spans="1:96">
      <c r="A86" s="713">
        <v>46112</v>
      </c>
      <c r="B86" s="714" t="s">
        <v>751</v>
      </c>
      <c r="C86" s="715" t="s">
        <v>135</v>
      </c>
      <c r="D86" s="652">
        <v>4500198584</v>
      </c>
      <c r="E86" s="716" t="s">
        <v>4246</v>
      </c>
      <c r="F86" s="652" t="s">
        <v>4247</v>
      </c>
      <c r="G86" s="716" t="s">
        <v>3968</v>
      </c>
      <c r="H86" s="715" t="s">
        <v>3969</v>
      </c>
      <c r="I86" s="717">
        <v>1264</v>
      </c>
      <c r="J86" s="715">
        <v>0</v>
      </c>
      <c r="K86" s="715">
        <v>16</v>
      </c>
      <c r="L86" s="718">
        <f t="shared" si="8"/>
        <v>79</v>
      </c>
      <c r="M86" s="719">
        <v>46154</v>
      </c>
      <c r="N86" s="719">
        <f>M86-4</f>
        <v>46150</v>
      </c>
      <c r="O86" s="714"/>
      <c r="P86" s="717" t="s">
        <v>106</v>
      </c>
      <c r="Q86" s="717"/>
      <c r="R86" s="715" t="s">
        <v>4088</v>
      </c>
      <c r="S86" s="720" t="s">
        <v>107</v>
      </c>
      <c r="T86" s="720" t="s">
        <v>4248</v>
      </c>
      <c r="U86" s="720"/>
      <c r="V86" s="720"/>
      <c r="W86" s="720"/>
      <c r="X86" s="720" t="s">
        <v>4245</v>
      </c>
      <c r="Y86" s="719" t="s">
        <v>757</v>
      </c>
      <c r="Z86" s="715">
        <v>4.11</v>
      </c>
      <c r="AA86" s="715">
        <f>Z86*I86</f>
        <v>5195.04</v>
      </c>
      <c r="AB86" s="721"/>
      <c r="AC86" s="716" t="s">
        <v>3968</v>
      </c>
      <c r="AD86" s="715" t="s">
        <v>112</v>
      </c>
      <c r="AE86" s="715">
        <f t="shared" si="14"/>
        <v>1264</v>
      </c>
      <c r="AF86" s="715" t="s">
        <v>4109</v>
      </c>
      <c r="AG86" s="715">
        <v>1264</v>
      </c>
      <c r="AH86" s="715">
        <f t="shared" si="13"/>
        <v>0</v>
      </c>
      <c r="AI86" s="717" t="s">
        <v>120</v>
      </c>
      <c r="AJ86" s="715" t="s">
        <v>3981</v>
      </c>
      <c r="AK86" s="652">
        <f t="shared" si="15"/>
        <v>1264</v>
      </c>
      <c r="AL86" s="652"/>
      <c r="AM86" s="652"/>
      <c r="AN86" s="652">
        <f t="shared" si="16"/>
        <v>1264</v>
      </c>
      <c r="AO86" s="652"/>
      <c r="AP86" s="652"/>
      <c r="AQ86" s="652"/>
      <c r="AR86" s="652"/>
      <c r="AS86" s="652"/>
      <c r="AT86" s="652"/>
      <c r="AU86" s="652"/>
      <c r="AV86" s="652"/>
      <c r="AW86" s="652"/>
      <c r="AX86" s="652"/>
      <c r="AY86" s="652"/>
      <c r="AZ86" s="652"/>
      <c r="BA86" s="652"/>
      <c r="BB86" s="652"/>
      <c r="BC86" s="652"/>
      <c r="BD86" s="652"/>
      <c r="BE86" s="652"/>
      <c r="BF86" s="652"/>
      <c r="BG86" s="652"/>
      <c r="BH86" s="652"/>
      <c r="BI86" s="652"/>
    </row>
    <row r="87" s="650" customFormat="1" ht="31" customHeight="1" spans="1:96">
      <c r="A87" s="713">
        <v>46093</v>
      </c>
      <c r="B87" s="714" t="s">
        <v>499</v>
      </c>
      <c r="C87" s="715" t="s">
        <v>115</v>
      </c>
      <c r="D87" s="652">
        <v>4500196510</v>
      </c>
      <c r="E87" s="716" t="s">
        <v>4249</v>
      </c>
      <c r="F87" s="652" t="s">
        <v>4250</v>
      </c>
      <c r="G87" s="716" t="s">
        <v>3980</v>
      </c>
      <c r="H87" s="715" t="s">
        <v>3978</v>
      </c>
      <c r="I87" s="717">
        <v>6720</v>
      </c>
      <c r="J87" s="715">
        <v>0</v>
      </c>
      <c r="K87" s="715">
        <v>8</v>
      </c>
      <c r="L87" s="718">
        <f t="shared" si="8"/>
        <v>840</v>
      </c>
      <c r="M87" s="719">
        <v>46156</v>
      </c>
      <c r="N87" s="719">
        <v>46153</v>
      </c>
      <c r="O87" s="714" t="s">
        <v>516</v>
      </c>
      <c r="P87" s="717" t="s">
        <v>106</v>
      </c>
      <c r="Q87" s="717"/>
      <c r="R87" s="723">
        <v>46093</v>
      </c>
      <c r="S87" s="720" t="s">
        <v>107</v>
      </c>
      <c r="T87" s="720" t="s">
        <v>4221</v>
      </c>
      <c r="U87" s="720"/>
      <c r="V87" s="720"/>
      <c r="W87" s="720"/>
      <c r="X87" s="720" t="s">
        <v>4222</v>
      </c>
      <c r="Y87" s="719" t="s">
        <v>503</v>
      </c>
      <c r="Z87" s="730">
        <v>3</v>
      </c>
      <c r="AA87" s="715">
        <f>Z87*I87</f>
        <v>20160</v>
      </c>
      <c r="AB87" s="729" t="s">
        <v>4251</v>
      </c>
      <c r="AC87" s="722" t="s">
        <v>3980</v>
      </c>
      <c r="AD87" s="715" t="s">
        <v>112</v>
      </c>
      <c r="AE87" s="715">
        <f t="shared" si="14"/>
        <v>6720</v>
      </c>
      <c r="AF87" s="715"/>
      <c r="AG87" s="715">
        <v>6720</v>
      </c>
      <c r="AH87" s="715">
        <f t="shared" si="13"/>
        <v>0</v>
      </c>
      <c r="AI87" s="717" t="s">
        <v>120</v>
      </c>
      <c r="AJ87" s="715" t="s">
        <v>3981</v>
      </c>
      <c r="AK87" s="652">
        <f t="shared" si="15"/>
        <v>6720</v>
      </c>
      <c r="AL87" s="652"/>
      <c r="AM87" s="652"/>
      <c r="AN87" s="652">
        <f t="shared" si="16"/>
        <v>6720</v>
      </c>
      <c r="AO87" s="652"/>
      <c r="AP87" s="652"/>
      <c r="AQ87" s="652"/>
      <c r="AR87" s="652"/>
      <c r="AS87" s="652"/>
      <c r="AT87" s="652">
        <f>I87/8</f>
        <v>840</v>
      </c>
      <c r="AU87" s="652"/>
      <c r="AV87" s="652"/>
      <c r="AW87" s="652"/>
      <c r="AX87" s="652"/>
      <c r="AY87" s="652"/>
      <c r="AZ87" s="652"/>
      <c r="BA87" s="652"/>
      <c r="BB87" s="652"/>
      <c r="BC87" s="652"/>
      <c r="BD87" s="652"/>
      <c r="BE87" s="652"/>
      <c r="BF87" s="652"/>
      <c r="BG87" s="652"/>
      <c r="BH87" s="652"/>
      <c r="BI87" s="652"/>
      <c r="BJ87" s="724"/>
      <c r="BK87" s="724"/>
      <c r="BL87" s="724"/>
      <c r="BM87" s="724"/>
      <c r="BN87" s="724"/>
      <c r="BO87" s="724"/>
      <c r="BP87" s="724"/>
      <c r="BQ87" s="724"/>
      <c r="BR87" s="724"/>
      <c r="BS87" s="724"/>
      <c r="BT87" s="724"/>
      <c r="BU87" s="724"/>
      <c r="BV87" s="724"/>
      <c r="BW87" s="724"/>
      <c r="BX87" s="724"/>
      <c r="BY87" s="724"/>
      <c r="BZ87" s="724"/>
      <c r="CA87" s="724"/>
      <c r="CB87" s="724"/>
      <c r="CC87" s="724"/>
      <c r="CD87" s="724"/>
      <c r="CE87" s="724"/>
      <c r="CF87" s="724"/>
      <c r="CG87" s="724"/>
      <c r="CH87" s="724"/>
      <c r="CI87" s="724"/>
      <c r="CJ87" s="724"/>
      <c r="CK87" s="724"/>
      <c r="CL87" s="724"/>
      <c r="CM87" s="724"/>
      <c r="CN87" s="724"/>
      <c r="CO87" s="724"/>
      <c r="CP87" s="724"/>
      <c r="CQ87" s="724"/>
      <c r="CR87" s="724"/>
    </row>
    <row r="88" s="650" customFormat="1" ht="31" customHeight="1" spans="1:96">
      <c r="A88" s="713">
        <v>46093</v>
      </c>
      <c r="B88" s="714" t="s">
        <v>499</v>
      </c>
      <c r="C88" s="715" t="s">
        <v>115</v>
      </c>
      <c r="D88" s="652">
        <v>4500196510</v>
      </c>
      <c r="E88" s="716" t="s">
        <v>4252</v>
      </c>
      <c r="F88" s="652" t="s">
        <v>4253</v>
      </c>
      <c r="G88" s="716" t="s">
        <v>3980</v>
      </c>
      <c r="H88" s="715" t="s">
        <v>3978</v>
      </c>
      <c r="I88" s="717">
        <v>10528</v>
      </c>
      <c r="J88" s="715">
        <v>0</v>
      </c>
      <c r="K88" s="715">
        <v>8</v>
      </c>
      <c r="L88" s="718">
        <f t="shared" si="8"/>
        <v>1316</v>
      </c>
      <c r="M88" s="719">
        <v>46156</v>
      </c>
      <c r="N88" s="719">
        <v>46153</v>
      </c>
      <c r="O88" s="714" t="s">
        <v>516</v>
      </c>
      <c r="P88" s="717" t="s">
        <v>106</v>
      </c>
      <c r="Q88" s="717"/>
      <c r="R88" s="723">
        <v>46093</v>
      </c>
      <c r="S88" s="720" t="s">
        <v>107</v>
      </c>
      <c r="T88" s="720" t="s">
        <v>4221</v>
      </c>
      <c r="U88" s="720"/>
      <c r="V88" s="720"/>
      <c r="W88" s="720"/>
      <c r="X88" s="720" t="s">
        <v>4222</v>
      </c>
      <c r="Y88" s="719" t="s">
        <v>503</v>
      </c>
      <c r="Z88" s="730">
        <v>3</v>
      </c>
      <c r="AA88" s="715">
        <f>Z88*I88</f>
        <v>31584</v>
      </c>
      <c r="AB88" s="729" t="s">
        <v>4254</v>
      </c>
      <c r="AC88" s="722" t="s">
        <v>3980</v>
      </c>
      <c r="AD88" s="715" t="s">
        <v>112</v>
      </c>
      <c r="AE88" s="715">
        <f t="shared" si="14"/>
        <v>10528</v>
      </c>
      <c r="AF88" s="715"/>
      <c r="AG88" s="715">
        <v>10528</v>
      </c>
      <c r="AH88" s="715">
        <f t="shared" si="13"/>
        <v>0</v>
      </c>
      <c r="AI88" s="717" t="s">
        <v>120</v>
      </c>
      <c r="AJ88" s="715" t="s">
        <v>3981</v>
      </c>
      <c r="AK88" s="652">
        <f t="shared" si="15"/>
        <v>10528</v>
      </c>
      <c r="AL88" s="652"/>
      <c r="AM88" s="652"/>
      <c r="AN88" s="652">
        <f t="shared" si="16"/>
        <v>10528</v>
      </c>
      <c r="AO88" s="652"/>
      <c r="AP88" s="652"/>
      <c r="AQ88" s="652"/>
      <c r="AR88" s="652"/>
      <c r="AS88" s="652"/>
      <c r="AT88" s="652">
        <f>I88/8</f>
        <v>1316</v>
      </c>
      <c r="AU88" s="652"/>
      <c r="AV88" s="652"/>
      <c r="AW88" s="652"/>
      <c r="AX88" s="652"/>
      <c r="AY88" s="652"/>
      <c r="AZ88" s="652"/>
      <c r="BA88" s="652"/>
      <c r="BB88" s="652"/>
      <c r="BC88" s="652"/>
      <c r="BD88" s="652"/>
      <c r="BE88" s="652"/>
      <c r="BF88" s="652"/>
      <c r="BG88" s="652"/>
      <c r="BH88" s="652"/>
      <c r="BI88" s="652"/>
      <c r="BJ88" s="731"/>
      <c r="BK88" s="731"/>
      <c r="BL88" s="731"/>
      <c r="BM88" s="731"/>
      <c r="BN88" s="731"/>
      <c r="BO88" s="731"/>
      <c r="BP88" s="731"/>
      <c r="BQ88" s="731"/>
      <c r="BR88" s="731"/>
      <c r="BS88" s="731"/>
      <c r="BT88" s="731"/>
      <c r="BU88" s="731"/>
      <c r="BV88" s="731"/>
      <c r="BW88" s="731"/>
      <c r="BX88" s="731"/>
      <c r="BY88" s="731"/>
      <c r="BZ88" s="731"/>
      <c r="CA88" s="731"/>
      <c r="CB88" s="731"/>
      <c r="CC88" s="731"/>
      <c r="CD88" s="731"/>
      <c r="CE88" s="731"/>
      <c r="CF88" s="731"/>
      <c r="CG88" s="731"/>
      <c r="CH88" s="731"/>
      <c r="CI88" s="731"/>
      <c r="CJ88" s="731"/>
      <c r="CK88" s="731"/>
      <c r="CL88" s="731"/>
      <c r="CM88" s="731"/>
      <c r="CN88" s="731"/>
      <c r="CO88" s="731"/>
      <c r="CP88" s="731"/>
      <c r="CQ88" s="731"/>
      <c r="CR88" s="731"/>
    </row>
    <row r="89" s="650" customFormat="1" ht="31" customHeight="1" spans="1:96">
      <c r="A89" s="713">
        <v>46105</v>
      </c>
      <c r="B89" s="714" t="s">
        <v>346</v>
      </c>
      <c r="C89" s="715" t="s">
        <v>115</v>
      </c>
      <c r="D89" s="652">
        <v>4500198366</v>
      </c>
      <c r="E89" s="716" t="s">
        <v>4255</v>
      </c>
      <c r="F89" s="652" t="s">
        <v>4256</v>
      </c>
      <c r="G89" s="716" t="s">
        <v>4194</v>
      </c>
      <c r="H89" s="715" t="s">
        <v>4195</v>
      </c>
      <c r="I89" s="717">
        <v>12800</v>
      </c>
      <c r="J89" s="715">
        <v>0</v>
      </c>
      <c r="K89" s="715">
        <v>512</v>
      </c>
      <c r="L89" s="718">
        <f t="shared" si="8"/>
        <v>25</v>
      </c>
      <c r="M89" s="719">
        <v>46156</v>
      </c>
      <c r="N89" s="719">
        <v>46153</v>
      </c>
      <c r="O89" s="714" t="s">
        <v>550</v>
      </c>
      <c r="P89" s="717" t="s">
        <v>106</v>
      </c>
      <c r="Q89" s="717"/>
      <c r="R89" s="723" t="s">
        <v>4201</v>
      </c>
      <c r="S89" s="720" t="s">
        <v>107</v>
      </c>
      <c r="T89" s="720" t="s">
        <v>4197</v>
      </c>
      <c r="U89" s="720"/>
      <c r="V89" s="720"/>
      <c r="W89" s="720"/>
      <c r="X89" s="720" t="s">
        <v>4202</v>
      </c>
      <c r="Y89" s="719" t="s">
        <v>354</v>
      </c>
      <c r="Z89" s="715">
        <v>1309.392</v>
      </c>
      <c r="AA89" s="715">
        <f>L89*Z89</f>
        <v>32734.8</v>
      </c>
      <c r="AB89" s="725" t="s">
        <v>4257</v>
      </c>
      <c r="AC89" s="716" t="s">
        <v>4194</v>
      </c>
      <c r="AD89" s="715" t="s">
        <v>112</v>
      </c>
      <c r="AE89" s="715">
        <f t="shared" si="14"/>
        <v>12800</v>
      </c>
      <c r="AF89" s="715"/>
      <c r="AG89" s="715">
        <v>12800</v>
      </c>
      <c r="AH89" s="715">
        <f t="shared" si="13"/>
        <v>0</v>
      </c>
      <c r="AI89" s="717" t="s">
        <v>120</v>
      </c>
      <c r="AJ89" s="715" t="s">
        <v>3981</v>
      </c>
      <c r="AK89" s="652">
        <f t="shared" si="15"/>
        <v>12800</v>
      </c>
      <c r="AL89" s="652"/>
      <c r="AM89" s="652"/>
      <c r="AN89" s="652">
        <f t="shared" si="16"/>
        <v>12800</v>
      </c>
      <c r="AO89" s="652"/>
      <c r="AP89" s="652"/>
      <c r="AQ89" s="652"/>
      <c r="AR89" s="652"/>
      <c r="AS89" s="652"/>
      <c r="AT89" s="652">
        <f>I89/8</f>
        <v>1600</v>
      </c>
      <c r="AU89" s="652"/>
      <c r="AV89" s="652"/>
      <c r="AW89" s="652"/>
      <c r="AX89" s="652"/>
      <c r="AY89" s="652"/>
      <c r="AZ89" s="652"/>
      <c r="BA89" s="652"/>
      <c r="BB89" s="652"/>
      <c r="BC89" s="652"/>
      <c r="BD89" s="652"/>
      <c r="BE89" s="652"/>
      <c r="BF89" s="652"/>
      <c r="BG89" s="652"/>
      <c r="BH89" s="652"/>
      <c r="BI89" s="652"/>
    </row>
    <row r="90" s="650" customFormat="1" ht="31" customHeight="1" spans="1:96">
      <c r="A90" s="713">
        <v>46134</v>
      </c>
      <c r="B90" s="714"/>
      <c r="C90" s="715"/>
      <c r="D90" s="652" t="s">
        <v>575</v>
      </c>
      <c r="E90" s="715"/>
      <c r="F90" s="652" t="s">
        <v>4258</v>
      </c>
      <c r="G90" s="716" t="s">
        <v>3968</v>
      </c>
      <c r="H90" s="715" t="s">
        <v>3969</v>
      </c>
      <c r="I90" s="717">
        <v>352</v>
      </c>
      <c r="J90" s="715">
        <v>0</v>
      </c>
      <c r="K90" s="715">
        <v>16</v>
      </c>
      <c r="L90" s="715">
        <f t="shared" si="8"/>
        <v>22</v>
      </c>
      <c r="M90" s="719">
        <v>46157</v>
      </c>
      <c r="N90" s="719">
        <v>46153</v>
      </c>
      <c r="O90" s="714"/>
      <c r="P90" s="717"/>
      <c r="Q90" s="717"/>
      <c r="R90" s="723" t="s">
        <v>94</v>
      </c>
      <c r="S90" s="720" t="s">
        <v>95</v>
      </c>
      <c r="T90" s="720" t="s">
        <v>95</v>
      </c>
      <c r="U90" s="720"/>
      <c r="V90" s="720"/>
      <c r="W90" s="720"/>
      <c r="X90" s="720" t="s">
        <v>4100</v>
      </c>
      <c r="Y90" s="719" t="s">
        <v>272</v>
      </c>
      <c r="Z90" s="730"/>
      <c r="AA90" s="652"/>
      <c r="AB90" s="721"/>
      <c r="AC90" s="716" t="s">
        <v>3968</v>
      </c>
      <c r="AD90" s="715" t="s">
        <v>112</v>
      </c>
      <c r="AE90" s="715">
        <f t="shared" si="14"/>
        <v>352</v>
      </c>
      <c r="AF90" s="715"/>
      <c r="AG90" s="715"/>
      <c r="AH90" s="715">
        <f t="shared" si="13"/>
        <v>-352</v>
      </c>
      <c r="AI90" s="717" t="s">
        <v>95</v>
      </c>
      <c r="AJ90" s="715" t="s">
        <v>3981</v>
      </c>
      <c r="AK90" s="652">
        <f t="shared" si="15"/>
        <v>352</v>
      </c>
      <c r="AL90" s="652"/>
      <c r="AM90" s="652"/>
      <c r="AN90" s="652">
        <f t="shared" si="16"/>
        <v>352</v>
      </c>
      <c r="AO90" s="652"/>
      <c r="AP90" s="652"/>
      <c r="AQ90" s="652"/>
      <c r="AR90" s="652"/>
      <c r="AS90" s="652"/>
      <c r="AT90" s="652"/>
      <c r="AU90" s="652"/>
      <c r="AV90" s="652"/>
      <c r="AW90" s="652"/>
      <c r="AX90" s="652"/>
      <c r="AY90" s="652"/>
      <c r="AZ90" s="652"/>
      <c r="BA90" s="652"/>
      <c r="BB90" s="652"/>
      <c r="BC90" s="652"/>
      <c r="BD90" s="652"/>
      <c r="BE90" s="652"/>
      <c r="BF90" s="652"/>
      <c r="BG90" s="652"/>
      <c r="BH90" s="652"/>
      <c r="BI90" s="652"/>
      <c r="BJ90" s="724"/>
      <c r="BK90" s="724"/>
      <c r="BL90" s="724"/>
      <c r="BM90" s="724"/>
      <c r="BN90" s="724"/>
      <c r="BO90" s="724"/>
      <c r="BP90" s="724"/>
      <c r="BQ90" s="724"/>
      <c r="BR90" s="724"/>
      <c r="BS90" s="724"/>
      <c r="BT90" s="724"/>
      <c r="BU90" s="724"/>
      <c r="BV90" s="724"/>
      <c r="BW90" s="724"/>
      <c r="BX90" s="724"/>
      <c r="BY90" s="724"/>
      <c r="BZ90" s="724"/>
      <c r="CA90" s="724"/>
      <c r="CB90" s="724"/>
      <c r="CC90" s="724"/>
      <c r="CD90" s="724"/>
      <c r="CE90" s="724"/>
      <c r="CF90" s="724"/>
      <c r="CG90" s="724"/>
      <c r="CH90" s="724"/>
      <c r="CI90" s="724"/>
      <c r="CJ90" s="724"/>
      <c r="CK90" s="724"/>
      <c r="CL90" s="724"/>
      <c r="CM90" s="724"/>
      <c r="CN90" s="724"/>
      <c r="CO90" s="724"/>
      <c r="CP90" s="724"/>
      <c r="CQ90" s="724"/>
      <c r="CR90" s="724"/>
    </row>
    <row r="91" s="650" customFormat="1" ht="31" customHeight="1" spans="1:96">
      <c r="A91" s="713">
        <v>46136</v>
      </c>
      <c r="B91" s="714"/>
      <c r="C91" s="715"/>
      <c r="D91" s="652" t="s">
        <v>4259</v>
      </c>
      <c r="E91" s="715"/>
      <c r="F91" s="652" t="s">
        <v>4260</v>
      </c>
      <c r="G91" s="716" t="s">
        <v>3965</v>
      </c>
      <c r="H91" s="715" t="s">
        <v>4038</v>
      </c>
      <c r="I91" s="717">
        <v>10</v>
      </c>
      <c r="J91" s="715">
        <v>0</v>
      </c>
      <c r="K91" s="715">
        <v>1</v>
      </c>
      <c r="L91" s="718">
        <f t="shared" si="8"/>
        <v>10</v>
      </c>
      <c r="M91" s="719">
        <v>46157</v>
      </c>
      <c r="N91" s="719">
        <v>46153</v>
      </c>
      <c r="O91" s="714"/>
      <c r="P91" s="717"/>
      <c r="Q91" s="717"/>
      <c r="R91" s="723"/>
      <c r="S91" s="720"/>
      <c r="T91" s="720"/>
      <c r="U91" s="720"/>
      <c r="V91" s="720"/>
      <c r="W91" s="720"/>
      <c r="X91" s="720" t="s">
        <v>4261</v>
      </c>
      <c r="Y91" s="719" t="s">
        <v>272</v>
      </c>
      <c r="Z91" s="715"/>
      <c r="AA91" s="715"/>
      <c r="AB91" s="721"/>
      <c r="AC91" s="722"/>
      <c r="AD91" s="715" t="s">
        <v>99</v>
      </c>
      <c r="AE91" s="715">
        <f t="shared" si="14"/>
        <v>10</v>
      </c>
      <c r="AF91" s="715"/>
      <c r="AG91" s="652"/>
      <c r="AH91" s="715">
        <f t="shared" ref="AH91:AH154" si="18">AG91-I91</f>
        <v>-10</v>
      </c>
      <c r="AI91" s="717"/>
      <c r="AJ91" s="715"/>
      <c r="AK91" s="652"/>
      <c r="AL91" s="652"/>
      <c r="AM91" s="652"/>
      <c r="AN91" s="652"/>
      <c r="AO91" s="652"/>
      <c r="AP91" s="652"/>
      <c r="AQ91" s="652"/>
      <c r="AR91" s="652"/>
      <c r="AS91" s="652"/>
      <c r="AT91" s="652"/>
      <c r="AU91" s="652"/>
      <c r="AV91" s="652"/>
      <c r="AW91" s="652"/>
      <c r="AX91" s="652"/>
      <c r="AY91" s="652"/>
      <c r="AZ91" s="652"/>
      <c r="BA91" s="652"/>
      <c r="BB91" s="652"/>
      <c r="BC91" s="652"/>
      <c r="BD91" s="652"/>
      <c r="BE91" s="652"/>
      <c r="BF91" s="652"/>
      <c r="BG91" s="652"/>
      <c r="BH91" s="652"/>
      <c r="BI91" s="652"/>
      <c r="BJ91" s="654"/>
      <c r="BK91" s="654"/>
      <c r="BL91" s="654"/>
      <c r="BM91" s="654"/>
      <c r="BN91" s="654"/>
      <c r="BO91" s="654"/>
      <c r="BP91" s="654"/>
      <c r="BQ91" s="654"/>
      <c r="BR91" s="654"/>
      <c r="BS91" s="654"/>
      <c r="BT91" s="654"/>
      <c r="BU91" s="654"/>
      <c r="BV91" s="654"/>
      <c r="BW91" s="654"/>
      <c r="BX91" s="654"/>
      <c r="BY91" s="654"/>
      <c r="BZ91" s="654"/>
      <c r="CA91" s="654"/>
      <c r="CB91" s="654"/>
      <c r="CC91" s="654"/>
      <c r="CD91" s="654"/>
      <c r="CE91" s="654"/>
      <c r="CF91" s="654"/>
      <c r="CG91" s="654"/>
      <c r="CH91" s="654"/>
      <c r="CI91" s="654"/>
      <c r="CJ91" s="654"/>
      <c r="CK91" s="654"/>
      <c r="CL91" s="654"/>
      <c r="CM91" s="654"/>
      <c r="CN91" s="654"/>
      <c r="CO91" s="654"/>
      <c r="CP91" s="654"/>
      <c r="CQ91" s="654"/>
      <c r="CR91" s="654"/>
    </row>
    <row r="92" s="650" customFormat="1" ht="31" customHeight="1" spans="1:96">
      <c r="A92" s="713">
        <v>46094</v>
      </c>
      <c r="B92" s="714" t="s">
        <v>583</v>
      </c>
      <c r="C92" s="715" t="s">
        <v>135</v>
      </c>
      <c r="D92" s="652">
        <v>4500196674</v>
      </c>
      <c r="E92" s="715">
        <v>2950868301</v>
      </c>
      <c r="F92" s="652" t="s">
        <v>4262</v>
      </c>
      <c r="G92" s="716" t="s">
        <v>4194</v>
      </c>
      <c r="H92" s="715" t="s">
        <v>4195</v>
      </c>
      <c r="I92" s="717">
        <v>2048</v>
      </c>
      <c r="J92" s="715">
        <v>0</v>
      </c>
      <c r="K92" s="715">
        <v>512</v>
      </c>
      <c r="L92" s="718">
        <f t="shared" ref="L92:L116" si="19">I92/K92</f>
        <v>4</v>
      </c>
      <c r="M92" s="719">
        <v>46160</v>
      </c>
      <c r="N92" s="719">
        <v>46156</v>
      </c>
      <c r="O92" s="714"/>
      <c r="P92" s="717" t="s">
        <v>106</v>
      </c>
      <c r="Q92" s="717"/>
      <c r="R92" s="723">
        <v>46122</v>
      </c>
      <c r="S92" s="720" t="s">
        <v>107</v>
      </c>
      <c r="T92" s="720" t="s">
        <v>4263</v>
      </c>
      <c r="U92" s="720"/>
      <c r="V92" s="720" t="s">
        <v>587</v>
      </c>
      <c r="W92" s="720"/>
      <c r="X92" s="720" t="s">
        <v>4264</v>
      </c>
      <c r="Y92" s="719" t="s">
        <v>288</v>
      </c>
      <c r="Z92" s="715">
        <v>2182.32</v>
      </c>
      <c r="AA92" s="715">
        <f>L92*Z92</f>
        <v>8729.28</v>
      </c>
      <c r="AB92" s="721"/>
      <c r="AC92" s="716" t="s">
        <v>4194</v>
      </c>
      <c r="AD92" s="715" t="s">
        <v>112</v>
      </c>
      <c r="AE92" s="715">
        <f t="shared" si="14"/>
        <v>2048</v>
      </c>
      <c r="AF92" s="715" t="s">
        <v>4109</v>
      </c>
      <c r="AG92" s="715">
        <v>2048</v>
      </c>
      <c r="AH92" s="715">
        <f t="shared" si="18"/>
        <v>0</v>
      </c>
      <c r="AI92" s="717"/>
      <c r="AJ92" s="715" t="s">
        <v>3981</v>
      </c>
      <c r="AK92" s="652">
        <f t="shared" ref="AK92:AK97" si="20">I92</f>
        <v>2048</v>
      </c>
      <c r="AL92" s="652"/>
      <c r="AM92" s="652"/>
      <c r="AN92" s="652">
        <f t="shared" ref="AN92:AN97" si="21">I92</f>
        <v>2048</v>
      </c>
      <c r="AO92" s="652"/>
      <c r="AP92" s="652"/>
      <c r="AQ92" s="652"/>
      <c r="AR92" s="652"/>
      <c r="AS92" s="652"/>
      <c r="AT92" s="652">
        <f>I92/8</f>
        <v>256</v>
      </c>
      <c r="AU92" s="652"/>
      <c r="AV92" s="652"/>
      <c r="AW92" s="652"/>
      <c r="AX92" s="652"/>
      <c r="AY92" s="652"/>
      <c r="AZ92" s="652"/>
      <c r="BA92" s="652"/>
      <c r="BB92" s="652"/>
      <c r="BC92" s="652"/>
      <c r="BD92" s="652"/>
      <c r="BE92" s="652"/>
      <c r="BF92" s="652"/>
      <c r="BG92" s="652"/>
      <c r="BH92" s="652"/>
      <c r="BI92" s="652"/>
    </row>
    <row r="93" s="650" customFormat="1" ht="31" customHeight="1" spans="1:96">
      <c r="A93" s="713">
        <v>46105</v>
      </c>
      <c r="B93" s="714" t="s">
        <v>346</v>
      </c>
      <c r="C93" s="715" t="s">
        <v>115</v>
      </c>
      <c r="D93" s="652">
        <v>4500198368</v>
      </c>
      <c r="E93" s="1907" t="s">
        <v>4265</v>
      </c>
      <c r="F93" s="652" t="s">
        <v>4266</v>
      </c>
      <c r="G93" s="716" t="s">
        <v>4194</v>
      </c>
      <c r="H93" s="715" t="s">
        <v>4195</v>
      </c>
      <c r="I93" s="717">
        <v>6144</v>
      </c>
      <c r="J93" s="715">
        <v>0</v>
      </c>
      <c r="K93" s="715">
        <v>512</v>
      </c>
      <c r="L93" s="718">
        <f t="shared" si="19"/>
        <v>12</v>
      </c>
      <c r="M93" s="719">
        <v>46162</v>
      </c>
      <c r="N93" s="719">
        <v>46158</v>
      </c>
      <c r="O93" s="714" t="s">
        <v>619</v>
      </c>
      <c r="P93" s="717" t="s">
        <v>106</v>
      </c>
      <c r="Q93" s="717"/>
      <c r="R93" s="715" t="s">
        <v>4201</v>
      </c>
      <c r="S93" s="720" t="s">
        <v>107</v>
      </c>
      <c r="T93" s="720" t="s">
        <v>4197</v>
      </c>
      <c r="U93" s="720"/>
      <c r="V93" s="720"/>
      <c r="W93" s="720"/>
      <c r="X93" s="720" t="s">
        <v>4202</v>
      </c>
      <c r="Y93" s="719" t="s">
        <v>354</v>
      </c>
      <c r="Z93" s="715">
        <v>1309.3917</v>
      </c>
      <c r="AA93" s="715">
        <f>L93*Z93</f>
        <v>15712.7004</v>
      </c>
      <c r="AB93" s="729" t="s">
        <v>4267</v>
      </c>
      <c r="AC93" s="716" t="s">
        <v>4194</v>
      </c>
      <c r="AD93" s="715" t="s">
        <v>112</v>
      </c>
      <c r="AE93" s="715">
        <f t="shared" si="14"/>
        <v>6144</v>
      </c>
      <c r="AF93" s="715"/>
      <c r="AG93" s="715">
        <v>6144</v>
      </c>
      <c r="AH93" s="715">
        <f t="shared" si="18"/>
        <v>0</v>
      </c>
      <c r="AI93" s="717" t="s">
        <v>120</v>
      </c>
      <c r="AJ93" s="715" t="s">
        <v>3981</v>
      </c>
      <c r="AK93" s="652">
        <f t="shared" si="20"/>
        <v>6144</v>
      </c>
      <c r="AL93" s="652"/>
      <c r="AM93" s="652"/>
      <c r="AN93" s="652">
        <f t="shared" si="21"/>
        <v>6144</v>
      </c>
      <c r="AO93" s="652"/>
      <c r="AP93" s="652"/>
      <c r="AQ93" s="652"/>
      <c r="AR93" s="652"/>
      <c r="AS93" s="652"/>
      <c r="AT93" s="652">
        <f>I93/8</f>
        <v>768</v>
      </c>
      <c r="AU93" s="652"/>
      <c r="AV93" s="652"/>
      <c r="AW93" s="652"/>
      <c r="AX93" s="652"/>
      <c r="AY93" s="652"/>
      <c r="AZ93" s="652"/>
      <c r="BA93" s="652"/>
      <c r="BB93" s="652"/>
      <c r="BC93" s="652"/>
      <c r="BD93" s="652"/>
      <c r="BE93" s="652"/>
      <c r="BF93" s="652"/>
      <c r="BG93" s="652"/>
      <c r="BH93" s="652"/>
      <c r="BI93" s="652"/>
      <c r="BJ93" s="724"/>
      <c r="BK93" s="724"/>
      <c r="BL93" s="724"/>
      <c r="BM93" s="724"/>
      <c r="BN93" s="724"/>
      <c r="BO93" s="724"/>
      <c r="BP93" s="724"/>
      <c r="BQ93" s="724"/>
      <c r="BR93" s="724"/>
      <c r="BS93" s="724"/>
      <c r="BT93" s="724"/>
      <c r="BU93" s="724"/>
      <c r="BV93" s="724"/>
      <c r="BW93" s="724"/>
      <c r="BX93" s="724"/>
      <c r="BY93" s="724"/>
      <c r="BZ93" s="724"/>
      <c r="CA93" s="724"/>
      <c r="CB93" s="724"/>
      <c r="CC93" s="724"/>
      <c r="CD93" s="724"/>
      <c r="CE93" s="724"/>
      <c r="CF93" s="724"/>
      <c r="CG93" s="724"/>
      <c r="CH93" s="724"/>
      <c r="CI93" s="724"/>
      <c r="CJ93" s="724"/>
      <c r="CK93" s="724"/>
      <c r="CL93" s="724"/>
      <c r="CM93" s="724"/>
      <c r="CN93" s="724"/>
      <c r="CO93" s="724"/>
      <c r="CP93" s="724"/>
      <c r="CQ93" s="724"/>
      <c r="CR93" s="724"/>
    </row>
    <row r="94" s="650" customFormat="1" ht="31" customHeight="1" spans="1:96">
      <c r="A94" s="713">
        <v>46105</v>
      </c>
      <c r="B94" s="714" t="s">
        <v>346</v>
      </c>
      <c r="C94" s="715" t="s">
        <v>115</v>
      </c>
      <c r="D94" s="652">
        <v>4500198368</v>
      </c>
      <c r="E94" s="1907" t="s">
        <v>4268</v>
      </c>
      <c r="F94" s="652" t="s">
        <v>4269</v>
      </c>
      <c r="G94" s="716" t="s">
        <v>4194</v>
      </c>
      <c r="H94" s="715" t="s">
        <v>4195</v>
      </c>
      <c r="I94" s="717">
        <v>6656</v>
      </c>
      <c r="J94" s="715">
        <v>0</v>
      </c>
      <c r="K94" s="715">
        <v>512</v>
      </c>
      <c r="L94" s="718">
        <f t="shared" si="19"/>
        <v>13</v>
      </c>
      <c r="M94" s="719">
        <v>46162</v>
      </c>
      <c r="N94" s="719">
        <v>46158</v>
      </c>
      <c r="O94" s="714" t="s">
        <v>619</v>
      </c>
      <c r="P94" s="717" t="s">
        <v>106</v>
      </c>
      <c r="Q94" s="717"/>
      <c r="R94" s="715" t="s">
        <v>4201</v>
      </c>
      <c r="S94" s="720" t="s">
        <v>107</v>
      </c>
      <c r="T94" s="720" t="s">
        <v>4197</v>
      </c>
      <c r="U94" s="720"/>
      <c r="V94" s="720"/>
      <c r="W94" s="720"/>
      <c r="X94" s="720" t="s">
        <v>4202</v>
      </c>
      <c r="Y94" s="719" t="s">
        <v>354</v>
      </c>
      <c r="Z94" s="715">
        <v>1309.3923</v>
      </c>
      <c r="AA94" s="715">
        <f>L94*Z94</f>
        <v>17022.0999</v>
      </c>
      <c r="AB94" s="729" t="s">
        <v>4270</v>
      </c>
      <c r="AC94" s="716" t="s">
        <v>4194</v>
      </c>
      <c r="AD94" s="715" t="s">
        <v>112</v>
      </c>
      <c r="AE94" s="715">
        <f t="shared" si="14"/>
        <v>6656</v>
      </c>
      <c r="AF94" s="715"/>
      <c r="AG94" s="715">
        <v>6656</v>
      </c>
      <c r="AH94" s="715">
        <f t="shared" si="18"/>
        <v>0</v>
      </c>
      <c r="AI94" s="717" t="s">
        <v>120</v>
      </c>
      <c r="AJ94" s="715" t="s">
        <v>3981</v>
      </c>
      <c r="AK94" s="652">
        <f t="shared" si="20"/>
        <v>6656</v>
      </c>
      <c r="AL94" s="652"/>
      <c r="AM94" s="652"/>
      <c r="AN94" s="652">
        <f t="shared" si="21"/>
        <v>6656</v>
      </c>
      <c r="AO94" s="652"/>
      <c r="AP94" s="652"/>
      <c r="AQ94" s="652"/>
      <c r="AR94" s="652"/>
      <c r="AS94" s="652"/>
      <c r="AT94" s="652">
        <f>I94/8</f>
        <v>832</v>
      </c>
      <c r="AU94" s="652"/>
      <c r="AV94" s="652"/>
      <c r="AW94" s="652"/>
      <c r="AX94" s="652"/>
      <c r="AY94" s="652"/>
      <c r="AZ94" s="652"/>
      <c r="BA94" s="652"/>
      <c r="BB94" s="652"/>
      <c r="BC94" s="652"/>
      <c r="BD94" s="652"/>
      <c r="BE94" s="652"/>
      <c r="BF94" s="652"/>
      <c r="BG94" s="652"/>
      <c r="BH94" s="652"/>
      <c r="BI94" s="652"/>
      <c r="BJ94" s="724"/>
      <c r="BK94" s="724"/>
      <c r="BL94" s="724"/>
      <c r="BM94" s="724"/>
      <c r="BN94" s="724"/>
      <c r="BO94" s="724"/>
      <c r="BP94" s="724"/>
      <c r="BQ94" s="724"/>
      <c r="BR94" s="724"/>
      <c r="BS94" s="724"/>
      <c r="BT94" s="724"/>
      <c r="BU94" s="724"/>
      <c r="BV94" s="724"/>
      <c r="BW94" s="724"/>
      <c r="BX94" s="724"/>
      <c r="BY94" s="724"/>
      <c r="BZ94" s="724"/>
      <c r="CA94" s="724"/>
      <c r="CB94" s="724"/>
      <c r="CC94" s="724"/>
      <c r="CD94" s="724"/>
      <c r="CE94" s="724"/>
      <c r="CF94" s="724"/>
      <c r="CG94" s="724"/>
      <c r="CH94" s="724"/>
      <c r="CI94" s="724"/>
      <c r="CJ94" s="724"/>
      <c r="CK94" s="724"/>
      <c r="CL94" s="724"/>
      <c r="CM94" s="724"/>
      <c r="CN94" s="724"/>
      <c r="CO94" s="724"/>
      <c r="CP94" s="724"/>
      <c r="CQ94" s="724"/>
      <c r="CR94" s="724"/>
    </row>
    <row r="95" s="650" customFormat="1" ht="31" customHeight="1" spans="1:96">
      <c r="A95" s="713">
        <v>46105</v>
      </c>
      <c r="B95" s="714" t="s">
        <v>346</v>
      </c>
      <c r="C95" s="715" t="s">
        <v>115</v>
      </c>
      <c r="D95" s="652">
        <v>4500198368</v>
      </c>
      <c r="E95" s="1907" t="s">
        <v>4271</v>
      </c>
      <c r="F95" s="652" t="s">
        <v>4272</v>
      </c>
      <c r="G95" s="716" t="s">
        <v>4194</v>
      </c>
      <c r="H95" s="715" t="s">
        <v>4195</v>
      </c>
      <c r="I95" s="717">
        <v>8704</v>
      </c>
      <c r="J95" s="715">
        <v>0</v>
      </c>
      <c r="K95" s="715">
        <v>512</v>
      </c>
      <c r="L95" s="718">
        <f t="shared" si="19"/>
        <v>17</v>
      </c>
      <c r="M95" s="719">
        <v>46162</v>
      </c>
      <c r="N95" s="719">
        <v>46158</v>
      </c>
      <c r="O95" s="714" t="s">
        <v>550</v>
      </c>
      <c r="P95" s="717" t="s">
        <v>106</v>
      </c>
      <c r="Q95" s="717"/>
      <c r="R95" s="715" t="s">
        <v>4201</v>
      </c>
      <c r="S95" s="720" t="s">
        <v>107</v>
      </c>
      <c r="T95" s="720" t="s">
        <v>4197</v>
      </c>
      <c r="U95" s="720"/>
      <c r="V95" s="720"/>
      <c r="W95" s="720"/>
      <c r="X95" s="720" t="s">
        <v>4202</v>
      </c>
      <c r="Y95" s="719" t="s">
        <v>354</v>
      </c>
      <c r="Z95" s="715">
        <v>1309.3918</v>
      </c>
      <c r="AA95" s="715">
        <f>L95*Z95</f>
        <v>22259.6606</v>
      </c>
      <c r="AB95" s="729" t="s">
        <v>4273</v>
      </c>
      <c r="AC95" s="716" t="s">
        <v>4194</v>
      </c>
      <c r="AD95" s="715" t="s">
        <v>112</v>
      </c>
      <c r="AE95" s="715">
        <f t="shared" si="14"/>
        <v>8704</v>
      </c>
      <c r="AF95" s="715"/>
      <c r="AG95" s="715">
        <v>8704</v>
      </c>
      <c r="AH95" s="715">
        <f t="shared" si="18"/>
        <v>0</v>
      </c>
      <c r="AI95" s="717" t="s">
        <v>120</v>
      </c>
      <c r="AJ95" s="715" t="s">
        <v>3981</v>
      </c>
      <c r="AK95" s="652">
        <f t="shared" si="20"/>
        <v>8704</v>
      </c>
      <c r="AL95" s="652"/>
      <c r="AM95" s="652"/>
      <c r="AN95" s="652">
        <f t="shared" si="21"/>
        <v>8704</v>
      </c>
      <c r="AO95" s="652"/>
      <c r="AP95" s="652"/>
      <c r="AQ95" s="652"/>
      <c r="AR95" s="652"/>
      <c r="AS95" s="652"/>
      <c r="AT95" s="652">
        <f>I95/8</f>
        <v>1088</v>
      </c>
      <c r="AU95" s="652"/>
      <c r="AV95" s="652"/>
      <c r="AW95" s="652"/>
      <c r="AX95" s="652"/>
      <c r="AY95" s="652"/>
      <c r="AZ95" s="652"/>
      <c r="BA95" s="652"/>
      <c r="BB95" s="652"/>
      <c r="BC95" s="652"/>
      <c r="BD95" s="652"/>
      <c r="BE95" s="652"/>
      <c r="BF95" s="652"/>
      <c r="BG95" s="652"/>
      <c r="BH95" s="652"/>
      <c r="BI95" s="652"/>
      <c r="BJ95" s="740"/>
      <c r="BK95" s="740"/>
      <c r="BL95" s="740"/>
      <c r="BM95" s="740"/>
      <c r="BN95" s="740"/>
      <c r="BO95" s="740"/>
      <c r="BP95" s="740"/>
      <c r="BQ95" s="740"/>
      <c r="BR95" s="740"/>
      <c r="BS95" s="740"/>
      <c r="BT95" s="740"/>
      <c r="BU95" s="740"/>
      <c r="BV95" s="740"/>
      <c r="BW95" s="740"/>
      <c r="BX95" s="740"/>
      <c r="BY95" s="740"/>
      <c r="BZ95" s="740"/>
      <c r="CA95" s="740"/>
      <c r="CB95" s="740"/>
      <c r="CC95" s="740"/>
      <c r="CD95" s="740"/>
      <c r="CE95" s="740"/>
      <c r="CF95" s="740"/>
      <c r="CG95" s="740"/>
      <c r="CH95" s="740"/>
      <c r="CI95" s="740"/>
      <c r="CJ95" s="740"/>
      <c r="CK95" s="740"/>
      <c r="CL95" s="740"/>
      <c r="CM95" s="740"/>
      <c r="CN95" s="740"/>
      <c r="CO95" s="740"/>
      <c r="CP95" s="740"/>
      <c r="CQ95" s="740"/>
      <c r="CR95" s="740"/>
    </row>
    <row r="96" s="650" customFormat="1" ht="31" customHeight="1" spans="1:96">
      <c r="A96" s="713">
        <v>46093</v>
      </c>
      <c r="B96" s="714" t="s">
        <v>346</v>
      </c>
      <c r="C96" s="715" t="s">
        <v>115</v>
      </c>
      <c r="D96" s="652">
        <v>4500196512</v>
      </c>
      <c r="E96" s="716" t="s">
        <v>4274</v>
      </c>
      <c r="F96" s="652" t="s">
        <v>4275</v>
      </c>
      <c r="G96" s="716" t="s">
        <v>3980</v>
      </c>
      <c r="H96" s="715" t="s">
        <v>3978</v>
      </c>
      <c r="I96" s="717">
        <v>12336</v>
      </c>
      <c r="J96" s="715">
        <v>0</v>
      </c>
      <c r="K96" s="715">
        <v>8</v>
      </c>
      <c r="L96" s="718">
        <f t="shared" si="19"/>
        <v>1542</v>
      </c>
      <c r="M96" s="719">
        <v>46162</v>
      </c>
      <c r="N96" s="719">
        <v>46158</v>
      </c>
      <c r="O96" s="714" t="s">
        <v>615</v>
      </c>
      <c r="P96" s="717" t="s">
        <v>106</v>
      </c>
      <c r="Q96" s="717"/>
      <c r="R96" s="723">
        <v>46093</v>
      </c>
      <c r="S96" s="720" t="s">
        <v>107</v>
      </c>
      <c r="T96" s="720" t="s">
        <v>4276</v>
      </c>
      <c r="U96" s="720"/>
      <c r="V96" s="720"/>
      <c r="W96" s="720"/>
      <c r="X96" s="720" t="s">
        <v>4222</v>
      </c>
      <c r="Y96" s="719" t="s">
        <v>354</v>
      </c>
      <c r="Z96" s="730">
        <v>3</v>
      </c>
      <c r="AA96" s="715">
        <f>Z96*I96</f>
        <v>37008</v>
      </c>
      <c r="AB96" s="729" t="s">
        <v>4277</v>
      </c>
      <c r="AC96" s="722" t="s">
        <v>3980</v>
      </c>
      <c r="AD96" s="715" t="s">
        <v>112</v>
      </c>
      <c r="AE96" s="715">
        <f t="shared" si="14"/>
        <v>12336</v>
      </c>
      <c r="AF96" s="715" t="s">
        <v>4109</v>
      </c>
      <c r="AG96" s="715">
        <v>12336</v>
      </c>
      <c r="AH96" s="715">
        <f t="shared" si="18"/>
        <v>0</v>
      </c>
      <c r="AI96" s="717"/>
      <c r="AJ96" s="715" t="s">
        <v>3981</v>
      </c>
      <c r="AK96" s="652">
        <f t="shared" si="20"/>
        <v>12336</v>
      </c>
      <c r="AL96" s="652"/>
      <c r="AM96" s="652"/>
      <c r="AN96" s="652">
        <f t="shared" si="21"/>
        <v>12336</v>
      </c>
      <c r="AO96" s="652"/>
      <c r="AP96" s="652"/>
      <c r="AQ96" s="652"/>
      <c r="AR96" s="652"/>
      <c r="AS96" s="652"/>
      <c r="AT96" s="652">
        <f>I96/8</f>
        <v>1542</v>
      </c>
      <c r="AU96" s="652"/>
      <c r="AV96" s="652"/>
      <c r="AW96" s="652"/>
      <c r="AX96" s="652"/>
      <c r="AY96" s="652"/>
      <c r="AZ96" s="652"/>
      <c r="BA96" s="652"/>
      <c r="BB96" s="652"/>
      <c r="BC96" s="652"/>
      <c r="BD96" s="652"/>
      <c r="BE96" s="652"/>
      <c r="BF96" s="652"/>
      <c r="BG96" s="652"/>
      <c r="BH96" s="652"/>
      <c r="BI96" s="652"/>
      <c r="BJ96" s="731"/>
      <c r="BK96" s="731"/>
      <c r="BL96" s="731"/>
      <c r="BM96" s="731"/>
      <c r="BN96" s="731"/>
      <c r="BO96" s="731"/>
      <c r="BP96" s="731"/>
      <c r="BQ96" s="731"/>
      <c r="BR96" s="731"/>
      <c r="BS96" s="731"/>
      <c r="BT96" s="731"/>
      <c r="BU96" s="731"/>
      <c r="BV96" s="731"/>
      <c r="BW96" s="731"/>
      <c r="BX96" s="731"/>
      <c r="BY96" s="731"/>
      <c r="BZ96" s="731"/>
      <c r="CA96" s="731"/>
      <c r="CB96" s="731"/>
      <c r="CC96" s="731"/>
      <c r="CD96" s="731"/>
      <c r="CE96" s="731"/>
      <c r="CF96" s="731"/>
      <c r="CG96" s="731"/>
      <c r="CH96" s="731"/>
      <c r="CI96" s="731"/>
      <c r="CJ96" s="731"/>
      <c r="CK96" s="731"/>
      <c r="CL96" s="731"/>
      <c r="CM96" s="731"/>
      <c r="CN96" s="731"/>
      <c r="CO96" s="731"/>
      <c r="CP96" s="731"/>
      <c r="CQ96" s="731"/>
      <c r="CR96" s="731"/>
    </row>
    <row r="97" s="650" customFormat="1" ht="31" customHeight="1" spans="1:96">
      <c r="A97" s="713">
        <v>46112</v>
      </c>
      <c r="B97" s="714" t="s">
        <v>180</v>
      </c>
      <c r="C97" s="715" t="s">
        <v>115</v>
      </c>
      <c r="D97" s="652" t="s">
        <v>4278</v>
      </c>
      <c r="E97" s="715" t="s">
        <v>4279</v>
      </c>
      <c r="F97" s="652" t="s">
        <v>4280</v>
      </c>
      <c r="G97" s="716" t="s">
        <v>4141</v>
      </c>
      <c r="H97" s="715" t="s">
        <v>3969</v>
      </c>
      <c r="I97" s="717">
        <v>6000</v>
      </c>
      <c r="J97" s="715">
        <v>0</v>
      </c>
      <c r="K97" s="715">
        <v>16</v>
      </c>
      <c r="L97" s="718">
        <f t="shared" si="19"/>
        <v>375</v>
      </c>
      <c r="M97" s="719">
        <v>46162</v>
      </c>
      <c r="N97" s="719">
        <f>M97-4</f>
        <v>46158</v>
      </c>
      <c r="O97" s="717"/>
      <c r="P97" s="717" t="s">
        <v>106</v>
      </c>
      <c r="Q97" s="717"/>
      <c r="R97" s="723">
        <v>46113</v>
      </c>
      <c r="S97" s="720" t="s">
        <v>107</v>
      </c>
      <c r="T97" s="720" t="s">
        <v>95</v>
      </c>
      <c r="U97" s="720"/>
      <c r="V97" s="720"/>
      <c r="W97" s="720"/>
      <c r="X97" s="720" t="s">
        <v>4281</v>
      </c>
      <c r="Y97" s="719" t="s">
        <v>557</v>
      </c>
      <c r="Z97" s="715">
        <v>2.466</v>
      </c>
      <c r="AA97" s="715">
        <f>I97*Z97</f>
        <v>14796</v>
      </c>
      <c r="AB97" s="741" t="s">
        <v>4282</v>
      </c>
      <c r="AC97" s="716" t="s">
        <v>3968</v>
      </c>
      <c r="AD97" s="715" t="s">
        <v>112</v>
      </c>
      <c r="AE97" s="715">
        <f t="shared" si="14"/>
        <v>6000</v>
      </c>
      <c r="AF97" s="715" t="s">
        <v>4109</v>
      </c>
      <c r="AG97" s="715">
        <v>6000</v>
      </c>
      <c r="AH97" s="715">
        <f t="shared" si="18"/>
        <v>0</v>
      </c>
      <c r="AI97" s="717"/>
      <c r="AJ97" s="715" t="s">
        <v>3981</v>
      </c>
      <c r="AK97" s="652">
        <f t="shared" si="20"/>
        <v>6000</v>
      </c>
      <c r="AL97" s="652"/>
      <c r="AM97" s="652"/>
      <c r="AN97" s="652">
        <f t="shared" si="21"/>
        <v>6000</v>
      </c>
      <c r="AO97" s="652"/>
      <c r="AP97" s="652"/>
      <c r="AQ97" s="652"/>
      <c r="AR97" s="652"/>
      <c r="AS97" s="652"/>
      <c r="AT97" s="652"/>
      <c r="AU97" s="652"/>
      <c r="AV97" s="652"/>
      <c r="AW97" s="652"/>
      <c r="AX97" s="652"/>
      <c r="AY97" s="652"/>
      <c r="AZ97" s="652"/>
      <c r="BA97" s="652"/>
      <c r="BB97" s="652"/>
      <c r="BC97" s="652"/>
      <c r="BD97" s="652"/>
      <c r="BE97" s="652"/>
      <c r="BF97" s="652"/>
      <c r="BG97" s="652"/>
      <c r="BH97" s="652"/>
      <c r="BI97" s="652"/>
      <c r="BJ97" s="724"/>
      <c r="BK97" s="724"/>
      <c r="BL97" s="724"/>
      <c r="BM97" s="724"/>
      <c r="BN97" s="724"/>
      <c r="BO97" s="724"/>
      <c r="BP97" s="724"/>
      <c r="BQ97" s="724"/>
      <c r="BR97" s="724"/>
      <c r="BS97" s="724"/>
      <c r="BT97" s="724"/>
      <c r="BU97" s="724"/>
      <c r="BV97" s="724"/>
      <c r="BW97" s="724"/>
      <c r="BX97" s="724"/>
      <c r="BY97" s="724"/>
      <c r="BZ97" s="724"/>
      <c r="CA97" s="724"/>
      <c r="CB97" s="724"/>
      <c r="CC97" s="724"/>
      <c r="CD97" s="724"/>
      <c r="CE97" s="724"/>
      <c r="CF97" s="724"/>
      <c r="CG97" s="724"/>
      <c r="CH97" s="724"/>
      <c r="CI97" s="724"/>
      <c r="CJ97" s="724"/>
      <c r="CK97" s="724"/>
      <c r="CL97" s="724"/>
      <c r="CM97" s="724"/>
      <c r="CN97" s="724"/>
      <c r="CO97" s="724"/>
      <c r="CP97" s="724"/>
      <c r="CQ97" s="724"/>
      <c r="CR97" s="724"/>
    </row>
    <row r="98" s="650" customFormat="1" ht="31" customHeight="1" spans="1:96">
      <c r="A98" s="713">
        <v>46084</v>
      </c>
      <c r="B98" s="714" t="s">
        <v>480</v>
      </c>
      <c r="C98" s="715" t="s">
        <v>115</v>
      </c>
      <c r="D98" s="652">
        <v>4500194942</v>
      </c>
      <c r="E98" s="1908" t="s">
        <v>4283</v>
      </c>
      <c r="F98" s="652" t="s">
        <v>635</v>
      </c>
      <c r="G98" s="716" t="s">
        <v>4215</v>
      </c>
      <c r="H98" s="715" t="s">
        <v>483</v>
      </c>
      <c r="I98" s="717">
        <v>4320</v>
      </c>
      <c r="J98" s="715">
        <v>0</v>
      </c>
      <c r="K98" s="715">
        <v>120</v>
      </c>
      <c r="L98" s="718">
        <f t="shared" si="19"/>
        <v>36</v>
      </c>
      <c r="M98" s="719">
        <v>46162</v>
      </c>
      <c r="N98" s="719">
        <v>46158</v>
      </c>
      <c r="O98" s="714"/>
      <c r="P98" s="717" t="s">
        <v>106</v>
      </c>
      <c r="Q98" s="717"/>
      <c r="R98" s="723">
        <v>46155</v>
      </c>
      <c r="S98" s="720" t="s">
        <v>107</v>
      </c>
      <c r="T98" s="720" t="s">
        <v>95</v>
      </c>
      <c r="U98" s="720"/>
      <c r="V98" s="720"/>
      <c r="W98" s="720"/>
      <c r="X98" s="720" t="s">
        <v>636</v>
      </c>
      <c r="Y98" s="719" t="s">
        <v>488</v>
      </c>
      <c r="Z98" s="715">
        <v>642</v>
      </c>
      <c r="AA98" s="715">
        <f>L98*Z98</f>
        <v>23112</v>
      </c>
      <c r="AB98" s="729" t="s">
        <v>637</v>
      </c>
      <c r="AC98" s="722" t="s">
        <v>490</v>
      </c>
      <c r="AD98" s="715" t="s">
        <v>112</v>
      </c>
      <c r="AE98" s="715">
        <f t="shared" si="14"/>
        <v>4320</v>
      </c>
      <c r="AF98" s="715" t="s">
        <v>4109</v>
      </c>
      <c r="AG98" s="715">
        <v>4320</v>
      </c>
      <c r="AH98" s="715">
        <f t="shared" si="18"/>
        <v>0</v>
      </c>
      <c r="AI98" s="717" t="s">
        <v>120</v>
      </c>
      <c r="AJ98" s="715" t="s">
        <v>3981</v>
      </c>
      <c r="AK98" s="652"/>
      <c r="AL98" s="652"/>
      <c r="AM98" s="652"/>
      <c r="AN98" s="652"/>
      <c r="AO98" s="652"/>
      <c r="AP98" s="652"/>
      <c r="AQ98" s="652">
        <f>I98</f>
        <v>4320</v>
      </c>
      <c r="AR98" s="652">
        <f>I98</f>
        <v>4320</v>
      </c>
      <c r="AS98" s="652">
        <f>I98/6</f>
        <v>720</v>
      </c>
      <c r="AT98" s="652"/>
      <c r="AU98" s="652"/>
      <c r="AV98" s="652"/>
      <c r="AW98" s="652"/>
      <c r="AX98" s="652"/>
      <c r="AY98" s="652"/>
      <c r="AZ98" s="652"/>
      <c r="BA98" s="652"/>
      <c r="BB98" s="652"/>
      <c r="BC98" s="652"/>
      <c r="BD98" s="652"/>
      <c r="BE98" s="652"/>
      <c r="BF98" s="652"/>
      <c r="BG98" s="652"/>
      <c r="BH98" s="652"/>
      <c r="BI98" s="652"/>
      <c r="BJ98" s="731"/>
      <c r="BK98" s="731"/>
      <c r="BL98" s="731"/>
      <c r="BM98" s="731"/>
      <c r="BN98" s="731"/>
      <c r="BO98" s="731"/>
      <c r="BP98" s="731"/>
      <c r="BQ98" s="731"/>
      <c r="BR98" s="731"/>
      <c r="BS98" s="731"/>
      <c r="BT98" s="731"/>
      <c r="BU98" s="731"/>
      <c r="BV98" s="731"/>
      <c r="BW98" s="731"/>
      <c r="BX98" s="731"/>
      <c r="BY98" s="731"/>
      <c r="BZ98" s="731"/>
      <c r="CA98" s="731"/>
      <c r="CB98" s="731"/>
      <c r="CC98" s="731"/>
      <c r="CD98" s="731"/>
      <c r="CE98" s="731"/>
      <c r="CF98" s="731"/>
      <c r="CG98" s="731"/>
      <c r="CH98" s="731"/>
      <c r="CI98" s="731"/>
      <c r="CJ98" s="731"/>
      <c r="CK98" s="731"/>
      <c r="CL98" s="731"/>
      <c r="CM98" s="731"/>
      <c r="CN98" s="731"/>
      <c r="CO98" s="731"/>
      <c r="CP98" s="731"/>
      <c r="CQ98" s="731"/>
      <c r="CR98" s="731"/>
    </row>
    <row r="99" s="650" customFormat="1" ht="31" customHeight="1" spans="1:96">
      <c r="A99" s="713">
        <v>46093</v>
      </c>
      <c r="B99" s="714" t="s">
        <v>378</v>
      </c>
      <c r="C99" s="715" t="s">
        <v>201</v>
      </c>
      <c r="D99" s="652">
        <v>4500196563</v>
      </c>
      <c r="E99" s="715">
        <v>7000992547</v>
      </c>
      <c r="F99" s="652" t="s">
        <v>4284</v>
      </c>
      <c r="G99" s="716" t="s">
        <v>3980</v>
      </c>
      <c r="H99" s="715" t="s">
        <v>3978</v>
      </c>
      <c r="I99" s="717">
        <v>3192</v>
      </c>
      <c r="J99" s="715">
        <v>0</v>
      </c>
      <c r="K99" s="715">
        <v>8</v>
      </c>
      <c r="L99" s="715">
        <f t="shared" si="19"/>
        <v>399</v>
      </c>
      <c r="M99" s="719">
        <v>46163</v>
      </c>
      <c r="N99" s="719">
        <v>46160</v>
      </c>
      <c r="O99" s="714"/>
      <c r="P99" s="717" t="s">
        <v>106</v>
      </c>
      <c r="Q99" s="717"/>
      <c r="R99" s="723">
        <v>46130</v>
      </c>
      <c r="S99" s="720" t="s">
        <v>107</v>
      </c>
      <c r="T99" s="720" t="s">
        <v>3320</v>
      </c>
      <c r="U99" s="720"/>
      <c r="V99" s="720"/>
      <c r="W99" s="720"/>
      <c r="X99" s="720" t="s">
        <v>4285</v>
      </c>
      <c r="Y99" s="719" t="s">
        <v>384</v>
      </c>
      <c r="Z99" s="715">
        <v>5</v>
      </c>
      <c r="AA99" s="652">
        <f>Z99*I99</f>
        <v>15960</v>
      </c>
      <c r="AB99" s="721"/>
      <c r="AC99" s="722" t="s">
        <v>4031</v>
      </c>
      <c r="AD99" s="715" t="s">
        <v>112</v>
      </c>
      <c r="AE99" s="715">
        <f t="shared" si="14"/>
        <v>3192</v>
      </c>
      <c r="AF99" s="715"/>
      <c r="AG99" s="715">
        <v>3192</v>
      </c>
      <c r="AH99" s="715">
        <f t="shared" si="18"/>
        <v>0</v>
      </c>
      <c r="AI99" s="717"/>
      <c r="AJ99" s="715" t="s">
        <v>3981</v>
      </c>
      <c r="AK99" s="652"/>
      <c r="AL99" s="652">
        <f>I99</f>
        <v>3192</v>
      </c>
      <c r="AM99" s="652"/>
      <c r="AN99" s="652">
        <f t="shared" ref="AN99:AN115" si="22">I99</f>
        <v>3192</v>
      </c>
      <c r="AO99" s="652"/>
      <c r="AP99" s="652"/>
      <c r="AQ99" s="652"/>
      <c r="AR99" s="652"/>
      <c r="AS99" s="652"/>
      <c r="AT99" s="652"/>
      <c r="AU99" s="652">
        <f>I99/8</f>
        <v>399</v>
      </c>
      <c r="AV99" s="652"/>
      <c r="AW99" s="652"/>
      <c r="AX99" s="652"/>
      <c r="AY99" s="652"/>
      <c r="AZ99" s="652"/>
      <c r="BA99" s="652"/>
      <c r="BB99" s="652"/>
      <c r="BC99" s="652"/>
      <c r="BD99" s="652"/>
      <c r="BE99" s="652"/>
      <c r="BF99" s="652"/>
      <c r="BG99" s="652"/>
      <c r="BH99" s="652"/>
      <c r="BI99" s="652"/>
      <c r="BJ99" s="731"/>
      <c r="BK99" s="731"/>
      <c r="BL99" s="731"/>
      <c r="BM99" s="731"/>
      <c r="BN99" s="731"/>
      <c r="BO99" s="731"/>
      <c r="BP99" s="731"/>
      <c r="BQ99" s="731"/>
      <c r="BR99" s="731"/>
      <c r="BS99" s="731"/>
      <c r="BT99" s="731"/>
      <c r="BU99" s="731"/>
      <c r="BV99" s="731"/>
      <c r="BW99" s="731"/>
      <c r="BX99" s="731"/>
      <c r="BY99" s="731"/>
      <c r="BZ99" s="731"/>
      <c r="CA99" s="731"/>
      <c r="CB99" s="731"/>
      <c r="CC99" s="731"/>
      <c r="CD99" s="731"/>
      <c r="CE99" s="731"/>
      <c r="CF99" s="731"/>
      <c r="CG99" s="731"/>
      <c r="CH99" s="731"/>
      <c r="CI99" s="731"/>
      <c r="CJ99" s="731"/>
      <c r="CK99" s="731"/>
      <c r="CL99" s="731"/>
      <c r="CM99" s="731"/>
      <c r="CN99" s="731"/>
      <c r="CO99" s="731"/>
      <c r="CP99" s="731"/>
      <c r="CQ99" s="731"/>
      <c r="CR99" s="731"/>
    </row>
    <row r="100" s="650" customFormat="1" ht="31" customHeight="1" spans="1:96">
      <c r="A100" s="713">
        <v>46097</v>
      </c>
      <c r="B100" s="714" t="s">
        <v>761</v>
      </c>
      <c r="C100" s="715" t="s">
        <v>115</v>
      </c>
      <c r="D100" s="652">
        <v>4500197095</v>
      </c>
      <c r="E100" s="715" t="s">
        <v>4286</v>
      </c>
      <c r="F100" s="652" t="s">
        <v>4287</v>
      </c>
      <c r="G100" s="716" t="s">
        <v>3973</v>
      </c>
      <c r="H100" s="715" t="s">
        <v>3995</v>
      </c>
      <c r="I100" s="717">
        <v>2128</v>
      </c>
      <c r="J100" s="715">
        <v>0</v>
      </c>
      <c r="K100" s="715">
        <v>16</v>
      </c>
      <c r="L100" s="718">
        <f t="shared" si="19"/>
        <v>133</v>
      </c>
      <c r="M100" s="719">
        <v>46164</v>
      </c>
      <c r="N100" s="719">
        <v>46160</v>
      </c>
      <c r="O100" s="714" t="s">
        <v>4288</v>
      </c>
      <c r="P100" s="717" t="s">
        <v>106</v>
      </c>
      <c r="Q100" s="717"/>
      <c r="R100" s="723">
        <v>46125</v>
      </c>
      <c r="S100" s="720" t="s">
        <v>107</v>
      </c>
      <c r="T100" s="720" t="s">
        <v>95</v>
      </c>
      <c r="U100" s="720"/>
      <c r="V100" s="720"/>
      <c r="W100" s="720" t="s">
        <v>4289</v>
      </c>
      <c r="X100" s="720" t="s">
        <v>4290</v>
      </c>
      <c r="Y100" s="719" t="s">
        <v>767</v>
      </c>
      <c r="Z100" s="730">
        <v>3</v>
      </c>
      <c r="AA100" s="715">
        <f>Z100*I100</f>
        <v>6384</v>
      </c>
      <c r="AB100" s="729" t="s">
        <v>4291</v>
      </c>
      <c r="AC100" s="742" t="s">
        <v>3973</v>
      </c>
      <c r="AD100" s="715" t="s">
        <v>112</v>
      </c>
      <c r="AE100" s="715">
        <f t="shared" si="14"/>
        <v>2128</v>
      </c>
      <c r="AF100" s="715"/>
      <c r="AG100" s="715">
        <v>2128</v>
      </c>
      <c r="AH100" s="715">
        <f t="shared" si="18"/>
        <v>0</v>
      </c>
      <c r="AI100" s="717" t="s">
        <v>120</v>
      </c>
      <c r="AJ100" s="715" t="s">
        <v>3981</v>
      </c>
      <c r="AK100" s="652">
        <f>I100</f>
        <v>2128</v>
      </c>
      <c r="AL100" s="652"/>
      <c r="AM100" s="652"/>
      <c r="AN100" s="652">
        <f t="shared" si="22"/>
        <v>2128</v>
      </c>
      <c r="AO100" s="652"/>
      <c r="AP100" s="652"/>
      <c r="AQ100" s="652"/>
      <c r="AR100" s="652"/>
      <c r="AS100" s="652"/>
      <c r="AT100" s="652">
        <f>I100/8</f>
        <v>266</v>
      </c>
      <c r="AU100" s="652"/>
      <c r="AV100" s="652"/>
      <c r="AW100" s="652"/>
      <c r="AX100" s="652"/>
      <c r="AY100" s="652"/>
      <c r="AZ100" s="652"/>
      <c r="BA100" s="652"/>
      <c r="BB100" s="652"/>
      <c r="BC100" s="652"/>
      <c r="BD100" s="652"/>
      <c r="BE100" s="652"/>
      <c r="BF100" s="652"/>
      <c r="BG100" s="652"/>
      <c r="BH100" s="652"/>
      <c r="BI100" s="652"/>
    </row>
    <row r="101" s="650" customFormat="1" ht="31" customHeight="1" spans="1:96">
      <c r="A101" s="713">
        <v>46091</v>
      </c>
      <c r="B101" s="714" t="s">
        <v>655</v>
      </c>
      <c r="C101" s="715" t="s">
        <v>656</v>
      </c>
      <c r="D101" s="652">
        <v>4500195981</v>
      </c>
      <c r="E101" s="715"/>
      <c r="F101" s="652" t="s">
        <v>4292</v>
      </c>
      <c r="G101" s="716" t="s">
        <v>3973</v>
      </c>
      <c r="H101" s="715" t="s">
        <v>3995</v>
      </c>
      <c r="I101" s="717">
        <v>512</v>
      </c>
      <c r="J101" s="715">
        <v>0</v>
      </c>
      <c r="K101" s="715">
        <v>16</v>
      </c>
      <c r="L101" s="718">
        <f t="shared" si="19"/>
        <v>32</v>
      </c>
      <c r="M101" s="719">
        <v>46164</v>
      </c>
      <c r="N101" s="719">
        <v>46160</v>
      </c>
      <c r="O101" s="714"/>
      <c r="P101" s="717" t="s">
        <v>106</v>
      </c>
      <c r="Q101" s="717"/>
      <c r="R101" s="723">
        <v>46094</v>
      </c>
      <c r="S101" s="720" t="s">
        <v>107</v>
      </c>
      <c r="T101" s="720" t="s">
        <v>4293</v>
      </c>
      <c r="U101" s="720"/>
      <c r="V101" s="720"/>
      <c r="W101" s="720"/>
      <c r="X101" s="720" t="s">
        <v>4294</v>
      </c>
      <c r="Y101" s="719" t="s">
        <v>659</v>
      </c>
      <c r="Z101" s="715">
        <v>4.355</v>
      </c>
      <c r="AA101" s="715">
        <f>I101*Z101</f>
        <v>2229.76</v>
      </c>
      <c r="AB101" s="721"/>
      <c r="AC101" s="652" t="s">
        <v>4108</v>
      </c>
      <c r="AD101" s="715" t="s">
        <v>112</v>
      </c>
      <c r="AE101" s="715">
        <f t="shared" si="14"/>
        <v>512</v>
      </c>
      <c r="AF101" s="715"/>
      <c r="AG101" s="715">
        <v>512</v>
      </c>
      <c r="AH101" s="715">
        <f t="shared" si="18"/>
        <v>0</v>
      </c>
      <c r="AI101" s="717" t="s">
        <v>120</v>
      </c>
      <c r="AJ101" s="715" t="s">
        <v>3981</v>
      </c>
      <c r="AK101" s="652"/>
      <c r="AL101" s="652">
        <f>I101</f>
        <v>512</v>
      </c>
      <c r="AM101" s="652"/>
      <c r="AN101" s="652">
        <f t="shared" si="22"/>
        <v>512</v>
      </c>
      <c r="AO101" s="652"/>
      <c r="AP101" s="652"/>
      <c r="AQ101" s="652"/>
      <c r="AR101" s="652"/>
      <c r="AS101" s="652"/>
      <c r="AT101" s="652"/>
      <c r="AU101" s="652">
        <f>I101/8</f>
        <v>64</v>
      </c>
      <c r="AV101" s="652"/>
      <c r="AW101" s="652"/>
      <c r="AX101" s="652"/>
      <c r="AY101" s="652"/>
      <c r="AZ101" s="652"/>
      <c r="BA101" s="652"/>
      <c r="BB101" s="652"/>
      <c r="BC101" s="652"/>
      <c r="BD101" s="652"/>
      <c r="BE101" s="652"/>
      <c r="BF101" s="652"/>
      <c r="BG101" s="652"/>
      <c r="BH101" s="652"/>
      <c r="BI101" s="652"/>
    </row>
    <row r="102" s="650" customFormat="1" ht="31" customHeight="1" spans="1:96">
      <c r="A102" s="713">
        <v>46101</v>
      </c>
      <c r="B102" s="714" t="s">
        <v>674</v>
      </c>
      <c r="C102" s="715" t="s">
        <v>101</v>
      </c>
      <c r="D102" s="652">
        <v>4500197867</v>
      </c>
      <c r="E102" s="715">
        <v>29609778</v>
      </c>
      <c r="F102" s="652" t="s">
        <v>4295</v>
      </c>
      <c r="G102" s="716" t="s">
        <v>3973</v>
      </c>
      <c r="H102" s="715" t="s">
        <v>3995</v>
      </c>
      <c r="I102" s="717">
        <v>1232</v>
      </c>
      <c r="J102" s="715">
        <v>0</v>
      </c>
      <c r="K102" s="715">
        <v>16</v>
      </c>
      <c r="L102" s="718">
        <f t="shared" si="19"/>
        <v>77</v>
      </c>
      <c r="M102" s="719">
        <v>46167</v>
      </c>
      <c r="N102" s="719">
        <f>M102-4</f>
        <v>46163</v>
      </c>
      <c r="O102" s="714"/>
      <c r="P102" s="717" t="s">
        <v>106</v>
      </c>
      <c r="Q102" s="717"/>
      <c r="R102" s="723">
        <v>46101</v>
      </c>
      <c r="S102" s="720" t="s">
        <v>107</v>
      </c>
      <c r="T102" s="720" t="s">
        <v>95</v>
      </c>
      <c r="U102" s="720"/>
      <c r="V102" s="720" t="s">
        <v>4296</v>
      </c>
      <c r="W102" s="720"/>
      <c r="X102" s="720" t="s">
        <v>4297</v>
      </c>
      <c r="Y102" s="719" t="s">
        <v>676</v>
      </c>
      <c r="Z102" s="730">
        <v>4.5744</v>
      </c>
      <c r="AA102" s="715">
        <f>I102*Z102</f>
        <v>5635.6608</v>
      </c>
      <c r="AB102" s="721"/>
      <c r="AC102" s="652" t="s">
        <v>3973</v>
      </c>
      <c r="AD102" s="715" t="s">
        <v>112</v>
      </c>
      <c r="AE102" s="715">
        <f t="shared" si="14"/>
        <v>1232</v>
      </c>
      <c r="AF102" s="715" t="s">
        <v>4298</v>
      </c>
      <c r="AG102" s="715">
        <v>1232</v>
      </c>
      <c r="AH102" s="715">
        <f t="shared" si="18"/>
        <v>0</v>
      </c>
      <c r="AI102" s="717"/>
      <c r="AJ102" s="715" t="s">
        <v>3981</v>
      </c>
      <c r="AK102" s="652">
        <f t="shared" ref="AK102:AK113" si="23">I102</f>
        <v>1232</v>
      </c>
      <c r="AL102" s="652"/>
      <c r="AM102" s="652"/>
      <c r="AN102" s="652">
        <f t="shared" si="22"/>
        <v>1232</v>
      </c>
      <c r="AO102" s="652"/>
      <c r="AP102" s="652"/>
      <c r="AQ102" s="652"/>
      <c r="AR102" s="652"/>
      <c r="AS102" s="652"/>
      <c r="AT102" s="652"/>
      <c r="AU102" s="652"/>
      <c r="AV102" s="652"/>
      <c r="AW102" s="652"/>
      <c r="AX102" s="652">
        <f>I102/8</f>
        <v>154</v>
      </c>
      <c r="AY102" s="652"/>
      <c r="AZ102" s="652"/>
      <c r="BA102" s="652"/>
      <c r="BB102" s="652"/>
      <c r="BC102" s="652"/>
      <c r="BD102" s="652"/>
      <c r="BE102" s="652"/>
      <c r="BF102" s="652"/>
      <c r="BG102" s="652"/>
      <c r="BH102" s="652"/>
      <c r="BI102" s="652"/>
    </row>
    <row r="103" s="650" customFormat="1" ht="31" customHeight="1" spans="1:96">
      <c r="A103" s="713">
        <v>46104</v>
      </c>
      <c r="B103" s="714" t="s">
        <v>669</v>
      </c>
      <c r="C103" s="715" t="s">
        <v>101</v>
      </c>
      <c r="D103" s="652">
        <v>4500198032</v>
      </c>
      <c r="E103" s="715">
        <v>29609779</v>
      </c>
      <c r="F103" s="652" t="s">
        <v>4299</v>
      </c>
      <c r="G103" s="716" t="s">
        <v>3973</v>
      </c>
      <c r="H103" s="715" t="s">
        <v>3995</v>
      </c>
      <c r="I103" s="717">
        <v>576</v>
      </c>
      <c r="J103" s="715">
        <v>0</v>
      </c>
      <c r="K103" s="715">
        <v>16</v>
      </c>
      <c r="L103" s="718">
        <f t="shared" si="19"/>
        <v>36</v>
      </c>
      <c r="M103" s="719">
        <v>46167</v>
      </c>
      <c r="N103" s="719">
        <f>M103-4</f>
        <v>46163</v>
      </c>
      <c r="O103" s="714"/>
      <c r="P103" s="717" t="s">
        <v>106</v>
      </c>
      <c r="Q103" s="717"/>
      <c r="R103" s="723">
        <v>46105</v>
      </c>
      <c r="S103" s="720" t="s">
        <v>107</v>
      </c>
      <c r="T103" s="720" t="s">
        <v>95</v>
      </c>
      <c r="U103" s="720"/>
      <c r="V103" s="720" t="s">
        <v>4300</v>
      </c>
      <c r="W103" s="720"/>
      <c r="X103" s="714" t="s">
        <v>4297</v>
      </c>
      <c r="Y103" s="719" t="s">
        <v>673</v>
      </c>
      <c r="Z103" s="730">
        <v>4.355</v>
      </c>
      <c r="AA103" s="715">
        <f>I103*Z103</f>
        <v>2508.48</v>
      </c>
      <c r="AB103" s="721"/>
      <c r="AC103" s="652" t="s">
        <v>3973</v>
      </c>
      <c r="AD103" s="715" t="s">
        <v>112</v>
      </c>
      <c r="AE103" s="715">
        <f t="shared" si="14"/>
        <v>576</v>
      </c>
      <c r="AF103" s="715" t="s">
        <v>4298</v>
      </c>
      <c r="AG103" s="715">
        <v>576</v>
      </c>
      <c r="AH103" s="715">
        <f t="shared" si="18"/>
        <v>0</v>
      </c>
      <c r="AI103" s="717"/>
      <c r="AJ103" s="715" t="s">
        <v>3981</v>
      </c>
      <c r="AK103" s="652">
        <f t="shared" si="23"/>
        <v>576</v>
      </c>
      <c r="AL103" s="652"/>
      <c r="AM103" s="652"/>
      <c r="AN103" s="652">
        <f t="shared" si="22"/>
        <v>576</v>
      </c>
      <c r="AO103" s="652"/>
      <c r="AP103" s="652"/>
      <c r="AQ103" s="652"/>
      <c r="AR103" s="652"/>
      <c r="AS103" s="652"/>
      <c r="AT103" s="652"/>
      <c r="AU103" s="652"/>
      <c r="AV103" s="652"/>
      <c r="AW103" s="652"/>
      <c r="AX103" s="652">
        <f>I103/8</f>
        <v>72</v>
      </c>
      <c r="AY103" s="652"/>
      <c r="AZ103" s="652"/>
      <c r="BA103" s="652"/>
      <c r="BB103" s="652"/>
      <c r="BC103" s="652"/>
      <c r="BD103" s="652"/>
      <c r="BE103" s="652"/>
      <c r="BF103" s="652"/>
      <c r="BG103" s="652"/>
      <c r="BH103" s="652"/>
      <c r="BI103" s="652"/>
    </row>
    <row r="104" s="650" customFormat="1" ht="31" customHeight="1" spans="1:96">
      <c r="A104" s="713">
        <v>46103</v>
      </c>
      <c r="B104" s="714" t="s">
        <v>525</v>
      </c>
      <c r="C104" s="715" t="s">
        <v>508</v>
      </c>
      <c r="D104" s="652">
        <v>4500197999</v>
      </c>
      <c r="E104" s="715">
        <v>21605182</v>
      </c>
      <c r="F104" s="652" t="s">
        <v>4301</v>
      </c>
      <c r="G104" s="716" t="s">
        <v>3980</v>
      </c>
      <c r="H104" s="715" t="s">
        <v>3978</v>
      </c>
      <c r="I104" s="717">
        <v>1416</v>
      </c>
      <c r="J104" s="715">
        <v>0</v>
      </c>
      <c r="K104" s="715">
        <v>8</v>
      </c>
      <c r="L104" s="715">
        <f t="shared" si="19"/>
        <v>177</v>
      </c>
      <c r="M104" s="719">
        <v>46167</v>
      </c>
      <c r="N104" s="719">
        <v>46163</v>
      </c>
      <c r="O104" s="714"/>
      <c r="P104" s="717" t="s">
        <v>106</v>
      </c>
      <c r="Q104" s="717"/>
      <c r="R104" s="723">
        <v>46138</v>
      </c>
      <c r="S104" s="720" t="s">
        <v>107</v>
      </c>
      <c r="T104" s="720" t="s">
        <v>4050</v>
      </c>
      <c r="U104" s="720"/>
      <c r="V104" s="720"/>
      <c r="W104" s="720"/>
      <c r="X104" s="720" t="s">
        <v>4302</v>
      </c>
      <c r="Y104" s="719" t="s">
        <v>362</v>
      </c>
      <c r="Z104" s="730">
        <v>5</v>
      </c>
      <c r="AA104" s="652">
        <f>Z104*I104</f>
        <v>7080</v>
      </c>
      <c r="AB104" s="721"/>
      <c r="AC104" s="722" t="s">
        <v>3980</v>
      </c>
      <c r="AD104" s="715" t="s">
        <v>112</v>
      </c>
      <c r="AE104" s="715">
        <f t="shared" si="14"/>
        <v>1416</v>
      </c>
      <c r="AF104" s="715"/>
      <c r="AG104" s="715">
        <v>1416</v>
      </c>
      <c r="AH104" s="715">
        <f t="shared" si="18"/>
        <v>0</v>
      </c>
      <c r="AI104" s="717"/>
      <c r="AJ104" s="715" t="s">
        <v>3981</v>
      </c>
      <c r="AK104" s="652">
        <f t="shared" si="23"/>
        <v>1416</v>
      </c>
      <c r="AL104" s="652"/>
      <c r="AM104" s="652"/>
      <c r="AN104" s="652">
        <f t="shared" si="22"/>
        <v>1416</v>
      </c>
      <c r="AO104" s="652"/>
      <c r="AP104" s="652"/>
      <c r="AQ104" s="652"/>
      <c r="AR104" s="652"/>
      <c r="AS104" s="652"/>
      <c r="AT104" s="652"/>
      <c r="AU104" s="652"/>
      <c r="AV104" s="652"/>
      <c r="AW104" s="652"/>
      <c r="AX104" s="652">
        <f>I104/8</f>
        <v>177</v>
      </c>
      <c r="AY104" s="652"/>
      <c r="AZ104" s="652"/>
      <c r="BA104" s="652"/>
      <c r="BB104" s="652"/>
      <c r="BC104" s="652"/>
      <c r="BD104" s="652"/>
      <c r="BE104" s="652"/>
      <c r="BF104" s="652"/>
      <c r="BG104" s="652"/>
      <c r="BH104" s="652"/>
      <c r="BI104" s="652"/>
      <c r="BJ104" s="724"/>
      <c r="BK104" s="724"/>
      <c r="BL104" s="724"/>
      <c r="BM104" s="724"/>
      <c r="BN104" s="724"/>
      <c r="BO104" s="724"/>
      <c r="BP104" s="724"/>
      <c r="BQ104" s="724"/>
      <c r="BR104" s="724"/>
      <c r="BS104" s="724"/>
      <c r="BT104" s="724"/>
      <c r="BU104" s="724"/>
      <c r="BV104" s="724"/>
      <c r="BW104" s="724"/>
      <c r="BX104" s="724"/>
      <c r="BY104" s="724"/>
      <c r="BZ104" s="724"/>
      <c r="CA104" s="724"/>
      <c r="CB104" s="724"/>
      <c r="CC104" s="724"/>
      <c r="CD104" s="724"/>
      <c r="CE104" s="724"/>
      <c r="CF104" s="724"/>
      <c r="CG104" s="724"/>
      <c r="CH104" s="724"/>
      <c r="CI104" s="724"/>
      <c r="CJ104" s="724"/>
      <c r="CK104" s="724"/>
      <c r="CL104" s="724"/>
      <c r="CM104" s="724"/>
      <c r="CN104" s="724"/>
      <c r="CO104" s="724"/>
      <c r="CP104" s="724"/>
      <c r="CQ104" s="724"/>
      <c r="CR104" s="724"/>
    </row>
    <row r="105" s="650" customFormat="1" ht="31" customHeight="1" spans="1:96">
      <c r="A105" s="713">
        <v>46103</v>
      </c>
      <c r="B105" s="714" t="s">
        <v>521</v>
      </c>
      <c r="C105" s="715" t="s">
        <v>101</v>
      </c>
      <c r="D105" s="652">
        <v>4500198000</v>
      </c>
      <c r="E105" s="715">
        <v>21605189</v>
      </c>
      <c r="F105" s="652" t="s">
        <v>4303</v>
      </c>
      <c r="G105" s="716" t="s">
        <v>3980</v>
      </c>
      <c r="H105" s="715" t="s">
        <v>3978</v>
      </c>
      <c r="I105" s="717">
        <v>88</v>
      </c>
      <c r="J105" s="715">
        <v>0</v>
      </c>
      <c r="K105" s="715">
        <v>8</v>
      </c>
      <c r="L105" s="715">
        <f t="shared" si="19"/>
        <v>11</v>
      </c>
      <c r="M105" s="719">
        <v>46167</v>
      </c>
      <c r="N105" s="719">
        <v>46163</v>
      </c>
      <c r="O105" s="714"/>
      <c r="P105" s="717" t="s">
        <v>106</v>
      </c>
      <c r="Q105" s="717"/>
      <c r="R105" s="723">
        <v>46138</v>
      </c>
      <c r="S105" s="720" t="s">
        <v>107</v>
      </c>
      <c r="T105" s="720" t="s">
        <v>4050</v>
      </c>
      <c r="U105" s="720"/>
      <c r="V105" s="720"/>
      <c r="W105" s="720"/>
      <c r="X105" s="720" t="s">
        <v>4304</v>
      </c>
      <c r="Y105" s="719" t="s">
        <v>362</v>
      </c>
      <c r="Z105" s="730">
        <v>5</v>
      </c>
      <c r="AA105" s="652">
        <f>Z105*I105</f>
        <v>440</v>
      </c>
      <c r="AB105" s="721"/>
      <c r="AC105" s="722" t="s">
        <v>3980</v>
      </c>
      <c r="AD105" s="715" t="s">
        <v>112</v>
      </c>
      <c r="AE105" s="715">
        <f t="shared" si="14"/>
        <v>88</v>
      </c>
      <c r="AF105" s="715"/>
      <c r="AG105" s="715">
        <v>88</v>
      </c>
      <c r="AH105" s="715">
        <f t="shared" si="18"/>
        <v>0</v>
      </c>
      <c r="AI105" s="717"/>
      <c r="AJ105" s="715" t="s">
        <v>3981</v>
      </c>
      <c r="AK105" s="652">
        <f t="shared" si="23"/>
        <v>88</v>
      </c>
      <c r="AL105" s="652"/>
      <c r="AM105" s="652"/>
      <c r="AN105" s="652">
        <f t="shared" si="22"/>
        <v>88</v>
      </c>
      <c r="AO105" s="652"/>
      <c r="AP105" s="652"/>
      <c r="AQ105" s="652"/>
      <c r="AR105" s="652"/>
      <c r="AS105" s="652"/>
      <c r="AT105" s="652"/>
      <c r="AU105" s="652"/>
      <c r="AV105" s="652"/>
      <c r="AW105" s="652"/>
      <c r="AX105" s="652">
        <f>I105/8</f>
        <v>11</v>
      </c>
      <c r="AY105" s="652"/>
      <c r="AZ105" s="652"/>
      <c r="BA105" s="652"/>
      <c r="BB105" s="652"/>
      <c r="BC105" s="652"/>
      <c r="BD105" s="652"/>
      <c r="BE105" s="652"/>
      <c r="BF105" s="652"/>
      <c r="BG105" s="652"/>
      <c r="BH105" s="652"/>
      <c r="BI105" s="652"/>
      <c r="BJ105" s="724"/>
      <c r="BK105" s="724"/>
      <c r="BL105" s="724"/>
      <c r="BM105" s="724"/>
      <c r="BN105" s="724"/>
      <c r="BO105" s="724"/>
      <c r="BP105" s="724"/>
      <c r="BQ105" s="724"/>
      <c r="BR105" s="724"/>
      <c r="BS105" s="724"/>
      <c r="BT105" s="724"/>
      <c r="BU105" s="724"/>
      <c r="BV105" s="724"/>
      <c r="BW105" s="724"/>
      <c r="BX105" s="724"/>
      <c r="BY105" s="724"/>
      <c r="BZ105" s="724"/>
      <c r="CA105" s="724"/>
      <c r="CB105" s="724"/>
      <c r="CC105" s="724"/>
      <c r="CD105" s="724"/>
      <c r="CE105" s="724"/>
      <c r="CF105" s="724"/>
      <c r="CG105" s="724"/>
      <c r="CH105" s="724"/>
      <c r="CI105" s="724"/>
      <c r="CJ105" s="724"/>
      <c r="CK105" s="724"/>
      <c r="CL105" s="724"/>
      <c r="CM105" s="724"/>
      <c r="CN105" s="724"/>
      <c r="CO105" s="724"/>
      <c r="CP105" s="724"/>
      <c r="CQ105" s="724"/>
      <c r="CR105" s="724"/>
    </row>
    <row r="106" s="650" customFormat="1" ht="31" customHeight="1" spans="1:96">
      <c r="A106" s="713">
        <v>46127</v>
      </c>
      <c r="B106" s="714" t="s">
        <v>706</v>
      </c>
      <c r="C106" s="715" t="s">
        <v>201</v>
      </c>
      <c r="D106" s="652">
        <v>4500202070</v>
      </c>
      <c r="E106" s="715" t="s">
        <v>628</v>
      </c>
      <c r="F106" s="652" t="s">
        <v>4305</v>
      </c>
      <c r="G106" s="716" t="s">
        <v>3980</v>
      </c>
      <c r="H106" s="715" t="s">
        <v>3978</v>
      </c>
      <c r="I106" s="717">
        <v>2288</v>
      </c>
      <c r="J106" s="715">
        <v>0</v>
      </c>
      <c r="K106" s="715">
        <v>8</v>
      </c>
      <c r="L106" s="715">
        <f t="shared" si="19"/>
        <v>286</v>
      </c>
      <c r="M106" s="719">
        <v>46167</v>
      </c>
      <c r="N106" s="719">
        <v>46163</v>
      </c>
      <c r="O106" s="714" t="s">
        <v>708</v>
      </c>
      <c r="P106" s="717" t="s">
        <v>106</v>
      </c>
      <c r="Q106" s="717"/>
      <c r="R106" s="723">
        <v>46141</v>
      </c>
      <c r="S106" s="720" t="s">
        <v>95</v>
      </c>
      <c r="T106" s="720" t="s">
        <v>4306</v>
      </c>
      <c r="U106" s="720"/>
      <c r="V106" s="720"/>
      <c r="W106" s="720"/>
      <c r="X106" s="720" t="s">
        <v>4307</v>
      </c>
      <c r="Y106" s="719" t="s">
        <v>711</v>
      </c>
      <c r="Z106" s="730">
        <v>4.5779</v>
      </c>
      <c r="AA106" s="652">
        <f>I106*Z106</f>
        <v>10474.2352</v>
      </c>
      <c r="AB106" s="721"/>
      <c r="AC106" s="722" t="s">
        <v>3980</v>
      </c>
      <c r="AD106" s="715" t="s">
        <v>112</v>
      </c>
      <c r="AE106" s="715">
        <f t="shared" si="14"/>
        <v>2288</v>
      </c>
      <c r="AF106" s="715"/>
      <c r="AG106" s="715">
        <v>2288</v>
      </c>
      <c r="AH106" s="715">
        <f t="shared" si="18"/>
        <v>0</v>
      </c>
      <c r="AI106" s="717"/>
      <c r="AJ106" s="715" t="s">
        <v>3981</v>
      </c>
      <c r="AK106" s="652">
        <f t="shared" si="23"/>
        <v>2288</v>
      </c>
      <c r="AL106" s="652"/>
      <c r="AM106" s="652"/>
      <c r="AN106" s="652">
        <f t="shared" si="22"/>
        <v>2288</v>
      </c>
      <c r="AO106" s="652"/>
      <c r="AP106" s="652"/>
      <c r="AQ106" s="652"/>
      <c r="AR106" s="652"/>
      <c r="AS106" s="652"/>
      <c r="AT106" s="652">
        <f t="shared" ref="AT106:AT113" si="24">I106/8</f>
        <v>286</v>
      </c>
      <c r="AU106" s="652"/>
      <c r="AV106" s="652"/>
      <c r="AW106" s="652"/>
      <c r="AX106" s="652"/>
      <c r="AY106" s="652"/>
      <c r="AZ106" s="652"/>
      <c r="BA106" s="652"/>
      <c r="BB106" s="652"/>
      <c r="BC106" s="652"/>
      <c r="BD106" s="652"/>
      <c r="BE106" s="652"/>
      <c r="BF106" s="652"/>
      <c r="BG106" s="652"/>
      <c r="BH106" s="652"/>
      <c r="BI106" s="652"/>
    </row>
    <row r="107" s="650" customFormat="1" ht="31" customHeight="1" spans="1:96">
      <c r="A107" s="713">
        <v>46093</v>
      </c>
      <c r="B107" s="714" t="s">
        <v>499</v>
      </c>
      <c r="C107" s="715" t="s">
        <v>115</v>
      </c>
      <c r="D107" s="652">
        <v>4500196513</v>
      </c>
      <c r="E107" s="716" t="s">
        <v>4308</v>
      </c>
      <c r="F107" s="652" t="s">
        <v>4309</v>
      </c>
      <c r="G107" s="716" t="s">
        <v>3980</v>
      </c>
      <c r="H107" s="715" t="s">
        <v>3978</v>
      </c>
      <c r="I107" s="717">
        <v>7968</v>
      </c>
      <c r="J107" s="715">
        <v>0</v>
      </c>
      <c r="K107" s="715">
        <v>8</v>
      </c>
      <c r="L107" s="718">
        <f t="shared" si="19"/>
        <v>996</v>
      </c>
      <c r="M107" s="719">
        <v>46167</v>
      </c>
      <c r="N107" s="719">
        <v>46163</v>
      </c>
      <c r="O107" s="714" t="s">
        <v>678</v>
      </c>
      <c r="P107" s="717" t="s">
        <v>106</v>
      </c>
      <c r="Q107" s="717"/>
      <c r="R107" s="723">
        <v>46093</v>
      </c>
      <c r="S107" s="720" t="s">
        <v>107</v>
      </c>
      <c r="T107" s="720" t="s">
        <v>4221</v>
      </c>
      <c r="U107" s="720"/>
      <c r="V107" s="720"/>
      <c r="W107" s="720"/>
      <c r="X107" s="720" t="s">
        <v>4222</v>
      </c>
      <c r="Y107" s="719" t="s">
        <v>503</v>
      </c>
      <c r="Z107" s="730">
        <v>3</v>
      </c>
      <c r="AA107" s="715">
        <f>Z107*I107</f>
        <v>23904</v>
      </c>
      <c r="AB107" s="729" t="s">
        <v>4310</v>
      </c>
      <c r="AC107" s="722" t="s">
        <v>3980</v>
      </c>
      <c r="AD107" s="715" t="s">
        <v>112</v>
      </c>
      <c r="AE107" s="715">
        <f t="shared" si="14"/>
        <v>7968</v>
      </c>
      <c r="AF107" s="715"/>
      <c r="AG107" s="715">
        <v>7968</v>
      </c>
      <c r="AH107" s="715">
        <f t="shared" si="18"/>
        <v>0</v>
      </c>
      <c r="AI107" s="717"/>
      <c r="AJ107" s="715" t="s">
        <v>3981</v>
      </c>
      <c r="AK107" s="652">
        <f t="shared" si="23"/>
        <v>7968</v>
      </c>
      <c r="AL107" s="652"/>
      <c r="AM107" s="652"/>
      <c r="AN107" s="652">
        <f t="shared" si="22"/>
        <v>7968</v>
      </c>
      <c r="AO107" s="652"/>
      <c r="AP107" s="652"/>
      <c r="AQ107" s="652"/>
      <c r="AR107" s="652"/>
      <c r="AS107" s="652"/>
      <c r="AT107" s="652">
        <f t="shared" si="24"/>
        <v>996</v>
      </c>
      <c r="AU107" s="652"/>
      <c r="AV107" s="652"/>
      <c r="AW107" s="652"/>
      <c r="AX107" s="652"/>
      <c r="AY107" s="652"/>
      <c r="AZ107" s="652"/>
      <c r="BA107" s="652"/>
      <c r="BB107" s="652"/>
      <c r="BC107" s="652"/>
      <c r="BD107" s="652"/>
      <c r="BE107" s="652"/>
      <c r="BF107" s="652"/>
      <c r="BG107" s="652"/>
      <c r="BH107" s="652"/>
      <c r="BI107" s="652"/>
    </row>
    <row r="108" s="650" customFormat="1" ht="31" customHeight="1" spans="1:96">
      <c r="A108" s="713">
        <v>46093</v>
      </c>
      <c r="B108" s="714" t="s">
        <v>499</v>
      </c>
      <c r="C108" s="715" t="s">
        <v>115</v>
      </c>
      <c r="D108" s="652">
        <v>4500196513</v>
      </c>
      <c r="E108" s="716" t="s">
        <v>4311</v>
      </c>
      <c r="F108" s="652" t="s">
        <v>4312</v>
      </c>
      <c r="G108" s="716" t="s">
        <v>3980</v>
      </c>
      <c r="H108" s="715" t="s">
        <v>3978</v>
      </c>
      <c r="I108" s="717">
        <v>8352</v>
      </c>
      <c r="J108" s="715">
        <v>0</v>
      </c>
      <c r="K108" s="715">
        <v>8</v>
      </c>
      <c r="L108" s="718">
        <f t="shared" si="19"/>
        <v>1044</v>
      </c>
      <c r="M108" s="719">
        <v>46167</v>
      </c>
      <c r="N108" s="719">
        <v>46163</v>
      </c>
      <c r="O108" s="714" t="s">
        <v>678</v>
      </c>
      <c r="P108" s="717" t="s">
        <v>106</v>
      </c>
      <c r="Q108" s="717"/>
      <c r="R108" s="723">
        <v>46093</v>
      </c>
      <c r="S108" s="720" t="s">
        <v>107</v>
      </c>
      <c r="T108" s="720" t="s">
        <v>4221</v>
      </c>
      <c r="U108" s="720"/>
      <c r="V108" s="720"/>
      <c r="W108" s="720"/>
      <c r="X108" s="720" t="s">
        <v>4222</v>
      </c>
      <c r="Y108" s="719" t="s">
        <v>503</v>
      </c>
      <c r="Z108" s="730">
        <v>3</v>
      </c>
      <c r="AA108" s="715">
        <f>Z108*I108</f>
        <v>25056</v>
      </c>
      <c r="AB108" s="729" t="s">
        <v>4313</v>
      </c>
      <c r="AC108" s="722" t="s">
        <v>3980</v>
      </c>
      <c r="AD108" s="715" t="s">
        <v>112</v>
      </c>
      <c r="AE108" s="715">
        <f t="shared" si="14"/>
        <v>8352</v>
      </c>
      <c r="AF108" s="715"/>
      <c r="AG108" s="715">
        <v>8352</v>
      </c>
      <c r="AH108" s="715">
        <f t="shared" si="18"/>
        <v>0</v>
      </c>
      <c r="AI108" s="717"/>
      <c r="AJ108" s="715" t="s">
        <v>3981</v>
      </c>
      <c r="AK108" s="652">
        <f t="shared" si="23"/>
        <v>8352</v>
      </c>
      <c r="AL108" s="652"/>
      <c r="AM108" s="652"/>
      <c r="AN108" s="652">
        <f t="shared" si="22"/>
        <v>8352</v>
      </c>
      <c r="AO108" s="652"/>
      <c r="AP108" s="652"/>
      <c r="AQ108" s="652"/>
      <c r="AR108" s="652"/>
      <c r="AS108" s="652"/>
      <c r="AT108" s="652">
        <f t="shared" si="24"/>
        <v>1044</v>
      </c>
      <c r="AU108" s="652"/>
      <c r="AV108" s="652"/>
      <c r="AW108" s="652"/>
      <c r="AX108" s="652"/>
      <c r="AY108" s="652"/>
      <c r="AZ108" s="652"/>
      <c r="BA108" s="652"/>
      <c r="BB108" s="652"/>
      <c r="BC108" s="652"/>
      <c r="BD108" s="652"/>
      <c r="BE108" s="652"/>
      <c r="BF108" s="652"/>
      <c r="BG108" s="652"/>
      <c r="BH108" s="652"/>
      <c r="BI108" s="652"/>
    </row>
    <row r="109" s="650" customFormat="1" ht="31" customHeight="1" spans="1:96">
      <c r="A109" s="713">
        <v>46105</v>
      </c>
      <c r="B109" s="714" t="s">
        <v>346</v>
      </c>
      <c r="C109" s="715" t="s">
        <v>115</v>
      </c>
      <c r="D109" s="652">
        <v>4500198369</v>
      </c>
      <c r="E109" s="1907" t="s">
        <v>4314</v>
      </c>
      <c r="F109" s="652" t="s">
        <v>4315</v>
      </c>
      <c r="G109" s="716" t="s">
        <v>4194</v>
      </c>
      <c r="H109" s="715" t="s">
        <v>4195</v>
      </c>
      <c r="I109" s="717">
        <v>4096</v>
      </c>
      <c r="J109" s="715">
        <v>0</v>
      </c>
      <c r="K109" s="715">
        <v>512</v>
      </c>
      <c r="L109" s="718">
        <f t="shared" si="19"/>
        <v>8</v>
      </c>
      <c r="M109" s="719">
        <v>46167</v>
      </c>
      <c r="N109" s="719">
        <v>46163</v>
      </c>
      <c r="O109" s="714" t="s">
        <v>619</v>
      </c>
      <c r="P109" s="717" t="s">
        <v>106</v>
      </c>
      <c r="Q109" s="717"/>
      <c r="R109" s="715" t="s">
        <v>4201</v>
      </c>
      <c r="S109" s="720" t="s">
        <v>107</v>
      </c>
      <c r="T109" s="720" t="s">
        <v>4197</v>
      </c>
      <c r="U109" s="720"/>
      <c r="V109" s="720"/>
      <c r="W109" s="720"/>
      <c r="X109" s="720" t="s">
        <v>4202</v>
      </c>
      <c r="Y109" s="719" t="s">
        <v>354</v>
      </c>
      <c r="Z109" s="715">
        <v>1309.3925</v>
      </c>
      <c r="AA109" s="715">
        <f>L109*Z109</f>
        <v>10475.14</v>
      </c>
      <c r="AB109" s="729" t="s">
        <v>4316</v>
      </c>
      <c r="AC109" s="716" t="s">
        <v>4194</v>
      </c>
      <c r="AD109" s="715" t="s">
        <v>112</v>
      </c>
      <c r="AE109" s="715">
        <f t="shared" si="14"/>
        <v>4096</v>
      </c>
      <c r="AF109" s="715"/>
      <c r="AG109" s="715">
        <v>4096</v>
      </c>
      <c r="AH109" s="715">
        <f t="shared" si="18"/>
        <v>0</v>
      </c>
      <c r="AI109" s="717"/>
      <c r="AJ109" s="715" t="s">
        <v>3981</v>
      </c>
      <c r="AK109" s="652">
        <f t="shared" si="23"/>
        <v>4096</v>
      </c>
      <c r="AL109" s="652"/>
      <c r="AM109" s="652"/>
      <c r="AN109" s="652">
        <f t="shared" si="22"/>
        <v>4096</v>
      </c>
      <c r="AO109" s="652"/>
      <c r="AP109" s="652"/>
      <c r="AQ109" s="652"/>
      <c r="AR109" s="652"/>
      <c r="AS109" s="652"/>
      <c r="AT109" s="652">
        <f t="shared" si="24"/>
        <v>512</v>
      </c>
      <c r="AU109" s="652"/>
      <c r="AV109" s="652"/>
      <c r="AW109" s="652"/>
      <c r="AX109" s="652"/>
      <c r="AY109" s="652"/>
      <c r="AZ109" s="652"/>
      <c r="BA109" s="652"/>
      <c r="BB109" s="652"/>
      <c r="BC109" s="652"/>
      <c r="BD109" s="652"/>
      <c r="BE109" s="652"/>
      <c r="BF109" s="652"/>
      <c r="BG109" s="652"/>
      <c r="BH109" s="652"/>
      <c r="BI109" s="652"/>
    </row>
    <row r="110" s="650" customFormat="1" ht="31" customHeight="1" spans="1:96">
      <c r="A110" s="713">
        <v>46105</v>
      </c>
      <c r="B110" s="714" t="s">
        <v>346</v>
      </c>
      <c r="C110" s="715" t="s">
        <v>115</v>
      </c>
      <c r="D110" s="652">
        <v>4500198369</v>
      </c>
      <c r="E110" s="1907" t="s">
        <v>4317</v>
      </c>
      <c r="F110" s="652" t="s">
        <v>4318</v>
      </c>
      <c r="G110" s="716" t="s">
        <v>4194</v>
      </c>
      <c r="H110" s="715" t="s">
        <v>4195</v>
      </c>
      <c r="I110" s="717">
        <v>6144</v>
      </c>
      <c r="J110" s="715">
        <v>0</v>
      </c>
      <c r="K110" s="715">
        <v>512</v>
      </c>
      <c r="L110" s="718">
        <f t="shared" si="19"/>
        <v>12</v>
      </c>
      <c r="M110" s="719">
        <v>46167</v>
      </c>
      <c r="N110" s="719">
        <v>46163</v>
      </c>
      <c r="O110" s="714" t="s">
        <v>4319</v>
      </c>
      <c r="P110" s="717" t="s">
        <v>106</v>
      </c>
      <c r="Q110" s="717"/>
      <c r="R110" s="715" t="s">
        <v>4201</v>
      </c>
      <c r="S110" s="720" t="s">
        <v>107</v>
      </c>
      <c r="T110" s="720" t="s">
        <v>4197</v>
      </c>
      <c r="U110" s="720"/>
      <c r="V110" s="720"/>
      <c r="W110" s="720"/>
      <c r="X110" s="720" t="s">
        <v>4202</v>
      </c>
      <c r="Y110" s="719" t="s">
        <v>354</v>
      </c>
      <c r="Z110" s="715">
        <v>1309.3917</v>
      </c>
      <c r="AA110" s="715">
        <f>L110*Z110</f>
        <v>15712.7004</v>
      </c>
      <c r="AB110" s="729" t="s">
        <v>4320</v>
      </c>
      <c r="AC110" s="716" t="s">
        <v>4194</v>
      </c>
      <c r="AD110" s="715" t="s">
        <v>112</v>
      </c>
      <c r="AE110" s="715">
        <f t="shared" si="14"/>
        <v>6144</v>
      </c>
      <c r="AF110" s="715"/>
      <c r="AG110" s="715">
        <v>6144</v>
      </c>
      <c r="AH110" s="715">
        <f t="shared" si="18"/>
        <v>0</v>
      </c>
      <c r="AI110" s="717"/>
      <c r="AJ110" s="715" t="s">
        <v>3981</v>
      </c>
      <c r="AK110" s="652">
        <f t="shared" si="23"/>
        <v>6144</v>
      </c>
      <c r="AL110" s="652"/>
      <c r="AM110" s="652"/>
      <c r="AN110" s="652">
        <f t="shared" si="22"/>
        <v>6144</v>
      </c>
      <c r="AO110" s="652"/>
      <c r="AP110" s="652"/>
      <c r="AQ110" s="652"/>
      <c r="AR110" s="652"/>
      <c r="AS110" s="652"/>
      <c r="AT110" s="652">
        <f t="shared" si="24"/>
        <v>768</v>
      </c>
      <c r="AU110" s="652"/>
      <c r="AV110" s="652"/>
      <c r="AW110" s="652"/>
      <c r="AX110" s="652"/>
      <c r="AY110" s="652"/>
      <c r="AZ110" s="652"/>
      <c r="BA110" s="652"/>
      <c r="BB110" s="652"/>
      <c r="BC110" s="652"/>
      <c r="BD110" s="652"/>
      <c r="BE110" s="652"/>
      <c r="BF110" s="652"/>
      <c r="BG110" s="652"/>
      <c r="BH110" s="652"/>
      <c r="BI110" s="652"/>
    </row>
    <row r="111" s="650" customFormat="1" ht="31" customHeight="1" spans="1:96">
      <c r="A111" s="713">
        <v>46105</v>
      </c>
      <c r="B111" s="714" t="s">
        <v>346</v>
      </c>
      <c r="C111" s="715" t="s">
        <v>115</v>
      </c>
      <c r="D111" s="652">
        <v>4500198369</v>
      </c>
      <c r="E111" s="1907" t="s">
        <v>4321</v>
      </c>
      <c r="F111" s="652" t="s">
        <v>4322</v>
      </c>
      <c r="G111" s="716" t="s">
        <v>4194</v>
      </c>
      <c r="H111" s="715" t="s">
        <v>4195</v>
      </c>
      <c r="I111" s="717">
        <v>8704</v>
      </c>
      <c r="J111" s="715">
        <v>0</v>
      </c>
      <c r="K111" s="715">
        <v>512</v>
      </c>
      <c r="L111" s="718">
        <f t="shared" si="19"/>
        <v>17</v>
      </c>
      <c r="M111" s="719">
        <v>46167</v>
      </c>
      <c r="N111" s="719">
        <v>46163</v>
      </c>
      <c r="O111" s="714" t="s">
        <v>619</v>
      </c>
      <c r="P111" s="717" t="s">
        <v>106</v>
      </c>
      <c r="Q111" s="717"/>
      <c r="R111" s="715" t="s">
        <v>4201</v>
      </c>
      <c r="S111" s="720" t="s">
        <v>107</v>
      </c>
      <c r="T111" s="720" t="s">
        <v>4197</v>
      </c>
      <c r="U111" s="720"/>
      <c r="V111" s="720"/>
      <c r="W111" s="720"/>
      <c r="X111" s="720" t="s">
        <v>4202</v>
      </c>
      <c r="Y111" s="719" t="s">
        <v>354</v>
      </c>
      <c r="Z111" s="715">
        <v>1309.3918</v>
      </c>
      <c r="AA111" s="715">
        <f>L111*Z111</f>
        <v>22259.6606</v>
      </c>
      <c r="AB111" s="729" t="s">
        <v>4323</v>
      </c>
      <c r="AC111" s="716" t="s">
        <v>4194</v>
      </c>
      <c r="AD111" s="715" t="s">
        <v>112</v>
      </c>
      <c r="AE111" s="715">
        <f t="shared" si="14"/>
        <v>8704</v>
      </c>
      <c r="AF111" s="715"/>
      <c r="AG111" s="715">
        <v>8704</v>
      </c>
      <c r="AH111" s="715">
        <f t="shared" si="18"/>
        <v>0</v>
      </c>
      <c r="AI111" s="717"/>
      <c r="AJ111" s="715" t="s">
        <v>3981</v>
      </c>
      <c r="AK111" s="652">
        <f t="shared" si="23"/>
        <v>8704</v>
      </c>
      <c r="AL111" s="652"/>
      <c r="AM111" s="652"/>
      <c r="AN111" s="652">
        <f t="shared" si="22"/>
        <v>8704</v>
      </c>
      <c r="AO111" s="652"/>
      <c r="AP111" s="652"/>
      <c r="AQ111" s="652"/>
      <c r="AR111" s="652"/>
      <c r="AS111" s="652"/>
      <c r="AT111" s="652">
        <f t="shared" si="24"/>
        <v>1088</v>
      </c>
      <c r="AU111" s="652"/>
      <c r="AV111" s="652"/>
      <c r="AW111" s="652"/>
      <c r="AX111" s="652"/>
      <c r="AY111" s="652"/>
      <c r="AZ111" s="652"/>
      <c r="BA111" s="652"/>
      <c r="BB111" s="652"/>
      <c r="BC111" s="652"/>
      <c r="BD111" s="652"/>
      <c r="BE111" s="652"/>
      <c r="BF111" s="652"/>
      <c r="BG111" s="652"/>
      <c r="BH111" s="652"/>
      <c r="BI111" s="652"/>
    </row>
    <row r="112" s="650" customFormat="1" ht="31" customHeight="1" spans="1:96">
      <c r="A112" s="713">
        <v>46105</v>
      </c>
      <c r="B112" s="714" t="s">
        <v>346</v>
      </c>
      <c r="C112" s="715" t="s">
        <v>115</v>
      </c>
      <c r="D112" s="652">
        <v>4500198369</v>
      </c>
      <c r="E112" s="1907" t="s">
        <v>4324</v>
      </c>
      <c r="F112" s="652" t="s">
        <v>4325</v>
      </c>
      <c r="G112" s="716" t="s">
        <v>4194</v>
      </c>
      <c r="H112" s="715" t="s">
        <v>4195</v>
      </c>
      <c r="I112" s="717">
        <v>12288</v>
      </c>
      <c r="J112" s="715">
        <v>0</v>
      </c>
      <c r="K112" s="715">
        <v>512</v>
      </c>
      <c r="L112" s="718">
        <f t="shared" si="19"/>
        <v>24</v>
      </c>
      <c r="M112" s="719">
        <v>46167</v>
      </c>
      <c r="N112" s="719">
        <v>46163</v>
      </c>
      <c r="O112" s="714" t="s">
        <v>682</v>
      </c>
      <c r="P112" s="717" t="s">
        <v>106</v>
      </c>
      <c r="Q112" s="717"/>
      <c r="R112" s="715" t="s">
        <v>4201</v>
      </c>
      <c r="S112" s="720" t="s">
        <v>107</v>
      </c>
      <c r="T112" s="720" t="s">
        <v>4197</v>
      </c>
      <c r="U112" s="720"/>
      <c r="V112" s="720"/>
      <c r="W112" s="720"/>
      <c r="X112" s="720" t="s">
        <v>4202</v>
      </c>
      <c r="Y112" s="719" t="s">
        <v>354</v>
      </c>
      <c r="Z112" s="715">
        <v>1309.3921</v>
      </c>
      <c r="AA112" s="715">
        <f>L112*Z112</f>
        <v>31425.4104</v>
      </c>
      <c r="AB112" s="729" t="s">
        <v>4326</v>
      </c>
      <c r="AC112" s="716" t="s">
        <v>4194</v>
      </c>
      <c r="AD112" s="715" t="s">
        <v>112</v>
      </c>
      <c r="AE112" s="715">
        <f t="shared" si="14"/>
        <v>12288</v>
      </c>
      <c r="AF112" s="715"/>
      <c r="AG112" s="715">
        <v>12288</v>
      </c>
      <c r="AH112" s="715">
        <f t="shared" si="18"/>
        <v>0</v>
      </c>
      <c r="AI112" s="717"/>
      <c r="AJ112" s="715" t="s">
        <v>3981</v>
      </c>
      <c r="AK112" s="652">
        <f t="shared" si="23"/>
        <v>12288</v>
      </c>
      <c r="AL112" s="652"/>
      <c r="AM112" s="652"/>
      <c r="AN112" s="652">
        <f t="shared" si="22"/>
        <v>12288</v>
      </c>
      <c r="AO112" s="652"/>
      <c r="AP112" s="652"/>
      <c r="AQ112" s="652"/>
      <c r="AR112" s="652"/>
      <c r="AS112" s="652"/>
      <c r="AT112" s="652">
        <f t="shared" si="24"/>
        <v>1536</v>
      </c>
      <c r="AU112" s="652"/>
      <c r="AV112" s="652"/>
      <c r="AW112" s="652"/>
      <c r="AX112" s="652"/>
      <c r="AY112" s="652"/>
      <c r="AZ112" s="652"/>
      <c r="BA112" s="652"/>
      <c r="BB112" s="652"/>
      <c r="BC112" s="652"/>
      <c r="BD112" s="652"/>
      <c r="BE112" s="652"/>
      <c r="BF112" s="652"/>
      <c r="BG112" s="652"/>
      <c r="BH112" s="652"/>
      <c r="BI112" s="652"/>
    </row>
    <row r="113" s="650" customFormat="1" ht="31" customHeight="1" spans="1:96">
      <c r="A113" s="713">
        <v>46095</v>
      </c>
      <c r="B113" s="714" t="s">
        <v>507</v>
      </c>
      <c r="C113" s="715" t="s">
        <v>508</v>
      </c>
      <c r="D113" s="652">
        <v>4500196882</v>
      </c>
      <c r="E113" s="716" t="s">
        <v>4327</v>
      </c>
      <c r="F113" s="652" t="s">
        <v>4328</v>
      </c>
      <c r="G113" s="716" t="s">
        <v>3980</v>
      </c>
      <c r="H113" s="715" t="s">
        <v>3978</v>
      </c>
      <c r="I113" s="717">
        <v>1504</v>
      </c>
      <c r="J113" s="715">
        <v>0</v>
      </c>
      <c r="K113" s="715">
        <v>8</v>
      </c>
      <c r="L113" s="718">
        <f t="shared" si="19"/>
        <v>188</v>
      </c>
      <c r="M113" s="719">
        <v>46167</v>
      </c>
      <c r="N113" s="719">
        <v>46163</v>
      </c>
      <c r="O113" s="714"/>
      <c r="P113" s="717" t="s">
        <v>106</v>
      </c>
      <c r="Q113" s="717"/>
      <c r="R113" s="723">
        <v>46097</v>
      </c>
      <c r="S113" s="720" t="s">
        <v>107</v>
      </c>
      <c r="T113" s="720" t="s">
        <v>4329</v>
      </c>
      <c r="U113" s="720"/>
      <c r="V113" s="720" t="s">
        <v>4056</v>
      </c>
      <c r="W113" s="720"/>
      <c r="X113" s="720" t="s">
        <v>4330</v>
      </c>
      <c r="Y113" s="719" t="s">
        <v>513</v>
      </c>
      <c r="Z113" s="730">
        <v>5</v>
      </c>
      <c r="AA113" s="715">
        <f>Z113*I113</f>
        <v>7520</v>
      </c>
      <c r="AB113" s="721"/>
      <c r="AC113" s="722" t="s">
        <v>3980</v>
      </c>
      <c r="AD113" s="715" t="s">
        <v>112</v>
      </c>
      <c r="AE113" s="715">
        <f t="shared" si="14"/>
        <v>1504</v>
      </c>
      <c r="AF113" s="715"/>
      <c r="AG113" s="715">
        <v>1504</v>
      </c>
      <c r="AH113" s="715">
        <f t="shared" si="18"/>
        <v>0</v>
      </c>
      <c r="AI113" s="717"/>
      <c r="AJ113" s="715" t="s">
        <v>3981</v>
      </c>
      <c r="AK113" s="652">
        <f t="shared" si="23"/>
        <v>1504</v>
      </c>
      <c r="AL113" s="652"/>
      <c r="AM113" s="652"/>
      <c r="AN113" s="652">
        <f t="shared" si="22"/>
        <v>1504</v>
      </c>
      <c r="AO113" s="652"/>
      <c r="AP113" s="652"/>
      <c r="AQ113" s="652"/>
      <c r="AR113" s="652"/>
      <c r="AS113" s="652"/>
      <c r="AT113" s="652">
        <f t="shared" si="24"/>
        <v>188</v>
      </c>
      <c r="AU113" s="652"/>
      <c r="AV113" s="652"/>
      <c r="AW113" s="652"/>
      <c r="AX113" s="652"/>
      <c r="AY113" s="652"/>
      <c r="AZ113" s="652"/>
      <c r="BA113" s="652"/>
      <c r="BB113" s="652"/>
      <c r="BC113" s="652"/>
      <c r="BD113" s="652"/>
      <c r="BE113" s="652"/>
      <c r="BF113" s="652"/>
      <c r="BG113" s="652"/>
      <c r="BH113" s="652"/>
      <c r="BI113" s="652"/>
    </row>
    <row r="114" s="650" customFormat="1" ht="31" customHeight="1" spans="1:96">
      <c r="A114" s="713">
        <v>46133</v>
      </c>
      <c r="B114" s="714" t="s">
        <v>134</v>
      </c>
      <c r="C114" s="715" t="s">
        <v>135</v>
      </c>
      <c r="D114" s="652" t="s">
        <v>4331</v>
      </c>
      <c r="E114" s="715" t="s">
        <v>4332</v>
      </c>
      <c r="F114" s="652" t="s">
        <v>4333</v>
      </c>
      <c r="G114" s="716" t="s">
        <v>3973</v>
      </c>
      <c r="H114" s="715" t="s">
        <v>3995</v>
      </c>
      <c r="I114" s="717">
        <v>5008</v>
      </c>
      <c r="J114" s="715">
        <v>0</v>
      </c>
      <c r="K114" s="715">
        <v>16</v>
      </c>
      <c r="L114" s="715">
        <f t="shared" si="19"/>
        <v>313</v>
      </c>
      <c r="M114" s="719">
        <v>46167</v>
      </c>
      <c r="N114" s="719">
        <v>46163</v>
      </c>
      <c r="O114" s="714"/>
      <c r="P114" s="717" t="s">
        <v>106</v>
      </c>
      <c r="Q114" s="717"/>
      <c r="R114" s="723" t="s">
        <v>4334</v>
      </c>
      <c r="S114" s="720" t="s">
        <v>107</v>
      </c>
      <c r="T114" s="720" t="s">
        <v>3997</v>
      </c>
      <c r="U114" s="720"/>
      <c r="V114" s="720"/>
      <c r="W114" s="720"/>
      <c r="X114" s="720" t="s">
        <v>4335</v>
      </c>
      <c r="Y114" s="719" t="s">
        <v>142</v>
      </c>
      <c r="Z114" s="730">
        <v>4.5642</v>
      </c>
      <c r="AA114" s="652">
        <f>I114*Z114</f>
        <v>22857.5136</v>
      </c>
      <c r="AB114" s="721"/>
      <c r="AC114" s="652" t="s">
        <v>4108</v>
      </c>
      <c r="AD114" s="715" t="s">
        <v>112</v>
      </c>
      <c r="AE114" s="715">
        <f t="shared" si="14"/>
        <v>5008</v>
      </c>
      <c r="AF114" s="715" t="s">
        <v>4336</v>
      </c>
      <c r="AG114" s="715">
        <v>5008</v>
      </c>
      <c r="AH114" s="715">
        <f t="shared" si="18"/>
        <v>0</v>
      </c>
      <c r="AI114" s="717"/>
      <c r="AJ114" s="715" t="s">
        <v>3981</v>
      </c>
      <c r="AK114" s="652"/>
      <c r="AL114" s="652">
        <f>I114</f>
        <v>5008</v>
      </c>
      <c r="AM114" s="652"/>
      <c r="AN114" s="652">
        <f t="shared" si="22"/>
        <v>5008</v>
      </c>
      <c r="AO114" s="652"/>
      <c r="AP114" s="652"/>
      <c r="AQ114" s="652"/>
      <c r="AR114" s="652"/>
      <c r="AS114" s="652"/>
      <c r="AT114" s="652"/>
      <c r="AU114" s="652">
        <f>I114/8</f>
        <v>626</v>
      </c>
      <c r="AV114" s="652"/>
      <c r="AW114" s="652"/>
      <c r="AX114" s="652"/>
      <c r="AY114" s="652"/>
      <c r="AZ114" s="652"/>
      <c r="BA114" s="652"/>
      <c r="BB114" s="652"/>
      <c r="BC114" s="652"/>
      <c r="BD114" s="652"/>
      <c r="BE114" s="652"/>
      <c r="BF114" s="652"/>
      <c r="BG114" s="652"/>
      <c r="BH114" s="652"/>
      <c r="BI114" s="652"/>
    </row>
    <row r="115" s="650" customFormat="1" ht="31" customHeight="1" spans="1:96">
      <c r="A115" s="713">
        <v>46115</v>
      </c>
      <c r="B115" s="714" t="s">
        <v>507</v>
      </c>
      <c r="C115" s="715" t="s">
        <v>508</v>
      </c>
      <c r="D115" s="652">
        <v>4500199929</v>
      </c>
      <c r="E115" s="715">
        <v>2620278</v>
      </c>
      <c r="F115" s="652" t="s">
        <v>701</v>
      </c>
      <c r="G115" s="716" t="s">
        <v>4337</v>
      </c>
      <c r="H115" s="715" t="s">
        <v>151</v>
      </c>
      <c r="I115" s="717">
        <v>2400</v>
      </c>
      <c r="J115" s="715">
        <v>0</v>
      </c>
      <c r="K115" s="715">
        <v>24</v>
      </c>
      <c r="L115" s="715">
        <f t="shared" si="19"/>
        <v>100</v>
      </c>
      <c r="M115" s="719">
        <v>46167</v>
      </c>
      <c r="N115" s="719">
        <v>46163</v>
      </c>
      <c r="O115" s="714"/>
      <c r="P115" s="717" t="s">
        <v>106</v>
      </c>
      <c r="Q115" s="717"/>
      <c r="R115" s="723">
        <v>46134</v>
      </c>
      <c r="S115" s="720" t="s">
        <v>107</v>
      </c>
      <c r="T115" s="720" t="s">
        <v>4338</v>
      </c>
      <c r="U115" s="720"/>
      <c r="V115" s="720" t="s">
        <v>4056</v>
      </c>
      <c r="W115" s="720"/>
      <c r="X115" s="720" t="s">
        <v>4339</v>
      </c>
      <c r="Y115" s="719" t="s">
        <v>513</v>
      </c>
      <c r="Z115" s="730">
        <v>224.6816</v>
      </c>
      <c r="AA115" s="652">
        <f>L115*Z115</f>
        <v>22468.16</v>
      </c>
      <c r="AB115" s="721"/>
      <c r="AC115" s="722" t="s">
        <v>4337</v>
      </c>
      <c r="AD115" s="715" t="s">
        <v>112</v>
      </c>
      <c r="AE115" s="715">
        <f t="shared" si="14"/>
        <v>2400</v>
      </c>
      <c r="AF115" s="715"/>
      <c r="AG115" s="715">
        <v>2400</v>
      </c>
      <c r="AH115" s="715">
        <f t="shared" si="18"/>
        <v>0</v>
      </c>
      <c r="AI115" s="717"/>
      <c r="AJ115" s="715" t="s">
        <v>3981</v>
      </c>
      <c r="AK115" s="652">
        <f>I115</f>
        <v>2400</v>
      </c>
      <c r="AL115" s="652"/>
      <c r="AM115" s="652"/>
      <c r="AN115" s="652">
        <f t="shared" si="22"/>
        <v>2400</v>
      </c>
      <c r="AO115" s="652"/>
      <c r="AP115" s="652"/>
      <c r="AQ115" s="652"/>
      <c r="AR115" s="652"/>
      <c r="AS115" s="652"/>
      <c r="AT115" s="652"/>
      <c r="AU115" s="652"/>
      <c r="AV115" s="652"/>
      <c r="AW115" s="652"/>
      <c r="AX115" s="652"/>
      <c r="AY115" s="652"/>
      <c r="AZ115" s="652"/>
      <c r="BA115" s="652">
        <f>I115/24</f>
        <v>100</v>
      </c>
      <c r="BB115" s="652"/>
      <c r="BC115" s="652"/>
      <c r="BD115" s="652"/>
      <c r="BE115" s="652"/>
      <c r="BF115" s="652"/>
      <c r="BG115" s="652"/>
      <c r="BH115" s="652"/>
      <c r="BI115" s="652"/>
      <c r="BJ115" s="651"/>
      <c r="BK115" s="651"/>
      <c r="BL115" s="651"/>
      <c r="BM115" s="651"/>
      <c r="BN115" s="651"/>
      <c r="BO115" s="651"/>
      <c r="BP115" s="651"/>
      <c r="BQ115" s="651"/>
      <c r="BR115" s="651"/>
      <c r="BS115" s="651"/>
      <c r="BT115" s="651"/>
      <c r="BU115" s="651"/>
      <c r="BV115" s="651"/>
      <c r="BW115" s="651"/>
      <c r="BX115" s="651"/>
      <c r="BY115" s="651"/>
      <c r="BZ115" s="651"/>
      <c r="CA115" s="651"/>
      <c r="CB115" s="651"/>
      <c r="CC115" s="651"/>
      <c r="CD115" s="651"/>
      <c r="CE115" s="651"/>
      <c r="CF115" s="651"/>
      <c r="CG115" s="651"/>
      <c r="CH115" s="651"/>
      <c r="CI115" s="651"/>
      <c r="CJ115" s="651"/>
      <c r="CK115" s="651"/>
      <c r="CL115" s="651"/>
      <c r="CM115" s="651"/>
      <c r="CN115" s="651"/>
      <c r="CO115" s="651"/>
      <c r="CP115" s="651"/>
      <c r="CQ115" s="651"/>
      <c r="CR115" s="651"/>
    </row>
    <row r="116" s="650" customFormat="1" ht="31" customHeight="1" spans="1:96">
      <c r="A116" s="713">
        <v>46084</v>
      </c>
      <c r="B116" s="714" t="s">
        <v>480</v>
      </c>
      <c r="C116" s="715" t="s">
        <v>115</v>
      </c>
      <c r="D116" s="652">
        <v>4500194943</v>
      </c>
      <c r="E116" s="1908" t="s">
        <v>4340</v>
      </c>
      <c r="F116" s="652" t="s">
        <v>693</v>
      </c>
      <c r="G116" s="716" t="s">
        <v>4215</v>
      </c>
      <c r="H116" s="715" t="s">
        <v>483</v>
      </c>
      <c r="I116" s="717">
        <v>4320</v>
      </c>
      <c r="J116" s="715">
        <v>0</v>
      </c>
      <c r="K116" s="715">
        <v>120</v>
      </c>
      <c r="L116" s="718">
        <f t="shared" si="19"/>
        <v>36</v>
      </c>
      <c r="M116" s="719">
        <v>46167</v>
      </c>
      <c r="N116" s="719">
        <v>46163</v>
      </c>
      <c r="O116" s="714"/>
      <c r="P116" s="717" t="s">
        <v>106</v>
      </c>
      <c r="Q116" s="717"/>
      <c r="R116" s="723">
        <v>46155</v>
      </c>
      <c r="S116" s="720" t="s">
        <v>107</v>
      </c>
      <c r="T116" s="720" t="s">
        <v>95</v>
      </c>
      <c r="U116" s="720"/>
      <c r="V116" s="720"/>
      <c r="W116" s="720"/>
      <c r="X116" s="720" t="s">
        <v>636</v>
      </c>
      <c r="Y116" s="719" t="s">
        <v>488</v>
      </c>
      <c r="Z116" s="715">
        <v>642</v>
      </c>
      <c r="AA116" s="715">
        <f>L116*Z116</f>
        <v>23112</v>
      </c>
      <c r="AB116" s="729" t="s">
        <v>694</v>
      </c>
      <c r="AC116" s="722" t="s">
        <v>490</v>
      </c>
      <c r="AD116" s="715" t="s">
        <v>112</v>
      </c>
      <c r="AE116" s="715">
        <f t="shared" si="14"/>
        <v>4320</v>
      </c>
      <c r="AF116" s="715" t="s">
        <v>4109</v>
      </c>
      <c r="AG116" s="715">
        <v>4320</v>
      </c>
      <c r="AH116" s="715">
        <f t="shared" si="18"/>
        <v>0</v>
      </c>
      <c r="AI116" s="717" t="s">
        <v>120</v>
      </c>
      <c r="AJ116" s="715" t="s">
        <v>3981</v>
      </c>
      <c r="AK116" s="652"/>
      <c r="AL116" s="652"/>
      <c r="AM116" s="652"/>
      <c r="AN116" s="652"/>
      <c r="AO116" s="652"/>
      <c r="AP116" s="652"/>
      <c r="AQ116" s="652">
        <f>I116</f>
        <v>4320</v>
      </c>
      <c r="AR116" s="652">
        <f>I116</f>
        <v>4320</v>
      </c>
      <c r="AS116" s="652">
        <f>I116/6</f>
        <v>720</v>
      </c>
      <c r="AT116" s="652"/>
      <c r="AU116" s="652"/>
      <c r="AV116" s="652"/>
      <c r="AW116" s="652"/>
      <c r="AX116" s="652"/>
      <c r="AY116" s="652"/>
      <c r="AZ116" s="652"/>
      <c r="BA116" s="652"/>
      <c r="BB116" s="652"/>
      <c r="BC116" s="652"/>
      <c r="BD116" s="652"/>
      <c r="BE116" s="652"/>
      <c r="BF116" s="652"/>
      <c r="BG116" s="652"/>
      <c r="BH116" s="652"/>
      <c r="BI116" s="652"/>
    </row>
    <row r="117" s="650" customFormat="1" ht="31" customHeight="1" spans="1:96">
      <c r="A117" s="713">
        <v>46153</v>
      </c>
      <c r="B117" s="714"/>
      <c r="C117" s="715" t="s">
        <v>597</v>
      </c>
      <c r="D117" s="652" t="s">
        <v>712</v>
      </c>
      <c r="E117" s="715"/>
      <c r="F117" s="652" t="s">
        <v>713</v>
      </c>
      <c r="G117" s="716" t="s">
        <v>4215</v>
      </c>
      <c r="H117" s="715" t="s">
        <v>483</v>
      </c>
      <c r="I117" s="717">
        <v>30</v>
      </c>
      <c r="J117" s="715"/>
      <c r="K117" s="715"/>
      <c r="L117" s="715"/>
      <c r="M117" s="719">
        <v>46167</v>
      </c>
      <c r="N117" s="719">
        <v>46163</v>
      </c>
      <c r="O117" s="714"/>
      <c r="P117" s="717" t="s">
        <v>106</v>
      </c>
      <c r="Q117" s="717"/>
      <c r="R117" s="723">
        <v>46153</v>
      </c>
      <c r="S117" s="735" t="s">
        <v>95</v>
      </c>
      <c r="T117" s="735" t="s">
        <v>95</v>
      </c>
      <c r="U117" s="735"/>
      <c r="V117" s="720"/>
      <c r="W117" s="720"/>
      <c r="X117" s="720" t="s">
        <v>714</v>
      </c>
      <c r="Y117" s="719" t="s">
        <v>272</v>
      </c>
      <c r="Z117" s="730"/>
      <c r="AA117" s="652"/>
      <c r="AB117" s="721"/>
      <c r="AC117" s="652"/>
      <c r="AD117" s="715" t="s">
        <v>99</v>
      </c>
      <c r="AE117" s="715">
        <f t="shared" si="14"/>
        <v>30</v>
      </c>
      <c r="AF117" s="715"/>
      <c r="AG117" s="652"/>
      <c r="AH117" s="715">
        <f t="shared" si="18"/>
        <v>-30</v>
      </c>
      <c r="AI117" s="717" t="s">
        <v>120</v>
      </c>
      <c r="AJ117" s="715"/>
      <c r="AK117" s="652">
        <f>I117</f>
        <v>30</v>
      </c>
      <c r="AL117" s="652"/>
      <c r="AM117" s="652"/>
      <c r="AN117" s="652">
        <f>I117</f>
        <v>30</v>
      </c>
      <c r="AO117" s="652"/>
      <c r="AP117" s="652"/>
      <c r="AQ117" s="652"/>
      <c r="AR117" s="652"/>
      <c r="AS117" s="652"/>
      <c r="AT117" s="652"/>
      <c r="AU117" s="652"/>
      <c r="AV117" s="652"/>
      <c r="AW117" s="652"/>
      <c r="AX117" s="652"/>
      <c r="AY117" s="652"/>
      <c r="AZ117" s="652"/>
      <c r="BA117" s="652"/>
      <c r="BB117" s="652"/>
      <c r="BC117" s="652"/>
      <c r="BD117" s="652"/>
      <c r="BE117" s="652"/>
      <c r="BF117" s="652"/>
      <c r="BG117" s="652"/>
      <c r="BH117" s="652"/>
      <c r="BI117" s="652"/>
    </row>
    <row r="118" s="650" customFormat="1" ht="31" customHeight="1" spans="1:96">
      <c r="A118" s="713">
        <v>46099</v>
      </c>
      <c r="B118" s="714" t="s">
        <v>723</v>
      </c>
      <c r="C118" s="715" t="s">
        <v>135</v>
      </c>
      <c r="D118" s="652">
        <v>4500197499</v>
      </c>
      <c r="E118" s="715" t="s">
        <v>724</v>
      </c>
      <c r="F118" s="652" t="s">
        <v>725</v>
      </c>
      <c r="G118" s="716" t="s">
        <v>4341</v>
      </c>
      <c r="H118" s="715" t="s">
        <v>483</v>
      </c>
      <c r="I118" s="717">
        <v>4320</v>
      </c>
      <c r="J118" s="715">
        <v>0</v>
      </c>
      <c r="K118" s="715">
        <v>120</v>
      </c>
      <c r="L118" s="718">
        <f t="shared" ref="L118:L181" si="25">I118/K118</f>
        <v>36</v>
      </c>
      <c r="M118" s="719">
        <v>46168</v>
      </c>
      <c r="N118" s="719">
        <v>46164</v>
      </c>
      <c r="O118" s="714" t="s">
        <v>4342</v>
      </c>
      <c r="P118" s="717" t="s">
        <v>106</v>
      </c>
      <c r="Q118" s="717"/>
      <c r="R118" s="723" t="s">
        <v>728</v>
      </c>
      <c r="S118" s="720" t="s">
        <v>107</v>
      </c>
      <c r="T118" s="720" t="s">
        <v>95</v>
      </c>
      <c r="U118" s="720"/>
      <c r="V118" s="720"/>
      <c r="W118" s="720"/>
      <c r="X118" s="720" t="s">
        <v>729</v>
      </c>
      <c r="Y118" s="719" t="s">
        <v>730</v>
      </c>
      <c r="Z118" s="715">
        <v>642</v>
      </c>
      <c r="AA118" s="715">
        <f>L118*Z118</f>
        <v>23112</v>
      </c>
      <c r="AB118" s="721"/>
      <c r="AC118" s="716" t="s">
        <v>731</v>
      </c>
      <c r="AD118" s="715" t="s">
        <v>112</v>
      </c>
      <c r="AE118" s="715">
        <f t="shared" si="14"/>
        <v>4320</v>
      </c>
      <c r="AF118" s="715" t="s">
        <v>4109</v>
      </c>
      <c r="AG118" s="715">
        <v>4320</v>
      </c>
      <c r="AH118" s="715">
        <f t="shared" si="18"/>
        <v>0</v>
      </c>
      <c r="AI118" s="717"/>
      <c r="AJ118" s="715" t="s">
        <v>3981</v>
      </c>
      <c r="AK118" s="652"/>
      <c r="AL118" s="652"/>
      <c r="AM118" s="652"/>
      <c r="AN118" s="652"/>
      <c r="AO118" s="652"/>
      <c r="AP118" s="652"/>
      <c r="AQ118" s="652">
        <f>I118</f>
        <v>4320</v>
      </c>
      <c r="AR118" s="652">
        <f>I118</f>
        <v>4320</v>
      </c>
      <c r="AS118" s="652">
        <f>I118/6</f>
        <v>720</v>
      </c>
      <c r="AT118" s="652"/>
      <c r="AU118" s="652"/>
      <c r="AV118" s="652"/>
      <c r="AW118" s="652"/>
      <c r="AX118" s="652"/>
      <c r="AY118" s="652"/>
      <c r="AZ118" s="652"/>
      <c r="BA118" s="652"/>
      <c r="BB118" s="652"/>
      <c r="BC118" s="652"/>
      <c r="BD118" s="652"/>
      <c r="BE118" s="652"/>
      <c r="BF118" s="652"/>
      <c r="BG118" s="652"/>
      <c r="BH118" s="652"/>
      <c r="BI118" s="652"/>
    </row>
    <row r="119" s="652" customFormat="1" ht="31" customHeight="1" spans="1:96">
      <c r="A119" s="713">
        <v>46120</v>
      </c>
      <c r="B119" s="714" t="s">
        <v>602</v>
      </c>
      <c r="C119" s="715" t="s">
        <v>508</v>
      </c>
      <c r="D119" s="652" t="s">
        <v>4343</v>
      </c>
      <c r="E119" s="715" t="s">
        <v>4344</v>
      </c>
      <c r="F119" s="652" t="s">
        <v>4345</v>
      </c>
      <c r="G119" s="716" t="s">
        <v>3980</v>
      </c>
      <c r="H119" s="715" t="s">
        <v>3978</v>
      </c>
      <c r="I119" s="717">
        <v>1200</v>
      </c>
      <c r="J119" s="715">
        <v>0</v>
      </c>
      <c r="K119" s="715">
        <v>8</v>
      </c>
      <c r="L119" s="715">
        <f t="shared" si="25"/>
        <v>150</v>
      </c>
      <c r="M119" s="719">
        <v>46168</v>
      </c>
      <c r="N119" s="719">
        <v>46164</v>
      </c>
      <c r="O119" s="714"/>
      <c r="P119" s="717" t="s">
        <v>106</v>
      </c>
      <c r="Q119" s="717"/>
      <c r="R119" s="723">
        <v>46115</v>
      </c>
      <c r="S119" s="720" t="s">
        <v>107</v>
      </c>
      <c r="T119" s="720" t="s">
        <v>4346</v>
      </c>
      <c r="U119" s="720"/>
      <c r="V119" s="720" t="s">
        <v>4347</v>
      </c>
      <c r="W119" s="720"/>
      <c r="X119" s="720" t="s">
        <v>4348</v>
      </c>
      <c r="Y119" s="719" t="s">
        <v>362</v>
      </c>
      <c r="Z119" s="730">
        <v>4.5779</v>
      </c>
      <c r="AA119" s="652">
        <f>I119*Z119</f>
        <v>5493.48</v>
      </c>
      <c r="AB119" s="721"/>
      <c r="AC119" s="722" t="s">
        <v>3980</v>
      </c>
      <c r="AD119" s="715" t="s">
        <v>112</v>
      </c>
      <c r="AE119" s="715">
        <f t="shared" si="14"/>
        <v>1200</v>
      </c>
      <c r="AF119" s="715" t="s">
        <v>4109</v>
      </c>
      <c r="AG119" s="715">
        <v>1200</v>
      </c>
      <c r="AH119" s="715">
        <f t="shared" si="18"/>
        <v>0</v>
      </c>
      <c r="AI119" s="717"/>
      <c r="AJ119" s="715" t="s">
        <v>3981</v>
      </c>
      <c r="AK119" s="652">
        <f>I119</f>
        <v>1200</v>
      </c>
      <c r="AN119" s="652">
        <f>I119</f>
        <v>1200</v>
      </c>
      <c r="AT119" s="652">
        <f>I119/8</f>
        <v>150</v>
      </c>
      <c r="BJ119" s="743"/>
    </row>
    <row r="120" s="650" customFormat="1" ht="31" customHeight="1" spans="1:96">
      <c r="A120" s="713">
        <v>46113</v>
      </c>
      <c r="B120" s="714" t="s">
        <v>230</v>
      </c>
      <c r="C120" s="715" t="s">
        <v>135</v>
      </c>
      <c r="D120" s="652" t="s">
        <v>4349</v>
      </c>
      <c r="E120" s="715" t="s">
        <v>4350</v>
      </c>
      <c r="F120" s="652" t="s">
        <v>4351</v>
      </c>
      <c r="G120" s="716" t="s">
        <v>3973</v>
      </c>
      <c r="H120" s="715" t="s">
        <v>3995</v>
      </c>
      <c r="I120" s="717">
        <v>3200</v>
      </c>
      <c r="J120" s="715">
        <v>0</v>
      </c>
      <c r="K120" s="715">
        <v>16</v>
      </c>
      <c r="L120" s="715">
        <f t="shared" si="25"/>
        <v>200</v>
      </c>
      <c r="M120" s="719">
        <v>46168</v>
      </c>
      <c r="N120" s="719">
        <v>46164</v>
      </c>
      <c r="O120" s="714"/>
      <c r="P120" s="717" t="s">
        <v>106</v>
      </c>
      <c r="Q120" s="717"/>
      <c r="R120" s="723">
        <v>46120</v>
      </c>
      <c r="S120" s="720" t="s">
        <v>107</v>
      </c>
      <c r="T120" s="720" t="s">
        <v>4239</v>
      </c>
      <c r="U120" s="720"/>
      <c r="V120" s="720"/>
      <c r="W120" s="720"/>
      <c r="X120" s="720" t="s">
        <v>4352</v>
      </c>
      <c r="Y120" s="719" t="s">
        <v>236</v>
      </c>
      <c r="Z120" s="730">
        <v>4.355</v>
      </c>
      <c r="AA120" s="652">
        <f>L120*Z120</f>
        <v>871</v>
      </c>
      <c r="AB120" s="721"/>
      <c r="AC120" s="722" t="s">
        <v>3973</v>
      </c>
      <c r="AD120" s="715" t="s">
        <v>112</v>
      </c>
      <c r="AE120" s="715">
        <f t="shared" si="14"/>
        <v>3200</v>
      </c>
      <c r="AF120" s="715" t="s">
        <v>4336</v>
      </c>
      <c r="AG120" s="652">
        <v>3200</v>
      </c>
      <c r="AH120" s="715">
        <f t="shared" si="18"/>
        <v>0</v>
      </c>
      <c r="AI120" s="717" t="s">
        <v>120</v>
      </c>
      <c r="AJ120" s="715" t="s">
        <v>3981</v>
      </c>
      <c r="AK120" s="652">
        <f>I120</f>
        <v>3200</v>
      </c>
      <c r="AL120" s="652"/>
      <c r="AM120" s="652"/>
      <c r="AN120" s="652">
        <f>I120</f>
        <v>3200</v>
      </c>
      <c r="AO120" s="652"/>
      <c r="AP120" s="652"/>
      <c r="AQ120" s="652"/>
      <c r="AR120" s="652"/>
      <c r="AS120" s="652"/>
      <c r="AT120" s="652">
        <f>I120/8</f>
        <v>400</v>
      </c>
      <c r="AU120" s="652"/>
      <c r="AV120" s="652"/>
      <c r="AW120" s="652"/>
      <c r="AX120" s="652"/>
      <c r="AY120" s="652"/>
      <c r="AZ120" s="652"/>
      <c r="BA120" s="652"/>
      <c r="BB120" s="652"/>
      <c r="BC120" s="652"/>
      <c r="BD120" s="652"/>
      <c r="BE120" s="652"/>
      <c r="BF120" s="652"/>
      <c r="BG120" s="652"/>
      <c r="BH120" s="652"/>
      <c r="BI120" s="652"/>
    </row>
    <row r="121" s="650" customFormat="1" ht="31" customHeight="1" spans="1:96">
      <c r="A121" s="744">
        <v>46115</v>
      </c>
      <c r="B121" s="745" t="s">
        <v>602</v>
      </c>
      <c r="C121" s="746" t="s">
        <v>508</v>
      </c>
      <c r="D121" s="747" t="s">
        <v>4343</v>
      </c>
      <c r="E121" s="746" t="s">
        <v>4344</v>
      </c>
      <c r="F121" s="747" t="s">
        <v>739</v>
      </c>
      <c r="G121" s="746" t="s">
        <v>4353</v>
      </c>
      <c r="H121" s="715" t="s">
        <v>2405</v>
      </c>
      <c r="I121" s="748">
        <v>960</v>
      </c>
      <c r="J121" s="746">
        <v>0</v>
      </c>
      <c r="K121" s="746">
        <v>12</v>
      </c>
      <c r="L121" s="715">
        <f t="shared" si="25"/>
        <v>80</v>
      </c>
      <c r="M121" s="719">
        <v>46168</v>
      </c>
      <c r="N121" s="719">
        <v>46164</v>
      </c>
      <c r="O121" s="714"/>
      <c r="P121" s="717" t="s">
        <v>106</v>
      </c>
      <c r="Q121" s="717"/>
      <c r="R121" s="723">
        <v>46115</v>
      </c>
      <c r="S121" s="720" t="s">
        <v>107</v>
      </c>
      <c r="T121" s="720" t="s">
        <v>4354</v>
      </c>
      <c r="U121" s="720"/>
      <c r="V121" s="720" t="s">
        <v>4347</v>
      </c>
      <c r="W121" s="720"/>
      <c r="X121" s="714" t="s">
        <v>4348</v>
      </c>
      <c r="Y121" s="749" t="s">
        <v>362</v>
      </c>
      <c r="Z121" s="750">
        <v>103.32</v>
      </c>
      <c r="AA121" s="652">
        <f>L121*Z121</f>
        <v>8265.6</v>
      </c>
      <c r="AB121" s="721"/>
      <c r="AC121" s="751" t="s">
        <v>4353</v>
      </c>
      <c r="AD121" s="715" t="s">
        <v>112</v>
      </c>
      <c r="AE121" s="715">
        <f t="shared" si="14"/>
        <v>960</v>
      </c>
      <c r="AF121" s="715" t="s">
        <v>4109</v>
      </c>
      <c r="AG121" s="715">
        <v>960</v>
      </c>
      <c r="AH121" s="715">
        <f t="shared" si="18"/>
        <v>0</v>
      </c>
      <c r="AI121" s="717" t="s">
        <v>120</v>
      </c>
      <c r="AJ121" s="715"/>
      <c r="AK121" s="652">
        <f>I121</f>
        <v>960</v>
      </c>
      <c r="AL121" s="652"/>
      <c r="AM121" s="652"/>
      <c r="AN121" s="652"/>
      <c r="AO121" s="652"/>
      <c r="AP121" s="652"/>
      <c r="AQ121" s="652"/>
      <c r="AR121" s="652"/>
      <c r="AS121" s="652"/>
      <c r="AT121" s="652">
        <f>I121/8</f>
        <v>120</v>
      </c>
      <c r="AU121" s="652"/>
      <c r="AV121" s="652"/>
      <c r="AW121" s="652"/>
      <c r="AX121" s="652"/>
      <c r="AY121" s="652"/>
      <c r="AZ121" s="652"/>
      <c r="BA121" s="652"/>
      <c r="BB121" s="652"/>
      <c r="BC121" s="652"/>
      <c r="BD121" s="652"/>
      <c r="BE121" s="652"/>
      <c r="BF121" s="652"/>
      <c r="BG121" s="652"/>
      <c r="BH121" s="652"/>
      <c r="BI121" s="652"/>
    </row>
    <row r="122" s="650" customFormat="1" ht="31" customHeight="1" spans="1:96">
      <c r="A122" s="713">
        <v>46084</v>
      </c>
      <c r="B122" s="714" t="s">
        <v>480</v>
      </c>
      <c r="C122" s="715" t="s">
        <v>115</v>
      </c>
      <c r="D122" s="652">
        <v>4500194944</v>
      </c>
      <c r="E122" s="1908" t="s">
        <v>4355</v>
      </c>
      <c r="F122" s="652" t="s">
        <v>758</v>
      </c>
      <c r="G122" s="716" t="s">
        <v>4215</v>
      </c>
      <c r="H122" s="715" t="s">
        <v>483</v>
      </c>
      <c r="I122" s="717">
        <v>4320</v>
      </c>
      <c r="J122" s="715">
        <v>0</v>
      </c>
      <c r="K122" s="715">
        <v>120</v>
      </c>
      <c r="L122" s="718">
        <f t="shared" si="25"/>
        <v>36</v>
      </c>
      <c r="M122" s="719">
        <v>46169</v>
      </c>
      <c r="N122" s="719">
        <v>46165</v>
      </c>
      <c r="O122" s="714"/>
      <c r="P122" s="717" t="s">
        <v>106</v>
      </c>
      <c r="Q122" s="717"/>
      <c r="R122" s="723">
        <v>46155</v>
      </c>
      <c r="S122" s="720" t="s">
        <v>107</v>
      </c>
      <c r="T122" s="720" t="s">
        <v>95</v>
      </c>
      <c r="U122" s="720"/>
      <c r="V122" s="720"/>
      <c r="W122" s="720"/>
      <c r="X122" s="720" t="s">
        <v>636</v>
      </c>
      <c r="Y122" s="719" t="s">
        <v>488</v>
      </c>
      <c r="Z122" s="715">
        <v>642</v>
      </c>
      <c r="AA122" s="715">
        <f>L122*Z122</f>
        <v>23112</v>
      </c>
      <c r="AB122" s="729" t="s">
        <v>760</v>
      </c>
      <c r="AC122" s="722" t="s">
        <v>490</v>
      </c>
      <c r="AD122" s="715" t="s">
        <v>112</v>
      </c>
      <c r="AE122" s="715">
        <f t="shared" si="14"/>
        <v>4320</v>
      </c>
      <c r="AF122" s="715" t="s">
        <v>4336</v>
      </c>
      <c r="AG122" s="652">
        <v>4320</v>
      </c>
      <c r="AH122" s="715">
        <f t="shared" si="18"/>
        <v>0</v>
      </c>
      <c r="AI122" s="717" t="s">
        <v>120</v>
      </c>
      <c r="AJ122" s="715" t="s">
        <v>3981</v>
      </c>
      <c r="AK122" s="652"/>
      <c r="AL122" s="652"/>
      <c r="AM122" s="652"/>
      <c r="AN122" s="652"/>
      <c r="AO122" s="652"/>
      <c r="AP122" s="652"/>
      <c r="AQ122" s="652">
        <f>I122</f>
        <v>4320</v>
      </c>
      <c r="AR122" s="652">
        <f>I122</f>
        <v>4320</v>
      </c>
      <c r="AS122" s="652">
        <f>I122/6</f>
        <v>720</v>
      </c>
      <c r="AT122" s="652"/>
      <c r="AU122" s="652"/>
      <c r="AV122" s="652"/>
      <c r="AW122" s="652"/>
      <c r="AX122" s="652"/>
      <c r="AY122" s="652"/>
      <c r="AZ122" s="652"/>
      <c r="BA122" s="652"/>
      <c r="BB122" s="652"/>
      <c r="BC122" s="652"/>
      <c r="BD122" s="652"/>
      <c r="BE122" s="652"/>
      <c r="BF122" s="652"/>
      <c r="BG122" s="652"/>
      <c r="BH122" s="652"/>
      <c r="BI122" s="652"/>
    </row>
    <row r="123" s="650" customFormat="1" ht="31" customHeight="1" spans="1:96">
      <c r="A123" s="713">
        <v>46094</v>
      </c>
      <c r="B123" s="714" t="s">
        <v>792</v>
      </c>
      <c r="C123" s="715" t="s">
        <v>793</v>
      </c>
      <c r="D123" s="652">
        <v>4500196453</v>
      </c>
      <c r="E123" s="715">
        <v>188529</v>
      </c>
      <c r="F123" s="652" t="s">
        <v>4356</v>
      </c>
      <c r="G123" s="716" t="s">
        <v>3980</v>
      </c>
      <c r="H123" s="715" t="s">
        <v>3978</v>
      </c>
      <c r="I123" s="717">
        <v>600</v>
      </c>
      <c r="J123" s="715">
        <v>0</v>
      </c>
      <c r="K123" s="715">
        <v>8</v>
      </c>
      <c r="L123" s="718">
        <f t="shared" si="25"/>
        <v>75</v>
      </c>
      <c r="M123" s="719">
        <v>46170</v>
      </c>
      <c r="N123" s="719">
        <v>46167</v>
      </c>
      <c r="O123" s="714"/>
      <c r="P123" s="717" t="s">
        <v>106</v>
      </c>
      <c r="Q123" s="717"/>
      <c r="R123" s="723">
        <v>46132</v>
      </c>
      <c r="S123" s="720" t="s">
        <v>107</v>
      </c>
      <c r="T123" s="720" t="s">
        <v>4357</v>
      </c>
      <c r="U123" s="720"/>
      <c r="V123" s="720"/>
      <c r="W123" s="720"/>
      <c r="X123" s="720" t="s">
        <v>4358</v>
      </c>
      <c r="Y123" s="719" t="s">
        <v>775</v>
      </c>
      <c r="Z123" s="730">
        <v>5</v>
      </c>
      <c r="AA123" s="715">
        <f>Z123*I123</f>
        <v>3000</v>
      </c>
      <c r="AB123" s="721"/>
      <c r="AC123" s="722" t="s">
        <v>4031</v>
      </c>
      <c r="AD123" s="715" t="s">
        <v>112</v>
      </c>
      <c r="AE123" s="715">
        <f t="shared" si="14"/>
        <v>600</v>
      </c>
      <c r="AF123" s="715"/>
      <c r="AG123" s="715">
        <v>600</v>
      </c>
      <c r="AH123" s="715">
        <f t="shared" si="18"/>
        <v>0</v>
      </c>
      <c r="AI123" s="717"/>
      <c r="AJ123" s="715" t="s">
        <v>3981</v>
      </c>
      <c r="AK123" s="652"/>
      <c r="AL123" s="652">
        <f>I123</f>
        <v>600</v>
      </c>
      <c r="AM123" s="652"/>
      <c r="AN123" s="652">
        <f>I123</f>
        <v>600</v>
      </c>
      <c r="AO123" s="652"/>
      <c r="AP123" s="652"/>
      <c r="AQ123" s="652"/>
      <c r="AR123" s="652"/>
      <c r="AS123" s="652"/>
      <c r="AT123" s="652"/>
      <c r="AU123" s="652">
        <f>I123/8</f>
        <v>75</v>
      </c>
      <c r="AV123" s="652"/>
      <c r="AW123" s="652"/>
      <c r="AX123" s="652"/>
      <c r="AY123" s="652"/>
      <c r="AZ123" s="652"/>
      <c r="BA123" s="652"/>
      <c r="BB123" s="652"/>
      <c r="BC123" s="652"/>
      <c r="BD123" s="652"/>
      <c r="BE123" s="652"/>
      <c r="BF123" s="652"/>
      <c r="BG123" s="652"/>
      <c r="BH123" s="652"/>
      <c r="BI123" s="652"/>
    </row>
    <row r="124" s="650" customFormat="1" ht="31" customHeight="1" spans="1:96">
      <c r="A124" s="713">
        <v>46156</v>
      </c>
      <c r="B124" s="714"/>
      <c r="C124" s="715" t="s">
        <v>597</v>
      </c>
      <c r="D124" s="652" t="s">
        <v>801</v>
      </c>
      <c r="E124" s="715"/>
      <c r="F124" s="652" t="s">
        <v>802</v>
      </c>
      <c r="G124" s="1909" t="s">
        <v>4359</v>
      </c>
      <c r="H124" s="715" t="s">
        <v>804</v>
      </c>
      <c r="I124" s="717">
        <v>40</v>
      </c>
      <c r="J124" s="715">
        <v>0</v>
      </c>
      <c r="K124" s="715">
        <v>6</v>
      </c>
      <c r="L124" s="718">
        <f t="shared" si="25"/>
        <v>6.66666666666667</v>
      </c>
      <c r="M124" s="719">
        <v>46170</v>
      </c>
      <c r="N124" s="719">
        <f>M124-3</f>
        <v>46167</v>
      </c>
      <c r="O124" s="714"/>
      <c r="P124" s="717"/>
      <c r="Q124" s="717"/>
      <c r="R124" s="723">
        <v>46156</v>
      </c>
      <c r="S124" s="720" t="s">
        <v>95</v>
      </c>
      <c r="T124" s="720" t="s">
        <v>95</v>
      </c>
      <c r="U124" s="720"/>
      <c r="V124" s="720"/>
      <c r="W124" s="720"/>
      <c r="X124" s="720" t="s">
        <v>805</v>
      </c>
      <c r="Y124" s="719" t="s">
        <v>272</v>
      </c>
      <c r="Z124" s="730"/>
      <c r="AA124" s="652"/>
      <c r="AB124" s="721"/>
      <c r="AC124" s="715" t="s">
        <v>806</v>
      </c>
      <c r="AD124" s="715" t="s">
        <v>112</v>
      </c>
      <c r="AE124" s="715">
        <f t="shared" si="14"/>
        <v>40</v>
      </c>
      <c r="AF124" s="715"/>
      <c r="AG124" s="652"/>
      <c r="AH124" s="715">
        <f t="shared" si="18"/>
        <v>-40</v>
      </c>
      <c r="AI124" s="717"/>
      <c r="AJ124" s="715" t="s">
        <v>3981</v>
      </c>
      <c r="AK124" s="652"/>
      <c r="AL124" s="652"/>
      <c r="AM124" s="652"/>
      <c r="AN124" s="652">
        <f>I124</f>
        <v>40</v>
      </c>
      <c r="AO124" s="652"/>
      <c r="AP124" s="652"/>
      <c r="AQ124" s="652"/>
      <c r="AR124" s="652"/>
      <c r="AS124" s="652"/>
      <c r="AT124" s="652"/>
      <c r="AU124" s="652"/>
      <c r="AV124" s="652"/>
      <c r="AW124" s="652"/>
      <c r="AX124" s="652"/>
      <c r="AY124" s="652"/>
      <c r="AZ124" s="652"/>
      <c r="BA124" s="652"/>
      <c r="BB124" s="652"/>
      <c r="BC124" s="652"/>
      <c r="BD124" s="652"/>
      <c r="BE124" s="652"/>
      <c r="BF124" s="652"/>
      <c r="BG124" s="652"/>
      <c r="BH124" s="652"/>
      <c r="BI124" s="652">
        <f>I124</f>
        <v>40</v>
      </c>
    </row>
    <row r="125" s="650" customFormat="1" ht="31" customHeight="1" spans="1:96">
      <c r="A125" s="713">
        <v>46107</v>
      </c>
      <c r="B125" s="714" t="s">
        <v>845</v>
      </c>
      <c r="C125" s="715" t="s">
        <v>291</v>
      </c>
      <c r="D125" s="652">
        <v>4500198838</v>
      </c>
      <c r="E125" s="715">
        <v>7950324033</v>
      </c>
      <c r="F125" s="652" t="s">
        <v>846</v>
      </c>
      <c r="G125" s="716" t="s">
        <v>4215</v>
      </c>
      <c r="H125" s="715" t="s">
        <v>483</v>
      </c>
      <c r="I125" s="717">
        <v>4320</v>
      </c>
      <c r="J125" s="715">
        <v>0</v>
      </c>
      <c r="K125" s="715">
        <v>120</v>
      </c>
      <c r="L125" s="718">
        <f t="shared" si="25"/>
        <v>36</v>
      </c>
      <c r="M125" s="719">
        <v>46171</v>
      </c>
      <c r="N125" s="719">
        <v>46167</v>
      </c>
      <c r="O125" s="752" t="s">
        <v>847</v>
      </c>
      <c r="P125" s="717" t="s">
        <v>106</v>
      </c>
      <c r="Q125" s="715" t="s">
        <v>4360</v>
      </c>
      <c r="R125" s="715" t="s">
        <v>1330</v>
      </c>
      <c r="S125" s="720" t="s">
        <v>107</v>
      </c>
      <c r="T125" s="720" t="s">
        <v>849</v>
      </c>
      <c r="U125" s="720"/>
      <c r="V125" s="720"/>
      <c r="W125" s="720"/>
      <c r="X125" s="714" t="s">
        <v>851</v>
      </c>
      <c r="Y125" s="719" t="s">
        <v>295</v>
      </c>
      <c r="Z125" s="753">
        <v>1070</v>
      </c>
      <c r="AA125" s="722">
        <f>L125*Z125</f>
        <v>38520</v>
      </c>
      <c r="AB125" s="721"/>
      <c r="AC125" s="715" t="s">
        <v>490</v>
      </c>
      <c r="AD125" s="715" t="s">
        <v>112</v>
      </c>
      <c r="AE125" s="715">
        <f t="shared" si="14"/>
        <v>4320</v>
      </c>
      <c r="AF125" s="715" t="s">
        <v>4109</v>
      </c>
      <c r="AG125" s="715">
        <f>778+1476+1107+360+413+54+94+38</f>
        <v>4320</v>
      </c>
      <c r="AH125" s="715">
        <f t="shared" si="18"/>
        <v>0</v>
      </c>
      <c r="AI125" s="717"/>
      <c r="AJ125" s="715" t="s">
        <v>3981</v>
      </c>
      <c r="AK125" s="652"/>
      <c r="AL125" s="652"/>
      <c r="AM125" s="652"/>
      <c r="AN125" s="652"/>
      <c r="AO125" s="652"/>
      <c r="AP125" s="652"/>
      <c r="AQ125" s="652">
        <f>I125</f>
        <v>4320</v>
      </c>
      <c r="AR125" s="652">
        <f>I125</f>
        <v>4320</v>
      </c>
      <c r="AS125" s="652">
        <f>I125/6</f>
        <v>720</v>
      </c>
      <c r="AT125" s="652"/>
      <c r="AU125" s="652"/>
      <c r="AV125" s="652"/>
      <c r="AW125" s="652"/>
      <c r="AX125" s="652"/>
      <c r="AY125" s="652"/>
      <c r="AZ125" s="652"/>
      <c r="BA125" s="652"/>
      <c r="BB125" s="652"/>
      <c r="BC125" s="652"/>
      <c r="BD125" s="652"/>
      <c r="BE125" s="652"/>
      <c r="BF125" s="652"/>
      <c r="BG125" s="652"/>
      <c r="BH125" s="652"/>
      <c r="BI125" s="652"/>
    </row>
    <row r="126" s="650" customFormat="1" ht="31" customHeight="1" spans="1:96">
      <c r="A126" s="713">
        <v>46122</v>
      </c>
      <c r="B126" s="714" t="s">
        <v>815</v>
      </c>
      <c r="C126" s="715" t="s">
        <v>101</v>
      </c>
      <c r="D126" s="652">
        <v>4500201073</v>
      </c>
      <c r="E126" s="715">
        <v>4504222805</v>
      </c>
      <c r="F126" s="652" t="s">
        <v>4361</v>
      </c>
      <c r="G126" s="716" t="s">
        <v>3980</v>
      </c>
      <c r="H126" s="715" t="s">
        <v>3978</v>
      </c>
      <c r="I126" s="717">
        <v>2000</v>
      </c>
      <c r="J126" s="715">
        <v>0</v>
      </c>
      <c r="K126" s="715">
        <v>8</v>
      </c>
      <c r="L126" s="715">
        <f t="shared" si="25"/>
        <v>250</v>
      </c>
      <c r="M126" s="719">
        <v>46171</v>
      </c>
      <c r="N126" s="719">
        <v>46167</v>
      </c>
      <c r="O126" s="714"/>
      <c r="P126" s="717" t="s">
        <v>106</v>
      </c>
      <c r="Q126" s="717"/>
      <c r="R126" s="723">
        <v>46129</v>
      </c>
      <c r="S126" s="720" t="s">
        <v>107</v>
      </c>
      <c r="T126" s="720" t="s">
        <v>817</v>
      </c>
      <c r="U126" s="720"/>
      <c r="V126" s="720"/>
      <c r="W126" s="720"/>
      <c r="X126" s="714" t="s">
        <v>818</v>
      </c>
      <c r="Y126" s="719" t="s">
        <v>819</v>
      </c>
      <c r="Z126" s="754">
        <v>4.5779</v>
      </c>
      <c r="AA126" s="652">
        <f>Z126*I126</f>
        <v>9155.8</v>
      </c>
      <c r="AB126" s="721"/>
      <c r="AC126" s="652" t="s">
        <v>4362</v>
      </c>
      <c r="AD126" s="715" t="s">
        <v>112</v>
      </c>
      <c r="AE126" s="715">
        <f t="shared" si="14"/>
        <v>2000</v>
      </c>
      <c r="AF126" s="715" t="s">
        <v>4109</v>
      </c>
      <c r="AG126" s="715">
        <v>2000</v>
      </c>
      <c r="AH126" s="715">
        <f t="shared" si="18"/>
        <v>0</v>
      </c>
      <c r="AI126" s="717"/>
      <c r="AJ126" s="715" t="s">
        <v>3981</v>
      </c>
      <c r="AK126" s="652">
        <f>I126</f>
        <v>2000</v>
      </c>
      <c r="AL126" s="652"/>
      <c r="AM126" s="652"/>
      <c r="AN126" s="652"/>
      <c r="AO126" s="652"/>
      <c r="AP126" s="652"/>
      <c r="AQ126" s="652"/>
      <c r="AR126" s="652"/>
      <c r="AS126" s="652"/>
      <c r="AT126" s="652"/>
      <c r="AU126" s="652"/>
      <c r="AV126" s="652"/>
      <c r="AW126" s="652"/>
      <c r="AX126" s="652">
        <f>I126/8</f>
        <v>250</v>
      </c>
      <c r="AY126" s="652"/>
      <c r="AZ126" s="652"/>
      <c r="BA126" s="652"/>
      <c r="BB126" s="652"/>
      <c r="BC126" s="652"/>
      <c r="BD126" s="652"/>
      <c r="BE126" s="652"/>
      <c r="BF126" s="652"/>
      <c r="BG126" s="652"/>
      <c r="BH126" s="652"/>
      <c r="BI126" s="652"/>
      <c r="BJ126" s="724"/>
      <c r="BK126" s="724"/>
      <c r="BL126" s="724"/>
      <c r="BM126" s="724"/>
      <c r="BN126" s="724"/>
      <c r="BO126" s="724"/>
      <c r="BP126" s="724"/>
      <c r="BQ126" s="724"/>
      <c r="BR126" s="724"/>
      <c r="BS126" s="724"/>
      <c r="BT126" s="724"/>
      <c r="BU126" s="724"/>
      <c r="BV126" s="724"/>
      <c r="BW126" s="724"/>
      <c r="BX126" s="724"/>
      <c r="BY126" s="724"/>
      <c r="BZ126" s="724"/>
      <c r="CA126" s="724"/>
      <c r="CB126" s="724"/>
      <c r="CC126" s="724"/>
      <c r="CD126" s="724"/>
      <c r="CE126" s="724"/>
      <c r="CF126" s="724"/>
      <c r="CG126" s="724"/>
      <c r="CH126" s="724"/>
      <c r="CI126" s="724"/>
      <c r="CJ126" s="724"/>
      <c r="CK126" s="724"/>
      <c r="CL126" s="724"/>
      <c r="CM126" s="724"/>
      <c r="CN126" s="724"/>
      <c r="CO126" s="724"/>
      <c r="CP126" s="724"/>
      <c r="CQ126" s="724"/>
      <c r="CR126" s="724"/>
    </row>
    <row r="127" s="650" customFormat="1" ht="31" customHeight="1" spans="1:96">
      <c r="A127" s="713">
        <v>46051</v>
      </c>
      <c r="B127" s="755" t="s">
        <v>180</v>
      </c>
      <c r="C127" s="715" t="s">
        <v>115</v>
      </c>
      <c r="D127" s="652">
        <v>4500192526</v>
      </c>
      <c r="E127" s="715">
        <v>5200008816</v>
      </c>
      <c r="F127" s="652" t="s">
        <v>4363</v>
      </c>
      <c r="G127" s="716" t="s">
        <v>4141</v>
      </c>
      <c r="H127" s="715" t="s">
        <v>3969</v>
      </c>
      <c r="I127" s="717">
        <v>10000</v>
      </c>
      <c r="J127" s="715">
        <v>0</v>
      </c>
      <c r="K127" s="715">
        <v>16</v>
      </c>
      <c r="L127" s="718">
        <f t="shared" si="25"/>
        <v>625</v>
      </c>
      <c r="M127" s="719">
        <v>46171</v>
      </c>
      <c r="N127" s="719">
        <v>46167</v>
      </c>
      <c r="O127" s="714"/>
      <c r="P127" s="717" t="s">
        <v>106</v>
      </c>
      <c r="Q127" s="717"/>
      <c r="R127" s="723">
        <v>46051</v>
      </c>
      <c r="S127" s="720" t="s">
        <v>107</v>
      </c>
      <c r="T127" s="720" t="s">
        <v>95</v>
      </c>
      <c r="U127" s="720"/>
      <c r="V127" s="720"/>
      <c r="W127" s="720"/>
      <c r="X127" s="720" t="s">
        <v>4364</v>
      </c>
      <c r="Y127" s="719" t="s">
        <v>2207</v>
      </c>
      <c r="Z127" s="715">
        <v>2.466</v>
      </c>
      <c r="AA127" s="715">
        <f>I127*Z127</f>
        <v>24660</v>
      </c>
      <c r="AB127" s="729" t="s">
        <v>4365</v>
      </c>
      <c r="AC127" s="716" t="s">
        <v>3968</v>
      </c>
      <c r="AD127" s="715" t="s">
        <v>112</v>
      </c>
      <c r="AE127" s="715">
        <f t="shared" si="14"/>
        <v>10000</v>
      </c>
      <c r="AF127" s="715"/>
      <c r="AG127" s="715">
        <v>10000</v>
      </c>
      <c r="AH127" s="715">
        <f t="shared" si="18"/>
        <v>0</v>
      </c>
      <c r="AI127" s="717"/>
      <c r="AJ127" s="715" t="s">
        <v>3981</v>
      </c>
      <c r="AK127" s="652">
        <f>I127</f>
        <v>10000</v>
      </c>
      <c r="AL127" s="652"/>
      <c r="AM127" s="652"/>
      <c r="AN127" s="652">
        <f>I127</f>
        <v>10000</v>
      </c>
      <c r="AO127" s="652"/>
      <c r="AP127" s="652"/>
      <c r="AQ127" s="652"/>
      <c r="AR127" s="652"/>
      <c r="AS127" s="652"/>
      <c r="AT127" s="652"/>
      <c r="AU127" s="652"/>
      <c r="AV127" s="652"/>
      <c r="AW127" s="652"/>
      <c r="AX127" s="652"/>
      <c r="AY127" s="652"/>
      <c r="AZ127" s="652"/>
      <c r="BA127" s="652"/>
      <c r="BB127" s="652"/>
      <c r="BC127" s="652"/>
      <c r="BD127" s="652"/>
      <c r="BE127" s="652"/>
      <c r="BF127" s="652"/>
      <c r="BG127" s="652"/>
      <c r="BH127" s="652"/>
      <c r="BI127" s="652"/>
    </row>
    <row r="128" s="650" customFormat="1" ht="31" customHeight="1" spans="1:96">
      <c r="A128" s="713">
        <v>46084</v>
      </c>
      <c r="B128" s="714" t="s">
        <v>480</v>
      </c>
      <c r="C128" s="715" t="s">
        <v>115</v>
      </c>
      <c r="D128" s="652">
        <v>4500194945</v>
      </c>
      <c r="E128" s="1908" t="s">
        <v>4366</v>
      </c>
      <c r="F128" s="652" t="s">
        <v>823</v>
      </c>
      <c r="G128" s="716" t="s">
        <v>4215</v>
      </c>
      <c r="H128" s="715" t="s">
        <v>483</v>
      </c>
      <c r="I128" s="717">
        <v>4320</v>
      </c>
      <c r="J128" s="715">
        <v>0</v>
      </c>
      <c r="K128" s="715">
        <v>120</v>
      </c>
      <c r="L128" s="718">
        <f t="shared" si="25"/>
        <v>36</v>
      </c>
      <c r="M128" s="719">
        <v>46171</v>
      </c>
      <c r="N128" s="719">
        <v>46167</v>
      </c>
      <c r="O128" s="714"/>
      <c r="P128" s="717" t="s">
        <v>106</v>
      </c>
      <c r="Q128" s="717"/>
      <c r="R128" s="723">
        <v>46155</v>
      </c>
      <c r="S128" s="720" t="s">
        <v>107</v>
      </c>
      <c r="T128" s="720" t="s">
        <v>95</v>
      </c>
      <c r="U128" s="720"/>
      <c r="V128" s="720"/>
      <c r="W128" s="720"/>
      <c r="X128" s="720" t="s">
        <v>636</v>
      </c>
      <c r="Y128" s="719" t="s">
        <v>488</v>
      </c>
      <c r="Z128" s="715">
        <v>642</v>
      </c>
      <c r="AA128" s="715">
        <f>L128*Z128</f>
        <v>23112</v>
      </c>
      <c r="AB128" s="729" t="s">
        <v>824</v>
      </c>
      <c r="AC128" s="722" t="s">
        <v>490</v>
      </c>
      <c r="AD128" s="715" t="s">
        <v>112</v>
      </c>
      <c r="AE128" s="715">
        <f t="shared" si="14"/>
        <v>4320</v>
      </c>
      <c r="AF128" s="715" t="s">
        <v>4109</v>
      </c>
      <c r="AG128" s="715">
        <v>4320</v>
      </c>
      <c r="AH128" s="715">
        <f t="shared" si="18"/>
        <v>0</v>
      </c>
      <c r="AI128" s="717" t="s">
        <v>120</v>
      </c>
      <c r="AJ128" s="715" t="s">
        <v>3981</v>
      </c>
      <c r="AK128" s="652"/>
      <c r="AL128" s="652"/>
      <c r="AM128" s="652"/>
      <c r="AN128" s="652"/>
      <c r="AO128" s="652"/>
      <c r="AP128" s="652"/>
      <c r="AQ128" s="652">
        <f>I128</f>
        <v>4320</v>
      </c>
      <c r="AR128" s="652">
        <f>I128</f>
        <v>4320</v>
      </c>
      <c r="AS128" s="652">
        <f>I128/6</f>
        <v>720</v>
      </c>
      <c r="AT128" s="652"/>
      <c r="AU128" s="652"/>
      <c r="AV128" s="652"/>
      <c r="AW128" s="652"/>
      <c r="AX128" s="652"/>
      <c r="AY128" s="652"/>
      <c r="AZ128" s="652"/>
      <c r="BA128" s="652"/>
      <c r="BB128" s="652"/>
      <c r="BC128" s="652"/>
      <c r="BD128" s="652"/>
      <c r="BE128" s="652"/>
      <c r="BF128" s="652"/>
      <c r="BG128" s="652"/>
      <c r="BH128" s="652"/>
      <c r="BI128" s="652"/>
      <c r="BJ128" s="731"/>
      <c r="BK128" s="731"/>
      <c r="BL128" s="731"/>
      <c r="BM128" s="731"/>
      <c r="BN128" s="731"/>
      <c r="BO128" s="731"/>
      <c r="BP128" s="731"/>
      <c r="BQ128" s="731"/>
      <c r="BR128" s="731"/>
      <c r="BS128" s="731"/>
      <c r="BT128" s="731"/>
      <c r="BU128" s="731"/>
      <c r="BV128" s="731"/>
      <c r="BW128" s="731"/>
      <c r="BX128" s="731"/>
      <c r="BY128" s="731"/>
      <c r="BZ128" s="731"/>
      <c r="CA128" s="731"/>
      <c r="CB128" s="731"/>
      <c r="CC128" s="731"/>
      <c r="CD128" s="731"/>
      <c r="CE128" s="731"/>
      <c r="CF128" s="731"/>
      <c r="CG128" s="731"/>
      <c r="CH128" s="731"/>
      <c r="CI128" s="731"/>
      <c r="CJ128" s="731"/>
      <c r="CK128" s="731"/>
      <c r="CL128" s="731"/>
      <c r="CM128" s="731"/>
      <c r="CN128" s="731"/>
      <c r="CO128" s="731"/>
      <c r="CP128" s="731"/>
      <c r="CQ128" s="731"/>
      <c r="CR128" s="731"/>
    </row>
    <row r="129" s="653" customFormat="1" ht="31" customHeight="1" spans="1:108">
      <c r="A129" s="756">
        <v>46084</v>
      </c>
      <c r="B129" s="757" t="s">
        <v>480</v>
      </c>
      <c r="C129" s="758" t="s">
        <v>115</v>
      </c>
      <c r="D129" s="653">
        <v>4500194948</v>
      </c>
      <c r="E129" s="1910" t="s">
        <v>4367</v>
      </c>
      <c r="F129" s="653" t="s">
        <v>825</v>
      </c>
      <c r="G129" s="760" t="s">
        <v>4215</v>
      </c>
      <c r="H129" s="758" t="s">
        <v>483</v>
      </c>
      <c r="I129" s="761">
        <v>4320</v>
      </c>
      <c r="J129" s="758">
        <v>0</v>
      </c>
      <c r="K129" s="758">
        <v>120</v>
      </c>
      <c r="L129" s="762">
        <f t="shared" si="25"/>
        <v>36</v>
      </c>
      <c r="M129" s="763">
        <v>46171</v>
      </c>
      <c r="N129" s="763">
        <v>46167</v>
      </c>
      <c r="O129" s="757"/>
      <c r="P129" s="761" t="s">
        <v>106</v>
      </c>
      <c r="Q129" s="761"/>
      <c r="R129" s="764">
        <v>46155</v>
      </c>
      <c r="S129" s="765" t="s">
        <v>107</v>
      </c>
      <c r="T129" s="765" t="s">
        <v>95</v>
      </c>
      <c r="U129" s="765"/>
      <c r="V129" s="765"/>
      <c r="W129" s="765"/>
      <c r="X129" s="765" t="s">
        <v>636</v>
      </c>
      <c r="Y129" s="763" t="s">
        <v>488</v>
      </c>
      <c r="Z129" s="758">
        <v>642</v>
      </c>
      <c r="AA129" s="758">
        <f>L129*Z129</f>
        <v>23112</v>
      </c>
      <c r="AB129" s="729" t="s">
        <v>826</v>
      </c>
      <c r="AC129" s="766" t="s">
        <v>490</v>
      </c>
      <c r="AD129" s="758" t="s">
        <v>112</v>
      </c>
      <c r="AE129" s="715">
        <f t="shared" si="14"/>
        <v>4320</v>
      </c>
      <c r="AF129" s="758" t="s">
        <v>4109</v>
      </c>
      <c r="AG129" s="758">
        <v>4320</v>
      </c>
      <c r="AH129" s="715">
        <f t="shared" si="18"/>
        <v>0</v>
      </c>
      <c r="AI129" s="761" t="s">
        <v>120</v>
      </c>
      <c r="AJ129" s="758" t="s">
        <v>3981</v>
      </c>
      <c r="AK129" s="652"/>
      <c r="AL129" s="653"/>
      <c r="AM129" s="653"/>
      <c r="AN129" s="652"/>
      <c r="AO129" s="653"/>
      <c r="AP129" s="653"/>
      <c r="AQ129" s="653">
        <f>I129</f>
        <v>4320</v>
      </c>
      <c r="AR129" s="653">
        <f>I129</f>
        <v>4320</v>
      </c>
      <c r="AS129" s="653">
        <f>I129/6</f>
        <v>720</v>
      </c>
      <c r="AT129" s="652"/>
    </row>
    <row r="130" s="653" customFormat="1" ht="31" customHeight="1" spans="1:108">
      <c r="A130" s="756">
        <v>46059</v>
      </c>
      <c r="B130" s="757" t="s">
        <v>827</v>
      </c>
      <c r="C130" s="758" t="s">
        <v>101</v>
      </c>
      <c r="D130" s="653">
        <v>4500193278</v>
      </c>
      <c r="E130" s="758">
        <v>3104</v>
      </c>
      <c r="F130" s="653" t="s">
        <v>4368</v>
      </c>
      <c r="G130" s="760" t="s">
        <v>3980</v>
      </c>
      <c r="H130" s="758" t="s">
        <v>3978</v>
      </c>
      <c r="I130" s="761">
        <v>800</v>
      </c>
      <c r="J130" s="758">
        <v>0</v>
      </c>
      <c r="K130" s="758">
        <v>8</v>
      </c>
      <c r="L130" s="758">
        <f t="shared" si="25"/>
        <v>100</v>
      </c>
      <c r="M130" s="763">
        <v>46171</v>
      </c>
      <c r="N130" s="763">
        <f>M130-4</f>
        <v>46167</v>
      </c>
      <c r="O130" s="757"/>
      <c r="P130" s="761" t="s">
        <v>106</v>
      </c>
      <c r="Q130" s="761" t="s">
        <v>4369</v>
      </c>
      <c r="R130" s="764">
        <v>46092</v>
      </c>
      <c r="S130" s="765" t="s">
        <v>107</v>
      </c>
      <c r="T130" s="765" t="s">
        <v>95</v>
      </c>
      <c r="U130" s="765"/>
      <c r="V130" s="765"/>
      <c r="W130" s="765"/>
      <c r="X130" s="765" t="s">
        <v>4370</v>
      </c>
      <c r="Y130" s="763" t="s">
        <v>673</v>
      </c>
      <c r="Z130" s="758">
        <v>5</v>
      </c>
      <c r="AA130" s="653">
        <f>Z130*I130</f>
        <v>4000</v>
      </c>
      <c r="AB130" s="736"/>
      <c r="AC130" s="766" t="s">
        <v>3980</v>
      </c>
      <c r="AD130" s="758" t="s">
        <v>112</v>
      </c>
      <c r="AE130" s="715">
        <f t="shared" si="14"/>
        <v>800</v>
      </c>
      <c r="AF130" s="758" t="s">
        <v>4336</v>
      </c>
      <c r="AG130" s="758">
        <v>800</v>
      </c>
      <c r="AH130" s="715">
        <f t="shared" si="18"/>
        <v>0</v>
      </c>
      <c r="AI130" s="761" t="s">
        <v>120</v>
      </c>
      <c r="AJ130" s="758" t="s">
        <v>3981</v>
      </c>
      <c r="AK130" s="653">
        <f>I130</f>
        <v>800</v>
      </c>
      <c r="AL130" s="652"/>
      <c r="AM130" s="653"/>
      <c r="AN130" s="652">
        <f>I130</f>
        <v>800</v>
      </c>
      <c r="AT130" s="653">
        <f>I130/8</f>
        <v>100</v>
      </c>
    </row>
    <row r="131" s="650" customFormat="1" ht="31" customHeight="1" spans="1:108">
      <c r="A131" s="713">
        <v>46097</v>
      </c>
      <c r="B131" s="714" t="s">
        <v>4371</v>
      </c>
      <c r="C131" s="715" t="s">
        <v>148</v>
      </c>
      <c r="D131" s="652">
        <v>4500194798</v>
      </c>
      <c r="E131" s="715">
        <v>26000056</v>
      </c>
      <c r="F131" s="652" t="s">
        <v>4372</v>
      </c>
      <c r="G131" s="716" t="s">
        <v>3973</v>
      </c>
      <c r="H131" s="715" t="s">
        <v>3995</v>
      </c>
      <c r="I131" s="717">
        <v>1600</v>
      </c>
      <c r="J131" s="715">
        <v>0</v>
      </c>
      <c r="K131" s="715">
        <v>16</v>
      </c>
      <c r="L131" s="718">
        <f t="shared" si="25"/>
        <v>100</v>
      </c>
      <c r="M131" s="719">
        <v>46171</v>
      </c>
      <c r="N131" s="719">
        <v>46167</v>
      </c>
      <c r="O131" s="714" t="s">
        <v>4373</v>
      </c>
      <c r="P131" s="761" t="s">
        <v>106</v>
      </c>
      <c r="Q131" s="717"/>
      <c r="R131" s="734">
        <v>46113</v>
      </c>
      <c r="S131" s="720" t="s">
        <v>107</v>
      </c>
      <c r="T131" s="720" t="s">
        <v>4374</v>
      </c>
      <c r="U131" s="720"/>
      <c r="V131" s="720"/>
      <c r="W131" s="720"/>
      <c r="X131" s="720" t="s">
        <v>4375</v>
      </c>
      <c r="Y131" s="719" t="s">
        <v>2037</v>
      </c>
      <c r="Z131" s="730">
        <v>4.355</v>
      </c>
      <c r="AA131" s="715">
        <f>Z131*I131</f>
        <v>6968</v>
      </c>
      <c r="AB131" s="721"/>
      <c r="AC131" s="652" t="s">
        <v>4108</v>
      </c>
      <c r="AD131" s="715" t="s">
        <v>112</v>
      </c>
      <c r="AE131" s="715">
        <f t="shared" si="14"/>
        <v>1600</v>
      </c>
      <c r="AF131" s="715" t="s">
        <v>4336</v>
      </c>
      <c r="AG131" s="715">
        <v>1600</v>
      </c>
      <c r="AH131" s="715">
        <f t="shared" si="18"/>
        <v>0</v>
      </c>
      <c r="AI131" s="717"/>
      <c r="AJ131" s="715" t="s">
        <v>3981</v>
      </c>
      <c r="AK131" s="652"/>
      <c r="AL131" s="652">
        <f>I131</f>
        <v>1600</v>
      </c>
      <c r="AM131" s="652"/>
      <c r="AN131" s="652">
        <f>I131</f>
        <v>1600</v>
      </c>
      <c r="AO131" s="652"/>
      <c r="AP131" s="652"/>
      <c r="AQ131" s="652"/>
      <c r="AR131" s="652"/>
      <c r="AS131" s="652"/>
      <c r="AT131" s="652"/>
      <c r="AU131" s="652">
        <f>I131/8</f>
        <v>200</v>
      </c>
      <c r="AV131" s="652"/>
      <c r="AW131" s="652"/>
      <c r="AX131" s="652"/>
      <c r="AY131" s="652"/>
      <c r="AZ131" s="652"/>
      <c r="BA131" s="652"/>
      <c r="BB131" s="652"/>
      <c r="BC131" s="652"/>
      <c r="BD131" s="652"/>
      <c r="BE131" s="652"/>
      <c r="BF131" s="652"/>
      <c r="BG131" s="652"/>
      <c r="BH131" s="652"/>
      <c r="BI131" s="652"/>
      <c r="BJ131" s="724"/>
      <c r="BK131" s="724"/>
      <c r="BL131" s="724"/>
      <c r="BM131" s="724"/>
      <c r="BN131" s="724"/>
      <c r="BO131" s="724"/>
      <c r="BP131" s="724"/>
      <c r="BQ131" s="724"/>
      <c r="BR131" s="724"/>
      <c r="BS131" s="724"/>
      <c r="BT131" s="724"/>
      <c r="BU131" s="724"/>
      <c r="BV131" s="724"/>
      <c r="BW131" s="724"/>
      <c r="BX131" s="724"/>
      <c r="BY131" s="724"/>
      <c r="BZ131" s="724"/>
      <c r="CA131" s="724"/>
      <c r="CB131" s="724"/>
      <c r="CC131" s="724"/>
      <c r="CD131" s="724"/>
      <c r="CE131" s="724"/>
      <c r="CF131" s="724"/>
      <c r="CG131" s="724"/>
      <c r="CH131" s="724"/>
      <c r="CI131" s="724"/>
      <c r="CJ131" s="724"/>
      <c r="CK131" s="724"/>
      <c r="CL131" s="724"/>
      <c r="CM131" s="724"/>
      <c r="CN131" s="724"/>
      <c r="CO131" s="724"/>
      <c r="CP131" s="724"/>
      <c r="CQ131" s="724"/>
      <c r="CR131" s="724"/>
      <c r="CS131" s="724"/>
      <c r="CT131" s="724"/>
      <c r="CU131" s="724"/>
      <c r="CV131" s="724"/>
      <c r="CW131" s="724"/>
      <c r="CX131" s="724"/>
      <c r="CY131" s="724"/>
      <c r="CZ131" s="724"/>
      <c r="DA131" s="724"/>
      <c r="DB131" s="724"/>
      <c r="DC131" s="724"/>
      <c r="DD131" s="724"/>
    </row>
    <row r="132" s="650" customFormat="1" ht="31" customHeight="1" spans="1:108">
      <c r="A132" s="713">
        <v>46129</v>
      </c>
      <c r="B132" s="714"/>
      <c r="C132" s="715"/>
      <c r="D132" s="652" t="s">
        <v>864</v>
      </c>
      <c r="E132" s="715"/>
      <c r="F132" s="652"/>
      <c r="G132" s="716" t="s">
        <v>3973</v>
      </c>
      <c r="H132" s="715" t="s">
        <v>3995</v>
      </c>
      <c r="I132" s="717">
        <v>1808</v>
      </c>
      <c r="J132" s="715">
        <v>0</v>
      </c>
      <c r="K132" s="715">
        <v>16</v>
      </c>
      <c r="L132" s="715">
        <f t="shared" si="25"/>
        <v>113</v>
      </c>
      <c r="M132" s="719">
        <v>46171</v>
      </c>
      <c r="N132" s="719">
        <v>46167</v>
      </c>
      <c r="O132" s="714"/>
      <c r="P132" s="761" t="s">
        <v>106</v>
      </c>
      <c r="Q132" s="717"/>
      <c r="R132" s="723"/>
      <c r="S132" s="720"/>
      <c r="T132" s="720"/>
      <c r="U132" s="720"/>
      <c r="V132" s="720"/>
      <c r="W132" s="720"/>
      <c r="X132" s="720" t="s">
        <v>866</v>
      </c>
      <c r="Y132" s="719" t="s">
        <v>673</v>
      </c>
      <c r="Z132" s="730">
        <v>4.5847</v>
      </c>
      <c r="AA132" s="652">
        <f>I132*Z132</f>
        <v>8289.1376</v>
      </c>
      <c r="AB132" s="721"/>
      <c r="AC132" s="714" t="s">
        <v>3973</v>
      </c>
      <c r="AD132" s="715" t="s">
        <v>273</v>
      </c>
      <c r="AE132" s="715">
        <f t="shared" si="14"/>
        <v>1808</v>
      </c>
      <c r="AF132" s="715"/>
      <c r="AG132" s="767"/>
      <c r="AH132" s="715">
        <f t="shared" si="18"/>
        <v>-1808</v>
      </c>
      <c r="AI132" s="717" t="s">
        <v>120</v>
      </c>
      <c r="AJ132" s="715"/>
      <c r="AK132" s="652">
        <f>I132</f>
        <v>1808</v>
      </c>
      <c r="AL132" s="652"/>
      <c r="AM132" s="652"/>
      <c r="AN132" s="652">
        <f>I132</f>
        <v>1808</v>
      </c>
      <c r="AO132" s="652"/>
      <c r="AP132" s="652"/>
      <c r="AQ132" s="652"/>
      <c r="AR132" s="652"/>
      <c r="AS132" s="652"/>
      <c r="AT132" s="652">
        <f>I132/8</f>
        <v>226</v>
      </c>
      <c r="AU132" s="652"/>
      <c r="AV132" s="652"/>
      <c r="AW132" s="652"/>
      <c r="AX132" s="652"/>
      <c r="AY132" s="652"/>
      <c r="AZ132" s="652"/>
      <c r="BA132" s="652"/>
      <c r="BB132" s="652"/>
      <c r="BC132" s="652"/>
      <c r="BD132" s="652"/>
      <c r="BE132" s="652"/>
      <c r="BF132" s="652"/>
      <c r="BG132" s="652"/>
      <c r="BH132" s="652"/>
      <c r="BI132" s="652"/>
    </row>
    <row r="133" s="650" customFormat="1" ht="31" customHeight="1" spans="1:108">
      <c r="A133" s="713">
        <v>46107</v>
      </c>
      <c r="B133" s="714" t="s">
        <v>845</v>
      </c>
      <c r="C133" s="715" t="s">
        <v>291</v>
      </c>
      <c r="D133" s="652">
        <v>4500198839</v>
      </c>
      <c r="E133" s="715">
        <v>7950324034</v>
      </c>
      <c r="F133" s="652" t="s">
        <v>852</v>
      </c>
      <c r="G133" s="716" t="s">
        <v>4215</v>
      </c>
      <c r="H133" s="715" t="s">
        <v>483</v>
      </c>
      <c r="I133" s="717">
        <v>4320</v>
      </c>
      <c r="J133" s="715">
        <v>0</v>
      </c>
      <c r="K133" s="715">
        <v>120</v>
      </c>
      <c r="L133" s="718">
        <f t="shared" si="25"/>
        <v>36</v>
      </c>
      <c r="M133" s="719">
        <v>46171</v>
      </c>
      <c r="N133" s="719">
        <v>46167</v>
      </c>
      <c r="O133" s="714"/>
      <c r="P133" s="761" t="s">
        <v>106</v>
      </c>
      <c r="Q133" s="717"/>
      <c r="R133" s="715" t="s">
        <v>1330</v>
      </c>
      <c r="S133" s="720" t="s">
        <v>107</v>
      </c>
      <c r="T133" s="720" t="s">
        <v>849</v>
      </c>
      <c r="U133" s="720"/>
      <c r="V133" s="720"/>
      <c r="W133" s="720"/>
      <c r="X133" s="714" t="s">
        <v>854</v>
      </c>
      <c r="Y133" s="719" t="s">
        <v>295</v>
      </c>
      <c r="Z133" s="753">
        <v>1070</v>
      </c>
      <c r="AA133" s="722">
        <f t="shared" ref="AA133:AA140" si="26">L133*Z133</f>
        <v>38520</v>
      </c>
      <c r="AB133" s="721"/>
      <c r="AC133" s="715" t="s">
        <v>490</v>
      </c>
      <c r="AD133" s="715" t="s">
        <v>112</v>
      </c>
      <c r="AE133" s="715">
        <f t="shared" si="14"/>
        <v>4320</v>
      </c>
      <c r="AF133" s="715" t="s">
        <v>4336</v>
      </c>
      <c r="AG133" s="715">
        <f>1542+1637+1141</f>
        <v>4320</v>
      </c>
      <c r="AH133" s="715">
        <f t="shared" si="18"/>
        <v>0</v>
      </c>
      <c r="AI133" s="717"/>
      <c r="AJ133" s="715" t="s">
        <v>3981</v>
      </c>
      <c r="AK133" s="652"/>
      <c r="AL133" s="652"/>
      <c r="AM133" s="652"/>
      <c r="AN133" s="652"/>
      <c r="AO133" s="652"/>
      <c r="AP133" s="652"/>
      <c r="AQ133" s="652">
        <f t="shared" ref="AQ133:AQ139" si="27">I133</f>
        <v>4320</v>
      </c>
      <c r="AR133" s="652">
        <f t="shared" ref="AR133:AR139" si="28">I133</f>
        <v>4320</v>
      </c>
      <c r="AS133" s="652">
        <f t="shared" ref="AS133:AS139" si="29">I133/6</f>
        <v>720</v>
      </c>
      <c r="AT133" s="652"/>
      <c r="AU133" s="652"/>
      <c r="AV133" s="652"/>
      <c r="AW133" s="652"/>
      <c r="AX133" s="652"/>
      <c r="AY133" s="652"/>
      <c r="AZ133" s="652"/>
      <c r="BA133" s="652"/>
      <c r="BB133" s="652"/>
      <c r="BC133" s="652"/>
      <c r="BD133" s="652"/>
      <c r="BE133" s="652"/>
      <c r="BF133" s="652"/>
      <c r="BG133" s="652"/>
      <c r="BH133" s="652"/>
      <c r="BI133" s="652"/>
    </row>
    <row r="134" s="650" customFormat="1" ht="31" customHeight="1" spans="1:108">
      <c r="A134" s="713">
        <v>46084</v>
      </c>
      <c r="B134" s="714" t="s">
        <v>480</v>
      </c>
      <c r="C134" s="715" t="s">
        <v>115</v>
      </c>
      <c r="D134" s="652">
        <v>4500194947</v>
      </c>
      <c r="E134" s="1908" t="s">
        <v>4376</v>
      </c>
      <c r="F134" s="652" t="s">
        <v>831</v>
      </c>
      <c r="G134" s="716" t="s">
        <v>4215</v>
      </c>
      <c r="H134" s="715" t="s">
        <v>483</v>
      </c>
      <c r="I134" s="717">
        <v>4320</v>
      </c>
      <c r="J134" s="715">
        <v>0</v>
      </c>
      <c r="K134" s="715">
        <v>120</v>
      </c>
      <c r="L134" s="718">
        <f t="shared" si="25"/>
        <v>36</v>
      </c>
      <c r="M134" s="719">
        <v>46171</v>
      </c>
      <c r="N134" s="719">
        <v>46167</v>
      </c>
      <c r="O134" s="714"/>
      <c r="P134" s="761" t="s">
        <v>106</v>
      </c>
      <c r="Q134" s="717"/>
      <c r="R134" s="723">
        <v>46155</v>
      </c>
      <c r="S134" s="720" t="s">
        <v>107</v>
      </c>
      <c r="T134" s="720" t="s">
        <v>95</v>
      </c>
      <c r="U134" s="720"/>
      <c r="V134" s="720"/>
      <c r="W134" s="720"/>
      <c r="X134" s="720" t="s">
        <v>636</v>
      </c>
      <c r="Y134" s="719" t="s">
        <v>488</v>
      </c>
      <c r="Z134" s="715">
        <v>642</v>
      </c>
      <c r="AA134" s="715">
        <f t="shared" si="26"/>
        <v>23112</v>
      </c>
      <c r="AB134" s="729" t="s">
        <v>832</v>
      </c>
      <c r="AC134" s="722" t="s">
        <v>490</v>
      </c>
      <c r="AD134" s="715" t="s">
        <v>112</v>
      </c>
      <c r="AE134" s="715">
        <f t="shared" si="14"/>
        <v>4320</v>
      </c>
      <c r="AF134" s="715" t="s">
        <v>4336</v>
      </c>
      <c r="AG134" s="715">
        <v>4320</v>
      </c>
      <c r="AH134" s="715">
        <f t="shared" si="18"/>
        <v>0</v>
      </c>
      <c r="AI134" s="717" t="s">
        <v>120</v>
      </c>
      <c r="AJ134" s="715" t="s">
        <v>3981</v>
      </c>
      <c r="AK134" s="652"/>
      <c r="AL134" s="652"/>
      <c r="AM134" s="652"/>
      <c r="AN134" s="652"/>
      <c r="AO134" s="652"/>
      <c r="AP134" s="652"/>
      <c r="AQ134" s="652">
        <f t="shared" si="27"/>
        <v>4320</v>
      </c>
      <c r="AR134" s="652">
        <f t="shared" si="28"/>
        <v>4320</v>
      </c>
      <c r="AS134" s="652">
        <f t="shared" si="29"/>
        <v>720</v>
      </c>
      <c r="AT134" s="652"/>
      <c r="AU134" s="652"/>
      <c r="AV134" s="652"/>
      <c r="AW134" s="652"/>
      <c r="AX134" s="652"/>
      <c r="AY134" s="652"/>
      <c r="AZ134" s="652"/>
      <c r="BA134" s="652"/>
      <c r="BB134" s="652"/>
      <c r="BC134" s="652"/>
      <c r="BD134" s="652"/>
      <c r="BE134" s="652"/>
      <c r="BF134" s="652"/>
      <c r="BG134" s="652"/>
      <c r="BH134" s="652"/>
      <c r="BI134" s="652"/>
    </row>
    <row r="135" s="650" customFormat="1" ht="31" customHeight="1" spans="1:108">
      <c r="A135" s="713">
        <v>46084</v>
      </c>
      <c r="B135" s="714" t="s">
        <v>480</v>
      </c>
      <c r="C135" s="715" t="s">
        <v>115</v>
      </c>
      <c r="D135" s="652">
        <v>4500194951</v>
      </c>
      <c r="E135" s="1908" t="s">
        <v>4377</v>
      </c>
      <c r="F135" s="652" t="s">
        <v>839</v>
      </c>
      <c r="G135" s="716" t="s">
        <v>4215</v>
      </c>
      <c r="H135" s="715" t="s">
        <v>483</v>
      </c>
      <c r="I135" s="717">
        <v>4320</v>
      </c>
      <c r="J135" s="715">
        <v>0</v>
      </c>
      <c r="K135" s="715">
        <v>120</v>
      </c>
      <c r="L135" s="718">
        <f t="shared" si="25"/>
        <v>36</v>
      </c>
      <c r="M135" s="719">
        <v>46171</v>
      </c>
      <c r="N135" s="719">
        <v>46167</v>
      </c>
      <c r="O135" s="714"/>
      <c r="P135" s="761" t="s">
        <v>106</v>
      </c>
      <c r="Q135" s="717"/>
      <c r="R135" s="723">
        <v>46155</v>
      </c>
      <c r="S135" s="735" t="s">
        <v>107</v>
      </c>
      <c r="T135" s="720" t="s">
        <v>95</v>
      </c>
      <c r="U135" s="720"/>
      <c r="V135" s="720"/>
      <c r="W135" s="720"/>
      <c r="X135" s="720" t="s">
        <v>636</v>
      </c>
      <c r="Y135" s="719" t="s">
        <v>488</v>
      </c>
      <c r="Z135" s="715">
        <v>642</v>
      </c>
      <c r="AA135" s="715">
        <f t="shared" si="26"/>
        <v>23112</v>
      </c>
      <c r="AB135" s="729" t="s">
        <v>841</v>
      </c>
      <c r="AC135" s="722" t="s">
        <v>490</v>
      </c>
      <c r="AD135" s="715" t="s">
        <v>112</v>
      </c>
      <c r="AE135" s="715">
        <f t="shared" ref="AE135:AE198" si="30">I135</f>
        <v>4320</v>
      </c>
      <c r="AF135" s="715" t="s">
        <v>4336</v>
      </c>
      <c r="AG135" s="767">
        <f>2124+360+1476+360</f>
        <v>4320</v>
      </c>
      <c r="AH135" s="715">
        <f t="shared" si="18"/>
        <v>0</v>
      </c>
      <c r="AI135" s="717" t="s">
        <v>120</v>
      </c>
      <c r="AJ135" s="715" t="s">
        <v>3981</v>
      </c>
      <c r="AK135" s="652"/>
      <c r="AL135" s="652"/>
      <c r="AM135" s="652"/>
      <c r="AN135" s="652"/>
      <c r="AO135" s="652"/>
      <c r="AP135" s="652"/>
      <c r="AQ135" s="652">
        <f t="shared" si="27"/>
        <v>4320</v>
      </c>
      <c r="AR135" s="652">
        <f t="shared" si="28"/>
        <v>4320</v>
      </c>
      <c r="AS135" s="652">
        <f t="shared" si="29"/>
        <v>720</v>
      </c>
      <c r="AT135" s="652"/>
      <c r="AU135" s="652"/>
      <c r="AV135" s="652"/>
      <c r="AW135" s="652"/>
      <c r="AX135" s="652"/>
      <c r="AY135" s="652"/>
      <c r="AZ135" s="652"/>
      <c r="BA135" s="652"/>
      <c r="BB135" s="652"/>
      <c r="BC135" s="652"/>
      <c r="BD135" s="652"/>
      <c r="BE135" s="652"/>
      <c r="BF135" s="652"/>
      <c r="BG135" s="652"/>
      <c r="BH135" s="652"/>
      <c r="BI135" s="652"/>
    </row>
    <row r="136" s="650" customFormat="1" ht="31" customHeight="1" spans="1:108">
      <c r="A136" s="713">
        <v>46084</v>
      </c>
      <c r="B136" s="714" t="s">
        <v>480</v>
      </c>
      <c r="C136" s="715" t="s">
        <v>115</v>
      </c>
      <c r="D136" s="652">
        <v>4500194953</v>
      </c>
      <c r="E136" s="1908" t="s">
        <v>4378</v>
      </c>
      <c r="F136" s="652" t="s">
        <v>833</v>
      </c>
      <c r="G136" s="716" t="s">
        <v>4215</v>
      </c>
      <c r="H136" s="715" t="s">
        <v>483</v>
      </c>
      <c r="I136" s="717">
        <v>4320</v>
      </c>
      <c r="J136" s="715">
        <v>0</v>
      </c>
      <c r="K136" s="715">
        <v>120</v>
      </c>
      <c r="L136" s="718">
        <f t="shared" si="25"/>
        <v>36</v>
      </c>
      <c r="M136" s="719">
        <v>46171</v>
      </c>
      <c r="N136" s="719">
        <v>46167</v>
      </c>
      <c r="O136" s="714"/>
      <c r="P136" s="761" t="s">
        <v>106</v>
      </c>
      <c r="Q136" s="717"/>
      <c r="R136" s="723">
        <v>46155</v>
      </c>
      <c r="S136" s="720" t="s">
        <v>107</v>
      </c>
      <c r="T136" s="720" t="s">
        <v>95</v>
      </c>
      <c r="U136" s="720"/>
      <c r="V136" s="720"/>
      <c r="W136" s="720"/>
      <c r="X136" s="720" t="s">
        <v>636</v>
      </c>
      <c r="Y136" s="719" t="s">
        <v>488</v>
      </c>
      <c r="Z136" s="715">
        <v>642</v>
      </c>
      <c r="AA136" s="715">
        <f t="shared" si="26"/>
        <v>23112</v>
      </c>
      <c r="AB136" s="729" t="s">
        <v>834</v>
      </c>
      <c r="AC136" s="766" t="s">
        <v>490</v>
      </c>
      <c r="AD136" s="715" t="s">
        <v>112</v>
      </c>
      <c r="AE136" s="715">
        <f t="shared" si="30"/>
        <v>4320</v>
      </c>
      <c r="AF136" s="715" t="s">
        <v>4336</v>
      </c>
      <c r="AG136" s="715">
        <f>349+1181+1548+558+684</f>
        <v>4320</v>
      </c>
      <c r="AH136" s="715">
        <f t="shared" si="18"/>
        <v>0</v>
      </c>
      <c r="AI136" s="717" t="s">
        <v>120</v>
      </c>
      <c r="AJ136" s="715" t="s">
        <v>3981</v>
      </c>
      <c r="AK136" s="652"/>
      <c r="AL136" s="652"/>
      <c r="AM136" s="652"/>
      <c r="AN136" s="652"/>
      <c r="AO136" s="652"/>
      <c r="AP136" s="652"/>
      <c r="AQ136" s="652">
        <f t="shared" si="27"/>
        <v>4320</v>
      </c>
      <c r="AR136" s="652">
        <f t="shared" si="28"/>
        <v>4320</v>
      </c>
      <c r="AS136" s="652">
        <f t="shared" si="29"/>
        <v>720</v>
      </c>
      <c r="AT136" s="652"/>
      <c r="AU136" s="652"/>
      <c r="AV136" s="652"/>
      <c r="AW136" s="652"/>
      <c r="AX136" s="652"/>
      <c r="AY136" s="652"/>
      <c r="AZ136" s="652"/>
      <c r="BA136" s="652"/>
      <c r="BB136" s="652"/>
      <c r="BC136" s="652"/>
      <c r="BD136" s="652"/>
      <c r="BE136" s="652"/>
      <c r="BF136" s="652"/>
      <c r="BG136" s="652"/>
      <c r="BH136" s="652"/>
      <c r="BI136" s="652"/>
      <c r="BJ136" s="737"/>
      <c r="BK136" s="737"/>
      <c r="BL136" s="737"/>
      <c r="BM136" s="737"/>
      <c r="BN136" s="737"/>
      <c r="BO136" s="737"/>
      <c r="BP136" s="737"/>
      <c r="BQ136" s="737"/>
      <c r="BR136" s="737"/>
      <c r="BS136" s="737"/>
      <c r="BT136" s="737"/>
      <c r="BU136" s="737"/>
      <c r="BV136" s="737"/>
      <c r="BW136" s="737"/>
      <c r="BX136" s="737"/>
      <c r="BY136" s="737"/>
      <c r="BZ136" s="737"/>
      <c r="CA136" s="737"/>
      <c r="CB136" s="737"/>
      <c r="CC136" s="737"/>
      <c r="CD136" s="737"/>
      <c r="CE136" s="737"/>
      <c r="CF136" s="737"/>
      <c r="CG136" s="737"/>
      <c r="CH136" s="737"/>
      <c r="CI136" s="737"/>
      <c r="CJ136" s="737"/>
      <c r="CK136" s="737"/>
      <c r="CL136" s="737"/>
      <c r="CM136" s="737"/>
      <c r="CN136" s="737"/>
      <c r="CO136" s="737"/>
      <c r="CP136" s="737"/>
      <c r="CQ136" s="737"/>
      <c r="CR136" s="737"/>
    </row>
    <row r="137" s="650" customFormat="1" ht="31" customHeight="1" spans="1:108">
      <c r="A137" s="713">
        <v>46084</v>
      </c>
      <c r="B137" s="714" t="s">
        <v>480</v>
      </c>
      <c r="C137" s="715" t="s">
        <v>115</v>
      </c>
      <c r="D137" s="652">
        <v>4500194954</v>
      </c>
      <c r="E137" s="1908" t="s">
        <v>4379</v>
      </c>
      <c r="F137" s="652" t="s">
        <v>835</v>
      </c>
      <c r="G137" s="716" t="s">
        <v>4215</v>
      </c>
      <c r="H137" s="715" t="s">
        <v>483</v>
      </c>
      <c r="I137" s="717">
        <v>4320</v>
      </c>
      <c r="J137" s="715">
        <v>0</v>
      </c>
      <c r="K137" s="715">
        <v>120</v>
      </c>
      <c r="L137" s="718">
        <f t="shared" si="25"/>
        <v>36</v>
      </c>
      <c r="M137" s="719">
        <v>46171</v>
      </c>
      <c r="N137" s="719">
        <v>46167</v>
      </c>
      <c r="O137" s="714"/>
      <c r="P137" s="761" t="s">
        <v>106</v>
      </c>
      <c r="Q137" s="717"/>
      <c r="R137" s="723">
        <v>46155</v>
      </c>
      <c r="S137" s="720" t="s">
        <v>107</v>
      </c>
      <c r="T137" s="720" t="s">
        <v>95</v>
      </c>
      <c r="U137" s="720"/>
      <c r="V137" s="720"/>
      <c r="W137" s="720"/>
      <c r="X137" s="720" t="s">
        <v>636</v>
      </c>
      <c r="Y137" s="719" t="s">
        <v>488</v>
      </c>
      <c r="Z137" s="715">
        <v>642</v>
      </c>
      <c r="AA137" s="715">
        <f t="shared" si="26"/>
        <v>23112</v>
      </c>
      <c r="AB137" s="729" t="s">
        <v>836</v>
      </c>
      <c r="AC137" s="722" t="s">
        <v>490</v>
      </c>
      <c r="AD137" s="715" t="s">
        <v>112</v>
      </c>
      <c r="AE137" s="715">
        <f t="shared" si="30"/>
        <v>4320</v>
      </c>
      <c r="AF137" s="715" t="s">
        <v>4336</v>
      </c>
      <c r="AG137" s="767">
        <v>4320</v>
      </c>
      <c r="AH137" s="715">
        <f t="shared" si="18"/>
        <v>0</v>
      </c>
      <c r="AI137" s="717" t="s">
        <v>120</v>
      </c>
      <c r="AJ137" s="715" t="s">
        <v>3981</v>
      </c>
      <c r="AK137" s="652"/>
      <c r="AL137" s="652"/>
      <c r="AM137" s="652"/>
      <c r="AN137" s="652"/>
      <c r="AO137" s="652"/>
      <c r="AP137" s="652"/>
      <c r="AQ137" s="652">
        <f t="shared" si="27"/>
        <v>4320</v>
      </c>
      <c r="AR137" s="652">
        <f t="shared" si="28"/>
        <v>4320</v>
      </c>
      <c r="AS137" s="652">
        <f t="shared" si="29"/>
        <v>720</v>
      </c>
      <c r="AT137" s="652"/>
      <c r="AU137" s="652"/>
      <c r="AV137" s="652"/>
      <c r="AW137" s="652"/>
      <c r="AX137" s="652"/>
      <c r="AY137" s="652"/>
      <c r="AZ137" s="652"/>
      <c r="BA137" s="652"/>
      <c r="BB137" s="652"/>
      <c r="BC137" s="652"/>
      <c r="BD137" s="652"/>
      <c r="BE137" s="652"/>
      <c r="BF137" s="652"/>
      <c r="BG137" s="652"/>
      <c r="BH137" s="652"/>
      <c r="BI137" s="652"/>
    </row>
    <row r="138" s="650" customFormat="1" ht="31" customHeight="1" spans="1:108">
      <c r="A138" s="713">
        <v>46084</v>
      </c>
      <c r="B138" s="714" t="s">
        <v>480</v>
      </c>
      <c r="C138" s="715" t="s">
        <v>115</v>
      </c>
      <c r="D138" s="652">
        <v>4500194957</v>
      </c>
      <c r="E138" s="1908" t="s">
        <v>4380</v>
      </c>
      <c r="F138" s="652" t="s">
        <v>837</v>
      </c>
      <c r="G138" s="716" t="s">
        <v>4215</v>
      </c>
      <c r="H138" s="715" t="s">
        <v>483</v>
      </c>
      <c r="I138" s="717">
        <v>4320</v>
      </c>
      <c r="J138" s="715">
        <v>0</v>
      </c>
      <c r="K138" s="715">
        <v>120</v>
      </c>
      <c r="L138" s="718">
        <f t="shared" si="25"/>
        <v>36</v>
      </c>
      <c r="M138" s="719">
        <v>46171</v>
      </c>
      <c r="N138" s="719">
        <v>46167</v>
      </c>
      <c r="O138" s="714"/>
      <c r="P138" s="717" t="s">
        <v>106</v>
      </c>
      <c r="Q138" s="717"/>
      <c r="R138" s="723">
        <v>46155</v>
      </c>
      <c r="S138" s="720" t="s">
        <v>107</v>
      </c>
      <c r="T138" s="720" t="s">
        <v>95</v>
      </c>
      <c r="U138" s="720"/>
      <c r="V138" s="720"/>
      <c r="W138" s="720"/>
      <c r="X138" s="720" t="s">
        <v>636</v>
      </c>
      <c r="Y138" s="719" t="s">
        <v>488</v>
      </c>
      <c r="Z138" s="715">
        <v>642</v>
      </c>
      <c r="AA138" s="715">
        <f t="shared" si="26"/>
        <v>23112</v>
      </c>
      <c r="AB138" s="729" t="s">
        <v>838</v>
      </c>
      <c r="AC138" s="722" t="s">
        <v>490</v>
      </c>
      <c r="AD138" s="715" t="s">
        <v>112</v>
      </c>
      <c r="AE138" s="715">
        <f t="shared" si="30"/>
        <v>4320</v>
      </c>
      <c r="AF138" s="715" t="s">
        <v>4336</v>
      </c>
      <c r="AG138" s="715">
        <f>936+1132+1532+720</f>
        <v>4320</v>
      </c>
      <c r="AH138" s="715">
        <f t="shared" si="18"/>
        <v>0</v>
      </c>
      <c r="AI138" s="717" t="s">
        <v>120</v>
      </c>
      <c r="AJ138" s="715" t="s">
        <v>3981</v>
      </c>
      <c r="AK138" s="652"/>
      <c r="AL138" s="652"/>
      <c r="AM138" s="652"/>
      <c r="AN138" s="652"/>
      <c r="AO138" s="652"/>
      <c r="AP138" s="652"/>
      <c r="AQ138" s="652">
        <f t="shared" si="27"/>
        <v>4320</v>
      </c>
      <c r="AR138" s="652">
        <f t="shared" si="28"/>
        <v>4320</v>
      </c>
      <c r="AS138" s="652">
        <f t="shared" si="29"/>
        <v>720</v>
      </c>
      <c r="AT138" s="652"/>
      <c r="AU138" s="652"/>
      <c r="AV138" s="652"/>
      <c r="AW138" s="652"/>
      <c r="AX138" s="652"/>
      <c r="AY138" s="652"/>
      <c r="AZ138" s="652"/>
      <c r="BA138" s="652"/>
      <c r="BB138" s="652"/>
      <c r="BC138" s="652"/>
      <c r="BD138" s="652"/>
      <c r="BE138" s="652"/>
      <c r="BF138" s="652"/>
      <c r="BG138" s="652"/>
      <c r="BH138" s="652"/>
      <c r="BI138" s="652"/>
    </row>
    <row r="139" s="650" customFormat="1" ht="31" customHeight="1" spans="1:108">
      <c r="A139" s="713">
        <v>46084</v>
      </c>
      <c r="B139" s="714" t="s">
        <v>480</v>
      </c>
      <c r="C139" s="715" t="s">
        <v>115</v>
      </c>
      <c r="D139" s="652">
        <v>4500194956</v>
      </c>
      <c r="E139" s="1908" t="s">
        <v>4381</v>
      </c>
      <c r="F139" s="652" t="s">
        <v>842</v>
      </c>
      <c r="G139" s="716" t="s">
        <v>4215</v>
      </c>
      <c r="H139" s="715" t="s">
        <v>483</v>
      </c>
      <c r="I139" s="717">
        <v>4320</v>
      </c>
      <c r="J139" s="715">
        <v>0</v>
      </c>
      <c r="K139" s="715">
        <v>120</v>
      </c>
      <c r="L139" s="718">
        <f t="shared" si="25"/>
        <v>36</v>
      </c>
      <c r="M139" s="719">
        <v>46171</v>
      </c>
      <c r="N139" s="719">
        <v>46167</v>
      </c>
      <c r="O139" s="714"/>
      <c r="P139" s="717" t="s">
        <v>106</v>
      </c>
      <c r="Q139" s="717"/>
      <c r="R139" s="723">
        <v>46155</v>
      </c>
      <c r="S139" s="720" t="s">
        <v>107</v>
      </c>
      <c r="T139" s="720" t="s">
        <v>95</v>
      </c>
      <c r="U139" s="720"/>
      <c r="V139" s="720"/>
      <c r="W139" s="720"/>
      <c r="X139" s="720" t="s">
        <v>636</v>
      </c>
      <c r="Y139" s="719" t="s">
        <v>488</v>
      </c>
      <c r="Z139" s="715">
        <v>642</v>
      </c>
      <c r="AA139" s="715">
        <f t="shared" si="26"/>
        <v>23112</v>
      </c>
      <c r="AB139" s="729" t="s">
        <v>4382</v>
      </c>
      <c r="AC139" s="722" t="s">
        <v>490</v>
      </c>
      <c r="AD139" s="715" t="s">
        <v>112</v>
      </c>
      <c r="AE139" s="715">
        <f t="shared" si="30"/>
        <v>4320</v>
      </c>
      <c r="AF139" s="715" t="s">
        <v>4336</v>
      </c>
      <c r="AG139" s="715">
        <v>4320</v>
      </c>
      <c r="AH139" s="715">
        <f t="shared" si="18"/>
        <v>0</v>
      </c>
      <c r="AI139" s="717" t="s">
        <v>120</v>
      </c>
      <c r="AJ139" s="715" t="s">
        <v>3981</v>
      </c>
      <c r="AK139" s="652"/>
      <c r="AL139" s="652"/>
      <c r="AM139" s="652"/>
      <c r="AN139" s="652"/>
      <c r="AO139" s="652"/>
      <c r="AP139" s="652"/>
      <c r="AQ139" s="652">
        <f t="shared" si="27"/>
        <v>4320</v>
      </c>
      <c r="AR139" s="652">
        <f t="shared" si="28"/>
        <v>4320</v>
      </c>
      <c r="AS139" s="652">
        <f t="shared" si="29"/>
        <v>720</v>
      </c>
      <c r="AT139" s="652"/>
      <c r="AU139" s="652"/>
      <c r="AV139" s="652"/>
      <c r="AW139" s="652"/>
      <c r="AX139" s="652"/>
      <c r="AY139" s="652"/>
      <c r="AZ139" s="652"/>
      <c r="BA139" s="652"/>
      <c r="BB139" s="652"/>
      <c r="BC139" s="652"/>
      <c r="BD139" s="652"/>
      <c r="BE139" s="652"/>
      <c r="BF139" s="652"/>
      <c r="BG139" s="652"/>
      <c r="BH139" s="652"/>
      <c r="BI139" s="652"/>
      <c r="BJ139" s="654"/>
      <c r="BK139" s="654"/>
      <c r="BL139" s="654"/>
      <c r="BM139" s="654"/>
      <c r="BN139" s="654"/>
      <c r="BO139" s="654"/>
      <c r="BP139" s="654"/>
      <c r="BQ139" s="654"/>
      <c r="BR139" s="654"/>
      <c r="BS139" s="654"/>
      <c r="BT139" s="654"/>
      <c r="BU139" s="654"/>
      <c r="BV139" s="654"/>
      <c r="BW139" s="654"/>
      <c r="BX139" s="654"/>
      <c r="BY139" s="654"/>
      <c r="BZ139" s="654"/>
      <c r="CA139" s="654"/>
      <c r="CB139" s="654"/>
      <c r="CC139" s="654"/>
      <c r="CD139" s="654"/>
      <c r="CE139" s="654"/>
      <c r="CF139" s="654"/>
      <c r="CG139" s="654"/>
      <c r="CH139" s="654"/>
      <c r="CI139" s="654"/>
      <c r="CJ139" s="654"/>
      <c r="CK139" s="654"/>
      <c r="CL139" s="654"/>
      <c r="CM139" s="654"/>
      <c r="CN139" s="654"/>
      <c r="CO139" s="654"/>
      <c r="CP139" s="654"/>
      <c r="CQ139" s="654"/>
      <c r="CR139" s="654"/>
    </row>
    <row r="140" s="650" customFormat="1" ht="31" customHeight="1" spans="1:108">
      <c r="A140" s="744">
        <v>46115</v>
      </c>
      <c r="B140" s="745" t="s">
        <v>867</v>
      </c>
      <c r="C140" s="746" t="s">
        <v>164</v>
      </c>
      <c r="D140" s="747" t="s">
        <v>4383</v>
      </c>
      <c r="E140" s="715">
        <v>212099421</v>
      </c>
      <c r="F140" s="747" t="s">
        <v>868</v>
      </c>
      <c r="G140" s="746" t="s">
        <v>4353</v>
      </c>
      <c r="H140" s="715" t="s">
        <v>2405</v>
      </c>
      <c r="I140" s="748">
        <v>300</v>
      </c>
      <c r="J140" s="746">
        <v>0</v>
      </c>
      <c r="K140" s="746">
        <v>12</v>
      </c>
      <c r="L140" s="715">
        <f t="shared" si="25"/>
        <v>25</v>
      </c>
      <c r="M140" s="719">
        <v>46174</v>
      </c>
      <c r="N140" s="719">
        <v>46170</v>
      </c>
      <c r="O140" s="714" t="s">
        <v>869</v>
      </c>
      <c r="P140" s="717" t="s">
        <v>106</v>
      </c>
      <c r="Q140" s="717"/>
      <c r="R140" s="723">
        <v>46128</v>
      </c>
      <c r="S140" s="720" t="s">
        <v>107</v>
      </c>
      <c r="T140" s="720" t="s">
        <v>4384</v>
      </c>
      <c r="U140" s="720"/>
      <c r="V140" s="720" t="s">
        <v>4385</v>
      </c>
      <c r="W140" s="720" t="s">
        <v>4386</v>
      </c>
      <c r="X140" s="768" t="s">
        <v>4387</v>
      </c>
      <c r="Y140" s="749" t="s">
        <v>872</v>
      </c>
      <c r="Z140" s="750">
        <v>102.204</v>
      </c>
      <c r="AA140" s="652">
        <f t="shared" si="26"/>
        <v>2555.1</v>
      </c>
      <c r="AB140" s="721"/>
      <c r="AC140" s="714" t="s">
        <v>4388</v>
      </c>
      <c r="AD140" s="715" t="s">
        <v>112</v>
      </c>
      <c r="AE140" s="715">
        <f t="shared" si="30"/>
        <v>300</v>
      </c>
      <c r="AF140" s="715" t="s">
        <v>4109</v>
      </c>
      <c r="AG140" s="715">
        <v>300</v>
      </c>
      <c r="AH140" s="715">
        <f t="shared" si="18"/>
        <v>0</v>
      </c>
      <c r="AI140" s="717"/>
      <c r="AJ140" s="715" t="s">
        <v>3981</v>
      </c>
      <c r="AK140" s="652"/>
      <c r="AL140" s="652">
        <f>I140</f>
        <v>300</v>
      </c>
      <c r="AM140" s="652"/>
      <c r="AN140" s="652"/>
      <c r="AO140" s="652"/>
      <c r="AP140" s="652"/>
      <c r="AQ140" s="652"/>
      <c r="AR140" s="652"/>
      <c r="AS140" s="652"/>
      <c r="AT140" s="652"/>
      <c r="AU140" s="652"/>
      <c r="AV140" s="652"/>
      <c r="AW140" s="652"/>
      <c r="AX140" s="652"/>
      <c r="AY140" s="652"/>
      <c r="AZ140" s="652"/>
      <c r="BA140" s="652"/>
      <c r="BB140" s="652"/>
      <c r="BC140" s="652"/>
      <c r="BD140" s="652"/>
      <c r="BE140" s="652"/>
      <c r="BF140" s="652"/>
      <c r="BG140" s="652"/>
      <c r="BH140" s="652"/>
      <c r="BI140" s="652"/>
    </row>
    <row r="141" s="650" customFormat="1" ht="31" customHeight="1" spans="1:108">
      <c r="A141" s="713">
        <v>46104</v>
      </c>
      <c r="B141" s="714" t="s">
        <v>525</v>
      </c>
      <c r="C141" s="715" t="s">
        <v>508</v>
      </c>
      <c r="D141" s="652">
        <v>4500198146</v>
      </c>
      <c r="E141" s="715">
        <v>21605183</v>
      </c>
      <c r="F141" s="652" t="s">
        <v>4389</v>
      </c>
      <c r="G141" s="716" t="s">
        <v>3980</v>
      </c>
      <c r="H141" s="715" t="s">
        <v>3978</v>
      </c>
      <c r="I141" s="717">
        <v>1416</v>
      </c>
      <c r="J141" s="715">
        <v>0</v>
      </c>
      <c r="K141" s="715">
        <v>8</v>
      </c>
      <c r="L141" s="715">
        <f t="shared" si="25"/>
        <v>177</v>
      </c>
      <c r="M141" s="719">
        <v>46174</v>
      </c>
      <c r="N141" s="719">
        <v>46174</v>
      </c>
      <c r="O141" s="714"/>
      <c r="P141" s="717" t="s">
        <v>106</v>
      </c>
      <c r="Q141" s="717"/>
      <c r="R141" s="723">
        <v>46151</v>
      </c>
      <c r="S141" s="720" t="s">
        <v>107</v>
      </c>
      <c r="T141" s="720" t="s">
        <v>4050</v>
      </c>
      <c r="U141" s="720"/>
      <c r="V141" s="720"/>
      <c r="W141" s="720"/>
      <c r="X141" s="720" t="s">
        <v>4390</v>
      </c>
      <c r="Y141" s="719" t="s">
        <v>362</v>
      </c>
      <c r="Z141" s="730">
        <v>5</v>
      </c>
      <c r="AA141" s="652">
        <f>Z141*I141</f>
        <v>7080</v>
      </c>
      <c r="AB141" s="721"/>
      <c r="AC141" s="722" t="s">
        <v>3980</v>
      </c>
      <c r="AD141" s="715" t="s">
        <v>112</v>
      </c>
      <c r="AE141" s="715">
        <f t="shared" si="30"/>
        <v>1416</v>
      </c>
      <c r="AF141" s="715"/>
      <c r="AG141" s="715">
        <v>1416</v>
      </c>
      <c r="AH141" s="715">
        <f t="shared" si="18"/>
        <v>0</v>
      </c>
      <c r="AI141" s="717"/>
      <c r="AJ141" s="715" t="s">
        <v>3981</v>
      </c>
      <c r="AK141" s="652">
        <f t="shared" ref="AK141:AK149" si="31">I141</f>
        <v>1416</v>
      </c>
      <c r="AL141" s="652"/>
      <c r="AM141" s="652"/>
      <c r="AN141" s="652">
        <f t="shared" ref="AN141:AN152" si="32">I141</f>
        <v>1416</v>
      </c>
      <c r="AO141" s="652"/>
      <c r="AP141" s="652"/>
      <c r="AQ141" s="652"/>
      <c r="AR141" s="652"/>
      <c r="AS141" s="652"/>
      <c r="AT141" s="652"/>
      <c r="AU141" s="652"/>
      <c r="AV141" s="652"/>
      <c r="AW141" s="652"/>
      <c r="AX141" s="652">
        <f>I141/8</f>
        <v>177</v>
      </c>
      <c r="AY141" s="652"/>
      <c r="AZ141" s="652"/>
      <c r="BA141" s="652"/>
      <c r="BB141" s="652"/>
      <c r="BC141" s="652"/>
      <c r="BD141" s="652"/>
      <c r="BE141" s="652"/>
      <c r="BF141" s="652"/>
      <c r="BG141" s="652"/>
      <c r="BH141" s="652"/>
      <c r="BI141" s="652"/>
    </row>
    <row r="142" s="650" customFormat="1" ht="31" customHeight="1" spans="1:108">
      <c r="A142" s="713">
        <v>46104</v>
      </c>
      <c r="B142" s="714" t="s">
        <v>521</v>
      </c>
      <c r="C142" s="715" t="s">
        <v>101</v>
      </c>
      <c r="D142" s="652">
        <v>4500198149</v>
      </c>
      <c r="E142" s="715">
        <v>21605190</v>
      </c>
      <c r="F142" s="652" t="s">
        <v>4391</v>
      </c>
      <c r="G142" s="716" t="s">
        <v>3980</v>
      </c>
      <c r="H142" s="715" t="s">
        <v>3978</v>
      </c>
      <c r="I142" s="717">
        <v>88</v>
      </c>
      <c r="J142" s="715">
        <v>0</v>
      </c>
      <c r="K142" s="715">
        <v>8</v>
      </c>
      <c r="L142" s="715">
        <f t="shared" si="25"/>
        <v>11</v>
      </c>
      <c r="M142" s="719">
        <v>46174</v>
      </c>
      <c r="N142" s="719">
        <v>46174</v>
      </c>
      <c r="O142" s="714"/>
      <c r="P142" s="717" t="s">
        <v>106</v>
      </c>
      <c r="Q142" s="717"/>
      <c r="R142" s="723">
        <v>46151</v>
      </c>
      <c r="S142" s="720" t="s">
        <v>107</v>
      </c>
      <c r="T142" s="720" t="s">
        <v>4050</v>
      </c>
      <c r="U142" s="720"/>
      <c r="V142" s="720"/>
      <c r="W142" s="720"/>
      <c r="X142" s="720" t="s">
        <v>4392</v>
      </c>
      <c r="Y142" s="719" t="s">
        <v>362</v>
      </c>
      <c r="Z142" s="769">
        <v>4.6676</v>
      </c>
      <c r="AA142" s="652">
        <f>Z142*I142</f>
        <v>410.7488</v>
      </c>
      <c r="AB142" s="721"/>
      <c r="AC142" s="722" t="s">
        <v>3980</v>
      </c>
      <c r="AD142" s="715" t="s">
        <v>112</v>
      </c>
      <c r="AE142" s="715">
        <f t="shared" si="30"/>
        <v>88</v>
      </c>
      <c r="AF142" s="715"/>
      <c r="AG142" s="715">
        <v>88</v>
      </c>
      <c r="AH142" s="715">
        <f t="shared" si="18"/>
        <v>0</v>
      </c>
      <c r="AI142" s="717"/>
      <c r="AJ142" s="715" t="s">
        <v>3981</v>
      </c>
      <c r="AK142" s="652">
        <f t="shared" si="31"/>
        <v>88</v>
      </c>
      <c r="AL142" s="652"/>
      <c r="AM142" s="652"/>
      <c r="AN142" s="652">
        <f t="shared" si="32"/>
        <v>88</v>
      </c>
      <c r="AO142" s="652"/>
      <c r="AP142" s="652"/>
      <c r="AQ142" s="652"/>
      <c r="AR142" s="652"/>
      <c r="AS142" s="652"/>
      <c r="AT142" s="652"/>
      <c r="AU142" s="652"/>
      <c r="AV142" s="652"/>
      <c r="AW142" s="652"/>
      <c r="AX142" s="652">
        <f>I142/8</f>
        <v>11</v>
      </c>
      <c r="AY142" s="652"/>
      <c r="AZ142" s="652"/>
      <c r="BA142" s="652"/>
      <c r="BB142" s="652"/>
      <c r="BC142" s="652"/>
      <c r="BD142" s="652"/>
      <c r="BE142" s="652"/>
      <c r="BF142" s="652"/>
      <c r="BG142" s="652"/>
      <c r="BH142" s="652"/>
      <c r="BI142" s="652"/>
    </row>
    <row r="143" s="650" customFormat="1" ht="31" customHeight="1" spans="1:108">
      <c r="A143" s="713">
        <v>46113</v>
      </c>
      <c r="B143" s="714" t="s">
        <v>874</v>
      </c>
      <c r="C143" s="715" t="s">
        <v>135</v>
      </c>
      <c r="D143" s="652" t="s">
        <v>4393</v>
      </c>
      <c r="E143" s="715">
        <v>2809366</v>
      </c>
      <c r="F143" s="652" t="s">
        <v>4394</v>
      </c>
      <c r="G143" s="716" t="s">
        <v>3980</v>
      </c>
      <c r="H143" s="715" t="s">
        <v>3978</v>
      </c>
      <c r="I143" s="717">
        <v>6032</v>
      </c>
      <c r="J143" s="715">
        <v>0</v>
      </c>
      <c r="K143" s="715">
        <v>8</v>
      </c>
      <c r="L143" s="715">
        <f t="shared" si="25"/>
        <v>754</v>
      </c>
      <c r="M143" s="719">
        <v>46174</v>
      </c>
      <c r="N143" s="719">
        <f>M143-4</f>
        <v>46170</v>
      </c>
      <c r="O143" s="714"/>
      <c r="P143" s="717" t="s">
        <v>106</v>
      </c>
      <c r="Q143" s="717"/>
      <c r="R143" s="723">
        <v>46123</v>
      </c>
      <c r="S143" s="720" t="s">
        <v>107</v>
      </c>
      <c r="T143" s="720" t="s">
        <v>4239</v>
      </c>
      <c r="U143" s="720"/>
      <c r="V143" s="720"/>
      <c r="W143" s="720"/>
      <c r="X143" s="720" t="s">
        <v>4395</v>
      </c>
      <c r="Y143" s="719" t="s">
        <v>236</v>
      </c>
      <c r="Z143" s="730">
        <v>5</v>
      </c>
      <c r="AA143" s="652">
        <f>L143*Z143</f>
        <v>3770</v>
      </c>
      <c r="AB143" s="721"/>
      <c r="AC143" s="722" t="s">
        <v>3980</v>
      </c>
      <c r="AD143" s="715" t="s">
        <v>112</v>
      </c>
      <c r="AE143" s="715">
        <f t="shared" si="30"/>
        <v>6032</v>
      </c>
      <c r="AF143" s="715" t="s">
        <v>736</v>
      </c>
      <c r="AG143" s="715">
        <v>6032</v>
      </c>
      <c r="AH143" s="715">
        <f t="shared" si="18"/>
        <v>0</v>
      </c>
      <c r="AI143" s="717"/>
      <c r="AJ143" s="715" t="s">
        <v>3981</v>
      </c>
      <c r="AK143" s="652">
        <f t="shared" si="31"/>
        <v>6032</v>
      </c>
      <c r="AL143" s="652"/>
      <c r="AM143" s="652"/>
      <c r="AN143" s="652">
        <f t="shared" si="32"/>
        <v>6032</v>
      </c>
      <c r="AO143" s="652"/>
      <c r="AP143" s="652"/>
      <c r="AQ143" s="652"/>
      <c r="AR143" s="652"/>
      <c r="AS143" s="652"/>
      <c r="AT143" s="652"/>
      <c r="AU143" s="652"/>
      <c r="AV143" s="652"/>
      <c r="AW143" s="652"/>
      <c r="AX143" s="652"/>
      <c r="AY143" s="652"/>
      <c r="AZ143" s="652"/>
      <c r="BA143" s="652"/>
      <c r="BB143" s="652"/>
      <c r="BC143" s="652"/>
      <c r="BD143" s="652"/>
      <c r="BE143" s="652"/>
      <c r="BF143" s="652"/>
      <c r="BG143" s="652"/>
      <c r="BH143" s="652"/>
      <c r="BI143" s="652"/>
      <c r="BJ143" s="651"/>
      <c r="BK143" s="651"/>
      <c r="BL143" s="651"/>
      <c r="BM143" s="651"/>
      <c r="BN143" s="651"/>
      <c r="BO143" s="651"/>
      <c r="BP143" s="651"/>
      <c r="BQ143" s="651"/>
      <c r="BR143" s="651"/>
      <c r="BS143" s="651"/>
      <c r="BT143" s="651"/>
      <c r="BU143" s="651"/>
      <c r="BV143" s="651"/>
      <c r="BW143" s="651"/>
      <c r="BX143" s="651"/>
      <c r="BY143" s="651"/>
      <c r="BZ143" s="651"/>
      <c r="CA143" s="651"/>
      <c r="CB143" s="651"/>
      <c r="CC143" s="651"/>
      <c r="CD143" s="651"/>
      <c r="CE143" s="651"/>
      <c r="CF143" s="651"/>
      <c r="CG143" s="651"/>
      <c r="CH143" s="651"/>
      <c r="CI143" s="651"/>
      <c r="CJ143" s="651"/>
      <c r="CK143" s="651"/>
      <c r="CL143" s="651"/>
      <c r="CM143" s="651"/>
      <c r="CN143" s="651"/>
      <c r="CO143" s="651"/>
      <c r="CP143" s="651"/>
      <c r="CQ143" s="651"/>
      <c r="CR143" s="651"/>
    </row>
    <row r="144" s="650" customFormat="1" ht="31" customHeight="1" spans="1:108">
      <c r="A144" s="713">
        <v>46121</v>
      </c>
      <c r="B144" s="714" t="s">
        <v>114</v>
      </c>
      <c r="C144" s="715" t="s">
        <v>115</v>
      </c>
      <c r="D144" s="652" t="s">
        <v>4396</v>
      </c>
      <c r="E144" s="715" t="s">
        <v>4397</v>
      </c>
      <c r="F144" s="652" t="s">
        <v>4398</v>
      </c>
      <c r="G144" s="716" t="s">
        <v>3980</v>
      </c>
      <c r="H144" s="715" t="s">
        <v>3978</v>
      </c>
      <c r="I144" s="717">
        <v>31672</v>
      </c>
      <c r="J144" s="715">
        <v>0</v>
      </c>
      <c r="K144" s="715">
        <v>8</v>
      </c>
      <c r="L144" s="715">
        <f t="shared" si="25"/>
        <v>3959</v>
      </c>
      <c r="M144" s="719">
        <v>46175</v>
      </c>
      <c r="N144" s="719">
        <v>46171</v>
      </c>
      <c r="O144" s="714"/>
      <c r="P144" s="717" t="s">
        <v>106</v>
      </c>
      <c r="Q144" s="717"/>
      <c r="R144" s="723">
        <v>46148</v>
      </c>
      <c r="S144" s="720" t="s">
        <v>107</v>
      </c>
      <c r="T144" s="720" t="s">
        <v>4399</v>
      </c>
      <c r="U144" s="720"/>
      <c r="V144" s="720" t="s">
        <v>4056</v>
      </c>
      <c r="W144" s="720"/>
      <c r="X144" s="720" t="s">
        <v>4400</v>
      </c>
      <c r="Y144" s="719" t="s">
        <v>123</v>
      </c>
      <c r="Z144" s="730">
        <v>2.6965</v>
      </c>
      <c r="AA144" s="652">
        <f>Z144*I144</f>
        <v>85403.548</v>
      </c>
      <c r="AB144" s="725" t="s">
        <v>4401</v>
      </c>
      <c r="AC144" s="722" t="s">
        <v>3980</v>
      </c>
      <c r="AD144" s="715" t="s">
        <v>112</v>
      </c>
      <c r="AE144" s="715">
        <f t="shared" si="30"/>
        <v>31672</v>
      </c>
      <c r="AF144" s="715"/>
      <c r="AG144" s="715">
        <v>31672</v>
      </c>
      <c r="AH144" s="715">
        <f t="shared" si="18"/>
        <v>0</v>
      </c>
      <c r="AI144" s="717"/>
      <c r="AJ144" s="715" t="s">
        <v>3981</v>
      </c>
      <c r="AK144" s="652">
        <f t="shared" si="31"/>
        <v>31672</v>
      </c>
      <c r="AL144" s="652"/>
      <c r="AM144" s="652"/>
      <c r="AN144" s="652">
        <f t="shared" si="32"/>
        <v>31672</v>
      </c>
      <c r="AO144" s="652"/>
      <c r="AP144" s="652"/>
      <c r="AQ144" s="652"/>
      <c r="AR144" s="652"/>
      <c r="AS144" s="652"/>
      <c r="AT144" s="652">
        <f>I144/8</f>
        <v>3959</v>
      </c>
      <c r="AU144" s="652"/>
      <c r="AV144" s="652"/>
      <c r="AW144" s="652"/>
      <c r="AX144" s="652"/>
      <c r="AY144" s="652"/>
      <c r="AZ144" s="652"/>
      <c r="BA144" s="652"/>
      <c r="BB144" s="652"/>
      <c r="BC144" s="652"/>
      <c r="BD144" s="652"/>
      <c r="BE144" s="652"/>
      <c r="BF144" s="652"/>
      <c r="BG144" s="652"/>
      <c r="BH144" s="652"/>
      <c r="BI144" s="652"/>
      <c r="BJ144" s="724"/>
      <c r="BK144" s="724"/>
      <c r="BL144" s="724"/>
      <c r="BM144" s="724"/>
      <c r="BN144" s="724"/>
      <c r="BO144" s="724"/>
      <c r="BP144" s="724"/>
      <c r="BQ144" s="724"/>
      <c r="BR144" s="724"/>
      <c r="BS144" s="724"/>
      <c r="BT144" s="724"/>
      <c r="BU144" s="724"/>
      <c r="BV144" s="724"/>
      <c r="BW144" s="724"/>
      <c r="BX144" s="724"/>
      <c r="BY144" s="724"/>
      <c r="BZ144" s="724"/>
      <c r="CA144" s="724"/>
      <c r="CB144" s="724"/>
      <c r="CC144" s="724"/>
      <c r="CD144" s="724"/>
      <c r="CE144" s="724"/>
      <c r="CF144" s="724"/>
      <c r="CG144" s="724"/>
      <c r="CH144" s="724"/>
      <c r="CI144" s="724"/>
      <c r="CJ144" s="724"/>
      <c r="CK144" s="724"/>
      <c r="CL144" s="724"/>
      <c r="CM144" s="724"/>
      <c r="CN144" s="724"/>
      <c r="CO144" s="724"/>
      <c r="CP144" s="724"/>
      <c r="CQ144" s="724"/>
      <c r="CR144" s="724"/>
    </row>
    <row r="145" s="650" customFormat="1" ht="31" customHeight="1" spans="1:96">
      <c r="A145" s="713">
        <v>46098</v>
      </c>
      <c r="B145" s="714" t="s">
        <v>4402</v>
      </c>
      <c r="C145" s="715" t="s">
        <v>115</v>
      </c>
      <c r="D145" s="652">
        <v>4500195170</v>
      </c>
      <c r="E145" s="716" t="s">
        <v>4403</v>
      </c>
      <c r="F145" s="652" t="s">
        <v>4404</v>
      </c>
      <c r="G145" s="716" t="s">
        <v>3968</v>
      </c>
      <c r="H145" s="715" t="s">
        <v>3969</v>
      </c>
      <c r="I145" s="717">
        <v>6672</v>
      </c>
      <c r="J145" s="715">
        <v>0</v>
      </c>
      <c r="K145" s="715">
        <v>16</v>
      </c>
      <c r="L145" s="718">
        <f t="shared" si="25"/>
        <v>417</v>
      </c>
      <c r="M145" s="719">
        <v>46175</v>
      </c>
      <c r="N145" s="719">
        <v>46171</v>
      </c>
      <c r="O145" s="714"/>
      <c r="P145" s="717" t="s">
        <v>106</v>
      </c>
      <c r="Q145" s="717"/>
      <c r="R145" s="723">
        <v>46104</v>
      </c>
      <c r="S145" s="720" t="s">
        <v>107</v>
      </c>
      <c r="T145" s="720" t="s">
        <v>95</v>
      </c>
      <c r="U145" s="720"/>
      <c r="V145" s="720"/>
      <c r="W145" s="720"/>
      <c r="X145" s="720" t="s">
        <v>420</v>
      </c>
      <c r="Y145" s="719" t="s">
        <v>4405</v>
      </c>
      <c r="Z145" s="730">
        <v>2.466</v>
      </c>
      <c r="AA145" s="715">
        <f>I145*Z145</f>
        <v>16453.152</v>
      </c>
      <c r="AB145" s="729" t="s">
        <v>4406</v>
      </c>
      <c r="AC145" s="716" t="s">
        <v>3968</v>
      </c>
      <c r="AD145" s="715" t="s">
        <v>112</v>
      </c>
      <c r="AE145" s="715">
        <f t="shared" si="30"/>
        <v>6672</v>
      </c>
      <c r="AF145" s="715" t="s">
        <v>4109</v>
      </c>
      <c r="AG145" s="715">
        <v>6672</v>
      </c>
      <c r="AH145" s="715">
        <f t="shared" si="18"/>
        <v>0</v>
      </c>
      <c r="AI145" s="717"/>
      <c r="AJ145" s="715" t="s">
        <v>3981</v>
      </c>
      <c r="AK145" s="652">
        <f t="shared" si="31"/>
        <v>6672</v>
      </c>
      <c r="AL145" s="652"/>
      <c r="AM145" s="652"/>
      <c r="AN145" s="652">
        <f t="shared" si="32"/>
        <v>6672</v>
      </c>
      <c r="AO145" s="652"/>
      <c r="AP145" s="652"/>
      <c r="AQ145" s="652"/>
      <c r="AR145" s="652"/>
      <c r="AS145" s="652"/>
      <c r="AT145" s="652"/>
      <c r="AU145" s="652"/>
      <c r="AV145" s="652"/>
      <c r="AW145" s="652"/>
      <c r="AX145" s="652"/>
      <c r="AY145" s="652"/>
      <c r="AZ145" s="652"/>
      <c r="BA145" s="652"/>
      <c r="BB145" s="652"/>
      <c r="BC145" s="652"/>
      <c r="BD145" s="652"/>
      <c r="BE145" s="652"/>
      <c r="BF145" s="652"/>
      <c r="BG145" s="652"/>
      <c r="BH145" s="652"/>
      <c r="BI145" s="652"/>
      <c r="BJ145" s="724"/>
      <c r="BK145" s="724"/>
      <c r="BL145" s="724"/>
      <c r="BM145" s="724"/>
      <c r="BN145" s="724"/>
      <c r="BO145" s="724"/>
      <c r="BP145" s="724"/>
      <c r="BQ145" s="724"/>
      <c r="BR145" s="724"/>
      <c r="BS145" s="724"/>
      <c r="BT145" s="724"/>
      <c r="BU145" s="724"/>
      <c r="BV145" s="724"/>
      <c r="BW145" s="724"/>
      <c r="BX145" s="724"/>
      <c r="BY145" s="724"/>
      <c r="BZ145" s="724"/>
      <c r="CA145" s="724"/>
      <c r="CB145" s="724"/>
      <c r="CC145" s="724"/>
      <c r="CD145" s="724"/>
      <c r="CE145" s="724"/>
      <c r="CF145" s="724"/>
      <c r="CG145" s="724"/>
      <c r="CH145" s="724"/>
      <c r="CI145" s="724"/>
      <c r="CJ145" s="724"/>
      <c r="CK145" s="724"/>
      <c r="CL145" s="724"/>
      <c r="CM145" s="724"/>
      <c r="CN145" s="724"/>
      <c r="CO145" s="724"/>
      <c r="CP145" s="724"/>
      <c r="CQ145" s="724"/>
      <c r="CR145" s="724"/>
    </row>
    <row r="146" s="650" customFormat="1" ht="31" customHeight="1" spans="1:96">
      <c r="A146" s="713">
        <v>46113</v>
      </c>
      <c r="B146" s="714" t="s">
        <v>172</v>
      </c>
      <c r="C146" s="715" t="s">
        <v>115</v>
      </c>
      <c r="D146" s="652" t="s">
        <v>4407</v>
      </c>
      <c r="E146" s="715" t="s">
        <v>4408</v>
      </c>
      <c r="F146" s="652" t="s">
        <v>4409</v>
      </c>
      <c r="G146" s="716" t="s">
        <v>3973</v>
      </c>
      <c r="H146" s="715" t="s">
        <v>3995</v>
      </c>
      <c r="I146" s="717">
        <v>240</v>
      </c>
      <c r="J146" s="715">
        <v>0</v>
      </c>
      <c r="K146" s="715">
        <v>16</v>
      </c>
      <c r="L146" s="715">
        <f t="shared" si="25"/>
        <v>15</v>
      </c>
      <c r="M146" s="719">
        <v>46175</v>
      </c>
      <c r="N146" s="719">
        <v>46171</v>
      </c>
      <c r="O146" s="714"/>
      <c r="P146" s="717" t="s">
        <v>106</v>
      </c>
      <c r="Q146" s="723">
        <v>46176</v>
      </c>
      <c r="R146" s="723">
        <v>46148</v>
      </c>
      <c r="S146" s="720" t="s">
        <v>107</v>
      </c>
      <c r="T146" s="720" t="s">
        <v>95</v>
      </c>
      <c r="U146" s="720"/>
      <c r="V146" s="720"/>
      <c r="W146" s="720"/>
      <c r="X146" s="720" t="s">
        <v>888</v>
      </c>
      <c r="Y146" s="719" t="s">
        <v>178</v>
      </c>
      <c r="Z146" s="730">
        <v>2.613</v>
      </c>
      <c r="AA146" s="652">
        <f>L146*Z146</f>
        <v>39.195</v>
      </c>
      <c r="AB146" s="729" t="s">
        <v>4410</v>
      </c>
      <c r="AC146" s="722" t="s">
        <v>3973</v>
      </c>
      <c r="AD146" s="715" t="s">
        <v>112</v>
      </c>
      <c r="AE146" s="715">
        <f t="shared" si="30"/>
        <v>240</v>
      </c>
      <c r="AF146" s="715" t="s">
        <v>4336</v>
      </c>
      <c r="AG146" s="652">
        <v>240</v>
      </c>
      <c r="AH146" s="715">
        <f t="shared" si="18"/>
        <v>0</v>
      </c>
      <c r="AI146" s="717" t="s">
        <v>120</v>
      </c>
      <c r="AJ146" s="715" t="s">
        <v>3981</v>
      </c>
      <c r="AK146" s="652">
        <f t="shared" si="31"/>
        <v>240</v>
      </c>
      <c r="AL146" s="652"/>
      <c r="AM146" s="652"/>
      <c r="AN146" s="652">
        <f t="shared" si="32"/>
        <v>240</v>
      </c>
      <c r="AO146" s="652"/>
      <c r="AP146" s="652"/>
      <c r="AQ146" s="652"/>
      <c r="AR146" s="652"/>
      <c r="AS146" s="652"/>
      <c r="AT146" s="652">
        <f>I146/8</f>
        <v>30</v>
      </c>
      <c r="AU146" s="652"/>
      <c r="AV146" s="652"/>
      <c r="AW146" s="652"/>
      <c r="AX146" s="652"/>
      <c r="AY146" s="652"/>
      <c r="AZ146" s="652"/>
      <c r="BA146" s="652"/>
      <c r="BB146" s="652"/>
      <c r="BC146" s="652"/>
      <c r="BD146" s="652"/>
      <c r="BE146" s="652"/>
      <c r="BF146" s="652"/>
      <c r="BG146" s="652"/>
      <c r="BH146" s="652"/>
      <c r="BI146" s="652"/>
    </row>
    <row r="147" s="650" customFormat="1" ht="31" customHeight="1" spans="1:96">
      <c r="A147" s="713">
        <v>46129</v>
      </c>
      <c r="B147" s="714" t="s">
        <v>346</v>
      </c>
      <c r="C147" s="715" t="s">
        <v>115</v>
      </c>
      <c r="D147" s="652" t="s">
        <v>4411</v>
      </c>
      <c r="E147" s="715" t="s">
        <v>4412</v>
      </c>
      <c r="F147" s="652" t="s">
        <v>4413</v>
      </c>
      <c r="G147" s="770" t="s">
        <v>4414</v>
      </c>
      <c r="H147" s="715" t="s">
        <v>4195</v>
      </c>
      <c r="I147" s="717">
        <v>8704</v>
      </c>
      <c r="J147" s="715">
        <v>0</v>
      </c>
      <c r="K147" s="715">
        <v>512</v>
      </c>
      <c r="L147" s="718">
        <f t="shared" si="25"/>
        <v>17</v>
      </c>
      <c r="M147" s="719">
        <v>46176</v>
      </c>
      <c r="N147" s="719">
        <v>46172</v>
      </c>
      <c r="O147" s="714"/>
      <c r="P147" s="717" t="s">
        <v>106</v>
      </c>
      <c r="Q147" s="717"/>
      <c r="R147" s="715" t="s">
        <v>4201</v>
      </c>
      <c r="S147" s="720" t="s">
        <v>107</v>
      </c>
      <c r="T147" s="720" t="s">
        <v>4415</v>
      </c>
      <c r="U147" s="720"/>
      <c r="V147" s="720"/>
      <c r="W147" s="720"/>
      <c r="X147" s="720" t="s">
        <v>4416</v>
      </c>
      <c r="Y147" s="719" t="s">
        <v>354</v>
      </c>
      <c r="Z147" s="715">
        <v>1396.36</v>
      </c>
      <c r="AA147" s="715">
        <f>L147*Z147</f>
        <v>23738.12</v>
      </c>
      <c r="AB147" s="729" t="s">
        <v>4417</v>
      </c>
      <c r="AC147" s="716" t="s">
        <v>4194</v>
      </c>
      <c r="AD147" s="715" t="s">
        <v>112</v>
      </c>
      <c r="AE147" s="715">
        <f t="shared" si="30"/>
        <v>8704</v>
      </c>
      <c r="AF147" s="715" t="s">
        <v>4109</v>
      </c>
      <c r="AG147" s="715">
        <v>8704</v>
      </c>
      <c r="AH147" s="715">
        <f t="shared" si="18"/>
        <v>0</v>
      </c>
      <c r="AI147" s="717" t="s">
        <v>120</v>
      </c>
      <c r="AJ147" s="715" t="s">
        <v>3981</v>
      </c>
      <c r="AK147" s="652">
        <f t="shared" si="31"/>
        <v>8704</v>
      </c>
      <c r="AL147" s="652"/>
      <c r="AM147" s="652"/>
      <c r="AN147" s="652">
        <f t="shared" si="32"/>
        <v>8704</v>
      </c>
      <c r="AO147" s="652"/>
      <c r="AP147" s="652"/>
      <c r="AQ147" s="652"/>
      <c r="AR147" s="652"/>
      <c r="AS147" s="652"/>
      <c r="AT147" s="652">
        <f>I147/8</f>
        <v>1088</v>
      </c>
      <c r="AU147" s="652"/>
      <c r="AV147" s="652"/>
      <c r="AW147" s="652"/>
      <c r="AX147" s="652"/>
      <c r="AY147" s="652"/>
      <c r="AZ147" s="652"/>
      <c r="BA147" s="652"/>
      <c r="BB147" s="652"/>
      <c r="BC147" s="652"/>
      <c r="BD147" s="652"/>
      <c r="BE147" s="652"/>
      <c r="BF147" s="652"/>
      <c r="BG147" s="652"/>
      <c r="BH147" s="652"/>
      <c r="BI147" s="652"/>
    </row>
    <row r="148" s="650" customFormat="1" ht="31" customHeight="1" spans="1:96">
      <c r="A148" s="713">
        <v>46129</v>
      </c>
      <c r="B148" s="714" t="s">
        <v>346</v>
      </c>
      <c r="C148" s="715" t="s">
        <v>115</v>
      </c>
      <c r="D148" s="652" t="s">
        <v>4411</v>
      </c>
      <c r="E148" s="715" t="s">
        <v>4418</v>
      </c>
      <c r="F148" s="652" t="s">
        <v>4419</v>
      </c>
      <c r="G148" s="770" t="s">
        <v>4414</v>
      </c>
      <c r="H148" s="715" t="s">
        <v>4195</v>
      </c>
      <c r="I148" s="717">
        <v>5120</v>
      </c>
      <c r="J148" s="715">
        <v>0</v>
      </c>
      <c r="K148" s="715">
        <v>512</v>
      </c>
      <c r="L148" s="718">
        <f t="shared" si="25"/>
        <v>10</v>
      </c>
      <c r="M148" s="719">
        <v>46176</v>
      </c>
      <c r="N148" s="719">
        <v>46172</v>
      </c>
      <c r="O148" s="714"/>
      <c r="P148" s="717" t="s">
        <v>106</v>
      </c>
      <c r="Q148" s="717"/>
      <c r="R148" s="771" t="s">
        <v>4201</v>
      </c>
      <c r="S148" s="735" t="s">
        <v>107</v>
      </c>
      <c r="T148" s="735" t="s">
        <v>4415</v>
      </c>
      <c r="U148" s="735"/>
      <c r="V148" s="720"/>
      <c r="W148" s="720"/>
      <c r="X148" s="720" t="s">
        <v>4416</v>
      </c>
      <c r="Y148" s="719" t="s">
        <v>354</v>
      </c>
      <c r="Z148" s="715">
        <v>1396.36</v>
      </c>
      <c r="AA148" s="715">
        <f>L148*Z148</f>
        <v>13963.6</v>
      </c>
      <c r="AB148" s="729" t="s">
        <v>4420</v>
      </c>
      <c r="AC148" s="716" t="s">
        <v>4194</v>
      </c>
      <c r="AD148" s="715" t="s">
        <v>112</v>
      </c>
      <c r="AE148" s="715">
        <f t="shared" si="30"/>
        <v>5120</v>
      </c>
      <c r="AF148" s="715" t="s">
        <v>4109</v>
      </c>
      <c r="AG148" s="715">
        <v>5120</v>
      </c>
      <c r="AH148" s="715">
        <f t="shared" si="18"/>
        <v>0</v>
      </c>
      <c r="AI148" s="717" t="s">
        <v>120</v>
      </c>
      <c r="AJ148" s="715" t="s">
        <v>3981</v>
      </c>
      <c r="AK148" s="652">
        <f t="shared" si="31"/>
        <v>5120</v>
      </c>
      <c r="AL148" s="652"/>
      <c r="AM148" s="652"/>
      <c r="AN148" s="652">
        <f t="shared" si="32"/>
        <v>5120</v>
      </c>
      <c r="AO148" s="652"/>
      <c r="AP148" s="652"/>
      <c r="AQ148" s="652"/>
      <c r="AR148" s="652"/>
      <c r="AS148" s="652"/>
      <c r="AT148" s="652">
        <f>I148/8</f>
        <v>640</v>
      </c>
      <c r="AU148" s="652"/>
      <c r="AV148" s="652"/>
      <c r="AW148" s="652"/>
      <c r="AX148" s="652"/>
      <c r="AY148" s="652"/>
      <c r="AZ148" s="652"/>
      <c r="BA148" s="652"/>
      <c r="BB148" s="652"/>
      <c r="BC148" s="652"/>
      <c r="BD148" s="652"/>
      <c r="BE148" s="652"/>
      <c r="BF148" s="652"/>
      <c r="BG148" s="652"/>
      <c r="BH148" s="652"/>
      <c r="BI148" s="652"/>
    </row>
    <row r="149" s="650" customFormat="1" ht="31" customHeight="1" spans="1:96">
      <c r="A149" s="713">
        <v>46129</v>
      </c>
      <c r="B149" s="714" t="s">
        <v>346</v>
      </c>
      <c r="C149" s="715" t="s">
        <v>115</v>
      </c>
      <c r="D149" s="652" t="s">
        <v>4411</v>
      </c>
      <c r="E149" s="715" t="s">
        <v>4421</v>
      </c>
      <c r="F149" s="652" t="s">
        <v>4422</v>
      </c>
      <c r="G149" s="770" t="s">
        <v>4414</v>
      </c>
      <c r="H149" s="715" t="s">
        <v>4195</v>
      </c>
      <c r="I149" s="717">
        <v>10752</v>
      </c>
      <c r="J149" s="715">
        <v>0</v>
      </c>
      <c r="K149" s="715">
        <v>512</v>
      </c>
      <c r="L149" s="718">
        <f t="shared" si="25"/>
        <v>21</v>
      </c>
      <c r="M149" s="719">
        <v>46176</v>
      </c>
      <c r="N149" s="719">
        <v>46172</v>
      </c>
      <c r="O149" s="714"/>
      <c r="P149" s="717" t="s">
        <v>106</v>
      </c>
      <c r="Q149" s="717"/>
      <c r="R149" s="771" t="s">
        <v>4201</v>
      </c>
      <c r="S149" s="735" t="s">
        <v>107</v>
      </c>
      <c r="T149" s="735" t="s">
        <v>4415</v>
      </c>
      <c r="U149" s="735"/>
      <c r="V149" s="720"/>
      <c r="W149" s="720"/>
      <c r="X149" s="720" t="s">
        <v>4416</v>
      </c>
      <c r="Y149" s="719" t="s">
        <v>354</v>
      </c>
      <c r="Z149" s="715">
        <v>1393.2267</v>
      </c>
      <c r="AA149" s="715">
        <f>L149*Z149</f>
        <v>29257.7607</v>
      </c>
      <c r="AB149" s="729" t="s">
        <v>4423</v>
      </c>
      <c r="AC149" s="716" t="s">
        <v>4194</v>
      </c>
      <c r="AD149" s="715" t="s">
        <v>112</v>
      </c>
      <c r="AE149" s="715">
        <f t="shared" si="30"/>
        <v>10752</v>
      </c>
      <c r="AF149" s="715" t="s">
        <v>4109</v>
      </c>
      <c r="AG149" s="715">
        <v>10752</v>
      </c>
      <c r="AH149" s="715">
        <f t="shared" si="18"/>
        <v>0</v>
      </c>
      <c r="AI149" s="717" t="s">
        <v>120</v>
      </c>
      <c r="AJ149" s="715" t="s">
        <v>3981</v>
      </c>
      <c r="AK149" s="652">
        <f t="shared" si="31"/>
        <v>10752</v>
      </c>
      <c r="AL149" s="652"/>
      <c r="AM149" s="652"/>
      <c r="AN149" s="652">
        <f t="shared" si="32"/>
        <v>10752</v>
      </c>
      <c r="AO149" s="652"/>
      <c r="AP149" s="652"/>
      <c r="AQ149" s="652"/>
      <c r="AR149" s="652"/>
      <c r="AS149" s="652"/>
      <c r="AT149" s="652">
        <f>I149/8</f>
        <v>1344</v>
      </c>
      <c r="AU149" s="652"/>
      <c r="AV149" s="652"/>
      <c r="AW149" s="652"/>
      <c r="AX149" s="652"/>
      <c r="AY149" s="652"/>
      <c r="AZ149" s="652"/>
      <c r="BA149" s="652"/>
      <c r="BB149" s="652"/>
      <c r="BC149" s="652"/>
      <c r="BD149" s="652"/>
      <c r="BE149" s="652"/>
      <c r="BF149" s="652"/>
      <c r="BG149" s="652"/>
      <c r="BH149" s="652"/>
      <c r="BI149" s="652"/>
      <c r="BJ149" s="731"/>
      <c r="BK149" s="731"/>
      <c r="BL149" s="731"/>
      <c r="BM149" s="731"/>
      <c r="BN149" s="731"/>
      <c r="BO149" s="731"/>
      <c r="BP149" s="731"/>
      <c r="BQ149" s="731"/>
      <c r="BR149" s="731"/>
      <c r="BS149" s="731"/>
      <c r="BT149" s="731"/>
      <c r="BU149" s="731"/>
      <c r="BV149" s="731"/>
      <c r="BW149" s="731"/>
      <c r="BX149" s="731"/>
      <c r="BY149" s="731"/>
      <c r="BZ149" s="731"/>
      <c r="CA149" s="731"/>
      <c r="CB149" s="731"/>
      <c r="CC149" s="731"/>
      <c r="CD149" s="731"/>
      <c r="CE149" s="731"/>
      <c r="CF149" s="731"/>
      <c r="CG149" s="731"/>
      <c r="CH149" s="731"/>
      <c r="CI149" s="731"/>
      <c r="CJ149" s="731"/>
      <c r="CK149" s="731"/>
      <c r="CL149" s="731"/>
      <c r="CM149" s="731"/>
      <c r="CN149" s="731"/>
      <c r="CO149" s="731"/>
      <c r="CP149" s="731"/>
      <c r="CQ149" s="731"/>
      <c r="CR149" s="731"/>
    </row>
    <row r="150" s="650" customFormat="1" ht="31" customHeight="1" spans="1:96">
      <c r="A150" s="713">
        <v>46175</v>
      </c>
      <c r="B150" s="714"/>
      <c r="C150" s="715" t="s">
        <v>597</v>
      </c>
      <c r="D150" s="652" t="s">
        <v>900</v>
      </c>
      <c r="E150" s="715"/>
      <c r="F150" s="652" t="s">
        <v>4424</v>
      </c>
      <c r="G150" s="716" t="s">
        <v>3968</v>
      </c>
      <c r="H150" s="715" t="s">
        <v>3969</v>
      </c>
      <c r="I150" s="717">
        <v>10</v>
      </c>
      <c r="J150" s="715">
        <v>0</v>
      </c>
      <c r="K150" s="715">
        <v>16</v>
      </c>
      <c r="L150" s="715">
        <f t="shared" si="25"/>
        <v>0.625</v>
      </c>
      <c r="M150" s="719">
        <v>46177</v>
      </c>
      <c r="N150" s="719">
        <v>46172</v>
      </c>
      <c r="O150" s="714"/>
      <c r="P150" s="717"/>
      <c r="Q150" s="717"/>
      <c r="R150" s="723" t="s">
        <v>94</v>
      </c>
      <c r="S150" s="720" t="s">
        <v>95</v>
      </c>
      <c r="T150" s="720" t="s">
        <v>95</v>
      </c>
      <c r="U150" s="720"/>
      <c r="V150" s="720"/>
      <c r="W150" s="720"/>
      <c r="X150" s="720" t="s">
        <v>4425</v>
      </c>
      <c r="Y150" s="719" t="s">
        <v>241</v>
      </c>
      <c r="Z150" s="730"/>
      <c r="AA150" s="652"/>
      <c r="AB150" s="721"/>
      <c r="AC150" s="653" t="s">
        <v>4426</v>
      </c>
      <c r="AD150" s="715" t="s">
        <v>112</v>
      </c>
      <c r="AE150" s="715">
        <f t="shared" si="30"/>
        <v>10</v>
      </c>
      <c r="AF150" s="715"/>
      <c r="AG150" s="715"/>
      <c r="AH150" s="715">
        <f t="shared" si="18"/>
        <v>-10</v>
      </c>
      <c r="AI150" s="717"/>
      <c r="AJ150" s="715" t="s">
        <v>3981</v>
      </c>
      <c r="AK150" s="652"/>
      <c r="AL150" s="652">
        <f>I150</f>
        <v>10</v>
      </c>
      <c r="AM150" s="652"/>
      <c r="AN150" s="652">
        <f t="shared" si="32"/>
        <v>10</v>
      </c>
      <c r="AO150" s="652"/>
      <c r="AP150" s="652"/>
      <c r="AQ150" s="652"/>
      <c r="AR150" s="652"/>
      <c r="AS150" s="652"/>
      <c r="AT150" s="652"/>
      <c r="AU150" s="652"/>
      <c r="AV150" s="652"/>
      <c r="AW150" s="652"/>
      <c r="AX150" s="652"/>
      <c r="AY150" s="652"/>
      <c r="AZ150" s="652"/>
      <c r="BA150" s="652"/>
      <c r="BB150" s="652"/>
      <c r="BC150" s="652"/>
      <c r="BD150" s="652"/>
      <c r="BE150" s="652"/>
      <c r="BF150" s="652"/>
      <c r="BG150" s="652"/>
      <c r="BH150" s="652"/>
      <c r="BI150" s="652"/>
    </row>
    <row r="151" s="650" customFormat="1" ht="31" customHeight="1" spans="1:96">
      <c r="A151" s="713">
        <v>46135</v>
      </c>
      <c r="B151" s="714" t="s">
        <v>378</v>
      </c>
      <c r="C151" s="715" t="s">
        <v>201</v>
      </c>
      <c r="D151" s="652">
        <v>4500202338</v>
      </c>
      <c r="E151" s="715">
        <v>7000992548</v>
      </c>
      <c r="F151" s="652" t="s">
        <v>4427</v>
      </c>
      <c r="G151" s="716" t="s">
        <v>3980</v>
      </c>
      <c r="H151" s="715" t="s">
        <v>3978</v>
      </c>
      <c r="I151" s="717">
        <v>504</v>
      </c>
      <c r="J151" s="715">
        <v>0</v>
      </c>
      <c r="K151" s="715">
        <v>8</v>
      </c>
      <c r="L151" s="715">
        <f t="shared" si="25"/>
        <v>63</v>
      </c>
      <c r="M151" s="719">
        <v>46177</v>
      </c>
      <c r="N151" s="719">
        <v>46174</v>
      </c>
      <c r="O151" s="717" t="s">
        <v>550</v>
      </c>
      <c r="P151" s="717" t="s">
        <v>106</v>
      </c>
      <c r="Q151" s="717"/>
      <c r="R151" s="723">
        <v>46150</v>
      </c>
      <c r="S151" s="720" t="s">
        <v>107</v>
      </c>
      <c r="T151" s="720" t="s">
        <v>3320</v>
      </c>
      <c r="U151" s="720"/>
      <c r="V151" s="720"/>
      <c r="W151" s="720"/>
      <c r="X151" s="720" t="s">
        <v>4428</v>
      </c>
      <c r="Y151" s="719" t="s">
        <v>384</v>
      </c>
      <c r="Z151" s="730">
        <v>4.5882</v>
      </c>
      <c r="AA151" s="652">
        <f>I151*Z151</f>
        <v>2312.4528</v>
      </c>
      <c r="AB151" s="721"/>
      <c r="AC151" s="722" t="s">
        <v>4031</v>
      </c>
      <c r="AD151" s="715" t="s">
        <v>112</v>
      </c>
      <c r="AE151" s="715">
        <f t="shared" si="30"/>
        <v>504</v>
      </c>
      <c r="AF151" s="715" t="s">
        <v>736</v>
      </c>
      <c r="AG151" s="715">
        <v>504</v>
      </c>
      <c r="AH151" s="715">
        <f t="shared" si="18"/>
        <v>0</v>
      </c>
      <c r="AI151" s="717"/>
      <c r="AJ151" s="715" t="s">
        <v>3981</v>
      </c>
      <c r="AK151" s="652"/>
      <c r="AL151" s="652">
        <f>I151</f>
        <v>504</v>
      </c>
      <c r="AM151" s="652"/>
      <c r="AN151" s="652">
        <f t="shared" si="32"/>
        <v>504</v>
      </c>
      <c r="AO151" s="652"/>
      <c r="AP151" s="652"/>
      <c r="AQ151" s="652"/>
      <c r="AR151" s="652"/>
      <c r="AS151" s="652"/>
      <c r="AT151" s="652"/>
      <c r="AU151" s="652">
        <f>I151/8</f>
        <v>63</v>
      </c>
      <c r="AV151" s="652"/>
      <c r="AW151" s="652"/>
      <c r="AX151" s="652"/>
      <c r="AY151" s="652"/>
      <c r="AZ151" s="652"/>
      <c r="BA151" s="652"/>
      <c r="BB151" s="652"/>
      <c r="BC151" s="652"/>
      <c r="BD151" s="652"/>
      <c r="BE151" s="652"/>
      <c r="BF151" s="652"/>
      <c r="BG151" s="652"/>
      <c r="BH151" s="652"/>
      <c r="BI151" s="652"/>
    </row>
    <row r="152" s="650" customFormat="1" ht="31" customHeight="1" spans="1:96">
      <c r="A152" s="713">
        <v>46121</v>
      </c>
      <c r="B152" s="714" t="s">
        <v>114</v>
      </c>
      <c r="C152" s="715" t="s">
        <v>115</v>
      </c>
      <c r="D152" s="652" t="s">
        <v>4429</v>
      </c>
      <c r="E152" s="715" t="s">
        <v>4430</v>
      </c>
      <c r="F152" s="652" t="s">
        <v>4431</v>
      </c>
      <c r="G152" s="716" t="s">
        <v>3980</v>
      </c>
      <c r="H152" s="715" t="s">
        <v>3978</v>
      </c>
      <c r="I152" s="717">
        <v>10000</v>
      </c>
      <c r="J152" s="715">
        <v>0</v>
      </c>
      <c r="K152" s="715">
        <v>8</v>
      </c>
      <c r="L152" s="715">
        <f t="shared" si="25"/>
        <v>1250</v>
      </c>
      <c r="M152" s="719">
        <v>46177</v>
      </c>
      <c r="N152" s="719">
        <v>46174</v>
      </c>
      <c r="O152" s="714"/>
      <c r="P152" s="717" t="s">
        <v>106</v>
      </c>
      <c r="Q152" s="717"/>
      <c r="R152" s="734">
        <v>46148</v>
      </c>
      <c r="S152" s="720" t="s">
        <v>107</v>
      </c>
      <c r="T152" s="735" t="s">
        <v>4399</v>
      </c>
      <c r="U152" s="735"/>
      <c r="V152" s="720" t="s">
        <v>4056</v>
      </c>
      <c r="W152" s="720"/>
      <c r="X152" s="720" t="s">
        <v>4400</v>
      </c>
      <c r="Y152" s="719" t="s">
        <v>123</v>
      </c>
      <c r="Z152" s="730">
        <v>2.7092</v>
      </c>
      <c r="AA152" s="652">
        <f>Z152*I152</f>
        <v>27092</v>
      </c>
      <c r="AB152" s="729" t="s">
        <v>4432</v>
      </c>
      <c r="AC152" s="722" t="s">
        <v>3980</v>
      </c>
      <c r="AD152" s="715" t="s">
        <v>112</v>
      </c>
      <c r="AE152" s="715">
        <f t="shared" si="30"/>
        <v>10000</v>
      </c>
      <c r="AF152" s="715" t="s">
        <v>4336</v>
      </c>
      <c r="AG152" s="715">
        <v>10000</v>
      </c>
      <c r="AH152" s="715">
        <f t="shared" si="18"/>
        <v>0</v>
      </c>
      <c r="AI152" s="717"/>
      <c r="AJ152" s="715" t="s">
        <v>3981</v>
      </c>
      <c r="AK152" s="652">
        <f>I152</f>
        <v>10000</v>
      </c>
      <c r="AL152" s="652"/>
      <c r="AM152" s="652"/>
      <c r="AN152" s="652">
        <f t="shared" si="32"/>
        <v>10000</v>
      </c>
      <c r="AO152" s="652"/>
      <c r="AP152" s="652"/>
      <c r="AQ152" s="652"/>
      <c r="AR152" s="652"/>
      <c r="AS152" s="652"/>
      <c r="AT152" s="652">
        <f>I152/8</f>
        <v>1250</v>
      </c>
      <c r="AU152" s="652"/>
      <c r="AV152" s="652"/>
      <c r="AW152" s="652"/>
      <c r="AX152" s="652"/>
      <c r="AY152" s="652"/>
      <c r="AZ152" s="652"/>
      <c r="BA152" s="652"/>
      <c r="BB152" s="652"/>
      <c r="BC152" s="652"/>
      <c r="BD152" s="652"/>
      <c r="BE152" s="652"/>
      <c r="BF152" s="652"/>
      <c r="BG152" s="652"/>
      <c r="BH152" s="652"/>
      <c r="BI152" s="652"/>
    </row>
    <row r="153" s="650" customFormat="1" ht="31" customHeight="1" spans="1:96">
      <c r="A153" s="713">
        <v>46122</v>
      </c>
      <c r="B153" s="714" t="s">
        <v>935</v>
      </c>
      <c r="C153" s="715" t="s">
        <v>115</v>
      </c>
      <c r="D153" s="652" t="s">
        <v>4433</v>
      </c>
      <c r="E153" s="1908" t="s">
        <v>4434</v>
      </c>
      <c r="F153" s="652" t="s">
        <v>939</v>
      </c>
      <c r="G153" s="716" t="s">
        <v>4215</v>
      </c>
      <c r="H153" s="715" t="s">
        <v>483</v>
      </c>
      <c r="I153" s="717">
        <v>4320</v>
      </c>
      <c r="J153" s="715">
        <v>0</v>
      </c>
      <c r="K153" s="715">
        <v>120</v>
      </c>
      <c r="L153" s="718">
        <f t="shared" si="25"/>
        <v>36</v>
      </c>
      <c r="M153" s="719">
        <v>46178</v>
      </c>
      <c r="N153" s="719">
        <v>46174</v>
      </c>
      <c r="O153" s="714"/>
      <c r="P153" s="717" t="s">
        <v>106</v>
      </c>
      <c r="Q153" s="717"/>
      <c r="R153" s="734">
        <v>46155</v>
      </c>
      <c r="S153" s="720" t="s">
        <v>107</v>
      </c>
      <c r="T153" s="720" t="s">
        <v>95</v>
      </c>
      <c r="U153" s="720"/>
      <c r="V153" s="720"/>
      <c r="W153" s="720"/>
      <c r="X153" s="714" t="s">
        <v>937</v>
      </c>
      <c r="Y153" s="719" t="s">
        <v>488</v>
      </c>
      <c r="Z153" s="753">
        <v>642</v>
      </c>
      <c r="AA153" s="722">
        <f>L153*Z153</f>
        <v>23112</v>
      </c>
      <c r="AB153" s="729" t="s">
        <v>940</v>
      </c>
      <c r="AC153" s="715" t="s">
        <v>490</v>
      </c>
      <c r="AD153" s="715" t="s">
        <v>112</v>
      </c>
      <c r="AE153" s="715">
        <f t="shared" si="30"/>
        <v>4320</v>
      </c>
      <c r="AF153" s="715" t="s">
        <v>4109</v>
      </c>
      <c r="AG153" s="715">
        <f>2064+1134+1122</f>
        <v>4320</v>
      </c>
      <c r="AH153" s="715">
        <f t="shared" si="18"/>
        <v>0</v>
      </c>
      <c r="AI153" s="717"/>
      <c r="AJ153" s="715" t="s">
        <v>3981</v>
      </c>
      <c r="AK153" s="652"/>
      <c r="AL153" s="652"/>
      <c r="AM153" s="652"/>
      <c r="AN153" s="652"/>
      <c r="AO153" s="652"/>
      <c r="AP153" s="652"/>
      <c r="AQ153" s="652">
        <f>I153</f>
        <v>4320</v>
      </c>
      <c r="AR153" s="652">
        <f>I153</f>
        <v>4320</v>
      </c>
      <c r="AS153" s="652">
        <f>I153/6</f>
        <v>720</v>
      </c>
      <c r="AT153" s="652"/>
      <c r="AU153" s="652"/>
      <c r="AV153" s="652"/>
      <c r="AW153" s="652"/>
      <c r="AX153" s="652"/>
      <c r="AY153" s="652"/>
      <c r="AZ153" s="652"/>
      <c r="BA153" s="652"/>
      <c r="BB153" s="652"/>
      <c r="BC153" s="652"/>
      <c r="BD153" s="652"/>
      <c r="BE153" s="652"/>
      <c r="BF153" s="652"/>
      <c r="BG153" s="652"/>
      <c r="BH153" s="652"/>
      <c r="BI153" s="652"/>
    </row>
    <row r="154" s="650" customFormat="1" ht="31" customHeight="1" spans="1:96">
      <c r="A154" s="713">
        <v>46136</v>
      </c>
      <c r="B154" s="714" t="s">
        <v>369</v>
      </c>
      <c r="C154" s="715" t="s">
        <v>370</v>
      </c>
      <c r="D154" s="652" t="s">
        <v>4435</v>
      </c>
      <c r="E154" s="715" t="s">
        <v>628</v>
      </c>
      <c r="F154" s="652" t="s">
        <v>4436</v>
      </c>
      <c r="G154" s="716" t="s">
        <v>3973</v>
      </c>
      <c r="H154" s="715" t="s">
        <v>3995</v>
      </c>
      <c r="I154" s="717">
        <v>1120</v>
      </c>
      <c r="J154" s="715">
        <v>0</v>
      </c>
      <c r="K154" s="715">
        <v>16</v>
      </c>
      <c r="L154" s="715">
        <f t="shared" si="25"/>
        <v>70</v>
      </c>
      <c r="M154" s="719">
        <v>46178</v>
      </c>
      <c r="N154" s="719">
        <v>46174</v>
      </c>
      <c r="O154" s="714"/>
      <c r="P154" s="717" t="s">
        <v>106</v>
      </c>
      <c r="Q154" s="717"/>
      <c r="R154" s="723"/>
      <c r="S154" s="720" t="s">
        <v>95</v>
      </c>
      <c r="T154" s="720" t="s">
        <v>4437</v>
      </c>
      <c r="U154" s="720"/>
      <c r="V154" s="720"/>
      <c r="W154" s="720"/>
      <c r="X154" s="720" t="s">
        <v>4438</v>
      </c>
      <c r="Y154" s="719" t="s">
        <v>375</v>
      </c>
      <c r="Z154" s="730">
        <v>4.5744</v>
      </c>
      <c r="AA154" s="652">
        <f>I154*Z154</f>
        <v>5123.328</v>
      </c>
      <c r="AB154" s="721"/>
      <c r="AC154" s="652" t="s">
        <v>3973</v>
      </c>
      <c r="AD154" s="715" t="s">
        <v>112</v>
      </c>
      <c r="AE154" s="715">
        <f t="shared" si="30"/>
        <v>1120</v>
      </c>
      <c r="AF154" s="715" t="s">
        <v>736</v>
      </c>
      <c r="AG154" s="715">
        <v>1120</v>
      </c>
      <c r="AH154" s="715">
        <f t="shared" si="18"/>
        <v>0</v>
      </c>
      <c r="AI154" s="717"/>
      <c r="AJ154" s="715" t="s">
        <v>3981</v>
      </c>
      <c r="AK154" s="652"/>
      <c r="AL154" s="652"/>
      <c r="AM154" s="652"/>
      <c r="AN154" s="652"/>
      <c r="AO154" s="652"/>
      <c r="AP154" s="652"/>
      <c r="AQ154" s="652"/>
      <c r="AR154" s="652"/>
      <c r="AS154" s="652"/>
      <c r="AT154" s="652"/>
      <c r="AU154" s="652"/>
      <c r="AV154" s="652"/>
      <c r="AW154" s="652"/>
      <c r="AX154" s="652"/>
      <c r="AY154" s="652"/>
      <c r="AZ154" s="652"/>
      <c r="BA154" s="652"/>
      <c r="BB154" s="652"/>
      <c r="BC154" s="652"/>
      <c r="BD154" s="652"/>
      <c r="BE154" s="652"/>
      <c r="BF154" s="652"/>
      <c r="BG154" s="652"/>
      <c r="BH154" s="652"/>
      <c r="BI154" s="652"/>
    </row>
    <row r="155" s="650" customFormat="1" ht="31" customHeight="1" spans="1:96">
      <c r="A155" s="713">
        <v>46129</v>
      </c>
      <c r="B155" s="714" t="s">
        <v>923</v>
      </c>
      <c r="C155" s="715" t="s">
        <v>492</v>
      </c>
      <c r="D155" s="652" t="s">
        <v>4439</v>
      </c>
      <c r="E155" s="715" t="s">
        <v>4440</v>
      </c>
      <c r="F155" s="652" t="s">
        <v>4441</v>
      </c>
      <c r="G155" s="716" t="s">
        <v>3980</v>
      </c>
      <c r="H155" s="715" t="s">
        <v>3978</v>
      </c>
      <c r="I155" s="717">
        <v>432</v>
      </c>
      <c r="J155" s="715">
        <v>0</v>
      </c>
      <c r="K155" s="715">
        <v>8</v>
      </c>
      <c r="L155" s="715">
        <f t="shared" si="25"/>
        <v>54</v>
      </c>
      <c r="M155" s="719">
        <v>46178</v>
      </c>
      <c r="N155" s="719">
        <v>46174</v>
      </c>
      <c r="O155" s="714"/>
      <c r="P155" s="717" t="s">
        <v>106</v>
      </c>
      <c r="Q155" s="717"/>
      <c r="R155" s="723">
        <v>46136</v>
      </c>
      <c r="S155" s="720" t="s">
        <v>107</v>
      </c>
      <c r="T155" s="720" t="s">
        <v>4442</v>
      </c>
      <c r="U155" s="720"/>
      <c r="V155" s="720"/>
      <c r="W155" s="720"/>
      <c r="X155" s="720" t="s">
        <v>4443</v>
      </c>
      <c r="Y155" s="719" t="s">
        <v>236</v>
      </c>
      <c r="Z155" s="730">
        <v>4.5882</v>
      </c>
      <c r="AA155" s="652">
        <f>Z155*I155</f>
        <v>1982.1024</v>
      </c>
      <c r="AB155" s="721"/>
      <c r="AC155" s="722" t="s">
        <v>4031</v>
      </c>
      <c r="AD155" s="715" t="s">
        <v>112</v>
      </c>
      <c r="AE155" s="715">
        <f t="shared" si="30"/>
        <v>432</v>
      </c>
      <c r="AF155" s="715" t="s">
        <v>736</v>
      </c>
      <c r="AG155" s="715">
        <v>432</v>
      </c>
      <c r="AH155" s="715">
        <f t="shared" ref="AH155:AH218" si="33">AG155-I155</f>
        <v>0</v>
      </c>
      <c r="AI155" s="715" t="s">
        <v>120</v>
      </c>
      <c r="AJ155" s="715" t="s">
        <v>3981</v>
      </c>
      <c r="AK155" s="652"/>
      <c r="AL155" s="652">
        <f>I155</f>
        <v>432</v>
      </c>
      <c r="AM155" s="652"/>
      <c r="AN155" s="652">
        <f>I155</f>
        <v>432</v>
      </c>
      <c r="AO155" s="652"/>
      <c r="AP155" s="652"/>
      <c r="AQ155" s="652"/>
      <c r="AR155" s="652"/>
      <c r="AS155" s="652"/>
      <c r="AT155" s="652"/>
      <c r="AU155" s="652">
        <f>I155/8</f>
        <v>54</v>
      </c>
      <c r="AV155" s="652"/>
      <c r="AW155" s="652"/>
      <c r="AX155" s="652"/>
      <c r="AY155" s="652"/>
      <c r="AZ155" s="652"/>
      <c r="BA155" s="652"/>
      <c r="BB155" s="652"/>
      <c r="BC155" s="652"/>
      <c r="BD155" s="652"/>
      <c r="BE155" s="652"/>
      <c r="BF155" s="652"/>
      <c r="BG155" s="652"/>
      <c r="BH155" s="652"/>
      <c r="BI155" s="652"/>
    </row>
    <row r="156" s="650" customFormat="1" ht="31" customHeight="1" spans="1:96">
      <c r="A156" s="713">
        <v>46120</v>
      </c>
      <c r="B156" s="714" t="s">
        <v>223</v>
      </c>
      <c r="C156" s="715" t="s">
        <v>319</v>
      </c>
      <c r="D156" s="652" t="s">
        <v>4444</v>
      </c>
      <c r="E156" s="715" t="s">
        <v>4445</v>
      </c>
      <c r="F156" s="652" t="s">
        <v>4446</v>
      </c>
      <c r="G156" s="716" t="s">
        <v>3973</v>
      </c>
      <c r="H156" s="715" t="s">
        <v>3995</v>
      </c>
      <c r="I156" s="717">
        <v>304</v>
      </c>
      <c r="J156" s="715">
        <v>0</v>
      </c>
      <c r="K156" s="715">
        <v>16</v>
      </c>
      <c r="L156" s="715">
        <f t="shared" si="25"/>
        <v>19</v>
      </c>
      <c r="M156" s="719">
        <v>46178</v>
      </c>
      <c r="N156" s="719">
        <v>46174</v>
      </c>
      <c r="O156" s="714"/>
      <c r="P156" s="717" t="s">
        <v>106</v>
      </c>
      <c r="Q156" s="717"/>
      <c r="R156" s="723">
        <v>46120</v>
      </c>
      <c r="S156" s="720" t="s">
        <v>107</v>
      </c>
      <c r="T156" s="720" t="s">
        <v>4447</v>
      </c>
      <c r="U156" s="720"/>
      <c r="V156" s="720" t="s">
        <v>4347</v>
      </c>
      <c r="W156" s="720"/>
      <c r="X156" s="720" t="s">
        <v>4448</v>
      </c>
      <c r="Y156" s="719" t="s">
        <v>222</v>
      </c>
      <c r="Z156" s="730">
        <v>4.355</v>
      </c>
      <c r="AA156" s="652">
        <f>L156*Z156</f>
        <v>82.745</v>
      </c>
      <c r="AB156" s="721"/>
      <c r="AC156" s="722" t="s">
        <v>3973</v>
      </c>
      <c r="AD156" s="715" t="s">
        <v>112</v>
      </c>
      <c r="AE156" s="715">
        <f t="shared" si="30"/>
        <v>304</v>
      </c>
      <c r="AF156" s="715" t="s">
        <v>736</v>
      </c>
      <c r="AG156" s="715">
        <v>304</v>
      </c>
      <c r="AH156" s="715">
        <f t="shared" si="33"/>
        <v>0</v>
      </c>
      <c r="AI156" s="717" t="s">
        <v>120</v>
      </c>
      <c r="AJ156" s="715" t="s">
        <v>3981</v>
      </c>
      <c r="AK156" s="652">
        <f>I156</f>
        <v>304</v>
      </c>
      <c r="AL156" s="652"/>
      <c r="AM156" s="652"/>
      <c r="AN156" s="652">
        <f>I156</f>
        <v>304</v>
      </c>
      <c r="AO156" s="652"/>
      <c r="AP156" s="652"/>
      <c r="AQ156" s="652"/>
      <c r="AR156" s="652"/>
      <c r="AS156" s="652"/>
      <c r="AT156" s="652">
        <f>I156/8</f>
        <v>38</v>
      </c>
      <c r="AU156" s="652"/>
      <c r="AV156" s="652"/>
      <c r="AW156" s="652"/>
      <c r="AX156" s="652"/>
      <c r="AY156" s="652"/>
      <c r="AZ156" s="652"/>
      <c r="BA156" s="652"/>
      <c r="BB156" s="652"/>
      <c r="BC156" s="652"/>
      <c r="BD156" s="652"/>
      <c r="BE156" s="652"/>
      <c r="BF156" s="652"/>
      <c r="BG156" s="652"/>
      <c r="BH156" s="652"/>
      <c r="BI156" s="652"/>
    </row>
    <row r="157" s="650" customFormat="1" ht="31" customHeight="1" spans="1:96">
      <c r="A157" s="713">
        <v>46176</v>
      </c>
      <c r="B157" s="714"/>
      <c r="C157" s="746" t="s">
        <v>891</v>
      </c>
      <c r="D157" s="652" t="s">
        <v>4449</v>
      </c>
      <c r="E157" s="715"/>
      <c r="F157" s="652" t="s">
        <v>4450</v>
      </c>
      <c r="G157" s="716" t="s">
        <v>3968</v>
      </c>
      <c r="H157" s="715" t="s">
        <v>3969</v>
      </c>
      <c r="I157" s="717">
        <v>50</v>
      </c>
      <c r="J157" s="715">
        <v>0</v>
      </c>
      <c r="K157" s="715">
        <v>16</v>
      </c>
      <c r="L157" s="715">
        <f t="shared" si="25"/>
        <v>3.125</v>
      </c>
      <c r="M157" s="719">
        <v>46178</v>
      </c>
      <c r="N157" s="719">
        <v>46174</v>
      </c>
      <c r="O157" s="714"/>
      <c r="P157" s="717"/>
      <c r="Q157" s="717"/>
      <c r="R157" s="723" t="s">
        <v>94</v>
      </c>
      <c r="S157" s="720" t="s">
        <v>95</v>
      </c>
      <c r="T157" s="720" t="s">
        <v>95</v>
      </c>
      <c r="U157" s="720"/>
      <c r="V157" s="720"/>
      <c r="W157" s="720"/>
      <c r="X157" s="720" t="s">
        <v>4451</v>
      </c>
      <c r="Y157" s="719"/>
      <c r="Z157" s="730"/>
      <c r="AA157" s="652"/>
      <c r="AB157" s="721"/>
      <c r="AC157" s="747"/>
      <c r="AD157" s="715" t="s">
        <v>99</v>
      </c>
      <c r="AE157" s="715">
        <f t="shared" si="30"/>
        <v>50</v>
      </c>
      <c r="AF157" s="715"/>
      <c r="AG157" s="715"/>
      <c r="AH157" s="715">
        <f t="shared" si="33"/>
        <v>-50</v>
      </c>
      <c r="AI157" s="717"/>
      <c r="AJ157" s="715"/>
      <c r="AK157" s="652"/>
      <c r="AL157" s="652"/>
      <c r="AM157" s="652"/>
      <c r="AN157" s="652"/>
      <c r="AO157" s="652"/>
      <c r="AP157" s="652"/>
      <c r="AQ157" s="652"/>
      <c r="AR157" s="652"/>
      <c r="AS157" s="652"/>
      <c r="AT157" s="652"/>
      <c r="AU157" s="652"/>
      <c r="AV157" s="652"/>
      <c r="AW157" s="652"/>
      <c r="AX157" s="652"/>
      <c r="AY157" s="652"/>
      <c r="AZ157" s="652"/>
      <c r="BA157" s="652"/>
      <c r="BB157" s="652"/>
      <c r="BC157" s="652"/>
      <c r="BD157" s="652"/>
      <c r="BE157" s="652"/>
      <c r="BF157" s="652"/>
      <c r="BG157" s="652"/>
      <c r="BH157" s="652"/>
      <c r="BI157" s="652"/>
    </row>
    <row r="158" s="650" customFormat="1" ht="31" customHeight="1" spans="1:96">
      <c r="A158" s="713">
        <v>46122</v>
      </c>
      <c r="B158" s="714" t="s">
        <v>935</v>
      </c>
      <c r="C158" s="715" t="s">
        <v>115</v>
      </c>
      <c r="D158" s="652" t="s">
        <v>4452</v>
      </c>
      <c r="E158" s="1908" t="s">
        <v>4453</v>
      </c>
      <c r="F158" s="652" t="s">
        <v>936</v>
      </c>
      <c r="G158" s="716" t="s">
        <v>4215</v>
      </c>
      <c r="H158" s="715" t="s">
        <v>483</v>
      </c>
      <c r="I158" s="717">
        <v>4320</v>
      </c>
      <c r="J158" s="715">
        <v>0</v>
      </c>
      <c r="K158" s="715">
        <v>120</v>
      </c>
      <c r="L158" s="718">
        <f t="shared" si="25"/>
        <v>36</v>
      </c>
      <c r="M158" s="719">
        <v>46178</v>
      </c>
      <c r="N158" s="719">
        <v>46174</v>
      </c>
      <c r="O158" s="714"/>
      <c r="P158" s="717" t="s">
        <v>106</v>
      </c>
      <c r="Q158" s="717"/>
      <c r="R158" s="723">
        <v>46155</v>
      </c>
      <c r="S158" s="720" t="s">
        <v>107</v>
      </c>
      <c r="T158" s="720" t="s">
        <v>95</v>
      </c>
      <c r="U158" s="720"/>
      <c r="V158" s="720"/>
      <c r="W158" s="720"/>
      <c r="X158" s="714" t="s">
        <v>937</v>
      </c>
      <c r="Y158" s="719" t="s">
        <v>488</v>
      </c>
      <c r="Z158" s="753">
        <v>642</v>
      </c>
      <c r="AA158" s="722">
        <f>L158*Z158</f>
        <v>23112</v>
      </c>
      <c r="AB158" s="729" t="s">
        <v>938</v>
      </c>
      <c r="AC158" s="715" t="s">
        <v>490</v>
      </c>
      <c r="AD158" s="715" t="s">
        <v>112</v>
      </c>
      <c r="AE158" s="715">
        <f t="shared" si="30"/>
        <v>4320</v>
      </c>
      <c r="AF158" s="715" t="s">
        <v>4336</v>
      </c>
      <c r="AG158" s="715">
        <v>4320</v>
      </c>
      <c r="AH158" s="715">
        <f t="shared" si="33"/>
        <v>0</v>
      </c>
      <c r="AI158" s="717"/>
      <c r="AJ158" s="715" t="s">
        <v>3981</v>
      </c>
      <c r="AK158" s="652"/>
      <c r="AL158" s="652"/>
      <c r="AM158" s="652"/>
      <c r="AN158" s="652"/>
      <c r="AO158" s="652"/>
      <c r="AP158" s="652"/>
      <c r="AQ158" s="652">
        <f>I158</f>
        <v>4320</v>
      </c>
      <c r="AR158" s="652">
        <f>I158</f>
        <v>4320</v>
      </c>
      <c r="AS158" s="652">
        <f>I158/6</f>
        <v>720</v>
      </c>
      <c r="AT158" s="652"/>
      <c r="AU158" s="652"/>
      <c r="AV158" s="652"/>
      <c r="AW158" s="652"/>
      <c r="AX158" s="652"/>
      <c r="AY158" s="652"/>
      <c r="AZ158" s="652"/>
      <c r="BA158" s="652"/>
      <c r="BB158" s="652"/>
      <c r="BC158" s="652"/>
      <c r="BD158" s="652"/>
      <c r="BE158" s="652"/>
      <c r="BF158" s="652"/>
      <c r="BG158" s="652"/>
      <c r="BH158" s="652"/>
      <c r="BI158" s="652"/>
    </row>
    <row r="159" s="650" customFormat="1" ht="31" customHeight="1" spans="1:96">
      <c r="A159" s="713">
        <v>46113</v>
      </c>
      <c r="B159" s="714" t="s">
        <v>715</v>
      </c>
      <c r="C159" s="715" t="s">
        <v>148</v>
      </c>
      <c r="D159" s="652" t="s">
        <v>4454</v>
      </c>
      <c r="E159" s="715" t="s">
        <v>4455</v>
      </c>
      <c r="F159" s="652" t="s">
        <v>947</v>
      </c>
      <c r="G159" s="716" t="s">
        <v>4359</v>
      </c>
      <c r="H159" s="715" t="s">
        <v>804</v>
      </c>
      <c r="I159" s="717">
        <v>2124</v>
      </c>
      <c r="J159" s="715">
        <v>0</v>
      </c>
      <c r="K159" s="715">
        <v>6</v>
      </c>
      <c r="L159" s="718">
        <f t="shared" si="25"/>
        <v>354</v>
      </c>
      <c r="M159" s="719">
        <v>46178</v>
      </c>
      <c r="N159" s="719">
        <v>46214</v>
      </c>
      <c r="O159" s="714" t="s">
        <v>4456</v>
      </c>
      <c r="P159" s="717" t="s">
        <v>106</v>
      </c>
      <c r="Q159" s="717"/>
      <c r="R159" s="723">
        <v>46127</v>
      </c>
      <c r="S159" s="720" t="s">
        <v>107</v>
      </c>
      <c r="T159" s="720" t="s">
        <v>4457</v>
      </c>
      <c r="U159" s="720"/>
      <c r="V159" s="720" t="s">
        <v>4458</v>
      </c>
      <c r="W159" s="714" t="s">
        <v>950</v>
      </c>
      <c r="X159" s="714" t="s">
        <v>951</v>
      </c>
      <c r="Y159" s="719" t="s">
        <v>722</v>
      </c>
      <c r="Z159" s="715">
        <v>8.15</v>
      </c>
      <c r="AA159" s="715">
        <f>L159*Z159</f>
        <v>2885.1</v>
      </c>
      <c r="AB159" s="721"/>
      <c r="AC159" s="715" t="s">
        <v>952</v>
      </c>
      <c r="AD159" s="715" t="s">
        <v>112</v>
      </c>
      <c r="AE159" s="715">
        <f t="shared" si="30"/>
        <v>2124</v>
      </c>
      <c r="AF159" s="715"/>
      <c r="AG159" s="715">
        <v>2124</v>
      </c>
      <c r="AH159" s="715">
        <f t="shared" si="33"/>
        <v>0</v>
      </c>
      <c r="AI159" s="717" t="s">
        <v>120</v>
      </c>
      <c r="AJ159" s="715" t="s">
        <v>3981</v>
      </c>
      <c r="AK159" s="652"/>
      <c r="AL159" s="652"/>
      <c r="AM159" s="652"/>
      <c r="AN159" s="652">
        <f t="shared" ref="AN159:AN180" si="34">I159</f>
        <v>2124</v>
      </c>
      <c r="AO159" s="652"/>
      <c r="AP159" s="652"/>
      <c r="AQ159" s="652"/>
      <c r="AR159" s="652"/>
      <c r="AS159" s="652"/>
      <c r="AT159" s="652"/>
      <c r="AU159" s="652"/>
      <c r="AV159" s="652"/>
      <c r="AW159" s="652"/>
      <c r="AX159" s="652"/>
      <c r="AY159" s="652"/>
      <c r="AZ159" s="652"/>
      <c r="BA159" s="652"/>
      <c r="BB159" s="652"/>
      <c r="BC159" s="652"/>
      <c r="BD159" s="652"/>
      <c r="BE159" s="652"/>
      <c r="BF159" s="652"/>
      <c r="BG159" s="652"/>
      <c r="BH159" s="652"/>
      <c r="BI159" s="652">
        <f>I159</f>
        <v>2124</v>
      </c>
    </row>
    <row r="160" s="650" customFormat="1" ht="31" customHeight="1" spans="1:96">
      <c r="A160" s="772">
        <v>46122</v>
      </c>
      <c r="B160" s="773" t="s">
        <v>966</v>
      </c>
      <c r="C160" s="771" t="s">
        <v>148</v>
      </c>
      <c r="D160" s="774">
        <v>4500201090</v>
      </c>
      <c r="E160" s="771" t="s">
        <v>4459</v>
      </c>
      <c r="F160" s="774" t="s">
        <v>4460</v>
      </c>
      <c r="G160" s="775" t="s">
        <v>3973</v>
      </c>
      <c r="H160" s="771" t="s">
        <v>3995</v>
      </c>
      <c r="I160" s="776">
        <v>992</v>
      </c>
      <c r="J160" s="771">
        <v>0</v>
      </c>
      <c r="K160" s="771">
        <v>16</v>
      </c>
      <c r="L160" s="777">
        <f t="shared" si="25"/>
        <v>62</v>
      </c>
      <c r="M160" s="778">
        <v>46181</v>
      </c>
      <c r="N160" s="778">
        <v>46177</v>
      </c>
      <c r="O160" s="773"/>
      <c r="P160" s="717" t="s">
        <v>106</v>
      </c>
      <c r="Q160" s="776"/>
      <c r="R160" s="734">
        <v>46141</v>
      </c>
      <c r="S160" s="735" t="s">
        <v>107</v>
      </c>
      <c r="T160" s="735" t="s">
        <v>4347</v>
      </c>
      <c r="U160" s="735"/>
      <c r="V160" s="735"/>
      <c r="W160" s="735"/>
      <c r="X160" s="735" t="s">
        <v>4461</v>
      </c>
      <c r="Y160" s="778" t="s">
        <v>969</v>
      </c>
      <c r="Z160" s="779">
        <v>4.5744</v>
      </c>
      <c r="AA160" s="771">
        <f t="shared" ref="AA160:AA176" si="35">Z160*I160</f>
        <v>4537.8048</v>
      </c>
      <c r="AB160" s="780"/>
      <c r="AC160" s="774" t="s">
        <v>4108</v>
      </c>
      <c r="AD160" s="771" t="s">
        <v>112</v>
      </c>
      <c r="AE160" s="715">
        <f t="shared" si="30"/>
        <v>992</v>
      </c>
      <c r="AF160" s="715"/>
      <c r="AG160" s="771">
        <v>992</v>
      </c>
      <c r="AH160" s="715">
        <f t="shared" si="33"/>
        <v>0</v>
      </c>
      <c r="AI160" s="776"/>
      <c r="AJ160" s="771" t="s">
        <v>3981</v>
      </c>
      <c r="AK160" s="652"/>
      <c r="AL160" s="774">
        <f>I160</f>
        <v>992</v>
      </c>
      <c r="AM160" s="774"/>
      <c r="AN160" s="652">
        <f t="shared" si="34"/>
        <v>992</v>
      </c>
      <c r="AO160" s="774"/>
      <c r="AP160" s="774"/>
      <c r="AQ160" s="774"/>
      <c r="AR160" s="774"/>
      <c r="AS160" s="774"/>
      <c r="AT160" s="652"/>
      <c r="AU160" s="774">
        <f>I160/8</f>
        <v>124</v>
      </c>
      <c r="AV160" s="774"/>
      <c r="AW160" s="774"/>
      <c r="AX160" s="774"/>
      <c r="AY160" s="774"/>
      <c r="AZ160" s="774"/>
      <c r="BA160" s="774"/>
      <c r="BB160" s="774"/>
      <c r="BC160" s="774"/>
      <c r="BD160" s="774"/>
      <c r="BE160" s="774"/>
      <c r="BF160" s="774"/>
      <c r="BG160" s="774"/>
      <c r="BH160" s="774"/>
      <c r="BI160" s="774"/>
      <c r="BJ160" s="724"/>
      <c r="BK160" s="724"/>
      <c r="BL160" s="724"/>
      <c r="BM160" s="724"/>
      <c r="BN160" s="724"/>
      <c r="BO160" s="724"/>
      <c r="BP160" s="724"/>
      <c r="BQ160" s="724"/>
      <c r="BR160" s="724"/>
      <c r="BS160" s="724"/>
      <c r="BT160" s="724"/>
      <c r="BU160" s="724"/>
      <c r="BV160" s="724"/>
      <c r="BW160" s="724"/>
      <c r="BX160" s="724"/>
      <c r="BY160" s="724"/>
      <c r="BZ160" s="724"/>
      <c r="CA160" s="724"/>
      <c r="CB160" s="724"/>
      <c r="CC160" s="724"/>
      <c r="CD160" s="724"/>
      <c r="CE160" s="724"/>
      <c r="CF160" s="724"/>
      <c r="CG160" s="724"/>
      <c r="CH160" s="724"/>
      <c r="CI160" s="724"/>
      <c r="CJ160" s="724"/>
      <c r="CK160" s="724"/>
      <c r="CL160" s="724"/>
      <c r="CM160" s="724"/>
      <c r="CN160" s="724"/>
      <c r="CO160" s="724"/>
      <c r="CP160" s="724"/>
      <c r="CQ160" s="724"/>
      <c r="CR160" s="724"/>
    </row>
    <row r="161" s="650" customFormat="1" ht="31" customHeight="1" spans="1:108">
      <c r="A161" s="781">
        <v>46122</v>
      </c>
      <c r="B161" s="782" t="s">
        <v>966</v>
      </c>
      <c r="C161" s="783" t="s">
        <v>148</v>
      </c>
      <c r="D161" s="784">
        <v>4500201090</v>
      </c>
      <c r="E161" s="783" t="s">
        <v>4462</v>
      </c>
      <c r="F161" s="784" t="s">
        <v>4463</v>
      </c>
      <c r="G161" s="785" t="s">
        <v>3973</v>
      </c>
      <c r="H161" s="783" t="s">
        <v>3995</v>
      </c>
      <c r="I161" s="786">
        <v>416</v>
      </c>
      <c r="J161" s="783">
        <v>0</v>
      </c>
      <c r="K161" s="783">
        <v>16</v>
      </c>
      <c r="L161" s="787">
        <f t="shared" si="25"/>
        <v>26</v>
      </c>
      <c r="M161" s="788">
        <v>46181</v>
      </c>
      <c r="N161" s="788">
        <v>46177</v>
      </c>
      <c r="O161" s="782"/>
      <c r="P161" s="717" t="s">
        <v>106</v>
      </c>
      <c r="Q161" s="786"/>
      <c r="R161" s="789">
        <v>46141</v>
      </c>
      <c r="S161" s="790" t="s">
        <v>107</v>
      </c>
      <c r="T161" s="790" t="s">
        <v>4347</v>
      </c>
      <c r="U161" s="790"/>
      <c r="V161" s="790"/>
      <c r="W161" s="790"/>
      <c r="X161" s="790" t="s">
        <v>4461</v>
      </c>
      <c r="Y161" s="788" t="s">
        <v>969</v>
      </c>
      <c r="Z161" s="791">
        <v>4.5744</v>
      </c>
      <c r="AA161" s="783">
        <f t="shared" si="35"/>
        <v>1902.9504</v>
      </c>
      <c r="AB161" s="792"/>
      <c r="AC161" s="784" t="s">
        <v>4108</v>
      </c>
      <c r="AD161" s="783" t="s">
        <v>112</v>
      </c>
      <c r="AE161" s="715">
        <f t="shared" si="30"/>
        <v>416</v>
      </c>
      <c r="AF161" s="715"/>
      <c r="AG161" s="783">
        <v>416</v>
      </c>
      <c r="AH161" s="715">
        <f t="shared" si="33"/>
        <v>0</v>
      </c>
      <c r="AI161" s="786"/>
      <c r="AJ161" s="783" t="s">
        <v>3981</v>
      </c>
      <c r="AK161" s="652"/>
      <c r="AL161" s="784">
        <f>I161</f>
        <v>416</v>
      </c>
      <c r="AM161" s="784"/>
      <c r="AN161" s="652">
        <f t="shared" si="34"/>
        <v>416</v>
      </c>
      <c r="AO161" s="784"/>
      <c r="AP161" s="784"/>
      <c r="AQ161" s="784"/>
      <c r="AR161" s="784"/>
      <c r="AS161" s="784"/>
      <c r="AT161" s="784"/>
      <c r="AU161" s="784">
        <f>I161/8</f>
        <v>52</v>
      </c>
      <c r="AV161" s="784"/>
      <c r="AW161" s="784"/>
      <c r="AX161" s="784"/>
      <c r="AY161" s="784"/>
      <c r="AZ161" s="784"/>
      <c r="BA161" s="784"/>
      <c r="BB161" s="784"/>
      <c r="BC161" s="784"/>
      <c r="BD161" s="784"/>
      <c r="BE161" s="784"/>
      <c r="BF161" s="784"/>
      <c r="BG161" s="784"/>
      <c r="BH161" s="784"/>
      <c r="BI161" s="784"/>
      <c r="BJ161" s="724"/>
      <c r="BK161" s="724"/>
      <c r="BL161" s="724"/>
      <c r="BM161" s="724"/>
      <c r="BN161" s="724"/>
      <c r="BO161" s="724"/>
      <c r="BP161" s="724"/>
      <c r="BQ161" s="724"/>
      <c r="BR161" s="724"/>
      <c r="BS161" s="724"/>
      <c r="BT161" s="724"/>
      <c r="BU161" s="724"/>
      <c r="BV161" s="724"/>
      <c r="BW161" s="724"/>
      <c r="BX161" s="724"/>
      <c r="BY161" s="724"/>
      <c r="BZ161" s="724"/>
      <c r="CA161" s="724"/>
      <c r="CB161" s="724"/>
      <c r="CC161" s="724"/>
      <c r="CD161" s="724"/>
      <c r="CE161" s="724"/>
      <c r="CF161" s="724"/>
      <c r="CG161" s="724"/>
      <c r="CH161" s="724"/>
      <c r="CI161" s="724"/>
      <c r="CJ161" s="724"/>
      <c r="CK161" s="724"/>
      <c r="CL161" s="724"/>
      <c r="CM161" s="724"/>
      <c r="CN161" s="724"/>
      <c r="CO161" s="724"/>
      <c r="CP161" s="724"/>
      <c r="CQ161" s="724"/>
      <c r="CR161" s="724"/>
    </row>
    <row r="162" s="650" customFormat="1" ht="31" customHeight="1" spans="1:108">
      <c r="A162" s="713">
        <v>46080</v>
      </c>
      <c r="B162" s="714" t="s">
        <v>467</v>
      </c>
      <c r="C162" s="715" t="s">
        <v>115</v>
      </c>
      <c r="D162" s="652">
        <v>4500194421</v>
      </c>
      <c r="E162" s="715">
        <v>352466</v>
      </c>
      <c r="F162" s="652" t="s">
        <v>4464</v>
      </c>
      <c r="G162" s="716" t="s">
        <v>3980</v>
      </c>
      <c r="H162" s="715" t="s">
        <v>3978</v>
      </c>
      <c r="I162" s="717">
        <v>3312</v>
      </c>
      <c r="J162" s="715">
        <v>0</v>
      </c>
      <c r="K162" s="715">
        <v>8</v>
      </c>
      <c r="L162" s="715">
        <f t="shared" si="25"/>
        <v>414</v>
      </c>
      <c r="M162" s="719">
        <v>46181</v>
      </c>
      <c r="N162" s="719">
        <v>46177</v>
      </c>
      <c r="O162" s="714" t="s">
        <v>954</v>
      </c>
      <c r="P162" s="717" t="s">
        <v>106</v>
      </c>
      <c r="Q162" s="717"/>
      <c r="R162" s="723">
        <v>46107</v>
      </c>
      <c r="S162" s="720" t="s">
        <v>107</v>
      </c>
      <c r="T162" s="720" t="s">
        <v>95</v>
      </c>
      <c r="U162" s="720"/>
      <c r="V162" s="720"/>
      <c r="W162" s="720"/>
      <c r="X162" s="720" t="s">
        <v>4209</v>
      </c>
      <c r="Y162" s="719" t="s">
        <v>473</v>
      </c>
      <c r="Z162" s="715">
        <v>3</v>
      </c>
      <c r="AA162" s="652">
        <f t="shared" si="35"/>
        <v>9936</v>
      </c>
      <c r="AB162" s="729" t="s">
        <v>474</v>
      </c>
      <c r="AC162" s="722" t="s">
        <v>3980</v>
      </c>
      <c r="AD162" s="715" t="s">
        <v>112</v>
      </c>
      <c r="AE162" s="715">
        <f t="shared" si="30"/>
        <v>3312</v>
      </c>
      <c r="AF162" s="715" t="s">
        <v>4109</v>
      </c>
      <c r="AG162" s="715">
        <v>3312</v>
      </c>
      <c r="AH162" s="715">
        <f t="shared" si="33"/>
        <v>0</v>
      </c>
      <c r="AI162" s="717"/>
      <c r="AJ162" s="715" t="s">
        <v>3981</v>
      </c>
      <c r="AK162" s="652">
        <f t="shared" ref="AK162:AK176" si="36">I162</f>
        <v>3312</v>
      </c>
      <c r="AL162" s="652"/>
      <c r="AM162" s="652"/>
      <c r="AN162" s="652">
        <f t="shared" si="34"/>
        <v>3312</v>
      </c>
      <c r="AO162" s="652"/>
      <c r="AP162" s="652"/>
      <c r="AQ162" s="652"/>
      <c r="AR162" s="652"/>
      <c r="AS162" s="652"/>
      <c r="AT162" s="652">
        <f t="shared" ref="AT162:AT176" si="37">I162/8</f>
        <v>414</v>
      </c>
      <c r="AU162" s="652"/>
      <c r="AV162" s="652"/>
      <c r="AW162" s="652"/>
      <c r="AX162" s="652"/>
      <c r="AY162" s="652"/>
      <c r="AZ162" s="652"/>
      <c r="BA162" s="652"/>
      <c r="BB162" s="652"/>
      <c r="BC162" s="652"/>
      <c r="BD162" s="652"/>
      <c r="BE162" s="652"/>
      <c r="BF162" s="652"/>
      <c r="BG162" s="652"/>
      <c r="BH162" s="652"/>
      <c r="BI162" s="652"/>
    </row>
    <row r="163" s="650" customFormat="1" ht="31" customHeight="1" spans="1:108">
      <c r="A163" s="713">
        <v>46080</v>
      </c>
      <c r="B163" s="714" t="s">
        <v>467</v>
      </c>
      <c r="C163" s="715" t="s">
        <v>115</v>
      </c>
      <c r="D163" s="652">
        <v>4500194421</v>
      </c>
      <c r="E163" s="715">
        <v>572666</v>
      </c>
      <c r="F163" s="652" t="s">
        <v>4465</v>
      </c>
      <c r="G163" s="716" t="s">
        <v>3980</v>
      </c>
      <c r="H163" s="715" t="s">
        <v>3978</v>
      </c>
      <c r="I163" s="717">
        <v>592</v>
      </c>
      <c r="J163" s="715">
        <v>0</v>
      </c>
      <c r="K163" s="715">
        <v>8</v>
      </c>
      <c r="L163" s="715">
        <f t="shared" si="25"/>
        <v>74</v>
      </c>
      <c r="M163" s="719">
        <v>46181</v>
      </c>
      <c r="N163" s="719">
        <v>46177</v>
      </c>
      <c r="O163" s="714" t="s">
        <v>954</v>
      </c>
      <c r="P163" s="717" t="s">
        <v>106</v>
      </c>
      <c r="Q163" s="717"/>
      <c r="R163" s="723">
        <v>46107</v>
      </c>
      <c r="S163" s="720" t="s">
        <v>107</v>
      </c>
      <c r="T163" s="720" t="s">
        <v>95</v>
      </c>
      <c r="U163" s="720"/>
      <c r="V163" s="720"/>
      <c r="W163" s="720"/>
      <c r="X163" s="720" t="s">
        <v>4209</v>
      </c>
      <c r="Y163" s="719" t="s">
        <v>473</v>
      </c>
      <c r="Z163" s="715">
        <v>3</v>
      </c>
      <c r="AA163" s="652">
        <f t="shared" si="35"/>
        <v>1776</v>
      </c>
      <c r="AB163" s="729" t="s">
        <v>955</v>
      </c>
      <c r="AC163" s="722" t="s">
        <v>3980</v>
      </c>
      <c r="AD163" s="715" t="s">
        <v>112</v>
      </c>
      <c r="AE163" s="715">
        <f t="shared" si="30"/>
        <v>592</v>
      </c>
      <c r="AF163" s="715" t="s">
        <v>4109</v>
      </c>
      <c r="AG163" s="715">
        <v>592</v>
      </c>
      <c r="AH163" s="715">
        <f t="shared" si="33"/>
        <v>0</v>
      </c>
      <c r="AI163" s="717"/>
      <c r="AJ163" s="715" t="s">
        <v>3981</v>
      </c>
      <c r="AK163" s="652">
        <f t="shared" si="36"/>
        <v>592</v>
      </c>
      <c r="AL163" s="652"/>
      <c r="AM163" s="652"/>
      <c r="AN163" s="652">
        <f t="shared" si="34"/>
        <v>592</v>
      </c>
      <c r="AO163" s="652"/>
      <c r="AP163" s="652"/>
      <c r="AQ163" s="652"/>
      <c r="AR163" s="652"/>
      <c r="AS163" s="652"/>
      <c r="AT163" s="652">
        <f t="shared" si="37"/>
        <v>74</v>
      </c>
      <c r="AU163" s="652"/>
      <c r="AV163" s="652"/>
      <c r="AW163" s="652"/>
      <c r="AX163" s="652"/>
      <c r="AY163" s="652"/>
      <c r="AZ163" s="652"/>
      <c r="BA163" s="652"/>
      <c r="BB163" s="652"/>
      <c r="BC163" s="652"/>
      <c r="BD163" s="652"/>
      <c r="BE163" s="652"/>
      <c r="BF163" s="652"/>
      <c r="BG163" s="652"/>
      <c r="BH163" s="652"/>
      <c r="BI163" s="652"/>
    </row>
    <row r="164" s="650" customFormat="1" ht="31" customHeight="1" spans="1:108">
      <c r="A164" s="713">
        <v>46080</v>
      </c>
      <c r="B164" s="714" t="s">
        <v>467</v>
      </c>
      <c r="C164" s="715" t="s">
        <v>115</v>
      </c>
      <c r="D164" s="652">
        <v>4500194421</v>
      </c>
      <c r="E164" s="715">
        <v>1204936</v>
      </c>
      <c r="F164" s="652" t="s">
        <v>4466</v>
      </c>
      <c r="G164" s="716" t="s">
        <v>3980</v>
      </c>
      <c r="H164" s="715" t="s">
        <v>3978</v>
      </c>
      <c r="I164" s="717">
        <v>5800</v>
      </c>
      <c r="J164" s="715">
        <v>0</v>
      </c>
      <c r="K164" s="715">
        <v>8</v>
      </c>
      <c r="L164" s="715">
        <f t="shared" si="25"/>
        <v>725</v>
      </c>
      <c r="M164" s="719">
        <v>46181</v>
      </c>
      <c r="N164" s="719">
        <v>46177</v>
      </c>
      <c r="O164" s="714" t="s">
        <v>954</v>
      </c>
      <c r="P164" s="717" t="s">
        <v>106</v>
      </c>
      <c r="Q164" s="717"/>
      <c r="R164" s="723">
        <v>46107</v>
      </c>
      <c r="S164" s="720" t="s">
        <v>107</v>
      </c>
      <c r="T164" s="720" t="s">
        <v>95</v>
      </c>
      <c r="U164" s="720"/>
      <c r="V164" s="720"/>
      <c r="W164" s="720"/>
      <c r="X164" s="720" t="s">
        <v>4209</v>
      </c>
      <c r="Y164" s="719" t="s">
        <v>473</v>
      </c>
      <c r="Z164" s="715">
        <v>3</v>
      </c>
      <c r="AA164" s="652">
        <f t="shared" si="35"/>
        <v>17400</v>
      </c>
      <c r="AB164" s="729" t="s">
        <v>474</v>
      </c>
      <c r="AC164" s="722" t="s">
        <v>3980</v>
      </c>
      <c r="AD164" s="715" t="s">
        <v>112</v>
      </c>
      <c r="AE164" s="715">
        <f t="shared" si="30"/>
        <v>5800</v>
      </c>
      <c r="AF164" s="715" t="s">
        <v>4109</v>
      </c>
      <c r="AG164" s="715">
        <f>3840+1960</f>
        <v>5800</v>
      </c>
      <c r="AH164" s="715">
        <f t="shared" si="33"/>
        <v>0</v>
      </c>
      <c r="AI164" s="717"/>
      <c r="AJ164" s="715" t="s">
        <v>3981</v>
      </c>
      <c r="AK164" s="652">
        <f t="shared" si="36"/>
        <v>5800</v>
      </c>
      <c r="AL164" s="652"/>
      <c r="AM164" s="652"/>
      <c r="AN164" s="652">
        <f t="shared" si="34"/>
        <v>5800</v>
      </c>
      <c r="AO164" s="652"/>
      <c r="AP164" s="652"/>
      <c r="AQ164" s="652"/>
      <c r="AR164" s="652"/>
      <c r="AS164" s="652"/>
      <c r="AT164" s="652">
        <f t="shared" si="37"/>
        <v>725</v>
      </c>
      <c r="AU164" s="652"/>
      <c r="AV164" s="652"/>
      <c r="AW164" s="652"/>
      <c r="AX164" s="652"/>
      <c r="AY164" s="652"/>
      <c r="AZ164" s="652"/>
      <c r="BA164" s="652"/>
      <c r="BB164" s="652"/>
      <c r="BC164" s="652"/>
      <c r="BD164" s="652"/>
      <c r="BE164" s="652"/>
      <c r="BF164" s="652"/>
      <c r="BG164" s="652"/>
      <c r="BH164" s="652"/>
      <c r="BI164" s="652"/>
      <c r="BJ164" s="651"/>
      <c r="BK164" s="651"/>
      <c r="BL164" s="651"/>
      <c r="BM164" s="651"/>
      <c r="BN164" s="651"/>
      <c r="BO164" s="651"/>
      <c r="BP164" s="651"/>
      <c r="BQ164" s="651"/>
      <c r="BR164" s="651"/>
      <c r="BS164" s="651"/>
      <c r="BT164" s="651"/>
      <c r="BU164" s="651"/>
      <c r="BV164" s="651"/>
      <c r="BW164" s="651"/>
      <c r="BX164" s="651"/>
      <c r="BY164" s="651"/>
      <c r="BZ164" s="651"/>
      <c r="CA164" s="651"/>
      <c r="CB164" s="651"/>
      <c r="CC164" s="651"/>
      <c r="CD164" s="651"/>
      <c r="CE164" s="651"/>
      <c r="CF164" s="651"/>
      <c r="CG164" s="651"/>
      <c r="CH164" s="651"/>
      <c r="CI164" s="651"/>
      <c r="CJ164" s="651"/>
      <c r="CK164" s="651"/>
      <c r="CL164" s="651"/>
      <c r="CM164" s="651"/>
      <c r="CN164" s="651"/>
      <c r="CO164" s="651"/>
      <c r="CP164" s="651"/>
      <c r="CQ164" s="651"/>
      <c r="CR164" s="651"/>
    </row>
    <row r="165" s="650" customFormat="1" ht="31" customHeight="1" spans="1:108">
      <c r="A165" s="713">
        <v>46080</v>
      </c>
      <c r="B165" s="714" t="s">
        <v>467</v>
      </c>
      <c r="C165" s="715" t="s">
        <v>115</v>
      </c>
      <c r="D165" s="652">
        <v>4500194421</v>
      </c>
      <c r="E165" s="715">
        <v>1547300</v>
      </c>
      <c r="F165" s="652" t="s">
        <v>4467</v>
      </c>
      <c r="G165" s="716" t="s">
        <v>3980</v>
      </c>
      <c r="H165" s="715" t="s">
        <v>3978</v>
      </c>
      <c r="I165" s="717">
        <v>1224</v>
      </c>
      <c r="J165" s="715">
        <v>0</v>
      </c>
      <c r="K165" s="715">
        <v>8</v>
      </c>
      <c r="L165" s="715">
        <f t="shared" si="25"/>
        <v>153</v>
      </c>
      <c r="M165" s="719">
        <v>46181</v>
      </c>
      <c r="N165" s="719">
        <v>46177</v>
      </c>
      <c r="O165" s="714" t="s">
        <v>954</v>
      </c>
      <c r="P165" s="717" t="s">
        <v>106</v>
      </c>
      <c r="Q165" s="717"/>
      <c r="R165" s="723">
        <v>46107</v>
      </c>
      <c r="S165" s="720" t="s">
        <v>107</v>
      </c>
      <c r="T165" s="720" t="s">
        <v>95</v>
      </c>
      <c r="U165" s="720"/>
      <c r="V165" s="720"/>
      <c r="W165" s="720"/>
      <c r="X165" s="720" t="s">
        <v>4209</v>
      </c>
      <c r="Y165" s="719" t="s">
        <v>473</v>
      </c>
      <c r="Z165" s="715">
        <v>3</v>
      </c>
      <c r="AA165" s="652">
        <f t="shared" si="35"/>
        <v>3672</v>
      </c>
      <c r="AB165" s="729" t="s">
        <v>955</v>
      </c>
      <c r="AC165" s="722" t="s">
        <v>3980</v>
      </c>
      <c r="AD165" s="715" t="s">
        <v>112</v>
      </c>
      <c r="AE165" s="715">
        <f t="shared" si="30"/>
        <v>1224</v>
      </c>
      <c r="AF165" s="715" t="s">
        <v>4109</v>
      </c>
      <c r="AG165" s="715">
        <v>1224</v>
      </c>
      <c r="AH165" s="715">
        <f t="shared" si="33"/>
        <v>0</v>
      </c>
      <c r="AI165" s="717"/>
      <c r="AJ165" s="715" t="s">
        <v>3981</v>
      </c>
      <c r="AK165" s="652">
        <f t="shared" si="36"/>
        <v>1224</v>
      </c>
      <c r="AL165" s="652"/>
      <c r="AM165" s="652"/>
      <c r="AN165" s="652">
        <f t="shared" si="34"/>
        <v>1224</v>
      </c>
      <c r="AO165" s="652"/>
      <c r="AP165" s="652"/>
      <c r="AQ165" s="652"/>
      <c r="AR165" s="652"/>
      <c r="AS165" s="652"/>
      <c r="AT165" s="652">
        <f t="shared" si="37"/>
        <v>153</v>
      </c>
      <c r="AU165" s="652"/>
      <c r="AV165" s="652"/>
      <c r="AW165" s="652"/>
      <c r="AX165" s="652"/>
      <c r="AY165" s="652"/>
      <c r="AZ165" s="652"/>
      <c r="BA165" s="652"/>
      <c r="BB165" s="652"/>
      <c r="BC165" s="652"/>
      <c r="BD165" s="652"/>
      <c r="BE165" s="652"/>
      <c r="BF165" s="652"/>
      <c r="BG165" s="652"/>
      <c r="BH165" s="652"/>
      <c r="BI165" s="652"/>
      <c r="BJ165" s="651"/>
      <c r="BK165" s="651"/>
      <c r="BL165" s="651"/>
      <c r="BM165" s="651"/>
      <c r="BN165" s="651"/>
      <c r="BO165" s="651"/>
      <c r="BP165" s="651"/>
      <c r="BQ165" s="651"/>
      <c r="BR165" s="651"/>
      <c r="BS165" s="651"/>
      <c r="BT165" s="651"/>
      <c r="BU165" s="651"/>
      <c r="BV165" s="651"/>
      <c r="BW165" s="651"/>
      <c r="BX165" s="651"/>
      <c r="BY165" s="651"/>
      <c r="BZ165" s="651"/>
      <c r="CA165" s="651"/>
      <c r="CB165" s="651"/>
      <c r="CC165" s="651"/>
      <c r="CD165" s="651"/>
      <c r="CE165" s="651"/>
      <c r="CF165" s="651"/>
      <c r="CG165" s="651"/>
      <c r="CH165" s="651"/>
      <c r="CI165" s="651"/>
      <c r="CJ165" s="651"/>
      <c r="CK165" s="651"/>
      <c r="CL165" s="651"/>
      <c r="CM165" s="651"/>
      <c r="CN165" s="651"/>
      <c r="CO165" s="651"/>
      <c r="CP165" s="651"/>
      <c r="CQ165" s="651"/>
      <c r="CR165" s="651"/>
    </row>
    <row r="166" s="651" customFormat="1" ht="31" customHeight="1" spans="1:108">
      <c r="A166" s="713">
        <v>46080</v>
      </c>
      <c r="B166" s="714" t="s">
        <v>467</v>
      </c>
      <c r="C166" s="715" t="s">
        <v>115</v>
      </c>
      <c r="D166" s="652">
        <v>4500194421</v>
      </c>
      <c r="E166" s="715">
        <v>1816101</v>
      </c>
      <c r="F166" s="652" t="s">
        <v>4468</v>
      </c>
      <c r="G166" s="716" t="s">
        <v>3980</v>
      </c>
      <c r="H166" s="715" t="s">
        <v>3978</v>
      </c>
      <c r="I166" s="717">
        <v>5344</v>
      </c>
      <c r="J166" s="715">
        <v>0</v>
      </c>
      <c r="K166" s="715">
        <v>8</v>
      </c>
      <c r="L166" s="715">
        <f t="shared" si="25"/>
        <v>668</v>
      </c>
      <c r="M166" s="719">
        <v>46181</v>
      </c>
      <c r="N166" s="719">
        <v>46177</v>
      </c>
      <c r="O166" s="714" t="s">
        <v>954</v>
      </c>
      <c r="P166" s="717" t="s">
        <v>106</v>
      </c>
      <c r="Q166" s="717"/>
      <c r="R166" s="723">
        <v>46107</v>
      </c>
      <c r="S166" s="720" t="s">
        <v>107</v>
      </c>
      <c r="T166" s="720" t="s">
        <v>95</v>
      </c>
      <c r="U166" s="720"/>
      <c r="V166" s="720"/>
      <c r="W166" s="720"/>
      <c r="X166" s="720" t="s">
        <v>4209</v>
      </c>
      <c r="Y166" s="719" t="s">
        <v>473</v>
      </c>
      <c r="Z166" s="715">
        <v>3</v>
      </c>
      <c r="AA166" s="652">
        <f t="shared" si="35"/>
        <v>16032</v>
      </c>
      <c r="AB166" s="729" t="s">
        <v>474</v>
      </c>
      <c r="AC166" s="722" t="s">
        <v>3980</v>
      </c>
      <c r="AD166" s="715" t="s">
        <v>112</v>
      </c>
      <c r="AE166" s="715">
        <f t="shared" si="30"/>
        <v>5344</v>
      </c>
      <c r="AF166" s="715" t="s">
        <v>4109</v>
      </c>
      <c r="AG166" s="715">
        <v>5344</v>
      </c>
      <c r="AH166" s="715">
        <f t="shared" si="33"/>
        <v>0</v>
      </c>
      <c r="AI166" s="717"/>
      <c r="AJ166" s="715" t="s">
        <v>3981</v>
      </c>
      <c r="AK166" s="652">
        <f t="shared" si="36"/>
        <v>5344</v>
      </c>
      <c r="AL166" s="652"/>
      <c r="AM166" s="652"/>
      <c r="AN166" s="652">
        <f t="shared" si="34"/>
        <v>5344</v>
      </c>
      <c r="AO166" s="652"/>
      <c r="AP166" s="652"/>
      <c r="AQ166" s="652"/>
      <c r="AR166" s="652"/>
      <c r="AS166" s="652"/>
      <c r="AT166" s="652">
        <f t="shared" si="37"/>
        <v>668</v>
      </c>
      <c r="AU166" s="652"/>
      <c r="AV166" s="652"/>
      <c r="AW166" s="652"/>
      <c r="AX166" s="652"/>
      <c r="AY166" s="652"/>
      <c r="AZ166" s="652"/>
      <c r="BA166" s="652"/>
      <c r="BB166" s="652"/>
      <c r="BC166" s="652"/>
      <c r="BD166" s="652"/>
      <c r="BE166" s="652"/>
      <c r="BF166" s="652"/>
      <c r="BG166" s="652"/>
      <c r="BH166" s="652"/>
      <c r="BI166" s="652"/>
      <c r="BJ166" s="651"/>
      <c r="BK166" s="651"/>
      <c r="BL166" s="651"/>
      <c r="BM166" s="651"/>
      <c r="BN166" s="651"/>
      <c r="BO166" s="651"/>
      <c r="BP166" s="651"/>
      <c r="BQ166" s="651"/>
      <c r="BR166" s="651"/>
      <c r="BS166" s="651"/>
      <c r="BT166" s="651"/>
      <c r="BU166" s="651"/>
      <c r="BV166" s="651"/>
      <c r="BW166" s="651"/>
      <c r="BX166" s="651"/>
      <c r="BY166" s="651"/>
      <c r="BZ166" s="651"/>
      <c r="CA166" s="651"/>
      <c r="CB166" s="651"/>
      <c r="CC166" s="651"/>
      <c r="CD166" s="651"/>
      <c r="CE166" s="651"/>
      <c r="CF166" s="651"/>
      <c r="CG166" s="651"/>
      <c r="CH166" s="651"/>
      <c r="CI166" s="651"/>
      <c r="CJ166" s="651"/>
      <c r="CK166" s="651"/>
      <c r="CL166" s="651"/>
      <c r="CM166" s="651"/>
      <c r="CN166" s="651"/>
      <c r="CO166" s="651"/>
      <c r="CP166" s="651"/>
      <c r="CQ166" s="651"/>
      <c r="CR166" s="651"/>
      <c r="CS166" s="650"/>
      <c r="CT166" s="650"/>
      <c r="CU166" s="650"/>
      <c r="CV166" s="650"/>
      <c r="CW166" s="650"/>
      <c r="CX166" s="650"/>
      <c r="CY166" s="650"/>
      <c r="CZ166" s="650"/>
      <c r="DA166" s="650"/>
      <c r="DB166" s="650"/>
      <c r="DC166" s="650"/>
      <c r="DD166" s="650"/>
    </row>
    <row r="167" s="650" customFormat="1" ht="31" customHeight="1" spans="1:108">
      <c r="A167" s="713">
        <v>46080</v>
      </c>
      <c r="B167" s="714" t="s">
        <v>467</v>
      </c>
      <c r="C167" s="715" t="s">
        <v>115</v>
      </c>
      <c r="D167" s="652">
        <v>4500194421</v>
      </c>
      <c r="E167" s="715">
        <v>3118912</v>
      </c>
      <c r="F167" s="652" t="s">
        <v>4469</v>
      </c>
      <c r="G167" s="716" t="s">
        <v>3980</v>
      </c>
      <c r="H167" s="715" t="s">
        <v>3978</v>
      </c>
      <c r="I167" s="717">
        <v>1536</v>
      </c>
      <c r="J167" s="715">
        <v>0</v>
      </c>
      <c r="K167" s="715">
        <v>8</v>
      </c>
      <c r="L167" s="715">
        <f t="shared" si="25"/>
        <v>192</v>
      </c>
      <c r="M167" s="719">
        <v>46181</v>
      </c>
      <c r="N167" s="719">
        <v>46177</v>
      </c>
      <c r="O167" s="714" t="s">
        <v>954</v>
      </c>
      <c r="P167" s="717" t="s">
        <v>106</v>
      </c>
      <c r="Q167" s="717"/>
      <c r="R167" s="723">
        <v>46107</v>
      </c>
      <c r="S167" s="720" t="s">
        <v>107</v>
      </c>
      <c r="T167" s="720" t="s">
        <v>95</v>
      </c>
      <c r="U167" s="720"/>
      <c r="V167" s="720"/>
      <c r="W167" s="720"/>
      <c r="X167" s="720" t="s">
        <v>4209</v>
      </c>
      <c r="Y167" s="719" t="s">
        <v>473</v>
      </c>
      <c r="Z167" s="715">
        <v>3</v>
      </c>
      <c r="AA167" s="652">
        <f t="shared" si="35"/>
        <v>4608</v>
      </c>
      <c r="AB167" s="729" t="s">
        <v>474</v>
      </c>
      <c r="AC167" s="722" t="s">
        <v>3980</v>
      </c>
      <c r="AD167" s="715" t="s">
        <v>112</v>
      </c>
      <c r="AE167" s="715">
        <f t="shared" si="30"/>
        <v>1536</v>
      </c>
      <c r="AF167" s="715" t="s">
        <v>4109</v>
      </c>
      <c r="AG167" s="715">
        <v>1536</v>
      </c>
      <c r="AH167" s="715">
        <f t="shared" si="33"/>
        <v>0</v>
      </c>
      <c r="AI167" s="717"/>
      <c r="AJ167" s="715" t="s">
        <v>3981</v>
      </c>
      <c r="AK167" s="652">
        <f t="shared" si="36"/>
        <v>1536</v>
      </c>
      <c r="AL167" s="652"/>
      <c r="AM167" s="652"/>
      <c r="AN167" s="652">
        <f t="shared" si="34"/>
        <v>1536</v>
      </c>
      <c r="AO167" s="652"/>
      <c r="AP167" s="652"/>
      <c r="AQ167" s="652"/>
      <c r="AR167" s="652"/>
      <c r="AS167" s="652"/>
      <c r="AT167" s="652">
        <f t="shared" si="37"/>
        <v>192</v>
      </c>
      <c r="AU167" s="652"/>
      <c r="AV167" s="652"/>
      <c r="AW167" s="652"/>
      <c r="AX167" s="652"/>
      <c r="AY167" s="652"/>
      <c r="AZ167" s="652"/>
      <c r="BA167" s="652"/>
      <c r="BB167" s="652"/>
      <c r="BC167" s="652"/>
      <c r="BD167" s="652"/>
      <c r="BE167" s="652"/>
      <c r="BF167" s="652"/>
      <c r="BG167" s="652"/>
      <c r="BH167" s="652"/>
      <c r="BI167" s="652"/>
      <c r="BJ167" s="651"/>
      <c r="BK167" s="651"/>
      <c r="BL167" s="651"/>
      <c r="BM167" s="651"/>
      <c r="BN167" s="651"/>
      <c r="BO167" s="651"/>
      <c r="BP167" s="651"/>
      <c r="BQ167" s="651"/>
      <c r="BR167" s="651"/>
      <c r="BS167" s="651"/>
      <c r="BT167" s="651"/>
      <c r="BU167" s="651"/>
      <c r="BV167" s="651"/>
      <c r="BW167" s="651"/>
      <c r="BX167" s="651"/>
      <c r="BY167" s="651"/>
      <c r="BZ167" s="651"/>
      <c r="CA167" s="651"/>
      <c r="CB167" s="651"/>
      <c r="CC167" s="651"/>
      <c r="CD167" s="651"/>
      <c r="CE167" s="651"/>
      <c r="CF167" s="651"/>
      <c r="CG167" s="651"/>
      <c r="CH167" s="651"/>
      <c r="CI167" s="651"/>
      <c r="CJ167" s="651"/>
      <c r="CK167" s="651"/>
      <c r="CL167" s="651"/>
      <c r="CM167" s="651"/>
      <c r="CN167" s="651"/>
      <c r="CO167" s="651"/>
      <c r="CP167" s="651"/>
      <c r="CQ167" s="651"/>
      <c r="CR167" s="651"/>
    </row>
    <row r="168" s="650" customFormat="1" ht="31" customHeight="1" spans="1:108">
      <c r="A168" s="713">
        <v>46080</v>
      </c>
      <c r="B168" s="714" t="s">
        <v>467</v>
      </c>
      <c r="C168" s="715" t="s">
        <v>115</v>
      </c>
      <c r="D168" s="652">
        <v>4500194421</v>
      </c>
      <c r="E168" s="715">
        <v>4771321</v>
      </c>
      <c r="F168" s="652" t="s">
        <v>4470</v>
      </c>
      <c r="G168" s="716" t="s">
        <v>3980</v>
      </c>
      <c r="H168" s="715" t="s">
        <v>3978</v>
      </c>
      <c r="I168" s="717">
        <v>1600</v>
      </c>
      <c r="J168" s="715">
        <v>0</v>
      </c>
      <c r="K168" s="715">
        <v>8</v>
      </c>
      <c r="L168" s="715">
        <f t="shared" si="25"/>
        <v>200</v>
      </c>
      <c r="M168" s="719">
        <v>46181</v>
      </c>
      <c r="N168" s="719">
        <v>46177</v>
      </c>
      <c r="O168" s="714" t="s">
        <v>954</v>
      </c>
      <c r="P168" s="717" t="s">
        <v>106</v>
      </c>
      <c r="Q168" s="717"/>
      <c r="R168" s="723">
        <v>46107</v>
      </c>
      <c r="S168" s="720" t="s">
        <v>107</v>
      </c>
      <c r="T168" s="720" t="s">
        <v>95</v>
      </c>
      <c r="U168" s="720"/>
      <c r="V168" s="720"/>
      <c r="W168" s="720"/>
      <c r="X168" s="720" t="s">
        <v>4209</v>
      </c>
      <c r="Y168" s="719" t="s">
        <v>473</v>
      </c>
      <c r="Z168" s="715">
        <v>3</v>
      </c>
      <c r="AA168" s="652">
        <f t="shared" si="35"/>
        <v>4800</v>
      </c>
      <c r="AB168" s="729" t="s">
        <v>955</v>
      </c>
      <c r="AC168" s="722" t="s">
        <v>3980</v>
      </c>
      <c r="AD168" s="715" t="s">
        <v>112</v>
      </c>
      <c r="AE168" s="715">
        <f t="shared" si="30"/>
        <v>1600</v>
      </c>
      <c r="AF168" s="715" t="s">
        <v>4109</v>
      </c>
      <c r="AG168" s="715">
        <v>1600</v>
      </c>
      <c r="AH168" s="715">
        <f t="shared" si="33"/>
        <v>0</v>
      </c>
      <c r="AI168" s="717"/>
      <c r="AJ168" s="715" t="s">
        <v>3981</v>
      </c>
      <c r="AK168" s="652">
        <f t="shared" si="36"/>
        <v>1600</v>
      </c>
      <c r="AL168" s="652"/>
      <c r="AM168" s="652"/>
      <c r="AN168" s="652">
        <f t="shared" si="34"/>
        <v>1600</v>
      </c>
      <c r="AO168" s="652"/>
      <c r="AP168" s="652"/>
      <c r="AQ168" s="652"/>
      <c r="AR168" s="652"/>
      <c r="AS168" s="652"/>
      <c r="AT168" s="652">
        <f t="shared" si="37"/>
        <v>200</v>
      </c>
      <c r="AU168" s="652"/>
      <c r="AV168" s="652"/>
      <c r="AW168" s="652"/>
      <c r="AX168" s="652"/>
      <c r="AY168" s="652"/>
      <c r="AZ168" s="652"/>
      <c r="BA168" s="652"/>
      <c r="BB168" s="652"/>
      <c r="BC168" s="652"/>
      <c r="BD168" s="652"/>
      <c r="BE168" s="652"/>
      <c r="BF168" s="652"/>
      <c r="BG168" s="652"/>
      <c r="BH168" s="652"/>
      <c r="BI168" s="652"/>
    </row>
    <row r="169" s="654" customFormat="1" ht="31" customHeight="1" spans="1:108">
      <c r="A169" s="713">
        <v>46080</v>
      </c>
      <c r="B169" s="714" t="s">
        <v>467</v>
      </c>
      <c r="C169" s="715" t="s">
        <v>115</v>
      </c>
      <c r="D169" s="652">
        <v>4500194421</v>
      </c>
      <c r="E169" s="715">
        <v>5452983</v>
      </c>
      <c r="F169" s="652" t="s">
        <v>4471</v>
      </c>
      <c r="G169" s="716" t="s">
        <v>3980</v>
      </c>
      <c r="H169" s="715" t="s">
        <v>3978</v>
      </c>
      <c r="I169" s="717">
        <v>1416</v>
      </c>
      <c r="J169" s="715">
        <v>0</v>
      </c>
      <c r="K169" s="715">
        <v>8</v>
      </c>
      <c r="L169" s="715">
        <f t="shared" si="25"/>
        <v>177</v>
      </c>
      <c r="M169" s="719">
        <v>46181</v>
      </c>
      <c r="N169" s="719">
        <v>46177</v>
      </c>
      <c r="O169" s="714" t="s">
        <v>954</v>
      </c>
      <c r="P169" s="717" t="s">
        <v>106</v>
      </c>
      <c r="Q169" s="717"/>
      <c r="R169" s="723">
        <v>46107</v>
      </c>
      <c r="S169" s="720" t="s">
        <v>107</v>
      </c>
      <c r="T169" s="720" t="s">
        <v>95</v>
      </c>
      <c r="U169" s="720"/>
      <c r="V169" s="720"/>
      <c r="W169" s="720"/>
      <c r="X169" s="720" t="s">
        <v>4209</v>
      </c>
      <c r="Y169" s="719" t="s">
        <v>473</v>
      </c>
      <c r="Z169" s="715">
        <v>3</v>
      </c>
      <c r="AA169" s="652">
        <f t="shared" si="35"/>
        <v>4248</v>
      </c>
      <c r="AB169" s="729" t="s">
        <v>955</v>
      </c>
      <c r="AC169" s="722" t="s">
        <v>3980</v>
      </c>
      <c r="AD169" s="715" t="s">
        <v>112</v>
      </c>
      <c r="AE169" s="715">
        <f t="shared" si="30"/>
        <v>1416</v>
      </c>
      <c r="AF169" s="715" t="s">
        <v>4109</v>
      </c>
      <c r="AG169" s="715">
        <v>1416</v>
      </c>
      <c r="AH169" s="715">
        <f t="shared" si="33"/>
        <v>0</v>
      </c>
      <c r="AI169" s="717"/>
      <c r="AJ169" s="715" t="s">
        <v>3981</v>
      </c>
      <c r="AK169" s="652">
        <f t="shared" si="36"/>
        <v>1416</v>
      </c>
      <c r="AL169" s="652"/>
      <c r="AM169" s="652"/>
      <c r="AN169" s="652">
        <f t="shared" si="34"/>
        <v>1416</v>
      </c>
      <c r="AO169" s="652"/>
      <c r="AP169" s="652"/>
      <c r="AQ169" s="652"/>
      <c r="AR169" s="652"/>
      <c r="AS169" s="652"/>
      <c r="AT169" s="652">
        <f t="shared" si="37"/>
        <v>177</v>
      </c>
      <c r="AU169" s="652"/>
      <c r="AV169" s="652"/>
      <c r="AW169" s="652"/>
      <c r="AX169" s="652"/>
      <c r="AY169" s="652"/>
      <c r="AZ169" s="652"/>
      <c r="BA169" s="652"/>
      <c r="BB169" s="652"/>
      <c r="BC169" s="652"/>
      <c r="BD169" s="652"/>
      <c r="BE169" s="652"/>
      <c r="BF169" s="652"/>
      <c r="BG169" s="652"/>
      <c r="BH169" s="652"/>
      <c r="BI169" s="652"/>
      <c r="BJ169" s="650"/>
      <c r="BK169" s="650"/>
      <c r="BL169" s="650"/>
      <c r="BM169" s="650"/>
      <c r="BN169" s="650"/>
      <c r="BO169" s="650"/>
      <c r="BP169" s="650"/>
      <c r="BQ169" s="650"/>
      <c r="BR169" s="650"/>
      <c r="BS169" s="650"/>
      <c r="BT169" s="650"/>
      <c r="BU169" s="650"/>
      <c r="BV169" s="650"/>
      <c r="BW169" s="650"/>
      <c r="BX169" s="650"/>
      <c r="BY169" s="650"/>
      <c r="BZ169" s="650"/>
      <c r="CA169" s="650"/>
      <c r="CB169" s="650"/>
      <c r="CC169" s="650"/>
      <c r="CD169" s="650"/>
      <c r="CE169" s="650"/>
      <c r="CF169" s="650"/>
      <c r="CG169" s="650"/>
      <c r="CH169" s="650"/>
      <c r="CI169" s="650"/>
      <c r="CJ169" s="650"/>
      <c r="CK169" s="650"/>
      <c r="CL169" s="650"/>
      <c r="CM169" s="650"/>
      <c r="CN169" s="650"/>
      <c r="CO169" s="650"/>
      <c r="CP169" s="650"/>
      <c r="CQ169" s="650"/>
      <c r="CR169" s="650"/>
      <c r="CS169" s="650"/>
      <c r="CT169" s="650"/>
      <c r="CU169" s="650"/>
      <c r="CV169" s="650"/>
      <c r="CW169" s="650"/>
      <c r="CX169" s="650"/>
      <c r="CY169" s="650"/>
      <c r="CZ169" s="650"/>
      <c r="DA169" s="650"/>
      <c r="DB169" s="650"/>
      <c r="DC169" s="650"/>
      <c r="DD169" s="650"/>
    </row>
    <row r="170" s="650" customFormat="1" ht="31" customHeight="1" spans="1:108">
      <c r="A170" s="713">
        <v>46080</v>
      </c>
      <c r="B170" s="714" t="s">
        <v>467</v>
      </c>
      <c r="C170" s="715" t="s">
        <v>115</v>
      </c>
      <c r="D170" s="652">
        <v>4500194421</v>
      </c>
      <c r="E170" s="715">
        <v>6614553</v>
      </c>
      <c r="F170" s="652" t="s">
        <v>4472</v>
      </c>
      <c r="G170" s="716" t="s">
        <v>3980</v>
      </c>
      <c r="H170" s="715" t="s">
        <v>3978</v>
      </c>
      <c r="I170" s="717">
        <v>1032</v>
      </c>
      <c r="J170" s="715">
        <v>0</v>
      </c>
      <c r="K170" s="715">
        <v>8</v>
      </c>
      <c r="L170" s="715">
        <f t="shared" si="25"/>
        <v>129</v>
      </c>
      <c r="M170" s="719">
        <v>46181</v>
      </c>
      <c r="N170" s="719">
        <v>46177</v>
      </c>
      <c r="O170" s="714" t="s">
        <v>954</v>
      </c>
      <c r="P170" s="717" t="s">
        <v>106</v>
      </c>
      <c r="Q170" s="717"/>
      <c r="R170" s="723">
        <v>46107</v>
      </c>
      <c r="S170" s="720" t="s">
        <v>107</v>
      </c>
      <c r="T170" s="720" t="s">
        <v>95</v>
      </c>
      <c r="U170" s="720"/>
      <c r="V170" s="720"/>
      <c r="W170" s="720"/>
      <c r="X170" s="720" t="s">
        <v>4209</v>
      </c>
      <c r="Y170" s="719" t="s">
        <v>473</v>
      </c>
      <c r="Z170" s="715">
        <v>3</v>
      </c>
      <c r="AA170" s="652">
        <f t="shared" si="35"/>
        <v>3096</v>
      </c>
      <c r="AB170" s="729" t="s">
        <v>955</v>
      </c>
      <c r="AC170" s="722" t="s">
        <v>3980</v>
      </c>
      <c r="AD170" s="715" t="s">
        <v>112</v>
      </c>
      <c r="AE170" s="715">
        <f t="shared" si="30"/>
        <v>1032</v>
      </c>
      <c r="AF170" s="715" t="s">
        <v>4109</v>
      </c>
      <c r="AG170" s="715">
        <v>1032</v>
      </c>
      <c r="AH170" s="715">
        <f t="shared" si="33"/>
        <v>0</v>
      </c>
      <c r="AI170" s="717"/>
      <c r="AJ170" s="715" t="s">
        <v>3981</v>
      </c>
      <c r="AK170" s="652">
        <f t="shared" si="36"/>
        <v>1032</v>
      </c>
      <c r="AL170" s="652"/>
      <c r="AM170" s="652"/>
      <c r="AN170" s="652">
        <f t="shared" si="34"/>
        <v>1032</v>
      </c>
      <c r="AO170" s="652"/>
      <c r="AP170" s="652"/>
      <c r="AQ170" s="652"/>
      <c r="AR170" s="652"/>
      <c r="AS170" s="652"/>
      <c r="AT170" s="652">
        <f t="shared" si="37"/>
        <v>129</v>
      </c>
      <c r="AU170" s="652"/>
      <c r="AV170" s="652"/>
      <c r="AW170" s="652"/>
      <c r="AX170" s="652"/>
      <c r="AY170" s="652"/>
      <c r="AZ170" s="652"/>
      <c r="BA170" s="652"/>
      <c r="BB170" s="652"/>
      <c r="BC170" s="652"/>
      <c r="BD170" s="652"/>
      <c r="BE170" s="652"/>
      <c r="BF170" s="652"/>
      <c r="BG170" s="652"/>
      <c r="BH170" s="652"/>
      <c r="BI170" s="652"/>
    </row>
    <row r="171" s="650" customFormat="1" ht="31" customHeight="1" spans="1:108">
      <c r="A171" s="713">
        <v>46080</v>
      </c>
      <c r="B171" s="714" t="s">
        <v>467</v>
      </c>
      <c r="C171" s="715" t="s">
        <v>115</v>
      </c>
      <c r="D171" s="652">
        <v>4500194421</v>
      </c>
      <c r="E171" s="715">
        <v>7402950</v>
      </c>
      <c r="F171" s="652" t="s">
        <v>4473</v>
      </c>
      <c r="G171" s="716" t="s">
        <v>3980</v>
      </c>
      <c r="H171" s="715" t="s">
        <v>3978</v>
      </c>
      <c r="I171" s="717">
        <v>1672</v>
      </c>
      <c r="J171" s="715">
        <v>0</v>
      </c>
      <c r="K171" s="715">
        <v>8</v>
      </c>
      <c r="L171" s="715">
        <f t="shared" si="25"/>
        <v>209</v>
      </c>
      <c r="M171" s="719">
        <v>46181</v>
      </c>
      <c r="N171" s="719">
        <v>46177</v>
      </c>
      <c r="O171" s="714" t="s">
        <v>954</v>
      </c>
      <c r="P171" s="717" t="s">
        <v>106</v>
      </c>
      <c r="Q171" s="717"/>
      <c r="R171" s="723">
        <v>46107</v>
      </c>
      <c r="S171" s="720" t="s">
        <v>107</v>
      </c>
      <c r="T171" s="720" t="s">
        <v>95</v>
      </c>
      <c r="U171" s="720"/>
      <c r="V171" s="720"/>
      <c r="W171" s="720"/>
      <c r="X171" s="720" t="s">
        <v>4209</v>
      </c>
      <c r="Y171" s="719" t="s">
        <v>473</v>
      </c>
      <c r="Z171" s="715">
        <v>3</v>
      </c>
      <c r="AA171" s="652">
        <f t="shared" si="35"/>
        <v>5016</v>
      </c>
      <c r="AB171" s="729" t="s">
        <v>955</v>
      </c>
      <c r="AC171" s="722" t="s">
        <v>3980</v>
      </c>
      <c r="AD171" s="715" t="s">
        <v>112</v>
      </c>
      <c r="AE171" s="715">
        <f t="shared" si="30"/>
        <v>1672</v>
      </c>
      <c r="AF171" s="715" t="s">
        <v>4109</v>
      </c>
      <c r="AG171" s="715">
        <v>1672</v>
      </c>
      <c r="AH171" s="715">
        <f t="shared" si="33"/>
        <v>0</v>
      </c>
      <c r="AI171" s="717"/>
      <c r="AJ171" s="715" t="s">
        <v>3981</v>
      </c>
      <c r="AK171" s="652">
        <f t="shared" si="36"/>
        <v>1672</v>
      </c>
      <c r="AL171" s="652"/>
      <c r="AM171" s="652"/>
      <c r="AN171" s="652">
        <f t="shared" si="34"/>
        <v>1672</v>
      </c>
      <c r="AO171" s="652"/>
      <c r="AP171" s="652"/>
      <c r="AQ171" s="652"/>
      <c r="AR171" s="652"/>
      <c r="AS171" s="652"/>
      <c r="AT171" s="652">
        <f t="shared" si="37"/>
        <v>209</v>
      </c>
      <c r="AU171" s="652"/>
      <c r="AV171" s="652"/>
      <c r="AW171" s="652"/>
      <c r="AX171" s="652"/>
      <c r="AY171" s="652"/>
      <c r="AZ171" s="652"/>
      <c r="BA171" s="652"/>
      <c r="BB171" s="652"/>
      <c r="BC171" s="652"/>
      <c r="BD171" s="652"/>
      <c r="BE171" s="652"/>
      <c r="BF171" s="652"/>
      <c r="BG171" s="652"/>
      <c r="BH171" s="652"/>
      <c r="BI171" s="652"/>
      <c r="CS171" s="651"/>
      <c r="CT171" s="651"/>
      <c r="CU171" s="651"/>
      <c r="CV171" s="651"/>
      <c r="CW171" s="651"/>
      <c r="CX171" s="651"/>
      <c r="CY171" s="651"/>
      <c r="CZ171" s="651"/>
      <c r="DA171" s="651"/>
      <c r="DB171" s="651"/>
      <c r="DC171" s="651"/>
      <c r="DD171" s="651"/>
    </row>
    <row r="172" s="650" customFormat="1" ht="31" customHeight="1" spans="1:108">
      <c r="A172" s="713">
        <v>46080</v>
      </c>
      <c r="B172" s="714" t="s">
        <v>467</v>
      </c>
      <c r="C172" s="715" t="s">
        <v>115</v>
      </c>
      <c r="D172" s="652">
        <v>4500194421</v>
      </c>
      <c r="E172" s="715">
        <v>8567405</v>
      </c>
      <c r="F172" s="652" t="s">
        <v>4474</v>
      </c>
      <c r="G172" s="716" t="s">
        <v>3980</v>
      </c>
      <c r="H172" s="715" t="s">
        <v>3978</v>
      </c>
      <c r="I172" s="717">
        <v>1816</v>
      </c>
      <c r="J172" s="715">
        <v>0</v>
      </c>
      <c r="K172" s="715">
        <v>8</v>
      </c>
      <c r="L172" s="715">
        <f t="shared" si="25"/>
        <v>227</v>
      </c>
      <c r="M172" s="719">
        <v>46181</v>
      </c>
      <c r="N172" s="719">
        <v>46177</v>
      </c>
      <c r="O172" s="714" t="s">
        <v>954</v>
      </c>
      <c r="P172" s="717" t="s">
        <v>106</v>
      </c>
      <c r="Q172" s="717"/>
      <c r="R172" s="723">
        <v>46107</v>
      </c>
      <c r="S172" s="720" t="s">
        <v>107</v>
      </c>
      <c r="T172" s="720" t="s">
        <v>95</v>
      </c>
      <c r="U172" s="720"/>
      <c r="V172" s="720"/>
      <c r="W172" s="720"/>
      <c r="X172" s="720" t="s">
        <v>4209</v>
      </c>
      <c r="Y172" s="719" t="s">
        <v>473</v>
      </c>
      <c r="Z172" s="715">
        <v>3</v>
      </c>
      <c r="AA172" s="652">
        <f t="shared" si="35"/>
        <v>5448</v>
      </c>
      <c r="AB172" s="729" t="s">
        <v>955</v>
      </c>
      <c r="AC172" s="722" t="s">
        <v>3980</v>
      </c>
      <c r="AD172" s="715" t="s">
        <v>112</v>
      </c>
      <c r="AE172" s="715">
        <f t="shared" si="30"/>
        <v>1816</v>
      </c>
      <c r="AF172" s="715" t="s">
        <v>4109</v>
      </c>
      <c r="AG172" s="715">
        <v>1816</v>
      </c>
      <c r="AH172" s="715">
        <f t="shared" si="33"/>
        <v>0</v>
      </c>
      <c r="AI172" s="717"/>
      <c r="AJ172" s="715" t="s">
        <v>3981</v>
      </c>
      <c r="AK172" s="652">
        <f t="shared" si="36"/>
        <v>1816</v>
      </c>
      <c r="AL172" s="652"/>
      <c r="AM172" s="652"/>
      <c r="AN172" s="652">
        <f t="shared" si="34"/>
        <v>1816</v>
      </c>
      <c r="AO172" s="652"/>
      <c r="AP172" s="652"/>
      <c r="AQ172" s="652"/>
      <c r="AR172" s="652"/>
      <c r="AS172" s="652"/>
      <c r="AT172" s="652">
        <f t="shared" si="37"/>
        <v>227</v>
      </c>
      <c r="AU172" s="652"/>
      <c r="AV172" s="652"/>
      <c r="AW172" s="652"/>
      <c r="AX172" s="652"/>
      <c r="AY172" s="652"/>
      <c r="AZ172" s="652"/>
      <c r="BA172" s="652"/>
      <c r="BB172" s="652"/>
      <c r="BC172" s="652"/>
      <c r="BD172" s="652"/>
      <c r="BE172" s="652"/>
      <c r="BF172" s="652"/>
      <c r="BG172" s="652"/>
      <c r="BH172" s="652"/>
      <c r="BI172" s="652"/>
      <c r="BJ172" s="724"/>
      <c r="BK172" s="724"/>
      <c r="BL172" s="724"/>
      <c r="BM172" s="724"/>
      <c r="BN172" s="724"/>
      <c r="BO172" s="724"/>
      <c r="BP172" s="724"/>
      <c r="BQ172" s="724"/>
      <c r="BR172" s="724"/>
      <c r="BS172" s="724"/>
      <c r="BT172" s="724"/>
      <c r="BU172" s="724"/>
      <c r="BV172" s="724"/>
      <c r="BW172" s="724"/>
      <c r="BX172" s="724"/>
      <c r="BY172" s="724"/>
      <c r="BZ172" s="724"/>
      <c r="CA172" s="724"/>
      <c r="CB172" s="724"/>
      <c r="CC172" s="724"/>
      <c r="CD172" s="724"/>
      <c r="CE172" s="724"/>
      <c r="CF172" s="724"/>
      <c r="CG172" s="724"/>
      <c r="CH172" s="724"/>
      <c r="CI172" s="724"/>
      <c r="CJ172" s="724"/>
      <c r="CK172" s="724"/>
      <c r="CL172" s="724"/>
      <c r="CM172" s="724"/>
      <c r="CN172" s="724"/>
      <c r="CO172" s="724"/>
      <c r="CP172" s="724"/>
      <c r="CQ172" s="724"/>
      <c r="CR172" s="724"/>
    </row>
    <row r="173" s="650" customFormat="1" ht="31" customHeight="1" spans="1:108">
      <c r="A173" s="713">
        <v>46080</v>
      </c>
      <c r="B173" s="714" t="s">
        <v>467</v>
      </c>
      <c r="C173" s="715" t="s">
        <v>115</v>
      </c>
      <c r="D173" s="652">
        <v>4500194421</v>
      </c>
      <c r="E173" s="715">
        <v>9172066</v>
      </c>
      <c r="F173" s="652" t="s">
        <v>4475</v>
      </c>
      <c r="G173" s="716" t="s">
        <v>3980</v>
      </c>
      <c r="H173" s="715" t="s">
        <v>3978</v>
      </c>
      <c r="I173" s="717">
        <v>1448</v>
      </c>
      <c r="J173" s="715">
        <v>0</v>
      </c>
      <c r="K173" s="715">
        <v>8</v>
      </c>
      <c r="L173" s="715">
        <f t="shared" si="25"/>
        <v>181</v>
      </c>
      <c r="M173" s="719">
        <v>46181</v>
      </c>
      <c r="N173" s="719">
        <v>46177</v>
      </c>
      <c r="O173" s="714" t="s">
        <v>954</v>
      </c>
      <c r="P173" s="717" t="s">
        <v>106</v>
      </c>
      <c r="Q173" s="717"/>
      <c r="R173" s="734">
        <v>46107</v>
      </c>
      <c r="S173" s="720" t="s">
        <v>107</v>
      </c>
      <c r="T173" s="720" t="s">
        <v>95</v>
      </c>
      <c r="U173" s="720"/>
      <c r="V173" s="720"/>
      <c r="W173" s="720"/>
      <c r="X173" s="720" t="s">
        <v>4209</v>
      </c>
      <c r="Y173" s="719" t="s">
        <v>473</v>
      </c>
      <c r="Z173" s="715">
        <v>3</v>
      </c>
      <c r="AA173" s="652">
        <f t="shared" si="35"/>
        <v>4344</v>
      </c>
      <c r="AB173" s="729" t="s">
        <v>955</v>
      </c>
      <c r="AC173" s="722" t="s">
        <v>3980</v>
      </c>
      <c r="AD173" s="715" t="s">
        <v>112</v>
      </c>
      <c r="AE173" s="715">
        <f t="shared" si="30"/>
        <v>1448</v>
      </c>
      <c r="AF173" s="715" t="s">
        <v>4109</v>
      </c>
      <c r="AG173" s="715">
        <v>1448</v>
      </c>
      <c r="AH173" s="715">
        <f t="shared" si="33"/>
        <v>0</v>
      </c>
      <c r="AI173" s="717"/>
      <c r="AJ173" s="715" t="s">
        <v>3981</v>
      </c>
      <c r="AK173" s="652">
        <f t="shared" si="36"/>
        <v>1448</v>
      </c>
      <c r="AL173" s="652"/>
      <c r="AM173" s="652"/>
      <c r="AN173" s="652">
        <f t="shared" si="34"/>
        <v>1448</v>
      </c>
      <c r="AO173" s="652"/>
      <c r="AP173" s="652"/>
      <c r="AQ173" s="652"/>
      <c r="AR173" s="652"/>
      <c r="AS173" s="652"/>
      <c r="AT173" s="652">
        <f t="shared" si="37"/>
        <v>181</v>
      </c>
      <c r="AU173" s="652"/>
      <c r="AV173" s="652"/>
      <c r="AW173" s="652"/>
      <c r="AX173" s="652"/>
      <c r="AY173" s="652"/>
      <c r="AZ173" s="652"/>
      <c r="BA173" s="652"/>
      <c r="BB173" s="652"/>
      <c r="BC173" s="652"/>
      <c r="BD173" s="652"/>
      <c r="BE173" s="652"/>
      <c r="BF173" s="652"/>
      <c r="BG173" s="652"/>
      <c r="BH173" s="652"/>
      <c r="BI173" s="652"/>
    </row>
    <row r="174" s="650" customFormat="1" ht="31" customHeight="1" spans="1:108">
      <c r="A174" s="713">
        <v>46080</v>
      </c>
      <c r="B174" s="714" t="s">
        <v>467</v>
      </c>
      <c r="C174" s="715" t="s">
        <v>115</v>
      </c>
      <c r="D174" s="652">
        <v>4500194421</v>
      </c>
      <c r="E174" s="715">
        <v>9637199</v>
      </c>
      <c r="F174" s="652" t="s">
        <v>4476</v>
      </c>
      <c r="G174" s="716" t="s">
        <v>3980</v>
      </c>
      <c r="H174" s="715" t="s">
        <v>3978</v>
      </c>
      <c r="I174" s="717">
        <v>1912</v>
      </c>
      <c r="J174" s="715">
        <v>0</v>
      </c>
      <c r="K174" s="715">
        <v>8</v>
      </c>
      <c r="L174" s="715">
        <f t="shared" si="25"/>
        <v>239</v>
      </c>
      <c r="M174" s="719">
        <v>46181</v>
      </c>
      <c r="N174" s="719">
        <v>46177</v>
      </c>
      <c r="O174" s="714" t="s">
        <v>954</v>
      </c>
      <c r="P174" s="717" t="s">
        <v>106</v>
      </c>
      <c r="Q174" s="717"/>
      <c r="R174" s="723">
        <v>46107</v>
      </c>
      <c r="S174" s="720" t="s">
        <v>107</v>
      </c>
      <c r="T174" s="720" t="s">
        <v>95</v>
      </c>
      <c r="U174" s="720"/>
      <c r="V174" s="720"/>
      <c r="W174" s="720"/>
      <c r="X174" s="720" t="s">
        <v>4209</v>
      </c>
      <c r="Y174" s="719" t="s">
        <v>473</v>
      </c>
      <c r="Z174" s="715">
        <v>3</v>
      </c>
      <c r="AA174" s="652">
        <f t="shared" si="35"/>
        <v>5736</v>
      </c>
      <c r="AB174" s="729" t="s">
        <v>955</v>
      </c>
      <c r="AC174" s="722" t="s">
        <v>3980</v>
      </c>
      <c r="AD174" s="715" t="s">
        <v>112</v>
      </c>
      <c r="AE174" s="715">
        <f t="shared" si="30"/>
        <v>1912</v>
      </c>
      <c r="AF174" s="715" t="s">
        <v>4109</v>
      </c>
      <c r="AG174" s="715">
        <v>1912</v>
      </c>
      <c r="AH174" s="715">
        <f t="shared" si="33"/>
        <v>0</v>
      </c>
      <c r="AI174" s="717"/>
      <c r="AJ174" s="715" t="s">
        <v>3981</v>
      </c>
      <c r="AK174" s="652">
        <f t="shared" si="36"/>
        <v>1912</v>
      </c>
      <c r="AL174" s="652"/>
      <c r="AM174" s="652"/>
      <c r="AN174" s="652">
        <f t="shared" si="34"/>
        <v>1912</v>
      </c>
      <c r="AO174" s="652"/>
      <c r="AP174" s="652"/>
      <c r="AQ174" s="652"/>
      <c r="AR174" s="652"/>
      <c r="AS174" s="652"/>
      <c r="AT174" s="652">
        <f t="shared" si="37"/>
        <v>239</v>
      </c>
      <c r="AU174" s="652"/>
      <c r="AV174" s="652"/>
      <c r="AW174" s="652"/>
      <c r="AX174" s="652"/>
      <c r="AY174" s="652"/>
      <c r="AZ174" s="652"/>
      <c r="BA174" s="652"/>
      <c r="BB174" s="652"/>
      <c r="BC174" s="652"/>
      <c r="BD174" s="652"/>
      <c r="BE174" s="652"/>
      <c r="BF174" s="652"/>
      <c r="BG174" s="652"/>
      <c r="BH174" s="652"/>
      <c r="BI174" s="652"/>
      <c r="CS174" s="654"/>
      <c r="CT174" s="654"/>
      <c r="CU174" s="654"/>
      <c r="CV174" s="654"/>
      <c r="CW174" s="654"/>
      <c r="CX174" s="654"/>
      <c r="CY174" s="654"/>
      <c r="CZ174" s="654"/>
      <c r="DA174" s="654"/>
      <c r="DB174" s="654"/>
      <c r="DC174" s="654"/>
      <c r="DD174" s="654"/>
    </row>
    <row r="175" s="650" customFormat="1" ht="31" customHeight="1" spans="1:108">
      <c r="A175" s="713">
        <v>46127</v>
      </c>
      <c r="B175" s="714" t="s">
        <v>855</v>
      </c>
      <c r="C175" s="715" t="s">
        <v>856</v>
      </c>
      <c r="D175" s="652">
        <v>4500202163</v>
      </c>
      <c r="E175" s="715" t="s">
        <v>857</v>
      </c>
      <c r="F175" s="652" t="s">
        <v>4477</v>
      </c>
      <c r="G175" s="716" t="s">
        <v>3980</v>
      </c>
      <c r="H175" s="715" t="s">
        <v>3978</v>
      </c>
      <c r="I175" s="717">
        <v>3344</v>
      </c>
      <c r="J175" s="715">
        <v>0</v>
      </c>
      <c r="K175" s="715">
        <v>8</v>
      </c>
      <c r="L175" s="715">
        <f t="shared" si="25"/>
        <v>418</v>
      </c>
      <c r="M175" s="719">
        <v>46181</v>
      </c>
      <c r="N175" s="719">
        <v>46177</v>
      </c>
      <c r="O175" s="714"/>
      <c r="P175" s="717" t="s">
        <v>106</v>
      </c>
      <c r="Q175" s="717"/>
      <c r="R175" s="723">
        <v>46135</v>
      </c>
      <c r="S175" s="720" t="s">
        <v>95</v>
      </c>
      <c r="T175" s="720" t="s">
        <v>4478</v>
      </c>
      <c r="U175" s="720"/>
      <c r="V175" s="720"/>
      <c r="W175" s="720"/>
      <c r="X175" s="720" t="s">
        <v>861</v>
      </c>
      <c r="Y175" s="719" t="s">
        <v>862</v>
      </c>
      <c r="Z175" s="730">
        <v>4.5405</v>
      </c>
      <c r="AA175" s="652">
        <f t="shared" si="35"/>
        <v>15183.432</v>
      </c>
      <c r="AB175" s="721"/>
      <c r="AC175" s="722" t="s">
        <v>3980</v>
      </c>
      <c r="AD175" s="715" t="s">
        <v>112</v>
      </c>
      <c r="AE175" s="715">
        <f t="shared" si="30"/>
        <v>3344</v>
      </c>
      <c r="AF175" s="715" t="s">
        <v>736</v>
      </c>
      <c r="AG175" s="715">
        <v>3344</v>
      </c>
      <c r="AH175" s="715">
        <f t="shared" si="33"/>
        <v>0</v>
      </c>
      <c r="AI175" s="717"/>
      <c r="AJ175" s="715" t="s">
        <v>3981</v>
      </c>
      <c r="AK175" s="652">
        <f t="shared" si="36"/>
        <v>3344</v>
      </c>
      <c r="AL175" s="652"/>
      <c r="AM175" s="652"/>
      <c r="AN175" s="652">
        <f t="shared" si="34"/>
        <v>3344</v>
      </c>
      <c r="AO175" s="652"/>
      <c r="AP175" s="652"/>
      <c r="AQ175" s="652"/>
      <c r="AR175" s="652"/>
      <c r="AS175" s="652"/>
      <c r="AT175" s="652">
        <f t="shared" si="37"/>
        <v>418</v>
      </c>
      <c r="AU175" s="652"/>
      <c r="AV175" s="652"/>
      <c r="AW175" s="652"/>
      <c r="AX175" s="652"/>
      <c r="AY175" s="652"/>
      <c r="AZ175" s="652"/>
      <c r="BA175" s="652"/>
      <c r="BB175" s="652"/>
      <c r="BC175" s="652"/>
      <c r="BD175" s="652"/>
      <c r="BE175" s="652"/>
      <c r="BF175" s="652"/>
      <c r="BG175" s="652"/>
      <c r="BH175" s="652"/>
      <c r="BI175" s="652"/>
    </row>
    <row r="176" s="650" customFormat="1" ht="31" customHeight="1" spans="1:108">
      <c r="A176" s="713">
        <v>46105</v>
      </c>
      <c r="B176" s="714" t="s">
        <v>989</v>
      </c>
      <c r="C176" s="715" t="s">
        <v>115</v>
      </c>
      <c r="D176" s="652">
        <v>4500198397</v>
      </c>
      <c r="E176" s="715" t="s">
        <v>990</v>
      </c>
      <c r="F176" s="652" t="s">
        <v>4479</v>
      </c>
      <c r="G176" s="716" t="s">
        <v>3973</v>
      </c>
      <c r="H176" s="715" t="s">
        <v>3995</v>
      </c>
      <c r="I176" s="717">
        <v>192</v>
      </c>
      <c r="J176" s="715">
        <v>0</v>
      </c>
      <c r="K176" s="715">
        <v>16</v>
      </c>
      <c r="L176" s="718">
        <f t="shared" si="25"/>
        <v>12</v>
      </c>
      <c r="M176" s="719">
        <v>46181</v>
      </c>
      <c r="N176" s="719">
        <v>46177</v>
      </c>
      <c r="O176" s="714"/>
      <c r="P176" s="717" t="s">
        <v>106</v>
      </c>
      <c r="Q176" s="717"/>
      <c r="R176" s="723">
        <v>46150</v>
      </c>
      <c r="S176" s="720" t="s">
        <v>107</v>
      </c>
      <c r="T176" s="720" t="s">
        <v>95</v>
      </c>
      <c r="U176" s="720"/>
      <c r="V176" s="720"/>
      <c r="W176" s="720"/>
      <c r="X176" s="720" t="s">
        <v>992</v>
      </c>
      <c r="Y176" s="719" t="s">
        <v>178</v>
      </c>
      <c r="Z176" s="730">
        <v>2.613</v>
      </c>
      <c r="AA176" s="715">
        <f t="shared" si="35"/>
        <v>501.696</v>
      </c>
      <c r="AB176" s="721"/>
      <c r="AC176" s="652" t="s">
        <v>3973</v>
      </c>
      <c r="AD176" s="715" t="s">
        <v>112</v>
      </c>
      <c r="AE176" s="715">
        <f t="shared" si="30"/>
        <v>192</v>
      </c>
      <c r="AF176" s="715" t="s">
        <v>736</v>
      </c>
      <c r="AG176" s="715">
        <v>192</v>
      </c>
      <c r="AH176" s="715">
        <f t="shared" si="33"/>
        <v>0</v>
      </c>
      <c r="AI176" s="717"/>
      <c r="AJ176" s="715" t="s">
        <v>3981</v>
      </c>
      <c r="AK176" s="652">
        <f t="shared" si="36"/>
        <v>192</v>
      </c>
      <c r="AL176" s="652"/>
      <c r="AM176" s="652"/>
      <c r="AN176" s="652">
        <f t="shared" si="34"/>
        <v>192</v>
      </c>
      <c r="AO176" s="652"/>
      <c r="AP176" s="652"/>
      <c r="AQ176" s="652"/>
      <c r="AR176" s="652"/>
      <c r="AS176" s="652"/>
      <c r="AT176" s="652">
        <f t="shared" si="37"/>
        <v>24</v>
      </c>
      <c r="AU176" s="652"/>
      <c r="AV176" s="652"/>
      <c r="AW176" s="652"/>
      <c r="AX176" s="652"/>
      <c r="AY176" s="652"/>
      <c r="AZ176" s="652"/>
      <c r="BA176" s="652"/>
      <c r="BB176" s="652"/>
      <c r="BC176" s="652"/>
      <c r="BD176" s="652"/>
      <c r="BE176" s="652"/>
      <c r="BF176" s="652"/>
      <c r="BG176" s="652"/>
      <c r="BH176" s="652"/>
      <c r="BI176" s="652"/>
    </row>
    <row r="177" s="650" customFormat="1" ht="31" customHeight="1" spans="1:96">
      <c r="A177" s="713">
        <v>46127</v>
      </c>
      <c r="B177" s="714" t="s">
        <v>855</v>
      </c>
      <c r="C177" s="715" t="s">
        <v>856</v>
      </c>
      <c r="D177" s="652">
        <v>4500202163</v>
      </c>
      <c r="E177" s="715" t="s">
        <v>857</v>
      </c>
      <c r="F177" s="652" t="s">
        <v>1000</v>
      </c>
      <c r="G177" s="716" t="s">
        <v>4359</v>
      </c>
      <c r="H177" s="715" t="s">
        <v>804</v>
      </c>
      <c r="I177" s="717">
        <v>2004</v>
      </c>
      <c r="J177" s="715">
        <v>0</v>
      </c>
      <c r="K177" s="715">
        <v>6</v>
      </c>
      <c r="L177" s="715">
        <f t="shared" si="25"/>
        <v>334</v>
      </c>
      <c r="M177" s="719">
        <v>46181</v>
      </c>
      <c r="N177" s="719">
        <v>46177</v>
      </c>
      <c r="O177" s="714"/>
      <c r="P177" s="717" t="s">
        <v>106</v>
      </c>
      <c r="Q177" s="717"/>
      <c r="R177" s="723">
        <v>46135</v>
      </c>
      <c r="S177" s="720" t="s">
        <v>95</v>
      </c>
      <c r="T177" s="720" t="s">
        <v>4478</v>
      </c>
      <c r="U177" s="720"/>
      <c r="V177" s="720"/>
      <c r="W177" s="720"/>
      <c r="X177" s="720" t="s">
        <v>4480</v>
      </c>
      <c r="Y177" s="719" t="s">
        <v>862</v>
      </c>
      <c r="Z177" s="730">
        <v>8.15</v>
      </c>
      <c r="AA177" s="652">
        <f>I177*Z177</f>
        <v>16332.6</v>
      </c>
      <c r="AB177" s="721"/>
      <c r="AC177" s="715" t="s">
        <v>806</v>
      </c>
      <c r="AD177" s="715" t="s">
        <v>112</v>
      </c>
      <c r="AE177" s="715">
        <f t="shared" si="30"/>
        <v>2004</v>
      </c>
      <c r="AF177" s="715"/>
      <c r="AG177" s="715">
        <v>2004</v>
      </c>
      <c r="AH177" s="715">
        <f t="shared" si="33"/>
        <v>0</v>
      </c>
      <c r="AI177" s="717"/>
      <c r="AJ177" s="715" t="s">
        <v>3981</v>
      </c>
      <c r="AK177" s="652"/>
      <c r="AL177" s="652"/>
      <c r="AM177" s="652"/>
      <c r="AN177" s="652">
        <f t="shared" si="34"/>
        <v>2004</v>
      </c>
      <c r="AO177" s="652"/>
      <c r="AP177" s="652"/>
      <c r="AQ177" s="652"/>
      <c r="AR177" s="652"/>
      <c r="AS177" s="652"/>
      <c r="AT177" s="652"/>
      <c r="AU177" s="652"/>
      <c r="AV177" s="652"/>
      <c r="AW177" s="652"/>
      <c r="AX177" s="652"/>
      <c r="AY177" s="652"/>
      <c r="AZ177" s="652"/>
      <c r="BA177" s="652"/>
      <c r="BB177" s="652"/>
      <c r="BC177" s="652"/>
      <c r="BD177" s="652"/>
      <c r="BE177" s="652"/>
      <c r="BF177" s="652"/>
      <c r="BG177" s="652"/>
      <c r="BH177" s="652"/>
      <c r="BI177" s="652">
        <f>I177</f>
        <v>2004</v>
      </c>
      <c r="BJ177" s="731"/>
      <c r="BK177" s="731"/>
      <c r="BL177" s="731"/>
      <c r="BM177" s="731"/>
      <c r="BN177" s="731"/>
      <c r="BO177" s="731"/>
      <c r="BP177" s="731"/>
      <c r="BQ177" s="731"/>
      <c r="BR177" s="731"/>
      <c r="BS177" s="731"/>
      <c r="BT177" s="731"/>
      <c r="BU177" s="731"/>
      <c r="BV177" s="731"/>
      <c r="BW177" s="731"/>
      <c r="BX177" s="731"/>
      <c r="BY177" s="731"/>
      <c r="BZ177" s="731"/>
      <c r="CA177" s="731"/>
      <c r="CB177" s="731"/>
      <c r="CC177" s="731"/>
      <c r="CD177" s="731"/>
      <c r="CE177" s="731"/>
      <c r="CF177" s="731"/>
      <c r="CG177" s="731"/>
      <c r="CH177" s="731"/>
      <c r="CI177" s="731"/>
      <c r="CJ177" s="731"/>
      <c r="CK177" s="731"/>
      <c r="CL177" s="731"/>
      <c r="CM177" s="731"/>
      <c r="CN177" s="731"/>
      <c r="CO177" s="731"/>
      <c r="CP177" s="731"/>
      <c r="CQ177" s="731"/>
      <c r="CR177" s="731"/>
    </row>
    <row r="178" s="650" customFormat="1" ht="31" customHeight="1" spans="1:96">
      <c r="A178" s="713">
        <v>46129</v>
      </c>
      <c r="B178" s="714" t="s">
        <v>989</v>
      </c>
      <c r="C178" s="715" t="s">
        <v>115</v>
      </c>
      <c r="D178" s="652" t="s">
        <v>4481</v>
      </c>
      <c r="E178" s="715" t="s">
        <v>993</v>
      </c>
      <c r="F178" s="652" t="s">
        <v>4482</v>
      </c>
      <c r="G178" s="716" t="s">
        <v>3973</v>
      </c>
      <c r="H178" s="715" t="s">
        <v>3995</v>
      </c>
      <c r="I178" s="717">
        <v>16</v>
      </c>
      <c r="J178" s="715">
        <v>0</v>
      </c>
      <c r="K178" s="715">
        <v>16</v>
      </c>
      <c r="L178" s="715">
        <f t="shared" si="25"/>
        <v>1</v>
      </c>
      <c r="M178" s="719">
        <v>46181</v>
      </c>
      <c r="N178" s="719">
        <v>46177</v>
      </c>
      <c r="O178" s="714"/>
      <c r="P178" s="717" t="s">
        <v>106</v>
      </c>
      <c r="Q178" s="717"/>
      <c r="R178" s="723">
        <v>46151</v>
      </c>
      <c r="S178" s="720" t="s">
        <v>107</v>
      </c>
      <c r="T178" s="720" t="s">
        <v>4347</v>
      </c>
      <c r="U178" s="720"/>
      <c r="V178" s="720"/>
      <c r="W178" s="720"/>
      <c r="X178" s="720" t="s">
        <v>995</v>
      </c>
      <c r="Y178" s="719" t="s">
        <v>178</v>
      </c>
      <c r="Z178" s="730">
        <v>2.7513</v>
      </c>
      <c r="AA178" s="652">
        <f>L178*Z178</f>
        <v>2.7513</v>
      </c>
      <c r="AB178" s="729" t="s">
        <v>996</v>
      </c>
      <c r="AC178" s="766" t="s">
        <v>3973</v>
      </c>
      <c r="AD178" s="715" t="s">
        <v>112</v>
      </c>
      <c r="AE178" s="715">
        <f t="shared" si="30"/>
        <v>16</v>
      </c>
      <c r="AF178" s="715" t="s">
        <v>736</v>
      </c>
      <c r="AG178" s="715">
        <v>16</v>
      </c>
      <c r="AH178" s="715">
        <f t="shared" si="33"/>
        <v>0</v>
      </c>
      <c r="AI178" s="717"/>
      <c r="AJ178" s="715" t="s">
        <v>3981</v>
      </c>
      <c r="AK178" s="652">
        <f>I178</f>
        <v>16</v>
      </c>
      <c r="AL178" s="652"/>
      <c r="AM178" s="652"/>
      <c r="AN178" s="652">
        <f t="shared" si="34"/>
        <v>16</v>
      </c>
      <c r="AO178" s="652"/>
      <c r="AP178" s="652"/>
      <c r="AQ178" s="652"/>
      <c r="AR178" s="652"/>
      <c r="AS178" s="652"/>
      <c r="AT178" s="652">
        <f>I178/8</f>
        <v>2</v>
      </c>
      <c r="AU178" s="652"/>
      <c r="AV178" s="652"/>
      <c r="AW178" s="652"/>
      <c r="AX178" s="652"/>
      <c r="AY178" s="652"/>
      <c r="AZ178" s="652"/>
      <c r="BA178" s="652"/>
      <c r="BB178" s="652"/>
      <c r="BC178" s="652"/>
      <c r="BD178" s="652"/>
      <c r="BE178" s="652"/>
      <c r="BF178" s="652"/>
      <c r="BG178" s="652"/>
      <c r="BH178" s="652"/>
      <c r="BI178" s="652"/>
    </row>
    <row r="179" s="650" customFormat="1" ht="31" customHeight="1" spans="1:96">
      <c r="A179" s="713">
        <v>46171</v>
      </c>
      <c r="B179" s="714" t="s">
        <v>971</v>
      </c>
      <c r="C179" s="715" t="s">
        <v>164</v>
      </c>
      <c r="D179" s="652" t="s">
        <v>4483</v>
      </c>
      <c r="E179" s="715" t="s">
        <v>4484</v>
      </c>
      <c r="F179" s="652" t="s">
        <v>4485</v>
      </c>
      <c r="G179" s="716" t="s">
        <v>3973</v>
      </c>
      <c r="H179" s="715" t="s">
        <v>3995</v>
      </c>
      <c r="I179" s="717">
        <v>2000</v>
      </c>
      <c r="J179" s="715">
        <v>0</v>
      </c>
      <c r="K179" s="715">
        <v>16</v>
      </c>
      <c r="L179" s="715">
        <f t="shared" si="25"/>
        <v>125</v>
      </c>
      <c r="M179" s="719">
        <v>46181</v>
      </c>
      <c r="N179" s="719">
        <v>46177</v>
      </c>
      <c r="O179" s="717" t="s">
        <v>978</v>
      </c>
      <c r="P179" s="717" t="s">
        <v>106</v>
      </c>
      <c r="Q179" s="717"/>
      <c r="R179" s="723" t="s">
        <v>4486</v>
      </c>
      <c r="S179" s="720" t="s">
        <v>107</v>
      </c>
      <c r="T179" s="720" t="s">
        <v>95</v>
      </c>
      <c r="U179" s="720"/>
      <c r="V179" s="720" t="s">
        <v>4487</v>
      </c>
      <c r="W179" s="720"/>
      <c r="X179" s="720" t="s">
        <v>4488</v>
      </c>
      <c r="Y179" s="719" t="s">
        <v>976</v>
      </c>
      <c r="Z179" s="730">
        <v>4.7752</v>
      </c>
      <c r="AA179" s="652">
        <f>I179*Z179</f>
        <v>9550.4</v>
      </c>
      <c r="AB179" s="721"/>
      <c r="AC179" s="652" t="s">
        <v>4108</v>
      </c>
      <c r="AD179" s="715" t="s">
        <v>112</v>
      </c>
      <c r="AE179" s="715">
        <f t="shared" si="30"/>
        <v>2000</v>
      </c>
      <c r="AF179" s="715" t="s">
        <v>736</v>
      </c>
      <c r="AG179" s="715">
        <v>2000</v>
      </c>
      <c r="AH179" s="715">
        <f t="shared" si="33"/>
        <v>0</v>
      </c>
      <c r="AI179" s="717"/>
      <c r="AJ179" s="715" t="s">
        <v>3981</v>
      </c>
      <c r="AK179" s="652"/>
      <c r="AL179" s="652"/>
      <c r="AM179" s="652">
        <f>I179</f>
        <v>2000</v>
      </c>
      <c r="AN179" s="652">
        <f t="shared" si="34"/>
        <v>2000</v>
      </c>
      <c r="AO179" s="652"/>
      <c r="AP179" s="652"/>
      <c r="AQ179" s="652"/>
      <c r="AR179" s="652"/>
      <c r="AS179" s="652"/>
      <c r="AT179" s="652"/>
      <c r="AU179" s="652">
        <f>I179/8</f>
        <v>250</v>
      </c>
      <c r="AV179" s="652"/>
      <c r="AW179" s="652"/>
      <c r="AX179" s="652"/>
      <c r="AY179" s="652"/>
      <c r="AZ179" s="652"/>
      <c r="BA179" s="652"/>
      <c r="BB179" s="652"/>
      <c r="BC179" s="652"/>
      <c r="BD179" s="652"/>
      <c r="BE179" s="652"/>
      <c r="BF179" s="652"/>
      <c r="BG179" s="652"/>
      <c r="BH179" s="652"/>
      <c r="BI179" s="652"/>
    </row>
    <row r="180" s="650" customFormat="1" ht="31" customHeight="1" spans="1:96">
      <c r="A180" s="713">
        <v>46129</v>
      </c>
      <c r="B180" s="714" t="s">
        <v>989</v>
      </c>
      <c r="C180" s="715" t="s">
        <v>115</v>
      </c>
      <c r="D180" s="652" t="s">
        <v>4489</v>
      </c>
      <c r="E180" s="715" t="s">
        <v>997</v>
      </c>
      <c r="F180" s="652" t="s">
        <v>4490</v>
      </c>
      <c r="G180" s="716" t="s">
        <v>3973</v>
      </c>
      <c r="H180" s="715" t="s">
        <v>3995</v>
      </c>
      <c r="I180" s="717">
        <v>832</v>
      </c>
      <c r="J180" s="715">
        <v>0</v>
      </c>
      <c r="K180" s="715">
        <v>16</v>
      </c>
      <c r="L180" s="715">
        <f t="shared" si="25"/>
        <v>52</v>
      </c>
      <c r="M180" s="719">
        <v>46181</v>
      </c>
      <c r="N180" s="719">
        <v>46177</v>
      </c>
      <c r="O180" s="714"/>
      <c r="P180" s="717" t="s">
        <v>106</v>
      </c>
      <c r="Q180" s="717"/>
      <c r="R180" s="723">
        <v>46151</v>
      </c>
      <c r="S180" s="720" t="s">
        <v>107</v>
      </c>
      <c r="T180" s="720" t="s">
        <v>4347</v>
      </c>
      <c r="U180" s="720"/>
      <c r="V180" s="720"/>
      <c r="W180" s="720"/>
      <c r="X180" s="720" t="s">
        <v>995</v>
      </c>
      <c r="Y180" s="719" t="s">
        <v>178</v>
      </c>
      <c r="Z180" s="730">
        <v>2.7283</v>
      </c>
      <c r="AA180" s="652">
        <f t="shared" ref="AA180:AA186" si="38">L180*Z180</f>
        <v>141.8716</v>
      </c>
      <c r="AB180" s="729" t="s">
        <v>999</v>
      </c>
      <c r="AC180" s="722" t="s">
        <v>3973</v>
      </c>
      <c r="AD180" s="715" t="s">
        <v>112</v>
      </c>
      <c r="AE180" s="715">
        <f t="shared" si="30"/>
        <v>832</v>
      </c>
      <c r="AF180" s="715" t="s">
        <v>736</v>
      </c>
      <c r="AG180" s="715">
        <v>832</v>
      </c>
      <c r="AH180" s="715">
        <f t="shared" si="33"/>
        <v>0</v>
      </c>
      <c r="AI180" s="717"/>
      <c r="AJ180" s="715" t="s">
        <v>3981</v>
      </c>
      <c r="AK180" s="652">
        <f>I180</f>
        <v>832</v>
      </c>
      <c r="AL180" s="652"/>
      <c r="AM180" s="652"/>
      <c r="AN180" s="652">
        <f t="shared" si="34"/>
        <v>832</v>
      </c>
      <c r="AO180" s="652"/>
      <c r="AP180" s="652"/>
      <c r="AQ180" s="652"/>
      <c r="AR180" s="652"/>
      <c r="AS180" s="652"/>
      <c r="AT180" s="652">
        <f>I180/8</f>
        <v>104</v>
      </c>
      <c r="AU180" s="652"/>
      <c r="AV180" s="652"/>
      <c r="AW180" s="652"/>
      <c r="AX180" s="652"/>
      <c r="AY180" s="652"/>
      <c r="AZ180" s="652"/>
      <c r="BA180" s="652"/>
      <c r="BB180" s="652"/>
      <c r="BC180" s="652"/>
      <c r="BD180" s="652"/>
      <c r="BE180" s="652"/>
      <c r="BF180" s="652"/>
      <c r="BG180" s="652"/>
      <c r="BH180" s="652"/>
      <c r="BI180" s="652"/>
    </row>
    <row r="181" s="650" customFormat="1" ht="31" customHeight="1" spans="1:96">
      <c r="A181" s="713">
        <v>46099</v>
      </c>
      <c r="B181" s="714" t="s">
        <v>723</v>
      </c>
      <c r="C181" s="715" t="s">
        <v>135</v>
      </c>
      <c r="D181" s="652">
        <v>4500197500</v>
      </c>
      <c r="E181" s="715" t="s">
        <v>982</v>
      </c>
      <c r="F181" s="652" t="s">
        <v>983</v>
      </c>
      <c r="G181" s="716" t="s">
        <v>4341</v>
      </c>
      <c r="H181" s="715" t="s">
        <v>483</v>
      </c>
      <c r="I181" s="717">
        <v>4320</v>
      </c>
      <c r="J181" s="715">
        <v>0</v>
      </c>
      <c r="K181" s="715">
        <v>120</v>
      </c>
      <c r="L181" s="715">
        <f t="shared" si="25"/>
        <v>36</v>
      </c>
      <c r="M181" s="719">
        <v>46181</v>
      </c>
      <c r="N181" s="719">
        <v>46177</v>
      </c>
      <c r="O181" s="714"/>
      <c r="P181" s="717" t="s">
        <v>106</v>
      </c>
      <c r="Q181" s="717"/>
      <c r="R181" s="723" t="s">
        <v>984</v>
      </c>
      <c r="S181" s="720" t="s">
        <v>107</v>
      </c>
      <c r="T181" s="720" t="s">
        <v>95</v>
      </c>
      <c r="U181" s="720"/>
      <c r="V181" s="720"/>
      <c r="W181" s="720"/>
      <c r="X181" s="714" t="s">
        <v>985</v>
      </c>
      <c r="Y181" s="719" t="s">
        <v>730</v>
      </c>
      <c r="Z181" s="715">
        <v>642</v>
      </c>
      <c r="AA181" s="715">
        <f t="shared" si="38"/>
        <v>23112</v>
      </c>
      <c r="AB181" s="721"/>
      <c r="AC181" s="722" t="s">
        <v>731</v>
      </c>
      <c r="AD181" s="715" t="s">
        <v>112</v>
      </c>
      <c r="AE181" s="715">
        <f t="shared" si="30"/>
        <v>4320</v>
      </c>
      <c r="AF181" s="715" t="s">
        <v>4109</v>
      </c>
      <c r="AG181" s="715">
        <f>3265+353+702</f>
        <v>4320</v>
      </c>
      <c r="AH181" s="715">
        <f t="shared" si="33"/>
        <v>0</v>
      </c>
      <c r="AI181" s="717"/>
      <c r="AJ181" s="715" t="s">
        <v>3981</v>
      </c>
      <c r="AK181" s="652"/>
      <c r="AL181" s="652"/>
      <c r="AM181" s="652"/>
      <c r="AN181" s="652"/>
      <c r="AO181" s="652"/>
      <c r="AP181" s="652"/>
      <c r="AQ181" s="652">
        <f>I181</f>
        <v>4320</v>
      </c>
      <c r="AR181" s="652">
        <f>I181</f>
        <v>4320</v>
      </c>
      <c r="AS181" s="652">
        <f>I181/6</f>
        <v>720</v>
      </c>
      <c r="AT181" s="652"/>
      <c r="AU181" s="652"/>
      <c r="AV181" s="652"/>
      <c r="AW181" s="652"/>
      <c r="AX181" s="652"/>
      <c r="AY181" s="652"/>
      <c r="AZ181" s="652"/>
      <c r="BA181" s="652"/>
      <c r="BB181" s="652"/>
      <c r="BC181" s="652"/>
      <c r="BD181" s="652"/>
      <c r="BE181" s="652"/>
      <c r="BF181" s="652"/>
      <c r="BG181" s="652"/>
      <c r="BH181" s="652"/>
      <c r="BI181" s="652"/>
    </row>
    <row r="182" s="650" customFormat="1" ht="31" customHeight="1" spans="1:96">
      <c r="A182" s="713">
        <v>46121</v>
      </c>
      <c r="B182" s="714" t="s">
        <v>163</v>
      </c>
      <c r="C182" s="715" t="s">
        <v>164</v>
      </c>
      <c r="D182" s="726" t="s">
        <v>4491</v>
      </c>
      <c r="E182" s="715" t="s">
        <v>4492</v>
      </c>
      <c r="F182" s="652" t="s">
        <v>4493</v>
      </c>
      <c r="G182" s="716" t="s">
        <v>3973</v>
      </c>
      <c r="H182" s="715" t="s">
        <v>3995</v>
      </c>
      <c r="I182" s="717">
        <v>2000</v>
      </c>
      <c r="J182" s="715">
        <v>0</v>
      </c>
      <c r="K182" s="715">
        <v>16</v>
      </c>
      <c r="L182" s="715">
        <f t="shared" ref="L182:L245" si="39">I182/K182</f>
        <v>125</v>
      </c>
      <c r="M182" s="719">
        <v>46181</v>
      </c>
      <c r="N182" s="719">
        <v>46177</v>
      </c>
      <c r="O182" s="714"/>
      <c r="P182" s="717" t="s">
        <v>106</v>
      </c>
      <c r="Q182" s="717" t="s">
        <v>979</v>
      </c>
      <c r="R182" s="723">
        <v>46128</v>
      </c>
      <c r="S182" s="720" t="s">
        <v>107</v>
      </c>
      <c r="T182" s="720" t="s">
        <v>4347</v>
      </c>
      <c r="U182" s="720"/>
      <c r="V182" s="720" t="s">
        <v>4487</v>
      </c>
      <c r="W182" s="720"/>
      <c r="X182" s="720" t="s">
        <v>4494</v>
      </c>
      <c r="Y182" s="719" t="s">
        <v>142</v>
      </c>
      <c r="Z182" s="730">
        <v>4.355</v>
      </c>
      <c r="AA182" s="652">
        <f t="shared" si="38"/>
        <v>544.375</v>
      </c>
      <c r="AB182" s="721"/>
      <c r="AC182" s="652" t="s">
        <v>4108</v>
      </c>
      <c r="AD182" s="715" t="s">
        <v>112</v>
      </c>
      <c r="AE182" s="715">
        <f t="shared" si="30"/>
        <v>2000</v>
      </c>
      <c r="AF182" s="715" t="s">
        <v>736</v>
      </c>
      <c r="AG182" s="715">
        <v>2000</v>
      </c>
      <c r="AH182" s="715">
        <f t="shared" si="33"/>
        <v>0</v>
      </c>
      <c r="AI182" s="717"/>
      <c r="AJ182" s="715" t="s">
        <v>3981</v>
      </c>
      <c r="AK182" s="652"/>
      <c r="AL182" s="652"/>
      <c r="AM182" s="652">
        <f>I182</f>
        <v>2000</v>
      </c>
      <c r="AN182" s="652">
        <f t="shared" ref="AN182:AN188" si="40">I182</f>
        <v>2000</v>
      </c>
      <c r="AO182" s="652"/>
      <c r="AP182" s="652"/>
      <c r="AQ182" s="652"/>
      <c r="AR182" s="652"/>
      <c r="AS182" s="652"/>
      <c r="AT182" s="652"/>
      <c r="AU182" s="652">
        <f>I182/8</f>
        <v>250</v>
      </c>
      <c r="AV182" s="652"/>
      <c r="AW182" s="652"/>
      <c r="AX182" s="652"/>
      <c r="AY182" s="652"/>
      <c r="AZ182" s="652"/>
      <c r="BA182" s="652"/>
      <c r="BB182" s="652"/>
      <c r="BC182" s="652"/>
      <c r="BD182" s="652"/>
      <c r="BE182" s="652"/>
      <c r="BF182" s="652"/>
      <c r="BG182" s="652"/>
      <c r="BH182" s="652"/>
      <c r="BI182" s="652"/>
    </row>
    <row r="183" s="650" customFormat="1" ht="31" customHeight="1" spans="1:96">
      <c r="A183" s="713">
        <v>46129</v>
      </c>
      <c r="B183" s="714" t="s">
        <v>346</v>
      </c>
      <c r="C183" s="715" t="s">
        <v>115</v>
      </c>
      <c r="D183" s="652" t="s">
        <v>4495</v>
      </c>
      <c r="E183" s="715" t="s">
        <v>4496</v>
      </c>
      <c r="F183" s="652" t="s">
        <v>4497</v>
      </c>
      <c r="G183" s="770" t="s">
        <v>4414</v>
      </c>
      <c r="H183" s="715" t="s">
        <v>4195</v>
      </c>
      <c r="I183" s="717">
        <v>6656</v>
      </c>
      <c r="J183" s="715">
        <v>0</v>
      </c>
      <c r="K183" s="715">
        <v>512</v>
      </c>
      <c r="L183" s="718">
        <f t="shared" si="39"/>
        <v>13</v>
      </c>
      <c r="M183" s="719">
        <v>46182</v>
      </c>
      <c r="N183" s="719">
        <v>46178</v>
      </c>
      <c r="O183" s="714"/>
      <c r="P183" s="717" t="s">
        <v>106</v>
      </c>
      <c r="Q183" s="717"/>
      <c r="R183" s="715" t="s">
        <v>4201</v>
      </c>
      <c r="S183" s="735" t="s">
        <v>107</v>
      </c>
      <c r="T183" s="720" t="s">
        <v>4498</v>
      </c>
      <c r="U183" s="720"/>
      <c r="V183" s="720"/>
      <c r="W183" s="720"/>
      <c r="X183" s="720" t="s">
        <v>1019</v>
      </c>
      <c r="Y183" s="719" t="s">
        <v>354</v>
      </c>
      <c r="Z183" s="715">
        <v>1396.36</v>
      </c>
      <c r="AA183" s="715">
        <f t="shared" si="38"/>
        <v>18152.68</v>
      </c>
      <c r="AB183" s="729" t="s">
        <v>4499</v>
      </c>
      <c r="AC183" s="722" t="s">
        <v>4194</v>
      </c>
      <c r="AD183" s="715" t="s">
        <v>112</v>
      </c>
      <c r="AE183" s="715">
        <f t="shared" si="30"/>
        <v>6656</v>
      </c>
      <c r="AF183" s="715" t="s">
        <v>736</v>
      </c>
      <c r="AG183" s="767">
        <v>6656</v>
      </c>
      <c r="AH183" s="715">
        <f t="shared" si="33"/>
        <v>0</v>
      </c>
      <c r="AI183" s="715" t="s">
        <v>120</v>
      </c>
      <c r="AJ183" s="715" t="s">
        <v>3981</v>
      </c>
      <c r="AK183" s="652">
        <f>I183</f>
        <v>6656</v>
      </c>
      <c r="AL183" s="652"/>
      <c r="AM183" s="652"/>
      <c r="AN183" s="652">
        <f t="shared" si="40"/>
        <v>6656</v>
      </c>
      <c r="AO183" s="652"/>
      <c r="AP183" s="652"/>
      <c r="AQ183" s="652"/>
      <c r="AR183" s="652"/>
      <c r="AS183" s="652"/>
      <c r="AT183" s="652">
        <f>I183/8</f>
        <v>832</v>
      </c>
      <c r="AU183" s="652"/>
      <c r="AV183" s="652"/>
      <c r="AW183" s="652"/>
      <c r="AX183" s="652"/>
      <c r="AY183" s="652"/>
      <c r="AZ183" s="652"/>
      <c r="BA183" s="652"/>
      <c r="BB183" s="652"/>
      <c r="BC183" s="652"/>
      <c r="BD183" s="652"/>
      <c r="BE183" s="652"/>
      <c r="BF183" s="652"/>
      <c r="BG183" s="652"/>
      <c r="BH183" s="652"/>
      <c r="BI183" s="652"/>
    </row>
    <row r="184" s="650" customFormat="1" ht="31" customHeight="1" spans="1:96">
      <c r="A184" s="713">
        <v>46129</v>
      </c>
      <c r="B184" s="714" t="s">
        <v>346</v>
      </c>
      <c r="C184" s="715" t="s">
        <v>115</v>
      </c>
      <c r="D184" s="652" t="s">
        <v>4495</v>
      </c>
      <c r="E184" s="715" t="s">
        <v>4500</v>
      </c>
      <c r="F184" s="652" t="s">
        <v>4501</v>
      </c>
      <c r="G184" s="770" t="s">
        <v>4414</v>
      </c>
      <c r="H184" s="715" t="s">
        <v>4195</v>
      </c>
      <c r="I184" s="717">
        <v>9216</v>
      </c>
      <c r="J184" s="715">
        <v>0</v>
      </c>
      <c r="K184" s="715">
        <v>512</v>
      </c>
      <c r="L184" s="718">
        <f t="shared" si="39"/>
        <v>18</v>
      </c>
      <c r="M184" s="719">
        <v>46182</v>
      </c>
      <c r="N184" s="719">
        <v>46178</v>
      </c>
      <c r="O184" s="714"/>
      <c r="P184" s="717" t="s">
        <v>106</v>
      </c>
      <c r="Q184" s="717"/>
      <c r="R184" s="715" t="s">
        <v>4201</v>
      </c>
      <c r="S184" s="720" t="s">
        <v>107</v>
      </c>
      <c r="T184" s="720" t="s">
        <v>4498</v>
      </c>
      <c r="U184" s="720"/>
      <c r="V184" s="720"/>
      <c r="W184" s="720"/>
      <c r="X184" s="720" t="s">
        <v>1019</v>
      </c>
      <c r="Y184" s="719" t="s">
        <v>354</v>
      </c>
      <c r="Z184" s="715">
        <v>1396.3606</v>
      </c>
      <c r="AA184" s="715">
        <f t="shared" si="38"/>
        <v>25134.4908</v>
      </c>
      <c r="AB184" s="729" t="s">
        <v>4502</v>
      </c>
      <c r="AC184" s="722" t="s">
        <v>4194</v>
      </c>
      <c r="AD184" s="715" t="s">
        <v>112</v>
      </c>
      <c r="AE184" s="715">
        <f t="shared" si="30"/>
        <v>9216</v>
      </c>
      <c r="AF184" s="715" t="s">
        <v>736</v>
      </c>
      <c r="AG184" s="715">
        <v>9216</v>
      </c>
      <c r="AH184" s="715">
        <f t="shared" si="33"/>
        <v>0</v>
      </c>
      <c r="AI184" s="715" t="s">
        <v>120</v>
      </c>
      <c r="AJ184" s="715" t="s">
        <v>3981</v>
      </c>
      <c r="AK184" s="652">
        <f>I184</f>
        <v>9216</v>
      </c>
      <c r="AL184" s="652"/>
      <c r="AM184" s="652"/>
      <c r="AN184" s="652">
        <f t="shared" si="40"/>
        <v>9216</v>
      </c>
      <c r="AO184" s="652"/>
      <c r="AP184" s="652"/>
      <c r="AQ184" s="652"/>
      <c r="AR184" s="652"/>
      <c r="AS184" s="652"/>
      <c r="AT184" s="652">
        <f>I184/8</f>
        <v>1152</v>
      </c>
      <c r="AU184" s="652"/>
      <c r="AV184" s="652"/>
      <c r="AW184" s="652"/>
      <c r="AX184" s="652"/>
      <c r="AY184" s="652"/>
      <c r="AZ184" s="652"/>
      <c r="BA184" s="652"/>
      <c r="BB184" s="652"/>
      <c r="BC184" s="652"/>
      <c r="BD184" s="652"/>
      <c r="BE184" s="652"/>
      <c r="BF184" s="652"/>
      <c r="BG184" s="652"/>
      <c r="BH184" s="652"/>
      <c r="BI184" s="652"/>
      <c r="BJ184" s="731"/>
      <c r="BK184" s="731"/>
      <c r="BL184" s="731"/>
      <c r="BM184" s="731"/>
      <c r="BN184" s="731"/>
      <c r="BO184" s="731"/>
      <c r="BP184" s="731"/>
      <c r="BQ184" s="731"/>
      <c r="BR184" s="731"/>
      <c r="BS184" s="731"/>
      <c r="BT184" s="731"/>
      <c r="BU184" s="731"/>
      <c r="BV184" s="731"/>
      <c r="BW184" s="731"/>
      <c r="BX184" s="731"/>
      <c r="BY184" s="731"/>
      <c r="BZ184" s="731"/>
      <c r="CA184" s="731"/>
      <c r="CB184" s="731"/>
      <c r="CC184" s="731"/>
      <c r="CD184" s="731"/>
      <c r="CE184" s="731"/>
      <c r="CF184" s="731"/>
      <c r="CG184" s="731"/>
      <c r="CH184" s="731"/>
      <c r="CI184" s="731"/>
      <c r="CJ184" s="731"/>
      <c r="CK184" s="731"/>
      <c r="CL184" s="731"/>
      <c r="CM184" s="731"/>
      <c r="CN184" s="731"/>
      <c r="CO184" s="731"/>
      <c r="CP184" s="731"/>
      <c r="CQ184" s="731"/>
      <c r="CR184" s="731"/>
    </row>
    <row r="185" s="650" customFormat="1" ht="31" customHeight="1" spans="1:96">
      <c r="A185" s="713">
        <v>46129</v>
      </c>
      <c r="B185" s="714" t="s">
        <v>346</v>
      </c>
      <c r="C185" s="715" t="s">
        <v>115</v>
      </c>
      <c r="D185" s="652" t="s">
        <v>4495</v>
      </c>
      <c r="E185" s="715" t="s">
        <v>4503</v>
      </c>
      <c r="F185" s="652" t="s">
        <v>4504</v>
      </c>
      <c r="G185" s="770" t="s">
        <v>4414</v>
      </c>
      <c r="H185" s="715" t="s">
        <v>4195</v>
      </c>
      <c r="I185" s="717">
        <v>8192</v>
      </c>
      <c r="J185" s="715">
        <v>0</v>
      </c>
      <c r="K185" s="715">
        <v>512</v>
      </c>
      <c r="L185" s="718">
        <f t="shared" si="39"/>
        <v>16</v>
      </c>
      <c r="M185" s="719">
        <v>46182</v>
      </c>
      <c r="N185" s="719">
        <v>46178</v>
      </c>
      <c r="O185" s="714"/>
      <c r="P185" s="717" t="s">
        <v>106</v>
      </c>
      <c r="Q185" s="717"/>
      <c r="R185" s="715" t="s">
        <v>4201</v>
      </c>
      <c r="S185" s="720" t="s">
        <v>107</v>
      </c>
      <c r="T185" s="720" t="s">
        <v>4498</v>
      </c>
      <c r="U185" s="720"/>
      <c r="V185" s="720"/>
      <c r="W185" s="720"/>
      <c r="X185" s="720" t="s">
        <v>1019</v>
      </c>
      <c r="Y185" s="719" t="s">
        <v>354</v>
      </c>
      <c r="Z185" s="715">
        <v>1396.3606</v>
      </c>
      <c r="AA185" s="715">
        <f t="shared" si="38"/>
        <v>22341.7696</v>
      </c>
      <c r="AB185" s="729" t="s">
        <v>4505</v>
      </c>
      <c r="AC185" s="722" t="s">
        <v>4194</v>
      </c>
      <c r="AD185" s="715" t="s">
        <v>112</v>
      </c>
      <c r="AE185" s="715">
        <f t="shared" si="30"/>
        <v>8192</v>
      </c>
      <c r="AF185" s="715" t="s">
        <v>736</v>
      </c>
      <c r="AG185" s="715">
        <v>8192</v>
      </c>
      <c r="AH185" s="715">
        <f t="shared" si="33"/>
        <v>0</v>
      </c>
      <c r="AI185" s="715" t="s">
        <v>120</v>
      </c>
      <c r="AJ185" s="715" t="s">
        <v>3981</v>
      </c>
      <c r="AK185" s="652">
        <f>I185</f>
        <v>8192</v>
      </c>
      <c r="AL185" s="652"/>
      <c r="AM185" s="652"/>
      <c r="AN185" s="652">
        <f t="shared" si="40"/>
        <v>8192</v>
      </c>
      <c r="AO185" s="652"/>
      <c r="AP185" s="652"/>
      <c r="AQ185" s="652"/>
      <c r="AR185" s="652"/>
      <c r="AS185" s="652"/>
      <c r="AT185" s="652">
        <f>I185/8</f>
        <v>1024</v>
      </c>
      <c r="AU185" s="652"/>
      <c r="AV185" s="652"/>
      <c r="AW185" s="652"/>
      <c r="AX185" s="652"/>
      <c r="AY185" s="652"/>
      <c r="AZ185" s="652"/>
      <c r="BA185" s="652"/>
      <c r="BB185" s="652"/>
      <c r="BC185" s="652"/>
      <c r="BD185" s="652"/>
      <c r="BE185" s="652"/>
      <c r="BF185" s="652"/>
      <c r="BG185" s="652"/>
      <c r="BH185" s="652"/>
      <c r="BI185" s="652"/>
    </row>
    <row r="186" s="650" customFormat="1" ht="31" customHeight="1" spans="1:96">
      <c r="A186" s="713">
        <v>46129</v>
      </c>
      <c r="B186" s="714" t="s">
        <v>346</v>
      </c>
      <c r="C186" s="715" t="s">
        <v>115</v>
      </c>
      <c r="D186" s="652" t="s">
        <v>4495</v>
      </c>
      <c r="E186" s="715" t="s">
        <v>4506</v>
      </c>
      <c r="F186" s="652" t="s">
        <v>4507</v>
      </c>
      <c r="G186" s="770" t="s">
        <v>4414</v>
      </c>
      <c r="H186" s="715" t="s">
        <v>4195</v>
      </c>
      <c r="I186" s="717">
        <v>12800</v>
      </c>
      <c r="J186" s="715">
        <v>0</v>
      </c>
      <c r="K186" s="715">
        <v>512</v>
      </c>
      <c r="L186" s="718">
        <f t="shared" si="39"/>
        <v>25</v>
      </c>
      <c r="M186" s="719">
        <v>46182</v>
      </c>
      <c r="N186" s="719">
        <v>46178</v>
      </c>
      <c r="O186" s="714"/>
      <c r="P186" s="717" t="s">
        <v>106</v>
      </c>
      <c r="Q186" s="717"/>
      <c r="R186" s="715" t="s">
        <v>4201</v>
      </c>
      <c r="S186" s="720" t="s">
        <v>107</v>
      </c>
      <c r="T186" s="720" t="s">
        <v>4498</v>
      </c>
      <c r="U186" s="720"/>
      <c r="V186" s="720"/>
      <c r="W186" s="720"/>
      <c r="X186" s="720" t="s">
        <v>1019</v>
      </c>
      <c r="Y186" s="719" t="s">
        <v>354</v>
      </c>
      <c r="Z186" s="715">
        <v>1393.2268</v>
      </c>
      <c r="AA186" s="715">
        <f t="shared" si="38"/>
        <v>34830.67</v>
      </c>
      <c r="AB186" s="729" t="s">
        <v>4508</v>
      </c>
      <c r="AC186" s="722" t="s">
        <v>4194</v>
      </c>
      <c r="AD186" s="715" t="s">
        <v>112</v>
      </c>
      <c r="AE186" s="715">
        <f t="shared" si="30"/>
        <v>12800</v>
      </c>
      <c r="AF186" s="715" t="s">
        <v>736</v>
      </c>
      <c r="AG186" s="715">
        <v>12800</v>
      </c>
      <c r="AH186" s="715">
        <f t="shared" si="33"/>
        <v>0</v>
      </c>
      <c r="AI186" s="715" t="s">
        <v>120</v>
      </c>
      <c r="AJ186" s="715" t="s">
        <v>3981</v>
      </c>
      <c r="AK186" s="652">
        <f>I186</f>
        <v>12800</v>
      </c>
      <c r="AL186" s="652"/>
      <c r="AM186" s="652"/>
      <c r="AN186" s="652">
        <f t="shared" si="40"/>
        <v>12800</v>
      </c>
      <c r="AO186" s="652"/>
      <c r="AP186" s="652"/>
      <c r="AQ186" s="652"/>
      <c r="AR186" s="652"/>
      <c r="AS186" s="652"/>
      <c r="AT186" s="652">
        <f>I186/8</f>
        <v>1600</v>
      </c>
      <c r="AU186" s="652"/>
      <c r="AV186" s="652"/>
      <c r="AW186" s="652"/>
      <c r="AX186" s="652"/>
      <c r="AY186" s="652"/>
      <c r="AZ186" s="652"/>
      <c r="BA186" s="652"/>
      <c r="BB186" s="652"/>
      <c r="BC186" s="652"/>
      <c r="BD186" s="652"/>
      <c r="BE186" s="652"/>
      <c r="BF186" s="652"/>
      <c r="BG186" s="652"/>
      <c r="BH186" s="652"/>
      <c r="BI186" s="652"/>
      <c r="BJ186" s="731"/>
      <c r="BK186" s="731"/>
      <c r="BL186" s="731"/>
      <c r="BM186" s="731"/>
      <c r="BN186" s="731"/>
      <c r="BO186" s="731"/>
      <c r="BP186" s="731"/>
      <c r="BQ186" s="731"/>
      <c r="BR186" s="731"/>
      <c r="BS186" s="731"/>
      <c r="BT186" s="731"/>
      <c r="BU186" s="731"/>
      <c r="BV186" s="731"/>
      <c r="BW186" s="731"/>
      <c r="BX186" s="731"/>
      <c r="BY186" s="731"/>
      <c r="BZ186" s="731"/>
      <c r="CA186" s="731"/>
      <c r="CB186" s="731"/>
      <c r="CC186" s="731"/>
      <c r="CD186" s="731"/>
      <c r="CE186" s="731"/>
      <c r="CF186" s="731"/>
      <c r="CG186" s="731"/>
      <c r="CH186" s="731"/>
      <c r="CI186" s="731"/>
      <c r="CJ186" s="731"/>
      <c r="CK186" s="731"/>
      <c r="CL186" s="731"/>
      <c r="CM186" s="731"/>
      <c r="CN186" s="731"/>
      <c r="CO186" s="731"/>
      <c r="CP186" s="731"/>
      <c r="CQ186" s="731"/>
      <c r="CR186" s="731"/>
    </row>
    <row r="187" s="650" customFormat="1" ht="31" customHeight="1" spans="1:96">
      <c r="A187" s="713">
        <v>46135</v>
      </c>
      <c r="B187" s="745" t="s">
        <v>890</v>
      </c>
      <c r="C187" s="746" t="s">
        <v>891</v>
      </c>
      <c r="D187" s="747" t="s">
        <v>4509</v>
      </c>
      <c r="E187" s="746" t="s">
        <v>4510</v>
      </c>
      <c r="F187" s="747" t="s">
        <v>4511</v>
      </c>
      <c r="G187" s="746" t="s">
        <v>4028</v>
      </c>
      <c r="H187" s="715" t="s">
        <v>3978</v>
      </c>
      <c r="I187" s="748">
        <v>2232</v>
      </c>
      <c r="J187" s="715">
        <v>0</v>
      </c>
      <c r="K187" s="715">
        <v>8</v>
      </c>
      <c r="L187" s="715">
        <f t="shared" si="39"/>
        <v>279</v>
      </c>
      <c r="M187" s="719">
        <v>46182</v>
      </c>
      <c r="N187" s="719">
        <v>46178</v>
      </c>
      <c r="O187" s="714"/>
      <c r="P187" s="717" t="s">
        <v>106</v>
      </c>
      <c r="Q187" s="717"/>
      <c r="R187" s="734">
        <v>46154</v>
      </c>
      <c r="S187" s="720" t="s">
        <v>107</v>
      </c>
      <c r="T187" s="720" t="s">
        <v>4512</v>
      </c>
      <c r="U187" s="720"/>
      <c r="V187" s="720"/>
      <c r="W187" s="720"/>
      <c r="X187" s="714" t="s">
        <v>4513</v>
      </c>
      <c r="Y187" s="749" t="s">
        <v>895</v>
      </c>
      <c r="Z187" s="750">
        <v>4.5779</v>
      </c>
      <c r="AA187" s="652">
        <f>I187*Z187</f>
        <v>10217.8728</v>
      </c>
      <c r="AB187" s="721"/>
      <c r="AC187" s="722" t="s">
        <v>4031</v>
      </c>
      <c r="AD187" s="715" t="s">
        <v>112</v>
      </c>
      <c r="AE187" s="715">
        <f t="shared" si="30"/>
        <v>2232</v>
      </c>
      <c r="AF187" s="715" t="s">
        <v>736</v>
      </c>
      <c r="AG187" s="715">
        <v>2232</v>
      </c>
      <c r="AH187" s="715">
        <f t="shared" si="33"/>
        <v>0</v>
      </c>
      <c r="AI187" s="717"/>
      <c r="AJ187" s="715" t="s">
        <v>3981</v>
      </c>
      <c r="AK187" s="652"/>
      <c r="AL187" s="652">
        <f>I187</f>
        <v>2232</v>
      </c>
      <c r="AM187" s="652"/>
      <c r="AN187" s="652">
        <f t="shared" si="40"/>
        <v>2232</v>
      </c>
      <c r="AO187" s="652"/>
      <c r="AP187" s="652"/>
      <c r="AQ187" s="652"/>
      <c r="AR187" s="652"/>
      <c r="AS187" s="652"/>
      <c r="AT187" s="652"/>
      <c r="AU187" s="652">
        <f>I187/8</f>
        <v>279</v>
      </c>
      <c r="AV187" s="652"/>
      <c r="AW187" s="652"/>
      <c r="AX187" s="652"/>
      <c r="AY187" s="652"/>
      <c r="AZ187" s="652"/>
      <c r="BA187" s="652"/>
      <c r="BB187" s="652"/>
      <c r="BC187" s="652"/>
      <c r="BD187" s="652"/>
      <c r="BE187" s="652"/>
      <c r="BF187" s="652"/>
      <c r="BG187" s="652"/>
      <c r="BH187" s="652"/>
      <c r="BI187" s="652"/>
    </row>
    <row r="188" s="650" customFormat="1" ht="31" customHeight="1" spans="1:96">
      <c r="A188" s="713">
        <v>46164</v>
      </c>
      <c r="B188" s="714"/>
      <c r="C188" s="715" t="s">
        <v>597</v>
      </c>
      <c r="D188" s="652" t="s">
        <v>4514</v>
      </c>
      <c r="E188" s="715"/>
      <c r="F188" s="652" t="s">
        <v>4515</v>
      </c>
      <c r="G188" s="716" t="s">
        <v>3968</v>
      </c>
      <c r="H188" s="715" t="s">
        <v>3969</v>
      </c>
      <c r="I188" s="717">
        <v>400</v>
      </c>
      <c r="J188" s="715">
        <v>0</v>
      </c>
      <c r="K188" s="715">
        <v>16</v>
      </c>
      <c r="L188" s="715">
        <f t="shared" si="39"/>
        <v>25</v>
      </c>
      <c r="M188" s="719">
        <v>46182</v>
      </c>
      <c r="N188" s="719">
        <v>46178</v>
      </c>
      <c r="O188" s="714"/>
      <c r="P188" s="717"/>
      <c r="Q188" s="717"/>
      <c r="R188" s="723" t="s">
        <v>94</v>
      </c>
      <c r="S188" s="720" t="s">
        <v>95</v>
      </c>
      <c r="T188" s="720" t="s">
        <v>95</v>
      </c>
      <c r="U188" s="720"/>
      <c r="V188" s="720"/>
      <c r="W188" s="720"/>
      <c r="X188" s="720" t="s">
        <v>4516</v>
      </c>
      <c r="Y188" s="719" t="s">
        <v>272</v>
      </c>
      <c r="Z188" s="730"/>
      <c r="AA188" s="652"/>
      <c r="AB188" s="721"/>
      <c r="AC188" s="716" t="s">
        <v>3968</v>
      </c>
      <c r="AD188" s="715" t="s">
        <v>112</v>
      </c>
      <c r="AE188" s="715">
        <f t="shared" si="30"/>
        <v>400</v>
      </c>
      <c r="AF188" s="715"/>
      <c r="AG188" s="715"/>
      <c r="AH188" s="715">
        <f t="shared" si="33"/>
        <v>-400</v>
      </c>
      <c r="AI188" s="717"/>
      <c r="AJ188" s="715" t="s">
        <v>3981</v>
      </c>
      <c r="AK188" s="652">
        <f>I188</f>
        <v>400</v>
      </c>
      <c r="AL188" s="652"/>
      <c r="AM188" s="652"/>
      <c r="AN188" s="652">
        <f t="shared" si="40"/>
        <v>400</v>
      </c>
      <c r="AO188" s="652"/>
      <c r="AP188" s="652"/>
      <c r="AQ188" s="652"/>
      <c r="AR188" s="652"/>
      <c r="AS188" s="652"/>
      <c r="AT188" s="652"/>
      <c r="AU188" s="652"/>
      <c r="AV188" s="652"/>
      <c r="AW188" s="652"/>
      <c r="AX188" s="652"/>
      <c r="AY188" s="652"/>
      <c r="AZ188" s="652"/>
      <c r="BA188" s="652"/>
      <c r="BB188" s="652"/>
      <c r="BC188" s="652"/>
      <c r="BD188" s="652"/>
      <c r="BE188" s="652"/>
      <c r="BF188" s="652"/>
      <c r="BG188" s="652"/>
      <c r="BH188" s="652"/>
      <c r="BI188" s="652"/>
    </row>
    <row r="189" s="650" customFormat="1" ht="31" customHeight="1" spans="1:96">
      <c r="A189" s="713">
        <v>46122</v>
      </c>
      <c r="B189" s="714" t="s">
        <v>935</v>
      </c>
      <c r="C189" s="715" t="s">
        <v>115</v>
      </c>
      <c r="D189" s="652" t="s">
        <v>4517</v>
      </c>
      <c r="E189" s="1908" t="s">
        <v>4518</v>
      </c>
      <c r="F189" s="652" t="s">
        <v>1009</v>
      </c>
      <c r="G189" s="716" t="s">
        <v>4215</v>
      </c>
      <c r="H189" s="715" t="s">
        <v>483</v>
      </c>
      <c r="I189" s="717">
        <v>4320</v>
      </c>
      <c r="J189" s="715">
        <v>0</v>
      </c>
      <c r="K189" s="715">
        <v>120</v>
      </c>
      <c r="L189" s="718">
        <f t="shared" si="39"/>
        <v>36</v>
      </c>
      <c r="M189" s="719">
        <v>46182</v>
      </c>
      <c r="N189" s="738">
        <v>46206</v>
      </c>
      <c r="O189" s="714"/>
      <c r="P189" s="717" t="s">
        <v>106</v>
      </c>
      <c r="Q189" s="717"/>
      <c r="R189" s="723">
        <v>46155</v>
      </c>
      <c r="S189" s="720" t="s">
        <v>107</v>
      </c>
      <c r="T189" s="720" t="s">
        <v>95</v>
      </c>
      <c r="U189" s="720"/>
      <c r="V189" s="720"/>
      <c r="W189" s="720"/>
      <c r="X189" s="714" t="s">
        <v>937</v>
      </c>
      <c r="Y189" s="719" t="s">
        <v>488</v>
      </c>
      <c r="Z189" s="753">
        <v>642</v>
      </c>
      <c r="AA189" s="722">
        <f>L189*Z189</f>
        <v>23112</v>
      </c>
      <c r="AB189" s="729" t="s">
        <v>1010</v>
      </c>
      <c r="AC189" s="722" t="s">
        <v>490</v>
      </c>
      <c r="AD189" s="715" t="s">
        <v>112</v>
      </c>
      <c r="AE189" s="715">
        <f t="shared" si="30"/>
        <v>4320</v>
      </c>
      <c r="AF189" s="715" t="s">
        <v>4109</v>
      </c>
      <c r="AG189" s="715">
        <f>2112+192+2016</f>
        <v>4320</v>
      </c>
      <c r="AH189" s="715">
        <f t="shared" si="33"/>
        <v>0</v>
      </c>
      <c r="AI189" s="717"/>
      <c r="AJ189" s="715" t="s">
        <v>3981</v>
      </c>
      <c r="AK189" s="652"/>
      <c r="AL189" s="652"/>
      <c r="AM189" s="652"/>
      <c r="AN189" s="652"/>
      <c r="AO189" s="652"/>
      <c r="AP189" s="652"/>
      <c r="AQ189" s="652">
        <f>I189</f>
        <v>4320</v>
      </c>
      <c r="AR189" s="652">
        <f>I189</f>
        <v>4320</v>
      </c>
      <c r="AS189" s="652">
        <f>I189/6</f>
        <v>720</v>
      </c>
      <c r="AT189" s="652"/>
      <c r="AU189" s="652"/>
      <c r="AV189" s="652"/>
      <c r="AW189" s="652"/>
      <c r="AX189" s="652"/>
      <c r="AY189" s="652"/>
      <c r="AZ189" s="652"/>
      <c r="BA189" s="652"/>
      <c r="BB189" s="652"/>
      <c r="BC189" s="652"/>
      <c r="BD189" s="652"/>
      <c r="BE189" s="652"/>
      <c r="BF189" s="652"/>
      <c r="BG189" s="652"/>
      <c r="BH189" s="652"/>
      <c r="BI189" s="652"/>
    </row>
    <row r="190" s="650" customFormat="1" ht="31" customHeight="1" spans="1:96">
      <c r="A190" s="713">
        <v>46122</v>
      </c>
      <c r="B190" s="714" t="s">
        <v>935</v>
      </c>
      <c r="C190" s="715" t="s">
        <v>115</v>
      </c>
      <c r="D190" s="652" t="s">
        <v>4519</v>
      </c>
      <c r="E190" s="1908" t="s">
        <v>4520</v>
      </c>
      <c r="F190" s="652" t="s">
        <v>1011</v>
      </c>
      <c r="G190" s="716" t="s">
        <v>4215</v>
      </c>
      <c r="H190" s="715" t="s">
        <v>483</v>
      </c>
      <c r="I190" s="717">
        <v>4320</v>
      </c>
      <c r="J190" s="715">
        <v>0</v>
      </c>
      <c r="K190" s="715">
        <v>120</v>
      </c>
      <c r="L190" s="718">
        <f t="shared" si="39"/>
        <v>36</v>
      </c>
      <c r="M190" s="719">
        <v>46182</v>
      </c>
      <c r="N190" s="738">
        <v>46206</v>
      </c>
      <c r="O190" s="714"/>
      <c r="P190" s="717" t="s">
        <v>106</v>
      </c>
      <c r="Q190" s="717"/>
      <c r="R190" s="723">
        <v>46155</v>
      </c>
      <c r="S190" s="720" t="s">
        <v>107</v>
      </c>
      <c r="T190" s="720" t="s">
        <v>95</v>
      </c>
      <c r="U190" s="720"/>
      <c r="V190" s="720"/>
      <c r="W190" s="720"/>
      <c r="X190" s="714" t="s">
        <v>937</v>
      </c>
      <c r="Y190" s="719" t="s">
        <v>488</v>
      </c>
      <c r="Z190" s="753">
        <v>642</v>
      </c>
      <c r="AA190" s="722">
        <f>L190*Z190</f>
        <v>23112</v>
      </c>
      <c r="AB190" s="729" t="s">
        <v>4521</v>
      </c>
      <c r="AC190" s="722" t="s">
        <v>490</v>
      </c>
      <c r="AD190" s="715" t="s">
        <v>112</v>
      </c>
      <c r="AE190" s="715">
        <f t="shared" si="30"/>
        <v>4320</v>
      </c>
      <c r="AF190" s="715" t="s">
        <v>4109</v>
      </c>
      <c r="AG190" s="715">
        <f>576+3150+594</f>
        <v>4320</v>
      </c>
      <c r="AH190" s="715">
        <f t="shared" si="33"/>
        <v>0</v>
      </c>
      <c r="AI190" s="717"/>
      <c r="AJ190" s="715" t="s">
        <v>3981</v>
      </c>
      <c r="AK190" s="652"/>
      <c r="AL190" s="652"/>
      <c r="AM190" s="652"/>
      <c r="AN190" s="652"/>
      <c r="AO190" s="652"/>
      <c r="AP190" s="652"/>
      <c r="AQ190" s="652">
        <f>I190</f>
        <v>4320</v>
      </c>
      <c r="AR190" s="652">
        <f>I190</f>
        <v>4320</v>
      </c>
      <c r="AS190" s="652">
        <f>I190/6</f>
        <v>720</v>
      </c>
      <c r="AT190" s="652"/>
      <c r="AU190" s="652"/>
      <c r="AV190" s="652"/>
      <c r="AW190" s="652"/>
      <c r="AX190" s="652"/>
      <c r="AY190" s="652"/>
      <c r="AZ190" s="652"/>
      <c r="BA190" s="652"/>
      <c r="BB190" s="652"/>
      <c r="BC190" s="652"/>
      <c r="BD190" s="652"/>
      <c r="BE190" s="652"/>
      <c r="BF190" s="652"/>
      <c r="BG190" s="652"/>
      <c r="BH190" s="652"/>
      <c r="BI190" s="652"/>
    </row>
    <row r="191" s="650" customFormat="1" ht="31" customHeight="1" spans="1:96">
      <c r="A191" s="713">
        <v>46115</v>
      </c>
      <c r="B191" s="714" t="s">
        <v>1021</v>
      </c>
      <c r="C191" s="715" t="s">
        <v>1022</v>
      </c>
      <c r="D191" s="652" t="s">
        <v>4522</v>
      </c>
      <c r="E191" s="715" t="s">
        <v>628</v>
      </c>
      <c r="F191" s="652" t="s">
        <v>4523</v>
      </c>
      <c r="G191" s="716" t="s">
        <v>3973</v>
      </c>
      <c r="H191" s="715" t="s">
        <v>3995</v>
      </c>
      <c r="I191" s="717">
        <v>896</v>
      </c>
      <c r="J191" s="715">
        <v>0</v>
      </c>
      <c r="K191" s="715">
        <v>16</v>
      </c>
      <c r="L191" s="715">
        <f t="shared" si="39"/>
        <v>56</v>
      </c>
      <c r="M191" s="719">
        <v>46183</v>
      </c>
      <c r="N191" s="719">
        <v>46179</v>
      </c>
      <c r="O191" s="714"/>
      <c r="P191" s="717" t="s">
        <v>106</v>
      </c>
      <c r="Q191" s="717"/>
      <c r="R191" s="723">
        <v>46149</v>
      </c>
      <c r="S191" s="720" t="s">
        <v>107</v>
      </c>
      <c r="T191" s="720" t="s">
        <v>1025</v>
      </c>
      <c r="U191" s="720"/>
      <c r="V191" s="720" t="s">
        <v>4347</v>
      </c>
      <c r="W191" s="720"/>
      <c r="X191" s="720" t="s">
        <v>4524</v>
      </c>
      <c r="Y191" s="719" t="s">
        <v>295</v>
      </c>
      <c r="Z191" s="730">
        <v>4.355</v>
      </c>
      <c r="AA191" s="652">
        <f>L191*Z191</f>
        <v>243.88</v>
      </c>
      <c r="AB191" s="721"/>
      <c r="AC191" s="722" t="s">
        <v>4108</v>
      </c>
      <c r="AD191" s="715" t="s">
        <v>112</v>
      </c>
      <c r="AE191" s="715">
        <f t="shared" si="30"/>
        <v>896</v>
      </c>
      <c r="AF191" s="715"/>
      <c r="AG191" s="715">
        <v>896</v>
      </c>
      <c r="AH191" s="715">
        <f t="shared" si="33"/>
        <v>0</v>
      </c>
      <c r="AI191" s="717" t="s">
        <v>120</v>
      </c>
      <c r="AJ191" s="715" t="s">
        <v>3981</v>
      </c>
      <c r="AK191" s="652"/>
      <c r="AL191" s="652">
        <f>I191</f>
        <v>896</v>
      </c>
      <c r="AM191" s="652"/>
      <c r="AN191" s="652">
        <f t="shared" ref="AN191:AN196" si="41">I191</f>
        <v>896</v>
      </c>
      <c r="AO191" s="652"/>
      <c r="AP191" s="652"/>
      <c r="AQ191" s="652"/>
      <c r="AR191" s="652"/>
      <c r="AS191" s="652"/>
      <c r="AT191" s="652"/>
      <c r="AU191" s="652">
        <f>I191/8</f>
        <v>112</v>
      </c>
      <c r="AV191" s="652"/>
      <c r="AW191" s="652"/>
      <c r="AX191" s="652"/>
      <c r="AY191" s="652"/>
      <c r="AZ191" s="652"/>
      <c r="BA191" s="652"/>
      <c r="BB191" s="652"/>
      <c r="BC191" s="652"/>
      <c r="BD191" s="652"/>
      <c r="BE191" s="652"/>
      <c r="BF191" s="652"/>
      <c r="BG191" s="652"/>
      <c r="BH191" s="652"/>
      <c r="BI191" s="652"/>
      <c r="BJ191" s="731"/>
      <c r="BK191" s="731"/>
      <c r="BL191" s="731"/>
      <c r="BM191" s="731"/>
      <c r="BN191" s="731"/>
      <c r="BO191" s="731"/>
      <c r="BP191" s="731"/>
      <c r="BQ191" s="731"/>
      <c r="BR191" s="731"/>
      <c r="BS191" s="731"/>
      <c r="BT191" s="731"/>
      <c r="BU191" s="731"/>
      <c r="BV191" s="731"/>
      <c r="BW191" s="731"/>
      <c r="BX191" s="731"/>
      <c r="BY191" s="731"/>
      <c r="BZ191" s="731"/>
      <c r="CA191" s="731"/>
      <c r="CB191" s="731"/>
      <c r="CC191" s="731"/>
      <c r="CD191" s="731"/>
      <c r="CE191" s="731"/>
      <c r="CF191" s="731"/>
      <c r="CG191" s="731"/>
      <c r="CH191" s="731"/>
      <c r="CI191" s="731"/>
      <c r="CJ191" s="731"/>
      <c r="CK191" s="731"/>
      <c r="CL191" s="731"/>
      <c r="CM191" s="731"/>
      <c r="CN191" s="731"/>
      <c r="CO191" s="731"/>
      <c r="CP191" s="731"/>
      <c r="CQ191" s="731"/>
      <c r="CR191" s="731"/>
    </row>
    <row r="192" s="650" customFormat="1" ht="31" customHeight="1" spans="1:96">
      <c r="A192" s="713">
        <v>46121</v>
      </c>
      <c r="B192" s="714" t="s">
        <v>114</v>
      </c>
      <c r="C192" s="715" t="s">
        <v>115</v>
      </c>
      <c r="D192" s="652" t="s">
        <v>4525</v>
      </c>
      <c r="E192" s="715" t="s">
        <v>4526</v>
      </c>
      <c r="F192" s="652" t="s">
        <v>4527</v>
      </c>
      <c r="G192" s="716" t="s">
        <v>3980</v>
      </c>
      <c r="H192" s="715" t="s">
        <v>3978</v>
      </c>
      <c r="I192" s="717">
        <v>16000</v>
      </c>
      <c r="J192" s="715">
        <v>0</v>
      </c>
      <c r="K192" s="715">
        <v>8</v>
      </c>
      <c r="L192" s="715">
        <f t="shared" si="39"/>
        <v>2000</v>
      </c>
      <c r="M192" s="719">
        <v>46183</v>
      </c>
      <c r="N192" s="719">
        <v>46179</v>
      </c>
      <c r="O192" s="714"/>
      <c r="P192" s="717" t="s">
        <v>106</v>
      </c>
      <c r="Q192" s="717"/>
      <c r="R192" s="723">
        <v>46140</v>
      </c>
      <c r="S192" s="720" t="s">
        <v>107</v>
      </c>
      <c r="T192" s="720" t="s">
        <v>4399</v>
      </c>
      <c r="U192" s="720"/>
      <c r="V192" s="720" t="s">
        <v>4056</v>
      </c>
      <c r="W192" s="720"/>
      <c r="X192" s="720" t="s">
        <v>4400</v>
      </c>
      <c r="Y192" s="719" t="s">
        <v>123</v>
      </c>
      <c r="Z192" s="730">
        <v>2.7092</v>
      </c>
      <c r="AA192" s="652">
        <f>Z192*I192</f>
        <v>43347.2</v>
      </c>
      <c r="AB192" s="729" t="s">
        <v>4528</v>
      </c>
      <c r="AC192" s="722" t="s">
        <v>3980</v>
      </c>
      <c r="AD192" s="715" t="s">
        <v>112</v>
      </c>
      <c r="AE192" s="715">
        <f t="shared" si="30"/>
        <v>16000</v>
      </c>
      <c r="AF192" s="715" t="s">
        <v>736</v>
      </c>
      <c r="AG192" s="715">
        <f>15584+416</f>
        <v>16000</v>
      </c>
      <c r="AH192" s="715">
        <f t="shared" si="33"/>
        <v>0</v>
      </c>
      <c r="AI192" s="717"/>
      <c r="AJ192" s="715" t="s">
        <v>3981</v>
      </c>
      <c r="AK192" s="652">
        <f>I192</f>
        <v>16000</v>
      </c>
      <c r="AL192" s="652"/>
      <c r="AM192" s="652"/>
      <c r="AN192" s="652">
        <f t="shared" si="41"/>
        <v>16000</v>
      </c>
      <c r="AO192" s="652"/>
      <c r="AP192" s="652"/>
      <c r="AQ192" s="652"/>
      <c r="AR192" s="652"/>
      <c r="AS192" s="652"/>
      <c r="AT192" s="652">
        <f>I192/8</f>
        <v>2000</v>
      </c>
      <c r="AU192" s="652"/>
      <c r="AV192" s="652"/>
      <c r="AW192" s="652"/>
      <c r="AX192" s="652"/>
      <c r="AY192" s="652"/>
      <c r="AZ192" s="652"/>
      <c r="BA192" s="652"/>
      <c r="BB192" s="652"/>
      <c r="BC192" s="652"/>
      <c r="BD192" s="652"/>
      <c r="BE192" s="652"/>
      <c r="BF192" s="652"/>
      <c r="BG192" s="652"/>
      <c r="BH192" s="652"/>
      <c r="BI192" s="652"/>
      <c r="BJ192" s="731"/>
      <c r="BK192" s="731"/>
      <c r="BL192" s="731"/>
      <c r="BM192" s="731"/>
      <c r="BN192" s="731"/>
      <c r="BO192" s="731"/>
      <c r="BP192" s="731"/>
      <c r="BQ192" s="731"/>
      <c r="BR192" s="731"/>
      <c r="BS192" s="731"/>
      <c r="BT192" s="731"/>
      <c r="BU192" s="731"/>
      <c r="BV192" s="731"/>
      <c r="BW192" s="731"/>
      <c r="BX192" s="731"/>
      <c r="BY192" s="731"/>
      <c r="BZ192" s="731"/>
      <c r="CA192" s="731"/>
      <c r="CB192" s="731"/>
      <c r="CC192" s="731"/>
      <c r="CD192" s="731"/>
      <c r="CE192" s="731"/>
      <c r="CF192" s="731"/>
      <c r="CG192" s="731"/>
      <c r="CH192" s="731"/>
      <c r="CI192" s="731"/>
      <c r="CJ192" s="731"/>
      <c r="CK192" s="731"/>
      <c r="CL192" s="731"/>
      <c r="CM192" s="731"/>
      <c r="CN192" s="731"/>
      <c r="CO192" s="731"/>
      <c r="CP192" s="731"/>
      <c r="CQ192" s="731"/>
      <c r="CR192" s="731"/>
    </row>
    <row r="193" s="650" customFormat="1" ht="31" customHeight="1" spans="1:108">
      <c r="A193" s="713">
        <v>46115</v>
      </c>
      <c r="B193" s="714" t="s">
        <v>1039</v>
      </c>
      <c r="C193" s="715" t="s">
        <v>201</v>
      </c>
      <c r="D193" s="652" t="s">
        <v>4529</v>
      </c>
      <c r="E193" s="715" t="s">
        <v>4530</v>
      </c>
      <c r="F193" s="652" t="s">
        <v>4531</v>
      </c>
      <c r="G193" s="716" t="s">
        <v>3980</v>
      </c>
      <c r="H193" s="715" t="s">
        <v>3978</v>
      </c>
      <c r="I193" s="717">
        <v>2184</v>
      </c>
      <c r="J193" s="715">
        <v>0</v>
      </c>
      <c r="K193" s="715">
        <v>8</v>
      </c>
      <c r="L193" s="715">
        <f t="shared" si="39"/>
        <v>273</v>
      </c>
      <c r="M193" s="719">
        <v>46184</v>
      </c>
      <c r="N193" s="719">
        <v>46181</v>
      </c>
      <c r="O193" s="714"/>
      <c r="P193" s="717" t="s">
        <v>106</v>
      </c>
      <c r="Q193" s="717"/>
      <c r="R193" s="723">
        <v>46152</v>
      </c>
      <c r="S193" s="720" t="s">
        <v>107</v>
      </c>
      <c r="T193" s="720" t="s">
        <v>1041</v>
      </c>
      <c r="U193" s="720"/>
      <c r="V193" s="720" t="s">
        <v>4347</v>
      </c>
      <c r="W193" s="720"/>
      <c r="X193" s="720" t="s">
        <v>1042</v>
      </c>
      <c r="Y193" s="719" t="s">
        <v>204</v>
      </c>
      <c r="Z193" s="730">
        <v>4.5405</v>
      </c>
      <c r="AA193" s="652">
        <f>I193*Z193</f>
        <v>9916.452</v>
      </c>
      <c r="AB193" s="721"/>
      <c r="AC193" s="722" t="s">
        <v>4031</v>
      </c>
      <c r="AD193" s="715" t="s">
        <v>112</v>
      </c>
      <c r="AE193" s="715">
        <f t="shared" si="30"/>
        <v>2184</v>
      </c>
      <c r="AF193" s="715"/>
      <c r="AG193" s="715">
        <v>2184</v>
      </c>
      <c r="AH193" s="715">
        <f t="shared" si="33"/>
        <v>0</v>
      </c>
      <c r="AI193" s="717"/>
      <c r="AJ193" s="715" t="s">
        <v>3981</v>
      </c>
      <c r="AK193" s="652"/>
      <c r="AL193" s="652">
        <f>I193</f>
        <v>2184</v>
      </c>
      <c r="AM193" s="652"/>
      <c r="AN193" s="652">
        <f t="shared" si="41"/>
        <v>2184</v>
      </c>
      <c r="AO193" s="652"/>
      <c r="AP193" s="652"/>
      <c r="AQ193" s="652"/>
      <c r="AR193" s="652"/>
      <c r="AS193" s="652"/>
      <c r="AT193" s="652"/>
      <c r="AU193" s="652">
        <f>I193/8</f>
        <v>273</v>
      </c>
      <c r="AV193" s="652"/>
      <c r="AW193" s="652"/>
      <c r="AX193" s="652"/>
      <c r="AY193" s="652"/>
      <c r="AZ193" s="652"/>
      <c r="BA193" s="652"/>
      <c r="BB193" s="652"/>
      <c r="BC193" s="652"/>
      <c r="BD193" s="652"/>
      <c r="BE193" s="652"/>
      <c r="BF193" s="652"/>
      <c r="BG193" s="652"/>
      <c r="BH193" s="652"/>
      <c r="BI193" s="652"/>
    </row>
    <row r="194" s="650" customFormat="1" ht="31" customHeight="1" spans="1:108">
      <c r="A194" s="713">
        <v>46121</v>
      </c>
      <c r="B194" s="714" t="s">
        <v>114</v>
      </c>
      <c r="C194" s="715" t="s">
        <v>115</v>
      </c>
      <c r="D194" s="652" t="s">
        <v>4532</v>
      </c>
      <c r="E194" s="715" t="s">
        <v>4533</v>
      </c>
      <c r="F194" s="652" t="s">
        <v>4534</v>
      </c>
      <c r="G194" s="716" t="s">
        <v>3980</v>
      </c>
      <c r="H194" s="715" t="s">
        <v>3978</v>
      </c>
      <c r="I194" s="717">
        <v>5192</v>
      </c>
      <c r="J194" s="715">
        <v>0</v>
      </c>
      <c r="K194" s="715">
        <v>8</v>
      </c>
      <c r="L194" s="715">
        <f t="shared" si="39"/>
        <v>649</v>
      </c>
      <c r="M194" s="719">
        <v>46184</v>
      </c>
      <c r="N194" s="719">
        <v>46181</v>
      </c>
      <c r="O194" s="714"/>
      <c r="P194" s="717" t="s">
        <v>106</v>
      </c>
      <c r="Q194" s="717"/>
      <c r="R194" s="723">
        <v>46151</v>
      </c>
      <c r="S194" s="720" t="s">
        <v>107</v>
      </c>
      <c r="T194" s="720" t="s">
        <v>4535</v>
      </c>
      <c r="U194" s="720"/>
      <c r="V194" s="720" t="s">
        <v>4056</v>
      </c>
      <c r="W194" s="720"/>
      <c r="X194" s="720" t="s">
        <v>4536</v>
      </c>
      <c r="Y194" s="719" t="s">
        <v>123</v>
      </c>
      <c r="Z194" s="730">
        <v>2.7182</v>
      </c>
      <c r="AA194" s="652">
        <f>Z194*I194</f>
        <v>14112.8944</v>
      </c>
      <c r="AB194" s="729" t="s">
        <v>4537</v>
      </c>
      <c r="AC194" s="722" t="s">
        <v>3980</v>
      </c>
      <c r="AD194" s="715" t="s">
        <v>112</v>
      </c>
      <c r="AE194" s="715">
        <f t="shared" si="30"/>
        <v>5192</v>
      </c>
      <c r="AF194" s="715" t="s">
        <v>736</v>
      </c>
      <c r="AG194" s="715">
        <f>4480+712</f>
        <v>5192</v>
      </c>
      <c r="AH194" s="715">
        <f t="shared" si="33"/>
        <v>0</v>
      </c>
      <c r="AI194" s="717"/>
      <c r="AJ194" s="715" t="s">
        <v>3981</v>
      </c>
      <c r="AK194" s="652">
        <f>I194</f>
        <v>5192</v>
      </c>
      <c r="AL194" s="652"/>
      <c r="AM194" s="652"/>
      <c r="AN194" s="652">
        <f t="shared" si="41"/>
        <v>5192</v>
      </c>
      <c r="AO194" s="652"/>
      <c r="AP194" s="652"/>
      <c r="AQ194" s="652"/>
      <c r="AR194" s="652"/>
      <c r="AS194" s="652"/>
      <c r="AT194" s="652">
        <f>I194/8</f>
        <v>649</v>
      </c>
      <c r="AU194" s="652"/>
      <c r="AV194" s="652"/>
      <c r="AW194" s="652"/>
      <c r="AX194" s="652"/>
      <c r="AY194" s="652"/>
      <c r="AZ194" s="652"/>
      <c r="BA194" s="652"/>
      <c r="BB194" s="652"/>
      <c r="BC194" s="652"/>
      <c r="BD194" s="652"/>
      <c r="BE194" s="652"/>
      <c r="BF194" s="652"/>
      <c r="BG194" s="652"/>
      <c r="BH194" s="652"/>
      <c r="BI194" s="652"/>
    </row>
    <row r="195" s="650" customFormat="1" ht="31" customHeight="1" spans="1:108">
      <c r="A195" s="713">
        <v>46100</v>
      </c>
      <c r="B195" s="714" t="s">
        <v>1053</v>
      </c>
      <c r="C195" s="715" t="s">
        <v>1054</v>
      </c>
      <c r="D195" s="652">
        <v>4500197643</v>
      </c>
      <c r="E195" s="715" t="s">
        <v>1055</v>
      </c>
      <c r="F195" s="652" t="s">
        <v>4538</v>
      </c>
      <c r="G195" s="716" t="s">
        <v>3973</v>
      </c>
      <c r="H195" s="715" t="s">
        <v>3995</v>
      </c>
      <c r="I195" s="717">
        <v>3008</v>
      </c>
      <c r="J195" s="715">
        <v>0</v>
      </c>
      <c r="K195" s="715">
        <v>16</v>
      </c>
      <c r="L195" s="718">
        <f t="shared" si="39"/>
        <v>188</v>
      </c>
      <c r="M195" s="719">
        <v>46184</v>
      </c>
      <c r="N195" s="719">
        <v>46181</v>
      </c>
      <c r="O195" s="714"/>
      <c r="P195" s="717" t="s">
        <v>106</v>
      </c>
      <c r="Q195" s="717"/>
      <c r="R195" s="723">
        <v>46100</v>
      </c>
      <c r="S195" s="720" t="s">
        <v>107</v>
      </c>
      <c r="T195" s="720" t="s">
        <v>4539</v>
      </c>
      <c r="U195" s="720"/>
      <c r="V195" s="720"/>
      <c r="W195" s="720"/>
      <c r="X195" s="720" t="s">
        <v>4540</v>
      </c>
      <c r="Y195" s="719" t="s">
        <v>1059</v>
      </c>
      <c r="Z195" s="754">
        <v>4.7752</v>
      </c>
      <c r="AA195" s="715">
        <f>I195*Z195</f>
        <v>14363.8016</v>
      </c>
      <c r="AB195" s="721"/>
      <c r="AC195" s="722" t="s">
        <v>3973</v>
      </c>
      <c r="AD195" s="715" t="s">
        <v>112</v>
      </c>
      <c r="AE195" s="715">
        <f t="shared" si="30"/>
        <v>3008</v>
      </c>
      <c r="AF195" s="715" t="s">
        <v>736</v>
      </c>
      <c r="AG195" s="715">
        <v>3008</v>
      </c>
      <c r="AH195" s="715">
        <f t="shared" si="33"/>
        <v>0</v>
      </c>
      <c r="AI195" s="717"/>
      <c r="AJ195" s="715" t="s">
        <v>3981</v>
      </c>
      <c r="AK195" s="652">
        <f>I195</f>
        <v>3008</v>
      </c>
      <c r="AL195" s="652"/>
      <c r="AM195" s="652"/>
      <c r="AN195" s="652">
        <f t="shared" si="41"/>
        <v>3008</v>
      </c>
      <c r="AO195" s="652"/>
      <c r="AP195" s="652"/>
      <c r="AQ195" s="652"/>
      <c r="AR195" s="652"/>
      <c r="AS195" s="652"/>
      <c r="AT195" s="652">
        <f>I195/8</f>
        <v>376</v>
      </c>
      <c r="AU195" s="652"/>
      <c r="AV195" s="652"/>
      <c r="AW195" s="652"/>
      <c r="AX195" s="652"/>
      <c r="AY195" s="652"/>
      <c r="AZ195" s="652"/>
      <c r="BA195" s="652"/>
      <c r="BB195" s="652"/>
      <c r="BC195" s="652"/>
      <c r="BD195" s="652"/>
      <c r="BE195" s="652"/>
      <c r="BF195" s="652"/>
      <c r="BG195" s="652"/>
      <c r="BH195" s="652"/>
      <c r="BI195" s="652"/>
      <c r="BJ195" s="654"/>
      <c r="BK195" s="654"/>
      <c r="BL195" s="654"/>
      <c r="BM195" s="654"/>
      <c r="BN195" s="654"/>
      <c r="BO195" s="654"/>
      <c r="BP195" s="654"/>
      <c r="BQ195" s="654"/>
      <c r="BR195" s="654"/>
      <c r="BS195" s="654"/>
      <c r="BT195" s="654"/>
      <c r="BU195" s="654"/>
      <c r="BV195" s="654"/>
      <c r="BW195" s="654"/>
      <c r="BX195" s="654"/>
      <c r="BY195" s="654"/>
      <c r="BZ195" s="654"/>
      <c r="CA195" s="654"/>
      <c r="CB195" s="654"/>
      <c r="CC195" s="654"/>
      <c r="CD195" s="654"/>
      <c r="CE195" s="654"/>
      <c r="CF195" s="654"/>
      <c r="CG195" s="654"/>
      <c r="CH195" s="654"/>
      <c r="CI195" s="654"/>
      <c r="CJ195" s="654"/>
      <c r="CK195" s="654"/>
      <c r="CL195" s="654"/>
      <c r="CM195" s="654"/>
      <c r="CN195" s="654"/>
      <c r="CO195" s="654"/>
      <c r="CP195" s="654"/>
      <c r="CQ195" s="654"/>
      <c r="CR195" s="654"/>
    </row>
    <row r="196" s="650" customFormat="1" ht="31" customHeight="1" spans="1:108">
      <c r="A196" s="713">
        <v>46122</v>
      </c>
      <c r="B196" s="714" t="s">
        <v>1060</v>
      </c>
      <c r="C196" s="715" t="s">
        <v>148</v>
      </c>
      <c r="D196" s="652">
        <v>4500201003</v>
      </c>
      <c r="E196" s="715" t="s">
        <v>4541</v>
      </c>
      <c r="F196" s="652" t="s">
        <v>1061</v>
      </c>
      <c r="G196" s="716" t="s">
        <v>4359</v>
      </c>
      <c r="H196" s="715" t="s">
        <v>804</v>
      </c>
      <c r="I196" s="717">
        <v>3792</v>
      </c>
      <c r="J196" s="715">
        <v>0</v>
      </c>
      <c r="K196" s="715">
        <v>6</v>
      </c>
      <c r="L196" s="715">
        <f t="shared" si="39"/>
        <v>632</v>
      </c>
      <c r="M196" s="719">
        <v>46184</v>
      </c>
      <c r="N196" s="738">
        <v>46214</v>
      </c>
      <c r="O196" s="773"/>
      <c r="P196" s="717" t="s">
        <v>106</v>
      </c>
      <c r="Q196" s="717"/>
      <c r="R196" s="734">
        <v>46149</v>
      </c>
      <c r="S196" s="720" t="s">
        <v>95</v>
      </c>
      <c r="T196" s="720" t="s">
        <v>1064</v>
      </c>
      <c r="U196" s="720"/>
      <c r="V196" s="714" t="s">
        <v>1065</v>
      </c>
      <c r="W196" s="720"/>
      <c r="X196" s="720" t="s">
        <v>1066</v>
      </c>
      <c r="Y196" s="719" t="s">
        <v>1067</v>
      </c>
      <c r="Z196" s="730">
        <v>8.15</v>
      </c>
      <c r="AA196" s="652">
        <f>I196*Z196</f>
        <v>30904.8</v>
      </c>
      <c r="AB196" s="721"/>
      <c r="AC196" s="715" t="s">
        <v>952</v>
      </c>
      <c r="AD196" s="715" t="s">
        <v>112</v>
      </c>
      <c r="AE196" s="715">
        <f t="shared" si="30"/>
        <v>3792</v>
      </c>
      <c r="AF196" s="715"/>
      <c r="AG196" s="715">
        <v>3792</v>
      </c>
      <c r="AH196" s="715">
        <f t="shared" si="33"/>
        <v>0</v>
      </c>
      <c r="AI196" s="717" t="s">
        <v>120</v>
      </c>
      <c r="AJ196" s="715" t="s">
        <v>3981</v>
      </c>
      <c r="AK196" s="652"/>
      <c r="AL196" s="652"/>
      <c r="AM196" s="652"/>
      <c r="AN196" s="652">
        <f t="shared" si="41"/>
        <v>3792</v>
      </c>
      <c r="AO196" s="652"/>
      <c r="AP196" s="652"/>
      <c r="AQ196" s="652"/>
      <c r="AR196" s="652"/>
      <c r="AS196" s="652"/>
      <c r="AT196" s="652"/>
      <c r="AU196" s="652"/>
      <c r="AV196" s="652"/>
      <c r="AW196" s="652"/>
      <c r="AX196" s="652"/>
      <c r="AY196" s="652"/>
      <c r="AZ196" s="652"/>
      <c r="BA196" s="652"/>
      <c r="BB196" s="652"/>
      <c r="BC196" s="652"/>
      <c r="BD196" s="652"/>
      <c r="BE196" s="652"/>
      <c r="BF196" s="652"/>
      <c r="BG196" s="652"/>
      <c r="BH196" s="652"/>
      <c r="BI196" s="652">
        <f>I196</f>
        <v>3792</v>
      </c>
    </row>
    <row r="197" s="650" customFormat="1" ht="31" customHeight="1" spans="1:108">
      <c r="A197" s="713">
        <v>46122</v>
      </c>
      <c r="B197" s="714" t="s">
        <v>935</v>
      </c>
      <c r="C197" s="715" t="s">
        <v>115</v>
      </c>
      <c r="D197" s="652" t="s">
        <v>4542</v>
      </c>
      <c r="E197" s="1908" t="s">
        <v>4543</v>
      </c>
      <c r="F197" s="652" t="s">
        <v>1068</v>
      </c>
      <c r="G197" s="716" t="s">
        <v>4215</v>
      </c>
      <c r="H197" s="715" t="s">
        <v>483</v>
      </c>
      <c r="I197" s="717">
        <v>4320</v>
      </c>
      <c r="J197" s="715">
        <v>0</v>
      </c>
      <c r="K197" s="715">
        <v>120</v>
      </c>
      <c r="L197" s="718">
        <f t="shared" si="39"/>
        <v>36</v>
      </c>
      <c r="M197" s="719">
        <v>46185</v>
      </c>
      <c r="N197" s="719">
        <v>46181</v>
      </c>
      <c r="O197" s="714"/>
      <c r="P197" s="717" t="s">
        <v>106</v>
      </c>
      <c r="Q197" s="717"/>
      <c r="R197" s="723">
        <v>46155</v>
      </c>
      <c r="S197" s="720" t="s">
        <v>107</v>
      </c>
      <c r="T197" s="720" t="s">
        <v>95</v>
      </c>
      <c r="U197" s="720"/>
      <c r="V197" s="720"/>
      <c r="W197" s="720"/>
      <c r="X197" s="714" t="s">
        <v>937</v>
      </c>
      <c r="Y197" s="719" t="s">
        <v>488</v>
      </c>
      <c r="Z197" s="753">
        <v>642</v>
      </c>
      <c r="AA197" s="722">
        <f>L197*Z197</f>
        <v>23112</v>
      </c>
      <c r="AB197" s="729" t="s">
        <v>4544</v>
      </c>
      <c r="AC197" s="722" t="s">
        <v>490</v>
      </c>
      <c r="AD197" s="715" t="s">
        <v>112</v>
      </c>
      <c r="AE197" s="715">
        <f t="shared" si="30"/>
        <v>4320</v>
      </c>
      <c r="AF197" s="715" t="s">
        <v>4109</v>
      </c>
      <c r="AG197" s="715">
        <f>2226+2094</f>
        <v>4320</v>
      </c>
      <c r="AH197" s="715">
        <f t="shared" si="33"/>
        <v>0</v>
      </c>
      <c r="AI197" s="717"/>
      <c r="AJ197" s="715" t="s">
        <v>3981</v>
      </c>
      <c r="AK197" s="652"/>
      <c r="AL197" s="652"/>
      <c r="AM197" s="652"/>
      <c r="AN197" s="652"/>
      <c r="AO197" s="652"/>
      <c r="AP197" s="652"/>
      <c r="AQ197" s="652">
        <f>I197</f>
        <v>4320</v>
      </c>
      <c r="AR197" s="652">
        <f>I197</f>
        <v>4320</v>
      </c>
      <c r="AS197" s="652">
        <f>I197/6</f>
        <v>720</v>
      </c>
      <c r="AT197" s="652"/>
      <c r="AU197" s="652"/>
      <c r="AV197" s="652"/>
      <c r="AW197" s="652"/>
      <c r="AX197" s="652"/>
      <c r="AY197" s="652"/>
      <c r="AZ197" s="652"/>
      <c r="BA197" s="652"/>
      <c r="BB197" s="652"/>
      <c r="BC197" s="652"/>
      <c r="BD197" s="652"/>
      <c r="BE197" s="652"/>
      <c r="BF197" s="652"/>
      <c r="BG197" s="652"/>
      <c r="BH197" s="652"/>
      <c r="BI197" s="652"/>
    </row>
    <row r="198" s="650" customFormat="1" ht="31" customHeight="1" spans="1:108">
      <c r="A198" s="713">
        <v>46122</v>
      </c>
      <c r="B198" s="714" t="s">
        <v>935</v>
      </c>
      <c r="C198" s="715" t="s">
        <v>115</v>
      </c>
      <c r="D198" s="652" t="s">
        <v>4545</v>
      </c>
      <c r="E198" s="1908" t="s">
        <v>4546</v>
      </c>
      <c r="F198" s="652" t="s">
        <v>1070</v>
      </c>
      <c r="G198" s="716" t="s">
        <v>4215</v>
      </c>
      <c r="H198" s="715" t="s">
        <v>483</v>
      </c>
      <c r="I198" s="717">
        <v>4320</v>
      </c>
      <c r="J198" s="715">
        <v>0</v>
      </c>
      <c r="K198" s="715">
        <v>120</v>
      </c>
      <c r="L198" s="718">
        <f t="shared" si="39"/>
        <v>36</v>
      </c>
      <c r="M198" s="719">
        <v>46185</v>
      </c>
      <c r="N198" s="719">
        <v>46181</v>
      </c>
      <c r="O198" s="714"/>
      <c r="P198" s="717" t="s">
        <v>106</v>
      </c>
      <c r="Q198" s="717"/>
      <c r="R198" s="723">
        <v>46155</v>
      </c>
      <c r="S198" s="720" t="s">
        <v>107</v>
      </c>
      <c r="T198" s="720" t="s">
        <v>95</v>
      </c>
      <c r="U198" s="720"/>
      <c r="V198" s="720"/>
      <c r="W198" s="720"/>
      <c r="X198" s="714" t="s">
        <v>937</v>
      </c>
      <c r="Y198" s="719" t="s">
        <v>488</v>
      </c>
      <c r="Z198" s="753">
        <v>642</v>
      </c>
      <c r="AA198" s="722">
        <f>L198*Z198</f>
        <v>23112</v>
      </c>
      <c r="AB198" s="729" t="s">
        <v>4547</v>
      </c>
      <c r="AC198" s="722" t="s">
        <v>490</v>
      </c>
      <c r="AD198" s="715" t="s">
        <v>112</v>
      </c>
      <c r="AE198" s="715">
        <f t="shared" si="30"/>
        <v>4320</v>
      </c>
      <c r="AF198" s="715" t="s">
        <v>4109</v>
      </c>
      <c r="AG198" s="715">
        <f>192+546+3582</f>
        <v>4320</v>
      </c>
      <c r="AH198" s="715">
        <f t="shared" si="33"/>
        <v>0</v>
      </c>
      <c r="AI198" s="717"/>
      <c r="AJ198" s="715" t="s">
        <v>3981</v>
      </c>
      <c r="AK198" s="652"/>
      <c r="AL198" s="652"/>
      <c r="AM198" s="652"/>
      <c r="AN198" s="652"/>
      <c r="AO198" s="652"/>
      <c r="AP198" s="652"/>
      <c r="AQ198" s="652">
        <f>I198</f>
        <v>4320</v>
      </c>
      <c r="AR198" s="652">
        <f>I198</f>
        <v>4320</v>
      </c>
      <c r="AS198" s="652">
        <f>I198/6</f>
        <v>720</v>
      </c>
      <c r="AT198" s="652"/>
      <c r="AU198" s="652"/>
      <c r="AV198" s="652"/>
      <c r="AW198" s="652"/>
      <c r="AX198" s="652"/>
      <c r="AY198" s="652"/>
      <c r="AZ198" s="652"/>
      <c r="BA198" s="652"/>
      <c r="BB198" s="652"/>
      <c r="BC198" s="652"/>
      <c r="BD198" s="652"/>
      <c r="BE198" s="652"/>
      <c r="BF198" s="652"/>
      <c r="BG198" s="652"/>
      <c r="BH198" s="652"/>
      <c r="BI198" s="652"/>
    </row>
    <row r="199" s="650" customFormat="1" ht="31" customHeight="1" spans="1:108">
      <c r="A199" s="713">
        <v>46122</v>
      </c>
      <c r="B199" s="714" t="s">
        <v>935</v>
      </c>
      <c r="C199" s="715" t="s">
        <v>115</v>
      </c>
      <c r="D199" s="652" t="s">
        <v>4548</v>
      </c>
      <c r="E199" s="1908" t="s">
        <v>4549</v>
      </c>
      <c r="F199" s="652" t="s">
        <v>1072</v>
      </c>
      <c r="G199" s="716" t="s">
        <v>4215</v>
      </c>
      <c r="H199" s="715" t="s">
        <v>483</v>
      </c>
      <c r="I199" s="717">
        <v>4320</v>
      </c>
      <c r="J199" s="715">
        <v>0</v>
      </c>
      <c r="K199" s="715">
        <v>120</v>
      </c>
      <c r="L199" s="718">
        <f t="shared" si="39"/>
        <v>36</v>
      </c>
      <c r="M199" s="719">
        <v>46185</v>
      </c>
      <c r="N199" s="719">
        <v>46181</v>
      </c>
      <c r="O199" s="714"/>
      <c r="P199" s="717" t="s">
        <v>106</v>
      </c>
      <c r="Q199" s="717"/>
      <c r="R199" s="723">
        <v>46155</v>
      </c>
      <c r="S199" s="720" t="s">
        <v>107</v>
      </c>
      <c r="T199" s="720" t="s">
        <v>95</v>
      </c>
      <c r="U199" s="720"/>
      <c r="V199" s="720"/>
      <c r="W199" s="720"/>
      <c r="X199" s="714" t="s">
        <v>937</v>
      </c>
      <c r="Y199" s="719" t="s">
        <v>488</v>
      </c>
      <c r="Z199" s="753">
        <v>642</v>
      </c>
      <c r="AA199" s="722">
        <f>L199*Z199</f>
        <v>23112</v>
      </c>
      <c r="AB199" s="729" t="s">
        <v>1073</v>
      </c>
      <c r="AC199" s="722" t="s">
        <v>490</v>
      </c>
      <c r="AD199" s="715" t="s">
        <v>112</v>
      </c>
      <c r="AE199" s="715">
        <f>I199</f>
        <v>4320</v>
      </c>
      <c r="AF199" s="715" t="s">
        <v>4109</v>
      </c>
      <c r="AG199" s="715">
        <f>1362+576+1806+576</f>
        <v>4320</v>
      </c>
      <c r="AH199" s="715">
        <f t="shared" si="33"/>
        <v>0</v>
      </c>
      <c r="AI199" s="717"/>
      <c r="AJ199" s="715" t="s">
        <v>3981</v>
      </c>
      <c r="AK199" s="652"/>
      <c r="AL199" s="652"/>
      <c r="AM199" s="652"/>
      <c r="AN199" s="652"/>
      <c r="AO199" s="652"/>
      <c r="AP199" s="652"/>
      <c r="AQ199" s="652">
        <f>I199</f>
        <v>4320</v>
      </c>
      <c r="AR199" s="652">
        <f>I199</f>
        <v>4320</v>
      </c>
      <c r="AS199" s="652">
        <f>I199/6</f>
        <v>720</v>
      </c>
      <c r="AT199" s="652"/>
      <c r="AU199" s="652"/>
      <c r="AV199" s="652"/>
      <c r="AW199" s="652"/>
      <c r="AX199" s="652"/>
      <c r="AY199" s="652"/>
      <c r="AZ199" s="652"/>
      <c r="BA199" s="652"/>
      <c r="BB199" s="652"/>
      <c r="BC199" s="652"/>
      <c r="BD199" s="652"/>
      <c r="BE199" s="652"/>
      <c r="BF199" s="652"/>
      <c r="BG199" s="652"/>
      <c r="BH199" s="652"/>
      <c r="BI199" s="652"/>
    </row>
    <row r="200" s="650" customFormat="1" ht="31" customHeight="1" spans="1:108">
      <c r="A200" s="713">
        <v>46142</v>
      </c>
      <c r="B200" s="714" t="s">
        <v>386</v>
      </c>
      <c r="C200" s="715" t="s">
        <v>115</v>
      </c>
      <c r="D200" s="652" t="s">
        <v>4550</v>
      </c>
      <c r="E200" s="715" t="s">
        <v>4551</v>
      </c>
      <c r="F200" s="726" t="s">
        <v>4552</v>
      </c>
      <c r="G200" s="716" t="s">
        <v>3968</v>
      </c>
      <c r="H200" s="715" t="s">
        <v>3969</v>
      </c>
      <c r="I200" s="752">
        <v>26000</v>
      </c>
      <c r="J200" s="715">
        <v>0</v>
      </c>
      <c r="K200" s="715">
        <v>16</v>
      </c>
      <c r="L200" s="715">
        <f t="shared" si="39"/>
        <v>1625</v>
      </c>
      <c r="M200" s="719">
        <v>46185</v>
      </c>
      <c r="N200" s="719">
        <v>46181</v>
      </c>
      <c r="O200" s="714" t="s">
        <v>4553</v>
      </c>
      <c r="P200" s="717" t="s">
        <v>106</v>
      </c>
      <c r="Q200" s="752" t="s">
        <v>4554</v>
      </c>
      <c r="R200" s="723">
        <v>46142</v>
      </c>
      <c r="S200" s="720" t="s">
        <v>107</v>
      </c>
      <c r="T200" s="720" t="s">
        <v>1047</v>
      </c>
      <c r="U200" s="720"/>
      <c r="V200" s="720"/>
      <c r="W200" s="720"/>
      <c r="X200" s="720" t="s">
        <v>4555</v>
      </c>
      <c r="Y200" s="719" t="s">
        <v>393</v>
      </c>
      <c r="Z200" s="730">
        <v>2.6351</v>
      </c>
      <c r="AA200" s="652">
        <f>I200*Z200</f>
        <v>68512.6</v>
      </c>
      <c r="AB200" s="725" t="s">
        <v>4556</v>
      </c>
      <c r="AC200" s="716" t="s">
        <v>3968</v>
      </c>
      <c r="AD200" s="715" t="s">
        <v>112</v>
      </c>
      <c r="AE200" s="715">
        <f>I200</f>
        <v>26000</v>
      </c>
      <c r="AF200" s="715" t="s">
        <v>736</v>
      </c>
      <c r="AG200" s="715">
        <v>26000</v>
      </c>
      <c r="AH200" s="715">
        <f t="shared" si="33"/>
        <v>0</v>
      </c>
      <c r="AI200" s="717"/>
      <c r="AJ200" s="715" t="s">
        <v>3981</v>
      </c>
      <c r="AK200" s="652">
        <f>I200</f>
        <v>26000</v>
      </c>
      <c r="AL200" s="652"/>
      <c r="AM200" s="652"/>
      <c r="AN200" s="652">
        <f>I200</f>
        <v>26000</v>
      </c>
      <c r="AO200" s="652"/>
      <c r="AP200" s="652"/>
      <c r="AQ200" s="652"/>
      <c r="AR200" s="652"/>
      <c r="AS200" s="652"/>
      <c r="AT200" s="652"/>
      <c r="AU200" s="652"/>
      <c r="AV200" s="652"/>
      <c r="AW200" s="652"/>
      <c r="AX200" s="652"/>
      <c r="AY200" s="652"/>
      <c r="AZ200" s="652"/>
      <c r="BA200" s="652"/>
      <c r="BB200" s="652"/>
      <c r="BC200" s="652"/>
      <c r="BD200" s="652"/>
      <c r="BE200" s="652"/>
      <c r="BF200" s="652"/>
      <c r="BG200" s="652"/>
      <c r="BH200" s="652"/>
      <c r="BI200" s="652"/>
    </row>
    <row r="201" s="650" customFormat="1" ht="31" customHeight="1" spans="1:108">
      <c r="A201" s="713">
        <v>46107</v>
      </c>
      <c r="B201" s="714" t="s">
        <v>845</v>
      </c>
      <c r="C201" s="715" t="s">
        <v>291</v>
      </c>
      <c r="D201" s="652">
        <v>4500198840</v>
      </c>
      <c r="E201" s="715">
        <v>7950324036</v>
      </c>
      <c r="F201" s="652" t="s">
        <v>1074</v>
      </c>
      <c r="G201" s="716" t="s">
        <v>4215</v>
      </c>
      <c r="H201" s="715" t="s">
        <v>483</v>
      </c>
      <c r="I201" s="717">
        <v>4320</v>
      </c>
      <c r="J201" s="715">
        <v>0</v>
      </c>
      <c r="K201" s="715">
        <v>120</v>
      </c>
      <c r="L201" s="718">
        <f t="shared" si="39"/>
        <v>36</v>
      </c>
      <c r="M201" s="719">
        <v>46185</v>
      </c>
      <c r="N201" s="738">
        <v>46211</v>
      </c>
      <c r="O201" s="714"/>
      <c r="P201" s="717" t="s">
        <v>106</v>
      </c>
      <c r="Q201" s="717"/>
      <c r="R201" s="723">
        <v>46149</v>
      </c>
      <c r="S201" s="720" t="s">
        <v>107</v>
      </c>
      <c r="T201" s="720" t="s">
        <v>849</v>
      </c>
      <c r="U201" s="720"/>
      <c r="V201" s="720"/>
      <c r="W201" s="720"/>
      <c r="X201" s="714" t="s">
        <v>1076</v>
      </c>
      <c r="Y201" s="719" t="s">
        <v>295</v>
      </c>
      <c r="Z201" s="753">
        <v>1070</v>
      </c>
      <c r="AA201" s="722">
        <f>L201*Z201</f>
        <v>38520</v>
      </c>
      <c r="AB201" s="721"/>
      <c r="AC201" s="722" t="s">
        <v>490</v>
      </c>
      <c r="AD201" s="715" t="s">
        <v>112</v>
      </c>
      <c r="AE201" s="715">
        <f>I201</f>
        <v>4320</v>
      </c>
      <c r="AF201" s="715" t="s">
        <v>4109</v>
      </c>
      <c r="AG201" s="715">
        <f>960+192+2064+1104</f>
        <v>4320</v>
      </c>
      <c r="AH201" s="715">
        <f t="shared" si="33"/>
        <v>0</v>
      </c>
      <c r="AI201" s="717"/>
      <c r="AJ201" s="715" t="s">
        <v>3981</v>
      </c>
      <c r="AK201" s="652"/>
      <c r="AL201" s="652"/>
      <c r="AM201" s="652"/>
      <c r="AN201" s="652"/>
      <c r="AO201" s="652"/>
      <c r="AP201" s="652"/>
      <c r="AQ201" s="652">
        <f>I201</f>
        <v>4320</v>
      </c>
      <c r="AR201" s="652">
        <f>I201</f>
        <v>4320</v>
      </c>
      <c r="AS201" s="652">
        <f>I201/6</f>
        <v>720</v>
      </c>
      <c r="AT201" s="652"/>
      <c r="AU201" s="652"/>
      <c r="AV201" s="652"/>
      <c r="AW201" s="652"/>
      <c r="AX201" s="652"/>
      <c r="AY201" s="652"/>
      <c r="AZ201" s="652"/>
      <c r="BA201" s="652"/>
      <c r="BB201" s="652"/>
      <c r="BC201" s="652"/>
      <c r="BD201" s="652"/>
      <c r="BE201" s="652"/>
      <c r="BF201" s="652"/>
      <c r="BG201" s="652"/>
      <c r="BH201" s="652"/>
      <c r="BI201" s="652"/>
    </row>
    <row r="202" s="650" customFormat="1" ht="31" customHeight="1" spans="1:108">
      <c r="A202" s="713">
        <v>46168</v>
      </c>
      <c r="B202" s="714"/>
      <c r="C202" s="715" t="s">
        <v>597</v>
      </c>
      <c r="D202" s="652" t="s">
        <v>4557</v>
      </c>
      <c r="E202" s="715"/>
      <c r="F202" s="652" t="s">
        <v>4558</v>
      </c>
      <c r="G202" s="716" t="s">
        <v>3973</v>
      </c>
      <c r="H202" s="715" t="s">
        <v>4559</v>
      </c>
      <c r="I202" s="717">
        <v>80</v>
      </c>
      <c r="J202" s="715">
        <v>0</v>
      </c>
      <c r="K202" s="715">
        <v>16</v>
      </c>
      <c r="L202" s="715">
        <f t="shared" si="39"/>
        <v>5</v>
      </c>
      <c r="M202" s="719">
        <v>46187</v>
      </c>
      <c r="N202" s="719">
        <v>46183</v>
      </c>
      <c r="O202" s="714"/>
      <c r="P202" s="717"/>
      <c r="Q202" s="717"/>
      <c r="R202" s="723" t="s">
        <v>94</v>
      </c>
      <c r="S202" s="720" t="s">
        <v>95</v>
      </c>
      <c r="T202" s="720" t="s">
        <v>95</v>
      </c>
      <c r="U202" s="720"/>
      <c r="V202" s="720"/>
      <c r="W202" s="720"/>
      <c r="X202" s="720" t="s">
        <v>4560</v>
      </c>
      <c r="Y202" s="719"/>
      <c r="Z202" s="730"/>
      <c r="AA202" s="652"/>
      <c r="AB202" s="721"/>
      <c r="AC202" s="722" t="s">
        <v>3973</v>
      </c>
      <c r="AD202" s="715" t="s">
        <v>112</v>
      </c>
      <c r="AE202" s="715"/>
      <c r="AF202" s="715" t="s">
        <v>4109</v>
      </c>
      <c r="AG202" s="715"/>
      <c r="AH202" s="715">
        <f t="shared" si="33"/>
        <v>-80</v>
      </c>
      <c r="AI202" s="717"/>
      <c r="AJ202" s="715" t="s">
        <v>3981</v>
      </c>
      <c r="AK202" s="652"/>
      <c r="AL202" s="652"/>
      <c r="AM202" s="652"/>
      <c r="AN202" s="652"/>
      <c r="AO202" s="652"/>
      <c r="AP202" s="652"/>
      <c r="AQ202" s="652"/>
      <c r="AR202" s="652"/>
      <c r="AS202" s="652"/>
      <c r="AT202" s="652">
        <f>I202/8</f>
        <v>10</v>
      </c>
      <c r="AU202" s="652"/>
      <c r="AV202" s="652"/>
      <c r="AW202" s="652"/>
      <c r="AX202" s="652"/>
      <c r="AY202" s="652"/>
      <c r="AZ202" s="652"/>
      <c r="BA202" s="652"/>
      <c r="BB202" s="652"/>
      <c r="BC202" s="652"/>
      <c r="BD202" s="652"/>
      <c r="BE202" s="652"/>
      <c r="BF202" s="652"/>
      <c r="BG202" s="652"/>
      <c r="BH202" s="652"/>
      <c r="BI202" s="652"/>
      <c r="BJ202" s="650"/>
      <c r="BK202" s="650"/>
      <c r="BL202" s="650"/>
      <c r="BM202" s="650"/>
      <c r="BN202" s="650"/>
      <c r="BO202" s="650"/>
      <c r="BP202" s="650"/>
      <c r="BQ202" s="650"/>
      <c r="BR202" s="650"/>
      <c r="BS202" s="650"/>
      <c r="BT202" s="650"/>
      <c r="BU202" s="650"/>
      <c r="BV202" s="650"/>
      <c r="BW202" s="650"/>
      <c r="BX202" s="650"/>
      <c r="BY202" s="650"/>
      <c r="BZ202" s="650"/>
      <c r="CA202" s="650"/>
      <c r="CB202" s="650"/>
      <c r="CC202" s="650"/>
      <c r="CD202" s="650"/>
      <c r="CE202" s="650"/>
      <c r="CF202" s="650"/>
      <c r="CG202" s="650"/>
      <c r="CH202" s="650"/>
      <c r="CI202" s="650"/>
      <c r="CJ202" s="650"/>
      <c r="CK202" s="650"/>
      <c r="CL202" s="650"/>
      <c r="CM202" s="650"/>
      <c r="CN202" s="650"/>
      <c r="CO202" s="650"/>
      <c r="CP202" s="650"/>
      <c r="CQ202" s="650"/>
      <c r="CR202" s="650"/>
      <c r="CS202" s="654"/>
      <c r="CT202" s="654"/>
      <c r="CU202" s="654"/>
      <c r="CV202" s="654"/>
      <c r="CW202" s="654"/>
      <c r="CX202" s="654"/>
      <c r="CY202" s="654"/>
      <c r="CZ202" s="654"/>
      <c r="DA202" s="654"/>
      <c r="DB202" s="654"/>
      <c r="DC202" s="654"/>
      <c r="DD202" s="654"/>
    </row>
    <row r="203" s="654" customFormat="1" ht="31" customHeight="1" spans="1:108">
      <c r="A203" s="772">
        <v>46083</v>
      </c>
      <c r="B203" s="773" t="s">
        <v>1979</v>
      </c>
      <c r="C203" s="771" t="s">
        <v>164</v>
      </c>
      <c r="D203" s="774">
        <v>4500194401</v>
      </c>
      <c r="E203" s="771">
        <v>4500191728</v>
      </c>
      <c r="F203" s="774" t="s">
        <v>4561</v>
      </c>
      <c r="G203" s="775" t="s">
        <v>3973</v>
      </c>
      <c r="H203" s="771" t="s">
        <v>3995</v>
      </c>
      <c r="I203" s="776">
        <v>512</v>
      </c>
      <c r="J203" s="771">
        <v>0</v>
      </c>
      <c r="K203" s="771">
        <v>16</v>
      </c>
      <c r="L203" s="777">
        <f t="shared" si="39"/>
        <v>32</v>
      </c>
      <c r="M203" s="778">
        <v>46188</v>
      </c>
      <c r="N203" s="778">
        <v>46184</v>
      </c>
      <c r="O203" s="773"/>
      <c r="P203" s="717" t="s">
        <v>106</v>
      </c>
      <c r="Q203" s="776"/>
      <c r="R203" s="734" t="s">
        <v>4562</v>
      </c>
      <c r="S203" s="735" t="s">
        <v>107</v>
      </c>
      <c r="T203" s="735" t="s">
        <v>4563</v>
      </c>
      <c r="U203" s="735"/>
      <c r="V203" s="735" t="s">
        <v>4564</v>
      </c>
      <c r="W203" s="735" t="s">
        <v>4565</v>
      </c>
      <c r="X203" s="735" t="s">
        <v>4566</v>
      </c>
      <c r="Y203" s="778" t="s">
        <v>1985</v>
      </c>
      <c r="Z203" s="771">
        <v>4.355</v>
      </c>
      <c r="AA203" s="771">
        <f>I203*Z203</f>
        <v>2229.76</v>
      </c>
      <c r="AB203" s="780"/>
      <c r="AC203" s="793" t="s">
        <v>4108</v>
      </c>
      <c r="AD203" s="771" t="s">
        <v>112</v>
      </c>
      <c r="AE203" s="715">
        <f t="shared" ref="AE203:AE266" si="42">I203</f>
        <v>512</v>
      </c>
      <c r="AF203" s="771" t="s">
        <v>4336</v>
      </c>
      <c r="AG203" s="771">
        <v>512</v>
      </c>
      <c r="AH203" s="715">
        <f t="shared" si="33"/>
        <v>0</v>
      </c>
      <c r="AI203" s="776"/>
      <c r="AJ203" s="771" t="s">
        <v>3981</v>
      </c>
      <c r="AK203" s="652"/>
      <c r="AL203" s="774">
        <f>I203</f>
        <v>512</v>
      </c>
      <c r="AM203" s="774"/>
      <c r="AN203" s="652">
        <f t="shared" ref="AN203:AN208" si="43">I203</f>
        <v>512</v>
      </c>
      <c r="AO203" s="774"/>
      <c r="AP203" s="774"/>
      <c r="AQ203" s="774"/>
      <c r="AR203" s="774"/>
      <c r="AS203" s="774"/>
      <c r="AT203" s="774"/>
      <c r="AU203" s="774">
        <f>I203/8</f>
        <v>64</v>
      </c>
      <c r="AV203" s="774"/>
      <c r="AW203" s="774"/>
      <c r="AX203" s="774"/>
      <c r="AY203" s="774"/>
      <c r="AZ203" s="774"/>
      <c r="BA203" s="774"/>
      <c r="BB203" s="774"/>
      <c r="BC203" s="774"/>
      <c r="BD203" s="774"/>
      <c r="BE203" s="774"/>
      <c r="BF203" s="774"/>
      <c r="BG203" s="774"/>
      <c r="BH203" s="774"/>
      <c r="BI203" s="774"/>
      <c r="BJ203" s="650"/>
      <c r="BK203" s="650"/>
      <c r="BL203" s="650"/>
      <c r="BM203" s="650"/>
      <c r="BN203" s="650"/>
      <c r="BO203" s="650"/>
      <c r="BP203" s="650"/>
      <c r="BQ203" s="650"/>
      <c r="BR203" s="650"/>
      <c r="BS203" s="650"/>
      <c r="BT203" s="650"/>
      <c r="BU203" s="650"/>
      <c r="BV203" s="650"/>
      <c r="BW203" s="650"/>
      <c r="BX203" s="650"/>
      <c r="BY203" s="650"/>
      <c r="BZ203" s="650"/>
      <c r="CA203" s="650"/>
      <c r="CB203" s="650"/>
      <c r="CC203" s="650"/>
      <c r="CD203" s="650"/>
      <c r="CE203" s="650"/>
      <c r="CF203" s="650"/>
      <c r="CG203" s="650"/>
      <c r="CH203" s="650"/>
      <c r="CI203" s="650"/>
      <c r="CJ203" s="650"/>
      <c r="CK203" s="650"/>
      <c r="CL203" s="650"/>
      <c r="CM203" s="650"/>
      <c r="CN203" s="650"/>
      <c r="CO203" s="650"/>
      <c r="CP203" s="650"/>
      <c r="CQ203" s="650"/>
      <c r="CR203" s="650"/>
      <c r="CS203" s="650"/>
      <c r="CT203" s="650"/>
      <c r="CU203" s="650"/>
      <c r="CV203" s="650"/>
      <c r="CW203" s="650"/>
      <c r="CX203" s="650"/>
      <c r="CY203" s="650"/>
      <c r="CZ203" s="650"/>
      <c r="DA203" s="650"/>
      <c r="DB203" s="650"/>
      <c r="DC203" s="650"/>
      <c r="DD203" s="650"/>
    </row>
    <row r="204" s="650" customFormat="1" ht="31" customHeight="1" spans="1:108">
      <c r="A204" s="713">
        <v>46104</v>
      </c>
      <c r="B204" s="714" t="s">
        <v>525</v>
      </c>
      <c r="C204" s="715" t="s">
        <v>508</v>
      </c>
      <c r="D204" s="652">
        <v>4500198150</v>
      </c>
      <c r="E204" s="715">
        <v>21605184</v>
      </c>
      <c r="F204" s="652" t="s">
        <v>4567</v>
      </c>
      <c r="G204" s="716" t="s">
        <v>3980</v>
      </c>
      <c r="H204" s="715" t="s">
        <v>3978</v>
      </c>
      <c r="I204" s="717">
        <v>1416</v>
      </c>
      <c r="J204" s="715">
        <v>0</v>
      </c>
      <c r="K204" s="715">
        <v>8</v>
      </c>
      <c r="L204" s="715">
        <f t="shared" si="39"/>
        <v>177</v>
      </c>
      <c r="M204" s="738">
        <v>46188</v>
      </c>
      <c r="N204" s="738">
        <v>46184</v>
      </c>
      <c r="O204" s="773"/>
      <c r="P204" s="717" t="s">
        <v>106</v>
      </c>
      <c r="Q204" s="717"/>
      <c r="R204" s="734">
        <v>46155</v>
      </c>
      <c r="S204" s="720" t="s">
        <v>107</v>
      </c>
      <c r="T204" s="720" t="s">
        <v>4050</v>
      </c>
      <c r="U204" s="720"/>
      <c r="V204" s="720"/>
      <c r="W204" s="720"/>
      <c r="X204" s="720" t="s">
        <v>4566</v>
      </c>
      <c r="Y204" s="719" t="s">
        <v>362</v>
      </c>
      <c r="Z204" s="730">
        <v>5</v>
      </c>
      <c r="AA204" s="652">
        <f>Z204*I204</f>
        <v>7080</v>
      </c>
      <c r="AB204" s="721"/>
      <c r="AC204" s="722" t="s">
        <v>3980</v>
      </c>
      <c r="AD204" s="715" t="s">
        <v>112</v>
      </c>
      <c r="AE204" s="715">
        <f t="shared" si="42"/>
        <v>1416</v>
      </c>
      <c r="AF204" s="715" t="s">
        <v>4109</v>
      </c>
      <c r="AG204" s="715">
        <v>1416</v>
      </c>
      <c r="AH204" s="715">
        <f t="shared" si="33"/>
        <v>0</v>
      </c>
      <c r="AI204" s="717"/>
      <c r="AJ204" s="715" t="s">
        <v>3981</v>
      </c>
      <c r="AK204" s="652">
        <f>I204</f>
        <v>1416</v>
      </c>
      <c r="AL204" s="652"/>
      <c r="AM204" s="652"/>
      <c r="AN204" s="652">
        <f t="shared" si="43"/>
        <v>1416</v>
      </c>
      <c r="AO204" s="652"/>
      <c r="AP204" s="652"/>
      <c r="AQ204" s="652"/>
      <c r="AR204" s="652"/>
      <c r="AS204" s="652"/>
      <c r="AT204" s="652"/>
      <c r="AU204" s="652"/>
      <c r="AV204" s="652"/>
      <c r="AW204" s="652"/>
      <c r="AX204" s="652">
        <f>I204/8</f>
        <v>177</v>
      </c>
      <c r="AY204" s="652"/>
      <c r="AZ204" s="652"/>
      <c r="BA204" s="652"/>
      <c r="BB204" s="652"/>
      <c r="BC204" s="652"/>
      <c r="BD204" s="652"/>
      <c r="BE204" s="652"/>
      <c r="BF204" s="652"/>
      <c r="BG204" s="652"/>
      <c r="BH204" s="652"/>
      <c r="BI204" s="652"/>
    </row>
    <row r="205" s="650" customFormat="1" ht="31" customHeight="1" spans="1:108">
      <c r="A205" s="713">
        <v>46104</v>
      </c>
      <c r="B205" s="714" t="s">
        <v>521</v>
      </c>
      <c r="C205" s="715" t="s">
        <v>101</v>
      </c>
      <c r="D205" s="652">
        <v>4500198152</v>
      </c>
      <c r="E205" s="715">
        <v>21605191</v>
      </c>
      <c r="F205" s="652" t="s">
        <v>4568</v>
      </c>
      <c r="G205" s="716" t="s">
        <v>3980</v>
      </c>
      <c r="H205" s="715" t="s">
        <v>3978</v>
      </c>
      <c r="I205" s="717">
        <v>88</v>
      </c>
      <c r="J205" s="715">
        <v>0</v>
      </c>
      <c r="K205" s="715">
        <v>8</v>
      </c>
      <c r="L205" s="715">
        <f t="shared" si="39"/>
        <v>11</v>
      </c>
      <c r="M205" s="719">
        <v>46188</v>
      </c>
      <c r="N205" s="719">
        <v>46184</v>
      </c>
      <c r="O205" s="714"/>
      <c r="P205" s="717" t="s">
        <v>106</v>
      </c>
      <c r="Q205" s="717"/>
      <c r="R205" s="723">
        <v>46155</v>
      </c>
      <c r="S205" s="720" t="s">
        <v>107</v>
      </c>
      <c r="T205" s="720" t="s">
        <v>4050</v>
      </c>
      <c r="U205" s="720"/>
      <c r="V205" s="720"/>
      <c r="W205" s="720"/>
      <c r="X205" s="720" t="s">
        <v>4569</v>
      </c>
      <c r="Y205" s="719" t="s">
        <v>362</v>
      </c>
      <c r="Z205" s="730">
        <v>5</v>
      </c>
      <c r="AA205" s="652">
        <f>Z205*I205</f>
        <v>440</v>
      </c>
      <c r="AB205" s="721"/>
      <c r="AC205" s="722" t="s">
        <v>3980</v>
      </c>
      <c r="AD205" s="715" t="s">
        <v>112</v>
      </c>
      <c r="AE205" s="715">
        <f t="shared" si="42"/>
        <v>88</v>
      </c>
      <c r="AF205" s="715" t="s">
        <v>4109</v>
      </c>
      <c r="AG205" s="715">
        <v>88</v>
      </c>
      <c r="AH205" s="715">
        <f t="shared" si="33"/>
        <v>0</v>
      </c>
      <c r="AI205" s="717"/>
      <c r="AJ205" s="715" t="s">
        <v>3981</v>
      </c>
      <c r="AK205" s="652">
        <f>I205</f>
        <v>88</v>
      </c>
      <c r="AL205" s="652"/>
      <c r="AM205" s="652"/>
      <c r="AN205" s="652">
        <f t="shared" si="43"/>
        <v>88</v>
      </c>
      <c r="AO205" s="652"/>
      <c r="AP205" s="652"/>
      <c r="AQ205" s="652"/>
      <c r="AR205" s="652"/>
      <c r="AS205" s="652"/>
      <c r="AT205" s="652"/>
      <c r="AU205" s="652"/>
      <c r="AV205" s="652"/>
      <c r="AW205" s="652"/>
      <c r="AX205" s="652">
        <f>I205/8</f>
        <v>11</v>
      </c>
      <c r="AY205" s="652"/>
      <c r="AZ205" s="652"/>
      <c r="BA205" s="652"/>
      <c r="BB205" s="652"/>
      <c r="BC205" s="652"/>
      <c r="BD205" s="652"/>
      <c r="BE205" s="652"/>
      <c r="BF205" s="652"/>
      <c r="BG205" s="652"/>
      <c r="BH205" s="652"/>
      <c r="BI205" s="652"/>
      <c r="BJ205" s="651"/>
      <c r="BK205" s="651"/>
      <c r="BL205" s="651"/>
      <c r="BM205" s="651"/>
      <c r="BN205" s="651"/>
      <c r="BO205" s="651"/>
      <c r="BP205" s="651"/>
      <c r="BQ205" s="651"/>
      <c r="BR205" s="651"/>
      <c r="BS205" s="651"/>
      <c r="BT205" s="651"/>
      <c r="BU205" s="651"/>
      <c r="BV205" s="651"/>
      <c r="BW205" s="651"/>
      <c r="BX205" s="651"/>
      <c r="BY205" s="651"/>
      <c r="BZ205" s="651"/>
      <c r="CA205" s="651"/>
      <c r="CB205" s="651"/>
      <c r="CC205" s="651"/>
      <c r="CD205" s="651"/>
      <c r="CE205" s="651"/>
      <c r="CF205" s="651"/>
      <c r="CG205" s="651"/>
      <c r="CH205" s="651"/>
      <c r="CI205" s="651"/>
      <c r="CJ205" s="651"/>
      <c r="CK205" s="651"/>
      <c r="CL205" s="651"/>
      <c r="CM205" s="651"/>
      <c r="CN205" s="651"/>
      <c r="CO205" s="651"/>
      <c r="CP205" s="651"/>
      <c r="CQ205" s="651"/>
      <c r="CR205" s="651"/>
    </row>
    <row r="206" s="650" customFormat="1" ht="31" customHeight="1" spans="1:108">
      <c r="A206" s="713">
        <v>46108</v>
      </c>
      <c r="B206" s="714" t="s">
        <v>1104</v>
      </c>
      <c r="C206" s="715" t="s">
        <v>891</v>
      </c>
      <c r="D206" s="652">
        <v>4500198446</v>
      </c>
      <c r="E206" s="715" t="s">
        <v>1105</v>
      </c>
      <c r="F206" s="652" t="s">
        <v>1116</v>
      </c>
      <c r="G206" s="716" t="s">
        <v>4359</v>
      </c>
      <c r="H206" s="715" t="s">
        <v>804</v>
      </c>
      <c r="I206" s="717">
        <v>660</v>
      </c>
      <c r="J206" s="715">
        <v>0</v>
      </c>
      <c r="K206" s="715">
        <v>6</v>
      </c>
      <c r="L206" s="718">
        <f t="shared" si="39"/>
        <v>110</v>
      </c>
      <c r="M206" s="719">
        <v>46188</v>
      </c>
      <c r="N206" s="738">
        <v>46214</v>
      </c>
      <c r="O206" s="714"/>
      <c r="P206" s="717" t="s">
        <v>106</v>
      </c>
      <c r="Q206" s="717"/>
      <c r="R206" s="723">
        <v>46156</v>
      </c>
      <c r="S206" s="720" t="s">
        <v>107</v>
      </c>
      <c r="T206" s="720" t="s">
        <v>4570</v>
      </c>
      <c r="U206" s="720"/>
      <c r="V206" s="720"/>
      <c r="W206" s="720"/>
      <c r="X206" s="714" t="s">
        <v>1108</v>
      </c>
      <c r="Y206" s="719" t="s">
        <v>1109</v>
      </c>
      <c r="Z206" s="715">
        <v>8.15</v>
      </c>
      <c r="AA206" s="715">
        <f>L206*Z206</f>
        <v>896.5</v>
      </c>
      <c r="AB206" s="721"/>
      <c r="AC206" s="715" t="s">
        <v>952</v>
      </c>
      <c r="AD206" s="715" t="s">
        <v>112</v>
      </c>
      <c r="AE206" s="715">
        <f t="shared" si="42"/>
        <v>660</v>
      </c>
      <c r="AF206" s="715"/>
      <c r="AG206" s="717">
        <v>660</v>
      </c>
      <c r="AH206" s="715">
        <f t="shared" si="33"/>
        <v>0</v>
      </c>
      <c r="AI206" s="717"/>
      <c r="AJ206" s="715" t="s">
        <v>3981</v>
      </c>
      <c r="AK206" s="652"/>
      <c r="AL206" s="652"/>
      <c r="AM206" s="652"/>
      <c r="AN206" s="652">
        <f t="shared" si="43"/>
        <v>660</v>
      </c>
      <c r="AO206" s="652"/>
      <c r="AP206" s="652"/>
      <c r="AQ206" s="652"/>
      <c r="AR206" s="652"/>
      <c r="AS206" s="652"/>
      <c r="AT206" s="652"/>
      <c r="AU206" s="652"/>
      <c r="AV206" s="652"/>
      <c r="AW206" s="652"/>
      <c r="AX206" s="652"/>
      <c r="AY206" s="652"/>
      <c r="AZ206" s="652"/>
      <c r="BA206" s="652"/>
      <c r="BB206" s="652"/>
      <c r="BC206" s="652"/>
      <c r="BD206" s="652"/>
      <c r="BE206" s="652"/>
      <c r="BF206" s="652"/>
      <c r="BG206" s="652"/>
      <c r="BH206" s="652"/>
      <c r="BI206" s="652">
        <f>I206</f>
        <v>660</v>
      </c>
      <c r="BJ206" s="731"/>
      <c r="BK206" s="731"/>
      <c r="BL206" s="731"/>
      <c r="BM206" s="731"/>
      <c r="BN206" s="731"/>
      <c r="BO206" s="731"/>
      <c r="BP206" s="731"/>
      <c r="BQ206" s="731"/>
      <c r="BR206" s="731"/>
      <c r="BS206" s="731"/>
      <c r="BT206" s="731"/>
      <c r="BU206" s="731"/>
      <c r="BV206" s="731"/>
      <c r="BW206" s="731"/>
      <c r="BX206" s="731"/>
      <c r="BY206" s="731"/>
      <c r="BZ206" s="731"/>
      <c r="CA206" s="731"/>
      <c r="CB206" s="731"/>
      <c r="CC206" s="731"/>
      <c r="CD206" s="731"/>
      <c r="CE206" s="731"/>
      <c r="CF206" s="731"/>
      <c r="CG206" s="731"/>
      <c r="CH206" s="731"/>
      <c r="CI206" s="731"/>
      <c r="CJ206" s="731"/>
      <c r="CK206" s="731"/>
      <c r="CL206" s="731"/>
      <c r="CM206" s="731"/>
      <c r="CN206" s="731"/>
      <c r="CO206" s="731"/>
      <c r="CP206" s="731"/>
      <c r="CQ206" s="731"/>
      <c r="CR206" s="731"/>
    </row>
    <row r="207" s="650" customFormat="1" ht="31" customHeight="1" spans="1:108">
      <c r="A207" s="713">
        <v>46142</v>
      </c>
      <c r="B207" s="714" t="s">
        <v>4571</v>
      </c>
      <c r="C207" s="715" t="s">
        <v>164</v>
      </c>
      <c r="D207" s="652" t="s">
        <v>4572</v>
      </c>
      <c r="E207" s="715">
        <v>30260539</v>
      </c>
      <c r="F207" s="652" t="s">
        <v>4573</v>
      </c>
      <c r="G207" s="716" t="s">
        <v>4574</v>
      </c>
      <c r="H207" s="715" t="s">
        <v>3969</v>
      </c>
      <c r="I207" s="717">
        <v>2464</v>
      </c>
      <c r="J207" s="715">
        <v>0</v>
      </c>
      <c r="K207" s="715">
        <v>16</v>
      </c>
      <c r="L207" s="715">
        <f t="shared" si="39"/>
        <v>154</v>
      </c>
      <c r="M207" s="719">
        <v>46189</v>
      </c>
      <c r="N207" s="719">
        <v>46185</v>
      </c>
      <c r="O207" s="714" t="s">
        <v>4575</v>
      </c>
      <c r="P207" s="717" t="s">
        <v>106</v>
      </c>
      <c r="Q207" s="717"/>
      <c r="R207" s="734">
        <v>46156</v>
      </c>
      <c r="S207" s="735" t="s">
        <v>95</v>
      </c>
      <c r="T207" s="735" t="s">
        <v>4576</v>
      </c>
      <c r="U207" s="735"/>
      <c r="V207" s="720" t="s">
        <v>4577</v>
      </c>
      <c r="W207" s="720" t="s">
        <v>4578</v>
      </c>
      <c r="X207" s="720" t="s">
        <v>4579</v>
      </c>
      <c r="Y207" s="719" t="s">
        <v>1985</v>
      </c>
      <c r="Z207" s="730">
        <v>4.4696</v>
      </c>
      <c r="AA207" s="652">
        <f>I207*Z207</f>
        <v>11013.0944</v>
      </c>
      <c r="AB207" s="721"/>
      <c r="AC207" s="794" t="s">
        <v>4574</v>
      </c>
      <c r="AD207" s="715" t="s">
        <v>112</v>
      </c>
      <c r="AE207" s="715">
        <f t="shared" si="42"/>
        <v>2464</v>
      </c>
      <c r="AF207" s="715" t="s">
        <v>736</v>
      </c>
      <c r="AG207" s="715">
        <v>2464</v>
      </c>
      <c r="AH207" s="715">
        <f t="shared" si="33"/>
        <v>0</v>
      </c>
      <c r="AI207" s="717"/>
      <c r="AJ207" s="715" t="s">
        <v>3981</v>
      </c>
      <c r="AK207" s="652">
        <f>I207</f>
        <v>2464</v>
      </c>
      <c r="AL207" s="652"/>
      <c r="AM207" s="652"/>
      <c r="AN207" s="652">
        <f t="shared" si="43"/>
        <v>2464</v>
      </c>
      <c r="AO207" s="652"/>
      <c r="AP207" s="652"/>
      <c r="AQ207" s="652"/>
      <c r="AR207" s="652"/>
      <c r="AS207" s="652"/>
      <c r="AT207" s="652"/>
      <c r="AU207" s="652"/>
      <c r="AV207" s="652"/>
      <c r="AW207" s="652"/>
      <c r="AX207" s="652"/>
      <c r="AY207" s="652"/>
      <c r="AZ207" s="652"/>
      <c r="BA207" s="652"/>
      <c r="BB207" s="652"/>
      <c r="BC207" s="652"/>
      <c r="BD207" s="652"/>
      <c r="BE207" s="652"/>
      <c r="BF207" s="652"/>
      <c r="BG207" s="652"/>
      <c r="BH207" s="652"/>
      <c r="BI207" s="652"/>
    </row>
    <row r="208" s="650" customFormat="1" ht="31" customHeight="1" spans="1:108">
      <c r="A208" s="713">
        <v>46121</v>
      </c>
      <c r="B208" s="714" t="s">
        <v>114</v>
      </c>
      <c r="C208" s="715" t="s">
        <v>115</v>
      </c>
      <c r="D208" s="652" t="s">
        <v>4580</v>
      </c>
      <c r="E208" s="715" t="s">
        <v>4581</v>
      </c>
      <c r="F208" s="652" t="s">
        <v>4582</v>
      </c>
      <c r="G208" s="716" t="s">
        <v>3980</v>
      </c>
      <c r="H208" s="715" t="s">
        <v>3978</v>
      </c>
      <c r="I208" s="717">
        <v>39000</v>
      </c>
      <c r="J208" s="715">
        <v>0</v>
      </c>
      <c r="K208" s="715">
        <v>8</v>
      </c>
      <c r="L208" s="715">
        <f t="shared" si="39"/>
        <v>4875</v>
      </c>
      <c r="M208" s="719">
        <v>46189</v>
      </c>
      <c r="N208" s="719">
        <v>46185</v>
      </c>
      <c r="O208" s="714"/>
      <c r="P208" s="717" t="s">
        <v>106</v>
      </c>
      <c r="Q208" s="717"/>
      <c r="R208" s="734">
        <v>46157</v>
      </c>
      <c r="S208" s="720" t="s">
        <v>107</v>
      </c>
      <c r="T208" s="720" t="s">
        <v>4583</v>
      </c>
      <c r="U208" s="720"/>
      <c r="V208" s="720" t="s">
        <v>4056</v>
      </c>
      <c r="W208" s="720"/>
      <c r="X208" s="720" t="s">
        <v>4400</v>
      </c>
      <c r="Y208" s="719" t="s">
        <v>123</v>
      </c>
      <c r="Z208" s="730">
        <v>2.6965</v>
      </c>
      <c r="AA208" s="652">
        <f>Z208*I208</f>
        <v>105163.5</v>
      </c>
      <c r="AB208" s="725" t="s">
        <v>4584</v>
      </c>
      <c r="AC208" s="722" t="s">
        <v>3980</v>
      </c>
      <c r="AD208" s="715" t="s">
        <v>112</v>
      </c>
      <c r="AE208" s="715">
        <f t="shared" si="42"/>
        <v>39000</v>
      </c>
      <c r="AF208" s="715" t="s">
        <v>4336</v>
      </c>
      <c r="AG208" s="715">
        <v>39000</v>
      </c>
      <c r="AH208" s="715">
        <f t="shared" si="33"/>
        <v>0</v>
      </c>
      <c r="AI208" s="717"/>
      <c r="AJ208" s="715" t="s">
        <v>3981</v>
      </c>
      <c r="AK208" s="652">
        <f>I208</f>
        <v>39000</v>
      </c>
      <c r="AL208" s="652"/>
      <c r="AM208" s="652"/>
      <c r="AN208" s="652">
        <f t="shared" si="43"/>
        <v>39000</v>
      </c>
      <c r="AO208" s="652"/>
      <c r="AP208" s="652"/>
      <c r="AQ208" s="652"/>
      <c r="AR208" s="652"/>
      <c r="AS208" s="652"/>
      <c r="AT208" s="652">
        <f>I208/8</f>
        <v>4875</v>
      </c>
      <c r="AU208" s="652"/>
      <c r="AV208" s="652"/>
      <c r="AW208" s="652"/>
      <c r="AX208" s="652"/>
      <c r="AY208" s="652"/>
      <c r="AZ208" s="652"/>
      <c r="BA208" s="652"/>
      <c r="BB208" s="652"/>
      <c r="BC208" s="652"/>
      <c r="BD208" s="652"/>
      <c r="BE208" s="652"/>
      <c r="BF208" s="652"/>
      <c r="BG208" s="652"/>
      <c r="BH208" s="652"/>
      <c r="BI208" s="652"/>
    </row>
    <row r="209" s="650" customFormat="1" ht="31" customHeight="1" spans="1:108">
      <c r="A209" s="713">
        <v>46122</v>
      </c>
      <c r="B209" s="714" t="s">
        <v>935</v>
      </c>
      <c r="C209" s="715" t="s">
        <v>115</v>
      </c>
      <c r="D209" s="652" t="s">
        <v>4585</v>
      </c>
      <c r="E209" s="1908" t="s">
        <v>4586</v>
      </c>
      <c r="F209" s="652" t="s">
        <v>1119</v>
      </c>
      <c r="G209" s="716" t="s">
        <v>4215</v>
      </c>
      <c r="H209" s="715" t="s">
        <v>483</v>
      </c>
      <c r="I209" s="717">
        <v>4320</v>
      </c>
      <c r="J209" s="715">
        <v>0</v>
      </c>
      <c r="K209" s="715">
        <v>120</v>
      </c>
      <c r="L209" s="718">
        <f t="shared" si="39"/>
        <v>36</v>
      </c>
      <c r="M209" s="719">
        <v>46189</v>
      </c>
      <c r="N209" s="738">
        <v>46204</v>
      </c>
      <c r="O209" s="714"/>
      <c r="P209" s="717" t="s">
        <v>106</v>
      </c>
      <c r="Q209" s="717"/>
      <c r="R209" s="734">
        <v>46155</v>
      </c>
      <c r="S209" s="735" t="s">
        <v>107</v>
      </c>
      <c r="T209" s="735" t="s">
        <v>95</v>
      </c>
      <c r="U209" s="735"/>
      <c r="V209" s="720"/>
      <c r="W209" s="720"/>
      <c r="X209" s="714" t="s">
        <v>937</v>
      </c>
      <c r="Y209" s="719" t="s">
        <v>488</v>
      </c>
      <c r="Z209" s="753">
        <v>642</v>
      </c>
      <c r="AA209" s="722">
        <f>L209*Z209</f>
        <v>23112</v>
      </c>
      <c r="AB209" s="729" t="s">
        <v>1120</v>
      </c>
      <c r="AC209" s="722" t="s">
        <v>490</v>
      </c>
      <c r="AD209" s="715" t="s">
        <v>112</v>
      </c>
      <c r="AE209" s="715">
        <f t="shared" si="42"/>
        <v>4320</v>
      </c>
      <c r="AF209" s="715" t="s">
        <v>4109</v>
      </c>
      <c r="AG209" s="715">
        <f>594+528+768+192+942+1104+192</f>
        <v>4320</v>
      </c>
      <c r="AH209" s="715">
        <f t="shared" si="33"/>
        <v>0</v>
      </c>
      <c r="AI209" s="717"/>
      <c r="AJ209" s="715" t="s">
        <v>3981</v>
      </c>
      <c r="AK209" s="652"/>
      <c r="AL209" s="652"/>
      <c r="AM209" s="652"/>
      <c r="AN209" s="652"/>
      <c r="AO209" s="652"/>
      <c r="AP209" s="652"/>
      <c r="AQ209" s="652">
        <f>I209</f>
        <v>4320</v>
      </c>
      <c r="AR209" s="652">
        <f>I209</f>
        <v>4320</v>
      </c>
      <c r="AS209" s="652">
        <f>I209/6</f>
        <v>720</v>
      </c>
      <c r="AT209" s="652"/>
      <c r="AU209" s="652"/>
      <c r="AV209" s="652"/>
      <c r="AW209" s="652"/>
      <c r="AX209" s="652"/>
      <c r="AY209" s="652"/>
      <c r="AZ209" s="652"/>
      <c r="BA209" s="652"/>
      <c r="BB209" s="652"/>
      <c r="BC209" s="652"/>
      <c r="BD209" s="652"/>
      <c r="BE209" s="652"/>
      <c r="BF209" s="652"/>
      <c r="BG209" s="652"/>
      <c r="BH209" s="652"/>
      <c r="BI209" s="652"/>
    </row>
    <row r="210" s="650" customFormat="1" ht="31" customHeight="1" spans="1:108">
      <c r="A210" s="713">
        <v>46122</v>
      </c>
      <c r="B210" s="714" t="s">
        <v>935</v>
      </c>
      <c r="C210" s="715" t="s">
        <v>115</v>
      </c>
      <c r="D210" s="652" t="s">
        <v>4587</v>
      </c>
      <c r="E210" s="1908" t="s">
        <v>4588</v>
      </c>
      <c r="F210" s="652" t="s">
        <v>1121</v>
      </c>
      <c r="G210" s="716" t="s">
        <v>4215</v>
      </c>
      <c r="H210" s="715" t="s">
        <v>483</v>
      </c>
      <c r="I210" s="717">
        <v>4320</v>
      </c>
      <c r="J210" s="715">
        <v>0</v>
      </c>
      <c r="K210" s="715">
        <v>120</v>
      </c>
      <c r="L210" s="718">
        <f t="shared" si="39"/>
        <v>36</v>
      </c>
      <c r="M210" s="719">
        <v>46189</v>
      </c>
      <c r="N210" s="738">
        <v>46213</v>
      </c>
      <c r="O210" s="714"/>
      <c r="P210" s="717" t="s">
        <v>106</v>
      </c>
      <c r="Q210" s="717"/>
      <c r="R210" s="723">
        <v>46155</v>
      </c>
      <c r="S210" s="720" t="s">
        <v>107</v>
      </c>
      <c r="T210" s="720" t="s">
        <v>95</v>
      </c>
      <c r="U210" s="720"/>
      <c r="V210" s="720"/>
      <c r="W210" s="720"/>
      <c r="X210" s="714" t="s">
        <v>937</v>
      </c>
      <c r="Y210" s="719" t="s">
        <v>488</v>
      </c>
      <c r="Z210" s="753">
        <v>642</v>
      </c>
      <c r="AA210" s="722">
        <f>L210*Z210</f>
        <v>23112</v>
      </c>
      <c r="AB210" s="729" t="s">
        <v>1123</v>
      </c>
      <c r="AC210" s="722" t="s">
        <v>490</v>
      </c>
      <c r="AD210" s="715" t="s">
        <v>112</v>
      </c>
      <c r="AE210" s="715">
        <f t="shared" si="42"/>
        <v>4320</v>
      </c>
      <c r="AF210" s="715" t="s">
        <v>4109</v>
      </c>
      <c r="AG210" s="715">
        <f>1548+1296+396+768+312</f>
        <v>4320</v>
      </c>
      <c r="AH210" s="715">
        <f t="shared" si="33"/>
        <v>0</v>
      </c>
      <c r="AI210" s="717"/>
      <c r="AJ210" s="715" t="s">
        <v>3981</v>
      </c>
      <c r="AK210" s="652"/>
      <c r="AL210" s="652"/>
      <c r="AM210" s="652"/>
      <c r="AN210" s="652"/>
      <c r="AO210" s="652"/>
      <c r="AP210" s="652"/>
      <c r="AQ210" s="652">
        <f>I210</f>
        <v>4320</v>
      </c>
      <c r="AR210" s="652">
        <f>I210</f>
        <v>4320</v>
      </c>
      <c r="AS210" s="652">
        <f>I210/6</f>
        <v>720</v>
      </c>
      <c r="AT210" s="652"/>
      <c r="AU210" s="652"/>
      <c r="AV210" s="652"/>
      <c r="AW210" s="652"/>
      <c r="AX210" s="652"/>
      <c r="AY210" s="652"/>
      <c r="AZ210" s="652"/>
      <c r="BA210" s="652"/>
      <c r="BB210" s="652"/>
      <c r="BC210" s="652"/>
      <c r="BD210" s="652"/>
      <c r="BE210" s="652"/>
      <c r="BF210" s="652"/>
      <c r="BG210" s="652"/>
      <c r="BH210" s="652"/>
      <c r="BI210" s="652"/>
    </row>
    <row r="211" s="650" customFormat="1" ht="31" customHeight="1" spans="1:108">
      <c r="A211" s="713">
        <v>46122</v>
      </c>
      <c r="B211" s="714" t="s">
        <v>935</v>
      </c>
      <c r="C211" s="715" t="s">
        <v>115</v>
      </c>
      <c r="D211" s="652" t="s">
        <v>4589</v>
      </c>
      <c r="E211" s="1908" t="s">
        <v>4590</v>
      </c>
      <c r="F211" s="652" t="s">
        <v>1124</v>
      </c>
      <c r="G211" s="716" t="s">
        <v>4215</v>
      </c>
      <c r="H211" s="715" t="s">
        <v>483</v>
      </c>
      <c r="I211" s="717">
        <v>4320</v>
      </c>
      <c r="J211" s="715">
        <v>0</v>
      </c>
      <c r="K211" s="715">
        <v>120</v>
      </c>
      <c r="L211" s="718">
        <f t="shared" si="39"/>
        <v>36</v>
      </c>
      <c r="M211" s="719">
        <v>46189</v>
      </c>
      <c r="N211" s="738">
        <v>46214</v>
      </c>
      <c r="O211" s="714"/>
      <c r="P211" s="717" t="s">
        <v>106</v>
      </c>
      <c r="Q211" s="717"/>
      <c r="R211" s="723">
        <v>46155</v>
      </c>
      <c r="S211" s="720" t="s">
        <v>107</v>
      </c>
      <c r="T211" s="720" t="s">
        <v>95</v>
      </c>
      <c r="U211" s="720"/>
      <c r="V211" s="720"/>
      <c r="W211" s="720"/>
      <c r="X211" s="714" t="s">
        <v>937</v>
      </c>
      <c r="Y211" s="719" t="s">
        <v>488</v>
      </c>
      <c r="Z211" s="753">
        <v>642</v>
      </c>
      <c r="AA211" s="722">
        <f>L211*Z211</f>
        <v>23112</v>
      </c>
      <c r="AB211" s="729" t="s">
        <v>1125</v>
      </c>
      <c r="AC211" s="722" t="s">
        <v>490</v>
      </c>
      <c r="AD211" s="715" t="s">
        <v>112</v>
      </c>
      <c r="AE211" s="715">
        <f t="shared" si="42"/>
        <v>4320</v>
      </c>
      <c r="AF211" s="715" t="s">
        <v>4109</v>
      </c>
      <c r="AG211" s="715">
        <f>594+912+384+192+942+1296</f>
        <v>4320</v>
      </c>
      <c r="AH211" s="715">
        <f t="shared" si="33"/>
        <v>0</v>
      </c>
      <c r="AI211" s="717"/>
      <c r="AJ211" s="715" t="s">
        <v>3981</v>
      </c>
      <c r="AK211" s="652"/>
      <c r="AL211" s="652"/>
      <c r="AM211" s="652"/>
      <c r="AN211" s="652"/>
      <c r="AO211" s="652"/>
      <c r="AP211" s="652"/>
      <c r="AQ211" s="652">
        <f>I211</f>
        <v>4320</v>
      </c>
      <c r="AR211" s="652">
        <f>I211</f>
        <v>4320</v>
      </c>
      <c r="AS211" s="652">
        <f>I211/6</f>
        <v>720</v>
      </c>
      <c r="AT211" s="652"/>
      <c r="AU211" s="652"/>
      <c r="AV211" s="652"/>
      <c r="AW211" s="652"/>
      <c r="AX211" s="652"/>
      <c r="AY211" s="652"/>
      <c r="AZ211" s="652"/>
      <c r="BA211" s="652"/>
      <c r="BB211" s="652"/>
      <c r="BC211" s="652"/>
      <c r="BD211" s="652"/>
      <c r="BE211" s="652"/>
      <c r="BF211" s="652"/>
      <c r="BG211" s="652"/>
      <c r="BH211" s="652"/>
      <c r="BI211" s="652"/>
    </row>
    <row r="212" s="654" customFormat="1" ht="31" customHeight="1" spans="1:108">
      <c r="A212" s="713">
        <v>46122</v>
      </c>
      <c r="B212" s="714" t="s">
        <v>935</v>
      </c>
      <c r="C212" s="715" t="s">
        <v>115</v>
      </c>
      <c r="D212" s="652" t="s">
        <v>4591</v>
      </c>
      <c r="E212" s="1908" t="s">
        <v>4592</v>
      </c>
      <c r="F212" s="652" t="s">
        <v>1117</v>
      </c>
      <c r="G212" s="716" t="s">
        <v>4215</v>
      </c>
      <c r="H212" s="715" t="s">
        <v>483</v>
      </c>
      <c r="I212" s="717">
        <v>4320</v>
      </c>
      <c r="J212" s="715">
        <v>0</v>
      </c>
      <c r="K212" s="715">
        <v>120</v>
      </c>
      <c r="L212" s="718">
        <f t="shared" si="39"/>
        <v>36</v>
      </c>
      <c r="M212" s="719">
        <v>46189</v>
      </c>
      <c r="N212" s="738">
        <v>46204</v>
      </c>
      <c r="O212" s="714"/>
      <c r="P212" s="717" t="s">
        <v>106</v>
      </c>
      <c r="Q212" s="717"/>
      <c r="R212" s="723">
        <v>46155</v>
      </c>
      <c r="S212" s="720" t="s">
        <v>107</v>
      </c>
      <c r="T212" s="720" t="s">
        <v>95</v>
      </c>
      <c r="U212" s="720"/>
      <c r="V212" s="720"/>
      <c r="W212" s="720"/>
      <c r="X212" s="714" t="s">
        <v>937</v>
      </c>
      <c r="Y212" s="719" t="s">
        <v>488</v>
      </c>
      <c r="Z212" s="753">
        <v>642</v>
      </c>
      <c r="AA212" s="722">
        <f>L212*Z212</f>
        <v>23112</v>
      </c>
      <c r="AB212" s="729" t="s">
        <v>1118</v>
      </c>
      <c r="AC212" s="722" t="s">
        <v>490</v>
      </c>
      <c r="AD212" s="715" t="s">
        <v>112</v>
      </c>
      <c r="AE212" s="715">
        <f t="shared" si="42"/>
        <v>4320</v>
      </c>
      <c r="AF212" s="715" t="s">
        <v>4109</v>
      </c>
      <c r="AG212" s="715">
        <f>144+2514+768+192+336+366</f>
        <v>4320</v>
      </c>
      <c r="AH212" s="715">
        <f t="shared" si="33"/>
        <v>0</v>
      </c>
      <c r="AI212" s="717"/>
      <c r="AJ212" s="715" t="s">
        <v>3981</v>
      </c>
      <c r="AK212" s="652"/>
      <c r="AL212" s="652"/>
      <c r="AM212" s="652"/>
      <c r="AN212" s="652"/>
      <c r="AO212" s="652"/>
      <c r="AP212" s="652"/>
      <c r="AQ212" s="652">
        <f>I212</f>
        <v>4320</v>
      </c>
      <c r="AR212" s="652">
        <f>I212</f>
        <v>4320</v>
      </c>
      <c r="AS212" s="652">
        <f>I212/6</f>
        <v>720</v>
      </c>
      <c r="AT212" s="652"/>
      <c r="AU212" s="652"/>
      <c r="AV212" s="652"/>
      <c r="AW212" s="652"/>
      <c r="AX212" s="652"/>
      <c r="AY212" s="652"/>
      <c r="AZ212" s="652"/>
      <c r="BA212" s="652"/>
      <c r="BB212" s="652"/>
      <c r="BC212" s="652"/>
      <c r="BD212" s="652"/>
      <c r="BE212" s="652"/>
      <c r="BF212" s="652"/>
      <c r="BG212" s="652"/>
      <c r="BH212" s="652"/>
      <c r="BI212" s="652"/>
      <c r="BJ212" s="650"/>
      <c r="BK212" s="650"/>
      <c r="BL212" s="650"/>
      <c r="BM212" s="650"/>
      <c r="BN212" s="650"/>
      <c r="BO212" s="650"/>
      <c r="BP212" s="650"/>
      <c r="BQ212" s="650"/>
      <c r="BR212" s="650"/>
      <c r="BS212" s="650"/>
      <c r="BT212" s="650"/>
      <c r="BU212" s="650"/>
      <c r="BV212" s="650"/>
      <c r="BW212" s="650"/>
      <c r="BX212" s="650"/>
      <c r="BY212" s="650"/>
      <c r="BZ212" s="650"/>
      <c r="CA212" s="650"/>
      <c r="CB212" s="650"/>
      <c r="CC212" s="650"/>
      <c r="CD212" s="650"/>
      <c r="CE212" s="650"/>
      <c r="CF212" s="650"/>
      <c r="CG212" s="650"/>
      <c r="CH212" s="650"/>
      <c r="CI212" s="650"/>
      <c r="CJ212" s="650"/>
      <c r="CK212" s="650"/>
      <c r="CL212" s="650"/>
      <c r="CM212" s="650"/>
      <c r="CN212" s="650"/>
      <c r="CO212" s="650"/>
      <c r="CP212" s="650"/>
      <c r="CQ212" s="650"/>
      <c r="CR212" s="650"/>
      <c r="CS212" s="650"/>
      <c r="CT212" s="650"/>
      <c r="CU212" s="650"/>
      <c r="CV212" s="650"/>
      <c r="CW212" s="650"/>
      <c r="CX212" s="650"/>
      <c r="CY212" s="650"/>
      <c r="CZ212" s="650"/>
      <c r="DA212" s="650"/>
      <c r="DB212" s="650"/>
      <c r="DC212" s="650"/>
      <c r="DD212" s="650"/>
    </row>
    <row r="213" s="650" customFormat="1" ht="31" customHeight="1" spans="1:108">
      <c r="A213" s="713">
        <v>46135</v>
      </c>
      <c r="B213" s="714" t="s">
        <v>378</v>
      </c>
      <c r="C213" s="715" t="s">
        <v>201</v>
      </c>
      <c r="D213" s="652">
        <v>4500202342</v>
      </c>
      <c r="E213" s="715">
        <v>7000992549</v>
      </c>
      <c r="F213" s="652" t="s">
        <v>4593</v>
      </c>
      <c r="G213" s="716" t="s">
        <v>3980</v>
      </c>
      <c r="H213" s="715" t="s">
        <v>3978</v>
      </c>
      <c r="I213" s="717">
        <v>504</v>
      </c>
      <c r="J213" s="715">
        <v>0</v>
      </c>
      <c r="K213" s="715">
        <v>8</v>
      </c>
      <c r="L213" s="715">
        <f t="shared" si="39"/>
        <v>63</v>
      </c>
      <c r="M213" s="719">
        <v>46190</v>
      </c>
      <c r="N213" s="719">
        <v>46186</v>
      </c>
      <c r="O213" s="776" t="s">
        <v>4594</v>
      </c>
      <c r="P213" s="776" t="s">
        <v>106</v>
      </c>
      <c r="Q213" s="776"/>
      <c r="R213" s="734">
        <v>46150</v>
      </c>
      <c r="S213" s="720" t="s">
        <v>107</v>
      </c>
      <c r="T213" s="720" t="s">
        <v>3320</v>
      </c>
      <c r="U213" s="720"/>
      <c r="V213" s="720"/>
      <c r="W213" s="720"/>
      <c r="X213" s="720" t="s">
        <v>4595</v>
      </c>
      <c r="Y213" s="719" t="s">
        <v>384</v>
      </c>
      <c r="Z213" s="730">
        <v>4.5882</v>
      </c>
      <c r="AA213" s="652">
        <f>I213*Z213</f>
        <v>2312.4528</v>
      </c>
      <c r="AB213" s="721"/>
      <c r="AC213" s="722" t="s">
        <v>4031</v>
      </c>
      <c r="AD213" s="715" t="s">
        <v>112</v>
      </c>
      <c r="AE213" s="715">
        <f t="shared" si="42"/>
        <v>504</v>
      </c>
      <c r="AF213" s="715"/>
      <c r="AG213" s="715">
        <v>504</v>
      </c>
      <c r="AH213" s="715">
        <f t="shared" si="33"/>
        <v>0</v>
      </c>
      <c r="AI213" s="717"/>
      <c r="AJ213" s="715" t="s">
        <v>3981</v>
      </c>
      <c r="AK213" s="652"/>
      <c r="AL213" s="652">
        <f>I213</f>
        <v>504</v>
      </c>
      <c r="AM213" s="652"/>
      <c r="AN213" s="652">
        <f t="shared" ref="AN213:AN224" si="44">I213</f>
        <v>504</v>
      </c>
      <c r="AO213" s="652"/>
      <c r="AP213" s="652"/>
      <c r="AQ213" s="652"/>
      <c r="AR213" s="652"/>
      <c r="AS213" s="652"/>
      <c r="AT213" s="652"/>
      <c r="AU213" s="652">
        <f>I213/8</f>
        <v>63</v>
      </c>
      <c r="AV213" s="652"/>
      <c r="AW213" s="652"/>
      <c r="AX213" s="652"/>
      <c r="AY213" s="652"/>
      <c r="AZ213" s="652"/>
      <c r="BA213" s="652"/>
      <c r="BB213" s="652"/>
      <c r="BC213" s="652"/>
      <c r="BD213" s="652"/>
      <c r="BE213" s="652"/>
      <c r="BF213" s="652"/>
      <c r="BG213" s="652"/>
      <c r="BH213" s="652"/>
      <c r="BI213" s="652"/>
    </row>
    <row r="214" s="650" customFormat="1" ht="31" customHeight="1" spans="1:108">
      <c r="A214" s="713">
        <v>46093</v>
      </c>
      <c r="B214" s="714" t="s">
        <v>1133</v>
      </c>
      <c r="C214" s="715" t="s">
        <v>115</v>
      </c>
      <c r="D214" s="652">
        <v>4500196353</v>
      </c>
      <c r="E214" s="715">
        <v>52424</v>
      </c>
      <c r="F214" s="652" t="s">
        <v>4596</v>
      </c>
      <c r="G214" s="716" t="s">
        <v>3973</v>
      </c>
      <c r="H214" s="715" t="s">
        <v>3995</v>
      </c>
      <c r="I214" s="717">
        <v>512</v>
      </c>
      <c r="J214" s="715">
        <v>0</v>
      </c>
      <c r="K214" s="715">
        <v>16</v>
      </c>
      <c r="L214" s="718">
        <f t="shared" si="39"/>
        <v>32</v>
      </c>
      <c r="M214" s="719">
        <v>46190</v>
      </c>
      <c r="N214" s="719">
        <v>46186</v>
      </c>
      <c r="O214" s="714"/>
      <c r="P214" s="717" t="s">
        <v>106</v>
      </c>
      <c r="Q214" s="717"/>
      <c r="R214" s="723">
        <v>46153</v>
      </c>
      <c r="S214" s="720" t="s">
        <v>107</v>
      </c>
      <c r="T214" s="720" t="s">
        <v>95</v>
      </c>
      <c r="U214" s="720"/>
      <c r="V214" s="720"/>
      <c r="W214" s="720"/>
      <c r="X214" s="720" t="s">
        <v>1135</v>
      </c>
      <c r="Y214" s="719" t="s">
        <v>1136</v>
      </c>
      <c r="Z214" s="715">
        <v>2.613</v>
      </c>
      <c r="AA214" s="715">
        <f>I214*Z214</f>
        <v>1337.856</v>
      </c>
      <c r="AB214" s="729" t="s">
        <v>1137</v>
      </c>
      <c r="AC214" s="722" t="s">
        <v>3973</v>
      </c>
      <c r="AD214" s="715" t="s">
        <v>112</v>
      </c>
      <c r="AE214" s="715">
        <f t="shared" si="42"/>
        <v>512</v>
      </c>
      <c r="AF214" s="715" t="s">
        <v>736</v>
      </c>
      <c r="AG214" s="715">
        <v>512</v>
      </c>
      <c r="AH214" s="715">
        <f t="shared" si="33"/>
        <v>0</v>
      </c>
      <c r="AI214" s="717"/>
      <c r="AJ214" s="715" t="s">
        <v>3981</v>
      </c>
      <c r="AK214" s="652">
        <f t="shared" ref="AK214:AK219" si="45">I214</f>
        <v>512</v>
      </c>
      <c r="AL214" s="652"/>
      <c r="AM214" s="652"/>
      <c r="AN214" s="652">
        <f t="shared" si="44"/>
        <v>512</v>
      </c>
      <c r="AO214" s="652"/>
      <c r="AP214" s="652"/>
      <c r="AQ214" s="652"/>
      <c r="AR214" s="652"/>
      <c r="AS214" s="652"/>
      <c r="AT214" s="652">
        <f>I214/8</f>
        <v>64</v>
      </c>
      <c r="AU214" s="652"/>
      <c r="AV214" s="652"/>
      <c r="AW214" s="652"/>
      <c r="AX214" s="652"/>
      <c r="AY214" s="652"/>
      <c r="AZ214" s="652"/>
      <c r="BA214" s="652"/>
      <c r="BB214" s="652"/>
      <c r="BC214" s="652"/>
      <c r="BD214" s="652"/>
      <c r="BE214" s="652"/>
      <c r="BF214" s="652"/>
      <c r="BG214" s="652"/>
      <c r="BH214" s="652"/>
      <c r="BI214" s="652"/>
      <c r="BJ214" s="724"/>
      <c r="BK214" s="724"/>
      <c r="BL214" s="724"/>
      <c r="BM214" s="724"/>
      <c r="BN214" s="724"/>
      <c r="BO214" s="724"/>
      <c r="BP214" s="724"/>
      <c r="BQ214" s="724"/>
      <c r="BR214" s="724"/>
      <c r="BS214" s="724"/>
      <c r="BT214" s="724"/>
      <c r="BU214" s="724"/>
      <c r="BV214" s="724"/>
      <c r="BW214" s="724"/>
      <c r="BX214" s="724"/>
      <c r="BY214" s="724"/>
      <c r="BZ214" s="724"/>
      <c r="CA214" s="724"/>
      <c r="CB214" s="724"/>
      <c r="CC214" s="724"/>
      <c r="CD214" s="724"/>
      <c r="CE214" s="724"/>
      <c r="CF214" s="724"/>
      <c r="CG214" s="724"/>
      <c r="CH214" s="724"/>
      <c r="CI214" s="724"/>
      <c r="CJ214" s="724"/>
      <c r="CK214" s="724"/>
      <c r="CL214" s="724"/>
      <c r="CM214" s="724"/>
      <c r="CN214" s="724"/>
      <c r="CO214" s="724"/>
      <c r="CP214" s="724"/>
      <c r="CQ214" s="724"/>
      <c r="CR214" s="724"/>
    </row>
    <row r="215" s="650" customFormat="1" ht="31" customHeight="1" spans="1:108">
      <c r="A215" s="713">
        <v>46142</v>
      </c>
      <c r="B215" s="714" t="s">
        <v>386</v>
      </c>
      <c r="C215" s="715" t="s">
        <v>115</v>
      </c>
      <c r="D215" s="652" t="s">
        <v>4550</v>
      </c>
      <c r="E215" s="715" t="s">
        <v>4597</v>
      </c>
      <c r="F215" s="652" t="s">
        <v>4598</v>
      </c>
      <c r="G215" s="716" t="s">
        <v>3968</v>
      </c>
      <c r="H215" s="715" t="s">
        <v>3969</v>
      </c>
      <c r="I215" s="717">
        <v>32720</v>
      </c>
      <c r="J215" s="715">
        <v>0</v>
      </c>
      <c r="K215" s="715">
        <v>16</v>
      </c>
      <c r="L215" s="715">
        <f t="shared" si="39"/>
        <v>2045</v>
      </c>
      <c r="M215" s="719">
        <v>46190</v>
      </c>
      <c r="N215" s="719">
        <v>46186</v>
      </c>
      <c r="O215" s="714" t="s">
        <v>4553</v>
      </c>
      <c r="P215" s="717" t="s">
        <v>106</v>
      </c>
      <c r="Q215" s="717"/>
      <c r="R215" s="723">
        <v>46142</v>
      </c>
      <c r="S215" s="720" t="s">
        <v>107</v>
      </c>
      <c r="T215" s="720" t="s">
        <v>1047</v>
      </c>
      <c r="U215" s="720"/>
      <c r="V215" s="720"/>
      <c r="W215" s="720"/>
      <c r="X215" s="720" t="s">
        <v>4555</v>
      </c>
      <c r="Y215" s="719" t="s">
        <v>393</v>
      </c>
      <c r="Z215" s="730">
        <v>2.6351</v>
      </c>
      <c r="AA215" s="652">
        <f>I215*Z215</f>
        <v>86220.472</v>
      </c>
      <c r="AB215" s="729" t="s">
        <v>4599</v>
      </c>
      <c r="AC215" s="716" t="s">
        <v>3968</v>
      </c>
      <c r="AD215" s="715" t="s">
        <v>112</v>
      </c>
      <c r="AE215" s="715">
        <f t="shared" si="42"/>
        <v>32720</v>
      </c>
      <c r="AF215" s="715" t="s">
        <v>736</v>
      </c>
      <c r="AG215" s="715">
        <v>32720</v>
      </c>
      <c r="AH215" s="715">
        <f t="shared" si="33"/>
        <v>0</v>
      </c>
      <c r="AI215" s="717"/>
      <c r="AJ215" s="715" t="s">
        <v>3981</v>
      </c>
      <c r="AK215" s="652">
        <f t="shared" si="45"/>
        <v>32720</v>
      </c>
      <c r="AL215" s="652"/>
      <c r="AM215" s="652"/>
      <c r="AN215" s="652">
        <f t="shared" si="44"/>
        <v>32720</v>
      </c>
      <c r="AO215" s="652"/>
      <c r="AP215" s="652"/>
      <c r="AQ215" s="652"/>
      <c r="AR215" s="652"/>
      <c r="AS215" s="652"/>
      <c r="AT215" s="652"/>
      <c r="AU215" s="652"/>
      <c r="AV215" s="652"/>
      <c r="AW215" s="652"/>
      <c r="AX215" s="652"/>
      <c r="AY215" s="652"/>
      <c r="AZ215" s="652"/>
      <c r="BA215" s="652"/>
      <c r="BB215" s="652"/>
      <c r="BC215" s="652"/>
      <c r="BD215" s="652"/>
      <c r="BE215" s="652"/>
      <c r="BF215" s="652"/>
      <c r="BG215" s="652"/>
      <c r="BH215" s="652"/>
      <c r="BI215" s="652"/>
    </row>
    <row r="216" s="650" customFormat="1" ht="31" customHeight="1" spans="1:108">
      <c r="A216" s="713">
        <v>46136</v>
      </c>
      <c r="B216" s="714" t="s">
        <v>346</v>
      </c>
      <c r="C216" s="715" t="s">
        <v>115</v>
      </c>
      <c r="D216" s="652" t="s">
        <v>4600</v>
      </c>
      <c r="E216" s="715" t="s">
        <v>4601</v>
      </c>
      <c r="F216" s="652" t="s">
        <v>4602</v>
      </c>
      <c r="G216" s="770" t="s">
        <v>4414</v>
      </c>
      <c r="H216" s="715" t="s">
        <v>4195</v>
      </c>
      <c r="I216" s="717">
        <v>8192</v>
      </c>
      <c r="J216" s="715">
        <v>0</v>
      </c>
      <c r="K216" s="715">
        <v>512</v>
      </c>
      <c r="L216" s="718">
        <f t="shared" si="39"/>
        <v>16</v>
      </c>
      <c r="M216" s="719">
        <v>46190</v>
      </c>
      <c r="N216" s="719">
        <v>46186</v>
      </c>
      <c r="O216" s="714"/>
      <c r="P216" s="717" t="s">
        <v>106</v>
      </c>
      <c r="Q216" s="717"/>
      <c r="R216" s="715" t="s">
        <v>4201</v>
      </c>
      <c r="S216" s="720" t="s">
        <v>107</v>
      </c>
      <c r="T216" s="720" t="s">
        <v>4498</v>
      </c>
      <c r="U216" s="720"/>
      <c r="V216" s="720"/>
      <c r="W216" s="720"/>
      <c r="X216" s="720" t="s">
        <v>4603</v>
      </c>
      <c r="Y216" s="719" t="s">
        <v>354</v>
      </c>
      <c r="Z216" s="715">
        <v>1388.3425</v>
      </c>
      <c r="AA216" s="715">
        <f>L216*Z216</f>
        <v>22213.48</v>
      </c>
      <c r="AB216" s="729" t="s">
        <v>4604</v>
      </c>
      <c r="AC216" s="722" t="s">
        <v>4194</v>
      </c>
      <c r="AD216" s="715" t="s">
        <v>112</v>
      </c>
      <c r="AE216" s="715">
        <f t="shared" si="42"/>
        <v>8192</v>
      </c>
      <c r="AF216" s="715"/>
      <c r="AG216" s="715">
        <v>8192</v>
      </c>
      <c r="AH216" s="715">
        <f t="shared" si="33"/>
        <v>0</v>
      </c>
      <c r="AI216" s="717"/>
      <c r="AJ216" s="715" t="s">
        <v>3981</v>
      </c>
      <c r="AK216" s="652">
        <f t="shared" si="45"/>
        <v>8192</v>
      </c>
      <c r="AL216" s="652"/>
      <c r="AM216" s="652"/>
      <c r="AN216" s="652">
        <f t="shared" si="44"/>
        <v>8192</v>
      </c>
      <c r="AO216" s="652"/>
      <c r="AP216" s="652"/>
      <c r="AQ216" s="652"/>
      <c r="AR216" s="652"/>
      <c r="AS216" s="652"/>
      <c r="AT216" s="652">
        <f>I216/8</f>
        <v>1024</v>
      </c>
      <c r="AU216" s="652"/>
      <c r="AV216" s="652"/>
      <c r="AW216" s="652"/>
      <c r="AX216" s="652"/>
      <c r="AY216" s="652"/>
      <c r="AZ216" s="652"/>
      <c r="BA216" s="652"/>
      <c r="BB216" s="652"/>
      <c r="BC216" s="652"/>
      <c r="BD216" s="652"/>
      <c r="BE216" s="652"/>
      <c r="BF216" s="652"/>
      <c r="BG216" s="652"/>
      <c r="BH216" s="652"/>
      <c r="BI216" s="652"/>
    </row>
    <row r="217" s="650" customFormat="1" ht="31" customHeight="1" spans="1:108">
      <c r="A217" s="713">
        <v>46136</v>
      </c>
      <c r="B217" s="714" t="s">
        <v>346</v>
      </c>
      <c r="C217" s="715" t="s">
        <v>115</v>
      </c>
      <c r="D217" s="652" t="s">
        <v>4600</v>
      </c>
      <c r="E217" s="715" t="s">
        <v>4605</v>
      </c>
      <c r="F217" s="652" t="s">
        <v>4606</v>
      </c>
      <c r="G217" s="770" t="s">
        <v>4414</v>
      </c>
      <c r="H217" s="715" t="s">
        <v>4195</v>
      </c>
      <c r="I217" s="717">
        <v>9728</v>
      </c>
      <c r="J217" s="715">
        <v>0</v>
      </c>
      <c r="K217" s="715">
        <v>512</v>
      </c>
      <c r="L217" s="718">
        <f t="shared" si="39"/>
        <v>19</v>
      </c>
      <c r="M217" s="719">
        <v>46190</v>
      </c>
      <c r="N217" s="719">
        <v>46186</v>
      </c>
      <c r="O217" s="714"/>
      <c r="P217" s="717" t="s">
        <v>106</v>
      </c>
      <c r="Q217" s="717"/>
      <c r="R217" s="715" t="s">
        <v>4201</v>
      </c>
      <c r="S217" s="720" t="s">
        <v>107</v>
      </c>
      <c r="T217" s="720" t="s">
        <v>4498</v>
      </c>
      <c r="U217" s="720"/>
      <c r="V217" s="720"/>
      <c r="W217" s="720"/>
      <c r="X217" s="720" t="s">
        <v>4603</v>
      </c>
      <c r="Y217" s="719" t="s">
        <v>354</v>
      </c>
      <c r="Z217" s="715">
        <v>1388.3426</v>
      </c>
      <c r="AA217" s="715">
        <f>L217*Z217</f>
        <v>26378.5094</v>
      </c>
      <c r="AB217" s="729" t="s">
        <v>4607</v>
      </c>
      <c r="AC217" s="722" t="s">
        <v>4194</v>
      </c>
      <c r="AD217" s="715" t="s">
        <v>112</v>
      </c>
      <c r="AE217" s="715">
        <f t="shared" si="42"/>
        <v>9728</v>
      </c>
      <c r="AF217" s="715"/>
      <c r="AG217" s="715">
        <v>9728</v>
      </c>
      <c r="AH217" s="715">
        <f t="shared" si="33"/>
        <v>0</v>
      </c>
      <c r="AI217" s="717"/>
      <c r="AJ217" s="715" t="s">
        <v>3981</v>
      </c>
      <c r="AK217" s="652">
        <f t="shared" si="45"/>
        <v>9728</v>
      </c>
      <c r="AL217" s="652"/>
      <c r="AM217" s="652"/>
      <c r="AN217" s="652">
        <f t="shared" si="44"/>
        <v>9728</v>
      </c>
      <c r="AO217" s="652"/>
      <c r="AP217" s="652"/>
      <c r="AQ217" s="652"/>
      <c r="AR217" s="652"/>
      <c r="AS217" s="652"/>
      <c r="AT217" s="652">
        <f>I217/8</f>
        <v>1216</v>
      </c>
      <c r="AU217" s="652"/>
      <c r="AV217" s="652"/>
      <c r="AW217" s="652"/>
      <c r="AX217" s="652"/>
      <c r="AY217" s="652"/>
      <c r="AZ217" s="652"/>
      <c r="BA217" s="652"/>
      <c r="BB217" s="652"/>
      <c r="BC217" s="652"/>
      <c r="BD217" s="652"/>
      <c r="BE217" s="652"/>
      <c r="BF217" s="652"/>
      <c r="BG217" s="652"/>
      <c r="BH217" s="652"/>
      <c r="BI217" s="652"/>
    </row>
    <row r="218" s="650" customFormat="1" ht="31" customHeight="1" spans="1:108">
      <c r="A218" s="713">
        <v>46136</v>
      </c>
      <c r="B218" s="714" t="s">
        <v>346</v>
      </c>
      <c r="C218" s="715" t="s">
        <v>115</v>
      </c>
      <c r="D218" s="652" t="s">
        <v>4600</v>
      </c>
      <c r="E218" s="715" t="s">
        <v>4608</v>
      </c>
      <c r="F218" s="652" t="s">
        <v>4609</v>
      </c>
      <c r="G218" s="770" t="s">
        <v>4414</v>
      </c>
      <c r="H218" s="715" t="s">
        <v>4195</v>
      </c>
      <c r="I218" s="717">
        <v>8704</v>
      </c>
      <c r="J218" s="715">
        <v>0</v>
      </c>
      <c r="K218" s="715">
        <v>512</v>
      </c>
      <c r="L218" s="718">
        <f t="shared" si="39"/>
        <v>17</v>
      </c>
      <c r="M218" s="719">
        <v>46190</v>
      </c>
      <c r="N218" s="719">
        <v>46186</v>
      </c>
      <c r="O218" s="714"/>
      <c r="P218" s="717" t="s">
        <v>106</v>
      </c>
      <c r="Q218" s="717"/>
      <c r="R218" s="715" t="s">
        <v>4201</v>
      </c>
      <c r="S218" s="720" t="s">
        <v>107</v>
      </c>
      <c r="T218" s="720" t="s">
        <v>4498</v>
      </c>
      <c r="U218" s="720"/>
      <c r="V218" s="720"/>
      <c r="W218" s="720"/>
      <c r="X218" s="720" t="s">
        <v>4603</v>
      </c>
      <c r="Y218" s="719" t="s">
        <v>354</v>
      </c>
      <c r="Z218" s="715">
        <v>1388.3424</v>
      </c>
      <c r="AA218" s="715">
        <f>L218*Z218</f>
        <v>23601.8208</v>
      </c>
      <c r="AB218" s="729" t="s">
        <v>4610</v>
      </c>
      <c r="AC218" s="722" t="s">
        <v>4194</v>
      </c>
      <c r="AD218" s="715" t="s">
        <v>112</v>
      </c>
      <c r="AE218" s="715">
        <f t="shared" si="42"/>
        <v>8704</v>
      </c>
      <c r="AF218" s="715"/>
      <c r="AG218" s="715">
        <v>8704</v>
      </c>
      <c r="AH218" s="715">
        <f t="shared" si="33"/>
        <v>0</v>
      </c>
      <c r="AI218" s="717"/>
      <c r="AJ218" s="715" t="s">
        <v>3981</v>
      </c>
      <c r="AK218" s="652">
        <f t="shared" si="45"/>
        <v>8704</v>
      </c>
      <c r="AL218" s="652"/>
      <c r="AM218" s="652"/>
      <c r="AN218" s="652">
        <f t="shared" si="44"/>
        <v>8704</v>
      </c>
      <c r="AO218" s="652"/>
      <c r="AP218" s="652"/>
      <c r="AQ218" s="652"/>
      <c r="AR218" s="652"/>
      <c r="AS218" s="652"/>
      <c r="AT218" s="652">
        <f>I218/8</f>
        <v>1088</v>
      </c>
      <c r="AU218" s="652"/>
      <c r="AV218" s="652"/>
      <c r="AW218" s="652"/>
      <c r="AX218" s="652"/>
      <c r="AY218" s="652"/>
      <c r="AZ218" s="652"/>
      <c r="BA218" s="652"/>
      <c r="BB218" s="652"/>
      <c r="BC218" s="652"/>
      <c r="BD218" s="652"/>
      <c r="BE218" s="652"/>
      <c r="BF218" s="652"/>
      <c r="BG218" s="652"/>
      <c r="BH218" s="652"/>
      <c r="BI218" s="652"/>
    </row>
    <row r="219" s="650" customFormat="1" ht="31" customHeight="1" spans="1:108">
      <c r="A219" s="713">
        <v>46121</v>
      </c>
      <c r="B219" s="795" t="s">
        <v>114</v>
      </c>
      <c r="C219" s="715" t="s">
        <v>115</v>
      </c>
      <c r="D219" s="652" t="s">
        <v>4611</v>
      </c>
      <c r="E219" s="715" t="s">
        <v>4612</v>
      </c>
      <c r="F219" s="652" t="s">
        <v>4613</v>
      </c>
      <c r="G219" s="716" t="s">
        <v>3980</v>
      </c>
      <c r="H219" s="715" t="s">
        <v>3978</v>
      </c>
      <c r="I219" s="717">
        <v>7376</v>
      </c>
      <c r="J219" s="715">
        <v>0</v>
      </c>
      <c r="K219" s="715">
        <v>8</v>
      </c>
      <c r="L219" s="715">
        <f t="shared" si="39"/>
        <v>922</v>
      </c>
      <c r="M219" s="719">
        <v>46191</v>
      </c>
      <c r="N219" s="719">
        <v>46188</v>
      </c>
      <c r="O219" s="714"/>
      <c r="P219" s="717" t="s">
        <v>106</v>
      </c>
      <c r="Q219" s="717"/>
      <c r="R219" s="723">
        <v>46157</v>
      </c>
      <c r="S219" s="720" t="s">
        <v>107</v>
      </c>
      <c r="T219" s="720" t="s">
        <v>4583</v>
      </c>
      <c r="U219" s="720"/>
      <c r="V219" s="720" t="s">
        <v>4056</v>
      </c>
      <c r="W219" s="720"/>
      <c r="X219" s="720" t="s">
        <v>4536</v>
      </c>
      <c r="Y219" s="719" t="s">
        <v>123</v>
      </c>
      <c r="Z219" s="730">
        <v>2.7182</v>
      </c>
      <c r="AA219" s="652">
        <f>Z219*I219</f>
        <v>20049.4432</v>
      </c>
      <c r="AB219" s="729" t="s">
        <v>4614</v>
      </c>
      <c r="AC219" s="722" t="s">
        <v>3980</v>
      </c>
      <c r="AD219" s="715" t="s">
        <v>112</v>
      </c>
      <c r="AE219" s="715">
        <f t="shared" si="42"/>
        <v>7376</v>
      </c>
      <c r="AF219" s="715"/>
      <c r="AG219" s="715">
        <f>7176+200</f>
        <v>7376</v>
      </c>
      <c r="AH219" s="715">
        <f t="shared" ref="AH219:AH282" si="46">AG219-I219</f>
        <v>0</v>
      </c>
      <c r="AI219" s="717"/>
      <c r="AJ219" s="715" t="s">
        <v>3981</v>
      </c>
      <c r="AK219" s="652">
        <f t="shared" si="45"/>
        <v>7376</v>
      </c>
      <c r="AL219" s="652"/>
      <c r="AM219" s="652"/>
      <c r="AN219" s="652">
        <f t="shared" si="44"/>
        <v>7376</v>
      </c>
      <c r="AO219" s="652"/>
      <c r="AP219" s="652"/>
      <c r="AQ219" s="652"/>
      <c r="AR219" s="652"/>
      <c r="AS219" s="652"/>
      <c r="AT219" s="652">
        <f>I219/8</f>
        <v>922</v>
      </c>
      <c r="AU219" s="652"/>
      <c r="AV219" s="652"/>
      <c r="AW219" s="652"/>
      <c r="AX219" s="652"/>
      <c r="AY219" s="652"/>
      <c r="AZ219" s="652"/>
      <c r="BA219" s="652"/>
      <c r="BB219" s="652"/>
      <c r="BC219" s="652"/>
      <c r="BD219" s="652"/>
      <c r="BE219" s="652"/>
      <c r="BF219" s="652"/>
      <c r="BG219" s="652"/>
      <c r="BH219" s="652"/>
      <c r="BI219" s="652"/>
    </row>
    <row r="220" s="650" customFormat="1" ht="31" customHeight="1" spans="1:108">
      <c r="A220" s="713">
        <v>46190</v>
      </c>
      <c r="B220" s="714" t="s">
        <v>264</v>
      </c>
      <c r="C220" s="715" t="s">
        <v>265</v>
      </c>
      <c r="D220" s="652" t="s">
        <v>4615</v>
      </c>
      <c r="E220" s="715" t="s">
        <v>4616</v>
      </c>
      <c r="F220" s="652" t="s">
        <v>4617</v>
      </c>
      <c r="G220" s="716" t="s">
        <v>3973</v>
      </c>
      <c r="H220" s="715" t="s">
        <v>3995</v>
      </c>
      <c r="I220" s="717">
        <v>3008</v>
      </c>
      <c r="J220" s="715">
        <v>0</v>
      </c>
      <c r="K220" s="715">
        <v>16</v>
      </c>
      <c r="L220" s="715">
        <f t="shared" si="39"/>
        <v>188</v>
      </c>
      <c r="M220" s="719">
        <v>46191</v>
      </c>
      <c r="N220" s="719">
        <v>46188</v>
      </c>
      <c r="O220" s="717" t="s">
        <v>1139</v>
      </c>
      <c r="P220" s="717" t="s">
        <v>106</v>
      </c>
      <c r="Q220" s="715"/>
      <c r="R220" s="723" t="s">
        <v>1140</v>
      </c>
      <c r="S220" s="720" t="s">
        <v>107</v>
      </c>
      <c r="T220" s="720" t="s">
        <v>153</v>
      </c>
      <c r="U220" s="720"/>
      <c r="V220" s="720"/>
      <c r="W220" s="720"/>
      <c r="X220" s="720" t="s">
        <v>4618</v>
      </c>
      <c r="Y220" s="719" t="s">
        <v>1142</v>
      </c>
      <c r="Z220" s="730">
        <v>4.8429</v>
      </c>
      <c r="AA220" s="652">
        <f>I220*Z220</f>
        <v>14567.4432</v>
      </c>
      <c r="AB220" s="721"/>
      <c r="AC220" s="722" t="s">
        <v>4108</v>
      </c>
      <c r="AD220" s="715" t="s">
        <v>112</v>
      </c>
      <c r="AE220" s="715">
        <f t="shared" si="42"/>
        <v>3008</v>
      </c>
      <c r="AF220" s="715"/>
      <c r="AG220" s="715">
        <v>3008</v>
      </c>
      <c r="AH220" s="715">
        <f t="shared" si="46"/>
        <v>0</v>
      </c>
      <c r="AI220" s="717"/>
      <c r="AJ220" s="715" t="s">
        <v>3981</v>
      </c>
      <c r="AK220" s="652"/>
      <c r="AL220" s="652">
        <f>I220</f>
        <v>3008</v>
      </c>
      <c r="AM220" s="652"/>
      <c r="AN220" s="652">
        <f t="shared" si="44"/>
        <v>3008</v>
      </c>
      <c r="AO220" s="652"/>
      <c r="AP220" s="652"/>
      <c r="AQ220" s="652"/>
      <c r="AR220" s="652"/>
      <c r="AS220" s="652"/>
      <c r="AT220" s="652"/>
      <c r="AU220" s="652">
        <f>I220/8</f>
        <v>376</v>
      </c>
      <c r="AV220" s="652"/>
      <c r="AW220" s="652"/>
      <c r="AX220" s="652"/>
      <c r="AY220" s="652"/>
      <c r="AZ220" s="652"/>
      <c r="BA220" s="652"/>
      <c r="BB220" s="652"/>
      <c r="BC220" s="652"/>
      <c r="BD220" s="652"/>
      <c r="BE220" s="652"/>
      <c r="BF220" s="652"/>
      <c r="BG220" s="652"/>
      <c r="BH220" s="652"/>
      <c r="BI220" s="652"/>
    </row>
    <row r="221" s="650" customFormat="1" ht="31" customHeight="1" spans="1:108">
      <c r="A221" s="713">
        <v>46132</v>
      </c>
      <c r="B221" s="714" t="s">
        <v>1149</v>
      </c>
      <c r="C221" s="715" t="s">
        <v>291</v>
      </c>
      <c r="D221" s="652" t="s">
        <v>4619</v>
      </c>
      <c r="E221" s="715" t="s">
        <v>628</v>
      </c>
      <c r="F221" s="652" t="s">
        <v>4620</v>
      </c>
      <c r="G221" s="716" t="s">
        <v>3973</v>
      </c>
      <c r="H221" s="715" t="s">
        <v>3995</v>
      </c>
      <c r="I221" s="717">
        <v>3008</v>
      </c>
      <c r="J221" s="715">
        <v>0</v>
      </c>
      <c r="K221" s="715">
        <v>16</v>
      </c>
      <c r="L221" s="715">
        <f t="shared" si="39"/>
        <v>188</v>
      </c>
      <c r="M221" s="719">
        <v>46191</v>
      </c>
      <c r="N221" s="719">
        <v>46216</v>
      </c>
      <c r="O221" s="714"/>
      <c r="P221" s="717" t="s">
        <v>106</v>
      </c>
      <c r="Q221" s="717"/>
      <c r="R221" s="723">
        <v>46162</v>
      </c>
      <c r="S221" s="720" t="s">
        <v>107</v>
      </c>
      <c r="T221" s="720" t="s">
        <v>4621</v>
      </c>
      <c r="U221" s="720"/>
      <c r="V221" s="720"/>
      <c r="W221" s="720"/>
      <c r="X221" s="720" t="s">
        <v>4622</v>
      </c>
      <c r="Y221" s="719" t="s">
        <v>295</v>
      </c>
      <c r="Z221" s="730">
        <v>4.5744</v>
      </c>
      <c r="AA221" s="652">
        <f>I221*Z221</f>
        <v>13759.7952</v>
      </c>
      <c r="AB221" s="721"/>
      <c r="AC221" s="722" t="s">
        <v>4108</v>
      </c>
      <c r="AD221" s="715" t="s">
        <v>112</v>
      </c>
      <c r="AE221" s="715">
        <f t="shared" si="42"/>
        <v>3008</v>
      </c>
      <c r="AF221" s="715" t="s">
        <v>4109</v>
      </c>
      <c r="AG221" s="715">
        <v>3008</v>
      </c>
      <c r="AH221" s="715">
        <f t="shared" si="46"/>
        <v>0</v>
      </c>
      <c r="AI221" s="717"/>
      <c r="AJ221" s="715" t="s">
        <v>3981</v>
      </c>
      <c r="AK221" s="652"/>
      <c r="AL221" s="652">
        <f>I221</f>
        <v>3008</v>
      </c>
      <c r="AM221" s="652"/>
      <c r="AN221" s="652">
        <f t="shared" si="44"/>
        <v>3008</v>
      </c>
      <c r="AO221" s="652"/>
      <c r="AP221" s="652"/>
      <c r="AQ221" s="652"/>
      <c r="AR221" s="652"/>
      <c r="AS221" s="652"/>
      <c r="AT221" s="652"/>
      <c r="AU221" s="652">
        <f>I221/8</f>
        <v>376</v>
      </c>
      <c r="AV221" s="652"/>
      <c r="AW221" s="652"/>
      <c r="AX221" s="652"/>
      <c r="AY221" s="652"/>
      <c r="AZ221" s="652"/>
      <c r="BA221" s="652"/>
      <c r="BB221" s="652"/>
      <c r="BC221" s="652"/>
      <c r="BD221" s="652"/>
      <c r="BE221" s="652"/>
      <c r="BF221" s="652"/>
      <c r="BG221" s="652"/>
      <c r="BH221" s="652"/>
      <c r="BI221" s="652"/>
    </row>
    <row r="222" s="650" customFormat="1" ht="31" customHeight="1" spans="1:108">
      <c r="A222" s="713">
        <v>46126</v>
      </c>
      <c r="B222" s="714" t="s">
        <v>607</v>
      </c>
      <c r="C222" s="715" t="s">
        <v>608</v>
      </c>
      <c r="D222" s="652">
        <v>4500201685</v>
      </c>
      <c r="E222" s="715">
        <v>5200009334</v>
      </c>
      <c r="F222" s="652" t="s">
        <v>4623</v>
      </c>
      <c r="G222" s="716" t="s">
        <v>4028</v>
      </c>
      <c r="H222" s="746" t="s">
        <v>3978</v>
      </c>
      <c r="I222" s="717">
        <v>2800</v>
      </c>
      <c r="J222" s="715">
        <v>0</v>
      </c>
      <c r="K222" s="715">
        <v>8</v>
      </c>
      <c r="L222" s="715">
        <f t="shared" si="39"/>
        <v>350</v>
      </c>
      <c r="M222" s="719">
        <v>46192</v>
      </c>
      <c r="N222" s="719">
        <v>46188</v>
      </c>
      <c r="O222" s="714"/>
      <c r="P222" s="717" t="s">
        <v>106</v>
      </c>
      <c r="Q222" s="717"/>
      <c r="R222" s="723">
        <v>46126</v>
      </c>
      <c r="S222" s="720" t="s">
        <v>95</v>
      </c>
      <c r="T222" s="720" t="s">
        <v>4624</v>
      </c>
      <c r="U222" s="720"/>
      <c r="V222" s="720" t="s">
        <v>4625</v>
      </c>
      <c r="W222" s="720"/>
      <c r="X222" s="720" t="s">
        <v>4626</v>
      </c>
      <c r="Y222" s="719" t="s">
        <v>198</v>
      </c>
      <c r="Z222" s="730">
        <v>5</v>
      </c>
      <c r="AA222" s="652">
        <f t="shared" ref="AA222:AA228" si="47">L222*Z222</f>
        <v>1750</v>
      </c>
      <c r="AB222" s="721"/>
      <c r="AC222" s="722" t="s">
        <v>4031</v>
      </c>
      <c r="AD222" s="715" t="s">
        <v>112</v>
      </c>
      <c r="AE222" s="715">
        <f t="shared" si="42"/>
        <v>2800</v>
      </c>
      <c r="AF222" s="715"/>
      <c r="AG222" s="715">
        <v>2800</v>
      </c>
      <c r="AH222" s="715">
        <f t="shared" si="46"/>
        <v>0</v>
      </c>
      <c r="AI222" s="717"/>
      <c r="AJ222" s="715" t="s">
        <v>3981</v>
      </c>
      <c r="AK222" s="652"/>
      <c r="AL222" s="652">
        <f>I222</f>
        <v>2800</v>
      </c>
      <c r="AM222" s="652"/>
      <c r="AN222" s="652">
        <f t="shared" si="44"/>
        <v>2800</v>
      </c>
      <c r="AO222" s="652"/>
      <c r="AP222" s="652"/>
      <c r="AQ222" s="652"/>
      <c r="AR222" s="652"/>
      <c r="AS222" s="652"/>
      <c r="AT222" s="652"/>
      <c r="AU222" s="652">
        <f>I222/8</f>
        <v>350</v>
      </c>
      <c r="AV222" s="652"/>
      <c r="AW222" s="652"/>
      <c r="AX222" s="652"/>
      <c r="AY222" s="652"/>
      <c r="AZ222" s="652"/>
      <c r="BA222" s="652"/>
      <c r="BB222" s="652"/>
      <c r="BC222" s="652"/>
      <c r="BD222" s="652"/>
      <c r="BE222" s="652"/>
      <c r="BF222" s="652"/>
      <c r="BG222" s="652"/>
      <c r="BH222" s="652"/>
      <c r="BI222" s="652"/>
      <c r="BJ222" s="731"/>
      <c r="BK222" s="731"/>
      <c r="BL222" s="731"/>
      <c r="BM222" s="731"/>
      <c r="BN222" s="731"/>
      <c r="BO222" s="731"/>
      <c r="BP222" s="731"/>
      <c r="BQ222" s="731"/>
      <c r="BR222" s="731"/>
      <c r="BS222" s="731"/>
      <c r="BT222" s="731"/>
      <c r="BU222" s="731"/>
      <c r="BV222" s="731"/>
      <c r="BW222" s="731"/>
      <c r="BX222" s="731"/>
      <c r="BY222" s="731"/>
      <c r="BZ222" s="731"/>
      <c r="CA222" s="731"/>
      <c r="CB222" s="731"/>
      <c r="CC222" s="731"/>
      <c r="CD222" s="731"/>
      <c r="CE222" s="731"/>
      <c r="CF222" s="731"/>
      <c r="CG222" s="731"/>
      <c r="CH222" s="731"/>
      <c r="CI222" s="731"/>
      <c r="CJ222" s="731"/>
      <c r="CK222" s="731"/>
      <c r="CL222" s="731"/>
      <c r="CM222" s="731"/>
      <c r="CN222" s="731"/>
      <c r="CO222" s="731"/>
      <c r="CP222" s="731"/>
      <c r="CQ222" s="731"/>
      <c r="CR222" s="731"/>
    </row>
    <row r="223" s="650" customFormat="1" ht="31" customHeight="1" spans="1:108">
      <c r="A223" s="713">
        <v>46113</v>
      </c>
      <c r="B223" s="714" t="s">
        <v>180</v>
      </c>
      <c r="C223" s="715" t="s">
        <v>115</v>
      </c>
      <c r="D223" s="652" t="s">
        <v>4627</v>
      </c>
      <c r="E223" s="715" t="s">
        <v>4628</v>
      </c>
      <c r="F223" s="652" t="s">
        <v>4629</v>
      </c>
      <c r="G223" s="716" t="s">
        <v>4141</v>
      </c>
      <c r="H223" s="715" t="s">
        <v>3969</v>
      </c>
      <c r="I223" s="717">
        <v>1152</v>
      </c>
      <c r="J223" s="715">
        <v>0</v>
      </c>
      <c r="K223" s="715">
        <v>16</v>
      </c>
      <c r="L223" s="715">
        <f t="shared" si="39"/>
        <v>72</v>
      </c>
      <c r="M223" s="719">
        <v>46192</v>
      </c>
      <c r="N223" s="719">
        <v>46188</v>
      </c>
      <c r="O223" s="714"/>
      <c r="P223" s="717" t="s">
        <v>106</v>
      </c>
      <c r="Q223" s="717"/>
      <c r="R223" s="715" t="s">
        <v>4630</v>
      </c>
      <c r="S223" s="720" t="s">
        <v>107</v>
      </c>
      <c r="T223" s="720" t="s">
        <v>95</v>
      </c>
      <c r="U223" s="720"/>
      <c r="V223" s="720"/>
      <c r="W223" s="720"/>
      <c r="X223" s="720" t="s">
        <v>4631</v>
      </c>
      <c r="Y223" s="719" t="s">
        <v>557</v>
      </c>
      <c r="Z223" s="730">
        <v>2.466</v>
      </c>
      <c r="AA223" s="652">
        <f t="shared" si="47"/>
        <v>177.552</v>
      </c>
      <c r="AB223" s="729" t="s">
        <v>4632</v>
      </c>
      <c r="AC223" s="722" t="s">
        <v>3968</v>
      </c>
      <c r="AD223" s="715" t="s">
        <v>112</v>
      </c>
      <c r="AE223" s="715">
        <f t="shared" si="42"/>
        <v>1152</v>
      </c>
      <c r="AG223" s="715">
        <v>1152</v>
      </c>
      <c r="AH223" s="715">
        <f t="shared" si="46"/>
        <v>0</v>
      </c>
      <c r="AI223" s="717"/>
      <c r="AJ223" s="715" t="s">
        <v>3981</v>
      </c>
      <c r="AK223" s="652">
        <f>I223</f>
        <v>1152</v>
      </c>
      <c r="AL223" s="652"/>
      <c r="AM223" s="652"/>
      <c r="AN223" s="652">
        <f t="shared" si="44"/>
        <v>1152</v>
      </c>
      <c r="AO223" s="652"/>
      <c r="AP223" s="652"/>
      <c r="AQ223" s="652"/>
      <c r="AR223" s="652"/>
      <c r="AS223" s="652"/>
      <c r="AT223" s="652"/>
      <c r="AU223" s="652"/>
      <c r="AV223" s="652"/>
      <c r="AW223" s="652"/>
      <c r="AX223" s="652"/>
      <c r="AY223" s="652"/>
      <c r="AZ223" s="652"/>
      <c r="BA223" s="652"/>
      <c r="BB223" s="652"/>
      <c r="BC223" s="652"/>
      <c r="BD223" s="652"/>
      <c r="BE223" s="652"/>
      <c r="BF223" s="652"/>
      <c r="BG223" s="652"/>
      <c r="BH223" s="652"/>
      <c r="BI223" s="652"/>
      <c r="BJ223" s="650"/>
      <c r="BK223" s="650"/>
      <c r="BL223" s="650"/>
      <c r="BM223" s="650"/>
      <c r="BN223" s="650"/>
      <c r="BO223" s="650"/>
      <c r="BP223" s="650"/>
      <c r="BQ223" s="650"/>
      <c r="BR223" s="650"/>
      <c r="BS223" s="650"/>
      <c r="BT223" s="650"/>
      <c r="BU223" s="650"/>
      <c r="BV223" s="650"/>
      <c r="BW223" s="650"/>
      <c r="BX223" s="650"/>
      <c r="BY223" s="650"/>
      <c r="BZ223" s="650"/>
      <c r="CA223" s="650"/>
      <c r="CB223" s="650"/>
      <c r="CC223" s="650"/>
      <c r="CD223" s="650"/>
      <c r="CE223" s="650"/>
      <c r="CF223" s="650"/>
      <c r="CG223" s="650"/>
      <c r="CH223" s="650"/>
      <c r="CI223" s="650"/>
      <c r="CJ223" s="650"/>
      <c r="CK223" s="650"/>
      <c r="CL223" s="650"/>
      <c r="CM223" s="650"/>
      <c r="CN223" s="650"/>
      <c r="CO223" s="650"/>
      <c r="CP223" s="650"/>
      <c r="CQ223" s="650"/>
      <c r="CR223" s="650"/>
      <c r="CS223" s="654"/>
      <c r="CT223" s="654"/>
      <c r="CU223" s="654"/>
      <c r="CV223" s="654"/>
      <c r="CW223" s="654"/>
      <c r="CX223" s="654"/>
      <c r="CY223" s="654"/>
      <c r="CZ223" s="654"/>
      <c r="DA223" s="654"/>
      <c r="DB223" s="654"/>
      <c r="DC223" s="654"/>
      <c r="DD223" s="654"/>
    </row>
    <row r="224" s="650" customFormat="1" ht="31" customHeight="1" spans="1:108">
      <c r="A224" s="713">
        <v>46114</v>
      </c>
      <c r="B224" s="714" t="s">
        <v>1077</v>
      </c>
      <c r="C224" s="715" t="s">
        <v>115</v>
      </c>
      <c r="D224" s="652" t="s">
        <v>4633</v>
      </c>
      <c r="E224" s="715" t="s">
        <v>4634</v>
      </c>
      <c r="F224" s="652" t="s">
        <v>4635</v>
      </c>
      <c r="G224" s="716" t="s">
        <v>3973</v>
      </c>
      <c r="H224" s="715" t="s">
        <v>3995</v>
      </c>
      <c r="I224" s="717">
        <v>2400</v>
      </c>
      <c r="J224" s="715">
        <v>0</v>
      </c>
      <c r="K224" s="715">
        <v>16</v>
      </c>
      <c r="L224" s="715">
        <f t="shared" si="39"/>
        <v>150</v>
      </c>
      <c r="M224" s="719">
        <v>46192</v>
      </c>
      <c r="N224" s="719">
        <v>46188</v>
      </c>
      <c r="O224" s="714"/>
      <c r="P224" s="717" t="s">
        <v>106</v>
      </c>
      <c r="Q224" s="717"/>
      <c r="R224" s="723">
        <v>46139</v>
      </c>
      <c r="S224" s="720" t="s">
        <v>107</v>
      </c>
      <c r="T224" s="720" t="s">
        <v>95</v>
      </c>
      <c r="U224" s="720"/>
      <c r="V224" s="720"/>
      <c r="W224" s="720"/>
      <c r="X224" s="720" t="s">
        <v>1079</v>
      </c>
      <c r="Y224" s="719" t="s">
        <v>421</v>
      </c>
      <c r="Z224" s="730">
        <v>2.613</v>
      </c>
      <c r="AA224" s="652">
        <f t="shared" si="47"/>
        <v>391.95</v>
      </c>
      <c r="AB224" s="729" t="s">
        <v>4636</v>
      </c>
      <c r="AC224" s="722" t="s">
        <v>3973</v>
      </c>
      <c r="AD224" s="715" t="s">
        <v>112</v>
      </c>
      <c r="AE224" s="715">
        <f t="shared" si="42"/>
        <v>2400</v>
      </c>
      <c r="AF224" s="715"/>
      <c r="AG224" s="715">
        <f>2368+32</f>
        <v>2400</v>
      </c>
      <c r="AH224" s="715">
        <f t="shared" si="46"/>
        <v>0</v>
      </c>
      <c r="AI224" s="717"/>
      <c r="AJ224" s="715" t="s">
        <v>3981</v>
      </c>
      <c r="AK224" s="652">
        <f>I224</f>
        <v>2400</v>
      </c>
      <c r="AL224" s="652"/>
      <c r="AM224" s="652"/>
      <c r="AN224" s="652">
        <f t="shared" si="44"/>
        <v>2400</v>
      </c>
      <c r="AO224" s="652"/>
      <c r="AP224" s="652"/>
      <c r="AQ224" s="652"/>
      <c r="AR224" s="652"/>
      <c r="AS224" s="652"/>
      <c r="AT224" s="652">
        <f>I224/8</f>
        <v>300</v>
      </c>
      <c r="AU224" s="652"/>
      <c r="AV224" s="652"/>
      <c r="AW224" s="652"/>
      <c r="AX224" s="652"/>
      <c r="AY224" s="652"/>
      <c r="AZ224" s="652"/>
      <c r="BA224" s="652"/>
      <c r="BB224" s="652"/>
      <c r="BC224" s="652"/>
      <c r="BD224" s="652"/>
      <c r="BE224" s="652"/>
      <c r="BF224" s="652"/>
      <c r="BG224" s="652"/>
      <c r="BH224" s="652"/>
      <c r="BI224" s="652"/>
    </row>
    <row r="225" s="650" customFormat="1" ht="31" customHeight="1" spans="1:108">
      <c r="A225" s="713">
        <v>46122</v>
      </c>
      <c r="B225" s="714" t="s">
        <v>935</v>
      </c>
      <c r="C225" s="715" t="s">
        <v>115</v>
      </c>
      <c r="D225" s="652" t="s">
        <v>4637</v>
      </c>
      <c r="E225" s="1908" t="s">
        <v>4638</v>
      </c>
      <c r="F225" s="652" t="s">
        <v>1170</v>
      </c>
      <c r="G225" s="716" t="s">
        <v>4215</v>
      </c>
      <c r="H225" s="715" t="s">
        <v>483</v>
      </c>
      <c r="I225" s="717">
        <v>4320</v>
      </c>
      <c r="J225" s="715">
        <v>0</v>
      </c>
      <c r="K225" s="715">
        <v>120</v>
      </c>
      <c r="L225" s="718">
        <f t="shared" si="39"/>
        <v>36</v>
      </c>
      <c r="M225" s="719">
        <v>46192</v>
      </c>
      <c r="N225" s="738">
        <v>46206</v>
      </c>
      <c r="O225" s="714"/>
      <c r="P225" s="717" t="s">
        <v>106</v>
      </c>
      <c r="Q225" s="717"/>
      <c r="R225" s="723">
        <v>46155</v>
      </c>
      <c r="S225" s="720" t="s">
        <v>107</v>
      </c>
      <c r="T225" s="720" t="s">
        <v>95</v>
      </c>
      <c r="U225" s="720"/>
      <c r="V225" s="720"/>
      <c r="W225" s="720"/>
      <c r="X225" s="714" t="s">
        <v>937</v>
      </c>
      <c r="Y225" s="719" t="s">
        <v>488</v>
      </c>
      <c r="Z225" s="753">
        <v>642</v>
      </c>
      <c r="AA225" s="722">
        <f t="shared" si="47"/>
        <v>23112</v>
      </c>
      <c r="AB225" s="729" t="s">
        <v>1171</v>
      </c>
      <c r="AC225" s="722" t="s">
        <v>490</v>
      </c>
      <c r="AD225" s="715" t="s">
        <v>112</v>
      </c>
      <c r="AE225" s="715">
        <f t="shared" si="42"/>
        <v>4320</v>
      </c>
      <c r="AF225" s="715" t="s">
        <v>4109</v>
      </c>
      <c r="AG225" s="715">
        <f>192+1296+1134+1296+402</f>
        <v>4320</v>
      </c>
      <c r="AH225" s="715">
        <f t="shared" si="46"/>
        <v>0</v>
      </c>
      <c r="AI225" s="717"/>
      <c r="AJ225" s="715" t="s">
        <v>3981</v>
      </c>
      <c r="AK225" s="652"/>
      <c r="AL225" s="652"/>
      <c r="AM225" s="652"/>
      <c r="AN225" s="652"/>
      <c r="AO225" s="652"/>
      <c r="AP225" s="652"/>
      <c r="AQ225" s="652">
        <f>I225</f>
        <v>4320</v>
      </c>
      <c r="AR225" s="652">
        <f>I225</f>
        <v>4320</v>
      </c>
      <c r="AS225" s="652">
        <f>I225/6</f>
        <v>720</v>
      </c>
      <c r="AT225" s="652"/>
      <c r="AU225" s="652"/>
      <c r="AV225" s="652"/>
      <c r="AW225" s="652"/>
      <c r="AX225" s="652"/>
      <c r="AY225" s="652"/>
      <c r="AZ225" s="652"/>
      <c r="BA225" s="652"/>
      <c r="BB225" s="652"/>
      <c r="BC225" s="652"/>
      <c r="BD225" s="652"/>
      <c r="BE225" s="652"/>
      <c r="BF225" s="652"/>
      <c r="BG225" s="652"/>
      <c r="BH225" s="652"/>
      <c r="BI225" s="652"/>
    </row>
    <row r="226" s="650" customFormat="1" ht="31" customHeight="1" spans="1:108">
      <c r="A226" s="713">
        <v>46122</v>
      </c>
      <c r="B226" s="714" t="s">
        <v>935</v>
      </c>
      <c r="C226" s="715" t="s">
        <v>115</v>
      </c>
      <c r="D226" s="652" t="s">
        <v>4639</v>
      </c>
      <c r="E226" s="1908" t="s">
        <v>4640</v>
      </c>
      <c r="F226" s="652" t="s">
        <v>1172</v>
      </c>
      <c r="G226" s="716" t="s">
        <v>4215</v>
      </c>
      <c r="H226" s="715" t="s">
        <v>483</v>
      </c>
      <c r="I226" s="717">
        <v>4320</v>
      </c>
      <c r="J226" s="715">
        <v>0</v>
      </c>
      <c r="K226" s="715">
        <v>120</v>
      </c>
      <c r="L226" s="718">
        <f t="shared" si="39"/>
        <v>36</v>
      </c>
      <c r="M226" s="719">
        <v>46192</v>
      </c>
      <c r="N226" s="738">
        <v>46207</v>
      </c>
      <c r="O226" s="714"/>
      <c r="P226" s="717" t="s">
        <v>106</v>
      </c>
      <c r="Q226" s="717"/>
      <c r="R226" s="723">
        <v>46155</v>
      </c>
      <c r="S226" s="720" t="s">
        <v>107</v>
      </c>
      <c r="T226" s="720" t="s">
        <v>95</v>
      </c>
      <c r="U226" s="720"/>
      <c r="V226" s="720"/>
      <c r="W226" s="720"/>
      <c r="X226" s="714" t="s">
        <v>937</v>
      </c>
      <c r="Y226" s="719" t="s">
        <v>488</v>
      </c>
      <c r="Z226" s="753">
        <v>642</v>
      </c>
      <c r="AA226" s="722">
        <f t="shared" si="47"/>
        <v>23112</v>
      </c>
      <c r="AB226" s="729" t="s">
        <v>1173</v>
      </c>
      <c r="AC226" s="722" t="s">
        <v>490</v>
      </c>
      <c r="AD226" s="715" t="s">
        <v>112</v>
      </c>
      <c r="AE226" s="715">
        <f t="shared" si="42"/>
        <v>4320</v>
      </c>
      <c r="AF226" s="715" t="s">
        <v>4109</v>
      </c>
      <c r="AG226" s="715">
        <f>1296+144+1152+1728</f>
        <v>4320</v>
      </c>
      <c r="AH226" s="715">
        <f t="shared" si="46"/>
        <v>0</v>
      </c>
      <c r="AI226" s="717"/>
      <c r="AJ226" s="715" t="s">
        <v>3981</v>
      </c>
      <c r="AK226" s="652"/>
      <c r="AL226" s="652"/>
      <c r="AM226" s="652"/>
      <c r="AN226" s="652"/>
      <c r="AO226" s="652"/>
      <c r="AP226" s="652"/>
      <c r="AQ226" s="652">
        <f>I226</f>
        <v>4320</v>
      </c>
      <c r="AR226" s="652">
        <f>I226</f>
        <v>4320</v>
      </c>
      <c r="AS226" s="652">
        <f>I226/6</f>
        <v>720</v>
      </c>
      <c r="AT226" s="652"/>
      <c r="AU226" s="652"/>
      <c r="AV226" s="652"/>
      <c r="AW226" s="652"/>
      <c r="AX226" s="652"/>
      <c r="AY226" s="652"/>
      <c r="AZ226" s="652"/>
      <c r="BA226" s="652"/>
      <c r="BB226" s="652"/>
      <c r="BC226" s="652"/>
      <c r="BD226" s="652"/>
      <c r="BE226" s="652"/>
      <c r="BF226" s="652"/>
      <c r="BG226" s="652"/>
      <c r="BH226" s="652"/>
      <c r="BI226" s="652"/>
    </row>
    <row r="227" s="651" customFormat="1" ht="31" customHeight="1" spans="1:108">
      <c r="A227" s="713">
        <v>46122</v>
      </c>
      <c r="B227" s="714" t="s">
        <v>935</v>
      </c>
      <c r="C227" s="715" t="s">
        <v>115</v>
      </c>
      <c r="D227" s="652" t="s">
        <v>4641</v>
      </c>
      <c r="E227" s="1908" t="s">
        <v>4642</v>
      </c>
      <c r="F227" s="652" t="s">
        <v>1174</v>
      </c>
      <c r="G227" s="716" t="s">
        <v>4215</v>
      </c>
      <c r="H227" s="715" t="s">
        <v>483</v>
      </c>
      <c r="I227" s="717">
        <v>4320</v>
      </c>
      <c r="J227" s="715">
        <v>0</v>
      </c>
      <c r="K227" s="715">
        <v>120</v>
      </c>
      <c r="L227" s="718">
        <f t="shared" si="39"/>
        <v>36</v>
      </c>
      <c r="M227" s="719">
        <v>46192</v>
      </c>
      <c r="N227" s="738">
        <v>46214</v>
      </c>
      <c r="O227" s="714"/>
      <c r="P227" s="717" t="s">
        <v>106</v>
      </c>
      <c r="Q227" s="717"/>
      <c r="R227" s="723">
        <v>46155</v>
      </c>
      <c r="S227" s="720" t="s">
        <v>107</v>
      </c>
      <c r="T227" s="720" t="s">
        <v>95</v>
      </c>
      <c r="U227" s="720"/>
      <c r="V227" s="720"/>
      <c r="W227" s="720"/>
      <c r="X227" s="714" t="s">
        <v>937</v>
      </c>
      <c r="Y227" s="719" t="s">
        <v>488</v>
      </c>
      <c r="Z227" s="753">
        <v>642</v>
      </c>
      <c r="AA227" s="722">
        <f t="shared" si="47"/>
        <v>23112</v>
      </c>
      <c r="AB227" s="729" t="s">
        <v>1175</v>
      </c>
      <c r="AC227" s="722" t="s">
        <v>490</v>
      </c>
      <c r="AD227" s="715" t="s">
        <v>112</v>
      </c>
      <c r="AE227" s="715">
        <f t="shared" si="42"/>
        <v>4320</v>
      </c>
      <c r="AF227" s="715" t="s">
        <v>4109</v>
      </c>
      <c r="AG227" s="715">
        <f>1296+192+1296+960+576</f>
        <v>4320</v>
      </c>
      <c r="AH227" s="715">
        <f t="shared" si="46"/>
        <v>0</v>
      </c>
      <c r="AI227" s="717"/>
      <c r="AJ227" s="715" t="s">
        <v>3981</v>
      </c>
      <c r="AK227" s="652"/>
      <c r="AL227" s="652"/>
      <c r="AM227" s="652"/>
      <c r="AN227" s="652"/>
      <c r="AO227" s="652"/>
      <c r="AP227" s="652"/>
      <c r="AQ227" s="652">
        <f>I227</f>
        <v>4320</v>
      </c>
      <c r="AR227" s="652">
        <f>I227</f>
        <v>4320</v>
      </c>
      <c r="AS227" s="652">
        <f>I227/6</f>
        <v>720</v>
      </c>
      <c r="AT227" s="652"/>
      <c r="AU227" s="652"/>
      <c r="AV227" s="652"/>
      <c r="AW227" s="652"/>
      <c r="AX227" s="652"/>
      <c r="AY227" s="652"/>
      <c r="AZ227" s="652"/>
      <c r="BA227" s="652"/>
      <c r="BB227" s="652"/>
      <c r="BC227" s="652"/>
      <c r="BD227" s="652"/>
      <c r="BE227" s="652"/>
      <c r="BF227" s="652"/>
      <c r="BG227" s="652"/>
      <c r="BH227" s="652"/>
      <c r="BI227" s="652"/>
      <c r="BJ227" s="650"/>
      <c r="BK227" s="650"/>
      <c r="BL227" s="650"/>
      <c r="BM227" s="650"/>
      <c r="BN227" s="650"/>
      <c r="BO227" s="650"/>
      <c r="BP227" s="650"/>
      <c r="BQ227" s="650"/>
      <c r="BR227" s="650"/>
      <c r="BS227" s="650"/>
      <c r="BT227" s="650"/>
      <c r="BU227" s="650"/>
      <c r="BV227" s="650"/>
      <c r="BW227" s="650"/>
      <c r="BX227" s="650"/>
      <c r="BY227" s="650"/>
      <c r="BZ227" s="650"/>
      <c r="CA227" s="650"/>
      <c r="CB227" s="650"/>
      <c r="CC227" s="650"/>
      <c r="CD227" s="650"/>
      <c r="CE227" s="650"/>
      <c r="CF227" s="650"/>
      <c r="CG227" s="650"/>
      <c r="CH227" s="650"/>
      <c r="CI227" s="650"/>
      <c r="CJ227" s="650"/>
      <c r="CK227" s="650"/>
      <c r="CL227" s="650"/>
      <c r="CM227" s="650"/>
      <c r="CN227" s="650"/>
      <c r="CO227" s="650"/>
      <c r="CP227" s="650"/>
      <c r="CQ227" s="650"/>
      <c r="CR227" s="650"/>
      <c r="CS227" s="650"/>
      <c r="CT227" s="650"/>
      <c r="CU227" s="650"/>
      <c r="CV227" s="650"/>
      <c r="CW227" s="650"/>
      <c r="CX227" s="650"/>
      <c r="CY227" s="650"/>
      <c r="CZ227" s="650"/>
      <c r="DA227" s="650"/>
      <c r="DB227" s="650"/>
      <c r="DC227" s="650"/>
      <c r="DD227" s="650"/>
    </row>
    <row r="228" s="651" customFormat="1" ht="31" customHeight="1" spans="1:108">
      <c r="A228" s="713">
        <v>46115</v>
      </c>
      <c r="B228" s="714" t="s">
        <v>877</v>
      </c>
      <c r="C228" s="715" t="s">
        <v>878</v>
      </c>
      <c r="D228" s="652" t="s">
        <v>4643</v>
      </c>
      <c r="E228" s="715" t="s">
        <v>628</v>
      </c>
      <c r="F228" s="652" t="s">
        <v>4644</v>
      </c>
      <c r="G228" s="716" t="s">
        <v>3973</v>
      </c>
      <c r="H228" s="715" t="s">
        <v>3995</v>
      </c>
      <c r="I228" s="717">
        <v>512</v>
      </c>
      <c r="J228" s="715">
        <v>0</v>
      </c>
      <c r="K228" s="715">
        <v>16</v>
      </c>
      <c r="L228" s="715">
        <f t="shared" si="39"/>
        <v>32</v>
      </c>
      <c r="M228" s="719">
        <v>46193</v>
      </c>
      <c r="N228" s="719">
        <v>46189</v>
      </c>
      <c r="O228" s="714"/>
      <c r="P228" s="717" t="s">
        <v>106</v>
      </c>
      <c r="Q228" s="717"/>
      <c r="R228" s="723">
        <v>46125</v>
      </c>
      <c r="S228" s="720" t="s">
        <v>107</v>
      </c>
      <c r="T228" s="720" t="s">
        <v>4645</v>
      </c>
      <c r="U228" s="720"/>
      <c r="V228" s="720" t="s">
        <v>4347</v>
      </c>
      <c r="W228" s="720"/>
      <c r="X228" s="720" t="s">
        <v>881</v>
      </c>
      <c r="Y228" s="719" t="s">
        <v>659</v>
      </c>
      <c r="Z228" s="730">
        <v>4.355</v>
      </c>
      <c r="AA228" s="652">
        <f t="shared" si="47"/>
        <v>139.36</v>
      </c>
      <c r="AB228" s="721"/>
      <c r="AC228" s="722" t="s">
        <v>3973</v>
      </c>
      <c r="AD228" s="715" t="s">
        <v>112</v>
      </c>
      <c r="AE228" s="715">
        <f t="shared" si="42"/>
        <v>512</v>
      </c>
      <c r="AF228" s="715"/>
      <c r="AG228" s="715">
        <v>512</v>
      </c>
      <c r="AH228" s="715">
        <f t="shared" si="46"/>
        <v>0</v>
      </c>
      <c r="AI228" s="715"/>
      <c r="AJ228" s="715" t="s">
        <v>3981</v>
      </c>
      <c r="AK228" s="652">
        <f>I228</f>
        <v>512</v>
      </c>
      <c r="AL228" s="652"/>
      <c r="AM228" s="652"/>
      <c r="AN228" s="652">
        <f t="shared" ref="AN228:AN242" si="48">I228</f>
        <v>512</v>
      </c>
      <c r="AO228" s="652"/>
      <c r="AP228" s="652"/>
      <c r="AQ228" s="652"/>
      <c r="AR228" s="652"/>
      <c r="AS228" s="652"/>
      <c r="AT228" s="652">
        <f>I228/8</f>
        <v>64</v>
      </c>
      <c r="AU228" s="652"/>
      <c r="AV228" s="652"/>
      <c r="AW228" s="652"/>
      <c r="AX228" s="652"/>
      <c r="AY228" s="652"/>
      <c r="AZ228" s="652"/>
      <c r="BA228" s="652"/>
      <c r="BB228" s="652"/>
      <c r="BC228" s="652"/>
      <c r="BD228" s="652"/>
      <c r="BE228" s="652"/>
      <c r="BF228" s="652"/>
      <c r="BG228" s="652"/>
      <c r="BH228" s="652"/>
      <c r="BI228" s="652"/>
      <c r="BJ228" s="731"/>
      <c r="BK228" s="731"/>
      <c r="BL228" s="731"/>
      <c r="BM228" s="731"/>
      <c r="BN228" s="731"/>
      <c r="BO228" s="731"/>
      <c r="BP228" s="731"/>
      <c r="BQ228" s="731"/>
      <c r="BR228" s="731"/>
      <c r="BS228" s="731"/>
      <c r="BT228" s="731"/>
      <c r="BU228" s="731"/>
      <c r="BV228" s="731"/>
      <c r="BW228" s="731"/>
      <c r="BX228" s="731"/>
      <c r="BY228" s="731"/>
      <c r="BZ228" s="731"/>
      <c r="CA228" s="731"/>
      <c r="CB228" s="731"/>
      <c r="CC228" s="731"/>
      <c r="CD228" s="731"/>
      <c r="CE228" s="731"/>
      <c r="CF228" s="731"/>
      <c r="CG228" s="731"/>
      <c r="CH228" s="731"/>
      <c r="CI228" s="731"/>
      <c r="CJ228" s="731"/>
      <c r="CK228" s="731"/>
      <c r="CL228" s="731"/>
      <c r="CM228" s="731"/>
      <c r="CN228" s="731"/>
      <c r="CO228" s="731"/>
      <c r="CP228" s="731"/>
      <c r="CQ228" s="731"/>
      <c r="CR228" s="731"/>
      <c r="CS228" s="650"/>
      <c r="CT228" s="650"/>
      <c r="CU228" s="650"/>
      <c r="CV228" s="650"/>
      <c r="CW228" s="650"/>
      <c r="CX228" s="650"/>
      <c r="CY228" s="650"/>
      <c r="CZ228" s="650"/>
      <c r="DA228" s="650"/>
      <c r="DB228" s="650"/>
      <c r="DC228" s="650"/>
      <c r="DD228" s="650"/>
    </row>
    <row r="229" s="651" customFormat="1" ht="31" customHeight="1" spans="1:108">
      <c r="A229" s="713">
        <v>46190</v>
      </c>
      <c r="B229" s="714" t="s">
        <v>147</v>
      </c>
      <c r="C229" s="715" t="s">
        <v>148</v>
      </c>
      <c r="D229" s="652" t="s">
        <v>4646</v>
      </c>
      <c r="E229" s="715" t="s">
        <v>4647</v>
      </c>
      <c r="F229" s="652" t="s">
        <v>4648</v>
      </c>
      <c r="G229" s="716" t="s">
        <v>3973</v>
      </c>
      <c r="H229" s="715" t="s">
        <v>3995</v>
      </c>
      <c r="I229" s="717">
        <v>2400</v>
      </c>
      <c r="J229" s="715">
        <v>0</v>
      </c>
      <c r="K229" s="715">
        <v>16</v>
      </c>
      <c r="L229" s="715">
        <f t="shared" si="39"/>
        <v>150</v>
      </c>
      <c r="M229" s="719">
        <v>46195</v>
      </c>
      <c r="N229" s="719">
        <v>46191</v>
      </c>
      <c r="O229" s="717" t="s">
        <v>1184</v>
      </c>
      <c r="P229" s="717" t="s">
        <v>106</v>
      </c>
      <c r="Q229" s="717"/>
      <c r="R229" s="723" t="s">
        <v>1185</v>
      </c>
      <c r="S229" s="720" t="s">
        <v>107</v>
      </c>
      <c r="T229" s="720" t="s">
        <v>95</v>
      </c>
      <c r="U229" s="720"/>
      <c r="V229" s="720"/>
      <c r="W229" s="720"/>
      <c r="X229" s="720" t="s">
        <v>4649</v>
      </c>
      <c r="Y229" s="719" t="s">
        <v>1142</v>
      </c>
      <c r="Z229" s="730">
        <v>4.8429</v>
      </c>
      <c r="AA229" s="652">
        <f>I229*Z229</f>
        <v>11622.96</v>
      </c>
      <c r="AB229" s="721"/>
      <c r="AC229" s="722" t="s">
        <v>4108</v>
      </c>
      <c r="AD229" s="715" t="s">
        <v>112</v>
      </c>
      <c r="AE229" s="715">
        <f t="shared" si="42"/>
        <v>2400</v>
      </c>
      <c r="AF229" s="715"/>
      <c r="AG229" s="715">
        <v>2400</v>
      </c>
      <c r="AH229" s="715">
        <f t="shared" si="46"/>
        <v>0</v>
      </c>
      <c r="AI229" s="717"/>
      <c r="AJ229" s="715" t="s">
        <v>3981</v>
      </c>
      <c r="AK229" s="652"/>
      <c r="AL229" s="652">
        <f>I229</f>
        <v>2400</v>
      </c>
      <c r="AM229" s="652"/>
      <c r="AN229" s="652">
        <f t="shared" si="48"/>
        <v>2400</v>
      </c>
      <c r="AO229" s="652"/>
      <c r="AP229" s="652"/>
      <c r="AQ229" s="652"/>
      <c r="AR229" s="652"/>
      <c r="AS229" s="652"/>
      <c r="AT229" s="652"/>
      <c r="AU229" s="652">
        <f>I229/8</f>
        <v>300</v>
      </c>
      <c r="AV229" s="652"/>
      <c r="AW229" s="652"/>
      <c r="AX229" s="652"/>
      <c r="AY229" s="652"/>
      <c r="AZ229" s="652"/>
      <c r="BA229" s="652"/>
      <c r="BB229" s="652"/>
      <c r="BC229" s="652"/>
      <c r="BD229" s="652"/>
      <c r="BE229" s="652"/>
      <c r="BF229" s="652"/>
      <c r="BG229" s="652"/>
      <c r="BH229" s="652"/>
      <c r="BI229" s="652"/>
      <c r="BJ229" s="650"/>
      <c r="BK229" s="650"/>
      <c r="BL229" s="650"/>
      <c r="BM229" s="650"/>
      <c r="BN229" s="650"/>
      <c r="BO229" s="650"/>
      <c r="BP229" s="650"/>
      <c r="BQ229" s="650"/>
      <c r="BR229" s="650"/>
      <c r="BS229" s="650"/>
      <c r="BT229" s="650"/>
      <c r="BU229" s="650"/>
      <c r="BV229" s="650"/>
      <c r="BW229" s="650"/>
      <c r="BX229" s="650"/>
      <c r="BY229" s="650"/>
      <c r="BZ229" s="650"/>
      <c r="CA229" s="650"/>
      <c r="CB229" s="650"/>
      <c r="CC229" s="650"/>
      <c r="CD229" s="650"/>
      <c r="CE229" s="650"/>
      <c r="CF229" s="650"/>
      <c r="CG229" s="650"/>
      <c r="CH229" s="650"/>
      <c r="CI229" s="650"/>
      <c r="CJ229" s="650"/>
      <c r="CK229" s="650"/>
      <c r="CL229" s="650"/>
      <c r="CM229" s="650"/>
      <c r="CN229" s="650"/>
      <c r="CO229" s="650"/>
      <c r="CP229" s="650"/>
      <c r="CQ229" s="650"/>
      <c r="CR229" s="650"/>
      <c r="CS229" s="650"/>
      <c r="CT229" s="650"/>
      <c r="CU229" s="650"/>
      <c r="CV229" s="650"/>
      <c r="CW229" s="650"/>
      <c r="CX229" s="650"/>
      <c r="CY229" s="650"/>
      <c r="CZ229" s="650"/>
      <c r="DA229" s="650"/>
      <c r="DB229" s="650"/>
      <c r="DC229" s="650"/>
      <c r="DD229" s="650"/>
    </row>
    <row r="230" s="650" customFormat="1" ht="31" customHeight="1" spans="1:108">
      <c r="A230" s="713">
        <v>46115</v>
      </c>
      <c r="B230" s="714" t="s">
        <v>1233</v>
      </c>
      <c r="C230" s="715" t="s">
        <v>1234</v>
      </c>
      <c r="D230" s="652" t="s">
        <v>4650</v>
      </c>
      <c r="E230" s="715" t="s">
        <v>628</v>
      </c>
      <c r="F230" s="652" t="s">
        <v>4651</v>
      </c>
      <c r="G230" s="716" t="s">
        <v>3973</v>
      </c>
      <c r="H230" s="715" t="s">
        <v>3995</v>
      </c>
      <c r="I230" s="717">
        <v>480</v>
      </c>
      <c r="J230" s="715">
        <v>0</v>
      </c>
      <c r="K230" s="715">
        <v>16</v>
      </c>
      <c r="L230" s="715">
        <f t="shared" si="39"/>
        <v>30</v>
      </c>
      <c r="M230" s="719">
        <v>46195</v>
      </c>
      <c r="N230" s="719">
        <v>46191</v>
      </c>
      <c r="O230" s="714"/>
      <c r="P230" s="717" t="s">
        <v>106</v>
      </c>
      <c r="Q230" s="717"/>
      <c r="R230" s="723">
        <v>46162</v>
      </c>
      <c r="S230" s="720" t="s">
        <v>107</v>
      </c>
      <c r="T230" s="720" t="s">
        <v>1237</v>
      </c>
      <c r="U230" s="720"/>
      <c r="V230" s="720" t="s">
        <v>4347</v>
      </c>
      <c r="W230" s="720"/>
      <c r="X230" s="720" t="s">
        <v>4652</v>
      </c>
      <c r="Y230" s="719" t="s">
        <v>295</v>
      </c>
      <c r="Z230" s="730">
        <v>4.355</v>
      </c>
      <c r="AA230" s="652">
        <f>L230*Z230</f>
        <v>130.65</v>
      </c>
      <c r="AB230" s="721"/>
      <c r="AC230" s="652" t="s">
        <v>4108</v>
      </c>
      <c r="AD230" s="715" t="s">
        <v>112</v>
      </c>
      <c r="AE230" s="715">
        <f t="shared" si="42"/>
        <v>480</v>
      </c>
      <c r="AF230" s="715"/>
      <c r="AG230" s="715">
        <v>480</v>
      </c>
      <c r="AH230" s="715">
        <f t="shared" si="46"/>
        <v>0</v>
      </c>
      <c r="AI230" s="717"/>
      <c r="AJ230" s="715" t="s">
        <v>3981</v>
      </c>
      <c r="AK230" s="652"/>
      <c r="AL230" s="652">
        <f>I230</f>
        <v>480</v>
      </c>
      <c r="AM230" s="652"/>
      <c r="AN230" s="652">
        <f t="shared" si="48"/>
        <v>480</v>
      </c>
      <c r="AO230" s="652"/>
      <c r="AP230" s="652"/>
      <c r="AQ230" s="652"/>
      <c r="AR230" s="652"/>
      <c r="AS230" s="652"/>
      <c r="AT230" s="652"/>
      <c r="AU230" s="652">
        <f>I230/8</f>
        <v>60</v>
      </c>
      <c r="AV230" s="652"/>
      <c r="AW230" s="652"/>
      <c r="AX230" s="652"/>
      <c r="AY230" s="652"/>
      <c r="AZ230" s="652"/>
      <c r="BA230" s="652"/>
      <c r="BB230" s="652"/>
      <c r="BC230" s="652"/>
      <c r="BD230" s="652"/>
      <c r="BE230" s="652"/>
      <c r="BF230" s="652"/>
      <c r="BG230" s="652"/>
      <c r="BH230" s="652"/>
      <c r="BI230" s="652"/>
      <c r="BJ230" s="724"/>
      <c r="BK230" s="724"/>
      <c r="BL230" s="724"/>
      <c r="BM230" s="724"/>
      <c r="BN230" s="724"/>
      <c r="BO230" s="724"/>
      <c r="BP230" s="724"/>
      <c r="BQ230" s="724"/>
      <c r="BR230" s="724"/>
      <c r="BS230" s="724"/>
      <c r="BT230" s="724"/>
      <c r="BU230" s="724"/>
      <c r="BV230" s="724"/>
      <c r="BW230" s="724"/>
      <c r="BX230" s="724"/>
      <c r="BY230" s="724"/>
      <c r="BZ230" s="724"/>
      <c r="CA230" s="724"/>
      <c r="CB230" s="724"/>
      <c r="CC230" s="724"/>
      <c r="CD230" s="724"/>
      <c r="CE230" s="724"/>
      <c r="CF230" s="724"/>
      <c r="CG230" s="724"/>
      <c r="CH230" s="724"/>
      <c r="CI230" s="724"/>
      <c r="CJ230" s="724"/>
      <c r="CK230" s="724"/>
      <c r="CL230" s="724"/>
      <c r="CM230" s="724"/>
      <c r="CN230" s="724"/>
      <c r="CO230" s="724"/>
      <c r="CP230" s="724"/>
      <c r="CQ230" s="724"/>
      <c r="CR230" s="724"/>
    </row>
    <row r="231" s="650" customFormat="1" ht="31" customHeight="1" spans="1:108">
      <c r="A231" s="713">
        <v>46134</v>
      </c>
      <c r="B231" s="745" t="s">
        <v>890</v>
      </c>
      <c r="C231" s="746" t="s">
        <v>891</v>
      </c>
      <c r="D231" s="747" t="s">
        <v>4653</v>
      </c>
      <c r="E231" s="746" t="s">
        <v>4654</v>
      </c>
      <c r="F231" s="747" t="s">
        <v>4655</v>
      </c>
      <c r="G231" s="746" t="s">
        <v>4028</v>
      </c>
      <c r="H231" s="746" t="s">
        <v>3978</v>
      </c>
      <c r="I231" s="748">
        <v>1872</v>
      </c>
      <c r="J231" s="746">
        <v>0</v>
      </c>
      <c r="K231" s="746">
        <v>8</v>
      </c>
      <c r="L231" s="715">
        <f t="shared" si="39"/>
        <v>234</v>
      </c>
      <c r="M231" s="719">
        <v>46195</v>
      </c>
      <c r="N231" s="719">
        <v>46191</v>
      </c>
      <c r="O231" s="714"/>
      <c r="P231" s="717" t="s">
        <v>106</v>
      </c>
      <c r="Q231" s="717"/>
      <c r="R231" s="723">
        <v>46168</v>
      </c>
      <c r="S231" s="720" t="s">
        <v>107</v>
      </c>
      <c r="T231" s="720" t="s">
        <v>4512</v>
      </c>
      <c r="U231" s="720"/>
      <c r="V231" s="720" t="s">
        <v>4011</v>
      </c>
      <c r="W231" s="720"/>
      <c r="X231" s="714" t="s">
        <v>4656</v>
      </c>
      <c r="Y231" s="749" t="s">
        <v>895</v>
      </c>
      <c r="Z231" s="750">
        <v>4.5779</v>
      </c>
      <c r="AA231" s="652">
        <f>L231*Z231</f>
        <v>1071.2286</v>
      </c>
      <c r="AB231" s="721"/>
      <c r="AC231" s="722" t="s">
        <v>4031</v>
      </c>
      <c r="AD231" s="715" t="s">
        <v>112</v>
      </c>
      <c r="AE231" s="715">
        <f t="shared" si="42"/>
        <v>1872</v>
      </c>
      <c r="AF231" s="715"/>
      <c r="AG231" s="715">
        <v>1872</v>
      </c>
      <c r="AH231" s="715">
        <f t="shared" si="46"/>
        <v>0</v>
      </c>
      <c r="AI231" s="717"/>
      <c r="AJ231" s="715" t="s">
        <v>3981</v>
      </c>
      <c r="AK231" s="652"/>
      <c r="AL231" s="652">
        <f>I231</f>
        <v>1872</v>
      </c>
      <c r="AM231" s="652"/>
      <c r="AN231" s="652">
        <f t="shared" si="48"/>
        <v>1872</v>
      </c>
      <c r="AO231" s="652"/>
      <c r="AP231" s="652"/>
      <c r="AQ231" s="652"/>
      <c r="AR231" s="652"/>
      <c r="AS231" s="652"/>
      <c r="AT231" s="652"/>
      <c r="AU231" s="652">
        <f>I231/8</f>
        <v>234</v>
      </c>
      <c r="AV231" s="652"/>
      <c r="AW231" s="652"/>
      <c r="AX231" s="652"/>
      <c r="AY231" s="652"/>
      <c r="AZ231" s="652"/>
      <c r="BA231" s="652"/>
      <c r="BB231" s="652"/>
      <c r="BC231" s="652"/>
      <c r="BD231" s="652"/>
      <c r="BE231" s="652"/>
      <c r="BF231" s="652"/>
      <c r="BG231" s="652"/>
      <c r="BH231" s="652"/>
      <c r="BI231" s="652"/>
    </row>
    <row r="232" s="650" customFormat="1" ht="31" customHeight="1" spans="1:108">
      <c r="A232" s="713">
        <v>46126</v>
      </c>
      <c r="B232" s="714" t="s">
        <v>1028</v>
      </c>
      <c r="C232" s="715" t="s">
        <v>115</v>
      </c>
      <c r="D232" s="652">
        <v>4500201308</v>
      </c>
      <c r="E232" s="715" t="s">
        <v>1029</v>
      </c>
      <c r="F232" s="652" t="s">
        <v>4657</v>
      </c>
      <c r="G232" s="746" t="s">
        <v>4028</v>
      </c>
      <c r="H232" s="715" t="s">
        <v>3978</v>
      </c>
      <c r="I232" s="717">
        <v>400</v>
      </c>
      <c r="J232" s="715">
        <v>0</v>
      </c>
      <c r="K232" s="715">
        <v>8</v>
      </c>
      <c r="L232" s="715">
        <f t="shared" si="39"/>
        <v>50</v>
      </c>
      <c r="M232" s="738">
        <v>46195</v>
      </c>
      <c r="N232" s="738">
        <f>M232-4</f>
        <v>46191</v>
      </c>
      <c r="O232" s="714" t="s">
        <v>4109</v>
      </c>
      <c r="P232" s="717" t="s">
        <v>106</v>
      </c>
      <c r="Q232" s="717" t="s">
        <v>4658</v>
      </c>
      <c r="R232" s="723">
        <v>46126</v>
      </c>
      <c r="S232" s="720" t="s">
        <v>95</v>
      </c>
      <c r="T232" s="720" t="s">
        <v>95</v>
      </c>
      <c r="U232" s="720"/>
      <c r="V232" s="720"/>
      <c r="W232" s="720"/>
      <c r="X232" s="720" t="s">
        <v>1031</v>
      </c>
      <c r="Y232" s="719" t="s">
        <v>1032</v>
      </c>
      <c r="Z232" s="730">
        <v>2.7529</v>
      </c>
      <c r="AA232" s="652">
        <f>L232*Z232</f>
        <v>137.645</v>
      </c>
      <c r="AB232" s="729" t="s">
        <v>4659</v>
      </c>
      <c r="AC232" s="722" t="s">
        <v>3980</v>
      </c>
      <c r="AD232" s="715" t="s">
        <v>112</v>
      </c>
      <c r="AE232" s="715">
        <f t="shared" si="42"/>
        <v>400</v>
      </c>
      <c r="AF232" s="715"/>
      <c r="AG232" s="715">
        <v>400</v>
      </c>
      <c r="AH232" s="715">
        <f t="shared" si="46"/>
        <v>0</v>
      </c>
      <c r="AI232" s="717"/>
      <c r="AJ232" s="715" t="s">
        <v>3981</v>
      </c>
      <c r="AK232" s="652">
        <f>I232</f>
        <v>400</v>
      </c>
      <c r="AL232" s="652"/>
      <c r="AM232" s="652"/>
      <c r="AN232" s="652">
        <f t="shared" si="48"/>
        <v>400</v>
      </c>
      <c r="AO232" s="652"/>
      <c r="AP232" s="652"/>
      <c r="AQ232" s="652"/>
      <c r="AR232" s="652"/>
      <c r="AS232" s="652"/>
      <c r="AT232" s="652">
        <f>I232/8</f>
        <v>50</v>
      </c>
      <c r="AU232" s="652"/>
      <c r="AV232" s="652"/>
      <c r="AW232" s="652"/>
      <c r="AX232" s="652"/>
      <c r="AY232" s="652"/>
      <c r="AZ232" s="652"/>
      <c r="BA232" s="652"/>
      <c r="BB232" s="652"/>
      <c r="BC232" s="652"/>
      <c r="BD232" s="652"/>
      <c r="BE232" s="652"/>
      <c r="BF232" s="652"/>
      <c r="BG232" s="652"/>
      <c r="BH232" s="652"/>
      <c r="BI232" s="652"/>
    </row>
    <row r="233" s="650" customFormat="1" ht="31" customHeight="1" spans="1:108">
      <c r="A233" s="713">
        <v>46134</v>
      </c>
      <c r="B233" s="714" t="s">
        <v>1192</v>
      </c>
      <c r="C233" s="715" t="s">
        <v>148</v>
      </c>
      <c r="D233" s="652" t="s">
        <v>4660</v>
      </c>
      <c r="E233" s="715" t="s">
        <v>4661</v>
      </c>
      <c r="F233" s="652" t="s">
        <v>4662</v>
      </c>
      <c r="G233" s="716" t="s">
        <v>3973</v>
      </c>
      <c r="H233" s="715" t="s">
        <v>3995</v>
      </c>
      <c r="I233" s="717">
        <v>160</v>
      </c>
      <c r="J233" s="715">
        <v>0</v>
      </c>
      <c r="K233" s="715">
        <v>16</v>
      </c>
      <c r="L233" s="715">
        <f t="shared" si="39"/>
        <v>10</v>
      </c>
      <c r="M233" s="738">
        <v>46195</v>
      </c>
      <c r="N233" s="738">
        <v>46191</v>
      </c>
      <c r="O233" s="714" t="s">
        <v>4663</v>
      </c>
      <c r="P233" s="761" t="s">
        <v>106</v>
      </c>
      <c r="Q233" s="717"/>
      <c r="R233" s="723">
        <v>46154</v>
      </c>
      <c r="S233" s="720" t="s">
        <v>107</v>
      </c>
      <c r="T233" s="720" t="s">
        <v>4664</v>
      </c>
      <c r="U233" s="720"/>
      <c r="V233" s="720" t="s">
        <v>4665</v>
      </c>
      <c r="W233" s="720"/>
      <c r="X233" s="714" t="s">
        <v>4666</v>
      </c>
      <c r="Y233" s="719" t="s">
        <v>263</v>
      </c>
      <c r="Z233" s="730">
        <v>4.5471</v>
      </c>
      <c r="AA233" s="652">
        <f>L233*Z233</f>
        <v>45.471</v>
      </c>
      <c r="AB233" s="721"/>
      <c r="AC233" s="722" t="s">
        <v>3999</v>
      </c>
      <c r="AD233" s="715" t="s">
        <v>112</v>
      </c>
      <c r="AE233" s="715">
        <f t="shared" si="42"/>
        <v>160</v>
      </c>
      <c r="AF233" s="715"/>
      <c r="AG233" s="715">
        <v>160</v>
      </c>
      <c r="AH233" s="715">
        <f t="shared" si="46"/>
        <v>0</v>
      </c>
      <c r="AI233" s="717"/>
      <c r="AJ233" s="715" t="s">
        <v>3981</v>
      </c>
      <c r="AK233" s="652"/>
      <c r="AL233" s="652"/>
      <c r="AM233" s="652">
        <f>I233</f>
        <v>160</v>
      </c>
      <c r="AN233" s="652">
        <f t="shared" si="48"/>
        <v>160</v>
      </c>
      <c r="AO233" s="652"/>
      <c r="AP233" s="652"/>
      <c r="AQ233" s="652"/>
      <c r="AR233" s="652"/>
      <c r="AS233" s="652"/>
      <c r="AT233" s="652"/>
      <c r="AU233" s="652">
        <f>I233/8</f>
        <v>20</v>
      </c>
      <c r="AV233" s="652"/>
      <c r="AW233" s="652"/>
      <c r="AX233" s="652"/>
      <c r="AY233" s="652"/>
      <c r="AZ233" s="652"/>
      <c r="BA233" s="652"/>
      <c r="BB233" s="652"/>
      <c r="BC233" s="652"/>
      <c r="BD233" s="652"/>
      <c r="BE233" s="652"/>
      <c r="BF233" s="652"/>
      <c r="BG233" s="652"/>
      <c r="BH233" s="652"/>
      <c r="BI233" s="652"/>
    </row>
    <row r="234" s="650" customFormat="1" ht="31" customHeight="1" spans="1:108">
      <c r="A234" s="713">
        <v>46122</v>
      </c>
      <c r="B234" s="714" t="s">
        <v>4667</v>
      </c>
      <c r="C234" s="715" t="s">
        <v>508</v>
      </c>
      <c r="D234" s="652">
        <v>4500201129</v>
      </c>
      <c r="E234" s="715">
        <v>2617887</v>
      </c>
      <c r="F234" s="652" t="s">
        <v>4668</v>
      </c>
      <c r="G234" s="716" t="s">
        <v>3980</v>
      </c>
      <c r="H234" s="715" t="s">
        <v>3978</v>
      </c>
      <c r="I234" s="717">
        <v>1504</v>
      </c>
      <c r="J234" s="715">
        <v>0</v>
      </c>
      <c r="K234" s="715">
        <v>8</v>
      </c>
      <c r="L234" s="715">
        <f t="shared" si="39"/>
        <v>188</v>
      </c>
      <c r="M234" s="738">
        <v>46195</v>
      </c>
      <c r="N234" s="738">
        <v>46191</v>
      </c>
      <c r="O234" s="714"/>
      <c r="P234" s="761" t="s">
        <v>106</v>
      </c>
      <c r="Q234" s="717"/>
      <c r="R234" s="723">
        <v>46122</v>
      </c>
      <c r="S234" s="720" t="s">
        <v>107</v>
      </c>
      <c r="T234" s="720" t="s">
        <v>4669</v>
      </c>
      <c r="U234" s="720"/>
      <c r="V234" s="720" t="s">
        <v>4056</v>
      </c>
      <c r="W234" s="720"/>
      <c r="X234" s="720" t="s">
        <v>4670</v>
      </c>
      <c r="Y234" s="719" t="s">
        <v>4671</v>
      </c>
      <c r="Z234" s="730">
        <v>4.6573</v>
      </c>
      <c r="AA234" s="652">
        <f>Z234*I234</f>
        <v>7004.5792</v>
      </c>
      <c r="AB234" s="721"/>
      <c r="AC234" s="722" t="s">
        <v>3980</v>
      </c>
      <c r="AD234" s="715" t="s">
        <v>112</v>
      </c>
      <c r="AE234" s="715">
        <f t="shared" si="42"/>
        <v>1504</v>
      </c>
      <c r="AF234" s="715"/>
      <c r="AG234" s="715">
        <v>1504</v>
      </c>
      <c r="AH234" s="715">
        <f t="shared" si="46"/>
        <v>0</v>
      </c>
      <c r="AI234" s="717"/>
      <c r="AJ234" s="715" t="s">
        <v>3981</v>
      </c>
      <c r="AK234" s="652">
        <f>I234</f>
        <v>1504</v>
      </c>
      <c r="AL234" s="652"/>
      <c r="AM234" s="652"/>
      <c r="AN234" s="652">
        <f t="shared" si="48"/>
        <v>1504</v>
      </c>
      <c r="AO234" s="652"/>
      <c r="AP234" s="652"/>
      <c r="AQ234" s="652"/>
      <c r="AR234" s="652"/>
      <c r="AS234" s="652"/>
      <c r="AT234" s="652"/>
      <c r="AU234" s="652"/>
      <c r="AV234" s="652"/>
      <c r="AW234" s="652"/>
      <c r="AX234" s="652">
        <f>I234/8</f>
        <v>188</v>
      </c>
      <c r="AY234" s="652"/>
      <c r="AZ234" s="652"/>
      <c r="BA234" s="652"/>
      <c r="BB234" s="652"/>
      <c r="BC234" s="652"/>
      <c r="BD234" s="652"/>
      <c r="BE234" s="652"/>
      <c r="BF234" s="652"/>
      <c r="BG234" s="652"/>
      <c r="BH234" s="652"/>
      <c r="BI234" s="652"/>
      <c r="BJ234" s="651"/>
      <c r="BK234" s="651"/>
      <c r="BL234" s="651"/>
      <c r="BM234" s="651"/>
      <c r="BN234" s="651"/>
      <c r="BO234" s="651"/>
      <c r="BP234" s="651"/>
      <c r="BQ234" s="651"/>
      <c r="BR234" s="651"/>
      <c r="BS234" s="651"/>
      <c r="BT234" s="651"/>
      <c r="BU234" s="651"/>
      <c r="BV234" s="651"/>
      <c r="BW234" s="651"/>
      <c r="BX234" s="651"/>
      <c r="BY234" s="651"/>
      <c r="BZ234" s="651"/>
      <c r="CA234" s="651"/>
      <c r="CB234" s="651"/>
      <c r="CC234" s="651"/>
      <c r="CD234" s="651"/>
      <c r="CE234" s="651"/>
      <c r="CF234" s="651"/>
      <c r="CG234" s="651"/>
      <c r="CH234" s="651"/>
      <c r="CI234" s="651"/>
      <c r="CJ234" s="651"/>
      <c r="CK234" s="651"/>
      <c r="CL234" s="651"/>
      <c r="CM234" s="651"/>
      <c r="CN234" s="651"/>
      <c r="CO234" s="651"/>
      <c r="CP234" s="651"/>
      <c r="CQ234" s="651"/>
      <c r="CR234" s="651"/>
    </row>
    <row r="235" s="650" customFormat="1" ht="31" customHeight="1" spans="1:108">
      <c r="A235" s="713">
        <v>46121</v>
      </c>
      <c r="B235" s="714" t="s">
        <v>1219</v>
      </c>
      <c r="C235" s="715" t="s">
        <v>627</v>
      </c>
      <c r="D235" s="652">
        <v>4500200614</v>
      </c>
      <c r="E235" s="715" t="s">
        <v>628</v>
      </c>
      <c r="F235" s="652" t="s">
        <v>4672</v>
      </c>
      <c r="G235" s="716" t="s">
        <v>3973</v>
      </c>
      <c r="H235" s="715" t="s">
        <v>3995</v>
      </c>
      <c r="I235" s="717">
        <v>1600</v>
      </c>
      <c r="J235" s="715">
        <v>0</v>
      </c>
      <c r="K235" s="715">
        <v>16</v>
      </c>
      <c r="L235" s="715">
        <f t="shared" si="39"/>
        <v>100</v>
      </c>
      <c r="M235" s="719">
        <v>46195</v>
      </c>
      <c r="N235" s="719">
        <f>M235-4</f>
        <v>46191</v>
      </c>
      <c r="O235" s="714"/>
      <c r="P235" s="761" t="s">
        <v>106</v>
      </c>
      <c r="Q235" s="717"/>
      <c r="R235" s="723">
        <v>46154</v>
      </c>
      <c r="S235" s="720" t="s">
        <v>95</v>
      </c>
      <c r="T235" s="720" t="s">
        <v>1223</v>
      </c>
      <c r="U235" s="720"/>
      <c r="V235" s="720"/>
      <c r="W235" s="720"/>
      <c r="X235" s="720" t="s">
        <v>4673</v>
      </c>
      <c r="Y235" s="719" t="s">
        <v>1225</v>
      </c>
      <c r="Z235" s="730">
        <v>4.355</v>
      </c>
      <c r="AA235" s="652">
        <f>L235*Z235</f>
        <v>435.5</v>
      </c>
      <c r="AB235" s="721"/>
      <c r="AC235" s="652" t="s">
        <v>4108</v>
      </c>
      <c r="AD235" s="715" t="s">
        <v>112</v>
      </c>
      <c r="AE235" s="715">
        <f t="shared" si="42"/>
        <v>1600</v>
      </c>
      <c r="AF235" s="715"/>
      <c r="AG235" s="715">
        <v>1600</v>
      </c>
      <c r="AH235" s="715">
        <f t="shared" si="46"/>
        <v>0</v>
      </c>
      <c r="AI235" s="717"/>
      <c r="AJ235" s="715" t="s">
        <v>3981</v>
      </c>
      <c r="AK235" s="652"/>
      <c r="AL235" s="652">
        <f>I235</f>
        <v>1600</v>
      </c>
      <c r="AM235" s="652"/>
      <c r="AN235" s="652">
        <f t="shared" si="48"/>
        <v>1600</v>
      </c>
      <c r="AO235" s="652"/>
      <c r="AP235" s="652"/>
      <c r="AQ235" s="652"/>
      <c r="AR235" s="652"/>
      <c r="AS235" s="652"/>
      <c r="AT235" s="652"/>
      <c r="AU235" s="652">
        <f>I235/8</f>
        <v>200</v>
      </c>
      <c r="AV235" s="652"/>
      <c r="AW235" s="652"/>
      <c r="AX235" s="652"/>
      <c r="AY235" s="652"/>
      <c r="AZ235" s="652"/>
      <c r="BA235" s="652"/>
      <c r="BB235" s="652"/>
      <c r="BC235" s="652"/>
      <c r="BD235" s="652"/>
      <c r="BE235" s="652"/>
      <c r="BF235" s="652"/>
      <c r="BG235" s="652"/>
      <c r="BH235" s="652"/>
      <c r="BI235" s="652"/>
      <c r="BJ235" s="731"/>
      <c r="BK235" s="731"/>
      <c r="BL235" s="731"/>
      <c r="BM235" s="731"/>
      <c r="BN235" s="731"/>
      <c r="BO235" s="731"/>
      <c r="BP235" s="731"/>
      <c r="BQ235" s="731"/>
      <c r="BR235" s="731"/>
      <c r="BS235" s="731"/>
      <c r="BT235" s="731"/>
      <c r="BU235" s="731"/>
      <c r="BV235" s="731"/>
      <c r="BW235" s="731"/>
      <c r="BX235" s="731"/>
      <c r="BY235" s="731"/>
      <c r="BZ235" s="731"/>
      <c r="CA235" s="731"/>
      <c r="CB235" s="731"/>
      <c r="CC235" s="731"/>
      <c r="CD235" s="731"/>
      <c r="CE235" s="731"/>
      <c r="CF235" s="731"/>
      <c r="CG235" s="731"/>
      <c r="CH235" s="731"/>
      <c r="CI235" s="731"/>
      <c r="CJ235" s="731"/>
      <c r="CK235" s="731"/>
      <c r="CL235" s="731"/>
      <c r="CM235" s="731"/>
      <c r="CN235" s="731"/>
      <c r="CO235" s="731"/>
      <c r="CP235" s="731"/>
      <c r="CQ235" s="731"/>
      <c r="CR235" s="731"/>
    </row>
    <row r="236" s="650" customFormat="1" ht="31" customHeight="1" spans="1:108">
      <c r="A236" s="713">
        <v>46094</v>
      </c>
      <c r="B236" s="714" t="s">
        <v>583</v>
      </c>
      <c r="C236" s="715" t="s">
        <v>135</v>
      </c>
      <c r="D236" s="652">
        <v>4500196675</v>
      </c>
      <c r="E236" s="715" t="s">
        <v>4674</v>
      </c>
      <c r="F236" s="652" t="s">
        <v>4675</v>
      </c>
      <c r="G236" s="716" t="s">
        <v>4414</v>
      </c>
      <c r="H236" s="715" t="s">
        <v>4195</v>
      </c>
      <c r="I236" s="717">
        <v>1024</v>
      </c>
      <c r="J236" s="715">
        <v>0</v>
      </c>
      <c r="K236" s="715">
        <v>512</v>
      </c>
      <c r="L236" s="718">
        <f t="shared" si="39"/>
        <v>2</v>
      </c>
      <c r="M236" s="719">
        <v>46195</v>
      </c>
      <c r="N236" s="719">
        <v>46191</v>
      </c>
      <c r="O236" s="714"/>
      <c r="P236" s="761" t="s">
        <v>106</v>
      </c>
      <c r="Q236" s="717"/>
      <c r="R236" s="715" t="s">
        <v>1205</v>
      </c>
      <c r="S236" s="720" t="s">
        <v>107</v>
      </c>
      <c r="T236" s="720" t="s">
        <v>4676</v>
      </c>
      <c r="U236" s="720"/>
      <c r="V236" s="720" t="s">
        <v>587</v>
      </c>
      <c r="W236" s="720"/>
      <c r="X236" s="720" t="s">
        <v>4677</v>
      </c>
      <c r="Y236" s="719" t="s">
        <v>1207</v>
      </c>
      <c r="Z236" s="715">
        <v>2182.32</v>
      </c>
      <c r="AA236" s="715">
        <f>L236*Z236</f>
        <v>4364.64</v>
      </c>
      <c r="AB236" s="721"/>
      <c r="AC236" s="722" t="s">
        <v>4194</v>
      </c>
      <c r="AD236" s="715" t="s">
        <v>112</v>
      </c>
      <c r="AE236" s="715">
        <f t="shared" si="42"/>
        <v>1024</v>
      </c>
      <c r="AF236" s="715"/>
      <c r="AG236" s="715">
        <v>1024</v>
      </c>
      <c r="AH236" s="715">
        <f t="shared" si="46"/>
        <v>0</v>
      </c>
      <c r="AI236" s="717"/>
      <c r="AJ236" s="715" t="s">
        <v>3981</v>
      </c>
      <c r="AK236" s="652">
        <f>I236</f>
        <v>1024</v>
      </c>
      <c r="AL236" s="652"/>
      <c r="AM236" s="652"/>
      <c r="AN236" s="652">
        <f t="shared" si="48"/>
        <v>1024</v>
      </c>
      <c r="AO236" s="652"/>
      <c r="AP236" s="652"/>
      <c r="AQ236" s="652"/>
      <c r="AR236" s="652"/>
      <c r="AS236" s="652"/>
      <c r="AT236" s="652">
        <f>I236/8</f>
        <v>128</v>
      </c>
      <c r="AU236" s="652"/>
      <c r="AV236" s="652"/>
      <c r="AW236" s="652"/>
      <c r="AX236" s="652"/>
      <c r="AY236" s="652"/>
      <c r="AZ236" s="652"/>
      <c r="BA236" s="652"/>
      <c r="BB236" s="652"/>
      <c r="BC236" s="652"/>
      <c r="BD236" s="652"/>
      <c r="BE236" s="652"/>
      <c r="BF236" s="652"/>
      <c r="BG236" s="652"/>
      <c r="BH236" s="652"/>
      <c r="BI236" s="652"/>
    </row>
    <row r="237" s="650" customFormat="1" ht="31" customHeight="1" spans="1:108">
      <c r="A237" s="713">
        <v>46121</v>
      </c>
      <c r="B237" s="714" t="s">
        <v>114</v>
      </c>
      <c r="C237" s="715" t="s">
        <v>115</v>
      </c>
      <c r="D237" s="652" t="s">
        <v>4678</v>
      </c>
      <c r="E237" s="715" t="s">
        <v>4679</v>
      </c>
      <c r="F237" s="652" t="s">
        <v>4680</v>
      </c>
      <c r="G237" s="716" t="s">
        <v>3980</v>
      </c>
      <c r="H237" s="715" t="s">
        <v>3978</v>
      </c>
      <c r="I237" s="717">
        <v>21640</v>
      </c>
      <c r="J237" s="715">
        <v>0</v>
      </c>
      <c r="K237" s="715">
        <v>8</v>
      </c>
      <c r="L237" s="715">
        <f t="shared" si="39"/>
        <v>2705</v>
      </c>
      <c r="M237" s="719">
        <v>46196</v>
      </c>
      <c r="N237" s="719">
        <v>46192</v>
      </c>
      <c r="O237" s="714"/>
      <c r="P237" s="717" t="s">
        <v>106</v>
      </c>
      <c r="Q237" s="717"/>
      <c r="R237" s="723">
        <v>46163</v>
      </c>
      <c r="S237" s="720" t="s">
        <v>107</v>
      </c>
      <c r="T237" s="720" t="s">
        <v>4681</v>
      </c>
      <c r="U237" s="720"/>
      <c r="V237" s="720" t="s">
        <v>4056</v>
      </c>
      <c r="W237" s="720"/>
      <c r="X237" s="720" t="s">
        <v>4400</v>
      </c>
      <c r="Y237" s="719" t="s">
        <v>123</v>
      </c>
      <c r="Z237" s="730">
        <v>2.6965</v>
      </c>
      <c r="AA237" s="652">
        <f>Z237*I237</f>
        <v>58352.26</v>
      </c>
      <c r="AB237" s="729" t="s">
        <v>4682</v>
      </c>
      <c r="AC237" s="722" t="s">
        <v>3980</v>
      </c>
      <c r="AD237" s="715" t="s">
        <v>112</v>
      </c>
      <c r="AE237" s="715">
        <f t="shared" si="42"/>
        <v>21640</v>
      </c>
      <c r="AF237" s="715"/>
      <c r="AG237" s="715">
        <f>21584+56</f>
        <v>21640</v>
      </c>
      <c r="AH237" s="715">
        <f t="shared" si="46"/>
        <v>0</v>
      </c>
      <c r="AI237" s="717"/>
      <c r="AJ237" s="715" t="s">
        <v>3981</v>
      </c>
      <c r="AK237" s="652">
        <f>I237</f>
        <v>21640</v>
      </c>
      <c r="AL237" s="652"/>
      <c r="AM237" s="652"/>
      <c r="AN237" s="652">
        <f t="shared" si="48"/>
        <v>21640</v>
      </c>
      <c r="AO237" s="652"/>
      <c r="AP237" s="652"/>
      <c r="AQ237" s="652"/>
      <c r="AR237" s="652"/>
      <c r="AS237" s="652"/>
      <c r="AT237" s="652">
        <f>I237/8</f>
        <v>2705</v>
      </c>
      <c r="AU237" s="652"/>
      <c r="AV237" s="652"/>
      <c r="AW237" s="652"/>
      <c r="AX237" s="652"/>
      <c r="AY237" s="652"/>
      <c r="AZ237" s="652"/>
      <c r="BA237" s="652"/>
      <c r="BB237" s="652"/>
      <c r="BC237" s="652"/>
      <c r="BD237" s="652"/>
      <c r="BE237" s="652"/>
      <c r="BF237" s="652"/>
      <c r="BG237" s="652"/>
      <c r="BH237" s="652"/>
      <c r="BI237" s="652"/>
      <c r="BJ237" s="650"/>
      <c r="BK237" s="650"/>
      <c r="BL237" s="650"/>
      <c r="BM237" s="650"/>
      <c r="BN237" s="650"/>
      <c r="BO237" s="650"/>
      <c r="BP237" s="650"/>
      <c r="BQ237" s="650"/>
      <c r="BR237" s="650"/>
      <c r="BS237" s="650"/>
      <c r="BT237" s="650"/>
      <c r="BU237" s="650"/>
      <c r="BV237" s="650"/>
      <c r="BW237" s="650"/>
      <c r="BX237" s="650"/>
      <c r="BY237" s="650"/>
      <c r="BZ237" s="650"/>
      <c r="CA237" s="650"/>
      <c r="CB237" s="650"/>
      <c r="CC237" s="650"/>
      <c r="CD237" s="650"/>
      <c r="CE237" s="650"/>
      <c r="CF237" s="650"/>
      <c r="CG237" s="650"/>
      <c r="CH237" s="650"/>
      <c r="CI237" s="650"/>
      <c r="CJ237" s="650"/>
      <c r="CK237" s="650"/>
      <c r="CL237" s="650"/>
      <c r="CM237" s="650"/>
      <c r="CN237" s="650"/>
      <c r="CO237" s="650"/>
      <c r="CP237" s="650"/>
      <c r="CQ237" s="650"/>
      <c r="CR237" s="650"/>
      <c r="CS237" s="654"/>
      <c r="CT237" s="654"/>
      <c r="CU237" s="654"/>
      <c r="CV237" s="654"/>
      <c r="CW237" s="654"/>
      <c r="CX237" s="654"/>
      <c r="CY237" s="654"/>
      <c r="CZ237" s="654"/>
      <c r="DA237" s="654"/>
      <c r="DB237" s="654"/>
      <c r="DC237" s="654"/>
      <c r="DD237" s="654"/>
    </row>
    <row r="238" s="650" customFormat="1" ht="31" customHeight="1" spans="1:108">
      <c r="A238" s="713">
        <v>46106</v>
      </c>
      <c r="B238" s="714" t="s">
        <v>1208</v>
      </c>
      <c r="C238" s="715" t="s">
        <v>810</v>
      </c>
      <c r="D238" s="652">
        <v>4500196923</v>
      </c>
      <c r="E238" s="715"/>
      <c r="F238" s="652" t="s">
        <v>4683</v>
      </c>
      <c r="G238" s="716" t="s">
        <v>3973</v>
      </c>
      <c r="H238" s="715" t="s">
        <v>3995</v>
      </c>
      <c r="I238" s="717">
        <v>352</v>
      </c>
      <c r="J238" s="715">
        <v>0</v>
      </c>
      <c r="K238" s="715">
        <v>16</v>
      </c>
      <c r="L238" s="718">
        <f t="shared" si="39"/>
        <v>22</v>
      </c>
      <c r="M238" s="719">
        <v>46196</v>
      </c>
      <c r="N238" s="719">
        <f>M238-4</f>
        <v>46192</v>
      </c>
      <c r="O238" s="714"/>
      <c r="P238" s="717" t="s">
        <v>106</v>
      </c>
      <c r="Q238" s="717"/>
      <c r="R238" s="723">
        <v>46156</v>
      </c>
      <c r="S238" s="720" t="s">
        <v>107</v>
      </c>
      <c r="T238" s="720" t="s">
        <v>4684</v>
      </c>
      <c r="U238" s="720"/>
      <c r="V238" s="720"/>
      <c r="W238" s="720"/>
      <c r="X238" s="796" t="s">
        <v>4685</v>
      </c>
      <c r="Y238" s="719" t="s">
        <v>722</v>
      </c>
      <c r="Z238" s="715">
        <v>4.355</v>
      </c>
      <c r="AA238" s="715">
        <f>Z238*I238</f>
        <v>1532.96</v>
      </c>
      <c r="AB238" s="721"/>
      <c r="AC238" s="652" t="s">
        <v>4108</v>
      </c>
      <c r="AD238" s="715" t="s">
        <v>112</v>
      </c>
      <c r="AE238" s="715">
        <f t="shared" si="42"/>
        <v>352</v>
      </c>
      <c r="AF238" s="715"/>
      <c r="AG238" s="715">
        <v>352</v>
      </c>
      <c r="AH238" s="715">
        <f t="shared" si="46"/>
        <v>0</v>
      </c>
      <c r="AI238" s="717"/>
      <c r="AJ238" s="715" t="s">
        <v>3981</v>
      </c>
      <c r="AK238" s="652"/>
      <c r="AL238" s="652">
        <f>I238</f>
        <v>352</v>
      </c>
      <c r="AM238" s="652"/>
      <c r="AN238" s="652">
        <f t="shared" si="48"/>
        <v>352</v>
      </c>
      <c r="AO238" s="652"/>
      <c r="AP238" s="652"/>
      <c r="AQ238" s="652"/>
      <c r="AR238" s="652"/>
      <c r="AS238" s="652"/>
      <c r="AT238" s="652"/>
      <c r="AU238" s="652">
        <f>I238/8</f>
        <v>44</v>
      </c>
      <c r="AV238" s="652"/>
      <c r="AW238" s="652"/>
      <c r="AX238" s="652"/>
      <c r="AY238" s="652"/>
      <c r="AZ238" s="652"/>
      <c r="BA238" s="652"/>
      <c r="BB238" s="652"/>
      <c r="BC238" s="652"/>
      <c r="BD238" s="652"/>
      <c r="BE238" s="652"/>
      <c r="BF238" s="652"/>
      <c r="BG238" s="652"/>
      <c r="BH238" s="652"/>
      <c r="BI238" s="652"/>
      <c r="BJ238" s="731"/>
      <c r="BK238" s="731"/>
      <c r="BL238" s="731"/>
      <c r="BM238" s="731"/>
      <c r="BN238" s="731"/>
      <c r="BO238" s="731"/>
      <c r="BP238" s="731"/>
      <c r="BQ238" s="731"/>
      <c r="BR238" s="731"/>
      <c r="BS238" s="731"/>
      <c r="BT238" s="731"/>
      <c r="BU238" s="731"/>
      <c r="BV238" s="731"/>
      <c r="BW238" s="731"/>
      <c r="BX238" s="731"/>
      <c r="BY238" s="731"/>
      <c r="BZ238" s="731"/>
      <c r="CA238" s="731"/>
      <c r="CB238" s="731"/>
      <c r="CC238" s="731"/>
      <c r="CD238" s="731"/>
      <c r="CE238" s="731"/>
      <c r="CF238" s="731"/>
      <c r="CG238" s="731"/>
      <c r="CH238" s="731"/>
      <c r="CI238" s="731"/>
      <c r="CJ238" s="731"/>
      <c r="CK238" s="731"/>
      <c r="CL238" s="731"/>
      <c r="CM238" s="731"/>
      <c r="CN238" s="731"/>
      <c r="CO238" s="731"/>
      <c r="CP238" s="731"/>
      <c r="CQ238" s="731"/>
      <c r="CR238" s="731"/>
    </row>
    <row r="239" s="650" customFormat="1" ht="31" customHeight="1" spans="1:108">
      <c r="A239" s="713">
        <v>46149</v>
      </c>
      <c r="B239" s="714" t="s">
        <v>743</v>
      </c>
      <c r="C239" s="715" t="s">
        <v>164</v>
      </c>
      <c r="D239" s="652" t="s">
        <v>4686</v>
      </c>
      <c r="E239" s="715" t="s">
        <v>4687</v>
      </c>
      <c r="F239" s="652" t="s">
        <v>4688</v>
      </c>
      <c r="G239" s="716" t="s">
        <v>3968</v>
      </c>
      <c r="H239" s="715" t="s">
        <v>3969</v>
      </c>
      <c r="I239" s="717">
        <v>1408</v>
      </c>
      <c r="J239" s="715">
        <v>0</v>
      </c>
      <c r="K239" s="715">
        <v>16</v>
      </c>
      <c r="L239" s="715">
        <f t="shared" si="39"/>
        <v>88</v>
      </c>
      <c r="M239" s="719">
        <v>46197</v>
      </c>
      <c r="N239" s="719">
        <v>46193</v>
      </c>
      <c r="O239" s="714"/>
      <c r="P239" s="717" t="s">
        <v>106</v>
      </c>
      <c r="Q239" s="717"/>
      <c r="R239" s="723" t="s">
        <v>747</v>
      </c>
      <c r="S239" s="720" t="s">
        <v>107</v>
      </c>
      <c r="T239" s="720" t="s">
        <v>4689</v>
      </c>
      <c r="U239" s="720"/>
      <c r="V239" s="720"/>
      <c r="W239" s="720"/>
      <c r="X239" s="720" t="s">
        <v>4690</v>
      </c>
      <c r="Y239" s="719" t="s">
        <v>545</v>
      </c>
      <c r="Z239" s="730">
        <v>4.4696</v>
      </c>
      <c r="AA239" s="652">
        <f>I239*Z239</f>
        <v>6293.1968</v>
      </c>
      <c r="AB239" s="721"/>
      <c r="AC239" s="652" t="s">
        <v>4426</v>
      </c>
      <c r="AD239" s="715" t="s">
        <v>112</v>
      </c>
      <c r="AE239" s="715">
        <f t="shared" si="42"/>
        <v>1408</v>
      </c>
      <c r="AF239" s="715" t="s">
        <v>4109</v>
      </c>
      <c r="AG239" s="715">
        <v>1408</v>
      </c>
      <c r="AH239" s="715">
        <f t="shared" si="46"/>
        <v>0</v>
      </c>
      <c r="AI239" s="717"/>
      <c r="AJ239" s="715" t="s">
        <v>3981</v>
      </c>
      <c r="AK239" s="652"/>
      <c r="AL239" s="652">
        <f>I239</f>
        <v>1408</v>
      </c>
      <c r="AM239" s="652"/>
      <c r="AN239" s="652">
        <f t="shared" si="48"/>
        <v>1408</v>
      </c>
      <c r="AO239" s="652"/>
      <c r="AP239" s="652"/>
      <c r="AQ239" s="652"/>
      <c r="AR239" s="652"/>
      <c r="AS239" s="652"/>
      <c r="AT239" s="652"/>
      <c r="AU239" s="652"/>
      <c r="AV239" s="652"/>
      <c r="AW239" s="652"/>
      <c r="AX239" s="652"/>
      <c r="AY239" s="652"/>
      <c r="AZ239" s="652"/>
      <c r="BA239" s="652"/>
      <c r="BB239" s="652"/>
      <c r="BC239" s="652"/>
      <c r="BD239" s="652"/>
      <c r="BE239" s="652"/>
      <c r="BF239" s="652"/>
      <c r="BG239" s="652"/>
      <c r="BH239" s="652"/>
      <c r="BI239" s="652"/>
    </row>
    <row r="240" s="650" customFormat="1" ht="31" customHeight="1" spans="1:108">
      <c r="A240" s="713">
        <v>46149</v>
      </c>
      <c r="B240" s="714" t="s">
        <v>743</v>
      </c>
      <c r="C240" s="715" t="s">
        <v>1439</v>
      </c>
      <c r="D240" s="652" t="s">
        <v>4686</v>
      </c>
      <c r="E240" s="715" t="s">
        <v>4691</v>
      </c>
      <c r="F240" s="652" t="s">
        <v>4692</v>
      </c>
      <c r="G240" s="716" t="s">
        <v>3968</v>
      </c>
      <c r="H240" s="715" t="s">
        <v>3969</v>
      </c>
      <c r="I240" s="717">
        <v>1184</v>
      </c>
      <c r="J240" s="715">
        <v>0</v>
      </c>
      <c r="K240" s="715">
        <v>16</v>
      </c>
      <c r="L240" s="715">
        <f t="shared" si="39"/>
        <v>74</v>
      </c>
      <c r="M240" s="719">
        <v>46197</v>
      </c>
      <c r="N240" s="719">
        <v>46193</v>
      </c>
      <c r="O240" s="714"/>
      <c r="P240" s="717" t="s">
        <v>106</v>
      </c>
      <c r="Q240" s="717"/>
      <c r="R240" s="723" t="s">
        <v>747</v>
      </c>
      <c r="S240" s="735" t="s">
        <v>107</v>
      </c>
      <c r="T240" s="735" t="s">
        <v>4689</v>
      </c>
      <c r="U240" s="735"/>
      <c r="V240" s="720"/>
      <c r="W240" s="720"/>
      <c r="X240" s="720" t="s">
        <v>4690</v>
      </c>
      <c r="Y240" s="719" t="s">
        <v>545</v>
      </c>
      <c r="Z240" s="730">
        <v>4.4696</v>
      </c>
      <c r="AA240" s="652">
        <f>I240*Z240</f>
        <v>5292.0064</v>
      </c>
      <c r="AB240" s="721"/>
      <c r="AC240" s="652" t="s">
        <v>4426</v>
      </c>
      <c r="AD240" s="715" t="s">
        <v>112</v>
      </c>
      <c r="AE240" s="715">
        <f t="shared" si="42"/>
        <v>1184</v>
      </c>
      <c r="AF240" s="715" t="s">
        <v>4109</v>
      </c>
      <c r="AG240" s="715">
        <v>1184</v>
      </c>
      <c r="AH240" s="715">
        <f t="shared" si="46"/>
        <v>0</v>
      </c>
      <c r="AI240" s="717"/>
      <c r="AJ240" s="715" t="s">
        <v>3981</v>
      </c>
      <c r="AK240" s="652"/>
      <c r="AL240" s="652">
        <f>I240</f>
        <v>1184</v>
      </c>
      <c r="AM240" s="652"/>
      <c r="AN240" s="652">
        <f t="shared" si="48"/>
        <v>1184</v>
      </c>
      <c r="AO240" s="652"/>
      <c r="AP240" s="652"/>
      <c r="AQ240" s="652"/>
      <c r="AR240" s="652"/>
      <c r="AS240" s="652"/>
      <c r="AT240" s="652"/>
      <c r="AU240" s="652"/>
      <c r="AV240" s="652"/>
      <c r="AW240" s="652"/>
      <c r="AX240" s="652"/>
      <c r="AY240" s="652"/>
      <c r="AZ240" s="652"/>
      <c r="BA240" s="652"/>
      <c r="BB240" s="652"/>
      <c r="BC240" s="652"/>
      <c r="BD240" s="652"/>
      <c r="BE240" s="652"/>
      <c r="BF240" s="652"/>
      <c r="BG240" s="652"/>
      <c r="BH240" s="652"/>
      <c r="BI240" s="652"/>
    </row>
    <row r="241" s="650" customFormat="1" ht="31" customHeight="1" spans="1:108">
      <c r="A241" s="713">
        <v>46149</v>
      </c>
      <c r="B241" s="714" t="s">
        <v>743</v>
      </c>
      <c r="C241" s="715" t="s">
        <v>148</v>
      </c>
      <c r="D241" s="652" t="s">
        <v>4686</v>
      </c>
      <c r="E241" s="715" t="s">
        <v>4693</v>
      </c>
      <c r="F241" s="652" t="s">
        <v>4694</v>
      </c>
      <c r="G241" s="716" t="s">
        <v>3968</v>
      </c>
      <c r="H241" s="715" t="s">
        <v>3969</v>
      </c>
      <c r="I241" s="717">
        <v>1200</v>
      </c>
      <c r="J241" s="715">
        <v>0</v>
      </c>
      <c r="K241" s="715">
        <v>16</v>
      </c>
      <c r="L241" s="715">
        <f t="shared" si="39"/>
        <v>75</v>
      </c>
      <c r="M241" s="719">
        <v>46197</v>
      </c>
      <c r="N241" s="719">
        <v>46193</v>
      </c>
      <c r="O241" s="714"/>
      <c r="P241" s="717" t="s">
        <v>106</v>
      </c>
      <c r="Q241" s="717"/>
      <c r="R241" s="723" t="s">
        <v>747</v>
      </c>
      <c r="S241" s="720" t="s">
        <v>107</v>
      </c>
      <c r="T241" s="720" t="s">
        <v>4689</v>
      </c>
      <c r="U241" s="720"/>
      <c r="V241" s="720"/>
      <c r="W241" s="720"/>
      <c r="X241" s="720" t="s">
        <v>4690</v>
      </c>
      <c r="Y241" s="719" t="s">
        <v>545</v>
      </c>
      <c r="Z241" s="730">
        <v>4.4696</v>
      </c>
      <c r="AA241" s="652">
        <f>I241*Z241</f>
        <v>5363.52</v>
      </c>
      <c r="AB241" s="721"/>
      <c r="AC241" s="652" t="s">
        <v>4426</v>
      </c>
      <c r="AD241" s="715" t="s">
        <v>112</v>
      </c>
      <c r="AE241" s="715">
        <f t="shared" si="42"/>
        <v>1200</v>
      </c>
      <c r="AF241" s="715" t="s">
        <v>4109</v>
      </c>
      <c r="AG241" s="715">
        <v>1200</v>
      </c>
      <c r="AH241" s="715">
        <f t="shared" si="46"/>
        <v>0</v>
      </c>
      <c r="AI241" s="717"/>
      <c r="AJ241" s="715" t="s">
        <v>3981</v>
      </c>
      <c r="AK241" s="652"/>
      <c r="AL241" s="652">
        <f>I241</f>
        <v>1200</v>
      </c>
      <c r="AM241" s="652"/>
      <c r="AN241" s="652">
        <f t="shared" si="48"/>
        <v>1200</v>
      </c>
      <c r="AO241" s="652"/>
      <c r="AP241" s="652"/>
      <c r="AQ241" s="652"/>
      <c r="AR241" s="652"/>
      <c r="AS241" s="652"/>
      <c r="AT241" s="652"/>
      <c r="AU241" s="652"/>
      <c r="AV241" s="652"/>
      <c r="AW241" s="652"/>
      <c r="AX241" s="652"/>
      <c r="AY241" s="652"/>
      <c r="AZ241" s="652"/>
      <c r="BA241" s="652"/>
      <c r="BB241" s="652"/>
      <c r="BC241" s="652"/>
      <c r="BD241" s="652"/>
      <c r="BE241" s="652"/>
      <c r="BF241" s="652"/>
      <c r="BG241" s="652"/>
      <c r="BH241" s="652"/>
      <c r="BI241" s="652"/>
    </row>
    <row r="242" s="650" customFormat="1" ht="31" customHeight="1" spans="1:108">
      <c r="A242" s="713">
        <v>46149</v>
      </c>
      <c r="B242" s="714" t="s">
        <v>743</v>
      </c>
      <c r="C242" s="715" t="s">
        <v>135</v>
      </c>
      <c r="D242" s="652" t="s">
        <v>4686</v>
      </c>
      <c r="E242" s="715" t="s">
        <v>4695</v>
      </c>
      <c r="F242" s="652" t="s">
        <v>4696</v>
      </c>
      <c r="G242" s="716" t="s">
        <v>3968</v>
      </c>
      <c r="H242" s="715" t="s">
        <v>3969</v>
      </c>
      <c r="I242" s="717">
        <v>4080</v>
      </c>
      <c r="J242" s="715">
        <v>0</v>
      </c>
      <c r="K242" s="715">
        <v>16</v>
      </c>
      <c r="L242" s="715">
        <f t="shared" si="39"/>
        <v>255</v>
      </c>
      <c r="M242" s="719">
        <v>46197</v>
      </c>
      <c r="N242" s="719">
        <v>46193</v>
      </c>
      <c r="O242" s="714"/>
      <c r="P242" s="717" t="s">
        <v>106</v>
      </c>
      <c r="Q242" s="717"/>
      <c r="R242" s="723" t="s">
        <v>747</v>
      </c>
      <c r="S242" s="720" t="s">
        <v>107</v>
      </c>
      <c r="T242" s="720" t="s">
        <v>4689</v>
      </c>
      <c r="U242" s="720"/>
      <c r="V242" s="720"/>
      <c r="W242" s="720"/>
      <c r="X242" s="720" t="s">
        <v>4690</v>
      </c>
      <c r="Y242" s="719" t="s">
        <v>545</v>
      </c>
      <c r="Z242" s="730">
        <v>4.4696</v>
      </c>
      <c r="AA242" s="652">
        <f>I242*Z242</f>
        <v>18235.968</v>
      </c>
      <c r="AB242" s="721"/>
      <c r="AC242" s="652" t="s">
        <v>4426</v>
      </c>
      <c r="AD242" s="715" t="s">
        <v>112</v>
      </c>
      <c r="AE242" s="715">
        <f t="shared" si="42"/>
        <v>4080</v>
      </c>
      <c r="AF242" s="715" t="s">
        <v>4109</v>
      </c>
      <c r="AG242" s="715">
        <v>4080</v>
      </c>
      <c r="AH242" s="715">
        <f t="shared" si="46"/>
        <v>0</v>
      </c>
      <c r="AI242" s="717"/>
      <c r="AJ242" s="715" t="s">
        <v>3981</v>
      </c>
      <c r="AK242" s="652"/>
      <c r="AL242" s="652">
        <f>I242</f>
        <v>4080</v>
      </c>
      <c r="AM242" s="652"/>
      <c r="AN242" s="652">
        <f t="shared" si="48"/>
        <v>4080</v>
      </c>
      <c r="AO242" s="652"/>
      <c r="AP242" s="652"/>
      <c r="AQ242" s="652"/>
      <c r="AR242" s="652"/>
      <c r="AS242" s="652"/>
      <c r="AT242" s="652"/>
      <c r="AU242" s="652"/>
      <c r="AV242" s="652"/>
      <c r="AW242" s="652"/>
      <c r="AX242" s="652"/>
      <c r="AY242" s="652"/>
      <c r="AZ242" s="652"/>
      <c r="BA242" s="652"/>
      <c r="BB242" s="652"/>
      <c r="BC242" s="652"/>
      <c r="BD242" s="652"/>
      <c r="BE242" s="652"/>
      <c r="BF242" s="652"/>
      <c r="BG242" s="652"/>
      <c r="BH242" s="652"/>
      <c r="BI242" s="652"/>
    </row>
    <row r="243" s="650" customFormat="1" ht="31" customHeight="1" spans="1:108">
      <c r="A243" s="713">
        <v>46157</v>
      </c>
      <c r="B243" s="714" t="s">
        <v>1249</v>
      </c>
      <c r="C243" s="715" t="s">
        <v>291</v>
      </c>
      <c r="D243" s="652" t="s">
        <v>4697</v>
      </c>
      <c r="E243" s="715" t="s">
        <v>4698</v>
      </c>
      <c r="F243" s="652" t="s">
        <v>1250</v>
      </c>
      <c r="G243" s="716" t="s">
        <v>4337</v>
      </c>
      <c r="H243" s="715" t="s">
        <v>4699</v>
      </c>
      <c r="I243" s="717">
        <v>30</v>
      </c>
      <c r="J243" s="715">
        <v>0</v>
      </c>
      <c r="K243" s="715">
        <v>1</v>
      </c>
      <c r="L243" s="715">
        <f t="shared" si="39"/>
        <v>30</v>
      </c>
      <c r="M243" s="719">
        <v>46197</v>
      </c>
      <c r="N243" s="719">
        <v>46193</v>
      </c>
      <c r="O243" s="714"/>
      <c r="P243" s="717" t="s">
        <v>106</v>
      </c>
      <c r="Q243" s="717"/>
      <c r="R243" s="723">
        <v>46160</v>
      </c>
      <c r="S243" s="720" t="s">
        <v>107</v>
      </c>
      <c r="T243" s="720" t="s">
        <v>95</v>
      </c>
      <c r="U243" s="720"/>
      <c r="V243" s="720"/>
      <c r="W243" s="720"/>
      <c r="X243" s="720" t="s">
        <v>4700</v>
      </c>
      <c r="Y243" s="719" t="s">
        <v>1252</v>
      </c>
      <c r="Z243" s="730">
        <v>20</v>
      </c>
      <c r="AA243" s="652">
        <f t="shared" ref="AA243:AA251" si="49">L243*Z243</f>
        <v>600</v>
      </c>
      <c r="AB243" s="721"/>
      <c r="AC243" s="714" t="s">
        <v>4701</v>
      </c>
      <c r="AD243" s="715" t="s">
        <v>112</v>
      </c>
      <c r="AE243" s="715">
        <f t="shared" si="42"/>
        <v>30</v>
      </c>
      <c r="AF243" s="715"/>
      <c r="AG243" s="715"/>
      <c r="AH243" s="715">
        <f t="shared" si="46"/>
        <v>-30</v>
      </c>
      <c r="AI243" s="717"/>
      <c r="AJ243" s="715" t="s">
        <v>3981</v>
      </c>
      <c r="AK243" s="652"/>
      <c r="AL243" s="652"/>
      <c r="AM243" s="652"/>
      <c r="AN243" s="652"/>
      <c r="AO243" s="652"/>
      <c r="AP243" s="652"/>
      <c r="AQ243" s="652"/>
      <c r="AR243" s="652"/>
      <c r="AS243" s="652"/>
      <c r="AT243" s="652"/>
      <c r="AU243" s="652"/>
      <c r="AV243" s="652"/>
      <c r="AW243" s="652"/>
      <c r="AX243" s="652"/>
      <c r="AY243" s="652"/>
      <c r="AZ243" s="652"/>
      <c r="BA243" s="652">
        <f>I243</f>
        <v>30</v>
      </c>
      <c r="BB243" s="652"/>
      <c r="BC243" s="652"/>
      <c r="BD243" s="652"/>
      <c r="BE243" s="652"/>
      <c r="BF243" s="652"/>
      <c r="BG243" s="652"/>
      <c r="BH243" s="652"/>
      <c r="BI243" s="652"/>
    </row>
    <row r="244" s="650" customFormat="1" ht="31" customHeight="1" spans="1:108">
      <c r="A244" s="713">
        <v>46150</v>
      </c>
      <c r="B244" s="714" t="s">
        <v>499</v>
      </c>
      <c r="C244" s="715" t="s">
        <v>115</v>
      </c>
      <c r="D244" s="652" t="s">
        <v>4702</v>
      </c>
      <c r="E244" s="715" t="s">
        <v>4703</v>
      </c>
      <c r="F244" s="652" t="s">
        <v>4704</v>
      </c>
      <c r="G244" s="770" t="s">
        <v>4414</v>
      </c>
      <c r="H244" s="715" t="s">
        <v>4195</v>
      </c>
      <c r="I244" s="717">
        <v>11776</v>
      </c>
      <c r="J244" s="715">
        <v>0</v>
      </c>
      <c r="K244" s="715">
        <v>512</v>
      </c>
      <c r="L244" s="718">
        <f t="shared" si="39"/>
        <v>23</v>
      </c>
      <c r="M244" s="719">
        <v>46197</v>
      </c>
      <c r="N244" s="719">
        <v>46193</v>
      </c>
      <c r="O244" s="714"/>
      <c r="P244" s="717" t="s">
        <v>106</v>
      </c>
      <c r="Q244" s="717"/>
      <c r="R244" s="715" t="s">
        <v>4201</v>
      </c>
      <c r="S244" s="720" t="s">
        <v>95</v>
      </c>
      <c r="T244" s="720" t="s">
        <v>4705</v>
      </c>
      <c r="U244" s="720"/>
      <c r="V244" s="720" t="s">
        <v>4706</v>
      </c>
      <c r="W244" s="720"/>
      <c r="X244" s="720" t="s">
        <v>4707</v>
      </c>
      <c r="Y244" s="719" t="s">
        <v>503</v>
      </c>
      <c r="Z244" s="715">
        <v>1393.227</v>
      </c>
      <c r="AA244" s="715">
        <f t="shared" si="49"/>
        <v>32044.221</v>
      </c>
      <c r="AB244" s="729" t="s">
        <v>4708</v>
      </c>
      <c r="AC244" s="722" t="s">
        <v>4194</v>
      </c>
      <c r="AD244" s="715" t="s">
        <v>112</v>
      </c>
      <c r="AE244" s="715">
        <f t="shared" si="42"/>
        <v>11776</v>
      </c>
      <c r="AF244" s="715"/>
      <c r="AG244" s="715">
        <v>11776</v>
      </c>
      <c r="AH244" s="715">
        <f t="shared" si="46"/>
        <v>0</v>
      </c>
      <c r="AI244" s="717"/>
      <c r="AJ244" s="715" t="s">
        <v>3981</v>
      </c>
      <c r="AK244" s="652">
        <f>I244</f>
        <v>11776</v>
      </c>
      <c r="AL244" s="652"/>
      <c r="AM244" s="652"/>
      <c r="AN244" s="652">
        <f>I244</f>
        <v>11776</v>
      </c>
      <c r="AO244" s="652"/>
      <c r="AP244" s="652"/>
      <c r="AQ244" s="652"/>
      <c r="AR244" s="652"/>
      <c r="AS244" s="652"/>
      <c r="AT244" s="652">
        <f>I244/8</f>
        <v>1472</v>
      </c>
      <c r="AU244" s="652"/>
      <c r="AV244" s="652"/>
      <c r="AW244" s="652"/>
      <c r="AX244" s="652"/>
      <c r="AY244" s="652"/>
      <c r="AZ244" s="652"/>
      <c r="BA244" s="652"/>
      <c r="BB244" s="652"/>
      <c r="BC244" s="652"/>
      <c r="BD244" s="652"/>
      <c r="BE244" s="652"/>
      <c r="BF244" s="652"/>
      <c r="BG244" s="652"/>
      <c r="BH244" s="652"/>
      <c r="BI244" s="652"/>
      <c r="CS244" s="654"/>
      <c r="CT244" s="654"/>
      <c r="CU244" s="654"/>
      <c r="CV244" s="654"/>
      <c r="CW244" s="654"/>
      <c r="CX244" s="654"/>
      <c r="CY244" s="654"/>
      <c r="CZ244" s="654"/>
      <c r="DA244" s="654"/>
      <c r="DB244" s="654"/>
      <c r="DC244" s="654"/>
      <c r="DD244" s="654"/>
    </row>
    <row r="245" s="650" customFormat="1" ht="31" customHeight="1" spans="1:108">
      <c r="A245" s="713">
        <v>46150</v>
      </c>
      <c r="B245" s="714" t="s">
        <v>499</v>
      </c>
      <c r="C245" s="715" t="s">
        <v>115</v>
      </c>
      <c r="D245" s="652" t="s">
        <v>4702</v>
      </c>
      <c r="E245" s="715" t="s">
        <v>4709</v>
      </c>
      <c r="F245" s="652" t="s">
        <v>4710</v>
      </c>
      <c r="G245" s="770" t="s">
        <v>4414</v>
      </c>
      <c r="H245" s="715" t="s">
        <v>4195</v>
      </c>
      <c r="I245" s="717">
        <v>5632</v>
      </c>
      <c r="J245" s="715">
        <v>0</v>
      </c>
      <c r="K245" s="715">
        <v>512</v>
      </c>
      <c r="L245" s="718">
        <f t="shared" si="39"/>
        <v>11</v>
      </c>
      <c r="M245" s="719">
        <v>46197</v>
      </c>
      <c r="N245" s="719">
        <v>46193</v>
      </c>
      <c r="O245" s="714"/>
      <c r="P245" s="717" t="s">
        <v>106</v>
      </c>
      <c r="Q245" s="717"/>
      <c r="R245" s="715" t="s">
        <v>4201</v>
      </c>
      <c r="S245" s="720" t="s">
        <v>95</v>
      </c>
      <c r="T245" s="720" t="s">
        <v>4705</v>
      </c>
      <c r="U245" s="720"/>
      <c r="V245" s="720" t="s">
        <v>4706</v>
      </c>
      <c r="W245" s="720"/>
      <c r="X245" s="720" t="s">
        <v>4707</v>
      </c>
      <c r="Y245" s="719" t="s">
        <v>503</v>
      </c>
      <c r="Z245" s="715">
        <v>1396.36</v>
      </c>
      <c r="AA245" s="715">
        <f t="shared" si="49"/>
        <v>15359.96</v>
      </c>
      <c r="AB245" s="729" t="s">
        <v>4711</v>
      </c>
      <c r="AC245" s="722" t="s">
        <v>4194</v>
      </c>
      <c r="AD245" s="715" t="s">
        <v>112</v>
      </c>
      <c r="AE245" s="715">
        <f t="shared" si="42"/>
        <v>5632</v>
      </c>
      <c r="AF245" s="715"/>
      <c r="AG245" s="715">
        <v>5632</v>
      </c>
      <c r="AH245" s="715">
        <f t="shared" si="46"/>
        <v>0</v>
      </c>
      <c r="AI245" s="717"/>
      <c r="AJ245" s="715" t="s">
        <v>3981</v>
      </c>
      <c r="AK245" s="652">
        <f>I245</f>
        <v>5632</v>
      </c>
      <c r="AL245" s="652"/>
      <c r="AM245" s="652"/>
      <c r="AN245" s="652">
        <f>I245</f>
        <v>5632</v>
      </c>
      <c r="AO245" s="652"/>
      <c r="AP245" s="652"/>
      <c r="AQ245" s="652"/>
      <c r="AR245" s="652"/>
      <c r="AS245" s="652"/>
      <c r="AT245" s="652">
        <f>I245/8</f>
        <v>704</v>
      </c>
      <c r="AU245" s="652"/>
      <c r="AV245" s="652"/>
      <c r="AW245" s="652"/>
      <c r="AX245" s="652"/>
      <c r="AY245" s="652"/>
      <c r="AZ245" s="652"/>
      <c r="BA245" s="652"/>
      <c r="BB245" s="652"/>
      <c r="BC245" s="652"/>
      <c r="BD245" s="652"/>
      <c r="BE245" s="652"/>
      <c r="BF245" s="652"/>
      <c r="BG245" s="652"/>
      <c r="BH245" s="652"/>
      <c r="BI245" s="652"/>
    </row>
    <row r="246" s="650" customFormat="1" ht="31" customHeight="1" spans="1:108">
      <c r="A246" s="713">
        <v>46150</v>
      </c>
      <c r="B246" s="714" t="s">
        <v>499</v>
      </c>
      <c r="C246" s="715" t="s">
        <v>115</v>
      </c>
      <c r="D246" s="652" t="s">
        <v>4702</v>
      </c>
      <c r="E246" s="715" t="s">
        <v>4712</v>
      </c>
      <c r="F246" s="652" t="s">
        <v>4713</v>
      </c>
      <c r="G246" s="770" t="s">
        <v>4414</v>
      </c>
      <c r="H246" s="715" t="s">
        <v>4195</v>
      </c>
      <c r="I246" s="717">
        <v>11776</v>
      </c>
      <c r="J246" s="715">
        <v>0</v>
      </c>
      <c r="K246" s="715">
        <v>512</v>
      </c>
      <c r="L246" s="718">
        <f t="shared" ref="L246:L304" si="50">I246/K246</f>
        <v>23</v>
      </c>
      <c r="M246" s="719">
        <v>46197</v>
      </c>
      <c r="N246" s="719">
        <v>46193</v>
      </c>
      <c r="O246" s="714"/>
      <c r="P246" s="717" t="s">
        <v>106</v>
      </c>
      <c r="Q246" s="717"/>
      <c r="R246" s="715" t="s">
        <v>4201</v>
      </c>
      <c r="S246" s="720" t="s">
        <v>95</v>
      </c>
      <c r="T246" s="720" t="s">
        <v>4705</v>
      </c>
      <c r="U246" s="720"/>
      <c r="V246" s="720" t="s">
        <v>4706</v>
      </c>
      <c r="W246" s="720"/>
      <c r="X246" s="720" t="s">
        <v>4707</v>
      </c>
      <c r="Y246" s="719" t="s">
        <v>503</v>
      </c>
      <c r="Z246" s="715">
        <v>1393.227</v>
      </c>
      <c r="AA246" s="715">
        <f t="shared" si="49"/>
        <v>32044.221</v>
      </c>
      <c r="AB246" s="729" t="s">
        <v>4714</v>
      </c>
      <c r="AC246" s="722" t="s">
        <v>4194</v>
      </c>
      <c r="AD246" s="715" t="s">
        <v>112</v>
      </c>
      <c r="AE246" s="715">
        <f t="shared" si="42"/>
        <v>11776</v>
      </c>
      <c r="AF246" s="715"/>
      <c r="AG246" s="715">
        <v>11776</v>
      </c>
      <c r="AH246" s="715">
        <f t="shared" si="46"/>
        <v>0</v>
      </c>
      <c r="AI246" s="717"/>
      <c r="AJ246" s="715" t="s">
        <v>3981</v>
      </c>
      <c r="AK246" s="652">
        <f>I246</f>
        <v>11776</v>
      </c>
      <c r="AL246" s="652"/>
      <c r="AM246" s="652"/>
      <c r="AN246" s="652">
        <f>I246</f>
        <v>11776</v>
      </c>
      <c r="AO246" s="652"/>
      <c r="AP246" s="652"/>
      <c r="AQ246" s="652"/>
      <c r="AR246" s="652"/>
      <c r="AS246" s="652"/>
      <c r="AT246" s="652">
        <f>I246/8</f>
        <v>1472</v>
      </c>
      <c r="AU246" s="652"/>
      <c r="AV246" s="652"/>
      <c r="AW246" s="652"/>
      <c r="AX246" s="652"/>
      <c r="AY246" s="652"/>
      <c r="AZ246" s="652"/>
      <c r="BA246" s="652"/>
      <c r="BB246" s="652"/>
      <c r="BC246" s="652"/>
      <c r="BD246" s="652"/>
      <c r="BE246" s="652"/>
      <c r="BF246" s="652"/>
      <c r="BG246" s="652"/>
      <c r="BH246" s="652"/>
      <c r="BI246" s="652"/>
    </row>
    <row r="247" s="650" customFormat="1" ht="31" customHeight="1" spans="1:108">
      <c r="A247" s="713">
        <v>46150</v>
      </c>
      <c r="B247" s="714" t="s">
        <v>499</v>
      </c>
      <c r="C247" s="715" t="s">
        <v>115</v>
      </c>
      <c r="D247" s="652" t="s">
        <v>4702</v>
      </c>
      <c r="E247" s="715" t="s">
        <v>4715</v>
      </c>
      <c r="F247" s="652" t="s">
        <v>4716</v>
      </c>
      <c r="G247" s="770" t="s">
        <v>4414</v>
      </c>
      <c r="H247" s="715" t="s">
        <v>4195</v>
      </c>
      <c r="I247" s="717">
        <v>8704</v>
      </c>
      <c r="J247" s="715">
        <v>0</v>
      </c>
      <c r="K247" s="715">
        <v>512</v>
      </c>
      <c r="L247" s="718">
        <f t="shared" si="50"/>
        <v>17</v>
      </c>
      <c r="M247" s="719">
        <v>46197</v>
      </c>
      <c r="N247" s="719">
        <v>46193</v>
      </c>
      <c r="O247" s="714"/>
      <c r="P247" s="717" t="s">
        <v>106</v>
      </c>
      <c r="Q247" s="717"/>
      <c r="R247" s="715" t="s">
        <v>4201</v>
      </c>
      <c r="S247" s="720" t="s">
        <v>95</v>
      </c>
      <c r="T247" s="720" t="s">
        <v>4705</v>
      </c>
      <c r="U247" s="720"/>
      <c r="V247" s="720" t="s">
        <v>4706</v>
      </c>
      <c r="W247" s="720"/>
      <c r="X247" s="720" t="s">
        <v>4707</v>
      </c>
      <c r="Y247" s="719" t="s">
        <v>503</v>
      </c>
      <c r="Z247" s="715">
        <v>1396.36</v>
      </c>
      <c r="AA247" s="715">
        <f t="shared" si="49"/>
        <v>23738.12</v>
      </c>
      <c r="AB247" s="729" t="s">
        <v>4717</v>
      </c>
      <c r="AC247" s="722" t="s">
        <v>4194</v>
      </c>
      <c r="AD247" s="715" t="s">
        <v>112</v>
      </c>
      <c r="AE247" s="715">
        <f t="shared" si="42"/>
        <v>8704</v>
      </c>
      <c r="AF247" s="715"/>
      <c r="AG247" s="715">
        <v>8704</v>
      </c>
      <c r="AH247" s="715">
        <f t="shared" si="46"/>
        <v>0</v>
      </c>
      <c r="AI247" s="717"/>
      <c r="AJ247" s="715" t="s">
        <v>3981</v>
      </c>
      <c r="AK247" s="652">
        <f>I247</f>
        <v>8704</v>
      </c>
      <c r="AL247" s="652"/>
      <c r="AM247" s="652"/>
      <c r="AN247" s="652">
        <f>I247</f>
        <v>8704</v>
      </c>
      <c r="AO247" s="652"/>
      <c r="AP247" s="652"/>
      <c r="AQ247" s="652"/>
      <c r="AR247" s="652"/>
      <c r="AS247" s="652"/>
      <c r="AT247" s="652">
        <f>I247/8</f>
        <v>1088</v>
      </c>
      <c r="AU247" s="652"/>
      <c r="AV247" s="652"/>
      <c r="AW247" s="652"/>
      <c r="AX247" s="652"/>
      <c r="AY247" s="652"/>
      <c r="AZ247" s="652"/>
      <c r="BA247" s="652"/>
      <c r="BB247" s="652"/>
      <c r="BC247" s="652"/>
      <c r="BD247" s="652"/>
      <c r="BE247" s="652"/>
      <c r="BF247" s="652"/>
      <c r="BG247" s="652"/>
      <c r="BH247" s="652"/>
      <c r="BI247" s="652"/>
    </row>
    <row r="248" s="650" customFormat="1" ht="31" customHeight="1" spans="1:108">
      <c r="A248" s="713">
        <v>46109</v>
      </c>
      <c r="B248" s="714" t="s">
        <v>2676</v>
      </c>
      <c r="C248" s="715" t="s">
        <v>201</v>
      </c>
      <c r="D248" s="652">
        <v>4500199133</v>
      </c>
      <c r="E248" s="715" t="s">
        <v>4718</v>
      </c>
      <c r="F248" s="652" t="s">
        <v>4719</v>
      </c>
      <c r="G248" s="716" t="s">
        <v>3980</v>
      </c>
      <c r="H248" s="715" t="s">
        <v>3978</v>
      </c>
      <c r="I248" s="717">
        <v>720</v>
      </c>
      <c r="J248" s="715">
        <v>0</v>
      </c>
      <c r="K248" s="715">
        <v>8</v>
      </c>
      <c r="L248" s="718">
        <f t="shared" si="50"/>
        <v>90</v>
      </c>
      <c r="M248" s="719">
        <v>46198</v>
      </c>
      <c r="N248" s="719">
        <v>46195</v>
      </c>
      <c r="O248" s="714" t="s">
        <v>4720</v>
      </c>
      <c r="P248" s="717" t="s">
        <v>106</v>
      </c>
      <c r="Q248" s="717"/>
      <c r="R248" s="715" t="s">
        <v>1024</v>
      </c>
      <c r="S248" s="720" t="s">
        <v>107</v>
      </c>
      <c r="T248" s="720" t="s">
        <v>4306</v>
      </c>
      <c r="U248" s="720"/>
      <c r="V248" s="720"/>
      <c r="W248" s="720"/>
      <c r="X248" s="720" t="s">
        <v>4721</v>
      </c>
      <c r="Y248" s="719" t="s">
        <v>1858</v>
      </c>
      <c r="Z248" s="715">
        <v>5</v>
      </c>
      <c r="AA248" s="715">
        <f t="shared" si="49"/>
        <v>450</v>
      </c>
      <c r="AB248" s="721"/>
      <c r="AC248" s="722" t="s">
        <v>4031</v>
      </c>
      <c r="AD248" s="715" t="s">
        <v>112</v>
      </c>
      <c r="AE248" s="715">
        <f t="shared" si="42"/>
        <v>720</v>
      </c>
      <c r="AF248" s="715" t="s">
        <v>4109</v>
      </c>
      <c r="AG248" s="715">
        <v>720</v>
      </c>
      <c r="AH248" s="715">
        <f t="shared" si="46"/>
        <v>0</v>
      </c>
      <c r="AI248" s="717"/>
      <c r="AJ248" s="715" t="s">
        <v>3981</v>
      </c>
      <c r="AK248" s="652"/>
      <c r="AL248" s="652">
        <f>I248</f>
        <v>720</v>
      </c>
      <c r="AM248" s="652"/>
      <c r="AN248" s="652">
        <f>I248</f>
        <v>720</v>
      </c>
      <c r="AO248" s="652"/>
      <c r="AP248" s="652"/>
      <c r="AQ248" s="652"/>
      <c r="AR248" s="652"/>
      <c r="AS248" s="652"/>
      <c r="AT248" s="652"/>
      <c r="AU248" s="652">
        <f>I248/8</f>
        <v>90</v>
      </c>
      <c r="AV248" s="652"/>
      <c r="AW248" s="652"/>
      <c r="AX248" s="652"/>
      <c r="AY248" s="652"/>
      <c r="AZ248" s="652"/>
      <c r="BA248" s="652"/>
      <c r="BB248" s="652"/>
      <c r="BC248" s="652"/>
      <c r="BD248" s="652"/>
      <c r="BE248" s="652"/>
      <c r="BF248" s="652"/>
      <c r="BG248" s="652"/>
      <c r="BH248" s="652"/>
      <c r="BI248" s="652"/>
    </row>
    <row r="249" s="650" customFormat="1" ht="31" customHeight="1" spans="1:108">
      <c r="A249" s="713">
        <v>46136</v>
      </c>
      <c r="B249" s="714" t="s">
        <v>935</v>
      </c>
      <c r="C249" s="715" t="s">
        <v>115</v>
      </c>
      <c r="D249" s="652" t="s">
        <v>4722</v>
      </c>
      <c r="E249" s="1908" t="s">
        <v>4723</v>
      </c>
      <c r="F249" s="652" t="s">
        <v>1293</v>
      </c>
      <c r="G249" s="716" t="s">
        <v>4215</v>
      </c>
      <c r="H249" s="715" t="s">
        <v>483</v>
      </c>
      <c r="I249" s="717">
        <v>4320</v>
      </c>
      <c r="J249" s="715">
        <v>0</v>
      </c>
      <c r="K249" s="715">
        <v>120</v>
      </c>
      <c r="L249" s="715">
        <f t="shared" si="50"/>
        <v>36</v>
      </c>
      <c r="M249" s="719">
        <v>46198</v>
      </c>
      <c r="N249" s="738">
        <v>46207</v>
      </c>
      <c r="O249" s="714"/>
      <c r="P249" s="761" t="s">
        <v>106</v>
      </c>
      <c r="Q249" s="717"/>
      <c r="R249" s="723">
        <v>46155</v>
      </c>
      <c r="S249" s="720" t="s">
        <v>107</v>
      </c>
      <c r="T249" s="720" t="s">
        <v>95</v>
      </c>
      <c r="U249" s="720"/>
      <c r="V249" s="720"/>
      <c r="W249" s="720"/>
      <c r="X249" s="720" t="s">
        <v>937</v>
      </c>
      <c r="Y249" s="719" t="s">
        <v>488</v>
      </c>
      <c r="Z249" s="730">
        <v>642</v>
      </c>
      <c r="AA249" s="652">
        <f t="shared" si="49"/>
        <v>23112</v>
      </c>
      <c r="AB249" s="729" t="s">
        <v>1294</v>
      </c>
      <c r="AC249" s="722" t="s">
        <v>490</v>
      </c>
      <c r="AD249" s="715" t="s">
        <v>112</v>
      </c>
      <c r="AE249" s="715">
        <f t="shared" si="42"/>
        <v>4320</v>
      </c>
      <c r="AF249" s="715" t="s">
        <v>4109</v>
      </c>
      <c r="AG249" s="715">
        <f>1344+129+1680+1167</f>
        <v>4320</v>
      </c>
      <c r="AH249" s="715">
        <f t="shared" si="46"/>
        <v>0</v>
      </c>
      <c r="AI249" s="717"/>
      <c r="AJ249" s="715" t="s">
        <v>3981</v>
      </c>
      <c r="AK249" s="652"/>
      <c r="AL249" s="652"/>
      <c r="AM249" s="652"/>
      <c r="AN249" s="652"/>
      <c r="AO249" s="652"/>
      <c r="AP249" s="652"/>
      <c r="AQ249" s="652">
        <f>I249</f>
        <v>4320</v>
      </c>
      <c r="AR249" s="652">
        <f>I249</f>
        <v>4320</v>
      </c>
      <c r="AS249" s="652">
        <f>I249/6</f>
        <v>720</v>
      </c>
      <c r="AT249" s="652"/>
      <c r="AU249" s="652"/>
      <c r="AV249" s="652"/>
      <c r="AW249" s="652"/>
      <c r="AX249" s="652"/>
      <c r="AY249" s="652"/>
      <c r="AZ249" s="652"/>
      <c r="BA249" s="652"/>
      <c r="BB249" s="652"/>
      <c r="BC249" s="652"/>
      <c r="BD249" s="652"/>
      <c r="BE249" s="652"/>
      <c r="BF249" s="652"/>
      <c r="BG249" s="652"/>
      <c r="BH249" s="652"/>
      <c r="BI249" s="652"/>
      <c r="BJ249" s="731"/>
      <c r="BK249" s="731"/>
      <c r="BL249" s="731"/>
      <c r="BM249" s="731"/>
      <c r="BN249" s="731"/>
      <c r="BO249" s="731"/>
      <c r="BP249" s="731"/>
      <c r="BQ249" s="731"/>
      <c r="BR249" s="731"/>
      <c r="BS249" s="731"/>
      <c r="BT249" s="731"/>
      <c r="BU249" s="731"/>
      <c r="BV249" s="731"/>
      <c r="BW249" s="731"/>
      <c r="BX249" s="731"/>
      <c r="BY249" s="731"/>
      <c r="BZ249" s="731"/>
      <c r="CA249" s="731"/>
      <c r="CB249" s="731"/>
      <c r="CC249" s="731"/>
      <c r="CD249" s="731"/>
      <c r="CE249" s="731"/>
      <c r="CF249" s="731"/>
      <c r="CG249" s="731"/>
      <c r="CH249" s="731"/>
      <c r="CI249" s="731"/>
      <c r="CJ249" s="731"/>
      <c r="CK249" s="731"/>
      <c r="CL249" s="731"/>
      <c r="CM249" s="731"/>
      <c r="CN249" s="731"/>
      <c r="CO249" s="731"/>
      <c r="CP249" s="731"/>
      <c r="CQ249" s="731"/>
      <c r="CR249" s="731"/>
    </row>
    <row r="250" s="654" customFormat="1" ht="31" customHeight="1" spans="1:108">
      <c r="A250" s="713">
        <v>46136</v>
      </c>
      <c r="B250" s="714" t="s">
        <v>935</v>
      </c>
      <c r="C250" s="715" t="s">
        <v>115</v>
      </c>
      <c r="D250" s="652" t="s">
        <v>4724</v>
      </c>
      <c r="E250" s="1908" t="s">
        <v>4725</v>
      </c>
      <c r="F250" s="652" t="s">
        <v>1288</v>
      </c>
      <c r="G250" s="716" t="s">
        <v>4215</v>
      </c>
      <c r="H250" s="715" t="s">
        <v>483</v>
      </c>
      <c r="I250" s="717">
        <v>4320</v>
      </c>
      <c r="J250" s="715">
        <v>0</v>
      </c>
      <c r="K250" s="715">
        <v>120</v>
      </c>
      <c r="L250" s="715">
        <f t="shared" si="50"/>
        <v>36</v>
      </c>
      <c r="M250" s="719">
        <v>46198</v>
      </c>
      <c r="N250" s="738">
        <v>46207</v>
      </c>
      <c r="O250" s="714"/>
      <c r="P250" s="717" t="s">
        <v>106</v>
      </c>
      <c r="Q250" s="717"/>
      <c r="R250" s="723">
        <v>46155</v>
      </c>
      <c r="S250" s="720" t="s">
        <v>107</v>
      </c>
      <c r="T250" s="720" t="s">
        <v>95</v>
      </c>
      <c r="U250" s="720"/>
      <c r="V250" s="720"/>
      <c r="W250" s="720"/>
      <c r="X250" s="720" t="s">
        <v>937</v>
      </c>
      <c r="Y250" s="719" t="s">
        <v>488</v>
      </c>
      <c r="Z250" s="730">
        <v>642</v>
      </c>
      <c r="AA250" s="652">
        <f t="shared" si="49"/>
        <v>23112</v>
      </c>
      <c r="AB250" s="729" t="s">
        <v>1290</v>
      </c>
      <c r="AC250" s="722" t="s">
        <v>490</v>
      </c>
      <c r="AD250" s="715" t="s">
        <v>112</v>
      </c>
      <c r="AE250" s="715">
        <f t="shared" si="42"/>
        <v>4320</v>
      </c>
      <c r="AF250" s="715" t="s">
        <v>4109</v>
      </c>
      <c r="AG250" s="715">
        <v>4320</v>
      </c>
      <c r="AH250" s="715">
        <f t="shared" si="46"/>
        <v>0</v>
      </c>
      <c r="AI250" s="717"/>
      <c r="AJ250" s="715" t="s">
        <v>3981</v>
      </c>
      <c r="AK250" s="652"/>
      <c r="AL250" s="652"/>
      <c r="AM250" s="652"/>
      <c r="AN250" s="652"/>
      <c r="AO250" s="652"/>
      <c r="AP250" s="652"/>
      <c r="AQ250" s="652">
        <f>I250</f>
        <v>4320</v>
      </c>
      <c r="AR250" s="652">
        <f>I250</f>
        <v>4320</v>
      </c>
      <c r="AS250" s="652">
        <f>I250/6</f>
        <v>720</v>
      </c>
      <c r="AT250" s="652"/>
      <c r="AU250" s="652"/>
      <c r="AV250" s="652"/>
      <c r="AW250" s="652"/>
      <c r="AX250" s="652"/>
      <c r="AY250" s="652"/>
      <c r="AZ250" s="652"/>
      <c r="BA250" s="652"/>
      <c r="BB250" s="652"/>
      <c r="BC250" s="652"/>
      <c r="BD250" s="652"/>
      <c r="BE250" s="652"/>
      <c r="BF250" s="652"/>
      <c r="BG250" s="652"/>
      <c r="BH250" s="652"/>
      <c r="BI250" s="652"/>
      <c r="BJ250" s="731"/>
      <c r="BK250" s="731"/>
      <c r="BL250" s="731"/>
      <c r="BM250" s="731"/>
      <c r="BN250" s="731"/>
      <c r="BO250" s="731"/>
      <c r="BP250" s="731"/>
      <c r="BQ250" s="731"/>
      <c r="BR250" s="731"/>
      <c r="BS250" s="731"/>
      <c r="BT250" s="731"/>
      <c r="BU250" s="731"/>
      <c r="BV250" s="731"/>
      <c r="BW250" s="731"/>
      <c r="BX250" s="731"/>
      <c r="BY250" s="731"/>
      <c r="BZ250" s="731"/>
      <c r="CA250" s="731"/>
      <c r="CB250" s="731"/>
      <c r="CC250" s="731"/>
      <c r="CD250" s="731"/>
      <c r="CE250" s="731"/>
      <c r="CF250" s="731"/>
      <c r="CG250" s="731"/>
      <c r="CH250" s="731"/>
      <c r="CI250" s="731"/>
      <c r="CJ250" s="731"/>
      <c r="CK250" s="731"/>
      <c r="CL250" s="731"/>
      <c r="CM250" s="731"/>
      <c r="CN250" s="731"/>
      <c r="CO250" s="731"/>
      <c r="CP250" s="731"/>
      <c r="CQ250" s="731"/>
      <c r="CR250" s="731"/>
      <c r="CS250" s="650"/>
      <c r="CT250" s="650"/>
      <c r="CU250" s="650"/>
      <c r="CV250" s="650"/>
      <c r="CW250" s="650"/>
      <c r="CX250" s="650"/>
      <c r="CY250" s="650"/>
      <c r="CZ250" s="650"/>
      <c r="DA250" s="650"/>
      <c r="DB250" s="650"/>
      <c r="DC250" s="650"/>
      <c r="DD250" s="650"/>
    </row>
    <row r="251" s="651" customFormat="1" ht="31" customHeight="1" spans="1:108">
      <c r="A251" s="713">
        <v>46136</v>
      </c>
      <c r="B251" s="714" t="s">
        <v>935</v>
      </c>
      <c r="C251" s="715" t="s">
        <v>115</v>
      </c>
      <c r="D251" s="652" t="s">
        <v>4726</v>
      </c>
      <c r="E251" s="1908" t="s">
        <v>4727</v>
      </c>
      <c r="F251" s="652" t="s">
        <v>1291</v>
      </c>
      <c r="G251" s="716" t="s">
        <v>4215</v>
      </c>
      <c r="H251" s="715" t="s">
        <v>483</v>
      </c>
      <c r="I251" s="717">
        <v>4320</v>
      </c>
      <c r="J251" s="715">
        <v>0</v>
      </c>
      <c r="K251" s="715">
        <v>120</v>
      </c>
      <c r="L251" s="715">
        <f t="shared" si="50"/>
        <v>36</v>
      </c>
      <c r="M251" s="719">
        <v>46198</v>
      </c>
      <c r="N251" s="738">
        <v>46207</v>
      </c>
      <c r="O251" s="714"/>
      <c r="P251" s="717" t="s">
        <v>106</v>
      </c>
      <c r="Q251" s="717"/>
      <c r="R251" s="723">
        <v>46155</v>
      </c>
      <c r="S251" s="720" t="s">
        <v>107</v>
      </c>
      <c r="T251" s="720" t="s">
        <v>95</v>
      </c>
      <c r="U251" s="720"/>
      <c r="V251" s="720"/>
      <c r="W251" s="720"/>
      <c r="X251" s="720" t="s">
        <v>937</v>
      </c>
      <c r="Y251" s="719" t="s">
        <v>488</v>
      </c>
      <c r="Z251" s="730">
        <v>642</v>
      </c>
      <c r="AA251" s="652">
        <f t="shared" si="49"/>
        <v>23112</v>
      </c>
      <c r="AB251" s="729" t="s">
        <v>1292</v>
      </c>
      <c r="AC251" s="722" t="s">
        <v>490</v>
      </c>
      <c r="AD251" s="715" t="s">
        <v>112</v>
      </c>
      <c r="AE251" s="715">
        <f t="shared" si="42"/>
        <v>4320</v>
      </c>
      <c r="AF251" s="715" t="s">
        <v>4109</v>
      </c>
      <c r="AG251" s="715">
        <f>960+144+192+750+2274</f>
        <v>4320</v>
      </c>
      <c r="AH251" s="715">
        <f t="shared" si="46"/>
        <v>0</v>
      </c>
      <c r="AI251" s="717"/>
      <c r="AJ251" s="715" t="s">
        <v>3981</v>
      </c>
      <c r="AK251" s="652"/>
      <c r="AL251" s="652"/>
      <c r="AM251" s="652"/>
      <c r="AN251" s="652"/>
      <c r="AO251" s="652"/>
      <c r="AP251" s="652"/>
      <c r="AQ251" s="652">
        <f>I251</f>
        <v>4320</v>
      </c>
      <c r="AR251" s="652">
        <f>I251</f>
        <v>4320</v>
      </c>
      <c r="AS251" s="652">
        <f>I251/6</f>
        <v>720</v>
      </c>
      <c r="AT251" s="652"/>
      <c r="AU251" s="652"/>
      <c r="AV251" s="652"/>
      <c r="AW251" s="652"/>
      <c r="AX251" s="652"/>
      <c r="AY251" s="652"/>
      <c r="AZ251" s="652"/>
      <c r="BA251" s="652"/>
      <c r="BB251" s="652"/>
      <c r="BC251" s="652"/>
      <c r="BD251" s="652"/>
      <c r="BE251" s="652"/>
      <c r="BF251" s="652"/>
      <c r="BG251" s="652"/>
      <c r="BH251" s="652"/>
      <c r="BI251" s="652"/>
      <c r="BJ251" s="731"/>
      <c r="BK251" s="731"/>
      <c r="BL251" s="731"/>
      <c r="BM251" s="731"/>
      <c r="BN251" s="731"/>
      <c r="BO251" s="731"/>
      <c r="BP251" s="731"/>
      <c r="BQ251" s="731"/>
      <c r="BR251" s="731"/>
      <c r="BS251" s="731"/>
      <c r="BT251" s="731"/>
      <c r="BU251" s="731"/>
      <c r="BV251" s="731"/>
      <c r="BW251" s="731"/>
      <c r="BX251" s="731"/>
      <c r="BY251" s="731"/>
      <c r="BZ251" s="731"/>
      <c r="CA251" s="731"/>
      <c r="CB251" s="731"/>
      <c r="CC251" s="731"/>
      <c r="CD251" s="731"/>
      <c r="CE251" s="731"/>
      <c r="CF251" s="731"/>
      <c r="CG251" s="731"/>
      <c r="CH251" s="731"/>
      <c r="CI251" s="731"/>
      <c r="CJ251" s="731"/>
      <c r="CK251" s="731"/>
      <c r="CL251" s="731"/>
      <c r="CM251" s="731"/>
      <c r="CN251" s="731"/>
      <c r="CO251" s="731"/>
      <c r="CP251" s="731"/>
      <c r="CQ251" s="731"/>
      <c r="CR251" s="731"/>
      <c r="CS251" s="650"/>
      <c r="CT251" s="650"/>
      <c r="CU251" s="650"/>
      <c r="CV251" s="650"/>
      <c r="CW251" s="650"/>
      <c r="CX251" s="650"/>
      <c r="CY251" s="650"/>
      <c r="CZ251" s="650"/>
      <c r="DA251" s="650"/>
      <c r="DB251" s="650"/>
      <c r="DC251" s="650"/>
      <c r="DD251" s="650"/>
    </row>
    <row r="252" s="651" customFormat="1" ht="31" customHeight="1" spans="1:108">
      <c r="A252" s="713">
        <v>46149</v>
      </c>
      <c r="B252" s="714" t="s">
        <v>2813</v>
      </c>
      <c r="C252" s="715" t="s">
        <v>1439</v>
      </c>
      <c r="D252" s="652" t="s">
        <v>4728</v>
      </c>
      <c r="E252" s="715" t="s">
        <v>4729</v>
      </c>
      <c r="F252" s="652" t="s">
        <v>4730</v>
      </c>
      <c r="G252" s="716" t="s">
        <v>3968</v>
      </c>
      <c r="H252" s="715" t="s">
        <v>3969</v>
      </c>
      <c r="I252" s="717">
        <v>1168</v>
      </c>
      <c r="J252" s="715">
        <v>0</v>
      </c>
      <c r="K252" s="715">
        <v>16</v>
      </c>
      <c r="L252" s="715">
        <f t="shared" si="50"/>
        <v>73</v>
      </c>
      <c r="M252" s="719">
        <v>46198</v>
      </c>
      <c r="N252" s="719">
        <v>46195</v>
      </c>
      <c r="O252" s="714"/>
      <c r="P252" s="717" t="s">
        <v>106</v>
      </c>
      <c r="Q252" s="717" t="s">
        <v>4731</v>
      </c>
      <c r="R252" s="723" t="s">
        <v>747</v>
      </c>
      <c r="S252" s="720" t="s">
        <v>107</v>
      </c>
      <c r="T252" s="720">
        <v>46181</v>
      </c>
      <c r="U252" s="720"/>
      <c r="V252" s="720"/>
      <c r="W252" s="720"/>
      <c r="X252" s="720" t="s">
        <v>4732</v>
      </c>
      <c r="Y252" s="719" t="s">
        <v>545</v>
      </c>
      <c r="Z252" s="730">
        <v>4.4395</v>
      </c>
      <c r="AA252" s="652">
        <f>I252*Z252</f>
        <v>5185.336</v>
      </c>
      <c r="AB252" s="721"/>
      <c r="AC252" s="652" t="s">
        <v>4426</v>
      </c>
      <c r="AD252" s="715" t="s">
        <v>112</v>
      </c>
      <c r="AE252" s="715">
        <f t="shared" si="42"/>
        <v>1168</v>
      </c>
      <c r="AF252" s="715" t="s">
        <v>4109</v>
      </c>
      <c r="AG252" s="715">
        <v>1168</v>
      </c>
      <c r="AH252" s="715">
        <f t="shared" si="46"/>
        <v>0</v>
      </c>
      <c r="AI252" s="717"/>
      <c r="AJ252" s="715" t="s">
        <v>3981</v>
      </c>
      <c r="AK252" s="652"/>
      <c r="AL252" s="652">
        <f>I252</f>
        <v>1168</v>
      </c>
      <c r="AM252" s="652"/>
      <c r="AN252" s="652">
        <f>I252</f>
        <v>1168</v>
      </c>
      <c r="AO252" s="652"/>
      <c r="AP252" s="652"/>
      <c r="AQ252" s="652"/>
      <c r="AR252" s="652"/>
      <c r="AS252" s="652"/>
      <c r="AT252" s="652"/>
      <c r="AU252" s="652"/>
      <c r="AV252" s="652"/>
      <c r="AW252" s="652"/>
      <c r="AX252" s="652"/>
      <c r="AY252" s="652"/>
      <c r="AZ252" s="652"/>
      <c r="BA252" s="652"/>
      <c r="BB252" s="652"/>
      <c r="BC252" s="652"/>
      <c r="BD252" s="652"/>
      <c r="BE252" s="652"/>
      <c r="BF252" s="652"/>
      <c r="BG252" s="652"/>
      <c r="BH252" s="652"/>
      <c r="BI252" s="652"/>
      <c r="BJ252" s="650"/>
      <c r="BK252" s="650"/>
      <c r="BL252" s="650"/>
      <c r="BM252" s="650"/>
      <c r="BN252" s="650"/>
      <c r="BO252" s="650"/>
      <c r="BP252" s="650"/>
      <c r="BQ252" s="650"/>
      <c r="BR252" s="650"/>
      <c r="BS252" s="650"/>
      <c r="BT252" s="650"/>
      <c r="BU252" s="650"/>
      <c r="BV252" s="650"/>
      <c r="BW252" s="650"/>
      <c r="BX252" s="650"/>
      <c r="BY252" s="650"/>
      <c r="BZ252" s="650"/>
      <c r="CA252" s="650"/>
      <c r="CB252" s="650"/>
      <c r="CC252" s="650"/>
      <c r="CD252" s="650"/>
      <c r="CE252" s="650"/>
      <c r="CF252" s="650"/>
      <c r="CG252" s="650"/>
      <c r="CH252" s="650"/>
      <c r="CI252" s="650"/>
      <c r="CJ252" s="650"/>
      <c r="CK252" s="650"/>
      <c r="CL252" s="650"/>
      <c r="CM252" s="650"/>
      <c r="CN252" s="650"/>
      <c r="CO252" s="650"/>
      <c r="CP252" s="650"/>
      <c r="CQ252" s="650"/>
      <c r="CR252" s="650"/>
      <c r="CS252" s="650"/>
      <c r="CT252" s="650"/>
      <c r="CU252" s="650"/>
      <c r="CV252" s="650"/>
      <c r="CW252" s="650"/>
      <c r="CX252" s="650"/>
      <c r="CY252" s="650"/>
      <c r="CZ252" s="650"/>
      <c r="DA252" s="650"/>
      <c r="DB252" s="650"/>
      <c r="DC252" s="650"/>
      <c r="DD252" s="650"/>
    </row>
    <row r="253" s="650" customFormat="1" ht="31" customHeight="1" spans="1:108">
      <c r="A253" s="713">
        <v>46136</v>
      </c>
      <c r="B253" s="714" t="s">
        <v>935</v>
      </c>
      <c r="C253" s="715" t="s">
        <v>115</v>
      </c>
      <c r="D253" s="652" t="s">
        <v>4733</v>
      </c>
      <c r="E253" s="1908" t="s">
        <v>4734</v>
      </c>
      <c r="F253" s="652" t="s">
        <v>1305</v>
      </c>
      <c r="G253" s="716" t="s">
        <v>4215</v>
      </c>
      <c r="H253" s="715" t="s">
        <v>483</v>
      </c>
      <c r="I253" s="717">
        <v>4320</v>
      </c>
      <c r="J253" s="715">
        <v>0</v>
      </c>
      <c r="K253" s="715">
        <v>120</v>
      </c>
      <c r="L253" s="715">
        <f t="shared" si="50"/>
        <v>36</v>
      </c>
      <c r="M253" s="719">
        <v>46199</v>
      </c>
      <c r="N253" s="738">
        <v>46219</v>
      </c>
      <c r="O253" s="714"/>
      <c r="P253" s="717" t="s">
        <v>106</v>
      </c>
      <c r="Q253" s="717"/>
      <c r="R253" s="723">
        <v>46155</v>
      </c>
      <c r="S253" s="720" t="s">
        <v>107</v>
      </c>
      <c r="T253" s="720" t="s">
        <v>95</v>
      </c>
      <c r="U253" s="720"/>
      <c r="V253" s="720"/>
      <c r="W253" s="720"/>
      <c r="X253" s="720" t="s">
        <v>937</v>
      </c>
      <c r="Y253" s="719" t="s">
        <v>488</v>
      </c>
      <c r="Z253" s="730">
        <v>642</v>
      </c>
      <c r="AA253" s="652">
        <f>L253*Z253</f>
        <v>23112</v>
      </c>
      <c r="AB253" s="729" t="s">
        <v>1306</v>
      </c>
      <c r="AC253" s="722" t="s">
        <v>490</v>
      </c>
      <c r="AD253" s="715" t="s">
        <v>112</v>
      </c>
      <c r="AE253" s="715">
        <f t="shared" si="42"/>
        <v>4320</v>
      </c>
      <c r="AF253" s="715" t="s">
        <v>4109</v>
      </c>
      <c r="AG253" s="715">
        <f>528+768+2640+174+210</f>
        <v>4320</v>
      </c>
      <c r="AH253" s="715">
        <f t="shared" si="46"/>
        <v>0</v>
      </c>
      <c r="AI253" s="717"/>
      <c r="AJ253" s="715" t="s">
        <v>3981</v>
      </c>
      <c r="AK253" s="652"/>
      <c r="AL253" s="652"/>
      <c r="AM253" s="652"/>
      <c r="AN253" s="652"/>
      <c r="AO253" s="652"/>
      <c r="AP253" s="652"/>
      <c r="AQ253" s="652">
        <f>I253</f>
        <v>4320</v>
      </c>
      <c r="AR253" s="652">
        <f>I253</f>
        <v>4320</v>
      </c>
      <c r="AS253" s="652">
        <f>I253/6</f>
        <v>720</v>
      </c>
      <c r="AT253" s="652"/>
      <c r="AU253" s="652"/>
      <c r="AV253" s="652"/>
      <c r="AW253" s="652"/>
      <c r="AX253" s="652"/>
      <c r="AY253" s="652"/>
      <c r="AZ253" s="652"/>
      <c r="BA253" s="652"/>
      <c r="BB253" s="652"/>
      <c r="BC253" s="652"/>
      <c r="BD253" s="652"/>
      <c r="BE253" s="652"/>
      <c r="BF253" s="652"/>
      <c r="BG253" s="652"/>
      <c r="BH253" s="652"/>
      <c r="BI253" s="652"/>
    </row>
    <row r="254" s="650" customFormat="1" ht="31" customHeight="1" spans="1:108">
      <c r="A254" s="713">
        <v>46136</v>
      </c>
      <c r="B254" s="714" t="s">
        <v>935</v>
      </c>
      <c r="C254" s="715" t="s">
        <v>115</v>
      </c>
      <c r="D254" s="652" t="s">
        <v>4735</v>
      </c>
      <c r="E254" s="1908" t="s">
        <v>4736</v>
      </c>
      <c r="F254" s="652" t="s">
        <v>1307</v>
      </c>
      <c r="G254" s="716" t="s">
        <v>4215</v>
      </c>
      <c r="H254" s="715" t="s">
        <v>483</v>
      </c>
      <c r="I254" s="717">
        <v>4320</v>
      </c>
      <c r="J254" s="715">
        <v>0</v>
      </c>
      <c r="K254" s="715">
        <v>120</v>
      </c>
      <c r="L254" s="715">
        <f t="shared" si="50"/>
        <v>36</v>
      </c>
      <c r="M254" s="719">
        <v>46199</v>
      </c>
      <c r="N254" s="738">
        <v>46219</v>
      </c>
      <c r="O254" s="652"/>
      <c r="P254" s="717" t="s">
        <v>106</v>
      </c>
      <c r="Q254" s="717"/>
      <c r="R254" s="723">
        <v>46155</v>
      </c>
      <c r="S254" s="720" t="s">
        <v>107</v>
      </c>
      <c r="T254" s="720" t="s">
        <v>95</v>
      </c>
      <c r="U254" s="720"/>
      <c r="V254" s="720"/>
      <c r="W254" s="720"/>
      <c r="X254" s="720" t="s">
        <v>937</v>
      </c>
      <c r="Y254" s="719" t="s">
        <v>488</v>
      </c>
      <c r="Z254" s="730">
        <v>642</v>
      </c>
      <c r="AA254" s="652">
        <f>L254*Z254</f>
        <v>23112</v>
      </c>
      <c r="AB254" s="729" t="s">
        <v>1310</v>
      </c>
      <c r="AC254" s="722" t="s">
        <v>490</v>
      </c>
      <c r="AD254" s="715" t="s">
        <v>112</v>
      </c>
      <c r="AE254" s="715">
        <f t="shared" si="42"/>
        <v>4320</v>
      </c>
      <c r="AF254" s="715" t="s">
        <v>4109</v>
      </c>
      <c r="AG254" s="715">
        <f>1152+1902+594+528+144</f>
        <v>4320</v>
      </c>
      <c r="AH254" s="715">
        <f t="shared" si="46"/>
        <v>0</v>
      </c>
      <c r="AI254" s="717"/>
      <c r="AJ254" s="715" t="s">
        <v>3981</v>
      </c>
      <c r="AK254" s="652"/>
      <c r="AL254" s="652"/>
      <c r="AM254" s="652"/>
      <c r="AN254" s="652"/>
      <c r="AO254" s="652"/>
      <c r="AP254" s="652"/>
      <c r="AQ254" s="652">
        <f>I254</f>
        <v>4320</v>
      </c>
      <c r="AR254" s="652">
        <f>I254</f>
        <v>4320</v>
      </c>
      <c r="AS254" s="652">
        <f>I254/6</f>
        <v>720</v>
      </c>
      <c r="AT254" s="652"/>
      <c r="AU254" s="652"/>
      <c r="AV254" s="652"/>
      <c r="AW254" s="652"/>
      <c r="AX254" s="652"/>
      <c r="AY254" s="652"/>
      <c r="AZ254" s="652"/>
      <c r="BA254" s="652"/>
      <c r="BB254" s="652"/>
      <c r="BC254" s="652"/>
      <c r="BD254" s="652"/>
      <c r="BE254" s="652"/>
      <c r="BF254" s="652"/>
      <c r="BG254" s="652"/>
      <c r="BH254" s="652"/>
      <c r="BI254" s="652"/>
      <c r="BJ254" s="724"/>
      <c r="BK254" s="724"/>
      <c r="BL254" s="724"/>
      <c r="BM254" s="724"/>
      <c r="BN254" s="724"/>
      <c r="BO254" s="724"/>
      <c r="BP254" s="724"/>
      <c r="BQ254" s="724"/>
      <c r="BR254" s="724"/>
      <c r="BS254" s="724"/>
      <c r="BT254" s="724"/>
      <c r="BU254" s="724"/>
      <c r="BV254" s="724"/>
      <c r="BW254" s="724"/>
      <c r="BX254" s="724"/>
      <c r="BY254" s="724"/>
      <c r="BZ254" s="724"/>
      <c r="CA254" s="724"/>
      <c r="CB254" s="724"/>
      <c r="CC254" s="724"/>
      <c r="CD254" s="724"/>
      <c r="CE254" s="724"/>
      <c r="CF254" s="724"/>
      <c r="CG254" s="724"/>
      <c r="CH254" s="724"/>
      <c r="CI254" s="724"/>
      <c r="CJ254" s="724"/>
      <c r="CK254" s="724"/>
      <c r="CL254" s="724"/>
      <c r="CM254" s="724"/>
      <c r="CN254" s="724"/>
      <c r="CO254" s="724"/>
      <c r="CP254" s="724"/>
      <c r="CQ254" s="724"/>
      <c r="CR254" s="724"/>
    </row>
    <row r="255" s="650" customFormat="1" ht="31" customHeight="1" spans="1:108">
      <c r="A255" s="713">
        <v>46136</v>
      </c>
      <c r="B255" s="714" t="s">
        <v>935</v>
      </c>
      <c r="C255" s="715" t="s">
        <v>115</v>
      </c>
      <c r="D255" s="652" t="s">
        <v>4737</v>
      </c>
      <c r="E255" s="1908" t="s">
        <v>4738</v>
      </c>
      <c r="F255" s="652" t="s">
        <v>1311</v>
      </c>
      <c r="G255" s="716" t="s">
        <v>4215</v>
      </c>
      <c r="H255" s="715" t="s">
        <v>483</v>
      </c>
      <c r="I255" s="717">
        <v>4320</v>
      </c>
      <c r="J255" s="715">
        <v>0</v>
      </c>
      <c r="K255" s="715">
        <v>120</v>
      </c>
      <c r="L255" s="715">
        <f t="shared" si="50"/>
        <v>36</v>
      </c>
      <c r="M255" s="719">
        <v>46199</v>
      </c>
      <c r="N255" s="738">
        <v>46219</v>
      </c>
      <c r="O255" s="714"/>
      <c r="P255" s="717" t="s">
        <v>106</v>
      </c>
      <c r="Q255" s="717"/>
      <c r="R255" s="734">
        <v>46155</v>
      </c>
      <c r="S255" s="735" t="s">
        <v>107</v>
      </c>
      <c r="T255" s="735" t="s">
        <v>95</v>
      </c>
      <c r="U255" s="735"/>
      <c r="V255" s="720"/>
      <c r="W255" s="720"/>
      <c r="X255" s="720" t="s">
        <v>937</v>
      </c>
      <c r="Y255" s="719" t="s">
        <v>488</v>
      </c>
      <c r="Z255" s="730">
        <v>642</v>
      </c>
      <c r="AA255" s="652">
        <f>L255*Z255</f>
        <v>23112</v>
      </c>
      <c r="AB255" s="729" t="s">
        <v>1313</v>
      </c>
      <c r="AC255" s="722" t="s">
        <v>490</v>
      </c>
      <c r="AD255" s="715" t="s">
        <v>112</v>
      </c>
      <c r="AE255" s="715">
        <f t="shared" si="42"/>
        <v>4320</v>
      </c>
      <c r="AF255" s="715" t="s">
        <v>4109</v>
      </c>
      <c r="AG255" s="715">
        <f>480+768+48+2094+528+402</f>
        <v>4320</v>
      </c>
      <c r="AH255" s="715">
        <f t="shared" si="46"/>
        <v>0</v>
      </c>
      <c r="AI255" s="717"/>
      <c r="AJ255" s="715" t="s">
        <v>3981</v>
      </c>
      <c r="AK255" s="652"/>
      <c r="AL255" s="652"/>
      <c r="AM255" s="652"/>
      <c r="AN255" s="652"/>
      <c r="AO255" s="652"/>
      <c r="AP255" s="652"/>
      <c r="AQ255" s="652">
        <f>I255</f>
        <v>4320</v>
      </c>
      <c r="AR255" s="652">
        <f>I255</f>
        <v>4320</v>
      </c>
      <c r="AS255" s="652">
        <f>I255/6</f>
        <v>720</v>
      </c>
      <c r="AT255" s="652"/>
      <c r="AU255" s="652"/>
      <c r="AV255" s="652"/>
      <c r="AW255" s="652"/>
      <c r="AX255" s="652"/>
      <c r="AY255" s="652"/>
      <c r="AZ255" s="652"/>
      <c r="BA255" s="652"/>
      <c r="BB255" s="652"/>
      <c r="BC255" s="652"/>
      <c r="BD255" s="652"/>
      <c r="BE255" s="652"/>
      <c r="BF255" s="652"/>
      <c r="BG255" s="652"/>
      <c r="BH255" s="652"/>
      <c r="BI255" s="652"/>
      <c r="BJ255" s="650"/>
      <c r="BK255" s="650"/>
      <c r="BL255" s="650"/>
      <c r="BM255" s="650"/>
      <c r="BN255" s="650"/>
      <c r="BO255" s="650"/>
      <c r="BP255" s="650"/>
      <c r="BQ255" s="650"/>
      <c r="BR255" s="650"/>
      <c r="BS255" s="650"/>
      <c r="BT255" s="650"/>
      <c r="BU255" s="650"/>
      <c r="BV255" s="650"/>
      <c r="BW255" s="650"/>
      <c r="BX255" s="650"/>
      <c r="BY255" s="650"/>
      <c r="BZ255" s="650"/>
      <c r="CA255" s="650"/>
      <c r="CB255" s="650"/>
      <c r="CC255" s="650"/>
      <c r="CD255" s="650"/>
      <c r="CE255" s="650"/>
      <c r="CF255" s="650"/>
      <c r="CG255" s="650"/>
      <c r="CH255" s="650"/>
      <c r="CI255" s="650"/>
      <c r="CJ255" s="650"/>
      <c r="CK255" s="650"/>
      <c r="CL255" s="650"/>
      <c r="CM255" s="650"/>
      <c r="CN255" s="650"/>
      <c r="CO255" s="650"/>
      <c r="CP255" s="650"/>
      <c r="CQ255" s="650"/>
      <c r="CR255" s="650"/>
      <c r="CS255" s="654"/>
      <c r="CT255" s="654"/>
      <c r="CU255" s="654"/>
      <c r="CV255" s="654"/>
      <c r="CW255" s="654"/>
      <c r="CX255" s="654"/>
      <c r="CY255" s="654"/>
      <c r="CZ255" s="654"/>
      <c r="DA255" s="654"/>
      <c r="DB255" s="654"/>
      <c r="DC255" s="654"/>
      <c r="DD255" s="654"/>
    </row>
    <row r="256" s="650" customFormat="1" ht="31" customHeight="1" spans="1:108">
      <c r="A256" s="713">
        <v>46136</v>
      </c>
      <c r="B256" s="714" t="s">
        <v>935</v>
      </c>
      <c r="C256" s="715" t="s">
        <v>115</v>
      </c>
      <c r="D256" s="652" t="s">
        <v>4739</v>
      </c>
      <c r="E256" s="1908" t="s">
        <v>4740</v>
      </c>
      <c r="F256" s="652" t="s">
        <v>1314</v>
      </c>
      <c r="G256" s="716" t="s">
        <v>4215</v>
      </c>
      <c r="H256" s="715" t="s">
        <v>483</v>
      </c>
      <c r="I256" s="717">
        <v>4320</v>
      </c>
      <c r="J256" s="715">
        <v>0</v>
      </c>
      <c r="K256" s="715">
        <v>120</v>
      </c>
      <c r="L256" s="715">
        <f t="shared" si="50"/>
        <v>36</v>
      </c>
      <c r="M256" s="719">
        <v>46199</v>
      </c>
      <c r="N256" s="738">
        <v>46219</v>
      </c>
      <c r="O256" s="714"/>
      <c r="P256" s="717" t="s">
        <v>106</v>
      </c>
      <c r="Q256" s="717"/>
      <c r="R256" s="723">
        <v>46155</v>
      </c>
      <c r="S256" s="720" t="s">
        <v>107</v>
      </c>
      <c r="T256" s="720" t="s">
        <v>95</v>
      </c>
      <c r="U256" s="720"/>
      <c r="V256" s="720"/>
      <c r="W256" s="720"/>
      <c r="X256" s="720" t="s">
        <v>937</v>
      </c>
      <c r="Y256" s="719" t="s">
        <v>488</v>
      </c>
      <c r="Z256" s="730">
        <v>642</v>
      </c>
      <c r="AA256" s="652">
        <f>L256*Z256</f>
        <v>23112</v>
      </c>
      <c r="AB256" s="729" t="s">
        <v>1316</v>
      </c>
      <c r="AC256" s="722" t="s">
        <v>490</v>
      </c>
      <c r="AD256" s="715" t="s">
        <v>112</v>
      </c>
      <c r="AE256" s="715">
        <f t="shared" si="42"/>
        <v>4320</v>
      </c>
      <c r="AF256" s="715" t="s">
        <v>4109</v>
      </c>
      <c r="AG256" s="715">
        <v>4320</v>
      </c>
      <c r="AH256" s="715">
        <f t="shared" si="46"/>
        <v>0</v>
      </c>
      <c r="AI256" s="717"/>
      <c r="AJ256" s="715" t="s">
        <v>3981</v>
      </c>
      <c r="AK256" s="652"/>
      <c r="AL256" s="652"/>
      <c r="AM256" s="652"/>
      <c r="AN256" s="652"/>
      <c r="AO256" s="652"/>
      <c r="AP256" s="652"/>
      <c r="AQ256" s="652">
        <f>I256</f>
        <v>4320</v>
      </c>
      <c r="AR256" s="652">
        <f>I256</f>
        <v>4320</v>
      </c>
      <c r="AS256" s="652">
        <f>I256/6</f>
        <v>720</v>
      </c>
      <c r="AT256" s="652"/>
      <c r="AU256" s="652"/>
      <c r="AV256" s="652"/>
      <c r="AW256" s="652"/>
      <c r="AX256" s="652"/>
      <c r="AY256" s="652"/>
      <c r="AZ256" s="652"/>
      <c r="BA256" s="652"/>
      <c r="BB256" s="652"/>
      <c r="BC256" s="652"/>
      <c r="BD256" s="652"/>
      <c r="BE256" s="652"/>
      <c r="BF256" s="652"/>
      <c r="BG256" s="652"/>
      <c r="BH256" s="652"/>
      <c r="BI256" s="652"/>
    </row>
    <row r="257" s="650" customFormat="1" ht="31" customHeight="1" spans="1:108">
      <c r="A257" s="713">
        <v>46114</v>
      </c>
      <c r="B257" s="714" t="s">
        <v>1332</v>
      </c>
      <c r="C257" s="715" t="s">
        <v>1333</v>
      </c>
      <c r="D257" s="652" t="s">
        <v>4741</v>
      </c>
      <c r="E257" s="715" t="s">
        <v>4742</v>
      </c>
      <c r="F257" s="652" t="s">
        <v>4743</v>
      </c>
      <c r="G257" s="716" t="s">
        <v>3973</v>
      </c>
      <c r="H257" s="715" t="s">
        <v>3995</v>
      </c>
      <c r="I257" s="717">
        <v>720</v>
      </c>
      <c r="J257" s="715">
        <v>0</v>
      </c>
      <c r="K257" s="715">
        <v>16</v>
      </c>
      <c r="L257" s="715">
        <f t="shared" si="50"/>
        <v>45</v>
      </c>
      <c r="M257" s="719">
        <v>46199</v>
      </c>
      <c r="N257" s="719">
        <v>46195</v>
      </c>
      <c r="O257" s="714"/>
      <c r="P257" s="717" t="s">
        <v>106</v>
      </c>
      <c r="Q257" s="717"/>
      <c r="R257" s="723">
        <v>46155</v>
      </c>
      <c r="S257" s="720" t="s">
        <v>107</v>
      </c>
      <c r="T257" s="720" t="s">
        <v>4744</v>
      </c>
      <c r="U257" s="720"/>
      <c r="V257" s="720"/>
      <c r="W257" s="720"/>
      <c r="X257" s="720" t="s">
        <v>1338</v>
      </c>
      <c r="Y257" s="719" t="s">
        <v>295</v>
      </c>
      <c r="Z257" s="730">
        <v>4.355</v>
      </c>
      <c r="AA257" s="652">
        <f>Z257*I257</f>
        <v>3135.6</v>
      </c>
      <c r="AB257" s="721"/>
      <c r="AC257" s="652" t="s">
        <v>4108</v>
      </c>
      <c r="AD257" s="715" t="s">
        <v>112</v>
      </c>
      <c r="AE257" s="715">
        <f t="shared" si="42"/>
        <v>720</v>
      </c>
      <c r="AF257" s="715" t="s">
        <v>4109</v>
      </c>
      <c r="AG257" s="715">
        <v>720</v>
      </c>
      <c r="AH257" s="715">
        <f t="shared" si="46"/>
        <v>0</v>
      </c>
      <c r="AI257" s="717"/>
      <c r="AJ257" s="715" t="s">
        <v>3981</v>
      </c>
      <c r="AK257" s="652"/>
      <c r="AL257" s="652">
        <f>I257</f>
        <v>720</v>
      </c>
      <c r="AM257" s="652"/>
      <c r="AN257" s="652">
        <f>I257</f>
        <v>720</v>
      </c>
      <c r="AO257" s="652"/>
      <c r="AP257" s="652"/>
      <c r="AQ257" s="652"/>
      <c r="AR257" s="652"/>
      <c r="AS257" s="652"/>
      <c r="AT257" s="652"/>
      <c r="AU257" s="652">
        <f>I257/8</f>
        <v>90</v>
      </c>
      <c r="AV257" s="652"/>
      <c r="AW257" s="652"/>
      <c r="AX257" s="652"/>
      <c r="AY257" s="652"/>
      <c r="AZ257" s="652"/>
      <c r="BA257" s="652"/>
      <c r="BB257" s="652"/>
      <c r="BC257" s="652"/>
      <c r="BD257" s="652"/>
      <c r="BE257" s="652"/>
      <c r="BF257" s="652"/>
      <c r="BG257" s="652"/>
      <c r="BH257" s="652"/>
      <c r="BI257" s="652"/>
    </row>
    <row r="258" s="650" customFormat="1" ht="31" customHeight="1" spans="1:108">
      <c r="A258" s="744">
        <v>46119</v>
      </c>
      <c r="B258" s="745" t="s">
        <v>1295</v>
      </c>
      <c r="C258" s="746" t="s">
        <v>201</v>
      </c>
      <c r="D258" s="747" t="s">
        <v>4745</v>
      </c>
      <c r="E258" s="746" t="s">
        <v>1296</v>
      </c>
      <c r="F258" s="747" t="s">
        <v>1297</v>
      </c>
      <c r="G258" s="746" t="s">
        <v>4353</v>
      </c>
      <c r="H258" s="715" t="s">
        <v>2405</v>
      </c>
      <c r="I258" s="748">
        <v>3588</v>
      </c>
      <c r="J258" s="746">
        <v>0</v>
      </c>
      <c r="K258" s="746">
        <v>12</v>
      </c>
      <c r="L258" s="715">
        <f t="shared" si="50"/>
        <v>299</v>
      </c>
      <c r="M258" s="719">
        <v>46199</v>
      </c>
      <c r="N258" s="719">
        <v>46195</v>
      </c>
      <c r="O258" s="714"/>
      <c r="P258" s="717" t="s">
        <v>106</v>
      </c>
      <c r="Q258" s="717"/>
      <c r="R258" s="723">
        <v>46167</v>
      </c>
      <c r="S258" s="720" t="s">
        <v>107</v>
      </c>
      <c r="T258" s="720" t="s">
        <v>4746</v>
      </c>
      <c r="U258" s="720"/>
      <c r="V258" s="720" t="s">
        <v>4347</v>
      </c>
      <c r="W258" s="720"/>
      <c r="X258" s="714" t="s">
        <v>1299</v>
      </c>
      <c r="Y258" s="749" t="s">
        <v>204</v>
      </c>
      <c r="Z258" s="750">
        <v>102.204</v>
      </c>
      <c r="AA258" s="652">
        <f t="shared" ref="AA258:AA265" si="51">L258*Z258</f>
        <v>30558.996</v>
      </c>
      <c r="AB258" s="721"/>
      <c r="AC258" s="714" t="s">
        <v>4388</v>
      </c>
      <c r="AD258" s="715" t="s">
        <v>112</v>
      </c>
      <c r="AE258" s="715">
        <f t="shared" si="42"/>
        <v>3588</v>
      </c>
      <c r="AF258" s="715"/>
      <c r="AG258" s="715"/>
      <c r="AH258" s="715">
        <f t="shared" si="46"/>
        <v>-3588</v>
      </c>
      <c r="AI258" s="717"/>
      <c r="AJ258" s="715" t="s">
        <v>3981</v>
      </c>
      <c r="AK258" s="652"/>
      <c r="AL258" s="652">
        <f>I258</f>
        <v>3588</v>
      </c>
      <c r="AM258" s="652"/>
      <c r="AN258" s="652"/>
      <c r="AO258" s="652"/>
      <c r="AP258" s="652"/>
      <c r="AQ258" s="652"/>
      <c r="AR258" s="652"/>
      <c r="AS258" s="652"/>
      <c r="AT258" s="652"/>
      <c r="AU258" s="652"/>
      <c r="AV258" s="652"/>
      <c r="AW258" s="652"/>
      <c r="AX258" s="652"/>
      <c r="AY258" s="652"/>
      <c r="AZ258" s="652"/>
      <c r="BA258" s="652"/>
      <c r="BB258" s="652"/>
      <c r="BC258" s="652"/>
      <c r="BD258" s="652"/>
      <c r="BE258" s="652"/>
      <c r="BF258" s="652"/>
      <c r="BG258" s="652"/>
      <c r="BH258" s="652"/>
      <c r="BI258" s="652"/>
      <c r="BJ258" s="731"/>
      <c r="BK258" s="731"/>
      <c r="BL258" s="731"/>
      <c r="BM258" s="731"/>
      <c r="BN258" s="731"/>
      <c r="BO258" s="731"/>
      <c r="BP258" s="731"/>
      <c r="BQ258" s="731"/>
      <c r="BR258" s="731"/>
      <c r="BS258" s="731"/>
      <c r="BT258" s="731"/>
      <c r="BU258" s="731"/>
      <c r="BV258" s="731"/>
      <c r="BW258" s="731"/>
      <c r="BX258" s="731"/>
      <c r="BY258" s="731"/>
      <c r="BZ258" s="731"/>
      <c r="CA258" s="731"/>
      <c r="CB258" s="731"/>
      <c r="CC258" s="731"/>
      <c r="CD258" s="731"/>
      <c r="CE258" s="731"/>
      <c r="CF258" s="731"/>
      <c r="CG258" s="731"/>
      <c r="CH258" s="731"/>
      <c r="CI258" s="731"/>
      <c r="CJ258" s="731"/>
      <c r="CK258" s="731"/>
      <c r="CL258" s="731"/>
      <c r="CM258" s="731"/>
      <c r="CN258" s="731"/>
      <c r="CO258" s="731"/>
      <c r="CP258" s="731"/>
      <c r="CQ258" s="731"/>
      <c r="CR258" s="731"/>
    </row>
    <row r="259" s="650" customFormat="1" ht="31" customHeight="1" spans="1:108">
      <c r="A259" s="713">
        <v>46107</v>
      </c>
      <c r="B259" s="714" t="s">
        <v>845</v>
      </c>
      <c r="C259" s="715" t="s">
        <v>291</v>
      </c>
      <c r="D259" s="652">
        <v>4500198842</v>
      </c>
      <c r="E259" s="715">
        <v>7950324037</v>
      </c>
      <c r="F259" s="652" t="s">
        <v>1329</v>
      </c>
      <c r="G259" s="716" t="s">
        <v>4215</v>
      </c>
      <c r="H259" s="715" t="s">
        <v>483</v>
      </c>
      <c r="I259" s="717">
        <v>4320</v>
      </c>
      <c r="J259" s="715">
        <v>0</v>
      </c>
      <c r="K259" s="715">
        <v>120</v>
      </c>
      <c r="L259" s="718">
        <f t="shared" si="50"/>
        <v>36</v>
      </c>
      <c r="M259" s="719">
        <v>46199</v>
      </c>
      <c r="N259" s="738">
        <v>46218</v>
      </c>
      <c r="O259" s="714"/>
      <c r="P259" s="717" t="s">
        <v>267</v>
      </c>
      <c r="Q259" s="717"/>
      <c r="R259" s="723" t="s">
        <v>1330</v>
      </c>
      <c r="S259" s="720" t="s">
        <v>107</v>
      </c>
      <c r="T259" s="720" t="s">
        <v>849</v>
      </c>
      <c r="U259" s="720"/>
      <c r="V259" s="720"/>
      <c r="W259" s="720"/>
      <c r="X259" s="720" t="s">
        <v>1331</v>
      </c>
      <c r="Y259" s="719" t="s">
        <v>295</v>
      </c>
      <c r="Z259" s="715">
        <v>1070</v>
      </c>
      <c r="AA259" s="715">
        <f t="shared" si="51"/>
        <v>38520</v>
      </c>
      <c r="AB259" s="721"/>
      <c r="AC259" s="652" t="s">
        <v>490</v>
      </c>
      <c r="AD259" s="715" t="s">
        <v>112</v>
      </c>
      <c r="AE259" s="715">
        <f t="shared" si="42"/>
        <v>4320</v>
      </c>
      <c r="AF259" s="715" t="s">
        <v>4109</v>
      </c>
      <c r="AG259" s="715">
        <f>942+1274+1938+166</f>
        <v>4320</v>
      </c>
      <c r="AH259" s="715">
        <f t="shared" si="46"/>
        <v>0</v>
      </c>
      <c r="AI259" s="717"/>
      <c r="AJ259" s="715" t="s">
        <v>3981</v>
      </c>
      <c r="AK259" s="652"/>
      <c r="AL259" s="652"/>
      <c r="AM259" s="652"/>
      <c r="AN259" s="652"/>
      <c r="AO259" s="652"/>
      <c r="AP259" s="652"/>
      <c r="AQ259" s="652">
        <f t="shared" ref="AQ259:AQ265" si="52">I259</f>
        <v>4320</v>
      </c>
      <c r="AR259" s="652">
        <f t="shared" ref="AR259:AR265" si="53">I259</f>
        <v>4320</v>
      </c>
      <c r="AS259" s="652">
        <f t="shared" ref="AS259:AS265" si="54">I259/6</f>
        <v>720</v>
      </c>
      <c r="AT259" s="652"/>
      <c r="AU259" s="652"/>
      <c r="AV259" s="652"/>
      <c r="AW259" s="652"/>
      <c r="AX259" s="652"/>
      <c r="AY259" s="652"/>
      <c r="AZ259" s="652"/>
      <c r="BA259" s="652"/>
      <c r="BB259" s="652"/>
      <c r="BC259" s="652"/>
      <c r="BD259" s="652"/>
      <c r="BE259" s="652"/>
      <c r="BF259" s="652"/>
      <c r="BG259" s="652"/>
      <c r="BH259" s="652"/>
      <c r="BI259" s="652"/>
    </row>
    <row r="260" s="650" customFormat="1" ht="31" customHeight="1" spans="1:108">
      <c r="A260" s="713">
        <v>46136</v>
      </c>
      <c r="B260" s="714" t="s">
        <v>935</v>
      </c>
      <c r="C260" s="715" t="s">
        <v>115</v>
      </c>
      <c r="D260" s="652" t="s">
        <v>4747</v>
      </c>
      <c r="E260" s="1908" t="s">
        <v>4748</v>
      </c>
      <c r="F260" s="652" t="s">
        <v>1317</v>
      </c>
      <c r="G260" s="716" t="s">
        <v>4215</v>
      </c>
      <c r="H260" s="715" t="s">
        <v>483</v>
      </c>
      <c r="I260" s="717">
        <v>4320</v>
      </c>
      <c r="J260" s="715">
        <v>0</v>
      </c>
      <c r="K260" s="715">
        <v>120</v>
      </c>
      <c r="L260" s="715">
        <f t="shared" si="50"/>
        <v>36</v>
      </c>
      <c r="M260" s="719">
        <v>46199</v>
      </c>
      <c r="N260" s="738">
        <v>46219</v>
      </c>
      <c r="O260" s="714"/>
      <c r="P260" s="717" t="s">
        <v>106</v>
      </c>
      <c r="Q260" s="717"/>
      <c r="R260" s="723">
        <v>46155</v>
      </c>
      <c r="S260" s="720" t="s">
        <v>107</v>
      </c>
      <c r="T260" s="720" t="s">
        <v>95</v>
      </c>
      <c r="U260" s="720"/>
      <c r="V260" s="720"/>
      <c r="W260" s="720"/>
      <c r="X260" s="720" t="s">
        <v>937</v>
      </c>
      <c r="Y260" s="719" t="s">
        <v>488</v>
      </c>
      <c r="Z260" s="730">
        <v>642</v>
      </c>
      <c r="AA260" s="652">
        <f t="shared" si="51"/>
        <v>23112</v>
      </c>
      <c r="AB260" s="729" t="s">
        <v>4749</v>
      </c>
      <c r="AC260" s="722" t="s">
        <v>490</v>
      </c>
      <c r="AD260" s="715" t="s">
        <v>112</v>
      </c>
      <c r="AE260" s="715">
        <f t="shared" si="42"/>
        <v>4320</v>
      </c>
      <c r="AF260" s="715" t="s">
        <v>4109</v>
      </c>
      <c r="AG260" s="767">
        <v>4320</v>
      </c>
      <c r="AH260" s="715">
        <f t="shared" si="46"/>
        <v>0</v>
      </c>
      <c r="AI260" s="717"/>
      <c r="AJ260" s="715" t="s">
        <v>3981</v>
      </c>
      <c r="AK260" s="652"/>
      <c r="AL260" s="652"/>
      <c r="AM260" s="652"/>
      <c r="AN260" s="652"/>
      <c r="AO260" s="652"/>
      <c r="AP260" s="652"/>
      <c r="AQ260" s="652">
        <f t="shared" si="52"/>
        <v>4320</v>
      </c>
      <c r="AR260" s="652">
        <f t="shared" si="53"/>
        <v>4320</v>
      </c>
      <c r="AS260" s="652">
        <f t="shared" si="54"/>
        <v>720</v>
      </c>
      <c r="AT260" s="652"/>
      <c r="AU260" s="652"/>
      <c r="AV260" s="652"/>
      <c r="AW260" s="652"/>
      <c r="AX260" s="652"/>
      <c r="AY260" s="652"/>
      <c r="AZ260" s="652"/>
      <c r="BA260" s="652"/>
      <c r="BB260" s="652"/>
      <c r="BC260" s="652"/>
      <c r="BD260" s="652"/>
      <c r="BE260" s="652"/>
      <c r="BF260" s="652"/>
      <c r="BG260" s="652"/>
      <c r="BH260" s="652"/>
      <c r="BI260" s="652"/>
    </row>
    <row r="261" s="650" customFormat="1" ht="31" customHeight="1" spans="1:108">
      <c r="A261" s="713">
        <v>46136</v>
      </c>
      <c r="B261" s="714" t="s">
        <v>935</v>
      </c>
      <c r="C261" s="715" t="s">
        <v>115</v>
      </c>
      <c r="D261" s="652" t="s">
        <v>4750</v>
      </c>
      <c r="E261" s="1908" t="s">
        <v>4751</v>
      </c>
      <c r="F261" s="652" t="s">
        <v>1339</v>
      </c>
      <c r="G261" s="716" t="s">
        <v>4215</v>
      </c>
      <c r="H261" s="715" t="s">
        <v>483</v>
      </c>
      <c r="I261" s="717">
        <v>4320</v>
      </c>
      <c r="J261" s="715">
        <v>0</v>
      </c>
      <c r="K261" s="715">
        <v>120</v>
      </c>
      <c r="L261" s="715">
        <f t="shared" si="50"/>
        <v>36</v>
      </c>
      <c r="M261" s="719">
        <v>46199</v>
      </c>
      <c r="N261" s="738">
        <v>46219</v>
      </c>
      <c r="O261" s="714"/>
      <c r="P261" s="717" t="s">
        <v>106</v>
      </c>
      <c r="Q261" s="717"/>
      <c r="R261" s="723">
        <v>46155</v>
      </c>
      <c r="S261" s="720" t="s">
        <v>107</v>
      </c>
      <c r="T261" s="720" t="s">
        <v>95</v>
      </c>
      <c r="U261" s="720"/>
      <c r="V261" s="720"/>
      <c r="W261" s="720"/>
      <c r="X261" s="720" t="s">
        <v>937</v>
      </c>
      <c r="Y261" s="719" t="s">
        <v>488</v>
      </c>
      <c r="Z261" s="730">
        <v>642</v>
      </c>
      <c r="AA261" s="652">
        <f t="shared" si="51"/>
        <v>23112</v>
      </c>
      <c r="AB261" s="729" t="s">
        <v>4752</v>
      </c>
      <c r="AC261" s="722" t="s">
        <v>490</v>
      </c>
      <c r="AD261" s="715" t="s">
        <v>112</v>
      </c>
      <c r="AE261" s="715">
        <f t="shared" si="42"/>
        <v>4320</v>
      </c>
      <c r="AF261" s="715" t="s">
        <v>4109</v>
      </c>
      <c r="AG261" s="715">
        <v>4320</v>
      </c>
      <c r="AH261" s="715">
        <f t="shared" si="46"/>
        <v>0</v>
      </c>
      <c r="AI261" s="717"/>
      <c r="AJ261" s="715" t="s">
        <v>3981</v>
      </c>
      <c r="AK261" s="652"/>
      <c r="AL261" s="652"/>
      <c r="AM261" s="652"/>
      <c r="AN261" s="652"/>
      <c r="AO261" s="652"/>
      <c r="AP261" s="652"/>
      <c r="AQ261" s="652">
        <f t="shared" si="52"/>
        <v>4320</v>
      </c>
      <c r="AR261" s="652">
        <f t="shared" si="53"/>
        <v>4320</v>
      </c>
      <c r="AS261" s="652">
        <f t="shared" si="54"/>
        <v>720</v>
      </c>
      <c r="AT261" s="652"/>
      <c r="AU261" s="652"/>
      <c r="AV261" s="652"/>
      <c r="AW261" s="652"/>
      <c r="AX261" s="652"/>
      <c r="AY261" s="652"/>
      <c r="AZ261" s="652"/>
      <c r="BA261" s="652"/>
      <c r="BB261" s="652"/>
      <c r="BC261" s="652"/>
      <c r="BD261" s="652"/>
      <c r="BE261" s="652"/>
      <c r="BF261" s="652"/>
      <c r="BG261" s="652"/>
      <c r="BH261" s="652"/>
      <c r="BI261" s="652"/>
    </row>
    <row r="262" s="650" customFormat="1" ht="31" customHeight="1" spans="1:108">
      <c r="A262" s="713">
        <v>46136</v>
      </c>
      <c r="B262" s="714" t="s">
        <v>935</v>
      </c>
      <c r="C262" s="715" t="s">
        <v>115</v>
      </c>
      <c r="D262" s="652" t="s">
        <v>4753</v>
      </c>
      <c r="E262" s="1908" t="s">
        <v>4754</v>
      </c>
      <c r="F262" s="652" t="s">
        <v>1319</v>
      </c>
      <c r="G262" s="716" t="s">
        <v>4215</v>
      </c>
      <c r="H262" s="715" t="s">
        <v>483</v>
      </c>
      <c r="I262" s="717">
        <v>4320</v>
      </c>
      <c r="J262" s="715">
        <v>0</v>
      </c>
      <c r="K262" s="715">
        <v>120</v>
      </c>
      <c r="L262" s="715">
        <f t="shared" si="50"/>
        <v>36</v>
      </c>
      <c r="M262" s="719">
        <v>46199</v>
      </c>
      <c r="N262" s="738">
        <v>46219</v>
      </c>
      <c r="O262" s="714"/>
      <c r="P262" s="717" t="s">
        <v>106</v>
      </c>
      <c r="Q262" s="717"/>
      <c r="R262" s="723">
        <v>46155</v>
      </c>
      <c r="S262" s="720" t="s">
        <v>107</v>
      </c>
      <c r="T262" s="720" t="s">
        <v>95</v>
      </c>
      <c r="U262" s="720"/>
      <c r="V262" s="720"/>
      <c r="W262" s="720"/>
      <c r="X262" s="720" t="s">
        <v>937</v>
      </c>
      <c r="Y262" s="719" t="s">
        <v>488</v>
      </c>
      <c r="Z262" s="730">
        <v>642</v>
      </c>
      <c r="AA262" s="652">
        <f t="shared" si="51"/>
        <v>23112</v>
      </c>
      <c r="AB262" s="729" t="s">
        <v>4755</v>
      </c>
      <c r="AC262" s="722" t="s">
        <v>490</v>
      </c>
      <c r="AD262" s="715" t="s">
        <v>112</v>
      </c>
      <c r="AE262" s="715">
        <f t="shared" si="42"/>
        <v>4320</v>
      </c>
      <c r="AF262" s="715" t="s">
        <v>4109</v>
      </c>
      <c r="AG262" s="715">
        <f>1296+1506+768+750</f>
        <v>4320</v>
      </c>
      <c r="AH262" s="715">
        <f t="shared" si="46"/>
        <v>0</v>
      </c>
      <c r="AI262" s="717"/>
      <c r="AJ262" s="715" t="s">
        <v>3981</v>
      </c>
      <c r="AK262" s="652"/>
      <c r="AL262" s="652"/>
      <c r="AM262" s="652"/>
      <c r="AN262" s="652"/>
      <c r="AO262" s="652"/>
      <c r="AP262" s="652"/>
      <c r="AQ262" s="652">
        <f t="shared" si="52"/>
        <v>4320</v>
      </c>
      <c r="AR262" s="652">
        <f t="shared" si="53"/>
        <v>4320</v>
      </c>
      <c r="AS262" s="652">
        <f t="shared" si="54"/>
        <v>720</v>
      </c>
      <c r="AT262" s="652"/>
      <c r="AU262" s="652"/>
      <c r="AV262" s="652"/>
      <c r="AW262" s="652"/>
      <c r="AX262" s="652"/>
      <c r="AY262" s="652"/>
      <c r="AZ262" s="652"/>
      <c r="BA262" s="652"/>
      <c r="BB262" s="652"/>
      <c r="BC262" s="652"/>
      <c r="BD262" s="652"/>
      <c r="BE262" s="652"/>
      <c r="BF262" s="652"/>
      <c r="BG262" s="652"/>
      <c r="BH262" s="652"/>
      <c r="BI262" s="652"/>
      <c r="BJ262" s="724"/>
      <c r="BK262" s="724"/>
      <c r="BL262" s="724"/>
      <c r="BM262" s="724"/>
      <c r="BN262" s="724"/>
      <c r="BO262" s="724"/>
      <c r="BP262" s="724"/>
      <c r="BQ262" s="724"/>
      <c r="BR262" s="724"/>
      <c r="BS262" s="724"/>
      <c r="BT262" s="724"/>
      <c r="BU262" s="724"/>
      <c r="BV262" s="724"/>
      <c r="BW262" s="724"/>
      <c r="BX262" s="724"/>
      <c r="BY262" s="724"/>
      <c r="BZ262" s="724"/>
      <c r="CA262" s="724"/>
      <c r="CB262" s="724"/>
      <c r="CC262" s="724"/>
      <c r="CD262" s="724"/>
      <c r="CE262" s="724"/>
      <c r="CF262" s="724"/>
      <c r="CG262" s="724"/>
      <c r="CH262" s="724"/>
      <c r="CI262" s="724"/>
      <c r="CJ262" s="724"/>
      <c r="CK262" s="724"/>
      <c r="CL262" s="724"/>
      <c r="CM262" s="724"/>
      <c r="CN262" s="724"/>
      <c r="CO262" s="724"/>
      <c r="CP262" s="724"/>
      <c r="CQ262" s="724"/>
      <c r="CR262" s="724"/>
    </row>
    <row r="263" s="650" customFormat="1" ht="31" customHeight="1" spans="1:108">
      <c r="A263" s="713">
        <v>46136</v>
      </c>
      <c r="B263" s="714" t="s">
        <v>935</v>
      </c>
      <c r="C263" s="715" t="s">
        <v>115</v>
      </c>
      <c r="D263" s="652" t="s">
        <v>4756</v>
      </c>
      <c r="E263" s="1908" t="s">
        <v>4757</v>
      </c>
      <c r="F263" s="652" t="s">
        <v>1341</v>
      </c>
      <c r="G263" s="716" t="s">
        <v>4215</v>
      </c>
      <c r="H263" s="715" t="s">
        <v>483</v>
      </c>
      <c r="I263" s="717">
        <v>4320</v>
      </c>
      <c r="J263" s="715">
        <v>0</v>
      </c>
      <c r="K263" s="715">
        <v>120</v>
      </c>
      <c r="L263" s="715">
        <f t="shared" si="50"/>
        <v>36</v>
      </c>
      <c r="M263" s="719">
        <v>46199</v>
      </c>
      <c r="N263" s="738">
        <v>46220</v>
      </c>
      <c r="O263" s="714"/>
      <c r="P263" s="717" t="s">
        <v>106</v>
      </c>
      <c r="Q263" s="717"/>
      <c r="R263" s="723">
        <v>46155</v>
      </c>
      <c r="S263" s="720" t="s">
        <v>107</v>
      </c>
      <c r="T263" s="720" t="s">
        <v>95</v>
      </c>
      <c r="U263" s="720"/>
      <c r="V263" s="720"/>
      <c r="W263" s="720"/>
      <c r="X263" s="720" t="s">
        <v>937</v>
      </c>
      <c r="Y263" s="719" t="s">
        <v>488</v>
      </c>
      <c r="Z263" s="730">
        <v>642</v>
      </c>
      <c r="AA263" s="652">
        <f t="shared" si="51"/>
        <v>23112</v>
      </c>
      <c r="AB263" s="729" t="s">
        <v>1342</v>
      </c>
      <c r="AC263" s="722" t="s">
        <v>490</v>
      </c>
      <c r="AD263" s="715" t="s">
        <v>112</v>
      </c>
      <c r="AE263" s="715">
        <f t="shared" si="42"/>
        <v>4320</v>
      </c>
      <c r="AF263" s="715" t="s">
        <v>4109</v>
      </c>
      <c r="AG263" s="715">
        <f>1872+384+2064</f>
        <v>4320</v>
      </c>
      <c r="AH263" s="715">
        <f t="shared" si="46"/>
        <v>0</v>
      </c>
      <c r="AI263" s="717"/>
      <c r="AJ263" s="715" t="s">
        <v>3981</v>
      </c>
      <c r="AK263" s="652"/>
      <c r="AL263" s="652"/>
      <c r="AM263" s="652"/>
      <c r="AN263" s="652"/>
      <c r="AO263" s="652"/>
      <c r="AP263" s="652"/>
      <c r="AQ263" s="652">
        <f t="shared" si="52"/>
        <v>4320</v>
      </c>
      <c r="AR263" s="652">
        <f t="shared" si="53"/>
        <v>4320</v>
      </c>
      <c r="AS263" s="652">
        <f t="shared" si="54"/>
        <v>720</v>
      </c>
      <c r="AT263" s="652"/>
      <c r="AU263" s="652"/>
      <c r="AV263" s="652"/>
      <c r="AW263" s="652"/>
      <c r="AX263" s="652"/>
      <c r="AY263" s="652"/>
      <c r="AZ263" s="652"/>
      <c r="BA263" s="652"/>
      <c r="BB263" s="652"/>
      <c r="BC263" s="652"/>
      <c r="BD263" s="652"/>
      <c r="BE263" s="652"/>
      <c r="BF263" s="652"/>
      <c r="BG263" s="652"/>
      <c r="BH263" s="652"/>
      <c r="BI263" s="652"/>
    </row>
    <row r="264" s="650" customFormat="1" ht="31" customHeight="1" spans="1:108">
      <c r="A264" s="713">
        <v>46136</v>
      </c>
      <c r="B264" s="714" t="s">
        <v>935</v>
      </c>
      <c r="C264" s="715" t="s">
        <v>115</v>
      </c>
      <c r="D264" s="652" t="s">
        <v>4758</v>
      </c>
      <c r="E264" s="1908" t="s">
        <v>4759</v>
      </c>
      <c r="F264" s="652" t="s">
        <v>1343</v>
      </c>
      <c r="G264" s="716" t="s">
        <v>4215</v>
      </c>
      <c r="H264" s="715" t="s">
        <v>483</v>
      </c>
      <c r="I264" s="717">
        <v>4320</v>
      </c>
      <c r="J264" s="715">
        <v>0</v>
      </c>
      <c r="K264" s="715">
        <v>120</v>
      </c>
      <c r="L264" s="715">
        <f t="shared" si="50"/>
        <v>36</v>
      </c>
      <c r="M264" s="719">
        <v>46199</v>
      </c>
      <c r="N264" s="738">
        <v>46220</v>
      </c>
      <c r="O264" s="714"/>
      <c r="P264" s="717" t="s">
        <v>106</v>
      </c>
      <c r="Q264" s="717"/>
      <c r="R264" s="723">
        <v>46155</v>
      </c>
      <c r="S264" s="720" t="s">
        <v>107</v>
      </c>
      <c r="T264" s="720" t="s">
        <v>95</v>
      </c>
      <c r="U264" s="720"/>
      <c r="V264" s="720"/>
      <c r="W264" s="720"/>
      <c r="X264" s="720" t="s">
        <v>937</v>
      </c>
      <c r="Y264" s="719" t="s">
        <v>488</v>
      </c>
      <c r="Z264" s="730">
        <v>642</v>
      </c>
      <c r="AA264" s="652">
        <f t="shared" si="51"/>
        <v>23112</v>
      </c>
      <c r="AB264" s="729" t="s">
        <v>1344</v>
      </c>
      <c r="AC264" s="722" t="s">
        <v>490</v>
      </c>
      <c r="AD264" s="715" t="s">
        <v>112</v>
      </c>
      <c r="AE264" s="715">
        <f t="shared" si="42"/>
        <v>4320</v>
      </c>
      <c r="AF264" s="715" t="s">
        <v>4109</v>
      </c>
      <c r="AG264" s="652">
        <f>3026+384+720+192</f>
        <v>4322</v>
      </c>
      <c r="AH264" s="715">
        <f t="shared" si="46"/>
        <v>2</v>
      </c>
      <c r="AI264" s="717"/>
      <c r="AJ264" s="715" t="s">
        <v>3981</v>
      </c>
      <c r="AK264" s="652"/>
      <c r="AL264" s="652"/>
      <c r="AM264" s="652"/>
      <c r="AN264" s="652"/>
      <c r="AO264" s="652"/>
      <c r="AP264" s="652"/>
      <c r="AQ264" s="652">
        <f t="shared" si="52"/>
        <v>4320</v>
      </c>
      <c r="AR264" s="652">
        <f t="shared" si="53"/>
        <v>4320</v>
      </c>
      <c r="AS264" s="652">
        <f t="shared" si="54"/>
        <v>720</v>
      </c>
      <c r="AT264" s="652"/>
      <c r="AU264" s="652"/>
      <c r="AV264" s="652"/>
      <c r="AW264" s="652"/>
      <c r="AX264" s="652"/>
      <c r="AY264" s="652"/>
      <c r="AZ264" s="652"/>
      <c r="BA264" s="652"/>
      <c r="BB264" s="652"/>
      <c r="BC264" s="652"/>
      <c r="BD264" s="652"/>
      <c r="BE264" s="652"/>
      <c r="BF264" s="652"/>
      <c r="BG264" s="652"/>
      <c r="BH264" s="652"/>
      <c r="BI264" s="652"/>
    </row>
    <row r="265" s="650" customFormat="1" ht="31" customHeight="1" spans="1:108">
      <c r="A265" s="713">
        <v>46136</v>
      </c>
      <c r="B265" s="714" t="s">
        <v>935</v>
      </c>
      <c r="C265" s="715" t="s">
        <v>115</v>
      </c>
      <c r="D265" s="652" t="s">
        <v>4760</v>
      </c>
      <c r="E265" s="1908" t="s">
        <v>4761</v>
      </c>
      <c r="F265" s="652" t="s">
        <v>1345</v>
      </c>
      <c r="G265" s="716" t="s">
        <v>4215</v>
      </c>
      <c r="H265" s="715" t="s">
        <v>483</v>
      </c>
      <c r="I265" s="717">
        <v>4320</v>
      </c>
      <c r="J265" s="715">
        <v>0</v>
      </c>
      <c r="K265" s="715">
        <v>120</v>
      </c>
      <c r="L265" s="715">
        <f t="shared" si="50"/>
        <v>36</v>
      </c>
      <c r="M265" s="719">
        <v>46199</v>
      </c>
      <c r="N265" s="738">
        <v>46220</v>
      </c>
      <c r="O265" s="714"/>
      <c r="P265" s="717" t="s">
        <v>106</v>
      </c>
      <c r="Q265" s="717"/>
      <c r="R265" s="723">
        <v>46155</v>
      </c>
      <c r="S265" s="720" t="s">
        <v>107</v>
      </c>
      <c r="T265" s="720" t="s">
        <v>95</v>
      </c>
      <c r="U265" s="720"/>
      <c r="V265" s="720"/>
      <c r="W265" s="720"/>
      <c r="X265" s="720" t="s">
        <v>937</v>
      </c>
      <c r="Y265" s="719" t="s">
        <v>488</v>
      </c>
      <c r="Z265" s="730">
        <v>642</v>
      </c>
      <c r="AA265" s="652">
        <f t="shared" si="51"/>
        <v>23112</v>
      </c>
      <c r="AB265" s="729" t="s">
        <v>4762</v>
      </c>
      <c r="AC265" s="722" t="s">
        <v>490</v>
      </c>
      <c r="AD265" s="715" t="s">
        <v>112</v>
      </c>
      <c r="AE265" s="715">
        <f t="shared" si="42"/>
        <v>4320</v>
      </c>
      <c r="AF265" s="715" t="s">
        <v>4109</v>
      </c>
      <c r="AG265" s="715">
        <f>3024+1296</f>
        <v>4320</v>
      </c>
      <c r="AH265" s="715">
        <f t="shared" si="46"/>
        <v>0</v>
      </c>
      <c r="AI265" s="717"/>
      <c r="AJ265" s="715" t="s">
        <v>3981</v>
      </c>
      <c r="AK265" s="652"/>
      <c r="AL265" s="652"/>
      <c r="AM265" s="652"/>
      <c r="AN265" s="652"/>
      <c r="AO265" s="652"/>
      <c r="AP265" s="652"/>
      <c r="AQ265" s="652">
        <f t="shared" si="52"/>
        <v>4320</v>
      </c>
      <c r="AR265" s="652">
        <f t="shared" si="53"/>
        <v>4320</v>
      </c>
      <c r="AS265" s="652">
        <f t="shared" si="54"/>
        <v>720</v>
      </c>
      <c r="AT265" s="652"/>
      <c r="AU265" s="652"/>
      <c r="AV265" s="652"/>
      <c r="AW265" s="652"/>
      <c r="AX265" s="652"/>
      <c r="AY265" s="652"/>
      <c r="AZ265" s="652"/>
      <c r="BA265" s="652"/>
      <c r="BB265" s="652"/>
      <c r="BC265" s="652"/>
      <c r="BD265" s="652"/>
      <c r="BE265" s="652"/>
      <c r="BF265" s="652"/>
      <c r="BG265" s="652"/>
      <c r="BH265" s="652"/>
      <c r="BI265" s="652"/>
    </row>
    <row r="266" s="651" customFormat="1" ht="31" customHeight="1" spans="1:108">
      <c r="A266" s="713">
        <v>46104</v>
      </c>
      <c r="B266" s="714" t="s">
        <v>521</v>
      </c>
      <c r="C266" s="715" t="s">
        <v>101</v>
      </c>
      <c r="D266" s="652">
        <v>4500198161</v>
      </c>
      <c r="E266" s="715">
        <v>21605192</v>
      </c>
      <c r="F266" s="652" t="s">
        <v>4763</v>
      </c>
      <c r="G266" s="716" t="s">
        <v>3980</v>
      </c>
      <c r="H266" s="715" t="s">
        <v>3978</v>
      </c>
      <c r="I266" s="717">
        <v>88</v>
      </c>
      <c r="J266" s="715">
        <v>0</v>
      </c>
      <c r="K266" s="715">
        <v>8</v>
      </c>
      <c r="L266" s="715">
        <f t="shared" si="50"/>
        <v>11</v>
      </c>
      <c r="M266" s="719">
        <v>46202</v>
      </c>
      <c r="N266" s="719">
        <v>46200</v>
      </c>
      <c r="O266" s="714" t="s">
        <v>4109</v>
      </c>
      <c r="P266" s="717" t="s">
        <v>106</v>
      </c>
      <c r="Q266" s="717"/>
      <c r="R266" s="723">
        <v>46169</v>
      </c>
      <c r="S266" s="720" t="s">
        <v>107</v>
      </c>
      <c r="T266" s="720" t="s">
        <v>4050</v>
      </c>
      <c r="U266" s="720"/>
      <c r="V266" s="720" t="s">
        <v>4764</v>
      </c>
      <c r="W266" s="720"/>
      <c r="X266" s="720" t="s">
        <v>4765</v>
      </c>
      <c r="Y266" s="719" t="s">
        <v>362</v>
      </c>
      <c r="Z266" s="730">
        <v>5</v>
      </c>
      <c r="AA266" s="652">
        <f>Z266*I266</f>
        <v>440</v>
      </c>
      <c r="AB266" s="721"/>
      <c r="AC266" s="722" t="s">
        <v>3980</v>
      </c>
      <c r="AD266" s="715" t="s">
        <v>112</v>
      </c>
      <c r="AE266" s="715">
        <f t="shared" si="42"/>
        <v>88</v>
      </c>
      <c r="AF266" s="715"/>
      <c r="AG266" s="715">
        <v>88</v>
      </c>
      <c r="AH266" s="715">
        <f t="shared" si="46"/>
        <v>0</v>
      </c>
      <c r="AI266" s="717"/>
      <c r="AJ266" s="715" t="s">
        <v>3981</v>
      </c>
      <c r="AK266" s="652">
        <f>I266</f>
        <v>88</v>
      </c>
      <c r="AL266" s="652"/>
      <c r="AM266" s="652"/>
      <c r="AN266" s="652">
        <f t="shared" ref="AN266:AN285" si="55">I266</f>
        <v>88</v>
      </c>
      <c r="AO266" s="652"/>
      <c r="AP266" s="652"/>
      <c r="AQ266" s="652"/>
      <c r="AR266" s="652"/>
      <c r="AS266" s="652"/>
      <c r="AT266" s="652"/>
      <c r="AU266" s="652"/>
      <c r="AV266" s="652"/>
      <c r="AW266" s="652"/>
      <c r="AX266" s="652">
        <f>I266/8</f>
        <v>11</v>
      </c>
      <c r="AY266" s="652"/>
      <c r="AZ266" s="652"/>
      <c r="BA266" s="652"/>
      <c r="BB266" s="652"/>
      <c r="BC266" s="652"/>
      <c r="BD266" s="652"/>
      <c r="BE266" s="652"/>
      <c r="BF266" s="652"/>
      <c r="BG266" s="652"/>
      <c r="BH266" s="652"/>
      <c r="BI266" s="652"/>
      <c r="BJ266" s="724"/>
      <c r="BK266" s="724"/>
      <c r="BL266" s="724"/>
      <c r="BM266" s="724"/>
      <c r="BN266" s="724"/>
      <c r="BO266" s="724"/>
      <c r="BP266" s="724"/>
      <c r="BQ266" s="724"/>
      <c r="BR266" s="724"/>
      <c r="BS266" s="724"/>
      <c r="BT266" s="724"/>
      <c r="BU266" s="724"/>
      <c r="BV266" s="724"/>
      <c r="BW266" s="724"/>
      <c r="BX266" s="724"/>
      <c r="BY266" s="724"/>
      <c r="BZ266" s="724"/>
      <c r="CA266" s="724"/>
      <c r="CB266" s="724"/>
      <c r="CC266" s="724"/>
      <c r="CD266" s="724"/>
      <c r="CE266" s="724"/>
      <c r="CF266" s="724"/>
      <c r="CG266" s="724"/>
      <c r="CH266" s="724"/>
      <c r="CI266" s="724"/>
      <c r="CJ266" s="724"/>
      <c r="CK266" s="724"/>
      <c r="CL266" s="724"/>
      <c r="CM266" s="724"/>
      <c r="CN266" s="724"/>
      <c r="CO266" s="724"/>
      <c r="CP266" s="724"/>
      <c r="CQ266" s="724"/>
      <c r="CR266" s="724"/>
      <c r="CS266" s="650"/>
      <c r="CT266" s="650"/>
      <c r="CU266" s="650"/>
      <c r="CV266" s="650"/>
      <c r="CW266" s="650"/>
      <c r="CX266" s="650"/>
      <c r="CY266" s="650"/>
      <c r="CZ266" s="650"/>
      <c r="DA266" s="650"/>
      <c r="DB266" s="650"/>
      <c r="DC266" s="650"/>
      <c r="DD266" s="650"/>
    </row>
    <row r="267" s="650" customFormat="1" ht="31" customHeight="1" spans="1:108">
      <c r="A267" s="713">
        <v>46104</v>
      </c>
      <c r="B267" s="714" t="s">
        <v>525</v>
      </c>
      <c r="C267" s="715" t="s">
        <v>508</v>
      </c>
      <c r="D267" s="652">
        <v>4500198158</v>
      </c>
      <c r="E267" s="715">
        <v>21605185</v>
      </c>
      <c r="F267" s="652" t="s">
        <v>4766</v>
      </c>
      <c r="G267" s="716" t="s">
        <v>3980</v>
      </c>
      <c r="H267" s="715" t="s">
        <v>3978</v>
      </c>
      <c r="I267" s="717">
        <v>1416</v>
      </c>
      <c r="J267" s="715">
        <v>0</v>
      </c>
      <c r="K267" s="715">
        <v>8</v>
      </c>
      <c r="L267" s="715">
        <f t="shared" si="50"/>
        <v>177</v>
      </c>
      <c r="M267" s="719">
        <v>46202</v>
      </c>
      <c r="N267" s="719">
        <v>46200</v>
      </c>
      <c r="O267" s="714" t="s">
        <v>4109</v>
      </c>
      <c r="P267" s="717" t="s">
        <v>106</v>
      </c>
      <c r="Q267" s="717"/>
      <c r="R267" s="723">
        <v>46169</v>
      </c>
      <c r="S267" s="720" t="s">
        <v>107</v>
      </c>
      <c r="T267" s="720" t="s">
        <v>4050</v>
      </c>
      <c r="U267" s="720"/>
      <c r="V267" s="720" t="s">
        <v>4764</v>
      </c>
      <c r="W267" s="720"/>
      <c r="X267" s="720" t="s">
        <v>4767</v>
      </c>
      <c r="Y267" s="719" t="s">
        <v>362</v>
      </c>
      <c r="Z267" s="730">
        <v>5</v>
      </c>
      <c r="AA267" s="652">
        <f>Z267*I267</f>
        <v>7080</v>
      </c>
      <c r="AB267" s="721"/>
      <c r="AC267" s="722" t="s">
        <v>3980</v>
      </c>
      <c r="AD267" s="715" t="s">
        <v>112</v>
      </c>
      <c r="AE267" s="715">
        <f t="shared" ref="AE267:AE295" si="56">I267</f>
        <v>1416</v>
      </c>
      <c r="AF267" s="715"/>
      <c r="AG267" s="715">
        <v>1416</v>
      </c>
      <c r="AH267" s="715">
        <f t="shared" si="46"/>
        <v>0</v>
      </c>
      <c r="AI267" s="717"/>
      <c r="AJ267" s="715" t="s">
        <v>3981</v>
      </c>
      <c r="AK267" s="652">
        <f>I267</f>
        <v>1416</v>
      </c>
      <c r="AL267" s="652"/>
      <c r="AM267" s="652"/>
      <c r="AN267" s="652">
        <f t="shared" si="55"/>
        <v>1416</v>
      </c>
      <c r="AO267" s="652"/>
      <c r="AP267" s="652"/>
      <c r="AQ267" s="652"/>
      <c r="AR267" s="652"/>
      <c r="AS267" s="652"/>
      <c r="AT267" s="652"/>
      <c r="AU267" s="652"/>
      <c r="AV267" s="652"/>
      <c r="AW267" s="652"/>
      <c r="AX267" s="652">
        <f>I267/8</f>
        <v>177</v>
      </c>
      <c r="AY267" s="652"/>
      <c r="AZ267" s="652"/>
      <c r="BA267" s="652"/>
      <c r="BB267" s="652"/>
      <c r="BC267" s="652"/>
      <c r="BD267" s="652"/>
      <c r="BE267" s="652"/>
      <c r="BF267" s="652"/>
      <c r="BG267" s="652"/>
      <c r="BH267" s="652"/>
      <c r="BI267" s="652"/>
      <c r="BJ267" s="724"/>
      <c r="BK267" s="724"/>
      <c r="BL267" s="724"/>
      <c r="BM267" s="724"/>
      <c r="BN267" s="724"/>
      <c r="BO267" s="724"/>
      <c r="BP267" s="724"/>
      <c r="BQ267" s="724"/>
      <c r="BR267" s="724"/>
      <c r="BS267" s="724"/>
      <c r="BT267" s="724"/>
      <c r="BU267" s="724"/>
      <c r="BV267" s="724"/>
      <c r="BW267" s="724"/>
      <c r="BX267" s="724"/>
      <c r="BY267" s="724"/>
      <c r="BZ267" s="724"/>
      <c r="CA267" s="724"/>
      <c r="CB267" s="724"/>
      <c r="CC267" s="724"/>
      <c r="CD267" s="724"/>
      <c r="CE267" s="724"/>
      <c r="CF267" s="724"/>
      <c r="CG267" s="724"/>
      <c r="CH267" s="724"/>
      <c r="CI267" s="724"/>
      <c r="CJ267" s="724"/>
      <c r="CK267" s="724"/>
      <c r="CL267" s="724"/>
      <c r="CM267" s="724"/>
      <c r="CN267" s="724"/>
      <c r="CO267" s="724"/>
      <c r="CP267" s="724"/>
      <c r="CQ267" s="724"/>
      <c r="CR267" s="724"/>
    </row>
    <row r="268" s="650" customFormat="1" ht="31" customHeight="1" spans="1:108">
      <c r="A268" s="713">
        <v>46126</v>
      </c>
      <c r="B268" s="714" t="s">
        <v>1028</v>
      </c>
      <c r="C268" s="715" t="s">
        <v>115</v>
      </c>
      <c r="D268" s="652">
        <v>4500201308</v>
      </c>
      <c r="E268" s="715">
        <v>1827286</v>
      </c>
      <c r="F268" s="652" t="s">
        <v>4768</v>
      </c>
      <c r="G268" s="716" t="s">
        <v>3980</v>
      </c>
      <c r="H268" s="715" t="s">
        <v>3978</v>
      </c>
      <c r="I268" s="717">
        <v>160</v>
      </c>
      <c r="J268" s="715">
        <v>0</v>
      </c>
      <c r="K268" s="715">
        <v>8</v>
      </c>
      <c r="L268" s="715">
        <f t="shared" si="50"/>
        <v>20</v>
      </c>
      <c r="M268" s="719">
        <v>46203</v>
      </c>
      <c r="N268" s="719">
        <v>46199</v>
      </c>
      <c r="O268" s="714"/>
      <c r="P268" s="717" t="s">
        <v>106</v>
      </c>
      <c r="Q268" s="717"/>
      <c r="R268" s="723">
        <v>46126</v>
      </c>
      <c r="S268" s="720" t="s">
        <v>95</v>
      </c>
      <c r="T268" s="720" t="s">
        <v>95</v>
      </c>
      <c r="U268" s="720"/>
      <c r="V268" s="720"/>
      <c r="W268" s="720"/>
      <c r="X268" s="720" t="s">
        <v>1031</v>
      </c>
      <c r="Y268" s="719" t="s">
        <v>1032</v>
      </c>
      <c r="Z268" s="730">
        <v>2.8006</v>
      </c>
      <c r="AA268" s="652">
        <f>L268*Z268</f>
        <v>56.012</v>
      </c>
      <c r="AB268" s="729" t="s">
        <v>4769</v>
      </c>
      <c r="AC268" s="722" t="s">
        <v>3980</v>
      </c>
      <c r="AD268" s="715" t="s">
        <v>112</v>
      </c>
      <c r="AE268" s="715">
        <f t="shared" si="56"/>
        <v>160</v>
      </c>
      <c r="AF268" s="715" t="s">
        <v>4109</v>
      </c>
      <c r="AG268" s="715">
        <v>160</v>
      </c>
      <c r="AH268" s="715">
        <f t="shared" si="46"/>
        <v>0</v>
      </c>
      <c r="AI268" s="717"/>
      <c r="AJ268" s="715" t="s">
        <v>3981</v>
      </c>
      <c r="AK268" s="652">
        <f>I268</f>
        <v>160</v>
      </c>
      <c r="AL268" s="652"/>
      <c r="AM268" s="652"/>
      <c r="AN268" s="652">
        <f t="shared" si="55"/>
        <v>160</v>
      </c>
      <c r="AO268" s="652"/>
      <c r="AP268" s="652"/>
      <c r="AQ268" s="652"/>
      <c r="AR268" s="652"/>
      <c r="AS268" s="652"/>
      <c r="AT268" s="652">
        <f>I268/8</f>
        <v>20</v>
      </c>
      <c r="AU268" s="652"/>
      <c r="AV268" s="652"/>
      <c r="AW268" s="652"/>
      <c r="AX268" s="652"/>
      <c r="AY268" s="652"/>
      <c r="AZ268" s="652"/>
      <c r="BA268" s="652"/>
      <c r="BB268" s="652"/>
      <c r="BC268" s="652"/>
      <c r="BD268" s="652"/>
      <c r="BE268" s="652"/>
      <c r="BF268" s="652"/>
      <c r="BG268" s="652"/>
      <c r="BH268" s="652"/>
      <c r="BI268" s="652"/>
    </row>
    <row r="269" s="650" customFormat="1" ht="31" customHeight="1" spans="1:108">
      <c r="A269" s="713">
        <v>46126</v>
      </c>
      <c r="B269" s="714" t="s">
        <v>1028</v>
      </c>
      <c r="C269" s="715" t="s">
        <v>115</v>
      </c>
      <c r="D269" s="652">
        <v>4500201308</v>
      </c>
      <c r="E269" s="715" t="s">
        <v>1034</v>
      </c>
      <c r="F269" s="652" t="s">
        <v>4770</v>
      </c>
      <c r="G269" s="716" t="s">
        <v>3980</v>
      </c>
      <c r="H269" s="715" t="s">
        <v>3978</v>
      </c>
      <c r="I269" s="717">
        <v>152</v>
      </c>
      <c r="J269" s="715">
        <v>0</v>
      </c>
      <c r="K269" s="715">
        <v>8</v>
      </c>
      <c r="L269" s="715">
        <f t="shared" si="50"/>
        <v>19</v>
      </c>
      <c r="M269" s="719">
        <v>46203</v>
      </c>
      <c r="N269" s="719">
        <v>46199</v>
      </c>
      <c r="O269" s="714"/>
      <c r="P269" s="717" t="s">
        <v>106</v>
      </c>
      <c r="Q269" s="717"/>
      <c r="R269" s="723">
        <v>46126</v>
      </c>
      <c r="S269" s="720" t="s">
        <v>95</v>
      </c>
      <c r="T269" s="720" t="s">
        <v>95</v>
      </c>
      <c r="U269" s="720"/>
      <c r="V269" s="720"/>
      <c r="W269" s="720"/>
      <c r="X269" s="720" t="s">
        <v>1031</v>
      </c>
      <c r="Y269" s="719" t="s">
        <v>1032</v>
      </c>
      <c r="Z269" s="730">
        <v>2.8006</v>
      </c>
      <c r="AA269" s="652">
        <f>L269*Z269</f>
        <v>53.2114</v>
      </c>
      <c r="AB269" s="729" t="s">
        <v>4769</v>
      </c>
      <c r="AC269" s="722" t="s">
        <v>3980</v>
      </c>
      <c r="AD269" s="715" t="s">
        <v>112</v>
      </c>
      <c r="AE269" s="715">
        <f t="shared" si="56"/>
        <v>152</v>
      </c>
      <c r="AF269" s="715" t="s">
        <v>4109</v>
      </c>
      <c r="AG269" s="715">
        <v>152</v>
      </c>
      <c r="AH269" s="715">
        <f t="shared" si="46"/>
        <v>0</v>
      </c>
      <c r="AI269" s="717"/>
      <c r="AJ269" s="715" t="s">
        <v>3981</v>
      </c>
      <c r="AK269" s="652">
        <f>I269</f>
        <v>152</v>
      </c>
      <c r="AL269" s="652"/>
      <c r="AM269" s="652"/>
      <c r="AN269" s="652">
        <f t="shared" si="55"/>
        <v>152</v>
      </c>
      <c r="AO269" s="652"/>
      <c r="AP269" s="652"/>
      <c r="AQ269" s="652"/>
      <c r="AR269" s="652"/>
      <c r="AS269" s="652"/>
      <c r="AT269" s="652">
        <f>I269/8</f>
        <v>19</v>
      </c>
      <c r="AU269" s="652"/>
      <c r="AV269" s="652"/>
      <c r="AW269" s="652"/>
      <c r="AX269" s="652"/>
      <c r="AY269" s="652"/>
      <c r="AZ269" s="652"/>
      <c r="BA269" s="652"/>
      <c r="BB269" s="652"/>
      <c r="BC269" s="652"/>
      <c r="BD269" s="652"/>
      <c r="BE269" s="652"/>
      <c r="BF269" s="652"/>
      <c r="BG269" s="652"/>
      <c r="BH269" s="652"/>
      <c r="BI269" s="652"/>
    </row>
    <row r="270" s="651" customFormat="1" ht="31" customHeight="1" spans="1:108">
      <c r="A270" s="713">
        <v>46115</v>
      </c>
      <c r="B270" s="714" t="s">
        <v>809</v>
      </c>
      <c r="C270" s="715" t="s">
        <v>810</v>
      </c>
      <c r="D270" s="652" t="s">
        <v>4771</v>
      </c>
      <c r="E270" s="715" t="s">
        <v>4772</v>
      </c>
      <c r="F270" s="652" t="s">
        <v>4773</v>
      </c>
      <c r="G270" s="716" t="s">
        <v>4028</v>
      </c>
      <c r="H270" s="746" t="s">
        <v>3978</v>
      </c>
      <c r="I270" s="717">
        <v>5000</v>
      </c>
      <c r="J270" s="715">
        <v>0</v>
      </c>
      <c r="K270" s="715">
        <v>8</v>
      </c>
      <c r="L270" s="715">
        <f t="shared" si="50"/>
        <v>625</v>
      </c>
      <c r="M270" s="719">
        <v>46203</v>
      </c>
      <c r="N270" s="719">
        <v>46199</v>
      </c>
      <c r="O270" s="714"/>
      <c r="P270" s="717" t="s">
        <v>106</v>
      </c>
      <c r="Q270" s="717"/>
      <c r="R270" s="723" t="s">
        <v>1966</v>
      </c>
      <c r="S270" s="720" t="s">
        <v>107</v>
      </c>
      <c r="T270" s="720" t="s">
        <v>4774</v>
      </c>
      <c r="U270" s="720"/>
      <c r="V270" s="720"/>
      <c r="W270" s="720"/>
      <c r="X270" s="720" t="s">
        <v>4775</v>
      </c>
      <c r="Y270" s="719" t="s">
        <v>722</v>
      </c>
      <c r="Z270" s="754">
        <v>4.597</v>
      </c>
      <c r="AA270" s="652">
        <f>I270*Z270</f>
        <v>22985</v>
      </c>
      <c r="AB270" s="721"/>
      <c r="AC270" s="722" t="s">
        <v>4031</v>
      </c>
      <c r="AD270" s="715" t="s">
        <v>112</v>
      </c>
      <c r="AE270" s="715">
        <f t="shared" si="56"/>
        <v>5000</v>
      </c>
      <c r="AF270" s="715"/>
      <c r="AG270" s="715">
        <v>5000</v>
      </c>
      <c r="AH270" s="715">
        <f t="shared" si="46"/>
        <v>0</v>
      </c>
      <c r="AI270" s="717"/>
      <c r="AJ270" s="715" t="s">
        <v>3981</v>
      </c>
      <c r="AK270" s="652"/>
      <c r="AL270" s="652">
        <f>I270</f>
        <v>5000</v>
      </c>
      <c r="AM270" s="652"/>
      <c r="AN270" s="652">
        <f t="shared" si="55"/>
        <v>5000</v>
      </c>
      <c r="AO270" s="652"/>
      <c r="AP270" s="652"/>
      <c r="AQ270" s="652"/>
      <c r="AR270" s="652"/>
      <c r="AS270" s="652"/>
      <c r="AT270" s="652"/>
      <c r="AU270" s="652">
        <f>I270/8</f>
        <v>625</v>
      </c>
      <c r="AV270" s="652"/>
      <c r="AW270" s="652"/>
      <c r="AX270" s="652"/>
      <c r="AY270" s="652"/>
      <c r="AZ270" s="652"/>
      <c r="BA270" s="652"/>
      <c r="BB270" s="652"/>
      <c r="BC270" s="652"/>
      <c r="BD270" s="652"/>
      <c r="BE270" s="652"/>
      <c r="BF270" s="652"/>
      <c r="BG270" s="652"/>
      <c r="BH270" s="652"/>
      <c r="BI270" s="652"/>
      <c r="BJ270" s="650"/>
      <c r="BK270" s="650"/>
      <c r="BL270" s="650"/>
      <c r="BM270" s="650"/>
      <c r="BN270" s="650"/>
      <c r="BO270" s="650"/>
      <c r="BP270" s="650"/>
      <c r="BQ270" s="650"/>
      <c r="BR270" s="650"/>
      <c r="BS270" s="650"/>
      <c r="BT270" s="650"/>
      <c r="BU270" s="650"/>
      <c r="BV270" s="650"/>
      <c r="BW270" s="650"/>
      <c r="BX270" s="650"/>
      <c r="BY270" s="650"/>
      <c r="BZ270" s="650"/>
      <c r="CA270" s="650"/>
      <c r="CB270" s="650"/>
      <c r="CC270" s="650"/>
      <c r="CD270" s="650"/>
      <c r="CE270" s="650"/>
      <c r="CF270" s="650"/>
      <c r="CG270" s="650"/>
      <c r="CH270" s="650"/>
      <c r="CI270" s="650"/>
      <c r="CJ270" s="650"/>
      <c r="CK270" s="650"/>
      <c r="CL270" s="650"/>
      <c r="CM270" s="650"/>
      <c r="CN270" s="650"/>
      <c r="CO270" s="650"/>
      <c r="CP270" s="650"/>
      <c r="CQ270" s="650"/>
      <c r="CR270" s="650"/>
      <c r="CS270" s="650"/>
      <c r="CT270" s="650"/>
      <c r="CU270" s="650"/>
      <c r="CV270" s="650"/>
      <c r="CW270" s="650"/>
      <c r="CX270" s="650"/>
      <c r="CY270" s="650"/>
      <c r="CZ270" s="650"/>
      <c r="DA270" s="650"/>
      <c r="DB270" s="650"/>
      <c r="DC270" s="650"/>
      <c r="DD270" s="650"/>
    </row>
    <row r="271" s="650" customFormat="1" ht="31" customHeight="1" spans="1:108">
      <c r="A271" s="713">
        <v>46126</v>
      </c>
      <c r="B271" s="714" t="s">
        <v>1028</v>
      </c>
      <c r="C271" s="715" t="s">
        <v>115</v>
      </c>
      <c r="D271" s="652">
        <v>4500201308</v>
      </c>
      <c r="E271" s="715" t="s">
        <v>1037</v>
      </c>
      <c r="F271" s="652" t="s">
        <v>4776</v>
      </c>
      <c r="G271" s="716" t="s">
        <v>3980</v>
      </c>
      <c r="H271" s="715" t="s">
        <v>3978</v>
      </c>
      <c r="I271" s="717">
        <v>464</v>
      </c>
      <c r="J271" s="715">
        <v>0</v>
      </c>
      <c r="K271" s="715">
        <v>8</v>
      </c>
      <c r="L271" s="715">
        <f t="shared" si="50"/>
        <v>58</v>
      </c>
      <c r="M271" s="719">
        <v>46203</v>
      </c>
      <c r="N271" s="719">
        <v>46199</v>
      </c>
      <c r="O271" s="714"/>
      <c r="P271" s="717" t="s">
        <v>106</v>
      </c>
      <c r="Q271" s="717"/>
      <c r="R271" s="723">
        <v>46126</v>
      </c>
      <c r="S271" s="720" t="s">
        <v>95</v>
      </c>
      <c r="T271" s="735" t="s">
        <v>95</v>
      </c>
      <c r="U271" s="735"/>
      <c r="V271" s="720"/>
      <c r="W271" s="720"/>
      <c r="X271" s="720" t="s">
        <v>1031</v>
      </c>
      <c r="Y271" s="719" t="s">
        <v>1032</v>
      </c>
      <c r="Z271" s="730">
        <v>2.7529</v>
      </c>
      <c r="AA271" s="652">
        <f>L271*Z271</f>
        <v>159.6682</v>
      </c>
      <c r="AB271" s="729" t="s">
        <v>4777</v>
      </c>
      <c r="AC271" s="722" t="s">
        <v>3980</v>
      </c>
      <c r="AD271" s="715" t="s">
        <v>112</v>
      </c>
      <c r="AE271" s="715">
        <f t="shared" si="56"/>
        <v>464</v>
      </c>
      <c r="AF271" s="715"/>
      <c r="AG271" s="715">
        <v>464</v>
      </c>
      <c r="AH271" s="715">
        <f t="shared" si="46"/>
        <v>0</v>
      </c>
      <c r="AI271" s="717"/>
      <c r="AJ271" s="715" t="s">
        <v>3981</v>
      </c>
      <c r="AK271" s="652">
        <f>I271</f>
        <v>464</v>
      </c>
      <c r="AL271" s="652"/>
      <c r="AM271" s="652"/>
      <c r="AN271" s="652">
        <f t="shared" si="55"/>
        <v>464</v>
      </c>
      <c r="AO271" s="652"/>
      <c r="AP271" s="652"/>
      <c r="AQ271" s="652"/>
      <c r="AR271" s="652"/>
      <c r="AS271" s="652"/>
      <c r="AT271" s="652">
        <f>I271/8</f>
        <v>58</v>
      </c>
      <c r="AU271" s="652"/>
      <c r="AV271" s="652"/>
      <c r="AW271" s="652"/>
      <c r="AX271" s="652"/>
      <c r="AY271" s="652"/>
      <c r="AZ271" s="652"/>
      <c r="BA271" s="652"/>
      <c r="BB271" s="652"/>
      <c r="BC271" s="652"/>
      <c r="BD271" s="652"/>
      <c r="BE271" s="652"/>
      <c r="BF271" s="652"/>
      <c r="BG271" s="652"/>
      <c r="BH271" s="652"/>
      <c r="BI271" s="652"/>
    </row>
    <row r="272" s="650" customFormat="1" ht="31" customHeight="1" spans="1:108">
      <c r="A272" s="713">
        <v>46191</v>
      </c>
      <c r="B272" s="714" t="s">
        <v>134</v>
      </c>
      <c r="C272" s="715" t="s">
        <v>135</v>
      </c>
      <c r="D272" s="652" t="s">
        <v>4778</v>
      </c>
      <c r="E272" s="715" t="s">
        <v>4779</v>
      </c>
      <c r="F272" s="652" t="s">
        <v>4780</v>
      </c>
      <c r="G272" s="716" t="s">
        <v>3973</v>
      </c>
      <c r="H272" s="715" t="s">
        <v>3995</v>
      </c>
      <c r="I272" s="717">
        <v>10000</v>
      </c>
      <c r="J272" s="715">
        <v>0</v>
      </c>
      <c r="K272" s="715">
        <v>16</v>
      </c>
      <c r="L272" s="715">
        <f t="shared" si="50"/>
        <v>625</v>
      </c>
      <c r="M272" s="719">
        <v>46203</v>
      </c>
      <c r="N272" s="719">
        <v>46199</v>
      </c>
      <c r="O272" s="717" t="s">
        <v>1367</v>
      </c>
      <c r="P272" s="717" t="s">
        <v>106</v>
      </c>
      <c r="Q272" s="717"/>
      <c r="R272" s="734" t="s">
        <v>1369</v>
      </c>
      <c r="S272" s="720" t="s">
        <v>107</v>
      </c>
      <c r="T272" s="735" t="s">
        <v>3997</v>
      </c>
      <c r="U272" s="735"/>
      <c r="V272" s="720"/>
      <c r="W272" s="720"/>
      <c r="X272" s="720" t="s">
        <v>1370</v>
      </c>
      <c r="Y272" s="719" t="s">
        <v>1142</v>
      </c>
      <c r="Z272" s="730">
        <v>4.7968</v>
      </c>
      <c r="AA272" s="652">
        <f>I272*Z272</f>
        <v>47968</v>
      </c>
      <c r="AB272" s="721"/>
      <c r="AC272" s="652" t="s">
        <v>4108</v>
      </c>
      <c r="AD272" s="715" t="s">
        <v>112</v>
      </c>
      <c r="AE272" s="715">
        <f t="shared" si="56"/>
        <v>10000</v>
      </c>
      <c r="AF272" s="715"/>
      <c r="AG272" s="715">
        <v>10000</v>
      </c>
      <c r="AH272" s="715">
        <f t="shared" si="46"/>
        <v>0</v>
      </c>
      <c r="AI272" s="717"/>
      <c r="AJ272" s="715" t="s">
        <v>3981</v>
      </c>
      <c r="AK272" s="652"/>
      <c r="AL272" s="652">
        <f>I272</f>
        <v>10000</v>
      </c>
      <c r="AM272" s="652"/>
      <c r="AN272" s="652">
        <f t="shared" si="55"/>
        <v>10000</v>
      </c>
      <c r="AO272" s="652"/>
      <c r="AP272" s="652"/>
      <c r="AQ272" s="652"/>
      <c r="AR272" s="652"/>
      <c r="AS272" s="652"/>
      <c r="AT272" s="652"/>
      <c r="AU272" s="652">
        <f t="shared" ref="AU272:AU279" si="57">I272/8</f>
        <v>1250</v>
      </c>
      <c r="AV272" s="652"/>
      <c r="AW272" s="652"/>
      <c r="AX272" s="652"/>
      <c r="AY272" s="652"/>
      <c r="AZ272" s="652"/>
      <c r="BA272" s="652"/>
      <c r="BB272" s="652"/>
      <c r="BC272" s="652"/>
      <c r="BD272" s="652"/>
      <c r="BE272" s="652"/>
      <c r="BF272" s="652"/>
      <c r="BG272" s="652"/>
      <c r="BH272" s="652"/>
      <c r="BI272" s="652"/>
    </row>
    <row r="273" s="651" customFormat="1" ht="31" customHeight="1" spans="1:108">
      <c r="A273" s="713">
        <v>46154</v>
      </c>
      <c r="B273" s="714" t="s">
        <v>1377</v>
      </c>
      <c r="C273" s="715" t="s">
        <v>1333</v>
      </c>
      <c r="D273" s="652" t="s">
        <v>4781</v>
      </c>
      <c r="E273" s="797" t="s">
        <v>4782</v>
      </c>
      <c r="F273" s="652" t="s">
        <v>4783</v>
      </c>
      <c r="G273" s="716" t="s">
        <v>3973</v>
      </c>
      <c r="H273" s="715" t="s">
        <v>3995</v>
      </c>
      <c r="I273" s="717">
        <v>1856</v>
      </c>
      <c r="J273" s="715">
        <v>0</v>
      </c>
      <c r="K273" s="715">
        <v>16</v>
      </c>
      <c r="L273" s="715">
        <f t="shared" si="50"/>
        <v>116</v>
      </c>
      <c r="M273" s="719">
        <v>46203</v>
      </c>
      <c r="N273" s="719">
        <v>46199</v>
      </c>
      <c r="O273" s="714"/>
      <c r="P273" s="717" t="s">
        <v>106</v>
      </c>
      <c r="Q273" s="717"/>
      <c r="R273" s="723">
        <v>46172</v>
      </c>
      <c r="S273" s="720" t="s">
        <v>107</v>
      </c>
      <c r="T273" s="720" t="s">
        <v>4784</v>
      </c>
      <c r="U273" s="720"/>
      <c r="V273" s="720"/>
      <c r="W273" s="720"/>
      <c r="X273" s="720" t="s">
        <v>4785</v>
      </c>
      <c r="Y273" s="719" t="s">
        <v>450</v>
      </c>
      <c r="Z273" s="730">
        <v>4.5368</v>
      </c>
      <c r="AA273" s="652">
        <f>I273*Z273</f>
        <v>8420.3008</v>
      </c>
      <c r="AB273" s="721"/>
      <c r="AC273" s="652" t="s">
        <v>4108</v>
      </c>
      <c r="AD273" s="715" t="s">
        <v>112</v>
      </c>
      <c r="AE273" s="715">
        <f t="shared" si="56"/>
        <v>1856</v>
      </c>
      <c r="AF273" s="715"/>
      <c r="AG273" s="717">
        <v>1856</v>
      </c>
      <c r="AH273" s="715">
        <f t="shared" si="46"/>
        <v>0</v>
      </c>
      <c r="AI273" s="717"/>
      <c r="AJ273" s="715" t="s">
        <v>3981</v>
      </c>
      <c r="AK273" s="652"/>
      <c r="AL273" s="652">
        <f>I273</f>
        <v>1856</v>
      </c>
      <c r="AM273" s="652"/>
      <c r="AN273" s="652">
        <f t="shared" si="55"/>
        <v>1856</v>
      </c>
      <c r="AO273" s="652"/>
      <c r="AP273" s="652"/>
      <c r="AQ273" s="652"/>
      <c r="AR273" s="652"/>
      <c r="AS273" s="652"/>
      <c r="AT273" s="652"/>
      <c r="AU273" s="652">
        <f t="shared" si="57"/>
        <v>232</v>
      </c>
      <c r="AV273" s="652"/>
      <c r="AW273" s="652"/>
      <c r="AX273" s="652"/>
      <c r="AY273" s="652"/>
      <c r="AZ273" s="652"/>
      <c r="BA273" s="652"/>
      <c r="BB273" s="652"/>
      <c r="BC273" s="652"/>
      <c r="BD273" s="652"/>
      <c r="BE273" s="652"/>
      <c r="BF273" s="652"/>
      <c r="BG273" s="652"/>
      <c r="BH273" s="652"/>
      <c r="BI273" s="652"/>
      <c r="BJ273" s="650"/>
      <c r="BK273" s="650"/>
      <c r="BL273" s="650"/>
      <c r="BM273" s="650"/>
      <c r="BN273" s="650"/>
      <c r="BO273" s="650"/>
      <c r="BP273" s="650"/>
      <c r="BQ273" s="650"/>
      <c r="BR273" s="650"/>
      <c r="BS273" s="650"/>
      <c r="BT273" s="650"/>
      <c r="BU273" s="650"/>
      <c r="BV273" s="650"/>
      <c r="BW273" s="650"/>
      <c r="BX273" s="650"/>
      <c r="BY273" s="650"/>
      <c r="BZ273" s="650"/>
      <c r="CA273" s="650"/>
      <c r="CB273" s="650"/>
      <c r="CC273" s="650"/>
      <c r="CD273" s="650"/>
      <c r="CE273" s="650"/>
      <c r="CF273" s="650"/>
      <c r="CG273" s="650"/>
      <c r="CH273" s="650"/>
      <c r="CI273" s="650"/>
      <c r="CJ273" s="650"/>
      <c r="CK273" s="650"/>
      <c r="CL273" s="650"/>
      <c r="CM273" s="650"/>
      <c r="CN273" s="650"/>
      <c r="CO273" s="650"/>
      <c r="CP273" s="650"/>
      <c r="CQ273" s="650"/>
      <c r="CR273" s="650"/>
      <c r="CS273" s="650"/>
      <c r="CT273" s="650"/>
      <c r="CU273" s="650"/>
      <c r="CV273" s="650"/>
      <c r="CW273" s="650"/>
      <c r="CX273" s="650"/>
      <c r="CY273" s="650"/>
      <c r="CZ273" s="650"/>
      <c r="DA273" s="650"/>
      <c r="DB273" s="650"/>
      <c r="DC273" s="650"/>
      <c r="DD273" s="650"/>
    </row>
    <row r="274" s="650" customFormat="1" ht="31" customHeight="1" spans="1:108">
      <c r="A274" s="713">
        <v>46154</v>
      </c>
      <c r="B274" s="714" t="s">
        <v>1382</v>
      </c>
      <c r="C274" s="715" t="s">
        <v>329</v>
      </c>
      <c r="D274" s="652" t="s">
        <v>4786</v>
      </c>
      <c r="E274" s="715">
        <v>5507192471</v>
      </c>
      <c r="F274" s="652" t="s">
        <v>4787</v>
      </c>
      <c r="G274" s="716" t="s">
        <v>3973</v>
      </c>
      <c r="H274" s="715" t="s">
        <v>3995</v>
      </c>
      <c r="I274" s="717">
        <v>928</v>
      </c>
      <c r="J274" s="715">
        <v>0</v>
      </c>
      <c r="K274" s="715">
        <v>16</v>
      </c>
      <c r="L274" s="715">
        <f t="shared" si="50"/>
        <v>58</v>
      </c>
      <c r="M274" s="719">
        <v>46203</v>
      </c>
      <c r="N274" s="719">
        <v>46199</v>
      </c>
      <c r="O274" s="714"/>
      <c r="P274" s="717" t="s">
        <v>106</v>
      </c>
      <c r="Q274" s="717"/>
      <c r="R274" s="723">
        <v>46172</v>
      </c>
      <c r="S274" s="720" t="s">
        <v>107</v>
      </c>
      <c r="T274" s="720" t="s">
        <v>1385</v>
      </c>
      <c r="U274" s="720"/>
      <c r="V274" s="720"/>
      <c r="W274" s="720"/>
      <c r="X274" s="720" t="s">
        <v>4788</v>
      </c>
      <c r="Y274" s="719" t="s">
        <v>450</v>
      </c>
      <c r="Z274" s="730">
        <v>4.7039</v>
      </c>
      <c r="AA274" s="652">
        <f>I274*Z274</f>
        <v>4365.2192</v>
      </c>
      <c r="AB274" s="721"/>
      <c r="AC274" s="652" t="s">
        <v>4108</v>
      </c>
      <c r="AD274" s="715" t="s">
        <v>112</v>
      </c>
      <c r="AE274" s="715">
        <f t="shared" si="56"/>
        <v>928</v>
      </c>
      <c r="AF274" s="715"/>
      <c r="AG274" s="715">
        <v>928</v>
      </c>
      <c r="AH274" s="715">
        <f t="shared" si="46"/>
        <v>0</v>
      </c>
      <c r="AI274" s="717"/>
      <c r="AJ274" s="715" t="s">
        <v>3981</v>
      </c>
      <c r="AK274" s="652"/>
      <c r="AL274" s="652">
        <f>I274</f>
        <v>928</v>
      </c>
      <c r="AM274" s="652"/>
      <c r="AN274" s="652">
        <f t="shared" si="55"/>
        <v>928</v>
      </c>
      <c r="AO274" s="652"/>
      <c r="AP274" s="652"/>
      <c r="AQ274" s="652"/>
      <c r="AR274" s="652"/>
      <c r="AS274" s="652"/>
      <c r="AT274" s="652"/>
      <c r="AU274" s="652">
        <f t="shared" si="57"/>
        <v>116</v>
      </c>
      <c r="AV274" s="652"/>
      <c r="AW274" s="652"/>
      <c r="AX274" s="652"/>
      <c r="AY274" s="652"/>
      <c r="AZ274" s="652"/>
      <c r="BA274" s="652"/>
      <c r="BB274" s="652"/>
      <c r="BC274" s="652"/>
      <c r="BD274" s="652"/>
      <c r="BE274" s="652"/>
      <c r="BF274" s="652"/>
      <c r="BG274" s="652"/>
      <c r="BH274" s="652"/>
      <c r="BI274" s="652"/>
    </row>
    <row r="275" s="650" customFormat="1" ht="31" customHeight="1" spans="1:108">
      <c r="A275" s="713">
        <v>46154</v>
      </c>
      <c r="B275" s="714" t="s">
        <v>1387</v>
      </c>
      <c r="C275" s="715" t="s">
        <v>1388</v>
      </c>
      <c r="D275" s="652" t="s">
        <v>4789</v>
      </c>
      <c r="E275" s="715" t="s">
        <v>628</v>
      </c>
      <c r="F275" s="652" t="s">
        <v>4790</v>
      </c>
      <c r="G275" s="716" t="s">
        <v>3973</v>
      </c>
      <c r="H275" s="715" t="s">
        <v>3995</v>
      </c>
      <c r="I275" s="717">
        <v>2336</v>
      </c>
      <c r="J275" s="715">
        <v>0</v>
      </c>
      <c r="K275" s="715">
        <v>16</v>
      </c>
      <c r="L275" s="715">
        <f t="shared" si="50"/>
        <v>146</v>
      </c>
      <c r="M275" s="719">
        <v>46203</v>
      </c>
      <c r="N275" s="719">
        <v>46199</v>
      </c>
      <c r="O275" s="714"/>
      <c r="P275" s="717" t="s">
        <v>106</v>
      </c>
      <c r="Q275" s="717"/>
      <c r="R275" s="723">
        <v>46172</v>
      </c>
      <c r="S275" s="720" t="s">
        <v>107</v>
      </c>
      <c r="T275" s="720" t="s">
        <v>1385</v>
      </c>
      <c r="U275" s="720"/>
      <c r="V275" s="720"/>
      <c r="W275" s="720"/>
      <c r="X275" s="720" t="s">
        <v>4788</v>
      </c>
      <c r="Y275" s="719" t="s">
        <v>450</v>
      </c>
      <c r="Z275" s="730">
        <v>4.6933</v>
      </c>
      <c r="AA275" s="652">
        <f>I275*Z275</f>
        <v>10963.5488</v>
      </c>
      <c r="AB275" s="721"/>
      <c r="AC275" s="652" t="s">
        <v>4108</v>
      </c>
      <c r="AD275" s="715" t="s">
        <v>112</v>
      </c>
      <c r="AE275" s="715">
        <f t="shared" si="56"/>
        <v>2336</v>
      </c>
      <c r="AF275" s="715"/>
      <c r="AG275" s="715">
        <v>2336</v>
      </c>
      <c r="AH275" s="715">
        <f t="shared" si="46"/>
        <v>0</v>
      </c>
      <c r="AI275" s="717"/>
      <c r="AJ275" s="715" t="s">
        <v>3981</v>
      </c>
      <c r="AK275" s="652"/>
      <c r="AL275" s="652">
        <f>I275</f>
        <v>2336</v>
      </c>
      <c r="AM275" s="652"/>
      <c r="AN275" s="652">
        <f t="shared" si="55"/>
        <v>2336</v>
      </c>
      <c r="AO275" s="652"/>
      <c r="AP275" s="652"/>
      <c r="AQ275" s="652"/>
      <c r="AR275" s="652"/>
      <c r="AS275" s="652"/>
      <c r="AT275" s="652"/>
      <c r="AU275" s="652">
        <f t="shared" si="57"/>
        <v>292</v>
      </c>
      <c r="AV275" s="652"/>
      <c r="AW275" s="652"/>
      <c r="AX275" s="652"/>
      <c r="AY275" s="652"/>
      <c r="AZ275" s="652"/>
      <c r="BA275" s="652"/>
      <c r="BB275" s="652"/>
      <c r="BC275" s="652"/>
      <c r="BD275" s="652"/>
      <c r="BE275" s="652"/>
      <c r="BF275" s="652"/>
      <c r="BG275" s="652"/>
      <c r="BH275" s="652"/>
      <c r="BI275" s="652"/>
    </row>
    <row r="276" s="650" customFormat="1" ht="31" customHeight="1" spans="1:108">
      <c r="A276" s="713">
        <v>46160</v>
      </c>
      <c r="B276" s="714" t="s">
        <v>1940</v>
      </c>
      <c r="C276" s="715" t="s">
        <v>148</v>
      </c>
      <c r="D276" s="652" t="s">
        <v>4791</v>
      </c>
      <c r="E276" s="715" t="s">
        <v>4792</v>
      </c>
      <c r="F276" s="652" t="s">
        <v>4793</v>
      </c>
      <c r="G276" s="716" t="s">
        <v>4028</v>
      </c>
      <c r="H276" s="715" t="s">
        <v>3978</v>
      </c>
      <c r="I276" s="717">
        <v>8512</v>
      </c>
      <c r="J276" s="715">
        <v>0</v>
      </c>
      <c r="K276" s="715">
        <v>8</v>
      </c>
      <c r="L276" s="715">
        <f t="shared" si="50"/>
        <v>1064</v>
      </c>
      <c r="M276" s="719">
        <v>46203</v>
      </c>
      <c r="N276" s="719">
        <v>46199</v>
      </c>
      <c r="O276" s="714"/>
      <c r="P276" s="717" t="s">
        <v>106</v>
      </c>
      <c r="Q276" s="717"/>
      <c r="R276" s="723">
        <v>46164</v>
      </c>
      <c r="S276" s="720" t="s">
        <v>107</v>
      </c>
      <c r="T276" s="720" t="s">
        <v>4794</v>
      </c>
      <c r="U276" s="720"/>
      <c r="V276" s="720"/>
      <c r="W276" s="720"/>
      <c r="X276" s="720" t="s">
        <v>4795</v>
      </c>
      <c r="Y276" s="719" t="s">
        <v>1492</v>
      </c>
      <c r="Z276" s="730">
        <v>4.5677</v>
      </c>
      <c r="AA276" s="652">
        <f>L276*Z276</f>
        <v>4860.0328</v>
      </c>
      <c r="AB276" s="721"/>
      <c r="AC276" s="722" t="s">
        <v>4031</v>
      </c>
      <c r="AD276" s="715" t="s">
        <v>112</v>
      </c>
      <c r="AE276" s="715">
        <f t="shared" si="56"/>
        <v>8512</v>
      </c>
      <c r="AF276" s="715"/>
      <c r="AG276" s="715">
        <v>8512</v>
      </c>
      <c r="AH276" s="715">
        <f t="shared" si="46"/>
        <v>0</v>
      </c>
      <c r="AI276" s="717"/>
      <c r="AJ276" s="715" t="s">
        <v>3981</v>
      </c>
      <c r="AK276" s="652"/>
      <c r="AL276" s="652">
        <f>I276</f>
        <v>8512</v>
      </c>
      <c r="AM276" s="652"/>
      <c r="AN276" s="652">
        <f t="shared" si="55"/>
        <v>8512</v>
      </c>
      <c r="AO276" s="652"/>
      <c r="AP276" s="652"/>
      <c r="AQ276" s="652"/>
      <c r="AR276" s="652"/>
      <c r="AS276" s="652"/>
      <c r="AT276" s="652"/>
      <c r="AU276" s="652">
        <f t="shared" si="57"/>
        <v>1064</v>
      </c>
      <c r="AV276" s="652"/>
      <c r="AW276" s="652"/>
      <c r="AX276" s="652"/>
      <c r="AY276" s="652"/>
      <c r="AZ276" s="652"/>
      <c r="BA276" s="652"/>
      <c r="BB276" s="652"/>
      <c r="BC276" s="652"/>
      <c r="BD276" s="652"/>
      <c r="BE276" s="652"/>
      <c r="BF276" s="652"/>
      <c r="BG276" s="652"/>
      <c r="BH276" s="652"/>
      <c r="BI276" s="652"/>
      <c r="BJ276" s="651"/>
      <c r="BK276" s="651"/>
      <c r="BL276" s="651"/>
      <c r="BM276" s="651"/>
      <c r="BN276" s="651"/>
      <c r="BO276" s="651"/>
      <c r="BP276" s="651"/>
      <c r="BQ276" s="651"/>
      <c r="BR276" s="651"/>
      <c r="BS276" s="651"/>
      <c r="BT276" s="651"/>
      <c r="BU276" s="651"/>
      <c r="BV276" s="651"/>
      <c r="BW276" s="651"/>
      <c r="BX276" s="651"/>
      <c r="BY276" s="651"/>
      <c r="BZ276" s="651"/>
      <c r="CA276" s="651"/>
      <c r="CB276" s="651"/>
      <c r="CC276" s="651"/>
      <c r="CD276" s="651"/>
      <c r="CE276" s="651"/>
      <c r="CF276" s="651"/>
      <c r="CG276" s="651"/>
      <c r="CH276" s="651"/>
      <c r="CI276" s="651"/>
      <c r="CJ276" s="651"/>
      <c r="CK276" s="651"/>
      <c r="CL276" s="651"/>
      <c r="CM276" s="651"/>
      <c r="CN276" s="651"/>
      <c r="CO276" s="651"/>
      <c r="CP276" s="651"/>
      <c r="CQ276" s="651"/>
      <c r="CR276" s="651"/>
    </row>
    <row r="277" s="650" customFormat="1" ht="31" customHeight="1" spans="1:108">
      <c r="A277" s="713">
        <v>46134</v>
      </c>
      <c r="B277" s="714" t="s">
        <v>1192</v>
      </c>
      <c r="C277" s="715" t="s">
        <v>148</v>
      </c>
      <c r="D277" s="652" t="s">
        <v>4796</v>
      </c>
      <c r="E277" s="715" t="s">
        <v>4797</v>
      </c>
      <c r="F277" s="652" t="s">
        <v>4798</v>
      </c>
      <c r="G277" s="716" t="s">
        <v>3973</v>
      </c>
      <c r="H277" s="715" t="s">
        <v>3995</v>
      </c>
      <c r="I277" s="717">
        <v>1664</v>
      </c>
      <c r="J277" s="715">
        <v>0</v>
      </c>
      <c r="K277" s="715">
        <v>16</v>
      </c>
      <c r="L277" s="715">
        <f t="shared" si="50"/>
        <v>104</v>
      </c>
      <c r="M277" s="719">
        <v>46203</v>
      </c>
      <c r="N277" s="719">
        <v>46199</v>
      </c>
      <c r="O277" s="714" t="s">
        <v>4663</v>
      </c>
      <c r="P277" s="717" t="s">
        <v>106</v>
      </c>
      <c r="Q277" s="717"/>
      <c r="R277" s="723">
        <v>46153</v>
      </c>
      <c r="S277" s="720" t="s">
        <v>107</v>
      </c>
      <c r="T277" s="720" t="s">
        <v>4799</v>
      </c>
      <c r="U277" s="720"/>
      <c r="V277" s="720" t="s">
        <v>4665</v>
      </c>
      <c r="W277" s="720"/>
      <c r="X277" s="720" t="s">
        <v>4800</v>
      </c>
      <c r="Y277" s="719" t="s">
        <v>263</v>
      </c>
      <c r="Z277" s="730">
        <v>4.5744</v>
      </c>
      <c r="AA277" s="652">
        <f>I277*Z277</f>
        <v>7611.8016</v>
      </c>
      <c r="AB277" s="721"/>
      <c r="AC277" s="722" t="s">
        <v>3999</v>
      </c>
      <c r="AD277" s="715" t="s">
        <v>112</v>
      </c>
      <c r="AE277" s="715">
        <f t="shared" si="56"/>
        <v>1664</v>
      </c>
      <c r="AF277" s="715" t="s">
        <v>4109</v>
      </c>
      <c r="AG277" s="715">
        <v>1664</v>
      </c>
      <c r="AH277" s="715">
        <f t="shared" si="46"/>
        <v>0</v>
      </c>
      <c r="AI277" s="717"/>
      <c r="AJ277" s="715" t="s">
        <v>3981</v>
      </c>
      <c r="AK277" s="652"/>
      <c r="AL277" s="652"/>
      <c r="AM277" s="652">
        <f>I277</f>
        <v>1664</v>
      </c>
      <c r="AN277" s="652">
        <f t="shared" si="55"/>
        <v>1664</v>
      </c>
      <c r="AO277" s="652"/>
      <c r="AP277" s="652"/>
      <c r="AQ277" s="652"/>
      <c r="AR277" s="652"/>
      <c r="AS277" s="652"/>
      <c r="AT277" s="652"/>
      <c r="AU277" s="652">
        <f t="shared" si="57"/>
        <v>208</v>
      </c>
      <c r="AV277" s="652"/>
      <c r="AW277" s="652"/>
      <c r="AX277" s="652"/>
      <c r="AY277" s="652"/>
      <c r="AZ277" s="652"/>
      <c r="BA277" s="652"/>
      <c r="BB277" s="652"/>
      <c r="BC277" s="652"/>
      <c r="BD277" s="652"/>
      <c r="BE277" s="652"/>
      <c r="BF277" s="652"/>
      <c r="BG277" s="652"/>
      <c r="BH277" s="652"/>
      <c r="BI277" s="652"/>
    </row>
    <row r="278" s="650" customFormat="1" ht="31" customHeight="1" spans="1:108">
      <c r="A278" s="713">
        <v>46134</v>
      </c>
      <c r="B278" s="714" t="s">
        <v>1192</v>
      </c>
      <c r="C278" s="715" t="s">
        <v>148</v>
      </c>
      <c r="D278" s="652" t="s">
        <v>4796</v>
      </c>
      <c r="E278" s="715" t="s">
        <v>4797</v>
      </c>
      <c r="F278" s="652" t="s">
        <v>4801</v>
      </c>
      <c r="G278" s="716" t="s">
        <v>3973</v>
      </c>
      <c r="H278" s="715" t="s">
        <v>3995</v>
      </c>
      <c r="I278" s="717">
        <v>2304</v>
      </c>
      <c r="J278" s="715">
        <v>0</v>
      </c>
      <c r="K278" s="715">
        <v>16</v>
      </c>
      <c r="L278" s="715">
        <f t="shared" si="50"/>
        <v>144</v>
      </c>
      <c r="M278" s="719">
        <v>46203</v>
      </c>
      <c r="N278" s="719">
        <v>46199</v>
      </c>
      <c r="O278" s="714" t="s">
        <v>4663</v>
      </c>
      <c r="P278" s="717" t="s">
        <v>106</v>
      </c>
      <c r="Q278" s="717"/>
      <c r="R278" s="723">
        <v>46153</v>
      </c>
      <c r="S278" s="720" t="s">
        <v>107</v>
      </c>
      <c r="T278" s="720" t="s">
        <v>4799</v>
      </c>
      <c r="U278" s="720"/>
      <c r="V278" s="720" t="s">
        <v>4665</v>
      </c>
      <c r="W278" s="720"/>
      <c r="X278" s="720" t="s">
        <v>4800</v>
      </c>
      <c r="Y278" s="719" t="s">
        <v>263</v>
      </c>
      <c r="Z278" s="730">
        <v>4.5744</v>
      </c>
      <c r="AA278" s="652">
        <f>I278*Z278</f>
        <v>10539.4176</v>
      </c>
      <c r="AB278" s="721"/>
      <c r="AC278" s="722" t="s">
        <v>3999</v>
      </c>
      <c r="AD278" s="715" t="s">
        <v>112</v>
      </c>
      <c r="AE278" s="715">
        <f t="shared" si="56"/>
        <v>2304</v>
      </c>
      <c r="AF278" s="715" t="s">
        <v>4109</v>
      </c>
      <c r="AG278" s="715">
        <v>2304</v>
      </c>
      <c r="AH278" s="715">
        <f t="shared" si="46"/>
        <v>0</v>
      </c>
      <c r="AI278" s="717"/>
      <c r="AJ278" s="715" t="s">
        <v>3981</v>
      </c>
      <c r="AK278" s="652"/>
      <c r="AL278" s="652"/>
      <c r="AM278" s="652">
        <f>I278</f>
        <v>2304</v>
      </c>
      <c r="AN278" s="652">
        <f t="shared" si="55"/>
        <v>2304</v>
      </c>
      <c r="AO278" s="652"/>
      <c r="AP278" s="652"/>
      <c r="AQ278" s="652"/>
      <c r="AR278" s="652"/>
      <c r="AS278" s="652"/>
      <c r="AT278" s="652"/>
      <c r="AU278" s="652">
        <f t="shared" si="57"/>
        <v>288</v>
      </c>
      <c r="AV278" s="652"/>
      <c r="AW278" s="652"/>
      <c r="AX278" s="652"/>
      <c r="AY278" s="652"/>
      <c r="AZ278" s="652"/>
      <c r="BA278" s="652"/>
      <c r="BB278" s="652"/>
      <c r="BC278" s="652"/>
      <c r="BD278" s="652"/>
      <c r="BE278" s="652"/>
      <c r="BF278" s="652"/>
      <c r="BG278" s="652"/>
      <c r="BH278" s="652"/>
      <c r="BI278" s="652"/>
    </row>
    <row r="279" s="650" customFormat="1" ht="31" customHeight="1" spans="1:108">
      <c r="A279" s="713">
        <v>46090</v>
      </c>
      <c r="B279" s="714" t="s">
        <v>1853</v>
      </c>
      <c r="C279" s="715" t="s">
        <v>201</v>
      </c>
      <c r="D279" s="652">
        <v>4500195742</v>
      </c>
      <c r="E279" s="715" t="s">
        <v>4802</v>
      </c>
      <c r="F279" s="652" t="s">
        <v>4803</v>
      </c>
      <c r="G279" s="716" t="s">
        <v>3980</v>
      </c>
      <c r="H279" s="715" t="s">
        <v>3978</v>
      </c>
      <c r="I279" s="717">
        <v>3600</v>
      </c>
      <c r="J279" s="715">
        <v>0</v>
      </c>
      <c r="K279" s="715">
        <v>8</v>
      </c>
      <c r="L279" s="715">
        <f t="shared" si="50"/>
        <v>450</v>
      </c>
      <c r="M279" s="719">
        <v>46203</v>
      </c>
      <c r="N279" s="719">
        <v>46199</v>
      </c>
      <c r="O279" s="714" t="s">
        <v>4109</v>
      </c>
      <c r="P279" s="717" t="s">
        <v>106</v>
      </c>
      <c r="Q279" s="717"/>
      <c r="R279" s="723">
        <v>46052</v>
      </c>
      <c r="S279" s="720" t="s">
        <v>107</v>
      </c>
      <c r="T279" s="720">
        <v>46062</v>
      </c>
      <c r="U279" s="720"/>
      <c r="V279" s="720"/>
      <c r="W279" s="720"/>
      <c r="X279" s="720" t="s">
        <v>4804</v>
      </c>
      <c r="Y279" s="719" t="s">
        <v>4805</v>
      </c>
      <c r="Z279" s="730">
        <v>5</v>
      </c>
      <c r="AA279" s="652">
        <f>Z279*I279</f>
        <v>18000</v>
      </c>
      <c r="AB279" s="721"/>
      <c r="AC279" s="722" t="s">
        <v>4031</v>
      </c>
      <c r="AD279" s="715" t="s">
        <v>112</v>
      </c>
      <c r="AE279" s="715">
        <f t="shared" si="56"/>
        <v>3600</v>
      </c>
      <c r="AF279" s="715"/>
      <c r="AG279" s="715">
        <v>3600</v>
      </c>
      <c r="AH279" s="715">
        <f t="shared" si="46"/>
        <v>0</v>
      </c>
      <c r="AI279" s="717" t="s">
        <v>120</v>
      </c>
      <c r="AJ279" s="715" t="s">
        <v>3981</v>
      </c>
      <c r="AK279" s="652"/>
      <c r="AL279" s="652">
        <f>I279</f>
        <v>3600</v>
      </c>
      <c r="AM279" s="652"/>
      <c r="AN279" s="652">
        <f t="shared" si="55"/>
        <v>3600</v>
      </c>
      <c r="AO279" s="652"/>
      <c r="AP279" s="652"/>
      <c r="AQ279" s="652"/>
      <c r="AR279" s="652"/>
      <c r="AS279" s="652"/>
      <c r="AT279" s="652"/>
      <c r="AU279" s="652">
        <f t="shared" si="57"/>
        <v>450</v>
      </c>
      <c r="AV279" s="652"/>
      <c r="AW279" s="652"/>
      <c r="AX279" s="652"/>
      <c r="AY279" s="652"/>
      <c r="AZ279" s="652"/>
      <c r="BA279" s="652"/>
      <c r="BB279" s="652"/>
      <c r="BC279" s="652"/>
      <c r="BD279" s="652"/>
      <c r="BE279" s="652"/>
      <c r="BF279" s="652"/>
      <c r="BG279" s="652"/>
      <c r="BH279" s="652"/>
      <c r="BI279" s="652"/>
    </row>
    <row r="280" s="650" customFormat="1" ht="31" customHeight="1" spans="1:108">
      <c r="A280" s="713">
        <v>46135</v>
      </c>
      <c r="B280" s="714" t="s">
        <v>4806</v>
      </c>
      <c r="C280" s="715" t="s">
        <v>4807</v>
      </c>
      <c r="D280" s="652" t="s">
        <v>4808</v>
      </c>
      <c r="E280" s="715" t="s">
        <v>4809</v>
      </c>
      <c r="F280" s="652" t="s">
        <v>4810</v>
      </c>
      <c r="G280" s="716" t="s">
        <v>3968</v>
      </c>
      <c r="H280" s="715" t="s">
        <v>3969</v>
      </c>
      <c r="I280" s="717">
        <v>368</v>
      </c>
      <c r="J280" s="715">
        <v>0</v>
      </c>
      <c r="K280" s="715">
        <v>16</v>
      </c>
      <c r="L280" s="715">
        <f t="shared" si="50"/>
        <v>23</v>
      </c>
      <c r="M280" s="719">
        <v>46203</v>
      </c>
      <c r="N280" s="719">
        <v>46199</v>
      </c>
      <c r="O280" s="714"/>
      <c r="P280" s="717" t="s">
        <v>106</v>
      </c>
      <c r="Q280" s="717"/>
      <c r="R280" s="723">
        <v>46132</v>
      </c>
      <c r="S280" s="720" t="s">
        <v>107</v>
      </c>
      <c r="T280" s="720" t="s">
        <v>4811</v>
      </c>
      <c r="U280" s="720"/>
      <c r="V280" s="720"/>
      <c r="W280" s="720"/>
      <c r="X280" s="720" t="s">
        <v>4812</v>
      </c>
      <c r="Y280" s="719" t="s">
        <v>659</v>
      </c>
      <c r="Z280" s="730">
        <v>4.4498</v>
      </c>
      <c r="AA280" s="652">
        <f>I280*Z280</f>
        <v>1637.5264</v>
      </c>
      <c r="AB280" s="721"/>
      <c r="AC280" s="716" t="s">
        <v>3968</v>
      </c>
      <c r="AD280" s="715" t="s">
        <v>112</v>
      </c>
      <c r="AE280" s="715">
        <f t="shared" si="56"/>
        <v>368</v>
      </c>
      <c r="AF280" s="715"/>
      <c r="AG280" s="715">
        <v>368</v>
      </c>
      <c r="AH280" s="715">
        <f t="shared" si="46"/>
        <v>0</v>
      </c>
      <c r="AI280" s="717"/>
      <c r="AJ280" s="715" t="s">
        <v>3981</v>
      </c>
      <c r="AK280" s="652">
        <f>I280</f>
        <v>368</v>
      </c>
      <c r="AL280" s="652"/>
      <c r="AM280" s="652"/>
      <c r="AN280" s="652">
        <f t="shared" si="55"/>
        <v>368</v>
      </c>
      <c r="AO280" s="652"/>
      <c r="AP280" s="652"/>
      <c r="AQ280" s="652"/>
      <c r="AR280" s="652"/>
      <c r="AS280" s="652"/>
      <c r="AT280" s="652"/>
      <c r="AU280" s="652"/>
      <c r="AV280" s="652"/>
      <c r="AW280" s="652"/>
      <c r="AX280" s="652"/>
      <c r="AY280" s="652"/>
      <c r="AZ280" s="652"/>
      <c r="BA280" s="652"/>
      <c r="BB280" s="652"/>
      <c r="BC280" s="652"/>
      <c r="BD280" s="652"/>
      <c r="BE280" s="652"/>
      <c r="BF280" s="652"/>
      <c r="BG280" s="652"/>
      <c r="BH280" s="652"/>
      <c r="BI280" s="652"/>
    </row>
    <row r="281" s="650" customFormat="1" ht="31" customHeight="1" spans="1:108">
      <c r="A281" s="713">
        <v>46097</v>
      </c>
      <c r="B281" s="714" t="s">
        <v>761</v>
      </c>
      <c r="C281" s="715" t="s">
        <v>115</v>
      </c>
      <c r="D281" s="652">
        <v>4500197099</v>
      </c>
      <c r="E281" s="715" t="s">
        <v>4813</v>
      </c>
      <c r="F281" s="652" t="s">
        <v>4814</v>
      </c>
      <c r="G281" s="742" t="s">
        <v>3973</v>
      </c>
      <c r="H281" s="715" t="s">
        <v>3995</v>
      </c>
      <c r="I281" s="717">
        <v>2128</v>
      </c>
      <c r="J281" s="715">
        <v>0</v>
      </c>
      <c r="K281" s="739">
        <v>16</v>
      </c>
      <c r="L281" s="715">
        <f t="shared" si="50"/>
        <v>133</v>
      </c>
      <c r="M281" s="719">
        <v>46203</v>
      </c>
      <c r="N281" s="719">
        <f>M281-4</f>
        <v>46199</v>
      </c>
      <c r="O281" s="714" t="s">
        <v>4815</v>
      </c>
      <c r="P281" s="717" t="s">
        <v>106</v>
      </c>
      <c r="Q281" s="717"/>
      <c r="R281" s="723">
        <v>46168</v>
      </c>
      <c r="S281" s="720" t="s">
        <v>107</v>
      </c>
      <c r="T281" s="720" t="s">
        <v>95</v>
      </c>
      <c r="U281" s="720"/>
      <c r="V281" s="720"/>
      <c r="W281" s="720"/>
      <c r="X281" s="720" t="s">
        <v>4816</v>
      </c>
      <c r="Y281" s="719" t="s">
        <v>767</v>
      </c>
      <c r="Z281" s="730">
        <v>3</v>
      </c>
      <c r="AA281" s="652">
        <f>Z281*I281</f>
        <v>6384</v>
      </c>
      <c r="AB281" s="729" t="s">
        <v>4817</v>
      </c>
      <c r="AC281" s="722" t="s">
        <v>3980</v>
      </c>
      <c r="AD281" s="715" t="s">
        <v>112</v>
      </c>
      <c r="AE281" s="715">
        <f t="shared" si="56"/>
        <v>2128</v>
      </c>
      <c r="AF281" s="715"/>
      <c r="AG281" s="715">
        <v>2128</v>
      </c>
      <c r="AH281" s="715">
        <f t="shared" si="46"/>
        <v>0</v>
      </c>
      <c r="AI281" s="717"/>
      <c r="AJ281" s="715" t="s">
        <v>3981</v>
      </c>
      <c r="AK281" s="652">
        <f>I281</f>
        <v>2128</v>
      </c>
      <c r="AL281" s="652"/>
      <c r="AM281" s="652"/>
      <c r="AN281" s="652">
        <f t="shared" si="55"/>
        <v>2128</v>
      </c>
      <c r="AO281" s="652"/>
      <c r="AP281" s="652"/>
      <c r="AQ281" s="652"/>
      <c r="AR281" s="652"/>
      <c r="AS281" s="652"/>
      <c r="AT281" s="652">
        <f>I281/8</f>
        <v>266</v>
      </c>
      <c r="AU281" s="652"/>
      <c r="AV281" s="652"/>
      <c r="AW281" s="652"/>
      <c r="AX281" s="652"/>
      <c r="AY281" s="652"/>
      <c r="AZ281" s="652"/>
      <c r="BA281" s="652"/>
      <c r="BB281" s="652"/>
      <c r="BC281" s="652"/>
      <c r="BD281" s="652"/>
      <c r="BE281" s="652"/>
      <c r="BF281" s="652"/>
      <c r="BG281" s="652"/>
      <c r="BH281" s="652"/>
      <c r="BI281" s="652"/>
    </row>
    <row r="282" s="651" customFormat="1" ht="31" customHeight="1" spans="1:108">
      <c r="A282" s="713">
        <v>46120</v>
      </c>
      <c r="B282" s="714" t="s">
        <v>1176</v>
      </c>
      <c r="C282" s="715" t="s">
        <v>115</v>
      </c>
      <c r="D282" s="652" t="s">
        <v>4818</v>
      </c>
      <c r="E282" s="715" t="s">
        <v>1177</v>
      </c>
      <c r="F282" s="652" t="s">
        <v>4819</v>
      </c>
      <c r="G282" s="716" t="s">
        <v>3973</v>
      </c>
      <c r="H282" s="715" t="s">
        <v>3995</v>
      </c>
      <c r="I282" s="752">
        <v>8000</v>
      </c>
      <c r="J282" s="715">
        <v>0</v>
      </c>
      <c r="K282" s="715">
        <v>16</v>
      </c>
      <c r="L282" s="715">
        <f t="shared" si="50"/>
        <v>500</v>
      </c>
      <c r="M282" s="738">
        <v>46203</v>
      </c>
      <c r="N282" s="738">
        <v>46202</v>
      </c>
      <c r="O282" s="714" t="s">
        <v>4820</v>
      </c>
      <c r="P282" s="751" t="s">
        <v>106</v>
      </c>
      <c r="Q282" s="717"/>
      <c r="R282" s="723" t="s">
        <v>1179</v>
      </c>
      <c r="S282" s="720" t="s">
        <v>107</v>
      </c>
      <c r="T282" s="720" t="s">
        <v>4821</v>
      </c>
      <c r="U282" s="720"/>
      <c r="V282" s="720" t="s">
        <v>4347</v>
      </c>
      <c r="W282" s="720"/>
      <c r="X282" s="720" t="s">
        <v>1181</v>
      </c>
      <c r="Y282" s="719" t="s">
        <v>473</v>
      </c>
      <c r="Z282" s="730">
        <v>2.613</v>
      </c>
      <c r="AA282" s="652">
        <f>L282*Z282</f>
        <v>1306.5</v>
      </c>
      <c r="AB282" s="729" t="s">
        <v>1182</v>
      </c>
      <c r="AC282" s="722" t="s">
        <v>3973</v>
      </c>
      <c r="AD282" s="715" t="s">
        <v>112</v>
      </c>
      <c r="AE282" s="715">
        <f t="shared" si="56"/>
        <v>8000</v>
      </c>
      <c r="AF282" s="715" t="s">
        <v>4109</v>
      </c>
      <c r="AG282" s="715">
        <v>8000</v>
      </c>
      <c r="AH282" s="715">
        <f t="shared" si="46"/>
        <v>0</v>
      </c>
      <c r="AI282" s="717"/>
      <c r="AJ282" s="715" t="s">
        <v>3981</v>
      </c>
      <c r="AK282" s="652">
        <f>I282</f>
        <v>8000</v>
      </c>
      <c r="AL282" s="652"/>
      <c r="AM282" s="652"/>
      <c r="AN282" s="652">
        <f t="shared" si="55"/>
        <v>8000</v>
      </c>
      <c r="AO282" s="652"/>
      <c r="AP282" s="652"/>
      <c r="AQ282" s="652"/>
      <c r="AR282" s="652"/>
      <c r="AS282" s="652"/>
      <c r="AT282" s="652">
        <f>I282/8</f>
        <v>1000</v>
      </c>
      <c r="AU282" s="652"/>
      <c r="AV282" s="652"/>
      <c r="AW282" s="652"/>
      <c r="AX282" s="652"/>
      <c r="AY282" s="652"/>
      <c r="AZ282" s="652"/>
      <c r="BA282" s="652"/>
      <c r="BB282" s="652"/>
      <c r="BC282" s="652"/>
      <c r="BD282" s="652"/>
      <c r="BE282" s="652"/>
      <c r="BF282" s="652"/>
      <c r="BG282" s="652"/>
      <c r="BH282" s="652"/>
      <c r="BI282" s="652"/>
      <c r="BJ282" s="650"/>
      <c r="BK282" s="650"/>
      <c r="BL282" s="650"/>
      <c r="BM282" s="650"/>
      <c r="BN282" s="650"/>
      <c r="BO282" s="650"/>
      <c r="BP282" s="650"/>
      <c r="BQ282" s="650"/>
      <c r="BR282" s="650"/>
      <c r="BS282" s="650"/>
      <c r="BT282" s="650"/>
      <c r="BU282" s="650"/>
      <c r="BV282" s="650"/>
      <c r="BW282" s="650"/>
      <c r="BX282" s="650"/>
      <c r="BY282" s="650"/>
      <c r="BZ282" s="650"/>
      <c r="CA282" s="650"/>
      <c r="CB282" s="650"/>
      <c r="CC282" s="650"/>
      <c r="CD282" s="650"/>
      <c r="CE282" s="650"/>
      <c r="CF282" s="650"/>
      <c r="CG282" s="650"/>
      <c r="CH282" s="650"/>
      <c r="CI282" s="650"/>
      <c r="CJ282" s="650"/>
      <c r="CK282" s="650"/>
      <c r="CL282" s="650"/>
      <c r="CM282" s="650"/>
      <c r="CN282" s="650"/>
      <c r="CO282" s="650"/>
      <c r="CP282" s="650"/>
      <c r="CQ282" s="650"/>
      <c r="CR282" s="650"/>
      <c r="CS282" s="650"/>
      <c r="CT282" s="650"/>
      <c r="CU282" s="650"/>
      <c r="CV282" s="650"/>
      <c r="CW282" s="650"/>
      <c r="CX282" s="650"/>
      <c r="CY282" s="650"/>
      <c r="CZ282" s="650"/>
      <c r="DA282" s="650"/>
      <c r="DB282" s="650"/>
      <c r="DC282" s="650"/>
      <c r="DD282" s="650"/>
    </row>
    <row r="283" s="651" customFormat="1" ht="31" customHeight="1" spans="1:108">
      <c r="A283" s="713">
        <v>46128</v>
      </c>
      <c r="B283" s="714" t="s">
        <v>191</v>
      </c>
      <c r="C283" s="715" t="s">
        <v>164</v>
      </c>
      <c r="D283" s="652">
        <v>4500201885</v>
      </c>
      <c r="E283" s="715">
        <v>5200009315</v>
      </c>
      <c r="F283" s="652" t="s">
        <v>4822</v>
      </c>
      <c r="G283" s="716" t="s">
        <v>4028</v>
      </c>
      <c r="H283" s="746" t="s">
        <v>3978</v>
      </c>
      <c r="I283" s="717">
        <v>2000</v>
      </c>
      <c r="J283" s="715">
        <v>0</v>
      </c>
      <c r="K283" s="715">
        <v>8</v>
      </c>
      <c r="L283" s="715">
        <f t="shared" si="50"/>
        <v>250</v>
      </c>
      <c r="M283" s="719">
        <v>46203</v>
      </c>
      <c r="N283" s="719">
        <v>46199</v>
      </c>
      <c r="O283" s="714"/>
      <c r="P283" s="717"/>
      <c r="Q283" s="717"/>
      <c r="R283" s="723">
        <v>46128</v>
      </c>
      <c r="S283" s="720" t="s">
        <v>95</v>
      </c>
      <c r="T283" s="720" t="s">
        <v>4823</v>
      </c>
      <c r="U283" s="720"/>
      <c r="V283" s="720" t="s">
        <v>4625</v>
      </c>
      <c r="W283" s="720"/>
      <c r="X283" s="720" t="s">
        <v>4824</v>
      </c>
      <c r="Y283" s="719" t="s">
        <v>198</v>
      </c>
      <c r="Z283" s="730">
        <v>4.5779</v>
      </c>
      <c r="AA283" s="652">
        <f>I283*Z283</f>
        <v>9155.8</v>
      </c>
      <c r="AB283" s="721"/>
      <c r="AC283" s="722" t="s">
        <v>4031</v>
      </c>
      <c r="AD283" s="715" t="s">
        <v>112</v>
      </c>
      <c r="AE283" s="715">
        <f t="shared" si="56"/>
        <v>2000</v>
      </c>
      <c r="AF283" s="715" t="s">
        <v>4109</v>
      </c>
      <c r="AG283" s="715">
        <v>2000</v>
      </c>
      <c r="AH283" s="715">
        <f t="shared" ref="AH283:AH346" si="58">AG283-I283</f>
        <v>0</v>
      </c>
      <c r="AI283" s="717"/>
      <c r="AJ283" s="715" t="s">
        <v>3981</v>
      </c>
      <c r="AK283" s="652"/>
      <c r="AL283" s="652">
        <f>I283</f>
        <v>2000</v>
      </c>
      <c r="AM283" s="652"/>
      <c r="AN283" s="652">
        <f t="shared" si="55"/>
        <v>2000</v>
      </c>
      <c r="AO283" s="652"/>
      <c r="AP283" s="652"/>
      <c r="AQ283" s="652"/>
      <c r="AR283" s="652"/>
      <c r="AS283" s="652"/>
      <c r="AT283" s="652"/>
      <c r="AU283" s="652">
        <f>I283/8</f>
        <v>250</v>
      </c>
      <c r="AV283" s="652"/>
      <c r="AW283" s="652"/>
      <c r="AX283" s="652"/>
      <c r="AY283" s="652"/>
      <c r="AZ283" s="652"/>
      <c r="BA283" s="652"/>
      <c r="BB283" s="652"/>
      <c r="BC283" s="652"/>
      <c r="BD283" s="652"/>
      <c r="BE283" s="652"/>
      <c r="BF283" s="652"/>
      <c r="BG283" s="652"/>
      <c r="BH283" s="652"/>
      <c r="BI283" s="652"/>
      <c r="BJ283" s="650"/>
      <c r="BK283" s="650"/>
      <c r="BL283" s="650"/>
      <c r="BM283" s="650"/>
      <c r="BN283" s="650"/>
      <c r="BO283" s="650"/>
      <c r="BP283" s="650"/>
      <c r="BQ283" s="650"/>
      <c r="BR283" s="650"/>
      <c r="BS283" s="650"/>
      <c r="BT283" s="650"/>
      <c r="BU283" s="650"/>
      <c r="BV283" s="650"/>
      <c r="BW283" s="650"/>
      <c r="BX283" s="650"/>
      <c r="BY283" s="650"/>
      <c r="BZ283" s="650"/>
      <c r="CA283" s="650"/>
      <c r="CB283" s="650"/>
      <c r="CC283" s="650"/>
      <c r="CD283" s="650"/>
      <c r="CE283" s="650"/>
      <c r="CF283" s="650"/>
      <c r="CG283" s="650"/>
      <c r="CH283" s="650"/>
      <c r="CI283" s="650"/>
      <c r="CJ283" s="650"/>
      <c r="CK283" s="650"/>
      <c r="CL283" s="650"/>
      <c r="CM283" s="650"/>
      <c r="CN283" s="650"/>
      <c r="CO283" s="650"/>
      <c r="CP283" s="650"/>
      <c r="CQ283" s="650"/>
      <c r="CR283" s="650"/>
      <c r="CS283" s="650"/>
      <c r="CT283" s="650"/>
      <c r="CU283" s="650"/>
      <c r="CV283" s="650"/>
      <c r="CW283" s="650"/>
      <c r="CX283" s="650"/>
      <c r="CY283" s="650"/>
      <c r="CZ283" s="650"/>
      <c r="DA283" s="650"/>
      <c r="DB283" s="650"/>
      <c r="DC283" s="650"/>
      <c r="DD283" s="650"/>
    </row>
    <row r="284" s="651" customFormat="1" ht="31" customHeight="1" spans="1:108">
      <c r="A284" s="713">
        <v>46125</v>
      </c>
      <c r="B284" s="714" t="s">
        <v>1093</v>
      </c>
      <c r="C284" s="715" t="s">
        <v>1094</v>
      </c>
      <c r="D284" s="652">
        <v>4500201657</v>
      </c>
      <c r="E284" s="715" t="s">
        <v>1095</v>
      </c>
      <c r="F284" s="652" t="s">
        <v>4825</v>
      </c>
      <c r="G284" s="716" t="s">
        <v>3973</v>
      </c>
      <c r="H284" s="715" t="s">
        <v>3995</v>
      </c>
      <c r="I284" s="717">
        <v>8800</v>
      </c>
      <c r="J284" s="715">
        <v>0</v>
      </c>
      <c r="K284" s="715">
        <v>16</v>
      </c>
      <c r="L284" s="715">
        <f t="shared" si="50"/>
        <v>550</v>
      </c>
      <c r="M284" s="719">
        <v>46203</v>
      </c>
      <c r="N284" s="719">
        <v>46199</v>
      </c>
      <c r="O284" s="714"/>
      <c r="P284" s="717" t="s">
        <v>106</v>
      </c>
      <c r="Q284" s="717"/>
      <c r="R284" s="723">
        <v>46151</v>
      </c>
      <c r="S284" s="720" t="s">
        <v>95</v>
      </c>
      <c r="T284" s="720" t="s">
        <v>1097</v>
      </c>
      <c r="U284" s="720"/>
      <c r="V284" s="720"/>
      <c r="W284" s="720"/>
      <c r="X284" s="720" t="s">
        <v>4826</v>
      </c>
      <c r="Y284" s="719" t="s">
        <v>659</v>
      </c>
      <c r="Z284" s="730">
        <v>4.5266</v>
      </c>
      <c r="AA284" s="652">
        <f>L284*Z284</f>
        <v>2489.63</v>
      </c>
      <c r="AB284" s="721"/>
      <c r="AC284" s="722" t="s">
        <v>3973</v>
      </c>
      <c r="AD284" s="715" t="s">
        <v>112</v>
      </c>
      <c r="AE284" s="715">
        <f t="shared" si="56"/>
        <v>8800</v>
      </c>
      <c r="AF284" s="715"/>
      <c r="AG284" s="715">
        <v>8800</v>
      </c>
      <c r="AH284" s="715">
        <f t="shared" si="58"/>
        <v>0</v>
      </c>
      <c r="AI284" s="717"/>
      <c r="AJ284" s="715" t="s">
        <v>3981</v>
      </c>
      <c r="AK284" s="652">
        <f>I284</f>
        <v>8800</v>
      </c>
      <c r="AL284" s="652"/>
      <c r="AM284" s="652"/>
      <c r="AN284" s="652">
        <f t="shared" si="55"/>
        <v>8800</v>
      </c>
      <c r="AO284" s="652"/>
      <c r="AP284" s="652"/>
      <c r="AQ284" s="652"/>
      <c r="AR284" s="652"/>
      <c r="AS284" s="652"/>
      <c r="AT284" s="652">
        <f>I284/8</f>
        <v>1100</v>
      </c>
      <c r="AU284" s="652"/>
      <c r="AV284" s="652"/>
      <c r="AW284" s="652"/>
      <c r="AX284" s="652"/>
      <c r="AY284" s="652"/>
      <c r="AZ284" s="652"/>
      <c r="BA284" s="652"/>
      <c r="BB284" s="652"/>
      <c r="BC284" s="652"/>
      <c r="BD284" s="652"/>
      <c r="BE284" s="652"/>
      <c r="BF284" s="652"/>
      <c r="BG284" s="652"/>
      <c r="BH284" s="652"/>
      <c r="BI284" s="652"/>
      <c r="BJ284" s="650"/>
      <c r="BK284" s="650"/>
      <c r="BL284" s="650"/>
      <c r="BM284" s="650"/>
      <c r="BN284" s="650"/>
      <c r="BO284" s="650"/>
      <c r="BP284" s="650"/>
      <c r="BQ284" s="650"/>
      <c r="BR284" s="650"/>
      <c r="BS284" s="650"/>
      <c r="BT284" s="650"/>
      <c r="BU284" s="650"/>
      <c r="BV284" s="650"/>
      <c r="BW284" s="650"/>
      <c r="BX284" s="650"/>
      <c r="BY284" s="650"/>
      <c r="BZ284" s="650"/>
      <c r="CA284" s="650"/>
      <c r="CB284" s="650"/>
      <c r="CC284" s="650"/>
      <c r="CD284" s="650"/>
      <c r="CE284" s="650"/>
      <c r="CF284" s="650"/>
      <c r="CG284" s="650"/>
      <c r="CH284" s="650"/>
      <c r="CI284" s="650"/>
      <c r="CJ284" s="650"/>
      <c r="CK284" s="650"/>
      <c r="CL284" s="650"/>
      <c r="CM284" s="650"/>
      <c r="CN284" s="650"/>
      <c r="CO284" s="650"/>
      <c r="CP284" s="650"/>
      <c r="CQ284" s="650"/>
      <c r="CR284" s="650"/>
      <c r="CS284" s="650"/>
      <c r="CT284" s="650"/>
      <c r="CU284" s="650"/>
      <c r="CV284" s="650"/>
      <c r="CW284" s="650"/>
      <c r="CX284" s="650"/>
      <c r="CY284" s="650"/>
      <c r="CZ284" s="650"/>
      <c r="DA284" s="650"/>
      <c r="DB284" s="650"/>
      <c r="DC284" s="650"/>
      <c r="DD284" s="650"/>
    </row>
    <row r="285" s="650" customFormat="1" ht="31" customHeight="1" spans="1:108">
      <c r="A285" s="713">
        <v>46157</v>
      </c>
      <c r="B285" s="714" t="s">
        <v>100</v>
      </c>
      <c r="C285" s="715" t="s">
        <v>101</v>
      </c>
      <c r="D285" s="652" t="s">
        <v>4827</v>
      </c>
      <c r="E285" s="715" t="s">
        <v>4828</v>
      </c>
      <c r="F285" s="652" t="s">
        <v>4829</v>
      </c>
      <c r="G285" s="716" t="s">
        <v>3977</v>
      </c>
      <c r="H285" s="715" t="s">
        <v>3978</v>
      </c>
      <c r="I285" s="752">
        <v>224</v>
      </c>
      <c r="J285" s="715">
        <v>0</v>
      </c>
      <c r="K285" s="715">
        <v>8</v>
      </c>
      <c r="L285" s="715">
        <f t="shared" si="50"/>
        <v>28</v>
      </c>
      <c r="M285" s="719">
        <v>46203</v>
      </c>
      <c r="N285" s="719">
        <v>46199</v>
      </c>
      <c r="O285" s="714"/>
      <c r="P285" s="717"/>
      <c r="Q285" s="717" t="s">
        <v>1373</v>
      </c>
      <c r="R285" s="734">
        <v>46157</v>
      </c>
      <c r="S285" s="735" t="s">
        <v>107</v>
      </c>
      <c r="T285" s="720" t="s">
        <v>4830</v>
      </c>
      <c r="U285" s="720"/>
      <c r="V285" s="720" t="s">
        <v>4831</v>
      </c>
      <c r="W285" s="720"/>
      <c r="X285" s="720" t="s">
        <v>4832</v>
      </c>
      <c r="Y285" s="719" t="s">
        <v>110</v>
      </c>
      <c r="Z285" s="730">
        <v>4.5882</v>
      </c>
      <c r="AA285" s="652">
        <f>I285*Z285</f>
        <v>1027.7568</v>
      </c>
      <c r="AB285" s="721"/>
      <c r="AC285" s="722" t="s">
        <v>3980</v>
      </c>
      <c r="AD285" s="715" t="s">
        <v>112</v>
      </c>
      <c r="AE285" s="715">
        <f t="shared" si="56"/>
        <v>224</v>
      </c>
      <c r="AF285" s="715"/>
      <c r="AG285" s="715">
        <v>224</v>
      </c>
      <c r="AH285" s="715">
        <f t="shared" si="58"/>
        <v>0</v>
      </c>
      <c r="AI285" s="717"/>
      <c r="AJ285" s="715" t="s">
        <v>3981</v>
      </c>
      <c r="AK285" s="652">
        <f>I285</f>
        <v>224</v>
      </c>
      <c r="AL285" s="652"/>
      <c r="AM285" s="652"/>
      <c r="AN285" s="652">
        <f t="shared" si="55"/>
        <v>224</v>
      </c>
      <c r="AO285" s="652"/>
      <c r="AP285" s="652"/>
      <c r="AQ285" s="652"/>
      <c r="AR285" s="652"/>
      <c r="AS285" s="652"/>
      <c r="AT285" s="652"/>
      <c r="AU285" s="652"/>
      <c r="AV285" s="652"/>
      <c r="AW285" s="652"/>
      <c r="AX285" s="652">
        <f>I285/8</f>
        <v>28</v>
      </c>
      <c r="AY285" s="652"/>
      <c r="AZ285" s="652"/>
      <c r="BA285" s="652"/>
      <c r="BB285" s="652"/>
      <c r="BC285" s="652"/>
      <c r="BD285" s="652"/>
      <c r="BE285" s="652"/>
      <c r="BF285" s="652"/>
      <c r="BG285" s="652"/>
      <c r="BH285" s="652"/>
      <c r="BI285" s="652"/>
    </row>
    <row r="286" s="650" customFormat="1" ht="31" customHeight="1" spans="1:108">
      <c r="A286" s="713">
        <v>46136</v>
      </c>
      <c r="B286" s="714" t="s">
        <v>935</v>
      </c>
      <c r="C286" s="715" t="s">
        <v>115</v>
      </c>
      <c r="D286" s="652" t="s">
        <v>4833</v>
      </c>
      <c r="E286" s="1908" t="s">
        <v>4834</v>
      </c>
      <c r="F286" s="652" t="s">
        <v>1401</v>
      </c>
      <c r="G286" s="716" t="s">
        <v>4215</v>
      </c>
      <c r="H286" s="715" t="s">
        <v>483</v>
      </c>
      <c r="I286" s="717">
        <v>4320</v>
      </c>
      <c r="J286" s="715">
        <v>0</v>
      </c>
      <c r="K286" s="715">
        <v>120</v>
      </c>
      <c r="L286" s="715">
        <f t="shared" si="50"/>
        <v>36</v>
      </c>
      <c r="M286" s="719">
        <v>46203</v>
      </c>
      <c r="N286" s="738">
        <v>46221</v>
      </c>
      <c r="O286" s="714"/>
      <c r="P286" s="717" t="s">
        <v>106</v>
      </c>
      <c r="Q286" s="717"/>
      <c r="R286" s="723">
        <v>46155</v>
      </c>
      <c r="S286" s="720" t="s">
        <v>107</v>
      </c>
      <c r="T286" s="720" t="s">
        <v>95</v>
      </c>
      <c r="U286" s="720"/>
      <c r="V286" s="720"/>
      <c r="W286" s="720"/>
      <c r="X286" s="720" t="s">
        <v>937</v>
      </c>
      <c r="Y286" s="719" t="s">
        <v>488</v>
      </c>
      <c r="Z286" s="730">
        <v>642</v>
      </c>
      <c r="AA286" s="652">
        <f>L286*Z286</f>
        <v>23112</v>
      </c>
      <c r="AB286" s="729" t="s">
        <v>1403</v>
      </c>
      <c r="AC286" s="722" t="s">
        <v>490</v>
      </c>
      <c r="AD286" s="715" t="s">
        <v>112</v>
      </c>
      <c r="AE286" s="715">
        <f t="shared" si="56"/>
        <v>4320</v>
      </c>
      <c r="AF286" s="715" t="s">
        <v>4109</v>
      </c>
      <c r="AG286" s="715">
        <f>1538+1296+1486</f>
        <v>4320</v>
      </c>
      <c r="AH286" s="715">
        <f t="shared" si="58"/>
        <v>0</v>
      </c>
      <c r="AI286" s="717"/>
      <c r="AJ286" s="715" t="s">
        <v>3981</v>
      </c>
      <c r="AK286" s="652"/>
      <c r="AL286" s="652"/>
      <c r="AM286" s="652"/>
      <c r="AN286" s="652"/>
      <c r="AO286" s="652"/>
      <c r="AP286" s="652"/>
      <c r="AQ286" s="652">
        <f>I286</f>
        <v>4320</v>
      </c>
      <c r="AR286" s="652">
        <f>I286</f>
        <v>4320</v>
      </c>
      <c r="AS286" s="652">
        <f>I286/6</f>
        <v>720</v>
      </c>
      <c r="AT286" s="652"/>
      <c r="AU286" s="652"/>
      <c r="AV286" s="652"/>
      <c r="AW286" s="652"/>
      <c r="AX286" s="652"/>
      <c r="AY286" s="652"/>
      <c r="AZ286" s="652"/>
      <c r="BA286" s="652"/>
      <c r="BB286" s="652"/>
      <c r="BC286" s="652"/>
      <c r="BD286" s="652"/>
      <c r="BE286" s="652"/>
      <c r="BF286" s="652"/>
      <c r="BG286" s="652"/>
      <c r="BH286" s="652"/>
      <c r="BI286" s="652"/>
    </row>
    <row r="287" s="654" customFormat="1" ht="31" customHeight="1" spans="1:108">
      <c r="A287" s="713">
        <v>46136</v>
      </c>
      <c r="B287" s="714" t="s">
        <v>935</v>
      </c>
      <c r="C287" s="715" t="s">
        <v>115</v>
      </c>
      <c r="D287" s="652" t="s">
        <v>4835</v>
      </c>
      <c r="E287" s="1908" t="s">
        <v>4836</v>
      </c>
      <c r="F287" s="652" t="s">
        <v>1393</v>
      </c>
      <c r="G287" s="716" t="s">
        <v>4215</v>
      </c>
      <c r="H287" s="715" t="s">
        <v>483</v>
      </c>
      <c r="I287" s="717">
        <v>4320</v>
      </c>
      <c r="J287" s="715">
        <v>0</v>
      </c>
      <c r="K287" s="715">
        <v>120</v>
      </c>
      <c r="L287" s="715">
        <f t="shared" si="50"/>
        <v>36</v>
      </c>
      <c r="M287" s="719">
        <v>46203</v>
      </c>
      <c r="N287" s="738">
        <v>46221</v>
      </c>
      <c r="O287" s="714"/>
      <c r="P287" s="717" t="s">
        <v>106</v>
      </c>
      <c r="Q287" s="717"/>
      <c r="R287" s="723">
        <v>46155</v>
      </c>
      <c r="S287" s="720" t="s">
        <v>107</v>
      </c>
      <c r="T287" s="720" t="s">
        <v>95</v>
      </c>
      <c r="U287" s="720"/>
      <c r="V287" s="720"/>
      <c r="W287" s="720"/>
      <c r="X287" s="720" t="s">
        <v>937</v>
      </c>
      <c r="Y287" s="719" t="s">
        <v>488</v>
      </c>
      <c r="Z287" s="730">
        <v>642</v>
      </c>
      <c r="AA287" s="652">
        <f>L287*Z287</f>
        <v>23112</v>
      </c>
      <c r="AB287" s="729" t="s">
        <v>1394</v>
      </c>
      <c r="AC287" s="722" t="s">
        <v>490</v>
      </c>
      <c r="AD287" s="715" t="s">
        <v>112</v>
      </c>
      <c r="AE287" s="715">
        <f t="shared" si="56"/>
        <v>4320</v>
      </c>
      <c r="AF287" s="715" t="s">
        <v>4109</v>
      </c>
      <c r="AG287" s="715">
        <f>3024+1296</f>
        <v>4320</v>
      </c>
      <c r="AH287" s="715">
        <f t="shared" si="58"/>
        <v>0</v>
      </c>
      <c r="AI287" s="717"/>
      <c r="AJ287" s="715" t="s">
        <v>3981</v>
      </c>
      <c r="AK287" s="652"/>
      <c r="AL287" s="652"/>
      <c r="AM287" s="652"/>
      <c r="AN287" s="652"/>
      <c r="AO287" s="652"/>
      <c r="AP287" s="652"/>
      <c r="AQ287" s="652">
        <f>I287</f>
        <v>4320</v>
      </c>
      <c r="AR287" s="652">
        <f>I287</f>
        <v>4320</v>
      </c>
      <c r="AS287" s="652">
        <f>I287/6</f>
        <v>720</v>
      </c>
      <c r="AT287" s="652"/>
      <c r="AU287" s="652"/>
      <c r="AV287" s="652"/>
      <c r="AW287" s="652"/>
      <c r="AX287" s="652"/>
      <c r="AY287" s="652"/>
      <c r="AZ287" s="652"/>
      <c r="BA287" s="652"/>
      <c r="BB287" s="652"/>
      <c r="BC287" s="652"/>
      <c r="BD287" s="652"/>
      <c r="BE287" s="652"/>
      <c r="BF287" s="652"/>
      <c r="BG287" s="652"/>
      <c r="BH287" s="652"/>
      <c r="BI287" s="652"/>
      <c r="BJ287" s="650"/>
      <c r="BK287" s="650"/>
      <c r="BL287" s="650"/>
      <c r="BM287" s="650"/>
      <c r="BN287" s="650"/>
      <c r="BO287" s="650"/>
      <c r="BP287" s="650"/>
      <c r="BQ287" s="650"/>
      <c r="BR287" s="650"/>
      <c r="BS287" s="650"/>
      <c r="BT287" s="650"/>
      <c r="BU287" s="650"/>
      <c r="BV287" s="650"/>
      <c r="BW287" s="650"/>
      <c r="BX287" s="650"/>
      <c r="BY287" s="650"/>
      <c r="BZ287" s="650"/>
      <c r="CA287" s="650"/>
      <c r="CB287" s="650"/>
      <c r="CC287" s="650"/>
      <c r="CD287" s="650"/>
      <c r="CE287" s="650"/>
      <c r="CF287" s="650"/>
      <c r="CG287" s="650"/>
      <c r="CH287" s="650"/>
      <c r="CI287" s="650"/>
      <c r="CJ287" s="650"/>
      <c r="CK287" s="650"/>
      <c r="CL287" s="650"/>
      <c r="CM287" s="650"/>
      <c r="CN287" s="650"/>
      <c r="CO287" s="650"/>
      <c r="CP287" s="650"/>
      <c r="CQ287" s="650"/>
      <c r="CR287" s="650"/>
      <c r="CS287" s="650"/>
      <c r="CT287" s="650"/>
      <c r="CU287" s="650"/>
      <c r="CV287" s="650"/>
      <c r="CW287" s="650"/>
      <c r="CX287" s="650"/>
      <c r="CY287" s="650"/>
      <c r="CZ287" s="650"/>
      <c r="DA287" s="650"/>
      <c r="DB287" s="650"/>
      <c r="DC287" s="650"/>
      <c r="DD287" s="650"/>
    </row>
    <row r="288" s="650" customFormat="1" ht="31" customHeight="1" spans="1:108">
      <c r="A288" s="713">
        <v>46136</v>
      </c>
      <c r="B288" s="714" t="s">
        <v>935</v>
      </c>
      <c r="C288" s="715" t="s">
        <v>115</v>
      </c>
      <c r="D288" s="652" t="s">
        <v>4837</v>
      </c>
      <c r="E288" s="1908" t="s">
        <v>4838</v>
      </c>
      <c r="F288" s="652" t="s">
        <v>1391</v>
      </c>
      <c r="G288" s="716" t="s">
        <v>4215</v>
      </c>
      <c r="H288" s="715" t="s">
        <v>483</v>
      </c>
      <c r="I288" s="717">
        <v>4320</v>
      </c>
      <c r="J288" s="715">
        <v>0</v>
      </c>
      <c r="K288" s="715">
        <v>120</v>
      </c>
      <c r="L288" s="715">
        <f t="shared" si="50"/>
        <v>36</v>
      </c>
      <c r="M288" s="719">
        <v>46203</v>
      </c>
      <c r="N288" s="738">
        <v>46221</v>
      </c>
      <c r="O288" s="714"/>
      <c r="P288" s="717" t="s">
        <v>106</v>
      </c>
      <c r="Q288" s="717"/>
      <c r="R288" s="723">
        <v>46155</v>
      </c>
      <c r="S288" s="720" t="s">
        <v>107</v>
      </c>
      <c r="T288" s="720" t="s">
        <v>95</v>
      </c>
      <c r="U288" s="720"/>
      <c r="V288" s="720"/>
      <c r="W288" s="720"/>
      <c r="X288" s="720" t="s">
        <v>937</v>
      </c>
      <c r="Y288" s="719" t="s">
        <v>488</v>
      </c>
      <c r="Z288" s="730">
        <v>642</v>
      </c>
      <c r="AA288" s="652">
        <f>L288*Z288</f>
        <v>23112</v>
      </c>
      <c r="AB288" s="729" t="s">
        <v>4839</v>
      </c>
      <c r="AC288" s="722" t="s">
        <v>490</v>
      </c>
      <c r="AD288" s="715" t="s">
        <v>112</v>
      </c>
      <c r="AE288" s="715">
        <f t="shared" si="56"/>
        <v>4320</v>
      </c>
      <c r="AF288" s="715" t="s">
        <v>4109</v>
      </c>
      <c r="AG288" s="715">
        <f>2256+384+1680</f>
        <v>4320</v>
      </c>
      <c r="AH288" s="715">
        <f t="shared" si="58"/>
        <v>0</v>
      </c>
      <c r="AI288" s="717"/>
      <c r="AJ288" s="715" t="s">
        <v>3981</v>
      </c>
      <c r="AK288" s="652"/>
      <c r="AL288" s="652"/>
      <c r="AM288" s="652"/>
      <c r="AN288" s="652"/>
      <c r="AO288" s="652"/>
      <c r="AP288" s="652"/>
      <c r="AQ288" s="652">
        <f>I288</f>
        <v>4320</v>
      </c>
      <c r="AR288" s="652">
        <f>I288</f>
        <v>4320</v>
      </c>
      <c r="AS288" s="652">
        <f>I288/6</f>
        <v>720</v>
      </c>
      <c r="AT288" s="652"/>
      <c r="AU288" s="652"/>
      <c r="AV288" s="652"/>
      <c r="AW288" s="652"/>
      <c r="AX288" s="652"/>
      <c r="AY288" s="652"/>
      <c r="AZ288" s="652"/>
      <c r="BA288" s="652"/>
      <c r="BB288" s="652"/>
      <c r="BC288" s="652"/>
      <c r="BD288" s="652"/>
      <c r="BE288" s="652"/>
      <c r="BF288" s="652"/>
      <c r="BG288" s="652"/>
      <c r="BH288" s="652"/>
      <c r="BI288" s="652"/>
    </row>
    <row r="289" s="650" customFormat="1" ht="31" customHeight="1" spans="1:108">
      <c r="A289" s="713">
        <v>46136</v>
      </c>
      <c r="B289" s="714" t="s">
        <v>935</v>
      </c>
      <c r="C289" s="715" t="s">
        <v>115</v>
      </c>
      <c r="D289" s="652" t="s">
        <v>4840</v>
      </c>
      <c r="E289" s="1908" t="s">
        <v>4841</v>
      </c>
      <c r="F289" s="652" t="s">
        <v>1404</v>
      </c>
      <c r="G289" s="716" t="s">
        <v>4215</v>
      </c>
      <c r="H289" s="715" t="s">
        <v>483</v>
      </c>
      <c r="I289" s="717">
        <v>4320</v>
      </c>
      <c r="J289" s="715">
        <v>0</v>
      </c>
      <c r="K289" s="715">
        <v>120</v>
      </c>
      <c r="L289" s="715">
        <f t="shared" si="50"/>
        <v>36</v>
      </c>
      <c r="M289" s="719">
        <v>46203</v>
      </c>
      <c r="N289" s="738">
        <v>46221</v>
      </c>
      <c r="O289" s="714"/>
      <c r="P289" s="717" t="s">
        <v>106</v>
      </c>
      <c r="Q289" s="717"/>
      <c r="R289" s="723">
        <v>46155</v>
      </c>
      <c r="S289" s="720" t="s">
        <v>107</v>
      </c>
      <c r="T289" s="720" t="s">
        <v>95</v>
      </c>
      <c r="U289" s="720"/>
      <c r="V289" s="720"/>
      <c r="W289" s="720"/>
      <c r="X289" s="720" t="s">
        <v>937</v>
      </c>
      <c r="Y289" s="719" t="s">
        <v>488</v>
      </c>
      <c r="Z289" s="730">
        <v>642</v>
      </c>
      <c r="AA289" s="652">
        <f>L289*Z289</f>
        <v>23112</v>
      </c>
      <c r="AB289" s="729" t="s">
        <v>1405</v>
      </c>
      <c r="AC289" s="722" t="s">
        <v>490</v>
      </c>
      <c r="AD289" s="715" t="s">
        <v>112</v>
      </c>
      <c r="AE289" s="715">
        <f t="shared" si="56"/>
        <v>4320</v>
      </c>
      <c r="AF289" s="715" t="s">
        <v>4109</v>
      </c>
      <c r="AG289" s="715">
        <f>1872+752+192+192+210+1102</f>
        <v>4320</v>
      </c>
      <c r="AH289" s="715">
        <f t="shared" si="58"/>
        <v>0</v>
      </c>
      <c r="AI289" s="717"/>
      <c r="AJ289" s="715" t="s">
        <v>3981</v>
      </c>
      <c r="AK289" s="652"/>
      <c r="AL289" s="652"/>
      <c r="AM289" s="652"/>
      <c r="AN289" s="652"/>
      <c r="AO289" s="652"/>
      <c r="AP289" s="652"/>
      <c r="AQ289" s="652">
        <f>I289</f>
        <v>4320</v>
      </c>
      <c r="AR289" s="652">
        <f>I289</f>
        <v>4320</v>
      </c>
      <c r="AS289" s="652">
        <f>I289/6</f>
        <v>720</v>
      </c>
      <c r="AT289" s="652"/>
      <c r="AU289" s="652"/>
      <c r="AV289" s="652"/>
      <c r="AW289" s="652"/>
      <c r="AX289" s="652"/>
      <c r="AY289" s="652"/>
      <c r="AZ289" s="652"/>
      <c r="BA289" s="652"/>
      <c r="BB289" s="652"/>
      <c r="BC289" s="652"/>
      <c r="BD289" s="652"/>
      <c r="BE289" s="652"/>
      <c r="BF289" s="652"/>
      <c r="BG289" s="652"/>
      <c r="BH289" s="652"/>
      <c r="BI289" s="652"/>
    </row>
    <row r="290" s="650" customFormat="1" ht="31" customHeight="1" spans="1:108">
      <c r="A290" s="713">
        <v>46136</v>
      </c>
      <c r="B290" s="714" t="s">
        <v>935</v>
      </c>
      <c r="C290" s="715" t="s">
        <v>115</v>
      </c>
      <c r="D290" s="652" t="s">
        <v>4842</v>
      </c>
      <c r="E290" s="1908" t="s">
        <v>4843</v>
      </c>
      <c r="F290" s="652" t="s">
        <v>1406</v>
      </c>
      <c r="G290" s="716" t="s">
        <v>4215</v>
      </c>
      <c r="H290" s="715" t="s">
        <v>483</v>
      </c>
      <c r="I290" s="717">
        <v>4320</v>
      </c>
      <c r="J290" s="715">
        <v>0</v>
      </c>
      <c r="K290" s="715">
        <v>120</v>
      </c>
      <c r="L290" s="715">
        <f t="shared" si="50"/>
        <v>36</v>
      </c>
      <c r="M290" s="719">
        <v>46203</v>
      </c>
      <c r="N290" s="738">
        <v>46221</v>
      </c>
      <c r="O290" s="714"/>
      <c r="P290" s="717" t="s">
        <v>106</v>
      </c>
      <c r="Q290" s="717"/>
      <c r="R290" s="723">
        <v>46155</v>
      </c>
      <c r="S290" s="720" t="s">
        <v>107</v>
      </c>
      <c r="T290" s="720" t="s">
        <v>95</v>
      </c>
      <c r="U290" s="720"/>
      <c r="V290" s="720"/>
      <c r="W290" s="720"/>
      <c r="X290" s="720" t="s">
        <v>937</v>
      </c>
      <c r="Y290" s="719" t="s">
        <v>488</v>
      </c>
      <c r="Z290" s="730">
        <v>642</v>
      </c>
      <c r="AA290" s="652">
        <f>L290*Z290</f>
        <v>23112</v>
      </c>
      <c r="AB290" s="729" t="s">
        <v>1407</v>
      </c>
      <c r="AC290" s="722" t="s">
        <v>490</v>
      </c>
      <c r="AD290" s="715" t="s">
        <v>112</v>
      </c>
      <c r="AE290" s="715">
        <f t="shared" si="56"/>
        <v>4320</v>
      </c>
      <c r="AF290" s="715" t="s">
        <v>4109</v>
      </c>
      <c r="AG290" s="715">
        <v>4320</v>
      </c>
      <c r="AH290" s="715">
        <f t="shared" si="58"/>
        <v>0</v>
      </c>
      <c r="AI290" s="717"/>
      <c r="AJ290" s="715" t="s">
        <v>3981</v>
      </c>
      <c r="AK290" s="652"/>
      <c r="AL290" s="652"/>
      <c r="AM290" s="652"/>
      <c r="AN290" s="652"/>
      <c r="AO290" s="652"/>
      <c r="AP290" s="652"/>
      <c r="AQ290" s="652">
        <f>I290</f>
        <v>4320</v>
      </c>
      <c r="AR290" s="652">
        <f>I290</f>
        <v>4320</v>
      </c>
      <c r="AS290" s="652">
        <f>I290/6</f>
        <v>720</v>
      </c>
      <c r="AT290" s="652"/>
      <c r="AU290" s="652"/>
      <c r="AV290" s="652"/>
      <c r="AW290" s="652"/>
      <c r="AX290" s="652"/>
      <c r="AY290" s="652"/>
      <c r="AZ290" s="652"/>
      <c r="BA290" s="652"/>
      <c r="BB290" s="652"/>
      <c r="BC290" s="652"/>
      <c r="BD290" s="652"/>
      <c r="BE290" s="652"/>
      <c r="BF290" s="652"/>
      <c r="BG290" s="652"/>
      <c r="BH290" s="652"/>
      <c r="BI290" s="652"/>
    </row>
    <row r="291" s="650" customFormat="1" ht="31" customHeight="1" spans="1:108">
      <c r="A291" s="713">
        <v>46160</v>
      </c>
      <c r="B291" s="714" t="s">
        <v>346</v>
      </c>
      <c r="C291" s="715" t="s">
        <v>115</v>
      </c>
      <c r="D291" s="652" t="s">
        <v>4844</v>
      </c>
      <c r="E291" s="715" t="s">
        <v>4845</v>
      </c>
      <c r="F291" s="652" t="s">
        <v>4846</v>
      </c>
      <c r="G291" s="716" t="s">
        <v>4414</v>
      </c>
      <c r="H291" s="715" t="s">
        <v>3978</v>
      </c>
      <c r="I291" s="717">
        <v>7680</v>
      </c>
      <c r="J291" s="715">
        <v>0</v>
      </c>
      <c r="K291" s="715">
        <v>512</v>
      </c>
      <c r="L291" s="715">
        <f t="shared" si="50"/>
        <v>15</v>
      </c>
      <c r="M291" s="719">
        <v>46204</v>
      </c>
      <c r="N291" s="719">
        <v>46200</v>
      </c>
      <c r="O291" s="714" t="s">
        <v>4847</v>
      </c>
      <c r="P291" s="717" t="s">
        <v>106</v>
      </c>
      <c r="Q291" s="717"/>
      <c r="R291" s="723" t="s">
        <v>4201</v>
      </c>
      <c r="S291" s="720" t="s">
        <v>95</v>
      </c>
      <c r="T291" s="735" t="s">
        <v>4848</v>
      </c>
      <c r="U291" s="735"/>
      <c r="V291" s="720" t="s">
        <v>4706</v>
      </c>
      <c r="W291" s="720"/>
      <c r="X291" s="720" t="s">
        <v>4849</v>
      </c>
      <c r="Y291" s="719" t="s">
        <v>354</v>
      </c>
      <c r="Z291" s="730">
        <v>1431.5653</v>
      </c>
      <c r="AA291" s="652">
        <f>I291*Z291</f>
        <v>10994421.504</v>
      </c>
      <c r="AB291" s="729" t="s">
        <v>4850</v>
      </c>
      <c r="AC291" s="652" t="s">
        <v>4194</v>
      </c>
      <c r="AD291" s="715" t="s">
        <v>112</v>
      </c>
      <c r="AE291" s="715">
        <f t="shared" si="56"/>
        <v>7680</v>
      </c>
      <c r="AF291" s="715"/>
      <c r="AG291" s="715">
        <v>7680</v>
      </c>
      <c r="AH291" s="715">
        <f t="shared" si="58"/>
        <v>0</v>
      </c>
      <c r="AI291" s="717"/>
      <c r="AJ291" s="715" t="s">
        <v>3981</v>
      </c>
      <c r="AK291" s="652">
        <f t="shared" ref="AK291:AK296" si="59">I291</f>
        <v>7680</v>
      </c>
      <c r="AL291" s="652"/>
      <c r="AM291" s="652"/>
      <c r="AN291" s="652">
        <f t="shared" ref="AN291:AN300" si="60">I291</f>
        <v>7680</v>
      </c>
      <c r="AO291" s="652"/>
      <c r="AP291" s="652"/>
      <c r="AQ291" s="652"/>
      <c r="AR291" s="652"/>
      <c r="AS291" s="652"/>
      <c r="AT291" s="652">
        <f>I291/8</f>
        <v>960</v>
      </c>
      <c r="AU291" s="652"/>
      <c r="AV291" s="652"/>
      <c r="AW291" s="652"/>
      <c r="AX291" s="652"/>
      <c r="AY291" s="652"/>
      <c r="AZ291" s="652"/>
      <c r="BA291" s="652"/>
      <c r="BB291" s="652"/>
      <c r="BC291" s="652"/>
      <c r="BD291" s="652"/>
      <c r="BE291" s="652"/>
      <c r="BF291" s="652"/>
      <c r="BG291" s="652"/>
      <c r="BH291" s="652"/>
      <c r="BI291" s="652"/>
      <c r="BJ291" s="651"/>
      <c r="BK291" s="651"/>
      <c r="BL291" s="651"/>
      <c r="BM291" s="651"/>
      <c r="BN291" s="651"/>
      <c r="BO291" s="651"/>
      <c r="BP291" s="651"/>
      <c r="BQ291" s="651"/>
      <c r="BR291" s="651"/>
      <c r="BS291" s="651"/>
      <c r="BT291" s="651"/>
      <c r="BU291" s="651"/>
      <c r="BV291" s="651"/>
      <c r="BW291" s="651"/>
      <c r="BX291" s="651"/>
      <c r="BY291" s="651"/>
      <c r="BZ291" s="651"/>
      <c r="CA291" s="651"/>
      <c r="CB291" s="651"/>
      <c r="CC291" s="651"/>
      <c r="CD291" s="651"/>
      <c r="CE291" s="651"/>
      <c r="CF291" s="651"/>
      <c r="CG291" s="651"/>
      <c r="CH291" s="651"/>
      <c r="CI291" s="651"/>
      <c r="CJ291" s="651"/>
      <c r="CK291" s="651"/>
      <c r="CL291" s="651"/>
      <c r="CM291" s="651"/>
      <c r="CN291" s="651"/>
      <c r="CO291" s="651"/>
      <c r="CP291" s="651"/>
      <c r="CQ291" s="651"/>
      <c r="CR291" s="651"/>
      <c r="CS291" s="651"/>
      <c r="CT291" s="651"/>
      <c r="CU291" s="651"/>
      <c r="CV291" s="651"/>
      <c r="CW291" s="651"/>
      <c r="CX291" s="651"/>
      <c r="CY291" s="651"/>
      <c r="CZ291" s="651"/>
      <c r="DA291" s="651"/>
      <c r="DB291" s="651"/>
      <c r="DC291" s="651"/>
      <c r="DD291" s="651"/>
    </row>
    <row r="292" s="650" customFormat="1" ht="31" customHeight="1" spans="1:108">
      <c r="A292" s="713">
        <v>46160</v>
      </c>
      <c r="B292" s="714" t="s">
        <v>346</v>
      </c>
      <c r="C292" s="715" t="s">
        <v>115</v>
      </c>
      <c r="D292" s="652" t="s">
        <v>4844</v>
      </c>
      <c r="E292" s="715" t="s">
        <v>4851</v>
      </c>
      <c r="F292" s="652" t="s">
        <v>4852</v>
      </c>
      <c r="G292" s="716" t="s">
        <v>4414</v>
      </c>
      <c r="H292" s="715" t="s">
        <v>3978</v>
      </c>
      <c r="I292" s="717">
        <v>9216</v>
      </c>
      <c r="J292" s="715">
        <v>0</v>
      </c>
      <c r="K292" s="715">
        <v>512</v>
      </c>
      <c r="L292" s="715">
        <f t="shared" si="50"/>
        <v>18</v>
      </c>
      <c r="M292" s="719">
        <v>46204</v>
      </c>
      <c r="N292" s="719">
        <v>46200</v>
      </c>
      <c r="O292" s="714" t="s">
        <v>4853</v>
      </c>
      <c r="P292" s="717" t="s">
        <v>106</v>
      </c>
      <c r="Q292" s="717"/>
      <c r="R292" s="723" t="s">
        <v>4201</v>
      </c>
      <c r="S292" s="720" t="s">
        <v>95</v>
      </c>
      <c r="T292" s="720" t="s">
        <v>4848</v>
      </c>
      <c r="U292" s="720"/>
      <c r="V292" s="720" t="s">
        <v>4706</v>
      </c>
      <c r="W292" s="720"/>
      <c r="X292" s="720" t="s">
        <v>4849</v>
      </c>
      <c r="Y292" s="719" t="s">
        <v>354</v>
      </c>
      <c r="Z292" s="730">
        <v>1431.5656</v>
      </c>
      <c r="AA292" s="652">
        <f>I292*Z292</f>
        <v>13193308.5696</v>
      </c>
      <c r="AB292" s="729" t="s">
        <v>4854</v>
      </c>
      <c r="AC292" s="652" t="s">
        <v>4194</v>
      </c>
      <c r="AD292" s="715" t="s">
        <v>112</v>
      </c>
      <c r="AE292" s="715">
        <f t="shared" si="56"/>
        <v>9216</v>
      </c>
      <c r="AF292" s="715"/>
      <c r="AG292" s="715">
        <v>9216</v>
      </c>
      <c r="AH292" s="715">
        <f t="shared" si="58"/>
        <v>0</v>
      </c>
      <c r="AI292" s="717"/>
      <c r="AJ292" s="715" t="s">
        <v>3981</v>
      </c>
      <c r="AK292" s="652">
        <f t="shared" si="59"/>
        <v>9216</v>
      </c>
      <c r="AL292" s="652"/>
      <c r="AM292" s="652"/>
      <c r="AN292" s="652">
        <f t="shared" si="60"/>
        <v>9216</v>
      </c>
      <c r="AO292" s="652"/>
      <c r="AP292" s="652"/>
      <c r="AQ292" s="652"/>
      <c r="AR292" s="652"/>
      <c r="AS292" s="652"/>
      <c r="AT292" s="652">
        <f>I292/8</f>
        <v>1152</v>
      </c>
      <c r="AU292" s="652"/>
      <c r="AV292" s="652"/>
      <c r="AW292" s="652"/>
      <c r="AX292" s="652"/>
      <c r="AY292" s="652"/>
      <c r="AZ292" s="652"/>
      <c r="BA292" s="652"/>
      <c r="BB292" s="652"/>
      <c r="BC292" s="652"/>
      <c r="BD292" s="652"/>
      <c r="BE292" s="652"/>
      <c r="BF292" s="652"/>
      <c r="BG292" s="652"/>
      <c r="BH292" s="652"/>
      <c r="BI292" s="652"/>
      <c r="BJ292" s="651"/>
      <c r="BK292" s="651"/>
      <c r="BL292" s="651"/>
      <c r="BM292" s="651"/>
      <c r="BN292" s="651"/>
      <c r="BO292" s="651"/>
      <c r="BP292" s="651"/>
      <c r="BQ292" s="651"/>
      <c r="BR292" s="651"/>
      <c r="BS292" s="651"/>
      <c r="BT292" s="651"/>
      <c r="BU292" s="651"/>
      <c r="BV292" s="651"/>
      <c r="BW292" s="651"/>
      <c r="BX292" s="651"/>
      <c r="BY292" s="651"/>
      <c r="BZ292" s="651"/>
      <c r="CA292" s="651"/>
      <c r="CB292" s="651"/>
      <c r="CC292" s="651"/>
      <c r="CD292" s="651"/>
      <c r="CE292" s="651"/>
      <c r="CF292" s="651"/>
      <c r="CG292" s="651"/>
      <c r="CH292" s="651"/>
      <c r="CI292" s="651"/>
      <c r="CJ292" s="651"/>
      <c r="CK292" s="651"/>
      <c r="CL292" s="651"/>
      <c r="CM292" s="651"/>
      <c r="CN292" s="651"/>
      <c r="CO292" s="651"/>
      <c r="CP292" s="651"/>
      <c r="CQ292" s="651"/>
      <c r="CR292" s="651"/>
      <c r="CS292" s="651"/>
      <c r="CT292" s="651"/>
      <c r="CU292" s="651"/>
      <c r="CV292" s="651"/>
      <c r="CW292" s="651"/>
      <c r="CX292" s="651"/>
      <c r="CY292" s="651"/>
      <c r="CZ292" s="651"/>
      <c r="DA292" s="651"/>
      <c r="DB292" s="651"/>
      <c r="DC292" s="651"/>
      <c r="DD292" s="651"/>
    </row>
    <row r="293" s="650" customFormat="1" ht="31" customHeight="1" spans="1:108">
      <c r="A293" s="713">
        <v>46160</v>
      </c>
      <c r="B293" s="714" t="s">
        <v>346</v>
      </c>
      <c r="C293" s="715" t="s">
        <v>115</v>
      </c>
      <c r="D293" s="652" t="s">
        <v>4844</v>
      </c>
      <c r="E293" s="715" t="s">
        <v>4855</v>
      </c>
      <c r="F293" s="652" t="s">
        <v>4856</v>
      </c>
      <c r="G293" s="716" t="s">
        <v>4414</v>
      </c>
      <c r="H293" s="715" t="s">
        <v>3978</v>
      </c>
      <c r="I293" s="717">
        <v>7680</v>
      </c>
      <c r="J293" s="715">
        <v>0</v>
      </c>
      <c r="K293" s="715">
        <v>512</v>
      </c>
      <c r="L293" s="715">
        <f t="shared" si="50"/>
        <v>15</v>
      </c>
      <c r="M293" s="719">
        <v>46204</v>
      </c>
      <c r="N293" s="778">
        <v>46200</v>
      </c>
      <c r="O293" s="714" t="s">
        <v>4853</v>
      </c>
      <c r="P293" s="717" t="s">
        <v>106</v>
      </c>
      <c r="Q293" s="717"/>
      <c r="R293" s="723" t="s">
        <v>4201</v>
      </c>
      <c r="S293" s="720" t="s">
        <v>95</v>
      </c>
      <c r="T293" s="720" t="s">
        <v>4848</v>
      </c>
      <c r="U293" s="720"/>
      <c r="V293" s="720" t="s">
        <v>4706</v>
      </c>
      <c r="W293" s="720"/>
      <c r="X293" s="720" t="s">
        <v>4849</v>
      </c>
      <c r="Y293" s="719" t="s">
        <v>354</v>
      </c>
      <c r="Z293" s="730">
        <v>1431.5653</v>
      </c>
      <c r="AA293" s="652">
        <f>I293*Z293</f>
        <v>10994421.504</v>
      </c>
      <c r="AB293" s="729" t="s">
        <v>4857</v>
      </c>
      <c r="AC293" s="652" t="s">
        <v>4194</v>
      </c>
      <c r="AD293" s="715" t="s">
        <v>112</v>
      </c>
      <c r="AE293" s="715">
        <f t="shared" si="56"/>
        <v>7680</v>
      </c>
      <c r="AF293" s="715"/>
      <c r="AG293" s="715">
        <f>3840</f>
        <v>3840</v>
      </c>
      <c r="AH293" s="715">
        <f t="shared" si="58"/>
        <v>-3840</v>
      </c>
      <c r="AI293" s="717"/>
      <c r="AJ293" s="715" t="s">
        <v>3981</v>
      </c>
      <c r="AK293" s="652">
        <f t="shared" si="59"/>
        <v>7680</v>
      </c>
      <c r="AL293" s="652"/>
      <c r="AM293" s="652"/>
      <c r="AN293" s="652">
        <f t="shared" si="60"/>
        <v>7680</v>
      </c>
      <c r="AO293" s="652"/>
      <c r="AP293" s="652"/>
      <c r="AQ293" s="652"/>
      <c r="AR293" s="652"/>
      <c r="AS293" s="652"/>
      <c r="AT293" s="652">
        <f>I293/8</f>
        <v>960</v>
      </c>
      <c r="AU293" s="652"/>
      <c r="AV293" s="652"/>
      <c r="AW293" s="652"/>
      <c r="AX293" s="652"/>
      <c r="AY293" s="652"/>
      <c r="AZ293" s="652"/>
      <c r="BA293" s="652"/>
      <c r="BB293" s="652"/>
      <c r="BC293" s="652"/>
      <c r="BD293" s="652"/>
      <c r="BE293" s="652"/>
      <c r="BF293" s="652"/>
      <c r="BG293" s="652"/>
      <c r="BH293" s="652"/>
      <c r="BI293" s="652"/>
      <c r="BJ293" s="651"/>
      <c r="BK293" s="651"/>
      <c r="BL293" s="651"/>
      <c r="BM293" s="651"/>
      <c r="BN293" s="651"/>
      <c r="BO293" s="651"/>
      <c r="BP293" s="651"/>
      <c r="BQ293" s="651"/>
      <c r="BR293" s="651"/>
      <c r="BS293" s="651"/>
      <c r="BT293" s="651"/>
      <c r="BU293" s="651"/>
      <c r="BV293" s="651"/>
      <c r="BW293" s="651"/>
      <c r="BX293" s="651"/>
      <c r="BY293" s="651"/>
      <c r="BZ293" s="651"/>
      <c r="CA293" s="651"/>
      <c r="CB293" s="651"/>
      <c r="CC293" s="651"/>
      <c r="CD293" s="651"/>
      <c r="CE293" s="651"/>
      <c r="CF293" s="651"/>
      <c r="CG293" s="651"/>
      <c r="CH293" s="651"/>
      <c r="CI293" s="651"/>
      <c r="CJ293" s="651"/>
      <c r="CK293" s="651"/>
      <c r="CL293" s="651"/>
      <c r="CM293" s="651"/>
      <c r="CN293" s="651"/>
      <c r="CO293" s="651"/>
      <c r="CP293" s="651"/>
      <c r="CQ293" s="651"/>
      <c r="CR293" s="651"/>
      <c r="CS293" s="651"/>
      <c r="CT293" s="651"/>
      <c r="CU293" s="651"/>
      <c r="CV293" s="651"/>
      <c r="CW293" s="651"/>
      <c r="CX293" s="651"/>
      <c r="CY293" s="651"/>
      <c r="CZ293" s="651"/>
      <c r="DA293" s="651"/>
      <c r="DB293" s="651"/>
      <c r="DC293" s="651"/>
      <c r="DD293" s="651"/>
    </row>
    <row r="294" s="650" customFormat="1" ht="31" customHeight="1" spans="1:108">
      <c r="A294" s="713">
        <v>46080</v>
      </c>
      <c r="B294" s="714" t="s">
        <v>467</v>
      </c>
      <c r="C294" s="715" t="s">
        <v>115</v>
      </c>
      <c r="D294" s="652">
        <v>4500194426</v>
      </c>
      <c r="E294" s="715">
        <v>3725902</v>
      </c>
      <c r="F294" s="652" t="s">
        <v>4858</v>
      </c>
      <c r="G294" s="716" t="s">
        <v>3980</v>
      </c>
      <c r="H294" s="715" t="s">
        <v>3978</v>
      </c>
      <c r="I294" s="717">
        <v>6464</v>
      </c>
      <c r="J294" s="715">
        <v>0</v>
      </c>
      <c r="K294" s="715">
        <v>8</v>
      </c>
      <c r="L294" s="715">
        <f t="shared" si="50"/>
        <v>808</v>
      </c>
      <c r="M294" s="719">
        <v>46204</v>
      </c>
      <c r="N294" s="719">
        <f>M294-4</f>
        <v>46200</v>
      </c>
      <c r="O294" s="714"/>
      <c r="P294" s="717" t="s">
        <v>106</v>
      </c>
      <c r="Q294" s="717"/>
      <c r="R294" s="734">
        <v>46105</v>
      </c>
      <c r="S294" s="720" t="s">
        <v>107</v>
      </c>
      <c r="T294" s="720" t="s">
        <v>95</v>
      </c>
      <c r="U294" s="720"/>
      <c r="V294" s="720"/>
      <c r="W294" s="720"/>
      <c r="X294" s="720" t="s">
        <v>4859</v>
      </c>
      <c r="Y294" s="719" t="s">
        <v>473</v>
      </c>
      <c r="Z294" s="730">
        <v>3</v>
      </c>
      <c r="AA294" s="652">
        <f>Z294*I294</f>
        <v>19392</v>
      </c>
      <c r="AB294" s="729" t="s">
        <v>4860</v>
      </c>
      <c r="AC294" s="722" t="s">
        <v>3980</v>
      </c>
      <c r="AD294" s="715" t="s">
        <v>112</v>
      </c>
      <c r="AE294" s="715">
        <f t="shared" si="56"/>
        <v>6464</v>
      </c>
      <c r="AF294" s="715"/>
      <c r="AG294" s="715">
        <v>6464</v>
      </c>
      <c r="AH294" s="715">
        <f t="shared" si="58"/>
        <v>0</v>
      </c>
      <c r="AI294" s="717"/>
      <c r="AJ294" s="715" t="s">
        <v>3981</v>
      </c>
      <c r="AK294" s="652">
        <f t="shared" si="59"/>
        <v>6464</v>
      </c>
      <c r="AL294" s="652"/>
      <c r="AM294" s="652"/>
      <c r="AN294" s="652">
        <f t="shared" si="60"/>
        <v>6464</v>
      </c>
      <c r="AO294" s="652"/>
      <c r="AP294" s="652"/>
      <c r="AQ294" s="652"/>
      <c r="AR294" s="652"/>
      <c r="AS294" s="652"/>
      <c r="AT294" s="652">
        <f>I294/8</f>
        <v>808</v>
      </c>
      <c r="AU294" s="652"/>
      <c r="AV294" s="652"/>
      <c r="AW294" s="652"/>
      <c r="AX294" s="652"/>
      <c r="AY294" s="652"/>
      <c r="AZ294" s="652"/>
      <c r="BA294" s="652"/>
      <c r="BB294" s="652"/>
      <c r="BC294" s="652"/>
      <c r="BD294" s="652"/>
      <c r="BE294" s="652"/>
      <c r="BF294" s="652"/>
      <c r="BG294" s="652"/>
      <c r="BH294" s="652"/>
      <c r="BI294" s="652"/>
    </row>
    <row r="295" s="650" customFormat="1" ht="31" customHeight="1" spans="1:108">
      <c r="A295" s="713">
        <v>46080</v>
      </c>
      <c r="B295" s="714" t="s">
        <v>467</v>
      </c>
      <c r="C295" s="715" t="s">
        <v>115</v>
      </c>
      <c r="D295" s="652">
        <v>4500194426</v>
      </c>
      <c r="E295" s="715">
        <v>8216882</v>
      </c>
      <c r="F295" s="652" t="s">
        <v>4861</v>
      </c>
      <c r="G295" s="716" t="s">
        <v>3980</v>
      </c>
      <c r="H295" s="715" t="s">
        <v>3978</v>
      </c>
      <c r="I295" s="717">
        <v>6544</v>
      </c>
      <c r="J295" s="715">
        <v>0</v>
      </c>
      <c r="K295" s="715">
        <v>8</v>
      </c>
      <c r="L295" s="715">
        <f t="shared" si="50"/>
        <v>818</v>
      </c>
      <c r="M295" s="719">
        <v>46204</v>
      </c>
      <c r="N295" s="778">
        <f>M295-4</f>
        <v>46200</v>
      </c>
      <c r="O295" s="714"/>
      <c r="P295" s="717" t="s">
        <v>106</v>
      </c>
      <c r="Q295" s="717"/>
      <c r="R295" s="723">
        <v>46105</v>
      </c>
      <c r="S295" s="720" t="s">
        <v>107</v>
      </c>
      <c r="T295" s="720" t="s">
        <v>95</v>
      </c>
      <c r="U295" s="720"/>
      <c r="V295" s="720"/>
      <c r="W295" s="720"/>
      <c r="X295" s="720" t="s">
        <v>4859</v>
      </c>
      <c r="Y295" s="719" t="s">
        <v>473</v>
      </c>
      <c r="Z295" s="730">
        <v>3</v>
      </c>
      <c r="AA295" s="652">
        <f>Z295*I295</f>
        <v>19632</v>
      </c>
      <c r="AB295" s="729" t="s">
        <v>4860</v>
      </c>
      <c r="AC295" s="722" t="s">
        <v>3980</v>
      </c>
      <c r="AD295" s="715" t="s">
        <v>112</v>
      </c>
      <c r="AE295" s="715">
        <f t="shared" si="56"/>
        <v>6544</v>
      </c>
      <c r="AF295" s="715"/>
      <c r="AG295" s="715">
        <v>6544</v>
      </c>
      <c r="AH295" s="715">
        <f t="shared" si="58"/>
        <v>0</v>
      </c>
      <c r="AI295" s="717"/>
      <c r="AJ295" s="715" t="s">
        <v>3981</v>
      </c>
      <c r="AK295" s="652">
        <f t="shared" si="59"/>
        <v>6544</v>
      </c>
      <c r="AL295" s="652"/>
      <c r="AM295" s="652"/>
      <c r="AN295" s="652">
        <f t="shared" si="60"/>
        <v>6544</v>
      </c>
      <c r="AO295" s="652"/>
      <c r="AP295" s="652"/>
      <c r="AQ295" s="652"/>
      <c r="AR295" s="652"/>
      <c r="AS295" s="652"/>
      <c r="AT295" s="652">
        <f>I295/8</f>
        <v>818</v>
      </c>
      <c r="AU295" s="652"/>
      <c r="AV295" s="652"/>
      <c r="AW295" s="652"/>
      <c r="AX295" s="652"/>
      <c r="AY295" s="652"/>
      <c r="AZ295" s="652"/>
      <c r="BA295" s="652"/>
      <c r="BB295" s="652"/>
      <c r="BC295" s="652"/>
      <c r="BD295" s="652"/>
      <c r="BE295" s="652"/>
      <c r="BF295" s="652"/>
      <c r="BG295" s="652"/>
      <c r="BH295" s="652"/>
      <c r="BI295" s="652"/>
    </row>
    <row r="296" s="651" customFormat="1" ht="31" customHeight="1" spans="1:108">
      <c r="A296" s="713">
        <v>46182</v>
      </c>
      <c r="B296" s="714" t="s">
        <v>114</v>
      </c>
      <c r="C296" s="715" t="s">
        <v>115</v>
      </c>
      <c r="D296" s="652">
        <v>4500211262</v>
      </c>
      <c r="E296" s="715" t="s">
        <v>4862</v>
      </c>
      <c r="F296" s="652" t="s">
        <v>4863</v>
      </c>
      <c r="G296" s="716" t="s">
        <v>3980</v>
      </c>
      <c r="H296" s="715" t="s">
        <v>3978</v>
      </c>
      <c r="I296" s="717">
        <v>5192</v>
      </c>
      <c r="J296" s="715">
        <v>0</v>
      </c>
      <c r="K296" s="715">
        <v>8</v>
      </c>
      <c r="L296" s="715">
        <f t="shared" si="50"/>
        <v>649</v>
      </c>
      <c r="M296" s="719">
        <v>46204</v>
      </c>
      <c r="N296" s="719">
        <v>46200</v>
      </c>
      <c r="O296" s="714"/>
      <c r="P296" s="717" t="s">
        <v>106</v>
      </c>
      <c r="Q296" s="717" t="s">
        <v>4864</v>
      </c>
      <c r="R296" s="723">
        <v>46182</v>
      </c>
      <c r="S296" s="720" t="s">
        <v>107</v>
      </c>
      <c r="T296" s="720" t="s">
        <v>4865</v>
      </c>
      <c r="U296" s="720"/>
      <c r="V296" s="798" t="s">
        <v>4866</v>
      </c>
      <c r="W296" s="720" t="s">
        <v>4867</v>
      </c>
      <c r="X296" s="720" t="s">
        <v>4868</v>
      </c>
      <c r="Y296" s="719" t="s">
        <v>123</v>
      </c>
      <c r="Z296" s="730">
        <v>2.7891</v>
      </c>
      <c r="AA296" s="652">
        <f>L296*Z296</f>
        <v>1810.1259</v>
      </c>
      <c r="AB296" s="721"/>
      <c r="AC296" s="722" t="s">
        <v>3980</v>
      </c>
      <c r="AD296" s="715" t="s">
        <v>112</v>
      </c>
      <c r="AE296" s="715">
        <v>5192</v>
      </c>
      <c r="AF296" s="715" t="s">
        <v>4109</v>
      </c>
      <c r="AG296" s="715">
        <v>5192</v>
      </c>
      <c r="AH296" s="715">
        <f t="shared" si="58"/>
        <v>0</v>
      </c>
      <c r="AI296" s="717"/>
      <c r="AJ296" s="715" t="s">
        <v>3981</v>
      </c>
      <c r="AK296" s="652">
        <f t="shared" si="59"/>
        <v>5192</v>
      </c>
      <c r="AL296" s="652"/>
      <c r="AM296" s="652"/>
      <c r="AN296" s="652">
        <f t="shared" si="60"/>
        <v>5192</v>
      </c>
      <c r="AO296" s="652"/>
      <c r="AP296" s="652"/>
      <c r="AQ296" s="652"/>
      <c r="AR296" s="652"/>
      <c r="AS296" s="652"/>
      <c r="AT296" s="652">
        <v>649</v>
      </c>
      <c r="AU296" s="652"/>
      <c r="AV296" s="652"/>
      <c r="AW296" s="652"/>
      <c r="AX296" s="652"/>
      <c r="AY296" s="652"/>
      <c r="AZ296" s="652"/>
      <c r="BA296" s="652"/>
      <c r="BB296" s="652"/>
      <c r="BC296" s="652"/>
      <c r="BD296" s="652"/>
      <c r="BE296" s="652"/>
      <c r="BF296" s="652"/>
      <c r="BG296" s="652"/>
      <c r="BH296" s="652"/>
      <c r="BI296" s="652"/>
      <c r="BJ296" s="651"/>
      <c r="BK296" s="651"/>
      <c r="BL296" s="651"/>
      <c r="BM296" s="651"/>
      <c r="BN296" s="651"/>
      <c r="BO296" s="651"/>
      <c r="BP296" s="651"/>
      <c r="BQ296" s="651"/>
      <c r="BR296" s="651"/>
      <c r="BS296" s="651"/>
      <c r="BT296" s="651"/>
      <c r="BU296" s="651"/>
      <c r="BV296" s="651"/>
      <c r="BW296" s="651"/>
      <c r="BX296" s="651"/>
      <c r="BY296" s="651"/>
      <c r="BZ296" s="651"/>
      <c r="CA296" s="651"/>
      <c r="CB296" s="651"/>
      <c r="CC296" s="651"/>
      <c r="CD296" s="651"/>
      <c r="CE296" s="651"/>
      <c r="CF296" s="651"/>
      <c r="CG296" s="651"/>
      <c r="CH296" s="651"/>
      <c r="CI296" s="651"/>
      <c r="CJ296" s="651"/>
      <c r="CK296" s="651"/>
      <c r="CL296" s="651"/>
      <c r="CM296" s="651"/>
      <c r="CN296" s="651"/>
      <c r="CO296" s="651"/>
      <c r="CP296" s="651"/>
      <c r="CQ296" s="651"/>
      <c r="CR296" s="651"/>
      <c r="CS296" s="654"/>
      <c r="CT296" s="654"/>
      <c r="CU296" s="654"/>
      <c r="CV296" s="654"/>
      <c r="CW296" s="654"/>
      <c r="CX296" s="654"/>
      <c r="CY296" s="654"/>
      <c r="CZ296" s="654"/>
      <c r="DA296" s="654"/>
      <c r="DB296" s="654"/>
      <c r="DC296" s="654"/>
      <c r="DD296" s="654"/>
    </row>
    <row r="297" s="650" customFormat="1" ht="31" customHeight="1" spans="1:108">
      <c r="A297" s="713">
        <v>46142</v>
      </c>
      <c r="B297" s="714" t="s">
        <v>1226</v>
      </c>
      <c r="C297" s="715" t="s">
        <v>291</v>
      </c>
      <c r="D297" s="652" t="s">
        <v>4869</v>
      </c>
      <c r="E297" s="715" t="s">
        <v>4870</v>
      </c>
      <c r="F297" s="652" t="s">
        <v>4871</v>
      </c>
      <c r="G297" s="716" t="s">
        <v>3973</v>
      </c>
      <c r="H297" s="715" t="s">
        <v>3995</v>
      </c>
      <c r="I297" s="717">
        <v>208</v>
      </c>
      <c r="J297" s="715">
        <v>0</v>
      </c>
      <c r="K297" s="715">
        <v>16</v>
      </c>
      <c r="L297" s="715">
        <f t="shared" si="50"/>
        <v>13</v>
      </c>
      <c r="M297" s="719">
        <v>46204</v>
      </c>
      <c r="N297" s="738">
        <v>46223</v>
      </c>
      <c r="O297" s="714"/>
      <c r="P297" s="717" t="s">
        <v>106</v>
      </c>
      <c r="Q297" s="717"/>
      <c r="R297" s="723" t="s">
        <v>4872</v>
      </c>
      <c r="S297" s="720" t="s">
        <v>95</v>
      </c>
      <c r="T297" s="720" t="s">
        <v>4873</v>
      </c>
      <c r="U297" s="720"/>
      <c r="V297" s="720"/>
      <c r="W297" s="720"/>
      <c r="X297" s="720" t="s">
        <v>4874</v>
      </c>
      <c r="Y297" s="719" t="s">
        <v>1169</v>
      </c>
      <c r="Z297" s="730">
        <v>4.5471</v>
      </c>
      <c r="AA297" s="652">
        <f>I297*Z297</f>
        <v>945.7968</v>
      </c>
      <c r="AB297" s="721"/>
      <c r="AC297" s="722" t="s">
        <v>4108</v>
      </c>
      <c r="AD297" s="715" t="s">
        <v>112</v>
      </c>
      <c r="AE297" s="715">
        <f t="shared" ref="AE297:AE360" si="61">I297</f>
        <v>208</v>
      </c>
      <c r="AF297" s="715"/>
      <c r="AG297" s="715">
        <v>208</v>
      </c>
      <c r="AH297" s="715">
        <f t="shared" si="58"/>
        <v>0</v>
      </c>
      <c r="AI297" s="717" t="s">
        <v>4064</v>
      </c>
      <c r="AJ297" s="715" t="s">
        <v>3981</v>
      </c>
      <c r="AK297" s="652"/>
      <c r="AL297" s="652">
        <f>I297</f>
        <v>208</v>
      </c>
      <c r="AM297" s="652"/>
      <c r="AN297" s="652">
        <f t="shared" si="60"/>
        <v>208</v>
      </c>
      <c r="AO297" s="652"/>
      <c r="AP297" s="652"/>
      <c r="AQ297" s="652"/>
      <c r="AR297" s="652"/>
      <c r="AS297" s="652"/>
      <c r="AT297" s="652"/>
      <c r="AU297" s="652">
        <f>I297/8</f>
        <v>26</v>
      </c>
      <c r="AV297" s="652"/>
      <c r="AW297" s="652"/>
      <c r="AX297" s="652"/>
      <c r="AY297" s="652"/>
      <c r="AZ297" s="652"/>
      <c r="BA297" s="652"/>
      <c r="BB297" s="652"/>
      <c r="BC297" s="652"/>
      <c r="BD297" s="652"/>
      <c r="BE297" s="652"/>
      <c r="BF297" s="652"/>
      <c r="BG297" s="652"/>
      <c r="BH297" s="652"/>
      <c r="BI297" s="652"/>
      <c r="BJ297" s="740"/>
      <c r="BK297" s="740"/>
      <c r="BL297" s="740"/>
      <c r="BM297" s="740"/>
      <c r="BN297" s="740"/>
      <c r="BO297" s="740"/>
      <c r="BP297" s="740"/>
      <c r="BQ297" s="740"/>
      <c r="BR297" s="740"/>
      <c r="BS297" s="740"/>
      <c r="BT297" s="740"/>
      <c r="BU297" s="740"/>
      <c r="BV297" s="740"/>
      <c r="BW297" s="740"/>
      <c r="BX297" s="740"/>
      <c r="BY297" s="740"/>
      <c r="BZ297" s="740"/>
      <c r="CA297" s="740"/>
      <c r="CB297" s="740"/>
      <c r="CC297" s="740"/>
      <c r="CD297" s="740"/>
      <c r="CE297" s="740"/>
      <c r="CF297" s="740"/>
      <c r="CG297" s="740"/>
      <c r="CH297" s="740"/>
      <c r="CI297" s="740"/>
      <c r="CJ297" s="740"/>
      <c r="CK297" s="740"/>
      <c r="CL297" s="740"/>
      <c r="CM297" s="740"/>
      <c r="CN297" s="740"/>
      <c r="CO297" s="740"/>
      <c r="CP297" s="740"/>
      <c r="CQ297" s="740"/>
      <c r="CR297" s="740"/>
    </row>
    <row r="298" s="650" customFormat="1" ht="31" customHeight="1" spans="1:108">
      <c r="A298" s="713">
        <v>46182</v>
      </c>
      <c r="B298" s="714" t="s">
        <v>114</v>
      </c>
      <c r="C298" s="715" t="s">
        <v>115</v>
      </c>
      <c r="D298" s="652">
        <v>4500211271</v>
      </c>
      <c r="E298" s="715" t="s">
        <v>4875</v>
      </c>
      <c r="F298" s="652" t="s">
        <v>4876</v>
      </c>
      <c r="G298" s="716" t="s">
        <v>3980</v>
      </c>
      <c r="H298" s="715" t="s">
        <v>3978</v>
      </c>
      <c r="I298" s="717">
        <v>7376</v>
      </c>
      <c r="J298" s="715">
        <v>0</v>
      </c>
      <c r="K298" s="715">
        <v>8</v>
      </c>
      <c r="L298" s="715">
        <f t="shared" si="50"/>
        <v>922</v>
      </c>
      <c r="M298" s="719">
        <v>46205</v>
      </c>
      <c r="N298" s="719">
        <v>46202</v>
      </c>
      <c r="O298" s="714"/>
      <c r="P298" s="717" t="s">
        <v>106</v>
      </c>
      <c r="Q298" s="717" t="s">
        <v>1195</v>
      </c>
      <c r="R298" s="723" t="s">
        <v>2869</v>
      </c>
      <c r="S298" s="720" t="s">
        <v>107</v>
      </c>
      <c r="T298" s="720" t="s">
        <v>4877</v>
      </c>
      <c r="U298" s="720"/>
      <c r="V298" s="720"/>
      <c r="W298" s="720" t="s">
        <v>4878</v>
      </c>
      <c r="X298" s="720" t="s">
        <v>4879</v>
      </c>
      <c r="Y298" s="719" t="s">
        <v>123</v>
      </c>
      <c r="Z298" s="730">
        <v>2.7891</v>
      </c>
      <c r="AA298" s="652">
        <f>I298*Z298</f>
        <v>20572.4016</v>
      </c>
      <c r="AB298" s="721"/>
      <c r="AC298" s="722" t="s">
        <v>3980</v>
      </c>
      <c r="AD298" s="715" t="s">
        <v>112</v>
      </c>
      <c r="AE298" s="715">
        <f t="shared" si="61"/>
        <v>7376</v>
      </c>
      <c r="AF298" s="715"/>
      <c r="AG298" s="715">
        <v>7376</v>
      </c>
      <c r="AH298" s="715">
        <f t="shared" si="58"/>
        <v>0</v>
      </c>
      <c r="AI298" s="717"/>
      <c r="AJ298" s="715" t="s">
        <v>3981</v>
      </c>
      <c r="AK298" s="652">
        <f>I298</f>
        <v>7376</v>
      </c>
      <c r="AL298" s="652"/>
      <c r="AM298" s="652"/>
      <c r="AN298" s="652">
        <f t="shared" si="60"/>
        <v>7376</v>
      </c>
      <c r="AO298" s="652"/>
      <c r="AP298" s="652"/>
      <c r="AQ298" s="652"/>
      <c r="AR298" s="652"/>
      <c r="AS298" s="652"/>
      <c r="AT298" s="652">
        <f>I298/8</f>
        <v>922</v>
      </c>
      <c r="AU298" s="652"/>
      <c r="AV298" s="652"/>
      <c r="AW298" s="652"/>
      <c r="AX298" s="652"/>
      <c r="AY298" s="652"/>
      <c r="AZ298" s="652"/>
      <c r="BA298" s="652"/>
      <c r="BB298" s="652"/>
      <c r="BC298" s="652"/>
      <c r="BD298" s="652"/>
      <c r="BE298" s="652"/>
      <c r="BF298" s="652"/>
      <c r="BG298" s="652"/>
      <c r="BH298" s="652"/>
      <c r="BI298" s="652"/>
    </row>
    <row r="299" s="655" customFormat="1" ht="31" customHeight="1" spans="1:108">
      <c r="A299" s="756">
        <v>46153</v>
      </c>
      <c r="B299" s="757" t="s">
        <v>1243</v>
      </c>
      <c r="C299" s="758" t="s">
        <v>291</v>
      </c>
      <c r="D299" s="652" t="s">
        <v>4880</v>
      </c>
      <c r="E299" s="758"/>
      <c r="F299" s="653" t="s">
        <v>4881</v>
      </c>
      <c r="G299" s="760" t="s">
        <v>3973</v>
      </c>
      <c r="H299" s="758" t="s">
        <v>3995</v>
      </c>
      <c r="I299" s="776">
        <v>6400</v>
      </c>
      <c r="J299" s="758">
        <v>0</v>
      </c>
      <c r="K299" s="758">
        <v>16</v>
      </c>
      <c r="L299" s="758">
        <f t="shared" si="50"/>
        <v>400</v>
      </c>
      <c r="M299" s="799">
        <v>46205</v>
      </c>
      <c r="N299" s="799">
        <f>M299-3</f>
        <v>46202</v>
      </c>
      <c r="O299" s="757"/>
      <c r="P299" s="717" t="s">
        <v>106</v>
      </c>
      <c r="Q299" s="761"/>
      <c r="R299" s="764">
        <v>46170</v>
      </c>
      <c r="S299" s="765" t="s">
        <v>107</v>
      </c>
      <c r="T299" s="720" t="s">
        <v>4882</v>
      </c>
      <c r="U299" s="765"/>
      <c r="V299" s="765" t="s">
        <v>4883</v>
      </c>
      <c r="W299" s="765"/>
      <c r="X299" s="765" t="s">
        <v>4884</v>
      </c>
      <c r="Y299" s="763" t="s">
        <v>450</v>
      </c>
      <c r="Z299" s="800">
        <v>4.5642</v>
      </c>
      <c r="AA299" s="653">
        <f>I299*Z299</f>
        <v>29210.88</v>
      </c>
      <c r="AB299" s="721"/>
      <c r="AC299" s="652" t="s">
        <v>4108</v>
      </c>
      <c r="AD299" s="758" t="s">
        <v>112</v>
      </c>
      <c r="AE299" s="758">
        <f t="shared" si="61"/>
        <v>6400</v>
      </c>
      <c r="AF299" s="758"/>
      <c r="AG299" s="758">
        <v>6400</v>
      </c>
      <c r="AH299" s="715">
        <f t="shared" si="58"/>
        <v>0</v>
      </c>
      <c r="AI299" s="761" t="s">
        <v>120</v>
      </c>
      <c r="AJ299" s="715" t="s">
        <v>3981</v>
      </c>
      <c r="AK299" s="653"/>
      <c r="AL299" s="652">
        <f>I299</f>
        <v>6400</v>
      </c>
      <c r="AM299" s="653"/>
      <c r="AN299" s="652">
        <f t="shared" si="60"/>
        <v>6400</v>
      </c>
      <c r="AO299" s="653"/>
      <c r="AP299" s="653"/>
      <c r="AQ299" s="653"/>
      <c r="AR299" s="653"/>
      <c r="AS299" s="653"/>
      <c r="AT299" s="653"/>
      <c r="AU299" s="653">
        <f>I299/8</f>
        <v>800</v>
      </c>
      <c r="AV299" s="653"/>
      <c r="AW299" s="653"/>
      <c r="AX299" s="653"/>
      <c r="AY299" s="653"/>
      <c r="AZ299" s="653"/>
      <c r="BA299" s="653"/>
      <c r="BB299" s="653"/>
      <c r="BC299" s="653"/>
      <c r="BD299" s="653"/>
      <c r="BE299" s="653"/>
      <c r="BF299" s="653"/>
      <c r="BG299" s="653"/>
      <c r="BH299" s="653"/>
      <c r="BI299" s="653"/>
      <c r="BJ299" s="653"/>
      <c r="BK299" s="653"/>
      <c r="BL299" s="653"/>
      <c r="BM299" s="653"/>
      <c r="BN299" s="653"/>
      <c r="BO299" s="653"/>
      <c r="BP299" s="653"/>
      <c r="BQ299" s="653"/>
      <c r="BR299" s="653"/>
      <c r="BS299" s="653"/>
      <c r="BT299" s="653"/>
      <c r="BU299" s="653"/>
      <c r="BV299" s="653"/>
      <c r="BW299" s="653"/>
      <c r="BX299" s="653"/>
      <c r="BY299" s="653"/>
      <c r="BZ299" s="653"/>
      <c r="CA299" s="653"/>
      <c r="CB299" s="653"/>
      <c r="CC299" s="653"/>
      <c r="CD299" s="653"/>
      <c r="CE299" s="653"/>
      <c r="CF299" s="653"/>
      <c r="CG299" s="653"/>
      <c r="CH299" s="653"/>
      <c r="CI299" s="653"/>
      <c r="CJ299" s="653"/>
      <c r="CK299" s="653"/>
      <c r="CL299" s="653"/>
      <c r="CM299" s="653"/>
      <c r="CN299" s="653"/>
      <c r="CO299" s="653"/>
      <c r="CP299" s="653"/>
      <c r="CQ299" s="653"/>
      <c r="CR299" s="653"/>
      <c r="CS299" s="801"/>
      <c r="CT299" s="801"/>
      <c r="CU299" s="801"/>
      <c r="CV299" s="801"/>
      <c r="CW299" s="801"/>
      <c r="CX299" s="801"/>
      <c r="CY299" s="801"/>
      <c r="CZ299" s="801"/>
      <c r="DA299" s="801"/>
      <c r="DB299" s="801"/>
      <c r="DC299" s="801"/>
      <c r="DD299" s="801"/>
    </row>
    <row r="300" s="650" customFormat="1" ht="31" customHeight="1" spans="1:108">
      <c r="A300" s="713">
        <v>46142</v>
      </c>
      <c r="B300" s="714" t="s">
        <v>378</v>
      </c>
      <c r="C300" s="715" t="s">
        <v>201</v>
      </c>
      <c r="D300" s="652" t="s">
        <v>4885</v>
      </c>
      <c r="E300" s="715" t="s">
        <v>4886</v>
      </c>
      <c r="F300" s="652" t="s">
        <v>4887</v>
      </c>
      <c r="G300" s="716" t="s">
        <v>3980</v>
      </c>
      <c r="H300" s="715" t="s">
        <v>3978</v>
      </c>
      <c r="I300" s="717">
        <v>664</v>
      </c>
      <c r="J300" s="715">
        <v>0</v>
      </c>
      <c r="K300" s="715">
        <v>8</v>
      </c>
      <c r="L300" s="715">
        <f t="shared" si="50"/>
        <v>83</v>
      </c>
      <c r="M300" s="719">
        <v>46205</v>
      </c>
      <c r="N300" s="719">
        <v>46202</v>
      </c>
      <c r="O300" s="714" t="s">
        <v>550</v>
      </c>
      <c r="P300" s="717" t="s">
        <v>106</v>
      </c>
      <c r="Q300" s="717"/>
      <c r="R300" s="723">
        <v>46171</v>
      </c>
      <c r="S300" s="720" t="s">
        <v>107</v>
      </c>
      <c r="T300" s="720" t="s">
        <v>3320</v>
      </c>
      <c r="U300" s="720"/>
      <c r="V300" s="720" t="s">
        <v>4056</v>
      </c>
      <c r="W300" s="720"/>
      <c r="X300" s="720" t="s">
        <v>4888</v>
      </c>
      <c r="Y300" s="719" t="s">
        <v>384</v>
      </c>
      <c r="Z300" s="730">
        <v>4.5882</v>
      </c>
      <c r="AA300" s="652">
        <f>Z300*I300</f>
        <v>3046.5648</v>
      </c>
      <c r="AB300" s="721"/>
      <c r="AC300" s="722" t="s">
        <v>4031</v>
      </c>
      <c r="AD300" s="715" t="s">
        <v>112</v>
      </c>
      <c r="AE300" s="715">
        <f t="shared" si="61"/>
        <v>664</v>
      </c>
      <c r="AF300" s="715"/>
      <c r="AG300" s="715">
        <v>664</v>
      </c>
      <c r="AH300" s="715">
        <f t="shared" si="58"/>
        <v>0</v>
      </c>
      <c r="AI300" s="717"/>
      <c r="AJ300" s="715" t="s">
        <v>3981</v>
      </c>
      <c r="AK300" s="652"/>
      <c r="AL300" s="652">
        <f>I300</f>
        <v>664</v>
      </c>
      <c r="AM300" s="652"/>
      <c r="AN300" s="652">
        <f t="shared" si="60"/>
        <v>664</v>
      </c>
      <c r="AO300" s="652"/>
      <c r="AP300" s="652"/>
      <c r="AQ300" s="652"/>
      <c r="AR300" s="652"/>
      <c r="AS300" s="652"/>
      <c r="AT300" s="652"/>
      <c r="AU300" s="652">
        <f>I300/8</f>
        <v>83</v>
      </c>
      <c r="AV300" s="652"/>
      <c r="AW300" s="652"/>
      <c r="AX300" s="652"/>
      <c r="AY300" s="652"/>
      <c r="AZ300" s="652"/>
      <c r="BA300" s="652"/>
      <c r="BB300" s="652"/>
      <c r="BC300" s="652"/>
      <c r="BD300" s="652"/>
      <c r="BE300" s="652"/>
      <c r="BF300" s="652"/>
      <c r="BG300" s="652"/>
      <c r="BH300" s="652"/>
      <c r="BI300" s="652"/>
      <c r="BJ300" s="731"/>
      <c r="BK300" s="731"/>
      <c r="BL300" s="731"/>
      <c r="BM300" s="731"/>
      <c r="BN300" s="731"/>
      <c r="BO300" s="731"/>
      <c r="BP300" s="731"/>
      <c r="BQ300" s="731"/>
      <c r="BR300" s="731"/>
      <c r="BS300" s="731"/>
      <c r="BT300" s="731"/>
      <c r="BU300" s="731"/>
      <c r="BV300" s="731"/>
      <c r="BW300" s="731"/>
      <c r="BX300" s="731"/>
      <c r="BY300" s="731"/>
      <c r="BZ300" s="731"/>
      <c r="CA300" s="731"/>
      <c r="CB300" s="731"/>
      <c r="CC300" s="731"/>
      <c r="CD300" s="731"/>
      <c r="CE300" s="731"/>
      <c r="CF300" s="731"/>
      <c r="CG300" s="731"/>
      <c r="CH300" s="731"/>
      <c r="CI300" s="731"/>
      <c r="CJ300" s="731"/>
      <c r="CK300" s="731"/>
      <c r="CL300" s="731"/>
      <c r="CM300" s="731"/>
      <c r="CN300" s="731"/>
      <c r="CO300" s="731"/>
      <c r="CP300" s="731"/>
      <c r="CQ300" s="731"/>
      <c r="CR300" s="731"/>
      <c r="CS300" s="651"/>
      <c r="CT300" s="651"/>
      <c r="CU300" s="651"/>
      <c r="CV300" s="651"/>
      <c r="CW300" s="651"/>
      <c r="CX300" s="651"/>
      <c r="CY300" s="651"/>
      <c r="CZ300" s="651"/>
      <c r="DA300" s="651"/>
      <c r="DB300" s="651"/>
      <c r="DC300" s="651"/>
      <c r="DD300" s="651"/>
    </row>
    <row r="301" s="650" customFormat="1" ht="31" customHeight="1" spans="1:108">
      <c r="A301" s="713">
        <v>46136</v>
      </c>
      <c r="B301" s="714" t="s">
        <v>935</v>
      </c>
      <c r="C301" s="715" t="s">
        <v>115</v>
      </c>
      <c r="D301" s="652" t="s">
        <v>4889</v>
      </c>
      <c r="E301" s="1908" t="s">
        <v>4890</v>
      </c>
      <c r="F301" s="652" t="s">
        <v>1450</v>
      </c>
      <c r="G301" s="716" t="s">
        <v>4215</v>
      </c>
      <c r="H301" s="715" t="s">
        <v>483</v>
      </c>
      <c r="I301" s="717">
        <v>4320</v>
      </c>
      <c r="J301" s="715">
        <v>0</v>
      </c>
      <c r="K301" s="715">
        <v>120</v>
      </c>
      <c r="L301" s="715">
        <f t="shared" si="50"/>
        <v>36</v>
      </c>
      <c r="M301" s="719">
        <v>46205</v>
      </c>
      <c r="N301" s="738">
        <v>46223</v>
      </c>
      <c r="O301" s="714"/>
      <c r="P301" s="717" t="s">
        <v>106</v>
      </c>
      <c r="Q301" s="717"/>
      <c r="R301" s="723">
        <v>46155</v>
      </c>
      <c r="S301" s="720" t="s">
        <v>107</v>
      </c>
      <c r="T301" s="720" t="s">
        <v>95</v>
      </c>
      <c r="U301" s="720"/>
      <c r="V301" s="720"/>
      <c r="W301" s="720"/>
      <c r="X301" s="720" t="s">
        <v>937</v>
      </c>
      <c r="Y301" s="719" t="s">
        <v>488</v>
      </c>
      <c r="Z301" s="730">
        <v>642</v>
      </c>
      <c r="AA301" s="652">
        <f>L301*Z301</f>
        <v>23112</v>
      </c>
      <c r="AB301" s="729" t="s">
        <v>1451</v>
      </c>
      <c r="AC301" s="722" t="s">
        <v>490</v>
      </c>
      <c r="AD301" s="715" t="s">
        <v>112</v>
      </c>
      <c r="AE301" s="715">
        <f t="shared" si="61"/>
        <v>4320</v>
      </c>
      <c r="AF301" s="715" t="s">
        <v>4109</v>
      </c>
      <c r="AG301" s="715">
        <v>4320</v>
      </c>
      <c r="AH301" s="715">
        <f t="shared" si="58"/>
        <v>0</v>
      </c>
      <c r="AI301" s="717"/>
      <c r="AJ301" s="715" t="s">
        <v>3981</v>
      </c>
      <c r="AK301" s="652"/>
      <c r="AL301" s="652"/>
      <c r="AM301" s="652"/>
      <c r="AN301" s="652"/>
      <c r="AO301" s="652"/>
      <c r="AP301" s="652"/>
      <c r="AQ301" s="652">
        <f>I301</f>
        <v>4320</v>
      </c>
      <c r="AR301" s="652">
        <f>I301</f>
        <v>4320</v>
      </c>
      <c r="AS301" s="652">
        <f>I301/6</f>
        <v>720</v>
      </c>
      <c r="AT301" s="652"/>
      <c r="AU301" s="652"/>
      <c r="AV301" s="652"/>
      <c r="AW301" s="652"/>
      <c r="AX301" s="652"/>
      <c r="AY301" s="652"/>
      <c r="AZ301" s="652"/>
      <c r="BA301" s="652"/>
      <c r="BB301" s="652"/>
      <c r="BC301" s="652"/>
      <c r="BD301" s="652"/>
      <c r="BE301" s="652"/>
      <c r="BF301" s="652"/>
      <c r="BG301" s="652"/>
      <c r="BH301" s="652"/>
      <c r="BI301" s="652"/>
      <c r="CS301" s="651"/>
      <c r="CT301" s="651"/>
      <c r="CU301" s="651"/>
      <c r="CV301" s="651"/>
      <c r="CW301" s="651"/>
      <c r="CX301" s="651"/>
      <c r="CY301" s="651"/>
      <c r="CZ301" s="651"/>
      <c r="DA301" s="651"/>
      <c r="DB301" s="651"/>
      <c r="DC301" s="651"/>
      <c r="DD301" s="651"/>
    </row>
    <row r="302" s="650" customFormat="1" ht="31" customHeight="1" spans="1:108">
      <c r="A302" s="713">
        <v>46136</v>
      </c>
      <c r="B302" s="714" t="s">
        <v>935</v>
      </c>
      <c r="C302" s="715" t="s">
        <v>115</v>
      </c>
      <c r="D302" s="652" t="s">
        <v>4891</v>
      </c>
      <c r="E302" s="1908" t="s">
        <v>4892</v>
      </c>
      <c r="F302" s="652" t="s">
        <v>1452</v>
      </c>
      <c r="G302" s="716" t="s">
        <v>4215</v>
      </c>
      <c r="H302" s="715" t="s">
        <v>483</v>
      </c>
      <c r="I302" s="717">
        <v>4320</v>
      </c>
      <c r="J302" s="715">
        <v>0</v>
      </c>
      <c r="K302" s="715">
        <v>120</v>
      </c>
      <c r="L302" s="715">
        <f t="shared" si="50"/>
        <v>36</v>
      </c>
      <c r="M302" s="719">
        <v>46205</v>
      </c>
      <c r="N302" s="802">
        <v>46223</v>
      </c>
      <c r="O302" s="714"/>
      <c r="P302" s="717" t="s">
        <v>106</v>
      </c>
      <c r="Q302" s="717"/>
      <c r="R302" s="723">
        <v>46155</v>
      </c>
      <c r="S302" s="720" t="s">
        <v>107</v>
      </c>
      <c r="T302" s="720" t="s">
        <v>95</v>
      </c>
      <c r="U302" s="720"/>
      <c r="V302" s="720"/>
      <c r="W302" s="720"/>
      <c r="X302" s="720" t="s">
        <v>937</v>
      </c>
      <c r="Y302" s="719" t="s">
        <v>488</v>
      </c>
      <c r="Z302" s="730">
        <v>642</v>
      </c>
      <c r="AA302" s="652">
        <f>L302*Z302</f>
        <v>23112</v>
      </c>
      <c r="AB302" s="729" t="s">
        <v>1453</v>
      </c>
      <c r="AC302" s="722" t="s">
        <v>490</v>
      </c>
      <c r="AD302" s="715" t="s">
        <v>112</v>
      </c>
      <c r="AE302" s="715">
        <f t="shared" si="61"/>
        <v>4320</v>
      </c>
      <c r="AF302" s="715" t="s">
        <v>4109</v>
      </c>
      <c r="AG302" s="715">
        <v>4320</v>
      </c>
      <c r="AH302" s="715">
        <f t="shared" si="58"/>
        <v>0</v>
      </c>
      <c r="AI302" s="717"/>
      <c r="AJ302" s="715" t="s">
        <v>3981</v>
      </c>
      <c r="AK302" s="652"/>
      <c r="AL302" s="652"/>
      <c r="AM302" s="652"/>
      <c r="AN302" s="652"/>
      <c r="AO302" s="652"/>
      <c r="AP302" s="652"/>
      <c r="AQ302" s="652">
        <f>I302</f>
        <v>4320</v>
      </c>
      <c r="AR302" s="652">
        <f>I302</f>
        <v>4320</v>
      </c>
      <c r="AS302" s="652">
        <f>I302/6</f>
        <v>720</v>
      </c>
      <c r="AT302" s="652"/>
      <c r="AU302" s="652"/>
      <c r="AV302" s="652"/>
      <c r="AW302" s="652"/>
      <c r="AX302" s="652"/>
      <c r="AY302" s="652"/>
      <c r="AZ302" s="652"/>
      <c r="BA302" s="652"/>
      <c r="BB302" s="652"/>
      <c r="BC302" s="652"/>
      <c r="BD302" s="652"/>
      <c r="BE302" s="652"/>
      <c r="BF302" s="652"/>
      <c r="BG302" s="652"/>
      <c r="BH302" s="652"/>
      <c r="BI302" s="652"/>
    </row>
    <row r="303" s="654" customFormat="1" ht="31" customHeight="1" spans="1:108">
      <c r="A303" s="713">
        <v>46189</v>
      </c>
      <c r="B303" s="714" t="s">
        <v>890</v>
      </c>
      <c r="C303" s="715" t="s">
        <v>891</v>
      </c>
      <c r="D303" s="652" t="s">
        <v>4893</v>
      </c>
      <c r="E303" s="715" t="s">
        <v>4894</v>
      </c>
      <c r="F303" s="652" t="s">
        <v>4895</v>
      </c>
      <c r="G303" s="716" t="s">
        <v>4028</v>
      </c>
      <c r="H303" s="715" t="s">
        <v>3978</v>
      </c>
      <c r="I303" s="717">
        <v>120</v>
      </c>
      <c r="J303" s="715">
        <v>0</v>
      </c>
      <c r="K303" s="715">
        <v>8</v>
      </c>
      <c r="L303" s="715">
        <f t="shared" si="50"/>
        <v>15</v>
      </c>
      <c r="M303" s="719">
        <v>46206</v>
      </c>
      <c r="N303" s="719">
        <v>46202</v>
      </c>
      <c r="O303" s="714" t="s">
        <v>105</v>
      </c>
      <c r="P303" s="717" t="s">
        <v>106</v>
      </c>
      <c r="Q303" s="717"/>
      <c r="R303" s="723">
        <v>46189</v>
      </c>
      <c r="S303" s="720" t="s">
        <v>107</v>
      </c>
      <c r="T303" s="720" t="s">
        <v>1479</v>
      </c>
      <c r="U303" s="720"/>
      <c r="V303" s="720"/>
      <c r="W303" s="720"/>
      <c r="X303" s="720" t="s">
        <v>4896</v>
      </c>
      <c r="Y303" s="719" t="s">
        <v>895</v>
      </c>
      <c r="Z303" s="730">
        <v>4.8371</v>
      </c>
      <c r="AA303" s="652">
        <f>Z303*I303</f>
        <v>580.452</v>
      </c>
      <c r="AB303" s="721"/>
      <c r="AC303" s="722" t="s">
        <v>4031</v>
      </c>
      <c r="AD303" s="715" t="s">
        <v>112</v>
      </c>
      <c r="AE303" s="715">
        <f t="shared" si="61"/>
        <v>120</v>
      </c>
      <c r="AF303" s="715"/>
      <c r="AG303" s="715">
        <v>120</v>
      </c>
      <c r="AH303" s="715">
        <f t="shared" si="58"/>
        <v>0</v>
      </c>
      <c r="AI303" s="717"/>
      <c r="AJ303" s="715" t="s">
        <v>3981</v>
      </c>
      <c r="AK303" s="652"/>
      <c r="AL303" s="652">
        <f>I303</f>
        <v>120</v>
      </c>
      <c r="AM303" s="652"/>
      <c r="AN303" s="652">
        <f>I303</f>
        <v>120</v>
      </c>
      <c r="AO303" s="652"/>
      <c r="AP303" s="652"/>
      <c r="AQ303" s="652"/>
      <c r="AR303" s="652"/>
      <c r="AS303" s="652"/>
      <c r="AT303" s="652"/>
      <c r="AU303" s="652">
        <f>I303/8</f>
        <v>15</v>
      </c>
      <c r="AV303" s="652"/>
      <c r="AW303" s="652"/>
      <c r="AX303" s="652"/>
      <c r="AY303" s="652"/>
      <c r="AZ303" s="652"/>
      <c r="BA303" s="652"/>
      <c r="BB303" s="652"/>
      <c r="BC303" s="652"/>
      <c r="BD303" s="652"/>
      <c r="BE303" s="652"/>
      <c r="BF303" s="652"/>
      <c r="BG303" s="652"/>
      <c r="BH303" s="652"/>
      <c r="BI303" s="652"/>
      <c r="BJ303" s="650"/>
      <c r="BK303" s="650"/>
      <c r="BL303" s="650"/>
      <c r="BM303" s="650"/>
      <c r="BN303" s="650"/>
      <c r="BO303" s="650"/>
      <c r="BP303" s="650"/>
      <c r="BQ303" s="650"/>
      <c r="BR303" s="650"/>
      <c r="BS303" s="650"/>
      <c r="BT303" s="650"/>
      <c r="BU303" s="650"/>
      <c r="BV303" s="650"/>
      <c r="BW303" s="650"/>
      <c r="BX303" s="650"/>
      <c r="BY303" s="650"/>
      <c r="BZ303" s="650"/>
      <c r="CA303" s="650"/>
      <c r="CB303" s="650"/>
      <c r="CC303" s="650"/>
      <c r="CD303" s="650"/>
      <c r="CE303" s="650"/>
      <c r="CF303" s="650"/>
      <c r="CG303" s="650"/>
      <c r="CH303" s="650"/>
      <c r="CI303" s="650"/>
      <c r="CJ303" s="650"/>
      <c r="CK303" s="650"/>
      <c r="CL303" s="650"/>
      <c r="CM303" s="650"/>
      <c r="CN303" s="650"/>
      <c r="CO303" s="650"/>
      <c r="CP303" s="650"/>
      <c r="CQ303" s="650"/>
      <c r="CR303" s="650"/>
      <c r="CS303" s="650"/>
      <c r="CT303" s="650"/>
      <c r="CU303" s="650"/>
      <c r="CV303" s="650"/>
      <c r="CW303" s="650"/>
      <c r="CX303" s="650"/>
      <c r="CY303" s="650"/>
      <c r="CZ303" s="650"/>
      <c r="DA303" s="650"/>
      <c r="DB303" s="650"/>
      <c r="DC303" s="650"/>
      <c r="DD303" s="650"/>
    </row>
    <row r="304" s="650" customFormat="1" ht="31" customHeight="1" spans="1:108">
      <c r="A304" s="713">
        <v>46164</v>
      </c>
      <c r="B304" s="714" t="s">
        <v>230</v>
      </c>
      <c r="C304" s="715" t="s">
        <v>135</v>
      </c>
      <c r="D304" s="652" t="s">
        <v>4897</v>
      </c>
      <c r="E304" s="715" t="s">
        <v>1508</v>
      </c>
      <c r="F304" s="652" t="s">
        <v>4898</v>
      </c>
      <c r="G304" s="716" t="s">
        <v>3973</v>
      </c>
      <c r="H304" s="715" t="s">
        <v>3995</v>
      </c>
      <c r="I304" s="717">
        <v>1600</v>
      </c>
      <c r="J304" s="715">
        <v>0</v>
      </c>
      <c r="K304" s="715">
        <v>16</v>
      </c>
      <c r="L304" s="715">
        <f t="shared" si="50"/>
        <v>100</v>
      </c>
      <c r="M304" s="719">
        <v>46206</v>
      </c>
      <c r="N304" s="778">
        <v>46202</v>
      </c>
      <c r="O304" s="714"/>
      <c r="P304" s="717" t="s">
        <v>1202</v>
      </c>
      <c r="Q304" s="717"/>
      <c r="R304" s="723" t="s">
        <v>4899</v>
      </c>
      <c r="S304" s="720" t="s">
        <v>107</v>
      </c>
      <c r="T304" s="720" t="s">
        <v>4900</v>
      </c>
      <c r="U304" s="720"/>
      <c r="V304" s="720"/>
      <c r="W304" s="720"/>
      <c r="X304" s="720" t="s">
        <v>4901</v>
      </c>
      <c r="Y304" s="719" t="s">
        <v>236</v>
      </c>
      <c r="Z304" s="730">
        <v>4.6548</v>
      </c>
      <c r="AA304" s="652">
        <f>I304*Z304</f>
        <v>7447.68</v>
      </c>
      <c r="AB304" s="721"/>
      <c r="AC304" s="714" t="s">
        <v>3973</v>
      </c>
      <c r="AD304" s="715" t="s">
        <v>112</v>
      </c>
      <c r="AE304" s="715">
        <f t="shared" si="61"/>
        <v>1600</v>
      </c>
      <c r="AF304" s="715"/>
      <c r="AG304" s="715">
        <v>1600</v>
      </c>
      <c r="AH304" s="715">
        <f t="shared" si="58"/>
        <v>0</v>
      </c>
      <c r="AI304" s="717"/>
      <c r="AJ304" s="715" t="s">
        <v>3981</v>
      </c>
      <c r="AK304" s="652">
        <f>I304</f>
        <v>1600</v>
      </c>
      <c r="AL304" s="652"/>
      <c r="AM304" s="652"/>
      <c r="AN304" s="652">
        <f>I304</f>
        <v>1600</v>
      </c>
      <c r="AO304" s="652"/>
      <c r="AP304" s="652"/>
      <c r="AQ304" s="652"/>
      <c r="AR304" s="652"/>
      <c r="AS304" s="652"/>
      <c r="AT304" s="652">
        <f>I304/8</f>
        <v>200</v>
      </c>
      <c r="AU304" s="652"/>
      <c r="AV304" s="652"/>
      <c r="AW304" s="652"/>
      <c r="AX304" s="652"/>
      <c r="AY304" s="652"/>
      <c r="AZ304" s="652"/>
      <c r="BA304" s="652"/>
      <c r="BB304" s="652"/>
      <c r="BC304" s="652"/>
      <c r="BD304" s="652"/>
      <c r="BE304" s="652"/>
      <c r="BF304" s="652"/>
      <c r="BG304" s="652"/>
      <c r="BH304" s="652"/>
      <c r="BI304" s="652"/>
    </row>
    <row r="305" s="650" customFormat="1" ht="31" customHeight="1" spans="1:108">
      <c r="A305" s="713">
        <v>46129</v>
      </c>
      <c r="B305" s="714" t="s">
        <v>1493</v>
      </c>
      <c r="C305" s="715" t="s">
        <v>810</v>
      </c>
      <c r="D305" s="652" t="s">
        <v>4902</v>
      </c>
      <c r="E305" s="739">
        <v>2000010104</v>
      </c>
      <c r="F305" s="652" t="s">
        <v>1494</v>
      </c>
      <c r="G305" s="716" t="s">
        <v>4359</v>
      </c>
      <c r="H305" s="715" t="s">
        <v>804</v>
      </c>
      <c r="I305" s="752">
        <v>2004</v>
      </c>
      <c r="J305" s="715">
        <v>0</v>
      </c>
      <c r="K305" s="715">
        <v>6</v>
      </c>
      <c r="L305" s="715">
        <v>6</v>
      </c>
      <c r="M305" s="719">
        <v>46206</v>
      </c>
      <c r="N305" s="738">
        <v>46223</v>
      </c>
      <c r="O305" s="732" t="s">
        <v>1496</v>
      </c>
      <c r="P305" s="717" t="s">
        <v>106</v>
      </c>
      <c r="Q305" s="715"/>
      <c r="R305" s="723">
        <v>46169</v>
      </c>
      <c r="S305" s="720" t="s">
        <v>95</v>
      </c>
      <c r="T305" s="720" t="s">
        <v>4903</v>
      </c>
      <c r="U305" s="720"/>
      <c r="V305" s="714" t="s">
        <v>1499</v>
      </c>
      <c r="W305" s="652" t="s">
        <v>1500</v>
      </c>
      <c r="X305" s="714" t="s">
        <v>4904</v>
      </c>
      <c r="Y305" s="719" t="s">
        <v>722</v>
      </c>
      <c r="Z305" s="652">
        <v>8.15</v>
      </c>
      <c r="AA305" s="722">
        <f>I305*Z305</f>
        <v>16332.6</v>
      </c>
      <c r="AB305" s="803"/>
      <c r="AC305" s="715" t="s">
        <v>952</v>
      </c>
      <c r="AD305" s="715" t="s">
        <v>112</v>
      </c>
      <c r="AE305" s="715">
        <f t="shared" si="61"/>
        <v>2004</v>
      </c>
      <c r="AF305" s="717"/>
      <c r="AG305" s="715">
        <v>2004</v>
      </c>
      <c r="AH305" s="715">
        <f t="shared" si="58"/>
        <v>0</v>
      </c>
      <c r="AI305" s="652"/>
      <c r="AJ305" s="715" t="s">
        <v>3981</v>
      </c>
      <c r="AK305" s="804"/>
      <c r="AL305" s="652"/>
      <c r="AM305" s="652"/>
      <c r="AN305" s="652">
        <f>I305</f>
        <v>2004</v>
      </c>
      <c r="AO305" s="652"/>
      <c r="AP305" s="652"/>
      <c r="AQ305" s="804"/>
      <c r="AR305" s="804"/>
      <c r="AS305" s="652"/>
      <c r="AT305" s="652"/>
      <c r="AU305" s="804"/>
      <c r="AV305" s="804"/>
      <c r="AW305" s="804"/>
      <c r="AX305" s="804"/>
      <c r="AY305" s="804"/>
      <c r="AZ305" s="804"/>
      <c r="BA305" s="652"/>
      <c r="BB305" s="652"/>
      <c r="BC305" s="652"/>
      <c r="BD305" s="652"/>
      <c r="BE305" s="652"/>
      <c r="BF305" s="652"/>
      <c r="BG305" s="652"/>
      <c r="BH305" s="652"/>
      <c r="BI305" s="652">
        <f>I305</f>
        <v>2004</v>
      </c>
    </row>
    <row r="306" s="650" customFormat="1" ht="31" customHeight="1" spans="1:108">
      <c r="A306" s="713">
        <v>46176</v>
      </c>
      <c r="B306" s="714" t="s">
        <v>1493</v>
      </c>
      <c r="C306" s="715" t="s">
        <v>810</v>
      </c>
      <c r="D306" s="652">
        <v>4500202542</v>
      </c>
      <c r="E306" s="715">
        <v>2000010097</v>
      </c>
      <c r="F306" s="652" t="s">
        <v>1502</v>
      </c>
      <c r="G306" s="716" t="s">
        <v>4359</v>
      </c>
      <c r="H306" s="715" t="s">
        <v>804</v>
      </c>
      <c r="I306" s="717">
        <v>3000</v>
      </c>
      <c r="J306" s="715">
        <v>0</v>
      </c>
      <c r="K306" s="715">
        <v>6</v>
      </c>
      <c r="L306" s="715">
        <f t="shared" ref="L306:L369" si="62">I306/K306</f>
        <v>500</v>
      </c>
      <c r="M306" s="719">
        <v>46206</v>
      </c>
      <c r="N306" s="738">
        <v>46223</v>
      </c>
      <c r="O306" s="714" t="s">
        <v>1496</v>
      </c>
      <c r="P306" s="717" t="s">
        <v>106</v>
      </c>
      <c r="Q306" s="717"/>
      <c r="R306" s="723">
        <v>46169</v>
      </c>
      <c r="S306" s="720" t="s">
        <v>107</v>
      </c>
      <c r="T306" s="720" t="s">
        <v>4905</v>
      </c>
      <c r="U306" s="720"/>
      <c r="V306" s="720" t="s">
        <v>4906</v>
      </c>
      <c r="W306" s="652" t="s">
        <v>1500</v>
      </c>
      <c r="X306" s="720" t="s">
        <v>4907</v>
      </c>
      <c r="Y306" s="719" t="s">
        <v>722</v>
      </c>
      <c r="Z306" s="730">
        <v>8.15</v>
      </c>
      <c r="AA306" s="652">
        <f t="shared" ref="AA306:AA314" si="63">L306*Z306</f>
        <v>4075</v>
      </c>
      <c r="AB306" s="721"/>
      <c r="AC306" s="715" t="s">
        <v>952</v>
      </c>
      <c r="AD306" s="715" t="s">
        <v>112</v>
      </c>
      <c r="AE306" s="715">
        <f t="shared" si="61"/>
        <v>3000</v>
      </c>
      <c r="AF306" s="715"/>
      <c r="AG306" s="715">
        <v>3000</v>
      </c>
      <c r="AH306" s="715">
        <f t="shared" si="58"/>
        <v>0</v>
      </c>
      <c r="AI306" s="652"/>
      <c r="AJ306" s="715" t="s">
        <v>3981</v>
      </c>
      <c r="AK306" s="652"/>
      <c r="AL306" s="652"/>
      <c r="AM306" s="652"/>
      <c r="AN306" s="652">
        <f>I306</f>
        <v>3000</v>
      </c>
      <c r="AO306" s="652"/>
      <c r="AP306" s="652"/>
      <c r="AQ306" s="652"/>
      <c r="AR306" s="652"/>
      <c r="AS306" s="652"/>
      <c r="AT306" s="652"/>
      <c r="AU306" s="652"/>
      <c r="AV306" s="652"/>
      <c r="AW306" s="652"/>
      <c r="AX306" s="652"/>
      <c r="AY306" s="652"/>
      <c r="AZ306" s="652"/>
      <c r="BA306" s="652"/>
      <c r="BB306" s="652"/>
      <c r="BC306" s="652"/>
      <c r="BD306" s="652"/>
      <c r="BE306" s="652"/>
      <c r="BF306" s="652"/>
      <c r="BG306" s="652"/>
      <c r="BH306" s="652"/>
      <c r="BI306" s="652">
        <f>I306</f>
        <v>3000</v>
      </c>
    </row>
    <row r="307" s="650" customFormat="1" ht="31" customHeight="1" spans="1:108">
      <c r="A307" s="713">
        <v>46111</v>
      </c>
      <c r="B307" s="714" t="s">
        <v>530</v>
      </c>
      <c r="C307" s="715" t="s">
        <v>135</v>
      </c>
      <c r="D307" s="652" t="s">
        <v>4908</v>
      </c>
      <c r="E307" s="715" t="s">
        <v>4909</v>
      </c>
      <c r="F307" s="652" t="s">
        <v>4910</v>
      </c>
      <c r="G307" s="716" t="s">
        <v>4238</v>
      </c>
      <c r="H307" s="715" t="s">
        <v>3978</v>
      </c>
      <c r="I307" s="717">
        <v>1248</v>
      </c>
      <c r="J307" s="715">
        <v>8</v>
      </c>
      <c r="K307" s="715">
        <v>32</v>
      </c>
      <c r="L307" s="715">
        <f t="shared" si="62"/>
        <v>39</v>
      </c>
      <c r="M307" s="719">
        <v>46206</v>
      </c>
      <c r="N307" s="719">
        <v>46202</v>
      </c>
      <c r="O307" s="714"/>
      <c r="P307" s="717" t="s">
        <v>106</v>
      </c>
      <c r="Q307" s="717" t="s">
        <v>1301</v>
      </c>
      <c r="R307" s="723">
        <v>46129</v>
      </c>
      <c r="S307" s="720" t="s">
        <v>107</v>
      </c>
      <c r="T307" s="720" t="s">
        <v>4239</v>
      </c>
      <c r="U307" s="720"/>
      <c r="V307" s="720" t="s">
        <v>4240</v>
      </c>
      <c r="W307" s="720"/>
      <c r="X307" s="720" t="s">
        <v>4911</v>
      </c>
      <c r="Y307" s="719" t="s">
        <v>142</v>
      </c>
      <c r="Z307" s="730">
        <v>5</v>
      </c>
      <c r="AA307" s="652">
        <f t="shared" si="63"/>
        <v>195</v>
      </c>
      <c r="AB307" s="721"/>
      <c r="AC307" s="716" t="s">
        <v>4238</v>
      </c>
      <c r="AD307" s="715" t="s">
        <v>112</v>
      </c>
      <c r="AE307" s="715">
        <f t="shared" si="61"/>
        <v>1248</v>
      </c>
      <c r="AF307" s="715"/>
      <c r="AG307" s="715">
        <v>1248</v>
      </c>
      <c r="AH307" s="715">
        <f t="shared" si="58"/>
        <v>0</v>
      </c>
      <c r="AI307" s="717" t="s">
        <v>4064</v>
      </c>
      <c r="AJ307" s="715" t="s">
        <v>3981</v>
      </c>
      <c r="AK307" s="652">
        <f>I307</f>
        <v>1248</v>
      </c>
      <c r="AL307" s="652"/>
      <c r="AM307" s="652"/>
      <c r="AN307" s="652">
        <f>I307</f>
        <v>1248</v>
      </c>
      <c r="AO307" s="652"/>
      <c r="AP307" s="652"/>
      <c r="AQ307" s="652"/>
      <c r="AR307" s="652"/>
      <c r="AS307" s="652"/>
      <c r="AT307" s="652">
        <f>I307/8</f>
        <v>156</v>
      </c>
      <c r="AU307" s="652"/>
      <c r="AV307" s="652"/>
      <c r="AW307" s="652"/>
      <c r="AX307" s="652"/>
      <c r="AY307" s="652"/>
      <c r="AZ307" s="652"/>
      <c r="BA307" s="652"/>
      <c r="BB307" s="652"/>
      <c r="BC307" s="652"/>
      <c r="BD307" s="652"/>
      <c r="BE307" s="652"/>
      <c r="BF307" s="652"/>
      <c r="BG307" s="652"/>
      <c r="BH307" s="652"/>
      <c r="BI307" s="652"/>
    </row>
    <row r="308" s="650" customFormat="1" ht="31" customHeight="1" spans="1:108">
      <c r="A308" s="713">
        <v>46136</v>
      </c>
      <c r="B308" s="714" t="s">
        <v>935</v>
      </c>
      <c r="C308" s="715" t="s">
        <v>115</v>
      </c>
      <c r="D308" s="652" t="s">
        <v>4912</v>
      </c>
      <c r="E308" s="1908" t="s">
        <v>4913</v>
      </c>
      <c r="F308" s="652" t="s">
        <v>1516</v>
      </c>
      <c r="G308" s="716" t="s">
        <v>4215</v>
      </c>
      <c r="H308" s="715" t="s">
        <v>483</v>
      </c>
      <c r="I308" s="717">
        <v>4320</v>
      </c>
      <c r="J308" s="715">
        <v>0</v>
      </c>
      <c r="K308" s="715">
        <v>120</v>
      </c>
      <c r="L308" s="715">
        <f t="shared" si="62"/>
        <v>36</v>
      </c>
      <c r="M308" s="719">
        <v>46206</v>
      </c>
      <c r="N308" s="738">
        <v>46224</v>
      </c>
      <c r="O308" s="714"/>
      <c r="P308" s="717" t="s">
        <v>106</v>
      </c>
      <c r="Q308" s="717"/>
      <c r="R308" s="723">
        <v>46155</v>
      </c>
      <c r="S308" s="720" t="s">
        <v>107</v>
      </c>
      <c r="T308" s="720" t="s">
        <v>95</v>
      </c>
      <c r="U308" s="720"/>
      <c r="V308" s="720"/>
      <c r="W308" s="720"/>
      <c r="X308" s="720" t="s">
        <v>937</v>
      </c>
      <c r="Y308" s="719" t="s">
        <v>488</v>
      </c>
      <c r="Z308" s="730">
        <v>642</v>
      </c>
      <c r="AA308" s="652">
        <f t="shared" si="63"/>
        <v>23112</v>
      </c>
      <c r="AB308" s="729" t="s">
        <v>4914</v>
      </c>
      <c r="AC308" s="722" t="s">
        <v>490</v>
      </c>
      <c r="AD308" s="715" t="s">
        <v>112</v>
      </c>
      <c r="AE308" s="715">
        <f t="shared" si="61"/>
        <v>4320</v>
      </c>
      <c r="AF308" s="715"/>
      <c r="AG308" s="715">
        <v>4320</v>
      </c>
      <c r="AH308" s="715">
        <f t="shared" si="58"/>
        <v>0</v>
      </c>
      <c r="AI308" s="717"/>
      <c r="AJ308" s="715" t="s">
        <v>3981</v>
      </c>
      <c r="AK308" s="652"/>
      <c r="AL308" s="652"/>
      <c r="AM308" s="652"/>
      <c r="AN308" s="652"/>
      <c r="AO308" s="652"/>
      <c r="AP308" s="652"/>
      <c r="AQ308" s="652">
        <f t="shared" ref="AQ308:AQ314" si="64">I308</f>
        <v>4320</v>
      </c>
      <c r="AR308" s="652">
        <f t="shared" ref="AR308:AR314" si="65">I308</f>
        <v>4320</v>
      </c>
      <c r="AS308" s="652">
        <f t="shared" ref="AS308:AS314" si="66">I308/6</f>
        <v>720</v>
      </c>
      <c r="AT308" s="652"/>
      <c r="AU308" s="652"/>
      <c r="AV308" s="652"/>
      <c r="AW308" s="652"/>
      <c r="AX308" s="652"/>
      <c r="AY308" s="652"/>
      <c r="AZ308" s="652"/>
      <c r="BA308" s="652"/>
      <c r="BB308" s="652"/>
      <c r="BC308" s="652"/>
      <c r="BD308" s="652"/>
      <c r="BE308" s="652"/>
      <c r="BF308" s="652"/>
      <c r="BG308" s="652"/>
      <c r="BH308" s="652"/>
      <c r="BI308" s="652"/>
      <c r="BJ308" s="731"/>
      <c r="BK308" s="731"/>
      <c r="BL308" s="731"/>
      <c r="BM308" s="731"/>
      <c r="BN308" s="731"/>
      <c r="BO308" s="731"/>
      <c r="BP308" s="731"/>
      <c r="BQ308" s="731"/>
      <c r="BR308" s="731"/>
      <c r="BS308" s="731"/>
      <c r="BT308" s="731"/>
      <c r="BU308" s="731"/>
      <c r="BV308" s="731"/>
      <c r="BW308" s="731"/>
      <c r="BX308" s="731"/>
      <c r="BY308" s="731"/>
      <c r="BZ308" s="731"/>
      <c r="CA308" s="731"/>
      <c r="CB308" s="731"/>
      <c r="CC308" s="731"/>
      <c r="CD308" s="731"/>
      <c r="CE308" s="731"/>
      <c r="CF308" s="731"/>
      <c r="CG308" s="731"/>
      <c r="CH308" s="731"/>
      <c r="CI308" s="731"/>
      <c r="CJ308" s="731"/>
      <c r="CK308" s="731"/>
      <c r="CL308" s="731"/>
      <c r="CM308" s="731"/>
      <c r="CN308" s="731"/>
      <c r="CO308" s="731"/>
      <c r="CP308" s="731"/>
      <c r="CQ308" s="731"/>
      <c r="CR308" s="731"/>
    </row>
    <row r="309" s="650" customFormat="1" ht="31" customHeight="1" spans="1:108">
      <c r="A309" s="713">
        <v>46136</v>
      </c>
      <c r="B309" s="714" t="s">
        <v>935</v>
      </c>
      <c r="C309" s="715" t="s">
        <v>115</v>
      </c>
      <c r="D309" s="652" t="s">
        <v>4915</v>
      </c>
      <c r="E309" s="1908" t="s">
        <v>4916</v>
      </c>
      <c r="F309" s="652" t="s">
        <v>1483</v>
      </c>
      <c r="G309" s="716" t="s">
        <v>4215</v>
      </c>
      <c r="H309" s="715" t="s">
        <v>483</v>
      </c>
      <c r="I309" s="717">
        <v>4320</v>
      </c>
      <c r="J309" s="715">
        <v>0</v>
      </c>
      <c r="K309" s="715">
        <v>120</v>
      </c>
      <c r="L309" s="715">
        <f t="shared" si="62"/>
        <v>36</v>
      </c>
      <c r="M309" s="719">
        <v>46206</v>
      </c>
      <c r="N309" s="738">
        <v>46224</v>
      </c>
      <c r="O309" s="714"/>
      <c r="P309" s="717" t="s">
        <v>106</v>
      </c>
      <c r="Q309" s="717"/>
      <c r="R309" s="734">
        <v>46155</v>
      </c>
      <c r="S309" s="720" t="s">
        <v>107</v>
      </c>
      <c r="T309" s="735" t="s">
        <v>95</v>
      </c>
      <c r="U309" s="735"/>
      <c r="V309" s="720"/>
      <c r="W309" s="720"/>
      <c r="X309" s="720" t="s">
        <v>937</v>
      </c>
      <c r="Y309" s="719" t="s">
        <v>488</v>
      </c>
      <c r="Z309" s="730">
        <v>642</v>
      </c>
      <c r="AA309" s="652">
        <f t="shared" si="63"/>
        <v>23112</v>
      </c>
      <c r="AB309" s="729" t="s">
        <v>1484</v>
      </c>
      <c r="AC309" s="722" t="s">
        <v>490</v>
      </c>
      <c r="AD309" s="715" t="s">
        <v>112</v>
      </c>
      <c r="AE309" s="715">
        <f t="shared" si="61"/>
        <v>4320</v>
      </c>
      <c r="AF309" s="715" t="s">
        <v>4109</v>
      </c>
      <c r="AG309" s="715">
        <v>4320</v>
      </c>
      <c r="AH309" s="715">
        <f t="shared" si="58"/>
        <v>0</v>
      </c>
      <c r="AI309" s="717"/>
      <c r="AJ309" s="715" t="s">
        <v>3981</v>
      </c>
      <c r="AK309" s="652"/>
      <c r="AL309" s="652"/>
      <c r="AM309" s="652"/>
      <c r="AN309" s="652"/>
      <c r="AO309" s="652"/>
      <c r="AP309" s="652"/>
      <c r="AQ309" s="652">
        <f t="shared" si="64"/>
        <v>4320</v>
      </c>
      <c r="AR309" s="652">
        <f t="shared" si="65"/>
        <v>4320</v>
      </c>
      <c r="AS309" s="652">
        <f t="shared" si="66"/>
        <v>720</v>
      </c>
      <c r="AT309" s="652"/>
      <c r="AU309" s="652"/>
      <c r="AV309" s="652"/>
      <c r="AW309" s="652"/>
      <c r="AX309" s="652"/>
      <c r="AY309" s="652"/>
      <c r="AZ309" s="652"/>
      <c r="BA309" s="652"/>
      <c r="BB309" s="652"/>
      <c r="BC309" s="652"/>
      <c r="BD309" s="652"/>
      <c r="BE309" s="652"/>
      <c r="BF309" s="652"/>
      <c r="BG309" s="652"/>
      <c r="BH309" s="652"/>
      <c r="BI309" s="652"/>
      <c r="BJ309" s="731"/>
      <c r="BK309" s="731"/>
      <c r="BL309" s="731"/>
      <c r="BM309" s="731"/>
      <c r="BN309" s="731"/>
      <c r="BO309" s="731"/>
      <c r="BP309" s="731"/>
      <c r="BQ309" s="731"/>
      <c r="BR309" s="731"/>
      <c r="BS309" s="731"/>
      <c r="BT309" s="731"/>
      <c r="BU309" s="731"/>
      <c r="BV309" s="731"/>
      <c r="BW309" s="731"/>
      <c r="BX309" s="731"/>
      <c r="BY309" s="731"/>
      <c r="BZ309" s="731"/>
      <c r="CA309" s="731"/>
      <c r="CB309" s="731"/>
      <c r="CC309" s="731"/>
      <c r="CD309" s="731"/>
      <c r="CE309" s="731"/>
      <c r="CF309" s="731"/>
      <c r="CG309" s="731"/>
      <c r="CH309" s="731"/>
      <c r="CI309" s="731"/>
      <c r="CJ309" s="731"/>
      <c r="CK309" s="731"/>
      <c r="CL309" s="731"/>
      <c r="CM309" s="731"/>
      <c r="CN309" s="731"/>
      <c r="CO309" s="731"/>
      <c r="CP309" s="731"/>
      <c r="CQ309" s="731"/>
      <c r="CR309" s="731"/>
      <c r="CS309" s="654"/>
      <c r="CT309" s="654"/>
      <c r="CU309" s="654"/>
      <c r="CV309" s="654"/>
      <c r="CW309" s="654"/>
      <c r="CX309" s="654"/>
      <c r="CY309" s="654"/>
      <c r="CZ309" s="654"/>
      <c r="DA309" s="654"/>
      <c r="DB309" s="654"/>
      <c r="DC309" s="654"/>
      <c r="DD309" s="654"/>
    </row>
    <row r="310" s="650" customFormat="1" ht="31" customHeight="1" spans="1:108">
      <c r="A310" s="713">
        <v>46136</v>
      </c>
      <c r="B310" s="714" t="s">
        <v>935</v>
      </c>
      <c r="C310" s="715" t="s">
        <v>115</v>
      </c>
      <c r="D310" s="652" t="s">
        <v>4917</v>
      </c>
      <c r="E310" s="1908" t="s">
        <v>4918</v>
      </c>
      <c r="F310" s="652" t="s">
        <v>1517</v>
      </c>
      <c r="G310" s="716" t="s">
        <v>4215</v>
      </c>
      <c r="H310" s="715" t="s">
        <v>483</v>
      </c>
      <c r="I310" s="717">
        <v>4320</v>
      </c>
      <c r="J310" s="715">
        <v>0</v>
      </c>
      <c r="K310" s="715">
        <v>120</v>
      </c>
      <c r="L310" s="715">
        <f t="shared" si="62"/>
        <v>36</v>
      </c>
      <c r="M310" s="719">
        <v>46206</v>
      </c>
      <c r="N310" s="738">
        <v>46224</v>
      </c>
      <c r="O310" s="714"/>
      <c r="P310" s="717" t="s">
        <v>106</v>
      </c>
      <c r="Q310" s="717"/>
      <c r="R310" s="723">
        <v>46155</v>
      </c>
      <c r="S310" s="720" t="s">
        <v>107</v>
      </c>
      <c r="T310" s="720" t="s">
        <v>95</v>
      </c>
      <c r="U310" s="720"/>
      <c r="V310" s="720"/>
      <c r="W310" s="720"/>
      <c r="X310" s="720" t="s">
        <v>937</v>
      </c>
      <c r="Y310" s="719" t="s">
        <v>488</v>
      </c>
      <c r="Z310" s="730">
        <v>642</v>
      </c>
      <c r="AA310" s="652">
        <f t="shared" si="63"/>
        <v>23112</v>
      </c>
      <c r="AB310" s="729" t="s">
        <v>1520</v>
      </c>
      <c r="AC310" s="722" t="s">
        <v>490</v>
      </c>
      <c r="AD310" s="715" t="s">
        <v>112</v>
      </c>
      <c r="AE310" s="715">
        <f t="shared" si="61"/>
        <v>4320</v>
      </c>
      <c r="AF310" s="715"/>
      <c r="AG310" s="715">
        <f>1875+1627+224+594</f>
        <v>4320</v>
      </c>
      <c r="AH310" s="715">
        <f t="shared" si="58"/>
        <v>0</v>
      </c>
      <c r="AI310" s="717"/>
      <c r="AJ310" s="715" t="s">
        <v>3981</v>
      </c>
      <c r="AK310" s="652"/>
      <c r="AL310" s="652"/>
      <c r="AM310" s="652"/>
      <c r="AN310" s="652"/>
      <c r="AO310" s="652"/>
      <c r="AP310" s="652"/>
      <c r="AQ310" s="652">
        <f t="shared" si="64"/>
        <v>4320</v>
      </c>
      <c r="AR310" s="652">
        <f t="shared" si="65"/>
        <v>4320</v>
      </c>
      <c r="AS310" s="652">
        <f t="shared" si="66"/>
        <v>720</v>
      </c>
      <c r="AT310" s="652"/>
      <c r="AU310" s="652"/>
      <c r="AV310" s="652"/>
      <c r="AW310" s="652"/>
      <c r="AX310" s="652"/>
      <c r="AY310" s="652"/>
      <c r="AZ310" s="652"/>
      <c r="BA310" s="652"/>
      <c r="BB310" s="652"/>
      <c r="BC310" s="652"/>
      <c r="BD310" s="652"/>
      <c r="BE310" s="652"/>
      <c r="BF310" s="652"/>
      <c r="BG310" s="652"/>
      <c r="BH310" s="652"/>
      <c r="BI310" s="652"/>
    </row>
    <row r="311" s="654" customFormat="1" ht="31" customHeight="1" spans="1:108">
      <c r="A311" s="713">
        <v>46136</v>
      </c>
      <c r="B311" s="714" t="s">
        <v>935</v>
      </c>
      <c r="C311" s="715" t="s">
        <v>115</v>
      </c>
      <c r="D311" s="652" t="s">
        <v>4919</v>
      </c>
      <c r="E311" s="1908" t="s">
        <v>4920</v>
      </c>
      <c r="F311" s="652" t="s">
        <v>1521</v>
      </c>
      <c r="G311" s="716" t="s">
        <v>4215</v>
      </c>
      <c r="H311" s="715" t="s">
        <v>483</v>
      </c>
      <c r="I311" s="717">
        <v>4320</v>
      </c>
      <c r="J311" s="715">
        <v>0</v>
      </c>
      <c r="K311" s="715">
        <v>120</v>
      </c>
      <c r="L311" s="715">
        <f t="shared" si="62"/>
        <v>36</v>
      </c>
      <c r="M311" s="719">
        <v>46206</v>
      </c>
      <c r="N311" s="738">
        <v>46224</v>
      </c>
      <c r="O311" s="714"/>
      <c r="P311" s="717" t="s">
        <v>106</v>
      </c>
      <c r="Q311" s="717"/>
      <c r="R311" s="723">
        <v>46155</v>
      </c>
      <c r="S311" s="720" t="s">
        <v>107</v>
      </c>
      <c r="T311" s="720" t="s">
        <v>95</v>
      </c>
      <c r="U311" s="720"/>
      <c r="V311" s="720"/>
      <c r="W311" s="720"/>
      <c r="X311" s="720" t="s">
        <v>937</v>
      </c>
      <c r="Y311" s="719" t="s">
        <v>488</v>
      </c>
      <c r="Z311" s="730">
        <v>642</v>
      </c>
      <c r="AA311" s="652">
        <f t="shared" si="63"/>
        <v>23112</v>
      </c>
      <c r="AB311" s="729" t="s">
        <v>1523</v>
      </c>
      <c r="AC311" s="722" t="s">
        <v>490</v>
      </c>
      <c r="AD311" s="715" t="s">
        <v>112</v>
      </c>
      <c r="AE311" s="715">
        <f t="shared" si="61"/>
        <v>4320</v>
      </c>
      <c r="AF311" s="715"/>
      <c r="AG311" s="715">
        <f>2430+1296+594</f>
        <v>4320</v>
      </c>
      <c r="AH311" s="715">
        <f t="shared" si="58"/>
        <v>0</v>
      </c>
      <c r="AI311" s="717"/>
      <c r="AJ311" s="715" t="s">
        <v>3981</v>
      </c>
      <c r="AK311" s="652"/>
      <c r="AL311" s="652"/>
      <c r="AM311" s="652"/>
      <c r="AN311" s="652"/>
      <c r="AO311" s="652"/>
      <c r="AP311" s="652"/>
      <c r="AQ311" s="652">
        <f t="shared" si="64"/>
        <v>4320</v>
      </c>
      <c r="AR311" s="652">
        <f t="shared" si="65"/>
        <v>4320</v>
      </c>
      <c r="AS311" s="652">
        <f t="shared" si="66"/>
        <v>720</v>
      </c>
      <c r="AT311" s="652"/>
      <c r="AU311" s="652"/>
      <c r="AV311" s="652"/>
      <c r="AW311" s="652"/>
      <c r="AX311" s="652"/>
      <c r="AY311" s="652"/>
      <c r="AZ311" s="652"/>
      <c r="BA311" s="652"/>
      <c r="BB311" s="652"/>
      <c r="BC311" s="652"/>
      <c r="BD311" s="652"/>
      <c r="BE311" s="652"/>
      <c r="BF311" s="652"/>
      <c r="BG311" s="652"/>
      <c r="BH311" s="652"/>
      <c r="BI311" s="652"/>
      <c r="BJ311" s="724"/>
      <c r="BK311" s="724"/>
      <c r="BL311" s="724"/>
      <c r="BM311" s="724"/>
      <c r="BN311" s="724"/>
      <c r="BO311" s="724"/>
      <c r="BP311" s="724"/>
      <c r="BQ311" s="724"/>
      <c r="BR311" s="724"/>
      <c r="BS311" s="724"/>
      <c r="BT311" s="724"/>
      <c r="BU311" s="724"/>
      <c r="BV311" s="724"/>
      <c r="BW311" s="724"/>
      <c r="BX311" s="724"/>
      <c r="BY311" s="724"/>
      <c r="BZ311" s="724"/>
      <c r="CA311" s="724"/>
      <c r="CB311" s="724"/>
      <c r="CC311" s="724"/>
      <c r="CD311" s="724"/>
      <c r="CE311" s="724"/>
      <c r="CF311" s="724"/>
      <c r="CG311" s="724"/>
      <c r="CH311" s="724"/>
      <c r="CI311" s="724"/>
      <c r="CJ311" s="724"/>
      <c r="CK311" s="724"/>
      <c r="CL311" s="724"/>
      <c r="CM311" s="724"/>
      <c r="CN311" s="724"/>
      <c r="CO311" s="724"/>
      <c r="CP311" s="724"/>
      <c r="CQ311" s="724"/>
      <c r="CR311" s="724"/>
      <c r="CS311" s="650"/>
      <c r="CT311" s="650"/>
      <c r="CU311" s="650"/>
      <c r="CV311" s="650"/>
      <c r="CW311" s="650"/>
      <c r="CX311" s="650"/>
      <c r="CY311" s="650"/>
      <c r="CZ311" s="650"/>
      <c r="DA311" s="650"/>
      <c r="DB311" s="650"/>
      <c r="DC311" s="650"/>
      <c r="DD311" s="650"/>
    </row>
    <row r="312" s="650" customFormat="1" ht="31" customHeight="1" spans="1:108">
      <c r="A312" s="713">
        <v>46136</v>
      </c>
      <c r="B312" s="714" t="s">
        <v>935</v>
      </c>
      <c r="C312" s="715" t="s">
        <v>115</v>
      </c>
      <c r="D312" s="652" t="s">
        <v>4921</v>
      </c>
      <c r="E312" s="1908" t="s">
        <v>4922</v>
      </c>
      <c r="F312" s="652" t="s">
        <v>1524</v>
      </c>
      <c r="G312" s="716" t="s">
        <v>4215</v>
      </c>
      <c r="H312" s="715" t="s">
        <v>483</v>
      </c>
      <c r="I312" s="717">
        <v>4320</v>
      </c>
      <c r="J312" s="715">
        <v>0</v>
      </c>
      <c r="K312" s="715">
        <v>120</v>
      </c>
      <c r="L312" s="715">
        <f t="shared" si="62"/>
        <v>36</v>
      </c>
      <c r="M312" s="719">
        <v>46206</v>
      </c>
      <c r="N312" s="738">
        <v>46224</v>
      </c>
      <c r="O312" s="714"/>
      <c r="P312" s="717" t="s">
        <v>106</v>
      </c>
      <c r="Q312" s="717"/>
      <c r="R312" s="723">
        <v>46155</v>
      </c>
      <c r="S312" s="720" t="s">
        <v>107</v>
      </c>
      <c r="T312" s="720" t="s">
        <v>95</v>
      </c>
      <c r="U312" s="720"/>
      <c r="V312" s="720"/>
      <c r="W312" s="720"/>
      <c r="X312" s="720" t="s">
        <v>937</v>
      </c>
      <c r="Y312" s="719" t="s">
        <v>488</v>
      </c>
      <c r="Z312" s="730">
        <v>642</v>
      </c>
      <c r="AA312" s="652">
        <f t="shared" si="63"/>
        <v>23112</v>
      </c>
      <c r="AB312" s="729" t="s">
        <v>1525</v>
      </c>
      <c r="AC312" s="722" t="s">
        <v>490</v>
      </c>
      <c r="AD312" s="715" t="s">
        <v>112</v>
      </c>
      <c r="AE312" s="715">
        <f t="shared" si="61"/>
        <v>4320</v>
      </c>
      <c r="AF312" s="715"/>
      <c r="AG312" s="715">
        <v>4320</v>
      </c>
      <c r="AH312" s="715">
        <f t="shared" si="58"/>
        <v>0</v>
      </c>
      <c r="AI312" s="717"/>
      <c r="AJ312" s="715" t="s">
        <v>3981</v>
      </c>
      <c r="AK312" s="652"/>
      <c r="AL312" s="652"/>
      <c r="AM312" s="652"/>
      <c r="AN312" s="652"/>
      <c r="AO312" s="652"/>
      <c r="AP312" s="652"/>
      <c r="AQ312" s="652">
        <f t="shared" si="64"/>
        <v>4320</v>
      </c>
      <c r="AR312" s="652">
        <f t="shared" si="65"/>
        <v>4320</v>
      </c>
      <c r="AS312" s="652">
        <f t="shared" si="66"/>
        <v>720</v>
      </c>
      <c r="AT312" s="652"/>
      <c r="AU312" s="652"/>
      <c r="AV312" s="652"/>
      <c r="AW312" s="652"/>
      <c r="AX312" s="652"/>
      <c r="AY312" s="652"/>
      <c r="AZ312" s="652"/>
      <c r="BA312" s="652"/>
      <c r="BB312" s="652"/>
      <c r="BC312" s="652"/>
      <c r="BD312" s="652"/>
      <c r="BE312" s="652"/>
      <c r="BF312" s="652"/>
      <c r="BG312" s="652"/>
      <c r="BH312" s="652"/>
      <c r="BI312" s="652"/>
      <c r="BJ312" s="724"/>
      <c r="BK312" s="724"/>
      <c r="BL312" s="724"/>
      <c r="BM312" s="724"/>
      <c r="BN312" s="724"/>
      <c r="BO312" s="724"/>
      <c r="BP312" s="724"/>
      <c r="BQ312" s="724"/>
      <c r="BR312" s="724"/>
      <c r="BS312" s="724"/>
      <c r="BT312" s="724"/>
      <c r="BU312" s="724"/>
      <c r="BV312" s="724"/>
      <c r="BW312" s="724"/>
      <c r="BX312" s="724"/>
      <c r="BY312" s="724"/>
      <c r="BZ312" s="724"/>
      <c r="CA312" s="724"/>
      <c r="CB312" s="724"/>
      <c r="CC312" s="724"/>
      <c r="CD312" s="724"/>
      <c r="CE312" s="724"/>
      <c r="CF312" s="724"/>
      <c r="CG312" s="724"/>
      <c r="CH312" s="724"/>
      <c r="CI312" s="724"/>
      <c r="CJ312" s="724"/>
      <c r="CK312" s="724"/>
      <c r="CL312" s="724"/>
      <c r="CM312" s="724"/>
      <c r="CN312" s="724"/>
      <c r="CO312" s="724"/>
      <c r="CP312" s="724"/>
      <c r="CQ312" s="724"/>
      <c r="CR312" s="724"/>
    </row>
    <row r="313" s="650" customFormat="1" ht="31" customHeight="1" spans="1:108">
      <c r="A313" s="713">
        <v>46107</v>
      </c>
      <c r="B313" s="714" t="s">
        <v>845</v>
      </c>
      <c r="C313" s="715" t="s">
        <v>291</v>
      </c>
      <c r="D313" s="652">
        <v>4500198843</v>
      </c>
      <c r="E313" s="715">
        <v>7950324038</v>
      </c>
      <c r="F313" s="652" t="s">
        <v>1529</v>
      </c>
      <c r="G313" s="716" t="s">
        <v>4215</v>
      </c>
      <c r="H313" s="715" t="s">
        <v>483</v>
      </c>
      <c r="I313" s="717">
        <v>4320</v>
      </c>
      <c r="J313" s="715">
        <v>0</v>
      </c>
      <c r="K313" s="715">
        <v>120</v>
      </c>
      <c r="L313" s="715">
        <f t="shared" si="62"/>
        <v>36</v>
      </c>
      <c r="M313" s="719">
        <v>46206</v>
      </c>
      <c r="N313" s="738">
        <v>46225</v>
      </c>
      <c r="O313" s="714"/>
      <c r="P313" s="717" t="s">
        <v>106</v>
      </c>
      <c r="Q313" s="717"/>
      <c r="R313" s="715" t="s">
        <v>1330</v>
      </c>
      <c r="S313" s="720" t="s">
        <v>107</v>
      </c>
      <c r="T313" s="720" t="s">
        <v>849</v>
      </c>
      <c r="U313" s="720"/>
      <c r="V313" s="720"/>
      <c r="W313" s="720"/>
      <c r="X313" s="720" t="s">
        <v>1076</v>
      </c>
      <c r="Y313" s="719" t="s">
        <v>295</v>
      </c>
      <c r="Z313" s="730">
        <v>1070</v>
      </c>
      <c r="AA313" s="652">
        <f t="shared" si="63"/>
        <v>38520</v>
      </c>
      <c r="AB313" s="721"/>
      <c r="AC313" s="652" t="s">
        <v>490</v>
      </c>
      <c r="AD313" s="715" t="s">
        <v>112</v>
      </c>
      <c r="AE313" s="715">
        <f t="shared" si="61"/>
        <v>4320</v>
      </c>
      <c r="AF313" s="715" t="s">
        <v>4109</v>
      </c>
      <c r="AG313" s="715">
        <v>4320</v>
      </c>
      <c r="AH313" s="715">
        <f t="shared" si="58"/>
        <v>0</v>
      </c>
      <c r="AI313" s="717"/>
      <c r="AJ313" s="715" t="s">
        <v>3981</v>
      </c>
      <c r="AK313" s="652"/>
      <c r="AL313" s="652"/>
      <c r="AM313" s="652"/>
      <c r="AN313" s="652"/>
      <c r="AO313" s="652"/>
      <c r="AP313" s="652"/>
      <c r="AQ313" s="652">
        <f t="shared" si="64"/>
        <v>4320</v>
      </c>
      <c r="AR313" s="652">
        <f t="shared" si="65"/>
        <v>4320</v>
      </c>
      <c r="AS313" s="652">
        <f t="shared" si="66"/>
        <v>720</v>
      </c>
      <c r="AT313" s="652"/>
      <c r="AU313" s="652"/>
      <c r="AV313" s="652"/>
      <c r="AW313" s="652"/>
      <c r="AX313" s="652"/>
      <c r="AY313" s="652"/>
      <c r="AZ313" s="652"/>
      <c r="BA313" s="652"/>
      <c r="BB313" s="652"/>
      <c r="BC313" s="652"/>
      <c r="BD313" s="652"/>
      <c r="BE313" s="652"/>
      <c r="BF313" s="652"/>
      <c r="BG313" s="652"/>
      <c r="BH313" s="652"/>
      <c r="BI313" s="652"/>
    </row>
    <row r="314" s="650" customFormat="1" ht="31" customHeight="1" spans="1:108">
      <c r="A314" s="713">
        <v>46136</v>
      </c>
      <c r="B314" s="714" t="s">
        <v>935</v>
      </c>
      <c r="C314" s="715" t="s">
        <v>115</v>
      </c>
      <c r="D314" s="652" t="s">
        <v>4923</v>
      </c>
      <c r="E314" s="1908" t="s">
        <v>4924</v>
      </c>
      <c r="F314" s="652" t="s">
        <v>1526</v>
      </c>
      <c r="G314" s="716" t="s">
        <v>4215</v>
      </c>
      <c r="H314" s="715" t="s">
        <v>483</v>
      </c>
      <c r="I314" s="717">
        <v>4320</v>
      </c>
      <c r="J314" s="715">
        <v>0</v>
      </c>
      <c r="K314" s="715">
        <v>120</v>
      </c>
      <c r="L314" s="715">
        <f t="shared" si="62"/>
        <v>36</v>
      </c>
      <c r="M314" s="719">
        <v>46206</v>
      </c>
      <c r="N314" s="738">
        <v>46225</v>
      </c>
      <c r="O314" s="714"/>
      <c r="P314" s="717" t="s">
        <v>106</v>
      </c>
      <c r="Q314" s="717"/>
      <c r="R314" s="723">
        <v>46155</v>
      </c>
      <c r="S314" s="720" t="s">
        <v>107</v>
      </c>
      <c r="T314" s="720" t="s">
        <v>95</v>
      </c>
      <c r="U314" s="720"/>
      <c r="V314" s="720"/>
      <c r="W314" s="720"/>
      <c r="X314" s="720" t="s">
        <v>937</v>
      </c>
      <c r="Y314" s="719" t="s">
        <v>488</v>
      </c>
      <c r="Z314" s="730">
        <v>642</v>
      </c>
      <c r="AA314" s="652">
        <f t="shared" si="63"/>
        <v>23112</v>
      </c>
      <c r="AB314" s="729" t="s">
        <v>1528</v>
      </c>
      <c r="AC314" s="722" t="s">
        <v>490</v>
      </c>
      <c r="AD314" s="715" t="s">
        <v>112</v>
      </c>
      <c r="AE314" s="715">
        <f t="shared" si="61"/>
        <v>4320</v>
      </c>
      <c r="AF314" s="715"/>
      <c r="AG314" s="715">
        <v>4320</v>
      </c>
      <c r="AH314" s="715">
        <f t="shared" si="58"/>
        <v>0</v>
      </c>
      <c r="AI314" s="717"/>
      <c r="AJ314" s="715" t="s">
        <v>3981</v>
      </c>
      <c r="AK314" s="652"/>
      <c r="AL314" s="652"/>
      <c r="AM314" s="652"/>
      <c r="AN314" s="652"/>
      <c r="AO314" s="652"/>
      <c r="AP314" s="652"/>
      <c r="AQ314" s="652">
        <f t="shared" si="64"/>
        <v>4320</v>
      </c>
      <c r="AR314" s="652">
        <f t="shared" si="65"/>
        <v>4320</v>
      </c>
      <c r="AS314" s="652">
        <f t="shared" si="66"/>
        <v>720</v>
      </c>
      <c r="AT314" s="652"/>
      <c r="AU314" s="652"/>
      <c r="AV314" s="652"/>
      <c r="AW314" s="652"/>
      <c r="AX314" s="652"/>
      <c r="AY314" s="652"/>
      <c r="AZ314" s="652"/>
      <c r="BA314" s="652"/>
      <c r="BB314" s="652"/>
      <c r="BC314" s="652"/>
      <c r="BD314" s="652"/>
      <c r="BE314" s="652"/>
      <c r="BF314" s="652"/>
      <c r="BG314" s="652"/>
      <c r="BH314" s="652"/>
      <c r="BI314" s="652"/>
      <c r="BJ314" s="731"/>
      <c r="BK314" s="731"/>
      <c r="BL314" s="731"/>
      <c r="BM314" s="731"/>
      <c r="BN314" s="731"/>
      <c r="BO314" s="731"/>
      <c r="BP314" s="731"/>
      <c r="BQ314" s="731"/>
      <c r="BR314" s="731"/>
      <c r="BS314" s="731"/>
      <c r="BT314" s="731"/>
      <c r="BU314" s="731"/>
      <c r="BV314" s="731"/>
      <c r="BW314" s="731"/>
      <c r="BX314" s="731"/>
      <c r="BY314" s="731"/>
      <c r="BZ314" s="731"/>
      <c r="CA314" s="731"/>
      <c r="CB314" s="731"/>
      <c r="CC314" s="731"/>
      <c r="CD314" s="731"/>
      <c r="CE314" s="731"/>
      <c r="CF314" s="731"/>
      <c r="CG314" s="731"/>
      <c r="CH314" s="731"/>
      <c r="CI314" s="731"/>
      <c r="CJ314" s="731"/>
      <c r="CK314" s="731"/>
      <c r="CL314" s="731"/>
      <c r="CM314" s="731"/>
      <c r="CN314" s="731"/>
      <c r="CO314" s="731"/>
      <c r="CP314" s="731"/>
      <c r="CQ314" s="731"/>
      <c r="CR314" s="731"/>
    </row>
    <row r="315" s="650" customFormat="1" ht="31" customHeight="1" spans="1:108">
      <c r="A315" s="713">
        <v>46153</v>
      </c>
      <c r="B315" s="714" t="s">
        <v>525</v>
      </c>
      <c r="C315" s="715" t="s">
        <v>508</v>
      </c>
      <c r="D315" s="652" t="s">
        <v>4925</v>
      </c>
      <c r="E315" s="715" t="s">
        <v>4926</v>
      </c>
      <c r="F315" s="652" t="s">
        <v>4927</v>
      </c>
      <c r="G315" s="716" t="s">
        <v>3980</v>
      </c>
      <c r="H315" s="715" t="s">
        <v>3978</v>
      </c>
      <c r="I315" s="717">
        <v>1400</v>
      </c>
      <c r="J315" s="715">
        <v>0</v>
      </c>
      <c r="K315" s="715">
        <v>8</v>
      </c>
      <c r="L315" s="715">
        <f t="shared" si="62"/>
        <v>175</v>
      </c>
      <c r="M315" s="719">
        <v>46209</v>
      </c>
      <c r="N315" s="719">
        <v>46205</v>
      </c>
      <c r="O315" s="714"/>
      <c r="P315" s="717" t="s">
        <v>106</v>
      </c>
      <c r="Q315" s="717"/>
      <c r="R315" s="723">
        <v>46177</v>
      </c>
      <c r="S315" s="720" t="s">
        <v>107</v>
      </c>
      <c r="T315" s="720" t="s">
        <v>4928</v>
      </c>
      <c r="U315" s="720"/>
      <c r="V315" s="720" t="s">
        <v>4764</v>
      </c>
      <c r="W315" s="720"/>
      <c r="X315" s="720" t="s">
        <v>4929</v>
      </c>
      <c r="Y315" s="719" t="s">
        <v>362</v>
      </c>
      <c r="Z315" s="730">
        <v>4.6573</v>
      </c>
      <c r="AA315" s="652">
        <f>Z315*I315</f>
        <v>6520.22</v>
      </c>
      <c r="AB315" s="721"/>
      <c r="AC315" s="722" t="s">
        <v>3980</v>
      </c>
      <c r="AD315" s="715" t="s">
        <v>112</v>
      </c>
      <c r="AE315" s="715">
        <f t="shared" si="61"/>
        <v>1400</v>
      </c>
      <c r="AF315" s="715"/>
      <c r="AG315" s="715">
        <v>1400</v>
      </c>
      <c r="AH315" s="715">
        <f t="shared" si="58"/>
        <v>0</v>
      </c>
      <c r="AI315" s="717"/>
      <c r="AJ315" s="715" t="s">
        <v>3981</v>
      </c>
      <c r="AK315" s="652">
        <f t="shared" ref="AK315:AK321" si="67">I315</f>
        <v>1400</v>
      </c>
      <c r="AL315" s="652"/>
      <c r="AM315" s="652"/>
      <c r="AN315" s="652">
        <f t="shared" ref="AN315:AN328" si="68">I315</f>
        <v>1400</v>
      </c>
      <c r="AO315" s="652"/>
      <c r="AP315" s="652"/>
      <c r="AQ315" s="652"/>
      <c r="AR315" s="652"/>
      <c r="AS315" s="652"/>
      <c r="AT315" s="652"/>
      <c r="AU315" s="652"/>
      <c r="AV315" s="652"/>
      <c r="AW315" s="652"/>
      <c r="AX315" s="652">
        <f>I315/8</f>
        <v>175</v>
      </c>
      <c r="AY315" s="652"/>
      <c r="AZ315" s="652"/>
      <c r="BA315" s="652"/>
      <c r="BB315" s="652"/>
      <c r="BC315" s="652"/>
      <c r="BD315" s="652"/>
      <c r="BE315" s="652"/>
      <c r="BF315" s="652"/>
      <c r="BG315" s="652"/>
      <c r="BH315" s="652"/>
      <c r="BI315" s="652"/>
      <c r="BJ315" s="724"/>
      <c r="BK315" s="724"/>
      <c r="BL315" s="724"/>
      <c r="BM315" s="724"/>
      <c r="BN315" s="724"/>
      <c r="BO315" s="724"/>
      <c r="BP315" s="724"/>
      <c r="BQ315" s="724"/>
      <c r="BR315" s="724"/>
      <c r="BS315" s="724"/>
      <c r="BT315" s="724"/>
      <c r="BU315" s="724"/>
      <c r="BV315" s="724"/>
      <c r="BW315" s="724"/>
      <c r="BX315" s="724"/>
      <c r="BY315" s="724"/>
      <c r="BZ315" s="724"/>
      <c r="CA315" s="724"/>
      <c r="CB315" s="724"/>
      <c r="CC315" s="724"/>
      <c r="CD315" s="724"/>
      <c r="CE315" s="724"/>
      <c r="CF315" s="724"/>
      <c r="CG315" s="724"/>
      <c r="CH315" s="724"/>
      <c r="CI315" s="724"/>
      <c r="CJ315" s="724"/>
      <c r="CK315" s="724"/>
      <c r="CL315" s="724"/>
      <c r="CM315" s="724"/>
      <c r="CN315" s="724"/>
      <c r="CO315" s="724"/>
      <c r="CP315" s="724"/>
      <c r="CQ315" s="724"/>
      <c r="CR315" s="724"/>
    </row>
    <row r="316" s="650" customFormat="1" ht="31" customHeight="1" spans="1:108">
      <c r="A316" s="713">
        <v>46153</v>
      </c>
      <c r="B316" s="714" t="s">
        <v>521</v>
      </c>
      <c r="C316" s="715" t="s">
        <v>101</v>
      </c>
      <c r="D316" s="652" t="s">
        <v>4930</v>
      </c>
      <c r="E316" s="715" t="s">
        <v>4931</v>
      </c>
      <c r="F316" s="652" t="s">
        <v>4932</v>
      </c>
      <c r="G316" s="716" t="s">
        <v>3980</v>
      </c>
      <c r="H316" s="715" t="s">
        <v>3978</v>
      </c>
      <c r="I316" s="717">
        <v>104</v>
      </c>
      <c r="J316" s="715">
        <v>0</v>
      </c>
      <c r="K316" s="715">
        <v>8</v>
      </c>
      <c r="L316" s="715">
        <f t="shared" si="62"/>
        <v>13</v>
      </c>
      <c r="M316" s="719">
        <v>46209</v>
      </c>
      <c r="N316" s="719">
        <v>46205</v>
      </c>
      <c r="O316" s="714"/>
      <c r="P316" s="717" t="s">
        <v>106</v>
      </c>
      <c r="Q316" s="717"/>
      <c r="R316" s="723">
        <v>46177</v>
      </c>
      <c r="S316" s="720" t="s">
        <v>107</v>
      </c>
      <c r="T316" s="720" t="s">
        <v>4928</v>
      </c>
      <c r="U316" s="720"/>
      <c r="V316" s="720" t="s">
        <v>4764</v>
      </c>
      <c r="W316" s="720"/>
      <c r="X316" s="720" t="s">
        <v>4933</v>
      </c>
      <c r="Y316" s="719" t="s">
        <v>362</v>
      </c>
      <c r="Z316" s="730">
        <v>4.6676</v>
      </c>
      <c r="AA316" s="652">
        <f>Z316*I316</f>
        <v>485.4304</v>
      </c>
      <c r="AB316" s="721"/>
      <c r="AC316" s="722" t="s">
        <v>3980</v>
      </c>
      <c r="AD316" s="715" t="s">
        <v>112</v>
      </c>
      <c r="AE316" s="715">
        <f t="shared" si="61"/>
        <v>104</v>
      </c>
      <c r="AF316" s="715"/>
      <c r="AG316" s="715">
        <v>104</v>
      </c>
      <c r="AH316" s="715">
        <f t="shared" si="58"/>
        <v>0</v>
      </c>
      <c r="AI316" s="717"/>
      <c r="AJ316" s="715" t="s">
        <v>3981</v>
      </c>
      <c r="AK316" s="652">
        <f t="shared" si="67"/>
        <v>104</v>
      </c>
      <c r="AL316" s="652"/>
      <c r="AM316" s="652"/>
      <c r="AN316" s="652">
        <f t="shared" si="68"/>
        <v>104</v>
      </c>
      <c r="AO316" s="652"/>
      <c r="AP316" s="652"/>
      <c r="AQ316" s="652"/>
      <c r="AR316" s="652"/>
      <c r="AS316" s="652"/>
      <c r="AT316" s="652"/>
      <c r="AU316" s="652"/>
      <c r="AV316" s="652"/>
      <c r="AW316" s="652"/>
      <c r="AX316" s="652">
        <f>I316/8</f>
        <v>13</v>
      </c>
      <c r="AY316" s="652"/>
      <c r="AZ316" s="652"/>
      <c r="BA316" s="652"/>
      <c r="BB316" s="652"/>
      <c r="BC316" s="652"/>
      <c r="BD316" s="652"/>
      <c r="BE316" s="652"/>
      <c r="BF316" s="652"/>
      <c r="BG316" s="652"/>
      <c r="BH316" s="652"/>
      <c r="BI316" s="652"/>
      <c r="BJ316" s="724"/>
      <c r="BK316" s="724"/>
      <c r="BL316" s="724"/>
      <c r="BM316" s="724"/>
      <c r="BN316" s="724"/>
      <c r="BO316" s="724"/>
      <c r="BP316" s="724"/>
      <c r="BQ316" s="724"/>
      <c r="BR316" s="724"/>
      <c r="BS316" s="724"/>
      <c r="BT316" s="724"/>
      <c r="BU316" s="724"/>
      <c r="BV316" s="724"/>
      <c r="BW316" s="724"/>
      <c r="BX316" s="724"/>
      <c r="BY316" s="724"/>
      <c r="BZ316" s="724"/>
      <c r="CA316" s="724"/>
      <c r="CB316" s="724"/>
      <c r="CC316" s="724"/>
      <c r="CD316" s="724"/>
      <c r="CE316" s="724"/>
      <c r="CF316" s="724"/>
      <c r="CG316" s="724"/>
      <c r="CH316" s="724"/>
      <c r="CI316" s="724"/>
      <c r="CJ316" s="724"/>
      <c r="CK316" s="724"/>
      <c r="CL316" s="724"/>
      <c r="CM316" s="724"/>
      <c r="CN316" s="724"/>
      <c r="CO316" s="724"/>
      <c r="CP316" s="724"/>
      <c r="CQ316" s="724"/>
      <c r="CR316" s="724"/>
    </row>
    <row r="317" s="650" customFormat="1" ht="31" customHeight="1" spans="1:108">
      <c r="A317" s="713">
        <v>46131</v>
      </c>
      <c r="B317" s="714" t="s">
        <v>525</v>
      </c>
      <c r="C317" s="715" t="s">
        <v>508</v>
      </c>
      <c r="D317" s="652">
        <v>4500202800</v>
      </c>
      <c r="E317" s="715" t="s">
        <v>4934</v>
      </c>
      <c r="F317" s="652" t="s">
        <v>4935</v>
      </c>
      <c r="G317" s="716" t="s">
        <v>3980</v>
      </c>
      <c r="H317" s="715" t="s">
        <v>3978</v>
      </c>
      <c r="I317" s="717">
        <v>1416</v>
      </c>
      <c r="J317" s="715">
        <v>0</v>
      </c>
      <c r="K317" s="715">
        <v>8</v>
      </c>
      <c r="L317" s="715">
        <f t="shared" si="62"/>
        <v>177</v>
      </c>
      <c r="M317" s="719">
        <v>46209</v>
      </c>
      <c r="N317" s="738">
        <v>46216</v>
      </c>
      <c r="O317" s="714"/>
      <c r="P317" s="717" t="s">
        <v>106</v>
      </c>
      <c r="Q317" s="717"/>
      <c r="R317" s="723">
        <v>46183</v>
      </c>
      <c r="S317" s="720" t="s">
        <v>107</v>
      </c>
      <c r="T317" s="720" t="s">
        <v>4936</v>
      </c>
      <c r="U317" s="720"/>
      <c r="V317" s="720" t="s">
        <v>4764</v>
      </c>
      <c r="W317" s="720"/>
      <c r="X317" s="720" t="s">
        <v>4622</v>
      </c>
      <c r="Y317" s="719" t="s">
        <v>362</v>
      </c>
      <c r="Z317" s="730">
        <v>4.6573</v>
      </c>
      <c r="AA317" s="652">
        <f>Z317*I317</f>
        <v>6594.7368</v>
      </c>
      <c r="AB317" s="721"/>
      <c r="AC317" s="722" t="s">
        <v>3980</v>
      </c>
      <c r="AD317" s="715" t="s">
        <v>112</v>
      </c>
      <c r="AE317" s="715">
        <f t="shared" si="61"/>
        <v>1416</v>
      </c>
      <c r="AF317" s="715"/>
      <c r="AG317" s="715">
        <v>1416</v>
      </c>
      <c r="AH317" s="715">
        <f t="shared" si="58"/>
        <v>0</v>
      </c>
      <c r="AI317" s="717"/>
      <c r="AJ317" s="715" t="s">
        <v>3981</v>
      </c>
      <c r="AK317" s="652">
        <f t="shared" si="67"/>
        <v>1416</v>
      </c>
      <c r="AL317" s="652"/>
      <c r="AM317" s="652"/>
      <c r="AN317" s="652">
        <f t="shared" si="68"/>
        <v>1416</v>
      </c>
      <c r="AO317" s="652"/>
      <c r="AP317" s="652"/>
      <c r="AQ317" s="652"/>
      <c r="AR317" s="652"/>
      <c r="AS317" s="652"/>
      <c r="AT317" s="652"/>
      <c r="AU317" s="652"/>
      <c r="AV317" s="652"/>
      <c r="AW317" s="652"/>
      <c r="AX317" s="652">
        <f>I317/8</f>
        <v>177</v>
      </c>
      <c r="AY317" s="652"/>
      <c r="AZ317" s="652"/>
      <c r="BA317" s="652"/>
      <c r="BB317" s="652"/>
      <c r="BC317" s="652"/>
      <c r="BD317" s="652"/>
      <c r="BE317" s="652"/>
      <c r="BF317" s="652"/>
      <c r="BG317" s="652"/>
      <c r="BH317" s="652"/>
      <c r="BI317" s="652"/>
    </row>
    <row r="318" s="654" customFormat="1" ht="31" customHeight="1" spans="1:108">
      <c r="A318" s="713">
        <v>46131</v>
      </c>
      <c r="B318" s="714" t="s">
        <v>521</v>
      </c>
      <c r="C318" s="715" t="s">
        <v>101</v>
      </c>
      <c r="D318" s="652" t="s">
        <v>4937</v>
      </c>
      <c r="E318" s="715" t="s">
        <v>4938</v>
      </c>
      <c r="F318" s="652" t="s">
        <v>4939</v>
      </c>
      <c r="G318" s="716" t="s">
        <v>3980</v>
      </c>
      <c r="H318" s="715" t="s">
        <v>3978</v>
      </c>
      <c r="I318" s="717">
        <v>88</v>
      </c>
      <c r="J318" s="715">
        <v>0</v>
      </c>
      <c r="K318" s="715">
        <v>8</v>
      </c>
      <c r="L318" s="715">
        <f t="shared" si="62"/>
        <v>11</v>
      </c>
      <c r="M318" s="719">
        <v>46209</v>
      </c>
      <c r="N318" s="719">
        <v>46216</v>
      </c>
      <c r="O318" s="714"/>
      <c r="P318" s="717" t="s">
        <v>106</v>
      </c>
      <c r="Q318" s="717"/>
      <c r="R318" s="723">
        <v>46162</v>
      </c>
      <c r="S318" s="720" t="s">
        <v>107</v>
      </c>
      <c r="T318" s="720" t="s">
        <v>4936</v>
      </c>
      <c r="U318" s="720"/>
      <c r="V318" s="720" t="s">
        <v>4764</v>
      </c>
      <c r="W318" s="720"/>
      <c r="X318" s="720" t="s">
        <v>4940</v>
      </c>
      <c r="Y318" s="719" t="s">
        <v>362</v>
      </c>
      <c r="Z318" s="730">
        <v>4.6676</v>
      </c>
      <c r="AA318" s="652">
        <f>Z318*I318</f>
        <v>410.7488</v>
      </c>
      <c r="AB318" s="721"/>
      <c r="AC318" s="722" t="s">
        <v>3980</v>
      </c>
      <c r="AD318" s="715" t="s">
        <v>112</v>
      </c>
      <c r="AE318" s="715">
        <f t="shared" si="61"/>
        <v>88</v>
      </c>
      <c r="AF318" s="715"/>
      <c r="AG318" s="715">
        <v>88</v>
      </c>
      <c r="AH318" s="715">
        <f t="shared" si="58"/>
        <v>0</v>
      </c>
      <c r="AI318" s="717"/>
      <c r="AJ318" s="715" t="s">
        <v>3981</v>
      </c>
      <c r="AK318" s="652">
        <f t="shared" si="67"/>
        <v>88</v>
      </c>
      <c r="AL318" s="652"/>
      <c r="AM318" s="652"/>
      <c r="AN318" s="652">
        <f t="shared" si="68"/>
        <v>88</v>
      </c>
      <c r="AO318" s="652"/>
      <c r="AP318" s="652"/>
      <c r="AQ318" s="652"/>
      <c r="AR318" s="652"/>
      <c r="AS318" s="652"/>
      <c r="AT318" s="652"/>
      <c r="AU318" s="652"/>
      <c r="AV318" s="652"/>
      <c r="AW318" s="652"/>
      <c r="AX318" s="652">
        <f>I318/8</f>
        <v>11</v>
      </c>
      <c r="AY318" s="652"/>
      <c r="AZ318" s="652"/>
      <c r="BA318" s="652"/>
      <c r="BB318" s="652"/>
      <c r="BC318" s="652"/>
      <c r="BD318" s="652"/>
      <c r="BE318" s="652"/>
      <c r="BF318" s="652"/>
      <c r="BG318" s="652"/>
      <c r="BH318" s="652"/>
      <c r="BI318" s="652"/>
      <c r="BJ318" s="650"/>
      <c r="BK318" s="650"/>
      <c r="BL318" s="650"/>
      <c r="BM318" s="650"/>
      <c r="BN318" s="650"/>
      <c r="BO318" s="650"/>
      <c r="BP318" s="650"/>
      <c r="BQ318" s="650"/>
      <c r="BR318" s="650"/>
      <c r="BS318" s="650"/>
      <c r="BT318" s="650"/>
      <c r="BU318" s="650"/>
      <c r="BV318" s="650"/>
      <c r="BW318" s="650"/>
      <c r="BX318" s="650"/>
      <c r="BY318" s="650"/>
      <c r="BZ318" s="650"/>
      <c r="CA318" s="650"/>
      <c r="CB318" s="650"/>
      <c r="CC318" s="650"/>
      <c r="CD318" s="650"/>
      <c r="CE318" s="650"/>
      <c r="CF318" s="650"/>
      <c r="CG318" s="650"/>
      <c r="CH318" s="650"/>
      <c r="CI318" s="650"/>
      <c r="CJ318" s="650"/>
      <c r="CK318" s="650"/>
      <c r="CL318" s="650"/>
      <c r="CM318" s="650"/>
      <c r="CN318" s="650"/>
      <c r="CO318" s="650"/>
      <c r="CP318" s="650"/>
      <c r="CQ318" s="650"/>
      <c r="CR318" s="650"/>
      <c r="CS318" s="650"/>
      <c r="CT318" s="650"/>
      <c r="CU318" s="650"/>
      <c r="CV318" s="650"/>
      <c r="CW318" s="650"/>
      <c r="CX318" s="650"/>
      <c r="CY318" s="650"/>
      <c r="CZ318" s="650"/>
      <c r="DA318" s="650"/>
      <c r="DB318" s="650"/>
      <c r="DC318" s="650"/>
      <c r="DD318" s="650"/>
    </row>
    <row r="319" s="651" customFormat="1" ht="31" customHeight="1" spans="1:108">
      <c r="A319" s="713">
        <v>46160</v>
      </c>
      <c r="B319" s="714" t="s">
        <v>346</v>
      </c>
      <c r="C319" s="715" t="s">
        <v>115</v>
      </c>
      <c r="D319" s="652" t="s">
        <v>4941</v>
      </c>
      <c r="E319" s="715" t="s">
        <v>4942</v>
      </c>
      <c r="F319" s="652" t="s">
        <v>4943</v>
      </c>
      <c r="G319" s="716" t="s">
        <v>4414</v>
      </c>
      <c r="H319" s="715" t="s">
        <v>3978</v>
      </c>
      <c r="I319" s="717">
        <v>11776</v>
      </c>
      <c r="J319" s="715">
        <v>0</v>
      </c>
      <c r="K319" s="715">
        <v>512</v>
      </c>
      <c r="L319" s="715">
        <f t="shared" si="62"/>
        <v>23</v>
      </c>
      <c r="M319" s="719">
        <v>46210</v>
      </c>
      <c r="N319" s="719">
        <v>46206</v>
      </c>
      <c r="O319" s="714" t="s">
        <v>4847</v>
      </c>
      <c r="P319" s="717" t="s">
        <v>106</v>
      </c>
      <c r="Q319" s="717"/>
      <c r="R319" s="723" t="s">
        <v>4201</v>
      </c>
      <c r="S319" s="720" t="s">
        <v>95</v>
      </c>
      <c r="T319" s="720" t="s">
        <v>4944</v>
      </c>
      <c r="U319" s="720"/>
      <c r="V319" s="720" t="s">
        <v>4706</v>
      </c>
      <c r="W319" s="720"/>
      <c r="X319" s="720" t="s">
        <v>4849</v>
      </c>
      <c r="Y319" s="719" t="s">
        <v>354</v>
      </c>
      <c r="Z319" s="730">
        <v>1428.34</v>
      </c>
      <c r="AA319" s="652">
        <f t="shared" ref="AA319:AA327" si="69">I319*Z319</f>
        <v>16820131.84</v>
      </c>
      <c r="AB319" s="725" t="s">
        <v>4945</v>
      </c>
      <c r="AC319" s="652" t="s">
        <v>4194</v>
      </c>
      <c r="AD319" s="715" t="s">
        <v>112</v>
      </c>
      <c r="AE319" s="715">
        <f t="shared" si="61"/>
        <v>11776</v>
      </c>
      <c r="AF319" s="715" t="s">
        <v>4109</v>
      </c>
      <c r="AG319" s="715">
        <v>11776</v>
      </c>
      <c r="AH319" s="715">
        <f t="shared" si="58"/>
        <v>0</v>
      </c>
      <c r="AI319" s="717"/>
      <c r="AJ319" s="715" t="s">
        <v>3981</v>
      </c>
      <c r="AK319" s="652">
        <f t="shared" si="67"/>
        <v>11776</v>
      </c>
      <c r="AL319" s="652"/>
      <c r="AM319" s="652"/>
      <c r="AN319" s="652">
        <f t="shared" si="68"/>
        <v>11776</v>
      </c>
      <c r="AO319" s="652"/>
      <c r="AP319" s="652"/>
      <c r="AQ319" s="652"/>
      <c r="AR319" s="652"/>
      <c r="AS319" s="652"/>
      <c r="AT319" s="652">
        <f>I319/8</f>
        <v>1472</v>
      </c>
      <c r="AU319" s="652"/>
      <c r="AV319" s="652"/>
      <c r="AW319" s="652"/>
      <c r="AX319" s="652"/>
      <c r="AY319" s="652"/>
      <c r="AZ319" s="652"/>
      <c r="BA319" s="652"/>
      <c r="BB319" s="652"/>
      <c r="BC319" s="652"/>
      <c r="BD319" s="652"/>
      <c r="BE319" s="652"/>
      <c r="BF319" s="652"/>
      <c r="BG319" s="652"/>
      <c r="BH319" s="652"/>
      <c r="BI319" s="652"/>
      <c r="BJ319" s="651"/>
      <c r="BK319" s="651"/>
      <c r="BL319" s="651"/>
      <c r="BM319" s="651"/>
      <c r="BN319" s="651"/>
      <c r="BO319" s="651"/>
      <c r="BP319" s="651"/>
      <c r="BQ319" s="651"/>
      <c r="BR319" s="651"/>
      <c r="BS319" s="651"/>
      <c r="BT319" s="651"/>
      <c r="BU319" s="651"/>
      <c r="BV319" s="651"/>
      <c r="BW319" s="651"/>
      <c r="BX319" s="651"/>
      <c r="BY319" s="651"/>
      <c r="BZ319" s="651"/>
      <c r="CA319" s="651"/>
      <c r="CB319" s="651"/>
      <c r="CC319" s="651"/>
      <c r="CD319" s="651"/>
      <c r="CE319" s="651"/>
      <c r="CF319" s="651"/>
      <c r="CG319" s="651"/>
      <c r="CH319" s="651"/>
      <c r="CI319" s="651"/>
      <c r="CJ319" s="651"/>
      <c r="CK319" s="651"/>
      <c r="CL319" s="651"/>
      <c r="CM319" s="651"/>
      <c r="CN319" s="651"/>
      <c r="CO319" s="651"/>
      <c r="CP319" s="651"/>
      <c r="CQ319" s="651"/>
      <c r="CR319" s="651"/>
      <c r="CS319" s="650"/>
      <c r="CT319" s="650"/>
      <c r="CU319" s="650"/>
      <c r="CV319" s="650"/>
      <c r="CW319" s="650"/>
      <c r="CX319" s="650"/>
      <c r="CY319" s="650"/>
      <c r="CZ319" s="650"/>
      <c r="DA319" s="650"/>
      <c r="DB319" s="650"/>
      <c r="DC319" s="650"/>
      <c r="DD319" s="650"/>
    </row>
    <row r="320" s="654" customFormat="1" ht="31" customHeight="1" spans="1:108">
      <c r="A320" s="713">
        <v>46160</v>
      </c>
      <c r="B320" s="714" t="s">
        <v>346</v>
      </c>
      <c r="C320" s="715" t="s">
        <v>115</v>
      </c>
      <c r="D320" s="652" t="s">
        <v>4941</v>
      </c>
      <c r="E320" s="715" t="s">
        <v>4946</v>
      </c>
      <c r="F320" s="652" t="s">
        <v>4947</v>
      </c>
      <c r="G320" s="716" t="s">
        <v>4414</v>
      </c>
      <c r="H320" s="715" t="s">
        <v>3978</v>
      </c>
      <c r="I320" s="717">
        <v>11264</v>
      </c>
      <c r="J320" s="715">
        <v>0</v>
      </c>
      <c r="K320" s="715">
        <v>512</v>
      </c>
      <c r="L320" s="715">
        <f t="shared" si="62"/>
        <v>22</v>
      </c>
      <c r="M320" s="719">
        <v>46210</v>
      </c>
      <c r="N320" s="719">
        <v>46206</v>
      </c>
      <c r="O320" s="714" t="s">
        <v>4847</v>
      </c>
      <c r="P320" s="717" t="s">
        <v>106</v>
      </c>
      <c r="Q320" s="717"/>
      <c r="R320" s="723" t="s">
        <v>4201</v>
      </c>
      <c r="S320" s="720" t="s">
        <v>95</v>
      </c>
      <c r="T320" s="720" t="s">
        <v>4944</v>
      </c>
      <c r="U320" s="720"/>
      <c r="V320" s="720" t="s">
        <v>4706</v>
      </c>
      <c r="W320" s="720"/>
      <c r="X320" s="720" t="s">
        <v>4849</v>
      </c>
      <c r="Y320" s="719" t="s">
        <v>354</v>
      </c>
      <c r="Z320" s="730">
        <v>1428.34</v>
      </c>
      <c r="AA320" s="652">
        <f t="shared" si="69"/>
        <v>16088821.76</v>
      </c>
      <c r="AB320" s="729" t="s">
        <v>4948</v>
      </c>
      <c r="AC320" s="652" t="s">
        <v>4194</v>
      </c>
      <c r="AD320" s="715" t="s">
        <v>112</v>
      </c>
      <c r="AE320" s="715">
        <f t="shared" si="61"/>
        <v>11264</v>
      </c>
      <c r="AF320" s="715"/>
      <c r="AG320" s="715">
        <f>4544+6720</f>
        <v>11264</v>
      </c>
      <c r="AH320" s="715">
        <f t="shared" si="58"/>
        <v>0</v>
      </c>
      <c r="AI320" s="717"/>
      <c r="AJ320" s="715" t="s">
        <v>3981</v>
      </c>
      <c r="AK320" s="652">
        <f t="shared" si="67"/>
        <v>11264</v>
      </c>
      <c r="AL320" s="652"/>
      <c r="AM320" s="652"/>
      <c r="AN320" s="652">
        <f t="shared" si="68"/>
        <v>11264</v>
      </c>
      <c r="AO320" s="652"/>
      <c r="AP320" s="652"/>
      <c r="AQ320" s="652"/>
      <c r="AR320" s="652"/>
      <c r="AS320" s="652"/>
      <c r="AT320" s="652">
        <f>I320/8</f>
        <v>1408</v>
      </c>
      <c r="AU320" s="652"/>
      <c r="AV320" s="652"/>
      <c r="AW320" s="652"/>
      <c r="AX320" s="652"/>
      <c r="AY320" s="652"/>
      <c r="AZ320" s="652"/>
      <c r="BA320" s="652"/>
      <c r="BB320" s="652"/>
      <c r="BC320" s="652"/>
      <c r="BD320" s="652"/>
      <c r="BE320" s="652"/>
      <c r="BF320" s="652"/>
      <c r="BG320" s="652"/>
      <c r="BH320" s="652"/>
      <c r="BI320" s="652"/>
      <c r="BJ320" s="651"/>
      <c r="BK320" s="651"/>
      <c r="BL320" s="651"/>
      <c r="BM320" s="651"/>
      <c r="BN320" s="651"/>
      <c r="BO320" s="651"/>
      <c r="BP320" s="651"/>
      <c r="BQ320" s="651"/>
      <c r="BR320" s="651"/>
      <c r="BS320" s="651"/>
      <c r="BT320" s="651"/>
      <c r="BU320" s="651"/>
      <c r="BV320" s="651"/>
      <c r="BW320" s="651"/>
      <c r="BX320" s="651"/>
      <c r="BY320" s="651"/>
      <c r="BZ320" s="651"/>
      <c r="CA320" s="651"/>
      <c r="CB320" s="651"/>
      <c r="CC320" s="651"/>
      <c r="CD320" s="651"/>
      <c r="CE320" s="651"/>
      <c r="CF320" s="651"/>
      <c r="CG320" s="651"/>
      <c r="CH320" s="651"/>
      <c r="CI320" s="651"/>
      <c r="CJ320" s="651"/>
      <c r="CK320" s="651"/>
      <c r="CL320" s="651"/>
      <c r="CM320" s="651"/>
      <c r="CN320" s="651"/>
      <c r="CO320" s="651"/>
      <c r="CP320" s="651"/>
      <c r="CQ320" s="651"/>
      <c r="CR320" s="651"/>
      <c r="CS320" s="650"/>
      <c r="CT320" s="650"/>
      <c r="CU320" s="650"/>
      <c r="CV320" s="650"/>
      <c r="CW320" s="650"/>
      <c r="CX320" s="650"/>
      <c r="CY320" s="650"/>
      <c r="CZ320" s="650"/>
      <c r="DA320" s="650"/>
      <c r="DB320" s="650"/>
      <c r="DC320" s="650"/>
      <c r="DD320" s="650"/>
    </row>
    <row r="321" s="650" customFormat="1" ht="31" customHeight="1" spans="1:108">
      <c r="A321" s="713">
        <v>46160</v>
      </c>
      <c r="B321" s="714" t="s">
        <v>346</v>
      </c>
      <c r="C321" s="715" t="s">
        <v>115</v>
      </c>
      <c r="D321" s="652" t="s">
        <v>4941</v>
      </c>
      <c r="E321" s="715" t="s">
        <v>4942</v>
      </c>
      <c r="F321" s="652" t="s">
        <v>4949</v>
      </c>
      <c r="G321" s="716" t="s">
        <v>4414</v>
      </c>
      <c r="H321" s="715" t="s">
        <v>3978</v>
      </c>
      <c r="I321" s="717">
        <v>5632</v>
      </c>
      <c r="J321" s="715">
        <v>0</v>
      </c>
      <c r="K321" s="715">
        <v>512</v>
      </c>
      <c r="L321" s="715">
        <f t="shared" si="62"/>
        <v>11</v>
      </c>
      <c r="M321" s="719">
        <v>46210</v>
      </c>
      <c r="N321" s="719">
        <v>46206</v>
      </c>
      <c r="O321" s="714" t="s">
        <v>4950</v>
      </c>
      <c r="P321" s="717" t="s">
        <v>4951</v>
      </c>
      <c r="Q321" s="717"/>
      <c r="R321" s="723" t="s">
        <v>4201</v>
      </c>
      <c r="S321" s="720" t="s">
        <v>95</v>
      </c>
      <c r="T321" s="720" t="s">
        <v>4944</v>
      </c>
      <c r="U321" s="720"/>
      <c r="V321" s="720" t="s">
        <v>4706</v>
      </c>
      <c r="W321" s="720"/>
      <c r="X321" s="720" t="s">
        <v>4849</v>
      </c>
      <c r="Y321" s="719" t="s">
        <v>354</v>
      </c>
      <c r="Z321" s="730">
        <v>1431.5655</v>
      </c>
      <c r="AA321" s="652">
        <f t="shared" si="69"/>
        <v>8062576.896</v>
      </c>
      <c r="AB321" s="729" t="s">
        <v>4952</v>
      </c>
      <c r="AC321" s="652" t="s">
        <v>4194</v>
      </c>
      <c r="AD321" s="715" t="s">
        <v>112</v>
      </c>
      <c r="AE321" s="715">
        <f t="shared" si="61"/>
        <v>5632</v>
      </c>
      <c r="AF321" s="715"/>
      <c r="AG321" s="715">
        <v>5632</v>
      </c>
      <c r="AH321" s="715">
        <f t="shared" si="58"/>
        <v>0</v>
      </c>
      <c r="AI321" s="717"/>
      <c r="AJ321" s="715" t="s">
        <v>3981</v>
      </c>
      <c r="AK321" s="652">
        <f t="shared" si="67"/>
        <v>5632</v>
      </c>
      <c r="AL321" s="652"/>
      <c r="AM321" s="652"/>
      <c r="AN321" s="652">
        <f t="shared" si="68"/>
        <v>5632</v>
      </c>
      <c r="AO321" s="652"/>
      <c r="AP321" s="652"/>
      <c r="AQ321" s="652"/>
      <c r="AR321" s="652"/>
      <c r="AS321" s="652"/>
      <c r="AT321" s="652">
        <f>I321/8</f>
        <v>704</v>
      </c>
      <c r="AU321" s="652"/>
      <c r="AV321" s="652"/>
      <c r="AW321" s="652"/>
      <c r="AX321" s="652"/>
      <c r="AY321" s="652"/>
      <c r="AZ321" s="652"/>
      <c r="BA321" s="652"/>
      <c r="BB321" s="652"/>
      <c r="BC321" s="652"/>
      <c r="BD321" s="652"/>
      <c r="BE321" s="652"/>
      <c r="BF321" s="652"/>
      <c r="BG321" s="652"/>
      <c r="BH321" s="652"/>
      <c r="BI321" s="652"/>
      <c r="BJ321" s="651"/>
      <c r="BK321" s="651"/>
      <c r="BL321" s="651"/>
      <c r="BM321" s="651"/>
      <c r="BN321" s="651"/>
      <c r="BO321" s="651"/>
      <c r="BP321" s="651"/>
      <c r="BQ321" s="651"/>
      <c r="BR321" s="651"/>
      <c r="BS321" s="651"/>
      <c r="BT321" s="651"/>
      <c r="BU321" s="651"/>
      <c r="BV321" s="651"/>
      <c r="BW321" s="651"/>
      <c r="BX321" s="651"/>
      <c r="BY321" s="651"/>
      <c r="BZ321" s="651"/>
      <c r="CA321" s="651"/>
      <c r="CB321" s="651"/>
      <c r="CC321" s="651"/>
      <c r="CD321" s="651"/>
      <c r="CE321" s="651"/>
      <c r="CF321" s="651"/>
      <c r="CG321" s="651"/>
      <c r="CH321" s="651"/>
      <c r="CI321" s="651"/>
      <c r="CJ321" s="651"/>
      <c r="CK321" s="651"/>
      <c r="CL321" s="651"/>
      <c r="CM321" s="651"/>
      <c r="CN321" s="651"/>
      <c r="CO321" s="651"/>
      <c r="CP321" s="651"/>
      <c r="CQ321" s="651"/>
      <c r="CR321" s="651"/>
    </row>
    <row r="322" s="650" customFormat="1" ht="31" customHeight="1" spans="1:108">
      <c r="A322" s="713">
        <v>46149</v>
      </c>
      <c r="B322" s="714" t="s">
        <v>743</v>
      </c>
      <c r="C322" s="715" t="s">
        <v>164</v>
      </c>
      <c r="D322" s="652" t="s">
        <v>4953</v>
      </c>
      <c r="E322" s="715" t="s">
        <v>4954</v>
      </c>
      <c r="F322" s="652" t="s">
        <v>4955</v>
      </c>
      <c r="G322" s="716" t="s">
        <v>3968</v>
      </c>
      <c r="H322" s="715" t="s">
        <v>3969</v>
      </c>
      <c r="I322" s="717">
        <v>1408</v>
      </c>
      <c r="J322" s="715">
        <v>0</v>
      </c>
      <c r="K322" s="715">
        <v>16</v>
      </c>
      <c r="L322" s="715">
        <f t="shared" si="62"/>
        <v>88</v>
      </c>
      <c r="M322" s="719">
        <v>46210</v>
      </c>
      <c r="N322" s="719">
        <v>46206</v>
      </c>
      <c r="O322" s="714"/>
      <c r="P322" s="717" t="s">
        <v>106</v>
      </c>
      <c r="Q322" s="717"/>
      <c r="R322" s="734" t="s">
        <v>4956</v>
      </c>
      <c r="S322" s="735" t="s">
        <v>107</v>
      </c>
      <c r="T322" s="735" t="s">
        <v>4957</v>
      </c>
      <c r="U322" s="735"/>
      <c r="V322" s="720"/>
      <c r="W322" s="720"/>
      <c r="X322" s="720" t="s">
        <v>4958</v>
      </c>
      <c r="Y322" s="719" t="s">
        <v>545</v>
      </c>
      <c r="Z322" s="730">
        <v>4.4696</v>
      </c>
      <c r="AA322" s="652">
        <f t="shared" si="69"/>
        <v>6293.1968</v>
      </c>
      <c r="AB322" s="721"/>
      <c r="AC322" s="652" t="s">
        <v>4426</v>
      </c>
      <c r="AD322" s="715" t="s">
        <v>112</v>
      </c>
      <c r="AE322" s="715">
        <f t="shared" si="61"/>
        <v>1408</v>
      </c>
      <c r="AF322" s="715"/>
      <c r="AG322" s="715">
        <v>1408</v>
      </c>
      <c r="AH322" s="715">
        <f t="shared" si="58"/>
        <v>0</v>
      </c>
      <c r="AI322" s="717"/>
      <c r="AJ322" s="715" t="s">
        <v>3981</v>
      </c>
      <c r="AK322" s="652"/>
      <c r="AL322" s="652">
        <f>I322</f>
        <v>1408</v>
      </c>
      <c r="AM322" s="652"/>
      <c r="AN322" s="652">
        <f t="shared" si="68"/>
        <v>1408</v>
      </c>
      <c r="AO322" s="652"/>
      <c r="AP322" s="652"/>
      <c r="AQ322" s="652"/>
      <c r="AR322" s="652"/>
      <c r="AS322" s="652"/>
      <c r="AT322" s="652"/>
      <c r="AU322" s="652"/>
      <c r="AV322" s="652"/>
      <c r="AW322" s="652"/>
      <c r="AX322" s="652"/>
      <c r="AY322" s="652"/>
      <c r="AZ322" s="652"/>
      <c r="BA322" s="652"/>
      <c r="BB322" s="652"/>
      <c r="BC322" s="652"/>
      <c r="BD322" s="652"/>
      <c r="BE322" s="652"/>
      <c r="BF322" s="652"/>
      <c r="BG322" s="652"/>
      <c r="BH322" s="652"/>
      <c r="BI322" s="652"/>
    </row>
    <row r="323" s="650" customFormat="1" ht="31" customHeight="1" spans="1:108">
      <c r="A323" s="713">
        <v>46149</v>
      </c>
      <c r="B323" s="714" t="s">
        <v>743</v>
      </c>
      <c r="C323" s="715" t="s">
        <v>1439</v>
      </c>
      <c r="D323" s="652" t="s">
        <v>4953</v>
      </c>
      <c r="E323" s="715" t="s">
        <v>4959</v>
      </c>
      <c r="F323" s="652" t="s">
        <v>4960</v>
      </c>
      <c r="G323" s="716" t="s">
        <v>3968</v>
      </c>
      <c r="H323" s="715" t="s">
        <v>3969</v>
      </c>
      <c r="I323" s="717">
        <v>1184</v>
      </c>
      <c r="J323" s="715">
        <v>0</v>
      </c>
      <c r="K323" s="715">
        <v>16</v>
      </c>
      <c r="L323" s="715">
        <f t="shared" si="62"/>
        <v>74</v>
      </c>
      <c r="M323" s="719">
        <v>46210</v>
      </c>
      <c r="N323" s="719">
        <v>46206</v>
      </c>
      <c r="O323" s="714"/>
      <c r="P323" s="717" t="s">
        <v>106</v>
      </c>
      <c r="Q323" s="717" t="s">
        <v>4961</v>
      </c>
      <c r="R323" s="723" t="s">
        <v>4956</v>
      </c>
      <c r="S323" s="720" t="s">
        <v>107</v>
      </c>
      <c r="T323" s="720" t="s">
        <v>4957</v>
      </c>
      <c r="U323" s="720"/>
      <c r="V323" s="720"/>
      <c r="W323" s="720"/>
      <c r="X323" s="720" t="s">
        <v>4958</v>
      </c>
      <c r="Y323" s="719" t="s">
        <v>545</v>
      </c>
      <c r="Z323" s="730">
        <v>4.4696</v>
      </c>
      <c r="AA323" s="652">
        <f t="shared" si="69"/>
        <v>5292.0064</v>
      </c>
      <c r="AB323" s="721"/>
      <c r="AC323" s="652" t="s">
        <v>4426</v>
      </c>
      <c r="AD323" s="715" t="s">
        <v>112</v>
      </c>
      <c r="AE323" s="715">
        <f t="shared" si="61"/>
        <v>1184</v>
      </c>
      <c r="AF323" s="715"/>
      <c r="AG323" s="715">
        <v>1184</v>
      </c>
      <c r="AH323" s="715">
        <f t="shared" si="58"/>
        <v>0</v>
      </c>
      <c r="AI323" s="717"/>
      <c r="AJ323" s="715" t="s">
        <v>3981</v>
      </c>
      <c r="AK323" s="652"/>
      <c r="AL323" s="652">
        <f>I323</f>
        <v>1184</v>
      </c>
      <c r="AM323" s="652"/>
      <c r="AN323" s="652">
        <f t="shared" si="68"/>
        <v>1184</v>
      </c>
      <c r="AO323" s="652"/>
      <c r="AP323" s="652"/>
      <c r="AQ323" s="652"/>
      <c r="AR323" s="652"/>
      <c r="AS323" s="652"/>
      <c r="AT323" s="652"/>
      <c r="AU323" s="652"/>
      <c r="AV323" s="652"/>
      <c r="AW323" s="652"/>
      <c r="AX323" s="652"/>
      <c r="AY323" s="652"/>
      <c r="AZ323" s="652"/>
      <c r="BA323" s="652"/>
      <c r="BB323" s="652"/>
      <c r="BC323" s="652"/>
      <c r="BD323" s="652"/>
      <c r="BE323" s="652"/>
      <c r="BF323" s="652"/>
      <c r="BG323" s="652"/>
      <c r="BH323" s="652"/>
      <c r="BI323" s="652"/>
    </row>
    <row r="324" s="651" customFormat="1" ht="31" customHeight="1" spans="1:108">
      <c r="A324" s="713">
        <v>46149</v>
      </c>
      <c r="B324" s="714" t="s">
        <v>743</v>
      </c>
      <c r="C324" s="715" t="s">
        <v>135</v>
      </c>
      <c r="D324" s="652" t="s">
        <v>4953</v>
      </c>
      <c r="E324" s="715" t="s">
        <v>4962</v>
      </c>
      <c r="F324" s="652" t="s">
        <v>4963</v>
      </c>
      <c r="G324" s="716" t="s">
        <v>3968</v>
      </c>
      <c r="H324" s="715" t="s">
        <v>3969</v>
      </c>
      <c r="I324" s="717">
        <v>4064</v>
      </c>
      <c r="J324" s="715">
        <v>0</v>
      </c>
      <c r="K324" s="715">
        <v>16</v>
      </c>
      <c r="L324" s="715">
        <f t="shared" si="62"/>
        <v>254</v>
      </c>
      <c r="M324" s="719">
        <v>46210</v>
      </c>
      <c r="N324" s="719">
        <v>46206</v>
      </c>
      <c r="O324" s="714"/>
      <c r="P324" s="717" t="s">
        <v>106</v>
      </c>
      <c r="Q324" s="717"/>
      <c r="R324" s="723" t="s">
        <v>4956</v>
      </c>
      <c r="S324" s="720" t="s">
        <v>107</v>
      </c>
      <c r="T324" s="720" t="s">
        <v>4957</v>
      </c>
      <c r="U324" s="720"/>
      <c r="V324" s="720"/>
      <c r="W324" s="720"/>
      <c r="X324" s="720" t="s">
        <v>4958</v>
      </c>
      <c r="Y324" s="719" t="s">
        <v>545</v>
      </c>
      <c r="Z324" s="730">
        <v>4.4696</v>
      </c>
      <c r="AA324" s="652">
        <f t="shared" si="69"/>
        <v>18164.4544</v>
      </c>
      <c r="AB324" s="721"/>
      <c r="AC324" s="652" t="s">
        <v>4426</v>
      </c>
      <c r="AD324" s="715" t="s">
        <v>112</v>
      </c>
      <c r="AE324" s="715">
        <f t="shared" si="61"/>
        <v>4064</v>
      </c>
      <c r="AF324" s="715"/>
      <c r="AG324" s="715">
        <v>4064</v>
      </c>
      <c r="AH324" s="715">
        <f t="shared" si="58"/>
        <v>0</v>
      </c>
      <c r="AI324" s="717"/>
      <c r="AJ324" s="715" t="s">
        <v>3981</v>
      </c>
      <c r="AK324" s="652"/>
      <c r="AL324" s="652">
        <f>I324</f>
        <v>4064</v>
      </c>
      <c r="AM324" s="652"/>
      <c r="AN324" s="652">
        <f t="shared" si="68"/>
        <v>4064</v>
      </c>
      <c r="AO324" s="652"/>
      <c r="AP324" s="652"/>
      <c r="AQ324" s="652"/>
      <c r="AR324" s="652"/>
      <c r="AS324" s="652"/>
      <c r="AT324" s="652"/>
      <c r="AU324" s="652"/>
      <c r="AV324" s="652"/>
      <c r="AW324" s="652"/>
      <c r="AX324" s="652"/>
      <c r="AY324" s="652"/>
      <c r="AZ324" s="652"/>
      <c r="BA324" s="652"/>
      <c r="BB324" s="652"/>
      <c r="BC324" s="652"/>
      <c r="BD324" s="652"/>
      <c r="BE324" s="652"/>
      <c r="BF324" s="652"/>
      <c r="BG324" s="652"/>
      <c r="BH324" s="652"/>
      <c r="BI324" s="652"/>
      <c r="BJ324" s="650"/>
      <c r="BK324" s="650"/>
      <c r="BL324" s="650"/>
      <c r="BM324" s="650"/>
      <c r="BN324" s="650"/>
      <c r="BO324" s="650"/>
      <c r="BP324" s="650"/>
      <c r="BQ324" s="650"/>
      <c r="BR324" s="650"/>
      <c r="BS324" s="650"/>
      <c r="BT324" s="650"/>
      <c r="BU324" s="650"/>
      <c r="BV324" s="650"/>
      <c r="BW324" s="650"/>
      <c r="BX324" s="650"/>
      <c r="BY324" s="650"/>
      <c r="BZ324" s="650"/>
      <c r="CA324" s="650"/>
      <c r="CB324" s="650"/>
      <c r="CC324" s="650"/>
      <c r="CD324" s="650"/>
      <c r="CE324" s="650"/>
      <c r="CF324" s="650"/>
      <c r="CG324" s="650"/>
      <c r="CH324" s="650"/>
      <c r="CI324" s="650"/>
      <c r="CJ324" s="650"/>
      <c r="CK324" s="650"/>
      <c r="CL324" s="650"/>
      <c r="CM324" s="650"/>
      <c r="CN324" s="650"/>
      <c r="CO324" s="650"/>
      <c r="CP324" s="650"/>
      <c r="CQ324" s="650"/>
      <c r="CR324" s="650"/>
      <c r="CS324" s="650"/>
      <c r="CT324" s="650"/>
      <c r="CU324" s="650"/>
      <c r="CV324" s="650"/>
      <c r="CW324" s="650"/>
      <c r="CX324" s="650"/>
      <c r="CY324" s="650"/>
      <c r="CZ324" s="650"/>
      <c r="DA324" s="650"/>
      <c r="DB324" s="650"/>
      <c r="DC324" s="650"/>
      <c r="DD324" s="650"/>
    </row>
    <row r="325" s="650" customFormat="1" ht="31" customHeight="1" spans="1:108">
      <c r="A325" s="713">
        <v>46127</v>
      </c>
      <c r="B325" s="714" t="s">
        <v>2087</v>
      </c>
      <c r="C325" s="715" t="s">
        <v>164</v>
      </c>
      <c r="D325" s="652">
        <v>4500202230</v>
      </c>
      <c r="E325" s="1907" t="s">
        <v>4964</v>
      </c>
      <c r="F325" s="652" t="s">
        <v>4965</v>
      </c>
      <c r="G325" s="716" t="s">
        <v>3968</v>
      </c>
      <c r="H325" s="715" t="s">
        <v>3969</v>
      </c>
      <c r="I325" s="717">
        <v>512</v>
      </c>
      <c r="J325" s="715">
        <v>0</v>
      </c>
      <c r="K325" s="715">
        <v>16</v>
      </c>
      <c r="L325" s="715">
        <f t="shared" si="62"/>
        <v>32</v>
      </c>
      <c r="M325" s="719">
        <v>46210</v>
      </c>
      <c r="N325" s="719">
        <v>46206</v>
      </c>
      <c r="O325" s="714"/>
      <c r="P325" s="717" t="s">
        <v>106</v>
      </c>
      <c r="Q325" s="717"/>
      <c r="R325" s="723">
        <v>46172</v>
      </c>
      <c r="S325" s="720" t="s">
        <v>95</v>
      </c>
      <c r="T325" s="720" t="s">
        <v>4966</v>
      </c>
      <c r="U325" s="720"/>
      <c r="V325" s="720" t="s">
        <v>4967</v>
      </c>
      <c r="W325" s="720"/>
      <c r="X325" s="720" t="s">
        <v>4968</v>
      </c>
      <c r="Y325" s="719" t="s">
        <v>1985</v>
      </c>
      <c r="Z325" s="730">
        <v>4.4798</v>
      </c>
      <c r="AA325" s="652">
        <f t="shared" si="69"/>
        <v>2293.6576</v>
      </c>
      <c r="AB325" s="721"/>
      <c r="AC325" s="652" t="s">
        <v>4426</v>
      </c>
      <c r="AD325" s="715" t="s">
        <v>112</v>
      </c>
      <c r="AE325" s="715">
        <f t="shared" si="61"/>
        <v>512</v>
      </c>
      <c r="AF325" s="715"/>
      <c r="AG325" s="715">
        <v>512</v>
      </c>
      <c r="AH325" s="715">
        <f t="shared" si="58"/>
        <v>0</v>
      </c>
      <c r="AI325" s="717"/>
      <c r="AJ325" s="715" t="s">
        <v>3981</v>
      </c>
      <c r="AK325" s="652"/>
      <c r="AL325" s="652">
        <f>I325</f>
        <v>512</v>
      </c>
      <c r="AM325" s="652"/>
      <c r="AN325" s="652">
        <f t="shared" si="68"/>
        <v>512</v>
      </c>
      <c r="AO325" s="652"/>
      <c r="AP325" s="652"/>
      <c r="AQ325" s="652"/>
      <c r="AR325" s="652"/>
      <c r="AS325" s="652"/>
      <c r="AT325" s="652"/>
      <c r="AU325" s="652"/>
      <c r="AV325" s="652"/>
      <c r="AW325" s="652"/>
      <c r="AX325" s="652"/>
      <c r="AY325" s="652"/>
      <c r="AZ325" s="652"/>
      <c r="BA325" s="652"/>
      <c r="BB325" s="652"/>
      <c r="BC325" s="652"/>
      <c r="BD325" s="652"/>
      <c r="BE325" s="652"/>
      <c r="BF325" s="652"/>
      <c r="BG325" s="652"/>
      <c r="BH325" s="652"/>
      <c r="BI325" s="652"/>
      <c r="BJ325" s="650"/>
      <c r="BK325" s="650"/>
      <c r="BL325" s="650"/>
      <c r="BM325" s="650"/>
      <c r="BN325" s="650"/>
      <c r="BO325" s="650"/>
      <c r="BP325" s="650"/>
      <c r="BQ325" s="650"/>
      <c r="BR325" s="650"/>
      <c r="BS325" s="650"/>
      <c r="BT325" s="650"/>
      <c r="BU325" s="650"/>
      <c r="BV325" s="650"/>
      <c r="BW325" s="650"/>
      <c r="BX325" s="650"/>
      <c r="BY325" s="650"/>
      <c r="BZ325" s="650"/>
      <c r="CA325" s="650"/>
      <c r="CB325" s="650"/>
      <c r="CC325" s="650"/>
      <c r="CD325" s="650"/>
      <c r="CE325" s="650"/>
      <c r="CF325" s="650"/>
      <c r="CG325" s="650"/>
      <c r="CH325" s="650"/>
      <c r="CI325" s="650"/>
      <c r="CJ325" s="650"/>
      <c r="CK325" s="650"/>
      <c r="CL325" s="650"/>
      <c r="CM325" s="650"/>
      <c r="CN325" s="650"/>
      <c r="CO325" s="650"/>
      <c r="CP325" s="650"/>
      <c r="CQ325" s="650"/>
      <c r="CR325" s="650"/>
      <c r="CS325" s="651"/>
      <c r="CT325" s="651"/>
      <c r="CU325" s="651"/>
      <c r="CV325" s="651"/>
      <c r="CW325" s="651"/>
      <c r="CX325" s="651"/>
      <c r="CY325" s="651"/>
      <c r="CZ325" s="651"/>
      <c r="DA325" s="651"/>
      <c r="DB325" s="651"/>
      <c r="DC325" s="651"/>
      <c r="DD325" s="651"/>
    </row>
    <row r="326" s="650" customFormat="1" ht="31" customHeight="1" spans="1:108">
      <c r="A326" s="713">
        <v>46156</v>
      </c>
      <c r="B326" s="714" t="s">
        <v>2083</v>
      </c>
      <c r="C326" s="715" t="s">
        <v>891</v>
      </c>
      <c r="D326" s="652" t="s">
        <v>4969</v>
      </c>
      <c r="E326" s="715" t="s">
        <v>4970</v>
      </c>
      <c r="F326" s="652" t="s">
        <v>4971</v>
      </c>
      <c r="G326" s="716" t="s">
        <v>3980</v>
      </c>
      <c r="H326" s="715" t="s">
        <v>3978</v>
      </c>
      <c r="I326" s="717">
        <v>1000</v>
      </c>
      <c r="J326" s="715">
        <v>0</v>
      </c>
      <c r="K326" s="715">
        <v>8</v>
      </c>
      <c r="L326" s="715">
        <f t="shared" si="62"/>
        <v>125</v>
      </c>
      <c r="M326" s="719">
        <v>46210</v>
      </c>
      <c r="N326" s="719">
        <v>46206</v>
      </c>
      <c r="O326" s="714"/>
      <c r="P326" s="717" t="s">
        <v>106</v>
      </c>
      <c r="Q326" s="717"/>
      <c r="R326" s="723">
        <v>46167</v>
      </c>
      <c r="S326" s="720" t="s">
        <v>107</v>
      </c>
      <c r="T326" s="720" t="s">
        <v>4972</v>
      </c>
      <c r="U326" s="720"/>
      <c r="V326" s="720"/>
      <c r="W326" s="720"/>
      <c r="X326" s="720" t="s">
        <v>4973</v>
      </c>
      <c r="Y326" s="719" t="s">
        <v>775</v>
      </c>
      <c r="Z326" s="730">
        <v>4.5779</v>
      </c>
      <c r="AA326" s="652">
        <f t="shared" si="69"/>
        <v>4577.9</v>
      </c>
      <c r="AB326" s="721"/>
      <c r="AC326" s="722" t="s">
        <v>4031</v>
      </c>
      <c r="AD326" s="715" t="s">
        <v>112</v>
      </c>
      <c r="AE326" s="715">
        <f t="shared" si="61"/>
        <v>1000</v>
      </c>
      <c r="AF326" s="723">
        <v>46217</v>
      </c>
      <c r="AG326" s="715">
        <v>1000</v>
      </c>
      <c r="AH326" s="715">
        <f t="shared" si="58"/>
        <v>0</v>
      </c>
      <c r="AI326" s="717"/>
      <c r="AJ326" s="715" t="s">
        <v>3981</v>
      </c>
      <c r="AK326" s="652"/>
      <c r="AL326" s="652">
        <f>I326</f>
        <v>1000</v>
      </c>
      <c r="AM326" s="652"/>
      <c r="AN326" s="652">
        <f t="shared" si="68"/>
        <v>1000</v>
      </c>
      <c r="AO326" s="652"/>
      <c r="AP326" s="652"/>
      <c r="AQ326" s="652"/>
      <c r="AR326" s="652"/>
      <c r="AS326" s="652"/>
      <c r="AT326" s="652"/>
      <c r="AU326" s="652">
        <f>I326/8</f>
        <v>125</v>
      </c>
      <c r="AV326" s="652"/>
      <c r="AW326" s="652"/>
      <c r="AX326" s="652"/>
      <c r="AY326" s="652"/>
      <c r="AZ326" s="652"/>
      <c r="BA326" s="652"/>
      <c r="BB326" s="652"/>
      <c r="BC326" s="652"/>
      <c r="BD326" s="652"/>
      <c r="BE326" s="652"/>
      <c r="BF326" s="652"/>
      <c r="BG326" s="652"/>
      <c r="BH326" s="652"/>
      <c r="BI326" s="652"/>
      <c r="BJ326" s="650"/>
      <c r="BK326" s="650"/>
      <c r="BL326" s="650"/>
      <c r="BM326" s="650"/>
      <c r="BN326" s="650"/>
      <c r="BO326" s="650"/>
      <c r="BP326" s="650"/>
      <c r="BQ326" s="650"/>
      <c r="BR326" s="650"/>
      <c r="BS326" s="650"/>
      <c r="BT326" s="650"/>
      <c r="BU326" s="650"/>
      <c r="BV326" s="650"/>
      <c r="BW326" s="650"/>
      <c r="BX326" s="650"/>
      <c r="BY326" s="650"/>
      <c r="BZ326" s="650"/>
      <c r="CA326" s="650"/>
      <c r="CB326" s="650"/>
      <c r="CC326" s="650"/>
      <c r="CD326" s="650"/>
      <c r="CE326" s="650"/>
      <c r="CF326" s="650"/>
      <c r="CG326" s="650"/>
      <c r="CH326" s="650"/>
      <c r="CI326" s="650"/>
      <c r="CJ326" s="650"/>
      <c r="CK326" s="650"/>
      <c r="CL326" s="650"/>
      <c r="CM326" s="650"/>
      <c r="CN326" s="650"/>
      <c r="CO326" s="650"/>
      <c r="CP326" s="650"/>
      <c r="CQ326" s="650"/>
      <c r="CR326" s="650"/>
      <c r="CS326" s="651"/>
      <c r="CT326" s="651"/>
      <c r="CU326" s="651"/>
      <c r="CV326" s="651"/>
      <c r="CW326" s="651"/>
      <c r="CX326" s="651"/>
      <c r="CY326" s="651"/>
      <c r="CZ326" s="651"/>
      <c r="DA326" s="651"/>
      <c r="DB326" s="651"/>
      <c r="DC326" s="651"/>
      <c r="DD326" s="651"/>
    </row>
    <row r="327" s="650" customFormat="1" ht="31" customHeight="1" spans="1:108">
      <c r="A327" s="713">
        <v>46160</v>
      </c>
      <c r="B327" s="714" t="s">
        <v>346</v>
      </c>
      <c r="C327" s="715" t="s">
        <v>115</v>
      </c>
      <c r="D327" s="652" t="s">
        <v>4941</v>
      </c>
      <c r="E327" s="715" t="s">
        <v>4974</v>
      </c>
      <c r="F327" s="652" t="s">
        <v>4975</v>
      </c>
      <c r="G327" s="716" t="s">
        <v>4414</v>
      </c>
      <c r="H327" s="715" t="s">
        <v>3978</v>
      </c>
      <c r="I327" s="717">
        <v>8192</v>
      </c>
      <c r="J327" s="715">
        <v>0</v>
      </c>
      <c r="K327" s="715">
        <v>512</v>
      </c>
      <c r="L327" s="715">
        <f t="shared" si="62"/>
        <v>16</v>
      </c>
      <c r="M327" s="719">
        <v>46210</v>
      </c>
      <c r="N327" s="719">
        <v>46206</v>
      </c>
      <c r="O327" s="714" t="s">
        <v>4950</v>
      </c>
      <c r="P327" s="717" t="s">
        <v>106</v>
      </c>
      <c r="Q327" s="717" t="s">
        <v>4976</v>
      </c>
      <c r="R327" s="723" t="s">
        <v>4201</v>
      </c>
      <c r="S327" s="720" t="s">
        <v>95</v>
      </c>
      <c r="T327" s="720" t="s">
        <v>4944</v>
      </c>
      <c r="U327" s="720"/>
      <c r="V327" s="720" t="s">
        <v>4706</v>
      </c>
      <c r="W327" s="720"/>
      <c r="X327" s="720" t="s">
        <v>4849</v>
      </c>
      <c r="Y327" s="719" t="s">
        <v>354</v>
      </c>
      <c r="Z327" s="730">
        <v>1431.5656</v>
      </c>
      <c r="AA327" s="652">
        <f t="shared" si="69"/>
        <v>11727385.3952</v>
      </c>
      <c r="AB327" s="729" t="s">
        <v>4977</v>
      </c>
      <c r="AC327" s="652" t="s">
        <v>4194</v>
      </c>
      <c r="AD327" s="715" t="s">
        <v>112</v>
      </c>
      <c r="AE327" s="715">
        <f t="shared" si="61"/>
        <v>8192</v>
      </c>
      <c r="AF327" s="715"/>
      <c r="AG327" s="715">
        <v>8192</v>
      </c>
      <c r="AH327" s="715">
        <f t="shared" si="58"/>
        <v>0</v>
      </c>
      <c r="AI327" s="717"/>
      <c r="AJ327" s="715" t="s">
        <v>3981</v>
      </c>
      <c r="AK327" s="652">
        <f>I327</f>
        <v>8192</v>
      </c>
      <c r="AL327" s="652"/>
      <c r="AM327" s="652"/>
      <c r="AN327" s="652">
        <f t="shared" si="68"/>
        <v>8192</v>
      </c>
      <c r="AO327" s="652"/>
      <c r="AP327" s="652"/>
      <c r="AQ327" s="652"/>
      <c r="AR327" s="652"/>
      <c r="AS327" s="652"/>
      <c r="AT327" s="652">
        <f>I327/8</f>
        <v>1024</v>
      </c>
      <c r="AU327" s="652"/>
      <c r="AV327" s="652"/>
      <c r="AW327" s="652"/>
      <c r="AX327" s="652"/>
      <c r="AY327" s="652"/>
      <c r="AZ327" s="652"/>
      <c r="BA327" s="652"/>
      <c r="BB327" s="652"/>
      <c r="BC327" s="652"/>
      <c r="BD327" s="652"/>
      <c r="BE327" s="652"/>
      <c r="BF327" s="652"/>
      <c r="BG327" s="652"/>
      <c r="BH327" s="652"/>
      <c r="BI327" s="652"/>
      <c r="BJ327" s="651"/>
      <c r="BK327" s="651"/>
      <c r="BL327" s="651"/>
      <c r="BM327" s="651"/>
      <c r="BN327" s="651"/>
      <c r="BO327" s="651"/>
      <c r="BP327" s="651"/>
      <c r="BQ327" s="651"/>
      <c r="BR327" s="651"/>
      <c r="BS327" s="651"/>
      <c r="BT327" s="651"/>
      <c r="BU327" s="651"/>
      <c r="BV327" s="651"/>
      <c r="BW327" s="651"/>
      <c r="BX327" s="651"/>
      <c r="BY327" s="651"/>
      <c r="BZ327" s="651"/>
      <c r="CA327" s="651"/>
      <c r="CB327" s="651"/>
      <c r="CC327" s="651"/>
      <c r="CD327" s="651"/>
      <c r="CE327" s="651"/>
      <c r="CF327" s="651"/>
      <c r="CG327" s="651"/>
      <c r="CH327" s="651"/>
      <c r="CI327" s="651"/>
      <c r="CJ327" s="651"/>
      <c r="CK327" s="651"/>
      <c r="CL327" s="651"/>
      <c r="CM327" s="651"/>
      <c r="CN327" s="651"/>
      <c r="CO327" s="651"/>
      <c r="CP327" s="651"/>
      <c r="CQ327" s="651"/>
      <c r="CR327" s="651"/>
    </row>
    <row r="328" s="650" customFormat="1" ht="31" customHeight="1" spans="1:108">
      <c r="A328" s="713">
        <v>46136</v>
      </c>
      <c r="B328" s="714" t="s">
        <v>607</v>
      </c>
      <c r="C328" s="715" t="s">
        <v>608</v>
      </c>
      <c r="D328" s="652" t="s">
        <v>4978</v>
      </c>
      <c r="E328" s="715" t="s">
        <v>4979</v>
      </c>
      <c r="F328" s="652" t="s">
        <v>4980</v>
      </c>
      <c r="G328" s="716" t="s">
        <v>4028</v>
      </c>
      <c r="H328" s="746" t="s">
        <v>3978</v>
      </c>
      <c r="I328" s="717">
        <v>2800</v>
      </c>
      <c r="J328" s="715">
        <v>0</v>
      </c>
      <c r="K328" s="715">
        <v>8</v>
      </c>
      <c r="L328" s="715">
        <f t="shared" si="62"/>
        <v>350</v>
      </c>
      <c r="M328" s="719">
        <v>46211</v>
      </c>
      <c r="N328" s="719">
        <v>46207</v>
      </c>
      <c r="O328" s="714"/>
      <c r="P328" s="717" t="s">
        <v>106</v>
      </c>
      <c r="Q328" s="717"/>
      <c r="R328" s="723">
        <v>46140</v>
      </c>
      <c r="S328" s="720" t="s">
        <v>107</v>
      </c>
      <c r="T328" s="720" t="s">
        <v>4981</v>
      </c>
      <c r="U328" s="720"/>
      <c r="V328" s="720" t="s">
        <v>4982</v>
      </c>
      <c r="W328" s="720"/>
      <c r="X328" s="720" t="s">
        <v>4626</v>
      </c>
      <c r="Y328" s="719" t="s">
        <v>337</v>
      </c>
      <c r="Z328" s="730">
        <v>4.5405</v>
      </c>
      <c r="AA328" s="652">
        <f>L328*Z328</f>
        <v>1589.175</v>
      </c>
      <c r="AB328" s="721"/>
      <c r="AC328" s="722" t="s">
        <v>4031</v>
      </c>
      <c r="AD328" s="715" t="s">
        <v>112</v>
      </c>
      <c r="AE328" s="715">
        <f t="shared" si="61"/>
        <v>2800</v>
      </c>
      <c r="AF328" s="715"/>
      <c r="AG328" s="715">
        <v>2800</v>
      </c>
      <c r="AH328" s="715">
        <f t="shared" si="58"/>
        <v>0</v>
      </c>
      <c r="AI328" s="717"/>
      <c r="AJ328" s="715" t="s">
        <v>3981</v>
      </c>
      <c r="AK328" s="652"/>
      <c r="AL328" s="652">
        <f>I328</f>
        <v>2800</v>
      </c>
      <c r="AM328" s="652"/>
      <c r="AN328" s="652">
        <f t="shared" si="68"/>
        <v>2800</v>
      </c>
      <c r="AO328" s="652"/>
      <c r="AP328" s="652"/>
      <c r="AQ328" s="652"/>
      <c r="AR328" s="652"/>
      <c r="AS328" s="652"/>
      <c r="AT328" s="652"/>
      <c r="AU328" s="652">
        <f>I328/8</f>
        <v>350</v>
      </c>
      <c r="AV328" s="652"/>
      <c r="AW328" s="652"/>
      <c r="AX328" s="652"/>
      <c r="AY328" s="652"/>
      <c r="AZ328" s="652"/>
      <c r="BA328" s="652"/>
      <c r="BB328" s="652"/>
      <c r="BC328" s="652"/>
      <c r="BD328" s="652"/>
      <c r="BE328" s="652"/>
      <c r="BF328" s="652"/>
      <c r="BG328" s="652"/>
      <c r="BH328" s="652"/>
      <c r="BI328" s="652"/>
      <c r="CS328" s="651"/>
      <c r="CT328" s="651"/>
      <c r="CU328" s="651"/>
      <c r="CV328" s="651"/>
      <c r="CW328" s="651"/>
      <c r="CX328" s="651"/>
      <c r="CY328" s="651"/>
      <c r="CZ328" s="651"/>
      <c r="DA328" s="651"/>
      <c r="DB328" s="651"/>
      <c r="DC328" s="651"/>
      <c r="DD328" s="651"/>
    </row>
    <row r="329" s="650" customFormat="1" ht="31" customHeight="1" spans="1:108">
      <c r="A329" s="713">
        <v>46160</v>
      </c>
      <c r="B329" s="714" t="s">
        <v>1591</v>
      </c>
      <c r="C329" s="715" t="s">
        <v>1592</v>
      </c>
      <c r="D329" s="652" t="s">
        <v>4983</v>
      </c>
      <c r="E329" s="715" t="s">
        <v>628</v>
      </c>
      <c r="F329" s="652" t="s">
        <v>4984</v>
      </c>
      <c r="G329" s="716" t="s">
        <v>3973</v>
      </c>
      <c r="H329" s="715" t="s">
        <v>3995</v>
      </c>
      <c r="I329" s="717">
        <v>1312</v>
      </c>
      <c r="J329" s="715">
        <v>0</v>
      </c>
      <c r="K329" s="715">
        <v>16</v>
      </c>
      <c r="L329" s="715">
        <f t="shared" si="62"/>
        <v>82</v>
      </c>
      <c r="M329" s="719">
        <v>46211</v>
      </c>
      <c r="N329" s="719">
        <v>46207</v>
      </c>
      <c r="O329" s="714"/>
      <c r="P329" s="717" t="s">
        <v>106</v>
      </c>
      <c r="Q329" s="717"/>
      <c r="R329" s="723" t="s">
        <v>1153</v>
      </c>
      <c r="S329" s="720" t="s">
        <v>107</v>
      </c>
      <c r="T329" s="720" t="s">
        <v>4985</v>
      </c>
      <c r="U329" s="720"/>
      <c r="V329" s="720"/>
      <c r="W329" s="720"/>
      <c r="X329" s="720" t="s">
        <v>4986</v>
      </c>
      <c r="Y329" s="719" t="s">
        <v>1599</v>
      </c>
      <c r="Z329" s="730">
        <v>4.6933</v>
      </c>
      <c r="AA329" s="652">
        <f>I329*Z329</f>
        <v>6157.6096</v>
      </c>
      <c r="AB329" s="721"/>
      <c r="AC329" s="722" t="s">
        <v>4108</v>
      </c>
      <c r="AD329" s="715" t="s">
        <v>112</v>
      </c>
      <c r="AE329" s="715">
        <f t="shared" si="61"/>
        <v>1312</v>
      </c>
      <c r="AF329" s="715"/>
      <c r="AG329" s="715">
        <v>1312</v>
      </c>
      <c r="AH329" s="715">
        <f t="shared" si="58"/>
        <v>0</v>
      </c>
      <c r="AI329" s="717"/>
      <c r="AJ329" s="715" t="s">
        <v>3981</v>
      </c>
      <c r="AK329" s="652"/>
      <c r="AL329" s="652">
        <f>I329</f>
        <v>1312</v>
      </c>
      <c r="AM329" s="652"/>
      <c r="AN329" s="652"/>
      <c r="AO329" s="652">
        <f>I329</f>
        <v>1312</v>
      </c>
      <c r="AP329" s="652"/>
      <c r="AQ329" s="652"/>
      <c r="AR329" s="652"/>
      <c r="AS329" s="652"/>
      <c r="AT329" s="652"/>
      <c r="AU329" s="652">
        <f>I329/8</f>
        <v>164</v>
      </c>
      <c r="AV329" s="652"/>
      <c r="AW329" s="652"/>
      <c r="AX329" s="652"/>
      <c r="AY329" s="652"/>
      <c r="AZ329" s="652"/>
      <c r="BA329" s="652"/>
      <c r="BB329" s="652"/>
      <c r="BC329" s="652"/>
      <c r="BD329" s="652"/>
      <c r="BE329" s="652"/>
      <c r="BF329" s="652"/>
      <c r="BG329" s="652"/>
      <c r="BH329" s="652"/>
      <c r="BI329" s="652"/>
      <c r="BJ329" s="651"/>
      <c r="BK329" s="651"/>
      <c r="BL329" s="651"/>
      <c r="BM329" s="651"/>
      <c r="BN329" s="651"/>
      <c r="BO329" s="651"/>
      <c r="BP329" s="651"/>
      <c r="BQ329" s="651"/>
      <c r="BR329" s="651"/>
      <c r="BS329" s="651"/>
      <c r="BT329" s="651"/>
      <c r="BU329" s="651"/>
      <c r="BV329" s="651"/>
      <c r="BW329" s="651"/>
      <c r="BX329" s="651"/>
      <c r="BY329" s="651"/>
      <c r="BZ329" s="651"/>
      <c r="CA329" s="651"/>
      <c r="CB329" s="651"/>
      <c r="CC329" s="651"/>
      <c r="CD329" s="651"/>
      <c r="CE329" s="651"/>
      <c r="CF329" s="651"/>
      <c r="CG329" s="651"/>
      <c r="CH329" s="651"/>
      <c r="CI329" s="651"/>
      <c r="CJ329" s="651"/>
      <c r="CK329" s="651"/>
      <c r="CL329" s="651"/>
      <c r="CM329" s="651"/>
      <c r="CN329" s="651"/>
      <c r="CO329" s="651"/>
      <c r="CP329" s="651"/>
      <c r="CQ329" s="651"/>
      <c r="CR329" s="651"/>
      <c r="CS329" s="651"/>
      <c r="CT329" s="651"/>
      <c r="CU329" s="651"/>
      <c r="CV329" s="651"/>
      <c r="CW329" s="651"/>
      <c r="CX329" s="651"/>
      <c r="CY329" s="651"/>
      <c r="CZ329" s="651"/>
      <c r="DA329" s="651"/>
      <c r="DB329" s="651"/>
      <c r="DC329" s="651"/>
      <c r="DD329" s="651"/>
    </row>
    <row r="330" s="650" customFormat="1" ht="31" customHeight="1" spans="1:108">
      <c r="A330" s="713">
        <v>46136</v>
      </c>
      <c r="B330" s="714" t="s">
        <v>346</v>
      </c>
      <c r="C330" s="715" t="s">
        <v>115</v>
      </c>
      <c r="D330" s="652" t="s">
        <v>4987</v>
      </c>
      <c r="E330" s="739">
        <v>7137244455</v>
      </c>
      <c r="F330" s="652" t="s">
        <v>1574</v>
      </c>
      <c r="G330" s="716" t="s">
        <v>4988</v>
      </c>
      <c r="H330" s="715" t="s">
        <v>1576</v>
      </c>
      <c r="I330" s="717">
        <v>17280</v>
      </c>
      <c r="J330" s="715">
        <v>0</v>
      </c>
      <c r="K330" s="715">
        <v>64</v>
      </c>
      <c r="L330" s="715">
        <f t="shared" si="62"/>
        <v>270</v>
      </c>
      <c r="M330" s="738">
        <v>46211</v>
      </c>
      <c r="N330" s="738">
        <v>46211</v>
      </c>
      <c r="O330" s="714"/>
      <c r="P330" s="717" t="s">
        <v>106</v>
      </c>
      <c r="Q330" s="717"/>
      <c r="R330" s="723">
        <v>46136</v>
      </c>
      <c r="S330" s="720" t="s">
        <v>95</v>
      </c>
      <c r="T330" s="720" t="s">
        <v>4498</v>
      </c>
      <c r="U330" s="720"/>
      <c r="V330" s="720" t="s">
        <v>1577</v>
      </c>
      <c r="W330" s="720"/>
      <c r="X330" s="720" t="s">
        <v>4989</v>
      </c>
      <c r="Y330" s="719" t="s">
        <v>354</v>
      </c>
      <c r="Z330" s="730">
        <v>242.1177</v>
      </c>
      <c r="AA330" s="652">
        <f>L330*Z330</f>
        <v>65371.779</v>
      </c>
      <c r="AB330" s="725" t="s">
        <v>1579</v>
      </c>
      <c r="AC330" s="652" t="s">
        <v>1580</v>
      </c>
      <c r="AD330" s="715" t="s">
        <v>112</v>
      </c>
      <c r="AE330" s="715">
        <f t="shared" si="61"/>
        <v>17280</v>
      </c>
      <c r="AF330" s="715"/>
      <c r="AG330" s="715"/>
      <c r="AH330" s="715">
        <f t="shared" si="58"/>
        <v>-17280</v>
      </c>
      <c r="AI330" s="717"/>
      <c r="AJ330" s="715" t="s">
        <v>3981</v>
      </c>
      <c r="AK330" s="652">
        <f>I330</f>
        <v>17280</v>
      </c>
      <c r="AL330" s="652"/>
      <c r="AM330" s="652"/>
      <c r="AN330" s="652">
        <f>I330</f>
        <v>17280</v>
      </c>
      <c r="AO330" s="652"/>
      <c r="AP330" s="652"/>
      <c r="AQ330" s="652"/>
      <c r="AR330" s="652"/>
      <c r="AS330" s="652"/>
      <c r="AT330" s="652">
        <f>I330/8</f>
        <v>2160</v>
      </c>
      <c r="AU330" s="652"/>
      <c r="AV330" s="652"/>
      <c r="AW330" s="652"/>
      <c r="AX330" s="652"/>
      <c r="AY330" s="652"/>
      <c r="AZ330" s="652"/>
      <c r="BA330" s="652"/>
      <c r="BB330" s="652"/>
      <c r="BC330" s="652"/>
      <c r="BD330" s="652"/>
      <c r="BE330" s="652"/>
      <c r="BF330" s="652">
        <f>L330</f>
        <v>270</v>
      </c>
      <c r="BG330" s="652"/>
      <c r="BH330" s="652"/>
      <c r="BI330" s="652"/>
    </row>
    <row r="331" s="650" customFormat="1" ht="31" customHeight="1" spans="1:108">
      <c r="A331" s="713">
        <v>46136</v>
      </c>
      <c r="B331" s="714" t="s">
        <v>346</v>
      </c>
      <c r="C331" s="715" t="s">
        <v>115</v>
      </c>
      <c r="D331" s="652" t="s">
        <v>4987</v>
      </c>
      <c r="E331" s="739">
        <v>7137244451</v>
      </c>
      <c r="F331" s="652" t="s">
        <v>1581</v>
      </c>
      <c r="G331" s="716" t="s">
        <v>4988</v>
      </c>
      <c r="H331" s="715" t="s">
        <v>1576</v>
      </c>
      <c r="I331" s="717">
        <v>18240</v>
      </c>
      <c r="J331" s="715">
        <v>0</v>
      </c>
      <c r="K331" s="715">
        <v>64</v>
      </c>
      <c r="L331" s="715">
        <f t="shared" si="62"/>
        <v>285</v>
      </c>
      <c r="M331" s="738">
        <v>46211</v>
      </c>
      <c r="N331" s="738">
        <v>46213</v>
      </c>
      <c r="O331" s="714"/>
      <c r="P331" s="717" t="s">
        <v>106</v>
      </c>
      <c r="Q331" s="717"/>
      <c r="R331" s="723">
        <v>46136</v>
      </c>
      <c r="S331" s="720" t="s">
        <v>95</v>
      </c>
      <c r="T331" s="720" t="s">
        <v>4498</v>
      </c>
      <c r="U331" s="720"/>
      <c r="V331" s="720" t="s">
        <v>1577</v>
      </c>
      <c r="W331" s="720"/>
      <c r="X331" s="720" t="s">
        <v>4989</v>
      </c>
      <c r="Y331" s="719" t="s">
        <v>354</v>
      </c>
      <c r="Z331" s="730">
        <v>244.487</v>
      </c>
      <c r="AA331" s="652">
        <f>L331*Z331</f>
        <v>69678.795</v>
      </c>
      <c r="AB331" s="725" t="s">
        <v>1579</v>
      </c>
      <c r="AC331" s="652" t="s">
        <v>1580</v>
      </c>
      <c r="AD331" s="715" t="s">
        <v>112</v>
      </c>
      <c r="AE331" s="715">
        <f t="shared" si="61"/>
        <v>18240</v>
      </c>
      <c r="AF331" s="715"/>
      <c r="AG331" s="715"/>
      <c r="AH331" s="715">
        <f t="shared" si="58"/>
        <v>-18240</v>
      </c>
      <c r="AI331" s="717"/>
      <c r="AJ331" s="715" t="s">
        <v>3981</v>
      </c>
      <c r="AK331" s="652">
        <f>I331</f>
        <v>18240</v>
      </c>
      <c r="AL331" s="652"/>
      <c r="AM331" s="652"/>
      <c r="AN331" s="652">
        <f>I331</f>
        <v>18240</v>
      </c>
      <c r="AO331" s="652"/>
      <c r="AP331" s="652"/>
      <c r="AQ331" s="652"/>
      <c r="AR331" s="652"/>
      <c r="AS331" s="652"/>
      <c r="AT331" s="652">
        <f>I331/8</f>
        <v>2280</v>
      </c>
      <c r="AU331" s="652"/>
      <c r="AV331" s="652"/>
      <c r="AW331" s="652"/>
      <c r="AX331" s="652"/>
      <c r="AY331" s="652"/>
      <c r="AZ331" s="652"/>
      <c r="BA331" s="652"/>
      <c r="BB331" s="652"/>
      <c r="BC331" s="652"/>
      <c r="BD331" s="652"/>
      <c r="BE331" s="652"/>
      <c r="BF331" s="652">
        <f>L331</f>
        <v>285</v>
      </c>
      <c r="BG331" s="652"/>
      <c r="BH331" s="652"/>
      <c r="BI331" s="652"/>
    </row>
    <row r="332" s="650" customFormat="1" ht="31" customHeight="1" spans="1:108">
      <c r="A332" s="713">
        <v>46160</v>
      </c>
      <c r="B332" s="714" t="s">
        <v>1591</v>
      </c>
      <c r="C332" s="715" t="s">
        <v>1592</v>
      </c>
      <c r="D332" s="652" t="s">
        <v>4983</v>
      </c>
      <c r="E332" s="715" t="s">
        <v>628</v>
      </c>
      <c r="F332" s="652" t="s">
        <v>1602</v>
      </c>
      <c r="G332" s="716" t="s">
        <v>4353</v>
      </c>
      <c r="H332" s="715" t="s">
        <v>2405</v>
      </c>
      <c r="I332" s="717">
        <v>504</v>
      </c>
      <c r="J332" s="715">
        <v>0</v>
      </c>
      <c r="K332" s="715">
        <v>12</v>
      </c>
      <c r="L332" s="715">
        <f t="shared" si="62"/>
        <v>42</v>
      </c>
      <c r="M332" s="719">
        <v>46211</v>
      </c>
      <c r="N332" s="738">
        <v>46225</v>
      </c>
      <c r="O332" s="714"/>
      <c r="P332" s="717" t="s">
        <v>106</v>
      </c>
      <c r="Q332" s="717"/>
      <c r="R332" s="723" t="s">
        <v>1153</v>
      </c>
      <c r="S332" s="720" t="s">
        <v>107</v>
      </c>
      <c r="T332" s="720" t="s">
        <v>4985</v>
      </c>
      <c r="U332" s="720"/>
      <c r="V332" s="720"/>
      <c r="W332" s="720"/>
      <c r="X332" s="720" t="s">
        <v>4990</v>
      </c>
      <c r="Y332" s="719" t="s">
        <v>1599</v>
      </c>
      <c r="Z332" s="730">
        <v>108.0468</v>
      </c>
      <c r="AA332" s="652">
        <f>L332*Z332</f>
        <v>4537.9656</v>
      </c>
      <c r="AB332" s="721"/>
      <c r="AC332" s="652" t="s">
        <v>4991</v>
      </c>
      <c r="AD332" s="715" t="s">
        <v>112</v>
      </c>
      <c r="AE332" s="715">
        <f t="shared" si="61"/>
        <v>504</v>
      </c>
      <c r="AF332" s="715"/>
      <c r="AG332" s="715"/>
      <c r="AH332" s="715">
        <f t="shared" si="58"/>
        <v>-504</v>
      </c>
      <c r="AI332" s="717"/>
      <c r="AJ332" s="715" t="s">
        <v>3981</v>
      </c>
      <c r="AK332" s="652"/>
      <c r="AL332" s="652">
        <f>I332</f>
        <v>504</v>
      </c>
      <c r="AM332" s="652"/>
      <c r="AN332" s="652"/>
      <c r="AO332" s="652">
        <f>I332</f>
        <v>504</v>
      </c>
      <c r="AP332" s="652"/>
      <c r="AQ332" s="652"/>
      <c r="AR332" s="652"/>
      <c r="AS332" s="652"/>
      <c r="AT332" s="652"/>
      <c r="AU332" s="652"/>
      <c r="AV332" s="652"/>
      <c r="AW332" s="652"/>
      <c r="AX332" s="652"/>
      <c r="AY332" s="652"/>
      <c r="AZ332" s="652"/>
      <c r="BA332" s="652"/>
      <c r="BB332" s="652"/>
      <c r="BC332" s="652"/>
      <c r="BD332" s="652">
        <f>L332</f>
        <v>42</v>
      </c>
      <c r="BE332" s="652"/>
      <c r="BF332" s="652"/>
      <c r="BG332" s="652"/>
      <c r="BH332" s="652"/>
      <c r="BI332" s="652"/>
      <c r="BJ332" s="651"/>
      <c r="BK332" s="651"/>
      <c r="BL332" s="651"/>
      <c r="BM332" s="651"/>
      <c r="BN332" s="651"/>
      <c r="BO332" s="651"/>
      <c r="BP332" s="651"/>
      <c r="BQ332" s="651"/>
      <c r="BR332" s="651"/>
      <c r="BS332" s="651"/>
      <c r="BT332" s="651"/>
      <c r="BU332" s="651"/>
      <c r="BV332" s="651"/>
      <c r="BW332" s="651"/>
      <c r="BX332" s="651"/>
      <c r="BY332" s="651"/>
      <c r="BZ332" s="651"/>
      <c r="CA332" s="651"/>
      <c r="CB332" s="651"/>
      <c r="CC332" s="651"/>
      <c r="CD332" s="651"/>
      <c r="CE332" s="651"/>
      <c r="CF332" s="651"/>
      <c r="CG332" s="651"/>
      <c r="CH332" s="651"/>
      <c r="CI332" s="651"/>
      <c r="CJ332" s="651"/>
      <c r="CK332" s="651"/>
      <c r="CL332" s="651"/>
      <c r="CM332" s="651"/>
      <c r="CN332" s="651"/>
      <c r="CO332" s="651"/>
      <c r="CP332" s="651"/>
      <c r="CQ332" s="651"/>
      <c r="CR332" s="651"/>
    </row>
    <row r="333" s="650" customFormat="1" ht="31" customHeight="1" spans="1:108">
      <c r="A333" s="713">
        <v>46182</v>
      </c>
      <c r="B333" s="714" t="s">
        <v>114</v>
      </c>
      <c r="C333" s="715" t="s">
        <v>115</v>
      </c>
      <c r="D333" s="652">
        <v>4500211339</v>
      </c>
      <c r="E333" s="715" t="s">
        <v>4992</v>
      </c>
      <c r="F333" s="652" t="s">
        <v>4993</v>
      </c>
      <c r="G333" s="716" t="s">
        <v>3980</v>
      </c>
      <c r="H333" s="715" t="s">
        <v>3978</v>
      </c>
      <c r="I333" s="717">
        <v>5192</v>
      </c>
      <c r="J333" s="715">
        <v>0</v>
      </c>
      <c r="K333" s="715">
        <v>8</v>
      </c>
      <c r="L333" s="715">
        <f t="shared" si="62"/>
        <v>649</v>
      </c>
      <c r="M333" s="719">
        <v>46212</v>
      </c>
      <c r="N333" s="719">
        <v>46209</v>
      </c>
      <c r="O333" s="714"/>
      <c r="P333" s="717" t="s">
        <v>106</v>
      </c>
      <c r="Q333" s="717" t="s">
        <v>1195</v>
      </c>
      <c r="R333" s="723" t="s">
        <v>4994</v>
      </c>
      <c r="S333" s="720" t="s">
        <v>107</v>
      </c>
      <c r="T333" s="720" t="s">
        <v>4995</v>
      </c>
      <c r="U333" s="720"/>
      <c r="V333" s="720"/>
      <c r="W333" s="720" t="s">
        <v>4996</v>
      </c>
      <c r="X333" s="720" t="s">
        <v>4997</v>
      </c>
      <c r="Y333" s="719" t="s">
        <v>123</v>
      </c>
      <c r="Z333" s="730">
        <v>2.7891</v>
      </c>
      <c r="AA333" s="652">
        <f>I333*Z333</f>
        <v>14481.0072</v>
      </c>
      <c r="AB333" s="721"/>
      <c r="AC333" s="722" t="s">
        <v>3980</v>
      </c>
      <c r="AD333" s="715" t="s">
        <v>112</v>
      </c>
      <c r="AE333" s="715">
        <f t="shared" si="61"/>
        <v>5192</v>
      </c>
      <c r="AF333" s="715"/>
      <c r="AG333" s="715">
        <v>5192</v>
      </c>
      <c r="AH333" s="715">
        <f t="shared" si="58"/>
        <v>0</v>
      </c>
      <c r="AI333" s="717"/>
      <c r="AJ333" s="715" t="s">
        <v>3981</v>
      </c>
      <c r="AK333" s="652">
        <f>I333</f>
        <v>5192</v>
      </c>
      <c r="AL333" s="652"/>
      <c r="AM333" s="652"/>
      <c r="AN333" s="652">
        <f>I333</f>
        <v>5192</v>
      </c>
      <c r="AO333" s="652"/>
      <c r="AP333" s="652"/>
      <c r="AQ333" s="652"/>
      <c r="AR333" s="652"/>
      <c r="AS333" s="652"/>
      <c r="AT333" s="652">
        <f>I333/8</f>
        <v>649</v>
      </c>
      <c r="AU333" s="652"/>
      <c r="AV333" s="652"/>
      <c r="AW333" s="652"/>
      <c r="AX333" s="652"/>
      <c r="AY333" s="652"/>
      <c r="AZ333" s="652"/>
      <c r="BA333" s="652"/>
      <c r="BB333" s="652"/>
      <c r="BC333" s="652"/>
      <c r="BD333" s="652"/>
      <c r="BE333" s="652"/>
      <c r="BF333" s="652"/>
      <c r="BG333" s="652"/>
      <c r="BH333" s="652"/>
      <c r="BI333" s="652"/>
    </row>
    <row r="334" s="651" customFormat="1" ht="31" customHeight="1" spans="1:108">
      <c r="A334" s="713">
        <v>46182</v>
      </c>
      <c r="B334" s="714" t="s">
        <v>114</v>
      </c>
      <c r="C334" s="715" t="s">
        <v>115</v>
      </c>
      <c r="D334" s="652">
        <v>4500211293</v>
      </c>
      <c r="E334" s="715" t="s">
        <v>4998</v>
      </c>
      <c r="F334" s="652" t="s">
        <v>4999</v>
      </c>
      <c r="G334" s="716" t="s">
        <v>3980</v>
      </c>
      <c r="H334" s="715" t="s">
        <v>3978</v>
      </c>
      <c r="I334" s="717">
        <v>7376</v>
      </c>
      <c r="J334" s="715">
        <v>0</v>
      </c>
      <c r="K334" s="715">
        <v>8</v>
      </c>
      <c r="L334" s="715">
        <f t="shared" si="62"/>
        <v>922</v>
      </c>
      <c r="M334" s="719">
        <v>46212</v>
      </c>
      <c r="N334" s="719">
        <v>46209</v>
      </c>
      <c r="O334" s="714"/>
      <c r="P334" s="717" t="s">
        <v>106</v>
      </c>
      <c r="Q334" s="717" t="s">
        <v>5000</v>
      </c>
      <c r="R334" s="723">
        <v>46182</v>
      </c>
      <c r="S334" s="720" t="s">
        <v>107</v>
      </c>
      <c r="T334" s="720" t="s">
        <v>5001</v>
      </c>
      <c r="U334" s="720"/>
      <c r="V334" s="720"/>
      <c r="W334" s="720" t="s">
        <v>5002</v>
      </c>
      <c r="X334" s="720" t="s">
        <v>5003</v>
      </c>
      <c r="Y334" s="719" t="s">
        <v>123</v>
      </c>
      <c r="Z334" s="730">
        <v>2.7891</v>
      </c>
      <c r="AA334" s="652">
        <f>I334*Z334</f>
        <v>20572.4016</v>
      </c>
      <c r="AB334" s="721"/>
      <c r="AC334" s="722" t="s">
        <v>3980</v>
      </c>
      <c r="AD334" s="715" t="s">
        <v>112</v>
      </c>
      <c r="AE334" s="715">
        <f t="shared" si="61"/>
        <v>7376</v>
      </c>
      <c r="AF334" s="715"/>
      <c r="AG334" s="715">
        <v>7376</v>
      </c>
      <c r="AH334" s="715">
        <f t="shared" si="58"/>
        <v>0</v>
      </c>
      <c r="AI334" s="717"/>
      <c r="AJ334" s="715" t="s">
        <v>3981</v>
      </c>
      <c r="AK334" s="652">
        <f>I334</f>
        <v>7376</v>
      </c>
      <c r="AL334" s="652"/>
      <c r="AM334" s="652"/>
      <c r="AN334" s="652">
        <f>I334</f>
        <v>7376</v>
      </c>
      <c r="AO334" s="652"/>
      <c r="AP334" s="652"/>
      <c r="AQ334" s="652"/>
      <c r="AR334" s="652"/>
      <c r="AS334" s="652"/>
      <c r="AT334" s="652">
        <f>I334/8</f>
        <v>922</v>
      </c>
      <c r="AU334" s="652"/>
      <c r="AV334" s="652"/>
      <c r="AW334" s="652"/>
      <c r="AX334" s="652"/>
      <c r="AY334" s="652"/>
      <c r="AZ334" s="652"/>
      <c r="BA334" s="652"/>
      <c r="BB334" s="652"/>
      <c r="BC334" s="652"/>
      <c r="BD334" s="652"/>
      <c r="BE334" s="652"/>
      <c r="BF334" s="652"/>
      <c r="BG334" s="652"/>
      <c r="BH334" s="652"/>
      <c r="BI334" s="652"/>
      <c r="BJ334" s="650"/>
      <c r="BK334" s="650"/>
      <c r="BL334" s="650"/>
      <c r="BM334" s="650"/>
      <c r="BN334" s="650"/>
      <c r="BO334" s="650"/>
      <c r="BP334" s="650"/>
      <c r="BQ334" s="650"/>
      <c r="BR334" s="650"/>
      <c r="BS334" s="650"/>
      <c r="BT334" s="650"/>
      <c r="BU334" s="650"/>
      <c r="BV334" s="650"/>
      <c r="BW334" s="650"/>
      <c r="BX334" s="650"/>
      <c r="BY334" s="650"/>
      <c r="BZ334" s="650"/>
      <c r="CA334" s="650"/>
      <c r="CB334" s="650"/>
      <c r="CC334" s="650"/>
      <c r="CD334" s="650"/>
      <c r="CE334" s="650"/>
      <c r="CF334" s="650"/>
      <c r="CG334" s="650"/>
      <c r="CH334" s="650"/>
      <c r="CI334" s="650"/>
      <c r="CJ334" s="650"/>
      <c r="CK334" s="650"/>
      <c r="CL334" s="650"/>
      <c r="CM334" s="650"/>
      <c r="CN334" s="650"/>
      <c r="CO334" s="650"/>
      <c r="CP334" s="650"/>
      <c r="CQ334" s="650"/>
      <c r="CR334" s="650"/>
      <c r="CS334" s="650"/>
      <c r="CT334" s="650"/>
      <c r="CU334" s="650"/>
      <c r="CV334" s="650"/>
      <c r="CW334" s="650"/>
      <c r="CX334" s="650"/>
      <c r="CY334" s="650"/>
      <c r="CZ334" s="650"/>
      <c r="DA334" s="650"/>
      <c r="DB334" s="650"/>
      <c r="DC334" s="650"/>
      <c r="DD334" s="650"/>
    </row>
    <row r="335" s="651" customFormat="1" ht="31" customHeight="1" spans="1:108">
      <c r="A335" s="713">
        <v>46155</v>
      </c>
      <c r="B335" s="714" t="s">
        <v>770</v>
      </c>
      <c r="C335" s="715" t="s">
        <v>771</v>
      </c>
      <c r="D335" s="652">
        <v>4500206703</v>
      </c>
      <c r="E335" s="715" t="s">
        <v>5004</v>
      </c>
      <c r="F335" s="652" t="s">
        <v>5005</v>
      </c>
      <c r="G335" s="716" t="s">
        <v>3980</v>
      </c>
      <c r="H335" s="715" t="s">
        <v>3978</v>
      </c>
      <c r="I335" s="717">
        <v>1000</v>
      </c>
      <c r="J335" s="715">
        <v>0</v>
      </c>
      <c r="K335" s="715">
        <v>8</v>
      </c>
      <c r="L335" s="715">
        <f t="shared" si="62"/>
        <v>125</v>
      </c>
      <c r="M335" s="719">
        <v>46212</v>
      </c>
      <c r="N335" s="719">
        <v>46209</v>
      </c>
      <c r="O335" s="714"/>
      <c r="P335" s="717" t="s">
        <v>106</v>
      </c>
      <c r="Q335" s="717"/>
      <c r="R335" s="723">
        <v>46174</v>
      </c>
      <c r="S335" s="720" t="s">
        <v>107</v>
      </c>
      <c r="T335" s="720" t="s">
        <v>4972</v>
      </c>
      <c r="U335" s="720"/>
      <c r="V335" s="720"/>
      <c r="W335" s="720"/>
      <c r="X335" s="720" t="s">
        <v>5006</v>
      </c>
      <c r="Y335" s="719" t="s">
        <v>775</v>
      </c>
      <c r="Z335" s="730">
        <v>4.5779</v>
      </c>
      <c r="AA335" s="652">
        <f>Z335*I335</f>
        <v>4577.9</v>
      </c>
      <c r="AB335" s="721"/>
      <c r="AC335" s="747" t="s">
        <v>4031</v>
      </c>
      <c r="AD335" s="715" t="s">
        <v>112</v>
      </c>
      <c r="AE335" s="715">
        <f t="shared" si="61"/>
        <v>1000</v>
      </c>
      <c r="AF335" s="715"/>
      <c r="AG335" s="715">
        <v>1000</v>
      </c>
      <c r="AH335" s="715">
        <f t="shared" si="58"/>
        <v>0</v>
      </c>
      <c r="AI335" s="717"/>
      <c r="AJ335" s="715" t="s">
        <v>3981</v>
      </c>
      <c r="AK335" s="652"/>
      <c r="AL335" s="652">
        <f>I335</f>
        <v>1000</v>
      </c>
      <c r="AM335" s="652"/>
      <c r="AN335" s="652">
        <f>I335</f>
        <v>1000</v>
      </c>
      <c r="AO335" s="652"/>
      <c r="AP335" s="652"/>
      <c r="AQ335" s="652"/>
      <c r="AR335" s="652"/>
      <c r="AS335" s="652"/>
      <c r="AT335" s="652"/>
      <c r="AU335" s="652">
        <f>I335/8</f>
        <v>125</v>
      </c>
      <c r="AV335" s="652"/>
      <c r="AW335" s="652"/>
      <c r="AX335" s="652"/>
      <c r="AY335" s="652"/>
      <c r="AZ335" s="652"/>
      <c r="BA335" s="652"/>
      <c r="BB335" s="652"/>
      <c r="BC335" s="652"/>
      <c r="BD335" s="652"/>
      <c r="BE335" s="652"/>
      <c r="BF335" s="652"/>
      <c r="BG335" s="652"/>
      <c r="BH335" s="652"/>
      <c r="BI335" s="652"/>
      <c r="BJ335" s="724"/>
      <c r="BK335" s="724"/>
      <c r="BL335" s="724"/>
      <c r="BM335" s="724"/>
      <c r="BN335" s="724"/>
      <c r="BO335" s="724"/>
      <c r="BP335" s="724"/>
      <c r="BQ335" s="724"/>
      <c r="BR335" s="724"/>
      <c r="BS335" s="724"/>
      <c r="BT335" s="724"/>
      <c r="BU335" s="724"/>
      <c r="BV335" s="724"/>
      <c r="BW335" s="724"/>
      <c r="BX335" s="724"/>
      <c r="BY335" s="724"/>
      <c r="BZ335" s="724"/>
      <c r="CA335" s="724"/>
      <c r="CB335" s="724"/>
      <c r="CC335" s="724"/>
      <c r="CD335" s="724"/>
      <c r="CE335" s="724"/>
      <c r="CF335" s="724"/>
      <c r="CG335" s="724"/>
      <c r="CH335" s="724"/>
      <c r="CI335" s="724"/>
      <c r="CJ335" s="724"/>
      <c r="CK335" s="724"/>
      <c r="CL335" s="724"/>
      <c r="CM335" s="724"/>
      <c r="CN335" s="724"/>
      <c r="CO335" s="724"/>
      <c r="CP335" s="724"/>
      <c r="CQ335" s="724"/>
      <c r="CR335" s="724"/>
      <c r="CS335" s="650"/>
      <c r="CT335" s="650"/>
      <c r="CU335" s="650"/>
      <c r="CV335" s="650"/>
      <c r="CW335" s="650"/>
      <c r="CX335" s="650"/>
      <c r="CY335" s="650"/>
      <c r="CZ335" s="650"/>
      <c r="DA335" s="650"/>
      <c r="DB335" s="650"/>
      <c r="DC335" s="650"/>
      <c r="DD335" s="650"/>
    </row>
    <row r="336" s="651" customFormat="1" ht="31" customHeight="1" spans="1:108">
      <c r="A336" s="713">
        <v>46136</v>
      </c>
      <c r="B336" s="714" t="s">
        <v>346</v>
      </c>
      <c r="C336" s="715" t="s">
        <v>115</v>
      </c>
      <c r="D336" s="652" t="s">
        <v>5007</v>
      </c>
      <c r="E336" s="739">
        <v>7137244450</v>
      </c>
      <c r="F336" s="652" t="s">
        <v>1625</v>
      </c>
      <c r="G336" s="716" t="s">
        <v>4988</v>
      </c>
      <c r="H336" s="715" t="s">
        <v>1576</v>
      </c>
      <c r="I336" s="717">
        <v>11328</v>
      </c>
      <c r="J336" s="715">
        <v>0</v>
      </c>
      <c r="K336" s="715">
        <v>64</v>
      </c>
      <c r="L336" s="715">
        <f t="shared" si="62"/>
        <v>177</v>
      </c>
      <c r="M336" s="738">
        <v>46212</v>
      </c>
      <c r="N336" s="738">
        <v>46209</v>
      </c>
      <c r="O336" s="714" t="s">
        <v>1626</v>
      </c>
      <c r="P336" s="717" t="s">
        <v>106</v>
      </c>
      <c r="Q336" s="717"/>
      <c r="R336" s="723">
        <v>46136</v>
      </c>
      <c r="S336" s="720" t="s">
        <v>95</v>
      </c>
      <c r="T336" s="720" t="s">
        <v>4498</v>
      </c>
      <c r="U336" s="720"/>
      <c r="V336" s="720" t="s">
        <v>1577</v>
      </c>
      <c r="W336" s="720"/>
      <c r="X336" s="720" t="s">
        <v>4989</v>
      </c>
      <c r="Y336" s="719" t="s">
        <v>354</v>
      </c>
      <c r="Z336" s="754">
        <v>244.4871</v>
      </c>
      <c r="AA336" s="652">
        <f>L336*Z336</f>
        <v>43274.2167</v>
      </c>
      <c r="AB336" s="725" t="s">
        <v>1614</v>
      </c>
      <c r="AC336" s="652" t="s">
        <v>1580</v>
      </c>
      <c r="AD336" s="715" t="s">
        <v>112</v>
      </c>
      <c r="AE336" s="715">
        <f t="shared" si="61"/>
        <v>11328</v>
      </c>
      <c r="AF336" s="715"/>
      <c r="AG336" s="715">
        <v>11328</v>
      </c>
      <c r="AH336" s="715">
        <f t="shared" si="58"/>
        <v>0</v>
      </c>
      <c r="AI336" s="717"/>
      <c r="AJ336" s="715" t="s">
        <v>3981</v>
      </c>
      <c r="AK336" s="652">
        <f>I336</f>
        <v>11328</v>
      </c>
      <c r="AL336" s="652"/>
      <c r="AM336" s="652"/>
      <c r="AN336" s="652">
        <f>I336</f>
        <v>11328</v>
      </c>
      <c r="AO336" s="652"/>
      <c r="AP336" s="652"/>
      <c r="AQ336" s="652"/>
      <c r="AR336" s="652"/>
      <c r="AS336" s="652"/>
      <c r="AT336" s="652">
        <f>I336/8</f>
        <v>1416</v>
      </c>
      <c r="AU336" s="652"/>
      <c r="AV336" s="652"/>
      <c r="AW336" s="652"/>
      <c r="AX336" s="652"/>
      <c r="AY336" s="652"/>
      <c r="AZ336" s="652"/>
      <c r="BA336" s="652"/>
      <c r="BB336" s="652"/>
      <c r="BC336" s="652"/>
      <c r="BD336" s="652"/>
      <c r="BE336" s="652"/>
      <c r="BF336" s="652">
        <f>L336</f>
        <v>177</v>
      </c>
      <c r="BG336" s="652"/>
      <c r="BH336" s="652"/>
      <c r="BI336" s="652"/>
      <c r="BJ336" s="724"/>
      <c r="BK336" s="724"/>
      <c r="BL336" s="724"/>
      <c r="BM336" s="724"/>
      <c r="BN336" s="724"/>
      <c r="BO336" s="724"/>
      <c r="BP336" s="724"/>
      <c r="BQ336" s="724"/>
      <c r="BR336" s="724"/>
      <c r="BS336" s="724"/>
      <c r="BT336" s="724"/>
      <c r="BU336" s="724"/>
      <c r="BV336" s="724"/>
      <c r="BW336" s="724"/>
      <c r="BX336" s="724"/>
      <c r="BY336" s="724"/>
      <c r="BZ336" s="724"/>
      <c r="CA336" s="724"/>
      <c r="CB336" s="724"/>
      <c r="CC336" s="724"/>
      <c r="CD336" s="724"/>
      <c r="CE336" s="724"/>
      <c r="CF336" s="724"/>
      <c r="CG336" s="724"/>
      <c r="CH336" s="724"/>
      <c r="CI336" s="724"/>
      <c r="CJ336" s="724"/>
      <c r="CK336" s="724"/>
      <c r="CL336" s="724"/>
      <c r="CM336" s="724"/>
      <c r="CN336" s="724"/>
      <c r="CO336" s="724"/>
      <c r="CP336" s="724"/>
      <c r="CQ336" s="724"/>
      <c r="CR336" s="724"/>
      <c r="CS336" s="650"/>
      <c r="CT336" s="650"/>
      <c r="CU336" s="650"/>
      <c r="CV336" s="650"/>
      <c r="CW336" s="650"/>
      <c r="CX336" s="650"/>
      <c r="CY336" s="650"/>
      <c r="CZ336" s="650"/>
      <c r="DA336" s="650"/>
      <c r="DB336" s="650"/>
      <c r="DC336" s="650"/>
      <c r="DD336" s="650"/>
    </row>
    <row r="337" s="650" customFormat="1" ht="31" customHeight="1" spans="1:108">
      <c r="A337" s="713">
        <v>46136</v>
      </c>
      <c r="B337" s="714" t="s">
        <v>346</v>
      </c>
      <c r="C337" s="715" t="s">
        <v>115</v>
      </c>
      <c r="D337" s="652" t="s">
        <v>5007</v>
      </c>
      <c r="E337" s="739">
        <v>7137244453</v>
      </c>
      <c r="F337" s="652" t="s">
        <v>1611</v>
      </c>
      <c r="G337" s="716" t="s">
        <v>4988</v>
      </c>
      <c r="H337" s="715" t="s">
        <v>1576</v>
      </c>
      <c r="I337" s="717">
        <v>17088</v>
      </c>
      <c r="J337" s="715">
        <v>0</v>
      </c>
      <c r="K337" s="715">
        <v>64</v>
      </c>
      <c r="L337" s="715">
        <f t="shared" si="62"/>
        <v>267</v>
      </c>
      <c r="M337" s="738">
        <v>46212</v>
      </c>
      <c r="N337" s="738">
        <v>46209</v>
      </c>
      <c r="O337" s="714"/>
      <c r="P337" s="717" t="s">
        <v>106</v>
      </c>
      <c r="Q337" s="717"/>
      <c r="R337" s="723">
        <v>46136</v>
      </c>
      <c r="S337" s="720" t="s">
        <v>95</v>
      </c>
      <c r="T337" s="720" t="s">
        <v>4498</v>
      </c>
      <c r="U337" s="720"/>
      <c r="V337" s="720" t="s">
        <v>1577</v>
      </c>
      <c r="W337" s="720"/>
      <c r="X337" s="720" t="s">
        <v>4989</v>
      </c>
      <c r="Y337" s="719" t="s">
        <v>354</v>
      </c>
      <c r="Z337" s="754">
        <v>244.487</v>
      </c>
      <c r="AA337" s="652">
        <f>L337*Z337</f>
        <v>65278.029</v>
      </c>
      <c r="AB337" s="725" t="s">
        <v>1614</v>
      </c>
      <c r="AC337" s="652" t="s">
        <v>1580</v>
      </c>
      <c r="AD337" s="715" t="s">
        <v>112</v>
      </c>
      <c r="AE337" s="715">
        <f t="shared" si="61"/>
        <v>17088</v>
      </c>
      <c r="AF337" s="715"/>
      <c r="AG337" s="715">
        <v>17088</v>
      </c>
      <c r="AH337" s="715">
        <f t="shared" si="58"/>
        <v>0</v>
      </c>
      <c r="AI337" s="717"/>
      <c r="AJ337" s="715" t="s">
        <v>3981</v>
      </c>
      <c r="AK337" s="652">
        <f>I337</f>
        <v>17088</v>
      </c>
      <c r="AL337" s="652"/>
      <c r="AM337" s="652"/>
      <c r="AN337" s="652">
        <f>I337</f>
        <v>17088</v>
      </c>
      <c r="AO337" s="652"/>
      <c r="AP337" s="652"/>
      <c r="AQ337" s="652"/>
      <c r="AR337" s="652"/>
      <c r="AS337" s="652"/>
      <c r="AT337" s="652">
        <f>I337/8</f>
        <v>2136</v>
      </c>
      <c r="AU337" s="652"/>
      <c r="AV337" s="652"/>
      <c r="AW337" s="652"/>
      <c r="AX337" s="652"/>
      <c r="AY337" s="652"/>
      <c r="AZ337" s="652"/>
      <c r="BA337" s="652"/>
      <c r="BB337" s="652"/>
      <c r="BC337" s="652"/>
      <c r="BD337" s="652"/>
      <c r="BE337" s="652"/>
      <c r="BF337" s="652">
        <f>L337</f>
        <v>267</v>
      </c>
      <c r="BG337" s="652"/>
      <c r="BH337" s="652"/>
      <c r="BI337" s="652"/>
    </row>
    <row r="338" s="650" customFormat="1" ht="31" customHeight="1" spans="1:108">
      <c r="A338" s="713">
        <v>46136</v>
      </c>
      <c r="B338" s="714" t="s">
        <v>935</v>
      </c>
      <c r="C338" s="715" t="s">
        <v>115</v>
      </c>
      <c r="D338" s="652" t="s">
        <v>5008</v>
      </c>
      <c r="E338" s="1908" t="s">
        <v>1627</v>
      </c>
      <c r="F338" s="652" t="s">
        <v>1628</v>
      </c>
      <c r="G338" s="716" t="s">
        <v>4215</v>
      </c>
      <c r="H338" s="715" t="s">
        <v>483</v>
      </c>
      <c r="I338" s="717">
        <v>4320</v>
      </c>
      <c r="J338" s="715">
        <v>0</v>
      </c>
      <c r="K338" s="715">
        <v>120</v>
      </c>
      <c r="L338" s="715">
        <f t="shared" si="62"/>
        <v>36</v>
      </c>
      <c r="M338" s="719">
        <v>46212</v>
      </c>
      <c r="N338" s="738">
        <v>46226</v>
      </c>
      <c r="O338" s="714"/>
      <c r="P338" s="717" t="s">
        <v>106</v>
      </c>
      <c r="Q338" s="717"/>
      <c r="R338" s="723">
        <v>46155</v>
      </c>
      <c r="S338" s="720" t="s">
        <v>107</v>
      </c>
      <c r="T338" s="720" t="s">
        <v>95</v>
      </c>
      <c r="U338" s="720"/>
      <c r="V338" s="720"/>
      <c r="W338" s="720"/>
      <c r="X338" s="720" t="s">
        <v>937</v>
      </c>
      <c r="Y338" s="719" t="s">
        <v>488</v>
      </c>
      <c r="Z338" s="730">
        <v>642</v>
      </c>
      <c r="AA338" s="652">
        <f>L338*Z338</f>
        <v>23112</v>
      </c>
      <c r="AB338" s="729" t="s">
        <v>1630</v>
      </c>
      <c r="AC338" s="747" t="s">
        <v>490</v>
      </c>
      <c r="AD338" s="715" t="s">
        <v>112</v>
      </c>
      <c r="AE338" s="715">
        <f t="shared" si="61"/>
        <v>4320</v>
      </c>
      <c r="AF338" s="715"/>
      <c r="AG338" s="715">
        <f>4181+139</f>
        <v>4320</v>
      </c>
      <c r="AH338" s="715">
        <f t="shared" si="58"/>
        <v>0</v>
      </c>
      <c r="AI338" s="717"/>
      <c r="AJ338" s="715" t="s">
        <v>3981</v>
      </c>
      <c r="AK338" s="652"/>
      <c r="AL338" s="652"/>
      <c r="AM338" s="652"/>
      <c r="AN338" s="652"/>
      <c r="AO338" s="652"/>
      <c r="AP338" s="652"/>
      <c r="AQ338" s="652">
        <f>I338</f>
        <v>4320</v>
      </c>
      <c r="AR338" s="652">
        <f>I338</f>
        <v>4320</v>
      </c>
      <c r="AS338" s="652">
        <f>I338/6</f>
        <v>720</v>
      </c>
      <c r="AT338" s="652"/>
      <c r="AU338" s="652"/>
      <c r="AV338" s="652"/>
      <c r="AW338" s="652"/>
      <c r="AX338" s="652"/>
      <c r="AY338" s="652"/>
      <c r="AZ338" s="652"/>
      <c r="BA338" s="652"/>
      <c r="BB338" s="652"/>
      <c r="BC338" s="652"/>
      <c r="BD338" s="652"/>
      <c r="BE338" s="652"/>
      <c r="BF338" s="652"/>
      <c r="BG338" s="652"/>
      <c r="BH338" s="652"/>
      <c r="BI338" s="652"/>
      <c r="BJ338" s="650"/>
      <c r="BK338" s="650"/>
      <c r="BL338" s="650"/>
      <c r="BM338" s="650"/>
      <c r="BN338" s="650"/>
      <c r="BO338" s="650"/>
      <c r="BP338" s="650"/>
      <c r="BQ338" s="650"/>
      <c r="BR338" s="650"/>
      <c r="BS338" s="650"/>
      <c r="BT338" s="650"/>
      <c r="BU338" s="650"/>
      <c r="BV338" s="650"/>
      <c r="BW338" s="650"/>
      <c r="BX338" s="650"/>
      <c r="BY338" s="650"/>
      <c r="BZ338" s="650"/>
      <c r="CA338" s="650"/>
      <c r="CB338" s="650"/>
      <c r="CC338" s="650"/>
      <c r="CD338" s="650"/>
      <c r="CE338" s="650"/>
      <c r="CF338" s="650"/>
      <c r="CG338" s="650"/>
      <c r="CH338" s="650"/>
      <c r="CI338" s="650"/>
      <c r="CJ338" s="650"/>
      <c r="CK338" s="650"/>
      <c r="CL338" s="650"/>
      <c r="CM338" s="650"/>
      <c r="CN338" s="650"/>
      <c r="CO338" s="650"/>
      <c r="CP338" s="650"/>
      <c r="CQ338" s="650"/>
      <c r="CR338" s="650"/>
      <c r="CS338" s="651"/>
      <c r="CT338" s="651"/>
      <c r="CU338" s="651"/>
      <c r="CV338" s="651"/>
      <c r="CW338" s="651"/>
      <c r="CX338" s="651"/>
      <c r="CY338" s="651"/>
      <c r="CZ338" s="651"/>
      <c r="DA338" s="651"/>
      <c r="DB338" s="651"/>
      <c r="DC338" s="651"/>
      <c r="DD338" s="651"/>
    </row>
    <row r="339" s="650" customFormat="1" ht="31" customHeight="1" spans="1:108">
      <c r="A339" s="713">
        <v>46136</v>
      </c>
      <c r="B339" s="714" t="s">
        <v>935</v>
      </c>
      <c r="C339" s="715" t="s">
        <v>115</v>
      </c>
      <c r="D339" s="652" t="s">
        <v>5009</v>
      </c>
      <c r="E339" s="1908" t="s">
        <v>5010</v>
      </c>
      <c r="F339" s="652" t="s">
        <v>1631</v>
      </c>
      <c r="G339" s="716" t="s">
        <v>4215</v>
      </c>
      <c r="H339" s="715" t="s">
        <v>483</v>
      </c>
      <c r="I339" s="717">
        <v>4320</v>
      </c>
      <c r="J339" s="715">
        <v>0</v>
      </c>
      <c r="K339" s="715">
        <v>120</v>
      </c>
      <c r="L339" s="715">
        <f t="shared" si="62"/>
        <v>36</v>
      </c>
      <c r="M339" s="719">
        <v>46212</v>
      </c>
      <c r="N339" s="738">
        <v>46226</v>
      </c>
      <c r="O339" s="714"/>
      <c r="P339" s="717" t="s">
        <v>106</v>
      </c>
      <c r="Q339" s="717"/>
      <c r="R339" s="723">
        <v>46155</v>
      </c>
      <c r="S339" s="720" t="s">
        <v>107</v>
      </c>
      <c r="T339" s="720" t="s">
        <v>107</v>
      </c>
      <c r="U339" s="720"/>
      <c r="V339" s="720"/>
      <c r="W339" s="720"/>
      <c r="X339" s="720" t="s">
        <v>937</v>
      </c>
      <c r="Y339" s="719" t="s">
        <v>488</v>
      </c>
      <c r="Z339" s="730">
        <v>642</v>
      </c>
      <c r="AA339" s="652">
        <f>L339*Z339</f>
        <v>23112</v>
      </c>
      <c r="AB339" s="729" t="s">
        <v>1633</v>
      </c>
      <c r="AC339" s="747" t="s">
        <v>490</v>
      </c>
      <c r="AD339" s="715" t="s">
        <v>112</v>
      </c>
      <c r="AE339" s="715">
        <f t="shared" si="61"/>
        <v>4320</v>
      </c>
      <c r="AF339" s="715"/>
      <c r="AG339" s="715">
        <f>812+3508</f>
        <v>4320</v>
      </c>
      <c r="AH339" s="715">
        <f t="shared" si="58"/>
        <v>0</v>
      </c>
      <c r="AI339" s="717"/>
      <c r="AJ339" s="715" t="s">
        <v>3981</v>
      </c>
      <c r="AK339" s="652"/>
      <c r="AL339" s="652"/>
      <c r="AM339" s="652"/>
      <c r="AN339" s="652"/>
      <c r="AO339" s="652"/>
      <c r="AP339" s="652"/>
      <c r="AQ339" s="652">
        <f>I339</f>
        <v>4320</v>
      </c>
      <c r="AR339" s="652">
        <f>I339</f>
        <v>4320</v>
      </c>
      <c r="AS339" s="652">
        <f>I339/6</f>
        <v>720</v>
      </c>
      <c r="AT339" s="652"/>
      <c r="AU339" s="652"/>
      <c r="AV339" s="652"/>
      <c r="AW339" s="652"/>
      <c r="AX339" s="652"/>
      <c r="AY339" s="652"/>
      <c r="AZ339" s="652"/>
      <c r="BA339" s="652"/>
      <c r="BB339" s="652"/>
      <c r="BC339" s="652"/>
      <c r="BD339" s="652"/>
      <c r="BE339" s="652"/>
      <c r="BF339" s="652"/>
      <c r="BG339" s="652"/>
      <c r="BH339" s="652"/>
      <c r="BI339" s="652"/>
    </row>
    <row r="340" s="650" customFormat="1" ht="31" customHeight="1" spans="1:108">
      <c r="A340" s="713">
        <v>46142</v>
      </c>
      <c r="B340" s="714" t="s">
        <v>1438</v>
      </c>
      <c r="C340" s="715" t="s">
        <v>1439</v>
      </c>
      <c r="D340" s="652" t="s">
        <v>5011</v>
      </c>
      <c r="E340" s="715" t="s">
        <v>5012</v>
      </c>
      <c r="F340" s="652" t="s">
        <v>5013</v>
      </c>
      <c r="G340" s="716" t="s">
        <v>3968</v>
      </c>
      <c r="H340" s="715" t="s">
        <v>3969</v>
      </c>
      <c r="I340" s="717">
        <v>368</v>
      </c>
      <c r="J340" s="715">
        <v>0</v>
      </c>
      <c r="K340" s="715">
        <v>16</v>
      </c>
      <c r="L340" s="715">
        <f t="shared" si="62"/>
        <v>23</v>
      </c>
      <c r="M340" s="719">
        <v>46213</v>
      </c>
      <c r="N340" s="719">
        <v>46209</v>
      </c>
      <c r="O340" s="714" t="s">
        <v>5014</v>
      </c>
      <c r="P340" s="751" t="s">
        <v>267</v>
      </c>
      <c r="Q340" s="717"/>
      <c r="R340" s="723" t="s">
        <v>5015</v>
      </c>
      <c r="S340" s="720" t="s">
        <v>107</v>
      </c>
      <c r="T340" s="720" t="s">
        <v>5016</v>
      </c>
      <c r="U340" s="720"/>
      <c r="V340" s="720" t="s">
        <v>5017</v>
      </c>
      <c r="W340" s="720" t="s">
        <v>5014</v>
      </c>
      <c r="X340" s="720" t="s">
        <v>5018</v>
      </c>
      <c r="Y340" s="719" t="s">
        <v>1446</v>
      </c>
      <c r="Z340" s="730">
        <v>4.4798</v>
      </c>
      <c r="AA340" s="652">
        <f t="shared" ref="AA340:AA348" si="70">I340*Z340</f>
        <v>1648.5664</v>
      </c>
      <c r="AB340" s="721"/>
      <c r="AC340" s="747" t="s">
        <v>4426</v>
      </c>
      <c r="AD340" s="715" t="s">
        <v>112</v>
      </c>
      <c r="AE340" s="715">
        <f t="shared" si="61"/>
        <v>368</v>
      </c>
      <c r="AF340" s="715"/>
      <c r="AG340" s="715">
        <v>368</v>
      </c>
      <c r="AH340" s="715">
        <f t="shared" si="58"/>
        <v>0</v>
      </c>
      <c r="AI340" s="717"/>
      <c r="AJ340" s="715" t="s">
        <v>3981</v>
      </c>
      <c r="AK340" s="652"/>
      <c r="AL340" s="652">
        <f>I340</f>
        <v>368</v>
      </c>
      <c r="AM340" s="652"/>
      <c r="AN340" s="652">
        <f t="shared" ref="AN340:AN349" si="71">I340</f>
        <v>368</v>
      </c>
      <c r="AO340" s="652"/>
      <c r="AP340" s="652"/>
      <c r="AQ340" s="652"/>
      <c r="AR340" s="652"/>
      <c r="AS340" s="652"/>
      <c r="AT340" s="652"/>
      <c r="AU340" s="652"/>
      <c r="AV340" s="652"/>
      <c r="AW340" s="652"/>
      <c r="AX340" s="652"/>
      <c r="AY340" s="652"/>
      <c r="AZ340" s="652"/>
      <c r="BA340" s="652"/>
      <c r="BB340" s="652"/>
      <c r="BC340" s="652"/>
      <c r="BD340" s="652"/>
      <c r="BE340" s="652"/>
      <c r="BF340" s="652"/>
      <c r="BG340" s="652"/>
      <c r="BH340" s="652"/>
      <c r="BI340" s="652"/>
    </row>
    <row r="341" s="650" customFormat="1" ht="31" customHeight="1" spans="1:108">
      <c r="A341" s="713">
        <v>46142</v>
      </c>
      <c r="B341" s="714" t="s">
        <v>1438</v>
      </c>
      <c r="C341" s="715" t="s">
        <v>1439</v>
      </c>
      <c r="D341" s="652" t="s">
        <v>5019</v>
      </c>
      <c r="E341" s="715" t="s">
        <v>5020</v>
      </c>
      <c r="F341" s="652" t="s">
        <v>5021</v>
      </c>
      <c r="G341" s="716" t="s">
        <v>3968</v>
      </c>
      <c r="H341" s="715" t="s">
        <v>3969</v>
      </c>
      <c r="I341" s="717">
        <v>656</v>
      </c>
      <c r="J341" s="715">
        <v>0</v>
      </c>
      <c r="K341" s="715">
        <v>16</v>
      </c>
      <c r="L341" s="715">
        <f t="shared" si="62"/>
        <v>41</v>
      </c>
      <c r="M341" s="719">
        <v>46213</v>
      </c>
      <c r="N341" s="719">
        <v>46209</v>
      </c>
      <c r="O341" s="714"/>
      <c r="P341" s="751" t="s">
        <v>267</v>
      </c>
      <c r="Q341" s="717"/>
      <c r="R341" s="723" t="s">
        <v>5015</v>
      </c>
      <c r="S341" s="720" t="s">
        <v>107</v>
      </c>
      <c r="T341" s="720" t="s">
        <v>5016</v>
      </c>
      <c r="U341" s="720"/>
      <c r="V341" s="720" t="s">
        <v>5017</v>
      </c>
      <c r="W341" s="720"/>
      <c r="X341" s="720" t="s">
        <v>5022</v>
      </c>
      <c r="Y341" s="719" t="s">
        <v>1446</v>
      </c>
      <c r="Z341" s="730">
        <v>4.4798</v>
      </c>
      <c r="AA341" s="652">
        <f t="shared" si="70"/>
        <v>2938.7488</v>
      </c>
      <c r="AB341" s="721"/>
      <c r="AC341" s="747" t="s">
        <v>4426</v>
      </c>
      <c r="AD341" s="715" t="s">
        <v>112</v>
      </c>
      <c r="AE341" s="715">
        <f t="shared" si="61"/>
        <v>656</v>
      </c>
      <c r="AF341" s="715"/>
      <c r="AG341" s="715">
        <v>656</v>
      </c>
      <c r="AH341" s="715">
        <f t="shared" si="58"/>
        <v>0</v>
      </c>
      <c r="AI341" s="717"/>
      <c r="AJ341" s="715" t="s">
        <v>3981</v>
      </c>
      <c r="AK341" s="652"/>
      <c r="AL341" s="652">
        <f>I341</f>
        <v>656</v>
      </c>
      <c r="AM341" s="652"/>
      <c r="AN341" s="652">
        <f t="shared" si="71"/>
        <v>656</v>
      </c>
      <c r="AO341" s="652"/>
      <c r="AP341" s="652"/>
      <c r="AQ341" s="652"/>
      <c r="AR341" s="652"/>
      <c r="AS341" s="652"/>
      <c r="AT341" s="652"/>
      <c r="AU341" s="652"/>
      <c r="AV341" s="652"/>
      <c r="AW341" s="652"/>
      <c r="AX341" s="652"/>
      <c r="AY341" s="652"/>
      <c r="AZ341" s="652"/>
      <c r="BA341" s="652"/>
      <c r="BB341" s="652"/>
      <c r="BC341" s="652"/>
      <c r="BD341" s="652"/>
      <c r="BE341" s="652"/>
      <c r="BF341" s="652"/>
      <c r="BG341" s="652"/>
      <c r="BH341" s="652"/>
      <c r="BI341" s="652"/>
    </row>
    <row r="342" s="650" customFormat="1" ht="31" customHeight="1" spans="1:108">
      <c r="A342" s="713">
        <v>46142</v>
      </c>
      <c r="B342" s="714" t="s">
        <v>1438</v>
      </c>
      <c r="C342" s="715" t="s">
        <v>1439</v>
      </c>
      <c r="D342" s="652" t="s">
        <v>5023</v>
      </c>
      <c r="E342" s="715" t="s">
        <v>5024</v>
      </c>
      <c r="F342" s="652" t="s">
        <v>5025</v>
      </c>
      <c r="G342" s="716" t="s">
        <v>3968</v>
      </c>
      <c r="H342" s="715" t="s">
        <v>3969</v>
      </c>
      <c r="I342" s="717">
        <v>384</v>
      </c>
      <c r="J342" s="715">
        <v>0</v>
      </c>
      <c r="K342" s="715">
        <v>16</v>
      </c>
      <c r="L342" s="715">
        <f t="shared" si="62"/>
        <v>24</v>
      </c>
      <c r="M342" s="719">
        <v>46213</v>
      </c>
      <c r="N342" s="719">
        <v>46209</v>
      </c>
      <c r="O342" s="714"/>
      <c r="P342" s="751" t="s">
        <v>267</v>
      </c>
      <c r="Q342" s="717"/>
      <c r="R342" s="723" t="s">
        <v>5015</v>
      </c>
      <c r="S342" s="720" t="s">
        <v>107</v>
      </c>
      <c r="T342" s="720" t="s">
        <v>5016</v>
      </c>
      <c r="U342" s="720"/>
      <c r="V342" s="720" t="s">
        <v>5017</v>
      </c>
      <c r="W342" s="720"/>
      <c r="X342" s="720" t="s">
        <v>5022</v>
      </c>
      <c r="Y342" s="719" t="s">
        <v>1446</v>
      </c>
      <c r="Z342" s="730">
        <v>4.4798</v>
      </c>
      <c r="AA342" s="652">
        <f t="shared" si="70"/>
        <v>1720.2432</v>
      </c>
      <c r="AB342" s="721"/>
      <c r="AC342" s="747" t="s">
        <v>4426</v>
      </c>
      <c r="AD342" s="715" t="s">
        <v>112</v>
      </c>
      <c r="AE342" s="715">
        <f t="shared" si="61"/>
        <v>384</v>
      </c>
      <c r="AF342" s="715"/>
      <c r="AG342" s="715">
        <v>384</v>
      </c>
      <c r="AH342" s="715">
        <f t="shared" si="58"/>
        <v>0</v>
      </c>
      <c r="AI342" s="717"/>
      <c r="AJ342" s="715" t="s">
        <v>3981</v>
      </c>
      <c r="AK342" s="652"/>
      <c r="AL342" s="652">
        <f>I342</f>
        <v>384</v>
      </c>
      <c r="AM342" s="652"/>
      <c r="AN342" s="652">
        <f t="shared" si="71"/>
        <v>384</v>
      </c>
      <c r="AO342" s="652"/>
      <c r="AP342" s="652"/>
      <c r="AQ342" s="652"/>
      <c r="AR342" s="652"/>
      <c r="AS342" s="652"/>
      <c r="AT342" s="652"/>
      <c r="AU342" s="652"/>
      <c r="AV342" s="652"/>
      <c r="AW342" s="652"/>
      <c r="AX342" s="652"/>
      <c r="AY342" s="652"/>
      <c r="AZ342" s="652"/>
      <c r="BA342" s="652"/>
      <c r="BB342" s="652"/>
      <c r="BC342" s="652"/>
      <c r="BD342" s="652"/>
      <c r="BE342" s="652"/>
      <c r="BF342" s="652"/>
      <c r="BG342" s="652"/>
      <c r="BH342" s="652"/>
      <c r="BI342" s="652"/>
    </row>
    <row r="343" s="650" customFormat="1" ht="31" customHeight="1" spans="1:108">
      <c r="A343" s="713">
        <v>46142</v>
      </c>
      <c r="B343" s="714" t="s">
        <v>1438</v>
      </c>
      <c r="C343" s="715" t="s">
        <v>1439</v>
      </c>
      <c r="D343" s="652" t="s">
        <v>5026</v>
      </c>
      <c r="E343" s="715" t="s">
        <v>5027</v>
      </c>
      <c r="F343" s="652" t="s">
        <v>5028</v>
      </c>
      <c r="G343" s="716" t="s">
        <v>3968</v>
      </c>
      <c r="H343" s="715" t="s">
        <v>3969</v>
      </c>
      <c r="I343" s="717">
        <v>752</v>
      </c>
      <c r="J343" s="715">
        <v>0</v>
      </c>
      <c r="K343" s="715">
        <v>16</v>
      </c>
      <c r="L343" s="715">
        <f t="shared" si="62"/>
        <v>47</v>
      </c>
      <c r="M343" s="719">
        <v>46213</v>
      </c>
      <c r="N343" s="719">
        <v>46209</v>
      </c>
      <c r="O343" s="714"/>
      <c r="P343" s="751" t="s">
        <v>267</v>
      </c>
      <c r="Q343" s="717"/>
      <c r="R343" s="723" t="s">
        <v>5015</v>
      </c>
      <c r="S343" s="720" t="s">
        <v>107</v>
      </c>
      <c r="T343" s="720" t="s">
        <v>5016</v>
      </c>
      <c r="U343" s="720"/>
      <c r="V343" s="720" t="s">
        <v>5017</v>
      </c>
      <c r="W343" s="720"/>
      <c r="X343" s="720" t="s">
        <v>5029</v>
      </c>
      <c r="Y343" s="719" t="s">
        <v>1446</v>
      </c>
      <c r="Z343" s="730">
        <v>4.4798</v>
      </c>
      <c r="AA343" s="652">
        <f t="shared" si="70"/>
        <v>3368.8096</v>
      </c>
      <c r="AB343" s="721"/>
      <c r="AC343" s="747" t="s">
        <v>4426</v>
      </c>
      <c r="AD343" s="715" t="s">
        <v>112</v>
      </c>
      <c r="AE343" s="715">
        <f t="shared" si="61"/>
        <v>752</v>
      </c>
      <c r="AF343" s="715"/>
      <c r="AG343" s="715">
        <v>752</v>
      </c>
      <c r="AH343" s="715">
        <f t="shared" si="58"/>
        <v>0</v>
      </c>
      <c r="AI343" s="717"/>
      <c r="AJ343" s="715" t="s">
        <v>3981</v>
      </c>
      <c r="AK343" s="652"/>
      <c r="AL343" s="652">
        <f>I343</f>
        <v>752</v>
      </c>
      <c r="AM343" s="652"/>
      <c r="AN343" s="652">
        <f t="shared" si="71"/>
        <v>752</v>
      </c>
      <c r="AO343" s="652"/>
      <c r="AP343" s="652"/>
      <c r="AQ343" s="652"/>
      <c r="AR343" s="652"/>
      <c r="AS343" s="652"/>
      <c r="AT343" s="652"/>
      <c r="AU343" s="652"/>
      <c r="AV343" s="652"/>
      <c r="AW343" s="652"/>
      <c r="AX343" s="652"/>
      <c r="AY343" s="652"/>
      <c r="AZ343" s="652"/>
      <c r="BA343" s="652"/>
      <c r="BB343" s="652"/>
      <c r="BC343" s="652"/>
      <c r="BD343" s="652"/>
      <c r="BE343" s="652"/>
      <c r="BF343" s="652"/>
      <c r="BG343" s="652"/>
      <c r="BH343" s="652"/>
      <c r="BI343" s="652"/>
    </row>
    <row r="344" s="650" customFormat="1" ht="31" customHeight="1" spans="1:108">
      <c r="A344" s="713">
        <v>46142</v>
      </c>
      <c r="B344" s="714" t="s">
        <v>1438</v>
      </c>
      <c r="C344" s="715" t="s">
        <v>1439</v>
      </c>
      <c r="D344" s="652" t="s">
        <v>5030</v>
      </c>
      <c r="E344" s="715" t="s">
        <v>5031</v>
      </c>
      <c r="F344" s="652" t="s">
        <v>5032</v>
      </c>
      <c r="G344" s="716" t="s">
        <v>3968</v>
      </c>
      <c r="H344" s="715" t="s">
        <v>3969</v>
      </c>
      <c r="I344" s="717">
        <v>464</v>
      </c>
      <c r="J344" s="715">
        <v>0</v>
      </c>
      <c r="K344" s="715">
        <v>16</v>
      </c>
      <c r="L344" s="715">
        <f t="shared" si="62"/>
        <v>29</v>
      </c>
      <c r="M344" s="719">
        <v>46213</v>
      </c>
      <c r="N344" s="719">
        <v>46209</v>
      </c>
      <c r="O344" s="714"/>
      <c r="P344" s="751" t="s">
        <v>267</v>
      </c>
      <c r="Q344" s="717"/>
      <c r="R344" s="723" t="s">
        <v>5015</v>
      </c>
      <c r="S344" s="720" t="s">
        <v>107</v>
      </c>
      <c r="T344" s="720" t="s">
        <v>5016</v>
      </c>
      <c r="U344" s="720"/>
      <c r="V344" s="720" t="s">
        <v>5017</v>
      </c>
      <c r="W344" s="720"/>
      <c r="X344" s="720" t="s">
        <v>5022</v>
      </c>
      <c r="Y344" s="719" t="s">
        <v>1446</v>
      </c>
      <c r="Z344" s="730">
        <v>4.4798</v>
      </c>
      <c r="AA344" s="652">
        <f t="shared" si="70"/>
        <v>2078.6272</v>
      </c>
      <c r="AB344" s="721"/>
      <c r="AC344" s="747" t="s">
        <v>4426</v>
      </c>
      <c r="AD344" s="715" t="s">
        <v>112</v>
      </c>
      <c r="AE344" s="715">
        <f t="shared" si="61"/>
        <v>464</v>
      </c>
      <c r="AF344" s="715"/>
      <c r="AG344" s="715">
        <v>464</v>
      </c>
      <c r="AH344" s="715">
        <f t="shared" si="58"/>
        <v>0</v>
      </c>
      <c r="AI344" s="717"/>
      <c r="AJ344" s="715" t="s">
        <v>3981</v>
      </c>
      <c r="AK344" s="652"/>
      <c r="AL344" s="652">
        <f>I344</f>
        <v>464</v>
      </c>
      <c r="AM344" s="652"/>
      <c r="AN344" s="652">
        <f t="shared" si="71"/>
        <v>464</v>
      </c>
      <c r="AO344" s="652"/>
      <c r="AP344" s="652"/>
      <c r="AQ344" s="652"/>
      <c r="AR344" s="652"/>
      <c r="AS344" s="652"/>
      <c r="AT344" s="652"/>
      <c r="AU344" s="652"/>
      <c r="AV344" s="652"/>
      <c r="AW344" s="652"/>
      <c r="AX344" s="652"/>
      <c r="AY344" s="652"/>
      <c r="AZ344" s="652"/>
      <c r="BA344" s="652"/>
      <c r="BB344" s="652"/>
      <c r="BC344" s="652"/>
      <c r="BD344" s="652"/>
      <c r="BE344" s="652"/>
      <c r="BF344" s="652"/>
      <c r="BG344" s="652"/>
      <c r="BH344" s="652"/>
      <c r="BI344" s="652"/>
    </row>
    <row r="345" s="650" customFormat="1" ht="31" customHeight="1" spans="1:108">
      <c r="A345" s="713">
        <v>46150</v>
      </c>
      <c r="B345" s="714" t="s">
        <v>5033</v>
      </c>
      <c r="C345" s="715" t="s">
        <v>1144</v>
      </c>
      <c r="D345" s="652" t="s">
        <v>5034</v>
      </c>
      <c r="E345" s="715" t="s">
        <v>628</v>
      </c>
      <c r="F345" s="652" t="s">
        <v>5035</v>
      </c>
      <c r="G345" s="716" t="s">
        <v>3973</v>
      </c>
      <c r="H345" s="715" t="s">
        <v>3995</v>
      </c>
      <c r="I345" s="717">
        <v>800</v>
      </c>
      <c r="J345" s="715">
        <v>0</v>
      </c>
      <c r="K345" s="715">
        <v>16</v>
      </c>
      <c r="L345" s="715">
        <f t="shared" si="62"/>
        <v>50</v>
      </c>
      <c r="M345" s="719">
        <v>46213</v>
      </c>
      <c r="N345" s="719">
        <v>46209</v>
      </c>
      <c r="O345" s="714"/>
      <c r="P345" s="717" t="s">
        <v>106</v>
      </c>
      <c r="Q345" s="717"/>
      <c r="R345" s="723">
        <v>46150</v>
      </c>
      <c r="S345" s="720" t="s">
        <v>95</v>
      </c>
      <c r="T345" s="720" t="s">
        <v>5036</v>
      </c>
      <c r="U345" s="720"/>
      <c r="V345" s="720"/>
      <c r="W345" s="720"/>
      <c r="X345" s="720" t="s">
        <v>5037</v>
      </c>
      <c r="Y345" s="719" t="s">
        <v>1148</v>
      </c>
      <c r="Z345" s="730">
        <v>4.6645</v>
      </c>
      <c r="AA345" s="652">
        <f t="shared" si="70"/>
        <v>3731.6</v>
      </c>
      <c r="AB345" s="721"/>
      <c r="AC345" s="747" t="s">
        <v>3973</v>
      </c>
      <c r="AD345" s="715" t="s">
        <v>112</v>
      </c>
      <c r="AE345" s="715">
        <f t="shared" si="61"/>
        <v>800</v>
      </c>
      <c r="AF345" s="715"/>
      <c r="AG345" s="715">
        <v>800</v>
      </c>
      <c r="AH345" s="715">
        <f t="shared" si="58"/>
        <v>0</v>
      </c>
      <c r="AI345" s="717"/>
      <c r="AJ345" s="715" t="s">
        <v>3981</v>
      </c>
      <c r="AK345" s="652">
        <f>I345</f>
        <v>800</v>
      </c>
      <c r="AL345" s="652"/>
      <c r="AM345" s="652"/>
      <c r="AN345" s="652">
        <f t="shared" si="71"/>
        <v>800</v>
      </c>
      <c r="AO345" s="652"/>
      <c r="AP345" s="652"/>
      <c r="AQ345" s="652"/>
      <c r="AR345" s="652"/>
      <c r="AS345" s="652"/>
      <c r="AT345" s="652">
        <f>I345/8</f>
        <v>100</v>
      </c>
      <c r="AU345" s="652"/>
      <c r="AV345" s="652"/>
      <c r="AW345" s="652"/>
      <c r="AX345" s="652"/>
      <c r="AY345" s="652"/>
      <c r="AZ345" s="652"/>
      <c r="BA345" s="652"/>
      <c r="BB345" s="652"/>
      <c r="BC345" s="652"/>
      <c r="BD345" s="652"/>
      <c r="BE345" s="652"/>
      <c r="BF345" s="652"/>
      <c r="BG345" s="652"/>
      <c r="BH345" s="652"/>
      <c r="BI345" s="652"/>
      <c r="BJ345" s="740"/>
      <c r="BK345" s="740"/>
      <c r="BL345" s="740"/>
      <c r="BM345" s="740"/>
      <c r="BN345" s="740"/>
      <c r="BO345" s="740"/>
      <c r="BP345" s="740"/>
      <c r="BQ345" s="740"/>
      <c r="BR345" s="740"/>
      <c r="BS345" s="740"/>
      <c r="BT345" s="740"/>
      <c r="BU345" s="740"/>
      <c r="BV345" s="740"/>
      <c r="BW345" s="740"/>
      <c r="BX345" s="740"/>
      <c r="BY345" s="740"/>
      <c r="BZ345" s="740"/>
      <c r="CA345" s="740"/>
      <c r="CB345" s="740"/>
      <c r="CC345" s="740"/>
      <c r="CD345" s="740"/>
      <c r="CE345" s="740"/>
      <c r="CF345" s="740"/>
      <c r="CG345" s="740"/>
      <c r="CH345" s="740"/>
      <c r="CI345" s="740"/>
      <c r="CJ345" s="740"/>
      <c r="CK345" s="740"/>
      <c r="CL345" s="740"/>
      <c r="CM345" s="740"/>
      <c r="CN345" s="740"/>
      <c r="CO345" s="740"/>
      <c r="CP345" s="740"/>
      <c r="CQ345" s="740"/>
      <c r="CR345" s="740"/>
      <c r="CS345" s="651"/>
      <c r="CT345" s="651"/>
      <c r="CU345" s="651"/>
      <c r="CV345" s="651"/>
      <c r="CW345" s="651"/>
      <c r="CX345" s="651"/>
      <c r="CY345" s="651"/>
      <c r="CZ345" s="651"/>
      <c r="DA345" s="651"/>
      <c r="DB345" s="651"/>
      <c r="DC345" s="651"/>
      <c r="DD345" s="651"/>
    </row>
    <row r="346" s="651" customFormat="1" ht="31" customHeight="1" spans="1:108">
      <c r="A346" s="713">
        <v>46169</v>
      </c>
      <c r="B346" s="714" t="s">
        <v>1647</v>
      </c>
      <c r="C346" s="715" t="s">
        <v>1439</v>
      </c>
      <c r="D346" s="652" t="s">
        <v>5038</v>
      </c>
      <c r="E346" s="715" t="s">
        <v>5039</v>
      </c>
      <c r="F346" s="652" t="s">
        <v>5040</v>
      </c>
      <c r="G346" s="716" t="s">
        <v>3973</v>
      </c>
      <c r="H346" s="715" t="s">
        <v>3995</v>
      </c>
      <c r="I346" s="717">
        <v>3600</v>
      </c>
      <c r="J346" s="715">
        <v>0</v>
      </c>
      <c r="K346" s="715">
        <v>16</v>
      </c>
      <c r="L346" s="715">
        <f t="shared" si="62"/>
        <v>225</v>
      </c>
      <c r="M346" s="719">
        <v>46213</v>
      </c>
      <c r="N346" s="719">
        <v>46209</v>
      </c>
      <c r="O346" s="714" t="s">
        <v>5041</v>
      </c>
      <c r="P346" s="717" t="s">
        <v>106</v>
      </c>
      <c r="Q346" s="717"/>
      <c r="R346" s="723">
        <v>46169</v>
      </c>
      <c r="S346" s="720" t="s">
        <v>107</v>
      </c>
      <c r="T346" s="720" t="s">
        <v>5042</v>
      </c>
      <c r="U346" s="720"/>
      <c r="V346" s="720" t="s">
        <v>5043</v>
      </c>
      <c r="W346" s="720"/>
      <c r="X346" s="720" t="s">
        <v>5044</v>
      </c>
      <c r="Y346" s="719" t="s">
        <v>1477</v>
      </c>
      <c r="Z346" s="730">
        <v>4.6933</v>
      </c>
      <c r="AA346" s="652">
        <f t="shared" si="70"/>
        <v>16895.88</v>
      </c>
      <c r="AB346" s="721"/>
      <c r="AC346" s="747" t="s">
        <v>4108</v>
      </c>
      <c r="AD346" s="715" t="s">
        <v>112</v>
      </c>
      <c r="AE346" s="715">
        <f t="shared" si="61"/>
        <v>3600</v>
      </c>
      <c r="AF346" s="715"/>
      <c r="AG346" s="715">
        <v>3600</v>
      </c>
      <c r="AH346" s="715">
        <f t="shared" si="58"/>
        <v>0</v>
      </c>
      <c r="AI346" s="717"/>
      <c r="AJ346" s="715" t="s">
        <v>3981</v>
      </c>
      <c r="AK346" s="652"/>
      <c r="AL346" s="652">
        <f>I346</f>
        <v>3600</v>
      </c>
      <c r="AM346" s="652"/>
      <c r="AN346" s="652">
        <f t="shared" si="71"/>
        <v>3600</v>
      </c>
      <c r="AO346" s="652"/>
      <c r="AP346" s="652"/>
      <c r="AQ346" s="652"/>
      <c r="AR346" s="652"/>
      <c r="AS346" s="652"/>
      <c r="AT346" s="652"/>
      <c r="AU346" s="652">
        <f>I346/8</f>
        <v>450</v>
      </c>
      <c r="AV346" s="652"/>
      <c r="AW346" s="652"/>
      <c r="AX346" s="652"/>
      <c r="AY346" s="652"/>
      <c r="AZ346" s="652"/>
      <c r="BA346" s="652"/>
      <c r="BB346" s="652"/>
      <c r="BC346" s="652"/>
      <c r="BD346" s="652"/>
      <c r="BE346" s="652"/>
      <c r="BF346" s="652"/>
      <c r="BG346" s="652"/>
      <c r="BH346" s="652"/>
      <c r="BI346" s="652"/>
      <c r="BJ346" s="650"/>
      <c r="BK346" s="650"/>
      <c r="BL346" s="650"/>
      <c r="BM346" s="650"/>
      <c r="BN346" s="650"/>
      <c r="BO346" s="650"/>
      <c r="BP346" s="650"/>
      <c r="BQ346" s="650"/>
      <c r="BR346" s="650"/>
      <c r="BS346" s="650"/>
      <c r="BT346" s="650"/>
      <c r="BU346" s="650"/>
      <c r="BV346" s="650"/>
      <c r="BW346" s="650"/>
      <c r="BX346" s="650"/>
      <c r="BY346" s="650"/>
      <c r="BZ346" s="650"/>
      <c r="CA346" s="650"/>
      <c r="CB346" s="650"/>
      <c r="CC346" s="650"/>
      <c r="CD346" s="650"/>
      <c r="CE346" s="650"/>
      <c r="CF346" s="650"/>
      <c r="CG346" s="650"/>
      <c r="CH346" s="650"/>
      <c r="CI346" s="650"/>
      <c r="CJ346" s="650"/>
      <c r="CK346" s="650"/>
      <c r="CL346" s="650"/>
      <c r="CM346" s="650"/>
      <c r="CN346" s="650"/>
      <c r="CO346" s="650"/>
      <c r="CP346" s="650"/>
      <c r="CQ346" s="650"/>
      <c r="CR346" s="650"/>
      <c r="CS346" s="650"/>
      <c r="CT346" s="650"/>
      <c r="CU346" s="650"/>
      <c r="CV346" s="650"/>
      <c r="CW346" s="650"/>
      <c r="CX346" s="650"/>
      <c r="CY346" s="650"/>
      <c r="CZ346" s="650"/>
      <c r="DA346" s="650"/>
      <c r="DB346" s="650"/>
      <c r="DC346" s="650"/>
      <c r="DD346" s="650"/>
    </row>
    <row r="347" s="650" customFormat="1" ht="31" customHeight="1" spans="1:108">
      <c r="A347" s="713">
        <v>46140</v>
      </c>
      <c r="B347" s="714" t="s">
        <v>1654</v>
      </c>
      <c r="C347" s="715" t="s">
        <v>1655</v>
      </c>
      <c r="D347" s="652" t="s">
        <v>5045</v>
      </c>
      <c r="E347" s="715" t="s">
        <v>628</v>
      </c>
      <c r="F347" s="652" t="s">
        <v>5046</v>
      </c>
      <c r="G347" s="716" t="s">
        <v>3973</v>
      </c>
      <c r="H347" s="715" t="s">
        <v>3995</v>
      </c>
      <c r="I347" s="717">
        <v>1008</v>
      </c>
      <c r="J347" s="715">
        <v>0</v>
      </c>
      <c r="K347" s="715">
        <v>16</v>
      </c>
      <c r="L347" s="715">
        <f t="shared" si="62"/>
        <v>63</v>
      </c>
      <c r="M347" s="719">
        <v>46213</v>
      </c>
      <c r="N347" s="719">
        <v>46209</v>
      </c>
      <c r="O347" s="714"/>
      <c r="P347" s="717" t="s">
        <v>106</v>
      </c>
      <c r="Q347" s="717"/>
      <c r="R347" s="723">
        <v>46178</v>
      </c>
      <c r="S347" s="720" t="s">
        <v>107</v>
      </c>
      <c r="T347" s="720" t="s">
        <v>5047</v>
      </c>
      <c r="U347" s="720"/>
      <c r="V347" s="720" t="s">
        <v>5048</v>
      </c>
      <c r="W347" s="720"/>
      <c r="X347" s="720" t="s">
        <v>5049</v>
      </c>
      <c r="Y347" s="719" t="s">
        <v>295</v>
      </c>
      <c r="Z347" s="730">
        <v>4.5368</v>
      </c>
      <c r="AA347" s="652">
        <f t="shared" si="70"/>
        <v>4573.0944</v>
      </c>
      <c r="AB347" s="721"/>
      <c r="AC347" s="747" t="s">
        <v>4108</v>
      </c>
      <c r="AD347" s="715" t="s">
        <v>112</v>
      </c>
      <c r="AE347" s="715">
        <f t="shared" si="61"/>
        <v>1008</v>
      </c>
      <c r="AF347" s="715"/>
      <c r="AG347" s="715">
        <v>1008</v>
      </c>
      <c r="AH347" s="715">
        <f t="shared" ref="AH347:AH410" si="72">AG347-I347</f>
        <v>0</v>
      </c>
      <c r="AI347" s="717" t="s">
        <v>120</v>
      </c>
      <c r="AJ347" s="715" t="s">
        <v>3981</v>
      </c>
      <c r="AK347" s="652"/>
      <c r="AL347" s="652">
        <f>I347</f>
        <v>1008</v>
      </c>
      <c r="AM347" s="652"/>
      <c r="AN347" s="652">
        <f t="shared" si="71"/>
        <v>1008</v>
      </c>
      <c r="AO347" s="652"/>
      <c r="AP347" s="652"/>
      <c r="AQ347" s="652"/>
      <c r="AR347" s="652"/>
      <c r="AS347" s="652"/>
      <c r="AT347" s="652"/>
      <c r="AU347" s="652">
        <f>I347/8</f>
        <v>126</v>
      </c>
      <c r="AV347" s="652"/>
      <c r="AW347" s="652"/>
      <c r="AX347" s="652"/>
      <c r="AY347" s="652"/>
      <c r="AZ347" s="652"/>
      <c r="BA347" s="652"/>
      <c r="BB347" s="652"/>
      <c r="BC347" s="652"/>
      <c r="BD347" s="652"/>
      <c r="BE347" s="652"/>
      <c r="BF347" s="652"/>
      <c r="BG347" s="652"/>
      <c r="BH347" s="652"/>
      <c r="BI347" s="652"/>
      <c r="CS347" s="654"/>
      <c r="CT347" s="654"/>
      <c r="CU347" s="654"/>
      <c r="CV347" s="654"/>
      <c r="CW347" s="654"/>
      <c r="CX347" s="654"/>
      <c r="CY347" s="654"/>
      <c r="CZ347" s="654"/>
      <c r="DA347" s="654"/>
      <c r="DB347" s="654"/>
      <c r="DC347" s="654"/>
      <c r="DD347" s="654"/>
    </row>
    <row r="348" s="650" customFormat="1" ht="31" customHeight="1" spans="1:108">
      <c r="A348" s="713">
        <v>46136</v>
      </c>
      <c r="B348" s="714" t="s">
        <v>1661</v>
      </c>
      <c r="C348" s="715" t="s">
        <v>1388</v>
      </c>
      <c r="D348" s="652" t="s">
        <v>5050</v>
      </c>
      <c r="E348" s="715" t="s">
        <v>628</v>
      </c>
      <c r="F348" s="652" t="s">
        <v>5051</v>
      </c>
      <c r="G348" s="716" t="s">
        <v>3973</v>
      </c>
      <c r="H348" s="715" t="s">
        <v>3995</v>
      </c>
      <c r="I348" s="717">
        <v>608</v>
      </c>
      <c r="J348" s="715">
        <v>0</v>
      </c>
      <c r="K348" s="715">
        <v>16</v>
      </c>
      <c r="L348" s="715">
        <f t="shared" si="62"/>
        <v>38</v>
      </c>
      <c r="M348" s="719">
        <v>46213</v>
      </c>
      <c r="N348" s="719">
        <v>46209</v>
      </c>
      <c r="O348" s="714"/>
      <c r="P348" s="717" t="s">
        <v>106</v>
      </c>
      <c r="Q348" s="717" t="s">
        <v>1663</v>
      </c>
      <c r="R348" s="723">
        <v>46178</v>
      </c>
      <c r="S348" s="720" t="s">
        <v>107</v>
      </c>
      <c r="T348" s="720" t="s">
        <v>5052</v>
      </c>
      <c r="U348" s="720"/>
      <c r="V348" s="720" t="s">
        <v>4056</v>
      </c>
      <c r="W348" s="720"/>
      <c r="X348" s="720" t="s">
        <v>5053</v>
      </c>
      <c r="Y348" s="719" t="s">
        <v>295</v>
      </c>
      <c r="Z348" s="730">
        <v>4.5847</v>
      </c>
      <c r="AA348" s="652">
        <f t="shared" si="70"/>
        <v>2787.4976</v>
      </c>
      <c r="AB348" s="721"/>
      <c r="AC348" s="747" t="s">
        <v>4108</v>
      </c>
      <c r="AD348" s="715" t="s">
        <v>112</v>
      </c>
      <c r="AE348" s="715">
        <f t="shared" si="61"/>
        <v>608</v>
      </c>
      <c r="AF348" s="715"/>
      <c r="AG348" s="715">
        <v>608</v>
      </c>
      <c r="AH348" s="715">
        <f t="shared" si="72"/>
        <v>0</v>
      </c>
      <c r="AI348" s="717"/>
      <c r="AJ348" s="715" t="s">
        <v>3981</v>
      </c>
      <c r="AK348" s="652"/>
      <c r="AL348" s="652">
        <f>I348</f>
        <v>608</v>
      </c>
      <c r="AM348" s="652"/>
      <c r="AN348" s="652">
        <f t="shared" si="71"/>
        <v>608</v>
      </c>
      <c r="AO348" s="652"/>
      <c r="AP348" s="652"/>
      <c r="AQ348" s="652"/>
      <c r="AR348" s="652"/>
      <c r="AS348" s="652"/>
      <c r="AT348" s="652"/>
      <c r="AU348" s="652">
        <f>I348/8</f>
        <v>76</v>
      </c>
      <c r="AV348" s="652"/>
      <c r="AW348" s="652"/>
      <c r="AX348" s="652"/>
      <c r="AY348" s="652"/>
      <c r="AZ348" s="652"/>
      <c r="BA348" s="652"/>
      <c r="BB348" s="652"/>
      <c r="BC348" s="652"/>
      <c r="BD348" s="652"/>
      <c r="BE348" s="652"/>
      <c r="BF348" s="652"/>
      <c r="BG348" s="652"/>
      <c r="BH348" s="652"/>
      <c r="BI348" s="652"/>
    </row>
    <row r="349" s="650" customFormat="1" ht="31" customHeight="1" spans="1:108">
      <c r="A349" s="713">
        <v>46120</v>
      </c>
      <c r="B349" s="714" t="s">
        <v>1176</v>
      </c>
      <c r="C349" s="715" t="s">
        <v>115</v>
      </c>
      <c r="D349" s="652" t="s">
        <v>4818</v>
      </c>
      <c r="E349" s="715" t="s">
        <v>1177</v>
      </c>
      <c r="F349" s="652" t="s">
        <v>5054</v>
      </c>
      <c r="G349" s="716" t="s">
        <v>3973</v>
      </c>
      <c r="H349" s="715" t="s">
        <v>3995</v>
      </c>
      <c r="I349" s="752">
        <v>8000</v>
      </c>
      <c r="J349" s="715">
        <v>0</v>
      </c>
      <c r="K349" s="715">
        <v>16</v>
      </c>
      <c r="L349" s="715">
        <f t="shared" si="62"/>
        <v>500</v>
      </c>
      <c r="M349" s="719">
        <v>46213</v>
      </c>
      <c r="N349" s="719">
        <v>46209</v>
      </c>
      <c r="O349" s="805" t="s">
        <v>5055</v>
      </c>
      <c r="P349" s="717" t="s">
        <v>106</v>
      </c>
      <c r="Q349" s="717"/>
      <c r="R349" s="723" t="s">
        <v>1179</v>
      </c>
      <c r="S349" s="720" t="s">
        <v>107</v>
      </c>
      <c r="T349" s="720" t="s">
        <v>4821</v>
      </c>
      <c r="U349" s="720"/>
      <c r="V349" s="720" t="s">
        <v>4347</v>
      </c>
      <c r="W349" s="720"/>
      <c r="X349" s="720" t="s">
        <v>1181</v>
      </c>
      <c r="Y349" s="719" t="s">
        <v>473</v>
      </c>
      <c r="Z349" s="730">
        <v>2.613</v>
      </c>
      <c r="AA349" s="652">
        <f t="shared" ref="AA349:AA361" si="73">L349*Z349</f>
        <v>1306.5</v>
      </c>
      <c r="AB349" s="729" t="s">
        <v>1182</v>
      </c>
      <c r="AC349" s="747" t="s">
        <v>3973</v>
      </c>
      <c r="AD349" s="715" t="s">
        <v>112</v>
      </c>
      <c r="AE349" s="715">
        <f t="shared" si="61"/>
        <v>8000</v>
      </c>
      <c r="AF349" s="715"/>
      <c r="AG349" s="715">
        <v>8000</v>
      </c>
      <c r="AH349" s="715">
        <f t="shared" si="72"/>
        <v>0</v>
      </c>
      <c r="AI349" s="717"/>
      <c r="AJ349" s="715" t="s">
        <v>3981</v>
      </c>
      <c r="AK349" s="652">
        <f>I349</f>
        <v>8000</v>
      </c>
      <c r="AL349" s="652"/>
      <c r="AM349" s="652"/>
      <c r="AN349" s="652">
        <f t="shared" si="71"/>
        <v>8000</v>
      </c>
      <c r="AO349" s="652"/>
      <c r="AP349" s="652"/>
      <c r="AQ349" s="652"/>
      <c r="AR349" s="652"/>
      <c r="AS349" s="652"/>
      <c r="AT349" s="652">
        <f>I349/8</f>
        <v>1000</v>
      </c>
      <c r="AU349" s="652"/>
      <c r="AV349" s="652"/>
      <c r="AW349" s="652"/>
      <c r="AX349" s="652"/>
      <c r="AY349" s="652"/>
      <c r="AZ349" s="652"/>
      <c r="BA349" s="652"/>
      <c r="BB349" s="652"/>
      <c r="BC349" s="652"/>
      <c r="BD349" s="652"/>
      <c r="BE349" s="652"/>
      <c r="BF349" s="652"/>
      <c r="BG349" s="652"/>
      <c r="BH349" s="652"/>
      <c r="BI349" s="652"/>
    </row>
    <row r="350" s="650" customFormat="1" ht="31" customHeight="1" spans="1:108">
      <c r="A350" s="713">
        <v>46136</v>
      </c>
      <c r="B350" s="714" t="s">
        <v>935</v>
      </c>
      <c r="C350" s="715" t="s">
        <v>115</v>
      </c>
      <c r="D350" s="652" t="s">
        <v>5056</v>
      </c>
      <c r="E350" s="1908" t="s">
        <v>5057</v>
      </c>
      <c r="F350" s="652" t="s">
        <v>1666</v>
      </c>
      <c r="G350" s="716" t="s">
        <v>4215</v>
      </c>
      <c r="H350" s="715" t="s">
        <v>483</v>
      </c>
      <c r="I350" s="717">
        <v>4320</v>
      </c>
      <c r="J350" s="715">
        <v>0</v>
      </c>
      <c r="K350" s="715">
        <v>120</v>
      </c>
      <c r="L350" s="715">
        <f t="shared" si="62"/>
        <v>36</v>
      </c>
      <c r="M350" s="719">
        <v>46213</v>
      </c>
      <c r="N350" s="738">
        <v>46226</v>
      </c>
      <c r="O350" s="714"/>
      <c r="P350" s="717" t="s">
        <v>106</v>
      </c>
      <c r="Q350" s="717"/>
      <c r="R350" s="723">
        <v>46155</v>
      </c>
      <c r="S350" s="720" t="s">
        <v>107</v>
      </c>
      <c r="T350" s="720" t="s">
        <v>95</v>
      </c>
      <c r="U350" s="720"/>
      <c r="V350" s="720"/>
      <c r="W350" s="720"/>
      <c r="X350" s="720" t="s">
        <v>937</v>
      </c>
      <c r="Y350" s="719" t="s">
        <v>488</v>
      </c>
      <c r="Z350" s="730">
        <v>642</v>
      </c>
      <c r="AA350" s="652">
        <f t="shared" si="73"/>
        <v>23112</v>
      </c>
      <c r="AB350" s="729" t="s">
        <v>1667</v>
      </c>
      <c r="AC350" s="747" t="s">
        <v>490</v>
      </c>
      <c r="AD350" s="715" t="s">
        <v>112</v>
      </c>
      <c r="AE350" s="715">
        <f t="shared" si="61"/>
        <v>4320</v>
      </c>
      <c r="AF350" s="715"/>
      <c r="AG350" s="715">
        <v>4320</v>
      </c>
      <c r="AH350" s="715">
        <f t="shared" si="72"/>
        <v>0</v>
      </c>
      <c r="AI350" s="717"/>
      <c r="AJ350" s="715" t="s">
        <v>3981</v>
      </c>
      <c r="AK350" s="652"/>
      <c r="AL350" s="652"/>
      <c r="AM350" s="652"/>
      <c r="AN350" s="652"/>
      <c r="AO350" s="652"/>
      <c r="AP350" s="652"/>
      <c r="AQ350" s="652">
        <f>I350</f>
        <v>4320</v>
      </c>
      <c r="AR350" s="652">
        <f>I350</f>
        <v>4320</v>
      </c>
      <c r="AS350" s="652">
        <f>I350/6</f>
        <v>720</v>
      </c>
      <c r="AT350" s="652"/>
      <c r="AU350" s="652"/>
      <c r="AV350" s="652"/>
      <c r="AW350" s="652"/>
      <c r="AX350" s="652"/>
      <c r="AY350" s="652"/>
      <c r="AZ350" s="652"/>
      <c r="BA350" s="652"/>
      <c r="BB350" s="652"/>
      <c r="BC350" s="652"/>
      <c r="BD350" s="652"/>
      <c r="BE350" s="652"/>
      <c r="BF350" s="652"/>
      <c r="BG350" s="652"/>
      <c r="BH350" s="652"/>
      <c r="BI350" s="652"/>
    </row>
    <row r="351" s="650" customFormat="1" ht="31" customHeight="1" spans="1:108">
      <c r="A351" s="713">
        <v>46136</v>
      </c>
      <c r="B351" s="714" t="s">
        <v>935</v>
      </c>
      <c r="C351" s="715" t="s">
        <v>115</v>
      </c>
      <c r="D351" s="652" t="s">
        <v>5058</v>
      </c>
      <c r="E351" s="1908" t="s">
        <v>5059</v>
      </c>
      <c r="F351" s="652" t="s">
        <v>1668</v>
      </c>
      <c r="G351" s="716" t="s">
        <v>4215</v>
      </c>
      <c r="H351" s="715" t="s">
        <v>483</v>
      </c>
      <c r="I351" s="717">
        <v>4320</v>
      </c>
      <c r="J351" s="715">
        <v>0</v>
      </c>
      <c r="K351" s="715">
        <v>120</v>
      </c>
      <c r="L351" s="715">
        <f t="shared" si="62"/>
        <v>36</v>
      </c>
      <c r="M351" s="719">
        <v>46213</v>
      </c>
      <c r="N351" s="738">
        <v>46226</v>
      </c>
      <c r="O351" s="714"/>
      <c r="P351" s="717" t="s">
        <v>106</v>
      </c>
      <c r="Q351" s="717"/>
      <c r="R351" s="723">
        <v>46155</v>
      </c>
      <c r="S351" s="720" t="s">
        <v>107</v>
      </c>
      <c r="T351" s="720" t="s">
        <v>95</v>
      </c>
      <c r="U351" s="720"/>
      <c r="V351" s="720"/>
      <c r="W351" s="720"/>
      <c r="X351" s="720" t="s">
        <v>937</v>
      </c>
      <c r="Y351" s="719" t="s">
        <v>488</v>
      </c>
      <c r="Z351" s="730">
        <v>642</v>
      </c>
      <c r="AA351" s="652">
        <f t="shared" si="73"/>
        <v>23112</v>
      </c>
      <c r="AB351" s="729" t="s">
        <v>1669</v>
      </c>
      <c r="AC351" s="747" t="s">
        <v>490</v>
      </c>
      <c r="AD351" s="715" t="s">
        <v>112</v>
      </c>
      <c r="AE351" s="715">
        <f t="shared" si="61"/>
        <v>4320</v>
      </c>
      <c r="AF351" s="715"/>
      <c r="AG351" s="715">
        <v>4320</v>
      </c>
      <c r="AH351" s="715">
        <f t="shared" si="72"/>
        <v>0</v>
      </c>
      <c r="AI351" s="717"/>
      <c r="AJ351" s="715" t="s">
        <v>3981</v>
      </c>
      <c r="AK351" s="652"/>
      <c r="AL351" s="652"/>
      <c r="AM351" s="652"/>
      <c r="AN351" s="652"/>
      <c r="AO351" s="652"/>
      <c r="AP351" s="652"/>
      <c r="AQ351" s="652">
        <f>I351</f>
        <v>4320</v>
      </c>
      <c r="AR351" s="652">
        <f>I351</f>
        <v>4320</v>
      </c>
      <c r="AS351" s="652">
        <f>I351/6</f>
        <v>720</v>
      </c>
      <c r="AT351" s="652"/>
      <c r="AU351" s="652"/>
      <c r="AV351" s="652"/>
      <c r="AW351" s="652"/>
      <c r="AX351" s="652"/>
      <c r="AY351" s="652"/>
      <c r="AZ351" s="652"/>
      <c r="BA351" s="652"/>
      <c r="BB351" s="652"/>
      <c r="BC351" s="652"/>
      <c r="BD351" s="652"/>
      <c r="BE351" s="652"/>
      <c r="BF351" s="652"/>
      <c r="BG351" s="652"/>
      <c r="BH351" s="652"/>
      <c r="BI351" s="652"/>
    </row>
    <row r="352" s="650" customFormat="1" ht="31" customHeight="1" spans="1:108">
      <c r="A352" s="713">
        <v>46136</v>
      </c>
      <c r="B352" s="714" t="s">
        <v>935</v>
      </c>
      <c r="C352" s="715" t="s">
        <v>115</v>
      </c>
      <c r="D352" s="652" t="s">
        <v>5060</v>
      </c>
      <c r="E352" s="1908" t="s">
        <v>5061</v>
      </c>
      <c r="F352" s="652" t="s">
        <v>5062</v>
      </c>
      <c r="G352" s="716" t="s">
        <v>4215</v>
      </c>
      <c r="H352" s="715" t="s">
        <v>483</v>
      </c>
      <c r="I352" s="717">
        <v>4320</v>
      </c>
      <c r="J352" s="715">
        <v>0</v>
      </c>
      <c r="K352" s="715">
        <v>120</v>
      </c>
      <c r="L352" s="715">
        <f t="shared" si="62"/>
        <v>36</v>
      </c>
      <c r="M352" s="778">
        <v>46213</v>
      </c>
      <c r="N352" s="802">
        <v>46226</v>
      </c>
      <c r="O352" s="714"/>
      <c r="P352" s="717" t="s">
        <v>106</v>
      </c>
      <c r="Q352" s="717"/>
      <c r="R352" s="723">
        <v>46155</v>
      </c>
      <c r="S352" s="720" t="s">
        <v>107</v>
      </c>
      <c r="T352" s="720" t="s">
        <v>95</v>
      </c>
      <c r="U352" s="720"/>
      <c r="V352" s="720"/>
      <c r="W352" s="720"/>
      <c r="X352" s="720" t="s">
        <v>937</v>
      </c>
      <c r="Y352" s="719" t="s">
        <v>488</v>
      </c>
      <c r="Z352" s="730">
        <v>642</v>
      </c>
      <c r="AA352" s="652">
        <f t="shared" si="73"/>
        <v>23112</v>
      </c>
      <c r="AB352" s="729" t="s">
        <v>5063</v>
      </c>
      <c r="AC352" s="747" t="s">
        <v>490</v>
      </c>
      <c r="AD352" s="715" t="s">
        <v>112</v>
      </c>
      <c r="AE352" s="715">
        <f t="shared" si="61"/>
        <v>4320</v>
      </c>
      <c r="AF352" s="715"/>
      <c r="AG352" s="715">
        <f>2252+2068</f>
        <v>4320</v>
      </c>
      <c r="AH352" s="715">
        <f t="shared" si="72"/>
        <v>0</v>
      </c>
      <c r="AI352" s="717"/>
      <c r="AJ352" s="715" t="s">
        <v>3981</v>
      </c>
      <c r="AK352" s="652"/>
      <c r="AL352" s="652"/>
      <c r="AM352" s="652"/>
      <c r="AN352" s="652"/>
      <c r="AO352" s="652"/>
      <c r="AP352" s="652"/>
      <c r="AQ352" s="652">
        <f>I352</f>
        <v>4320</v>
      </c>
      <c r="AR352" s="652">
        <f>I352</f>
        <v>4320</v>
      </c>
      <c r="AS352" s="652">
        <f>I352/6</f>
        <v>720</v>
      </c>
      <c r="AT352" s="652"/>
      <c r="AU352" s="652"/>
      <c r="AV352" s="652"/>
      <c r="AW352" s="652"/>
      <c r="AX352" s="652"/>
      <c r="AY352" s="652"/>
      <c r="AZ352" s="652"/>
      <c r="BA352" s="652"/>
      <c r="BB352" s="652"/>
      <c r="BC352" s="652"/>
      <c r="BD352" s="652"/>
      <c r="BE352" s="652"/>
      <c r="BF352" s="652"/>
      <c r="BG352" s="652"/>
      <c r="BH352" s="652"/>
      <c r="BI352" s="652"/>
      <c r="CS352" s="654"/>
      <c r="CT352" s="654"/>
      <c r="CU352" s="654"/>
      <c r="CV352" s="654"/>
      <c r="CW352" s="654"/>
      <c r="CX352" s="654"/>
      <c r="CY352" s="654"/>
      <c r="CZ352" s="654"/>
      <c r="DA352" s="654"/>
      <c r="DB352" s="654"/>
      <c r="DC352" s="654"/>
      <c r="DD352" s="654"/>
    </row>
    <row r="353" s="650" customFormat="1" ht="31" customHeight="1" spans="1:108">
      <c r="A353" s="713">
        <v>46142</v>
      </c>
      <c r="B353" s="714" t="s">
        <v>1438</v>
      </c>
      <c r="C353" s="715" t="s">
        <v>1439</v>
      </c>
      <c r="D353" s="652" t="s">
        <v>5011</v>
      </c>
      <c r="E353" s="715" t="s">
        <v>1698</v>
      </c>
      <c r="F353" s="652" t="s">
        <v>1699</v>
      </c>
      <c r="G353" s="716" t="s">
        <v>4337</v>
      </c>
      <c r="H353" s="715" t="s">
        <v>151</v>
      </c>
      <c r="I353" s="717">
        <v>648</v>
      </c>
      <c r="J353" s="715">
        <v>0</v>
      </c>
      <c r="K353" s="715">
        <v>24</v>
      </c>
      <c r="L353" s="715">
        <f t="shared" si="62"/>
        <v>27</v>
      </c>
      <c r="M353" s="719">
        <v>46213</v>
      </c>
      <c r="N353" s="738">
        <v>46227</v>
      </c>
      <c r="O353" s="714"/>
      <c r="P353" s="717" t="s">
        <v>106</v>
      </c>
      <c r="Q353" s="717"/>
      <c r="R353" s="723" t="s">
        <v>5015</v>
      </c>
      <c r="S353" s="720" t="s">
        <v>107</v>
      </c>
      <c r="T353" s="720" t="s">
        <v>5016</v>
      </c>
      <c r="U353" s="720"/>
      <c r="V353" s="720" t="s">
        <v>5017</v>
      </c>
      <c r="W353" s="720"/>
      <c r="X353" s="720" t="s">
        <v>5018</v>
      </c>
      <c r="Y353" s="719" t="s">
        <v>1446</v>
      </c>
      <c r="Z353" s="730">
        <v>210.1148</v>
      </c>
      <c r="AA353" s="652">
        <f t="shared" si="73"/>
        <v>5673.0996</v>
      </c>
      <c r="AB353" s="721"/>
      <c r="AC353" s="747" t="s">
        <v>5064</v>
      </c>
      <c r="AD353" s="715" t="s">
        <v>112</v>
      </c>
      <c r="AE353" s="715">
        <f t="shared" si="61"/>
        <v>648</v>
      </c>
      <c r="AF353" s="715"/>
      <c r="AG353" s="715"/>
      <c r="AH353" s="715">
        <f t="shared" si="72"/>
        <v>-648</v>
      </c>
      <c r="AI353" s="717"/>
      <c r="AJ353" s="715" t="s">
        <v>3981</v>
      </c>
      <c r="AK353" s="652"/>
      <c r="AL353" s="652">
        <f t="shared" ref="AL353:AL362" si="74">I353</f>
        <v>648</v>
      </c>
      <c r="AM353" s="652"/>
      <c r="AN353" s="652">
        <f t="shared" ref="AN353:AN371" si="75">I353</f>
        <v>648</v>
      </c>
      <c r="AO353" s="652"/>
      <c r="AP353" s="652"/>
      <c r="AQ353" s="652"/>
      <c r="AR353" s="652"/>
      <c r="AS353" s="652"/>
      <c r="AT353" s="652"/>
      <c r="AU353" s="652"/>
      <c r="AV353" s="652"/>
      <c r="AW353" s="652"/>
      <c r="AX353" s="652"/>
      <c r="AY353" s="652"/>
      <c r="AZ353" s="652"/>
      <c r="BA353" s="652">
        <f>L353</f>
        <v>27</v>
      </c>
      <c r="BB353" s="652"/>
      <c r="BC353" s="652"/>
      <c r="BD353" s="652"/>
      <c r="BE353" s="652"/>
      <c r="BF353" s="652"/>
      <c r="BG353" s="652"/>
      <c r="BH353" s="652"/>
      <c r="BI353" s="652"/>
    </row>
    <row r="354" s="650" customFormat="1" ht="31" customHeight="1" spans="1:108">
      <c r="A354" s="713">
        <v>46142</v>
      </c>
      <c r="B354" s="714" t="s">
        <v>1438</v>
      </c>
      <c r="C354" s="715" t="s">
        <v>1439</v>
      </c>
      <c r="D354" s="652" t="s">
        <v>5019</v>
      </c>
      <c r="E354" s="715" t="s">
        <v>1709</v>
      </c>
      <c r="F354" s="652" t="s">
        <v>1710</v>
      </c>
      <c r="G354" s="716" t="s">
        <v>4337</v>
      </c>
      <c r="H354" s="715" t="s">
        <v>151</v>
      </c>
      <c r="I354" s="717">
        <v>984</v>
      </c>
      <c r="J354" s="715">
        <v>0</v>
      </c>
      <c r="K354" s="715">
        <v>24</v>
      </c>
      <c r="L354" s="715">
        <f t="shared" si="62"/>
        <v>41</v>
      </c>
      <c r="M354" s="719">
        <v>46213</v>
      </c>
      <c r="N354" s="738">
        <v>46227</v>
      </c>
      <c r="O354" s="714"/>
      <c r="P354" s="717" t="s">
        <v>106</v>
      </c>
      <c r="Q354" s="717"/>
      <c r="R354" s="723" t="s">
        <v>5015</v>
      </c>
      <c r="S354" s="720" t="s">
        <v>107</v>
      </c>
      <c r="T354" s="720" t="s">
        <v>5016</v>
      </c>
      <c r="U354" s="720"/>
      <c r="V354" s="720" t="s">
        <v>5017</v>
      </c>
      <c r="W354" s="720"/>
      <c r="X354" s="720" t="s">
        <v>5022</v>
      </c>
      <c r="Y354" s="719" t="s">
        <v>1446</v>
      </c>
      <c r="Z354" s="730">
        <v>210.1148</v>
      </c>
      <c r="AA354" s="652">
        <f t="shared" si="73"/>
        <v>8614.7068</v>
      </c>
      <c r="AB354" s="721"/>
      <c r="AC354" s="747" t="s">
        <v>5064</v>
      </c>
      <c r="AD354" s="715" t="s">
        <v>112</v>
      </c>
      <c r="AE354" s="715">
        <f t="shared" si="61"/>
        <v>984</v>
      </c>
      <c r="AF354" s="715"/>
      <c r="AG354" s="715"/>
      <c r="AH354" s="715">
        <f t="shared" si="72"/>
        <v>-984</v>
      </c>
      <c r="AI354" s="717"/>
      <c r="AJ354" s="715" t="s">
        <v>3981</v>
      </c>
      <c r="AK354" s="652"/>
      <c r="AL354" s="652">
        <f t="shared" si="74"/>
        <v>984</v>
      </c>
      <c r="AM354" s="652"/>
      <c r="AN354" s="652">
        <f t="shared" si="75"/>
        <v>984</v>
      </c>
      <c r="AO354" s="652"/>
      <c r="AP354" s="652"/>
      <c r="AQ354" s="652"/>
      <c r="AR354" s="652"/>
      <c r="AS354" s="652"/>
      <c r="AT354" s="652"/>
      <c r="AU354" s="652"/>
      <c r="AV354" s="652"/>
      <c r="AW354" s="652"/>
      <c r="AX354" s="652"/>
      <c r="AY354" s="652"/>
      <c r="AZ354" s="652"/>
      <c r="BA354" s="652">
        <f>L354</f>
        <v>41</v>
      </c>
      <c r="BB354" s="652"/>
      <c r="BC354" s="652"/>
      <c r="BD354" s="652"/>
      <c r="BE354" s="652"/>
      <c r="BF354" s="652"/>
      <c r="BG354" s="652"/>
      <c r="BH354" s="652"/>
      <c r="BI354" s="652"/>
      <c r="BJ354" s="731"/>
      <c r="BK354" s="731"/>
      <c r="BL354" s="731"/>
      <c r="BM354" s="731"/>
      <c r="BN354" s="731"/>
      <c r="BO354" s="731"/>
      <c r="BP354" s="731"/>
      <c r="BQ354" s="731"/>
      <c r="BR354" s="731"/>
      <c r="BS354" s="731"/>
      <c r="BT354" s="731"/>
      <c r="BU354" s="731"/>
      <c r="BV354" s="731"/>
      <c r="BW354" s="731"/>
      <c r="BX354" s="731"/>
      <c r="BY354" s="731"/>
      <c r="BZ354" s="731"/>
      <c r="CA354" s="731"/>
      <c r="CB354" s="731"/>
      <c r="CC354" s="731"/>
      <c r="CD354" s="731"/>
      <c r="CE354" s="731"/>
      <c r="CF354" s="731"/>
      <c r="CG354" s="731"/>
      <c r="CH354" s="731"/>
      <c r="CI354" s="731"/>
      <c r="CJ354" s="731"/>
      <c r="CK354" s="731"/>
      <c r="CL354" s="731"/>
      <c r="CM354" s="731"/>
      <c r="CN354" s="731"/>
      <c r="CO354" s="731"/>
      <c r="CP354" s="731"/>
      <c r="CQ354" s="731"/>
      <c r="CR354" s="731"/>
    </row>
    <row r="355" s="650" customFormat="1" ht="31" customHeight="1" spans="1:108">
      <c r="A355" s="713">
        <v>46142</v>
      </c>
      <c r="B355" s="714" t="s">
        <v>1438</v>
      </c>
      <c r="C355" s="715" t="s">
        <v>1439</v>
      </c>
      <c r="D355" s="652" t="s">
        <v>5023</v>
      </c>
      <c r="E355" s="715" t="s">
        <v>1714</v>
      </c>
      <c r="F355" s="652" t="s">
        <v>1715</v>
      </c>
      <c r="G355" s="716" t="s">
        <v>4337</v>
      </c>
      <c r="H355" s="715" t="s">
        <v>151</v>
      </c>
      <c r="I355" s="717">
        <v>696</v>
      </c>
      <c r="J355" s="715">
        <v>0</v>
      </c>
      <c r="K355" s="715">
        <v>24</v>
      </c>
      <c r="L355" s="715">
        <f t="shared" si="62"/>
        <v>29</v>
      </c>
      <c r="M355" s="719">
        <v>46213</v>
      </c>
      <c r="N355" s="738">
        <v>46227</v>
      </c>
      <c r="O355" s="714"/>
      <c r="P355" s="717" t="s">
        <v>106</v>
      </c>
      <c r="Q355" s="717"/>
      <c r="R355" s="723" t="s">
        <v>5015</v>
      </c>
      <c r="S355" s="720" t="s">
        <v>107</v>
      </c>
      <c r="T355" s="720" t="s">
        <v>5016</v>
      </c>
      <c r="U355" s="720"/>
      <c r="V355" s="720" t="s">
        <v>5017</v>
      </c>
      <c r="W355" s="720"/>
      <c r="X355" s="720" t="s">
        <v>5022</v>
      </c>
      <c r="Y355" s="719" t="s">
        <v>1446</v>
      </c>
      <c r="Z355" s="730">
        <v>210.1148</v>
      </c>
      <c r="AA355" s="652">
        <f t="shared" si="73"/>
        <v>6093.3292</v>
      </c>
      <c r="AB355" s="721"/>
      <c r="AC355" s="747" t="s">
        <v>5064</v>
      </c>
      <c r="AD355" s="715" t="s">
        <v>112</v>
      </c>
      <c r="AE355" s="715">
        <f t="shared" si="61"/>
        <v>696</v>
      </c>
      <c r="AF355" s="715"/>
      <c r="AG355" s="715"/>
      <c r="AH355" s="715">
        <f t="shared" si="72"/>
        <v>-696</v>
      </c>
      <c r="AI355" s="717"/>
      <c r="AJ355" s="715" t="s">
        <v>3981</v>
      </c>
      <c r="AK355" s="652"/>
      <c r="AL355" s="652">
        <f t="shared" si="74"/>
        <v>696</v>
      </c>
      <c r="AM355" s="652"/>
      <c r="AN355" s="652">
        <f t="shared" si="75"/>
        <v>696</v>
      </c>
      <c r="AO355" s="652"/>
      <c r="AP355" s="652"/>
      <c r="AQ355" s="652"/>
      <c r="AR355" s="652"/>
      <c r="AS355" s="652"/>
      <c r="AT355" s="652"/>
      <c r="AU355" s="652"/>
      <c r="AV355" s="652"/>
      <c r="AW355" s="652"/>
      <c r="AX355" s="652"/>
      <c r="AY355" s="652"/>
      <c r="AZ355" s="652"/>
      <c r="BA355" s="652">
        <f>L355</f>
        <v>29</v>
      </c>
      <c r="BB355" s="652"/>
      <c r="BC355" s="652"/>
      <c r="BD355" s="652"/>
      <c r="BE355" s="652"/>
      <c r="BF355" s="652"/>
      <c r="BG355" s="652"/>
      <c r="BH355" s="652"/>
      <c r="BI355" s="652"/>
    </row>
    <row r="356" s="656" customFormat="1" ht="31" customHeight="1" spans="1:108">
      <c r="A356" s="806">
        <v>46142</v>
      </c>
      <c r="B356" s="807" t="s">
        <v>1438</v>
      </c>
      <c r="C356" s="808" t="s">
        <v>1439</v>
      </c>
      <c r="D356" s="656" t="s">
        <v>5026</v>
      </c>
      <c r="E356" s="808" t="s">
        <v>1716</v>
      </c>
      <c r="F356" s="656" t="s">
        <v>1717</v>
      </c>
      <c r="G356" s="809" t="s">
        <v>4337</v>
      </c>
      <c r="H356" s="715" t="s">
        <v>151</v>
      </c>
      <c r="I356" s="810">
        <v>1368</v>
      </c>
      <c r="J356" s="808">
        <v>0</v>
      </c>
      <c r="K356" s="808">
        <v>24</v>
      </c>
      <c r="L356" s="808">
        <f t="shared" si="62"/>
        <v>57</v>
      </c>
      <c r="M356" s="811">
        <v>46213</v>
      </c>
      <c r="N356" s="812">
        <v>46227</v>
      </c>
      <c r="O356" s="807"/>
      <c r="P356" s="717" t="s">
        <v>106</v>
      </c>
      <c r="Q356" s="810"/>
      <c r="R356" s="734" t="s">
        <v>5015</v>
      </c>
      <c r="S356" s="735" t="s">
        <v>107</v>
      </c>
      <c r="T356" s="735" t="s">
        <v>5016</v>
      </c>
      <c r="U356" s="735"/>
      <c r="V356" s="813" t="s">
        <v>5017</v>
      </c>
      <c r="W356" s="813"/>
      <c r="X356" s="813" t="s">
        <v>5029</v>
      </c>
      <c r="Y356" s="811" t="s">
        <v>1446</v>
      </c>
      <c r="Z356" s="814">
        <v>209.8676</v>
      </c>
      <c r="AA356" s="656">
        <f t="shared" si="73"/>
        <v>11962.4532</v>
      </c>
      <c r="AB356" s="780"/>
      <c r="AC356" s="815" t="s">
        <v>5064</v>
      </c>
      <c r="AD356" s="771" t="s">
        <v>112</v>
      </c>
      <c r="AE356" s="808">
        <f t="shared" si="61"/>
        <v>1368</v>
      </c>
      <c r="AF356" s="808"/>
      <c r="AG356" s="808"/>
      <c r="AH356" s="715">
        <f t="shared" si="72"/>
        <v>-1368</v>
      </c>
      <c r="AI356" s="810"/>
      <c r="AJ356" s="715" t="s">
        <v>3981</v>
      </c>
      <c r="AK356" s="774"/>
      <c r="AL356" s="652">
        <f t="shared" si="74"/>
        <v>1368</v>
      </c>
      <c r="AM356" s="652"/>
      <c r="AN356" s="652">
        <f t="shared" si="75"/>
        <v>1368</v>
      </c>
      <c r="AP356" s="774"/>
      <c r="AQ356" s="656"/>
      <c r="AR356" s="656"/>
      <c r="AS356" s="656"/>
      <c r="AT356" s="656"/>
      <c r="AU356" s="652"/>
      <c r="AV356" s="774"/>
      <c r="AW356" s="774"/>
      <c r="BA356" s="656">
        <f>L356</f>
        <v>57</v>
      </c>
      <c r="BI356" s="774"/>
    </row>
    <row r="357" s="650" customFormat="1" ht="31" customHeight="1" spans="1:108">
      <c r="A357" s="713">
        <v>46142</v>
      </c>
      <c r="B357" s="714" t="s">
        <v>1438</v>
      </c>
      <c r="C357" s="715" t="s">
        <v>1439</v>
      </c>
      <c r="D357" s="652" t="s">
        <v>5030</v>
      </c>
      <c r="E357" s="715" t="s">
        <v>1719</v>
      </c>
      <c r="F357" s="652" t="s">
        <v>1720</v>
      </c>
      <c r="G357" s="716" t="s">
        <v>4337</v>
      </c>
      <c r="H357" s="715" t="s">
        <v>151</v>
      </c>
      <c r="I357" s="717">
        <v>504</v>
      </c>
      <c r="J357" s="715">
        <v>0</v>
      </c>
      <c r="K357" s="715">
        <v>24</v>
      </c>
      <c r="L357" s="715">
        <f t="shared" si="62"/>
        <v>21</v>
      </c>
      <c r="M357" s="719">
        <v>46213</v>
      </c>
      <c r="N357" s="738">
        <v>46227</v>
      </c>
      <c r="O357" s="714"/>
      <c r="P357" s="717" t="s">
        <v>106</v>
      </c>
      <c r="Q357" s="717"/>
      <c r="R357" s="723" t="s">
        <v>5015</v>
      </c>
      <c r="S357" s="720" t="s">
        <v>107</v>
      </c>
      <c r="T357" s="735" t="s">
        <v>5016</v>
      </c>
      <c r="U357" s="735"/>
      <c r="V357" s="720" t="s">
        <v>5017</v>
      </c>
      <c r="W357" s="720"/>
      <c r="X357" s="720" t="s">
        <v>5065</v>
      </c>
      <c r="Y357" s="719" t="s">
        <v>1446</v>
      </c>
      <c r="Z357" s="730">
        <v>210.1148</v>
      </c>
      <c r="AA357" s="652">
        <f t="shared" si="73"/>
        <v>4412.4108</v>
      </c>
      <c r="AB357" s="721"/>
      <c r="AC357" s="747" t="s">
        <v>5064</v>
      </c>
      <c r="AD357" s="715" t="s">
        <v>112</v>
      </c>
      <c r="AE357" s="715">
        <f t="shared" si="61"/>
        <v>504</v>
      </c>
      <c r="AF357" s="715"/>
      <c r="AG357" s="715"/>
      <c r="AH357" s="715">
        <f t="shared" si="72"/>
        <v>-504</v>
      </c>
      <c r="AI357" s="717"/>
      <c r="AJ357" s="715" t="s">
        <v>3981</v>
      </c>
      <c r="AK357" s="652"/>
      <c r="AL357" s="652">
        <f t="shared" si="74"/>
        <v>504</v>
      </c>
      <c r="AM357" s="652"/>
      <c r="AN357" s="652">
        <f t="shared" si="75"/>
        <v>504</v>
      </c>
      <c r="AO357" s="652"/>
      <c r="AP357" s="652"/>
      <c r="AQ357" s="652"/>
      <c r="AR357" s="652"/>
      <c r="AS357" s="652"/>
      <c r="AT357" s="652"/>
      <c r="AU357" s="652"/>
      <c r="AV357" s="652"/>
      <c r="AW357" s="652"/>
      <c r="AX357" s="652"/>
      <c r="AY357" s="652"/>
      <c r="AZ357" s="652"/>
      <c r="BA357" s="652">
        <f>L357</f>
        <v>21</v>
      </c>
      <c r="BB357" s="652"/>
      <c r="BC357" s="652"/>
      <c r="BD357" s="652"/>
      <c r="BE357" s="652"/>
      <c r="BF357" s="652"/>
      <c r="BG357" s="652"/>
      <c r="BH357" s="652"/>
      <c r="BI357" s="652"/>
      <c r="BJ357" s="731"/>
      <c r="BK357" s="731"/>
      <c r="BL357" s="731"/>
      <c r="BM357" s="731"/>
      <c r="BN357" s="731"/>
      <c r="BO357" s="731"/>
      <c r="BP357" s="731"/>
      <c r="BQ357" s="731"/>
      <c r="BR357" s="731"/>
      <c r="BS357" s="731"/>
      <c r="BT357" s="731"/>
      <c r="BU357" s="731"/>
      <c r="BV357" s="731"/>
      <c r="BW357" s="731"/>
      <c r="BX357" s="731"/>
      <c r="BY357" s="731"/>
      <c r="BZ357" s="731"/>
      <c r="CA357" s="731"/>
      <c r="CB357" s="731"/>
      <c r="CC357" s="731"/>
      <c r="CD357" s="731"/>
      <c r="CE357" s="731"/>
      <c r="CF357" s="731"/>
      <c r="CG357" s="731"/>
      <c r="CH357" s="731"/>
      <c r="CI357" s="731"/>
      <c r="CJ357" s="731"/>
      <c r="CK357" s="731"/>
      <c r="CL357" s="731"/>
      <c r="CM357" s="731"/>
      <c r="CN357" s="731"/>
      <c r="CO357" s="731"/>
      <c r="CP357" s="731"/>
      <c r="CQ357" s="731"/>
      <c r="CR357" s="731"/>
    </row>
    <row r="358" s="650" customFormat="1" ht="31" customHeight="1" spans="1:108">
      <c r="A358" s="713">
        <v>46122</v>
      </c>
      <c r="B358" s="714" t="s">
        <v>1682</v>
      </c>
      <c r="C358" s="715" t="s">
        <v>148</v>
      </c>
      <c r="D358" s="652" t="s">
        <v>5066</v>
      </c>
      <c r="E358" s="715" t="s">
        <v>1683</v>
      </c>
      <c r="F358" s="652" t="s">
        <v>1684</v>
      </c>
      <c r="G358" s="716" t="s">
        <v>4337</v>
      </c>
      <c r="H358" s="715" t="s">
        <v>151</v>
      </c>
      <c r="I358" s="717">
        <v>24</v>
      </c>
      <c r="J358" s="715">
        <v>0</v>
      </c>
      <c r="K358" s="715">
        <v>24</v>
      </c>
      <c r="L358" s="715">
        <f t="shared" si="62"/>
        <v>1</v>
      </c>
      <c r="M358" s="719">
        <v>46213</v>
      </c>
      <c r="N358" s="738">
        <v>46227</v>
      </c>
      <c r="O358" s="714" t="s">
        <v>5014</v>
      </c>
      <c r="P358" s="717" t="s">
        <v>106</v>
      </c>
      <c r="Q358" s="717"/>
      <c r="R358" s="723" t="s">
        <v>5015</v>
      </c>
      <c r="S358" s="720" t="s">
        <v>107</v>
      </c>
      <c r="T358" s="735" t="s">
        <v>1444</v>
      </c>
      <c r="U358" s="735"/>
      <c r="V358" s="720"/>
      <c r="W358" s="720"/>
      <c r="X358" s="720" t="s">
        <v>5067</v>
      </c>
      <c r="Y358" s="719" t="s">
        <v>1446</v>
      </c>
      <c r="Z358" s="730">
        <v>203.2712</v>
      </c>
      <c r="AA358" s="652">
        <f t="shared" si="73"/>
        <v>203.2712</v>
      </c>
      <c r="AB358" s="721"/>
      <c r="AC358" s="747" t="s">
        <v>5064</v>
      </c>
      <c r="AD358" s="715" t="s">
        <v>112</v>
      </c>
      <c r="AE358" s="715">
        <f t="shared" si="61"/>
        <v>24</v>
      </c>
      <c r="AF358" s="715"/>
      <c r="AG358" s="715"/>
      <c r="AH358" s="715">
        <f t="shared" si="72"/>
        <v>-24</v>
      </c>
      <c r="AI358" s="717"/>
      <c r="AJ358" s="715" t="s">
        <v>3981</v>
      </c>
      <c r="AK358" s="652"/>
      <c r="AL358" s="652">
        <f t="shared" si="74"/>
        <v>24</v>
      </c>
      <c r="AM358" s="652"/>
      <c r="AN358" s="652">
        <f t="shared" si="75"/>
        <v>24</v>
      </c>
      <c r="AO358" s="652"/>
      <c r="AP358" s="652"/>
      <c r="AQ358" s="652"/>
      <c r="AR358" s="652"/>
      <c r="AS358" s="652"/>
      <c r="AT358" s="652"/>
      <c r="AU358" s="652"/>
      <c r="AV358" s="652"/>
      <c r="AW358" s="652"/>
      <c r="AX358" s="652"/>
      <c r="AY358" s="652"/>
      <c r="AZ358" s="652"/>
      <c r="BA358" s="652"/>
      <c r="BB358" s="652"/>
      <c r="BC358" s="652"/>
      <c r="BD358" s="652"/>
      <c r="BE358" s="652"/>
      <c r="BF358" s="652"/>
      <c r="BG358" s="652"/>
      <c r="BH358" s="652"/>
      <c r="BI358" s="652"/>
      <c r="BJ358" s="724"/>
      <c r="BK358" s="724"/>
      <c r="BL358" s="724"/>
      <c r="BM358" s="724"/>
      <c r="BN358" s="724"/>
      <c r="BO358" s="724"/>
      <c r="BP358" s="724"/>
      <c r="BQ358" s="724"/>
      <c r="BR358" s="724"/>
      <c r="BS358" s="724"/>
      <c r="BT358" s="724"/>
      <c r="BU358" s="724"/>
      <c r="BV358" s="724"/>
      <c r="BW358" s="724"/>
      <c r="BX358" s="650"/>
      <c r="BY358" s="724"/>
      <c r="BZ358" s="724"/>
      <c r="CA358" s="724"/>
      <c r="CB358" s="724"/>
      <c r="CC358" s="724"/>
      <c r="CD358" s="724"/>
    </row>
    <row r="359" s="650" customFormat="1" ht="31" customHeight="1" spans="1:108">
      <c r="A359" s="713">
        <v>46122</v>
      </c>
      <c r="B359" s="714" t="s">
        <v>1682</v>
      </c>
      <c r="C359" s="715" t="s">
        <v>148</v>
      </c>
      <c r="D359" s="652" t="s">
        <v>5066</v>
      </c>
      <c r="E359" s="715" t="s">
        <v>1691</v>
      </c>
      <c r="F359" s="652" t="s">
        <v>1692</v>
      </c>
      <c r="G359" s="716" t="s">
        <v>4337</v>
      </c>
      <c r="H359" s="715" t="s">
        <v>151</v>
      </c>
      <c r="I359" s="717">
        <v>1368</v>
      </c>
      <c r="J359" s="715">
        <v>0</v>
      </c>
      <c r="K359" s="715">
        <v>24</v>
      </c>
      <c r="L359" s="715">
        <f t="shared" si="62"/>
        <v>57</v>
      </c>
      <c r="M359" s="719">
        <v>46213</v>
      </c>
      <c r="N359" s="738">
        <v>46227</v>
      </c>
      <c r="O359" s="714"/>
      <c r="P359" s="717" t="s">
        <v>106</v>
      </c>
      <c r="Q359" s="717"/>
      <c r="R359" s="723" t="s">
        <v>5015</v>
      </c>
      <c r="S359" s="720" t="s">
        <v>107</v>
      </c>
      <c r="T359" s="720" t="s">
        <v>1444</v>
      </c>
      <c r="U359" s="720"/>
      <c r="V359" s="720"/>
      <c r="W359" s="720"/>
      <c r="X359" s="720" t="s">
        <v>5068</v>
      </c>
      <c r="Y359" s="719" t="s">
        <v>1446</v>
      </c>
      <c r="Z359" s="730">
        <v>202.826</v>
      </c>
      <c r="AA359" s="652">
        <f t="shared" si="73"/>
        <v>11561.082</v>
      </c>
      <c r="AB359" s="721"/>
      <c r="AC359" s="747" t="s">
        <v>5064</v>
      </c>
      <c r="AD359" s="715" t="s">
        <v>112</v>
      </c>
      <c r="AE359" s="715">
        <f t="shared" si="61"/>
        <v>1368</v>
      </c>
      <c r="AF359" s="715"/>
      <c r="AG359" s="715"/>
      <c r="AH359" s="715">
        <f t="shared" si="72"/>
        <v>-1368</v>
      </c>
      <c r="AI359" s="717"/>
      <c r="AJ359" s="715" t="s">
        <v>3981</v>
      </c>
      <c r="AK359" s="652"/>
      <c r="AL359" s="652">
        <f t="shared" si="74"/>
        <v>1368</v>
      </c>
      <c r="AM359" s="652"/>
      <c r="AN359" s="652">
        <f t="shared" si="75"/>
        <v>1368</v>
      </c>
      <c r="AO359" s="652"/>
      <c r="AP359" s="652"/>
      <c r="AQ359" s="652"/>
      <c r="AR359" s="652"/>
      <c r="AS359" s="652"/>
      <c r="AT359" s="652"/>
      <c r="AU359" s="652"/>
      <c r="AV359" s="652"/>
      <c r="AW359" s="652"/>
      <c r="AX359" s="652"/>
      <c r="AY359" s="652"/>
      <c r="AZ359" s="652"/>
      <c r="BA359" s="652"/>
      <c r="BB359" s="652"/>
      <c r="BC359" s="652"/>
      <c r="BD359" s="652"/>
      <c r="BE359" s="652"/>
      <c r="BF359" s="652"/>
      <c r="BG359" s="652"/>
      <c r="BH359" s="652"/>
      <c r="BI359" s="652"/>
    </row>
    <row r="360" s="650" customFormat="1" ht="31" customHeight="1" spans="1:108">
      <c r="A360" s="713">
        <v>46122</v>
      </c>
      <c r="B360" s="714" t="s">
        <v>1682</v>
      </c>
      <c r="C360" s="715" t="s">
        <v>148</v>
      </c>
      <c r="D360" s="652" t="s">
        <v>5066</v>
      </c>
      <c r="E360" s="715" t="s">
        <v>1689</v>
      </c>
      <c r="F360" s="652" t="s">
        <v>1690</v>
      </c>
      <c r="G360" s="716" t="s">
        <v>4337</v>
      </c>
      <c r="H360" s="715" t="s">
        <v>151</v>
      </c>
      <c r="I360" s="717">
        <v>48</v>
      </c>
      <c r="J360" s="715">
        <v>0</v>
      </c>
      <c r="K360" s="715">
        <v>24</v>
      </c>
      <c r="L360" s="715">
        <f t="shared" si="62"/>
        <v>2</v>
      </c>
      <c r="M360" s="719">
        <v>46213</v>
      </c>
      <c r="N360" s="816">
        <v>46227</v>
      </c>
      <c r="O360" s="714"/>
      <c r="P360" s="717" t="s">
        <v>106</v>
      </c>
      <c r="Q360" s="717"/>
      <c r="R360" s="723" t="s">
        <v>5015</v>
      </c>
      <c r="S360" s="720" t="s">
        <v>107</v>
      </c>
      <c r="T360" s="720" t="s">
        <v>1444</v>
      </c>
      <c r="U360" s="720"/>
      <c r="V360" s="720"/>
      <c r="W360" s="720"/>
      <c r="X360" s="720" t="s">
        <v>5068</v>
      </c>
      <c r="Y360" s="719" t="s">
        <v>1446</v>
      </c>
      <c r="Z360" s="730">
        <v>203.2712</v>
      </c>
      <c r="AA360" s="652">
        <f t="shared" si="73"/>
        <v>406.5424</v>
      </c>
      <c r="AB360" s="721"/>
      <c r="AC360" s="747" t="s">
        <v>5064</v>
      </c>
      <c r="AD360" s="715" t="s">
        <v>112</v>
      </c>
      <c r="AE360" s="715">
        <f t="shared" si="61"/>
        <v>48</v>
      </c>
      <c r="AF360" s="715"/>
      <c r="AG360" s="715"/>
      <c r="AH360" s="715">
        <f t="shared" si="72"/>
        <v>-48</v>
      </c>
      <c r="AI360" s="717"/>
      <c r="AJ360" s="715" t="s">
        <v>3981</v>
      </c>
      <c r="AK360" s="652"/>
      <c r="AL360" s="652">
        <f t="shared" si="74"/>
        <v>48</v>
      </c>
      <c r="AM360" s="652"/>
      <c r="AN360" s="652">
        <f t="shared" si="75"/>
        <v>48</v>
      </c>
      <c r="AO360" s="652"/>
      <c r="AP360" s="652"/>
      <c r="AQ360" s="652"/>
      <c r="AR360" s="652"/>
      <c r="AS360" s="652"/>
      <c r="AT360" s="652"/>
      <c r="AU360" s="652"/>
      <c r="AV360" s="652"/>
      <c r="AW360" s="652"/>
      <c r="AX360" s="652"/>
      <c r="AY360" s="652"/>
      <c r="AZ360" s="652"/>
      <c r="BA360" s="652"/>
      <c r="BB360" s="652"/>
      <c r="BC360" s="652"/>
      <c r="BD360" s="652"/>
      <c r="BE360" s="652"/>
      <c r="BF360" s="652"/>
      <c r="BG360" s="652"/>
      <c r="BH360" s="652"/>
      <c r="BI360" s="652"/>
    </row>
    <row r="361" s="651" customFormat="1" ht="31" customHeight="1" spans="1:108">
      <c r="A361" s="713">
        <v>46142</v>
      </c>
      <c r="B361" s="714" t="s">
        <v>1703</v>
      </c>
      <c r="C361" s="715" t="s">
        <v>1704</v>
      </c>
      <c r="D361" s="652" t="s">
        <v>5069</v>
      </c>
      <c r="E361" s="715" t="s">
        <v>1705</v>
      </c>
      <c r="F361" s="652" t="s">
        <v>1706</v>
      </c>
      <c r="G361" s="716" t="s">
        <v>4337</v>
      </c>
      <c r="H361" s="715" t="s">
        <v>151</v>
      </c>
      <c r="I361" s="717">
        <v>144</v>
      </c>
      <c r="J361" s="715">
        <v>0</v>
      </c>
      <c r="K361" s="715">
        <v>24</v>
      </c>
      <c r="L361" s="715">
        <f t="shared" si="62"/>
        <v>6</v>
      </c>
      <c r="M361" s="719">
        <v>46213</v>
      </c>
      <c r="N361" s="738">
        <v>46227</v>
      </c>
      <c r="O361" s="714"/>
      <c r="P361" s="717" t="s">
        <v>106</v>
      </c>
      <c r="Q361" s="717"/>
      <c r="R361" s="723" t="s">
        <v>5015</v>
      </c>
      <c r="S361" s="720" t="s">
        <v>107</v>
      </c>
      <c r="T361" s="720" t="s">
        <v>5070</v>
      </c>
      <c r="U361" s="720"/>
      <c r="V361" s="720" t="s">
        <v>4056</v>
      </c>
      <c r="W361" s="720"/>
      <c r="X361" s="720" t="s">
        <v>5071</v>
      </c>
      <c r="Y361" s="719" t="s">
        <v>1446</v>
      </c>
      <c r="Z361" s="730">
        <v>210.56</v>
      </c>
      <c r="AA361" s="652">
        <f t="shared" si="73"/>
        <v>1263.36</v>
      </c>
      <c r="AB361" s="721"/>
      <c r="AC361" s="747" t="s">
        <v>5064</v>
      </c>
      <c r="AD361" s="715" t="s">
        <v>112</v>
      </c>
      <c r="AE361" s="715">
        <f t="shared" ref="AE361:AE371" si="76">I361</f>
        <v>144</v>
      </c>
      <c r="AF361" s="715"/>
      <c r="AG361" s="715"/>
      <c r="AH361" s="715">
        <f t="shared" si="72"/>
        <v>-144</v>
      </c>
      <c r="AI361" s="717"/>
      <c r="AJ361" s="715" t="s">
        <v>3981</v>
      </c>
      <c r="AK361" s="652"/>
      <c r="AL361" s="652">
        <f t="shared" si="74"/>
        <v>144</v>
      </c>
      <c r="AM361" s="652"/>
      <c r="AN361" s="652">
        <f t="shared" si="75"/>
        <v>144</v>
      </c>
      <c r="AO361" s="652"/>
      <c r="AP361" s="652"/>
      <c r="AQ361" s="652"/>
      <c r="AR361" s="652"/>
      <c r="AS361" s="652"/>
      <c r="AT361" s="652"/>
      <c r="AU361" s="652"/>
      <c r="AV361" s="652"/>
      <c r="AW361" s="652"/>
      <c r="AX361" s="652"/>
      <c r="AY361" s="652"/>
      <c r="AZ361" s="652"/>
      <c r="BA361" s="652"/>
      <c r="BB361" s="652"/>
      <c r="BC361" s="652"/>
      <c r="BD361" s="652"/>
      <c r="BE361" s="652"/>
      <c r="BF361" s="652"/>
      <c r="BG361" s="652"/>
      <c r="BH361" s="652"/>
      <c r="BI361" s="652"/>
      <c r="BJ361" s="650"/>
      <c r="BK361" s="650"/>
      <c r="BL361" s="650"/>
      <c r="BM361" s="650"/>
      <c r="BN361" s="650"/>
      <c r="BO361" s="650"/>
      <c r="BP361" s="650"/>
      <c r="BQ361" s="650"/>
      <c r="BR361" s="650"/>
      <c r="BS361" s="650"/>
      <c r="BT361" s="650"/>
      <c r="BU361" s="650"/>
      <c r="BV361" s="650"/>
      <c r="BW361" s="650"/>
      <c r="BX361" s="650"/>
      <c r="BY361" s="650"/>
      <c r="BZ361" s="650"/>
      <c r="CA361" s="650"/>
      <c r="CB361" s="650"/>
      <c r="CC361" s="650"/>
      <c r="CD361" s="650"/>
      <c r="CE361" s="650"/>
      <c r="CF361" s="650"/>
      <c r="CG361" s="650"/>
      <c r="CH361" s="650"/>
      <c r="CI361" s="650"/>
      <c r="CJ361" s="650"/>
      <c r="CK361" s="650"/>
      <c r="CL361" s="650"/>
      <c r="CM361" s="650"/>
      <c r="CN361" s="650"/>
      <c r="CO361" s="650"/>
      <c r="CP361" s="650"/>
      <c r="CQ361" s="650"/>
      <c r="CR361" s="650"/>
      <c r="CS361" s="650"/>
      <c r="CT361" s="650"/>
      <c r="CU361" s="650"/>
      <c r="CV361" s="650"/>
      <c r="CW361" s="650"/>
      <c r="CX361" s="650"/>
      <c r="CY361" s="650"/>
      <c r="CZ361" s="650"/>
      <c r="DA361" s="650"/>
      <c r="DB361" s="650"/>
      <c r="DC361" s="650"/>
      <c r="DD361" s="650"/>
    </row>
    <row r="362" s="650" customFormat="1" ht="31" customHeight="1" spans="1:108">
      <c r="A362" s="713">
        <v>46151</v>
      </c>
      <c r="B362" s="714" t="s">
        <v>1721</v>
      </c>
      <c r="C362" s="715" t="s">
        <v>148</v>
      </c>
      <c r="D362" s="652" t="s">
        <v>5072</v>
      </c>
      <c r="E362" s="715" t="s">
        <v>1722</v>
      </c>
      <c r="F362" s="652" t="s">
        <v>1723</v>
      </c>
      <c r="G362" s="716" t="s">
        <v>4337</v>
      </c>
      <c r="H362" s="715" t="s">
        <v>151</v>
      </c>
      <c r="I362" s="717">
        <v>96</v>
      </c>
      <c r="J362" s="715">
        <v>0</v>
      </c>
      <c r="K362" s="715">
        <v>24</v>
      </c>
      <c r="L362" s="715">
        <f t="shared" si="62"/>
        <v>4</v>
      </c>
      <c r="M362" s="719">
        <v>46213</v>
      </c>
      <c r="N362" s="738">
        <v>46227</v>
      </c>
      <c r="O362" s="714" t="s">
        <v>5014</v>
      </c>
      <c r="P362" s="717" t="s">
        <v>106</v>
      </c>
      <c r="Q362" s="717"/>
      <c r="R362" s="723" t="s">
        <v>5015</v>
      </c>
      <c r="S362" s="720" t="s">
        <v>107</v>
      </c>
      <c r="T362" s="720" t="s">
        <v>5073</v>
      </c>
      <c r="U362" s="720"/>
      <c r="V362" s="720"/>
      <c r="W362" s="720"/>
      <c r="X362" s="720" t="s">
        <v>5074</v>
      </c>
      <c r="Y362" s="719" t="s">
        <v>1725</v>
      </c>
      <c r="Z362" s="730">
        <v>210.56</v>
      </c>
      <c r="AA362" s="652">
        <f>Z362*L362</f>
        <v>842.24</v>
      </c>
      <c r="AB362" s="721"/>
      <c r="AC362" s="747" t="s">
        <v>5064</v>
      </c>
      <c r="AD362" s="715" t="s">
        <v>112</v>
      </c>
      <c r="AE362" s="715">
        <f t="shared" si="76"/>
        <v>96</v>
      </c>
      <c r="AF362" s="715"/>
      <c r="AG362" s="715"/>
      <c r="AH362" s="715">
        <f t="shared" si="72"/>
        <v>-96</v>
      </c>
      <c r="AI362" s="717"/>
      <c r="AJ362" s="715" t="s">
        <v>3981</v>
      </c>
      <c r="AK362" s="652"/>
      <c r="AL362" s="652">
        <f t="shared" si="74"/>
        <v>96</v>
      </c>
      <c r="AM362" s="652"/>
      <c r="AN362" s="652">
        <f t="shared" si="75"/>
        <v>96</v>
      </c>
      <c r="AO362" s="652"/>
      <c r="AP362" s="652"/>
      <c r="AQ362" s="652"/>
      <c r="AR362" s="652"/>
      <c r="AS362" s="652"/>
      <c r="AT362" s="652"/>
      <c r="AU362" s="652">
        <f>I362/8</f>
        <v>12</v>
      </c>
      <c r="AV362" s="652"/>
      <c r="AW362" s="652"/>
      <c r="AX362" s="652"/>
      <c r="AY362" s="652"/>
      <c r="AZ362" s="652"/>
      <c r="BA362" s="652"/>
      <c r="BB362" s="652"/>
      <c r="BC362" s="652"/>
      <c r="BD362" s="652"/>
      <c r="BE362" s="652"/>
      <c r="BF362" s="652"/>
      <c r="BG362" s="652"/>
      <c r="BH362" s="652"/>
      <c r="BI362" s="652"/>
      <c r="BJ362" s="724"/>
      <c r="BK362" s="724"/>
      <c r="BL362" s="724"/>
      <c r="BM362" s="724"/>
      <c r="BN362" s="724"/>
      <c r="BO362" s="724"/>
      <c r="BP362" s="724"/>
      <c r="BQ362" s="724"/>
      <c r="BR362" s="724"/>
      <c r="BS362" s="724"/>
      <c r="BT362" s="724"/>
      <c r="BU362" s="724"/>
      <c r="BV362" s="724"/>
      <c r="BW362" s="724"/>
      <c r="BY362" s="724"/>
      <c r="BZ362" s="724"/>
      <c r="CA362" s="724"/>
      <c r="CB362" s="724"/>
      <c r="CC362" s="724"/>
      <c r="CD362" s="724"/>
    </row>
    <row r="363" s="650" customFormat="1" ht="31" customHeight="1" spans="1:108">
      <c r="A363" s="713">
        <v>46133</v>
      </c>
      <c r="B363" s="714" t="s">
        <v>1777</v>
      </c>
      <c r="C363" s="715" t="s">
        <v>135</v>
      </c>
      <c r="D363" s="652" t="s">
        <v>5075</v>
      </c>
      <c r="E363" s="715" t="s">
        <v>1778</v>
      </c>
      <c r="F363" s="652" t="s">
        <v>5076</v>
      </c>
      <c r="G363" s="716" t="s">
        <v>3973</v>
      </c>
      <c r="H363" s="715" t="s">
        <v>3995</v>
      </c>
      <c r="I363" s="717">
        <v>2208</v>
      </c>
      <c r="J363" s="715">
        <v>0</v>
      </c>
      <c r="K363" s="715">
        <v>16</v>
      </c>
      <c r="L363" s="715">
        <f t="shared" si="62"/>
        <v>138</v>
      </c>
      <c r="M363" s="719">
        <v>46216</v>
      </c>
      <c r="N363" s="719">
        <v>46212</v>
      </c>
      <c r="O363" s="714"/>
      <c r="P363" s="717" t="s">
        <v>106</v>
      </c>
      <c r="Q363" s="717"/>
      <c r="R363" s="723">
        <v>46171</v>
      </c>
      <c r="S363" s="720" t="s">
        <v>107</v>
      </c>
      <c r="T363" s="720" t="s">
        <v>5077</v>
      </c>
      <c r="U363" s="720"/>
      <c r="V363" s="720"/>
      <c r="W363" s="720"/>
      <c r="X363" s="720" t="s">
        <v>5078</v>
      </c>
      <c r="Y363" s="719" t="s">
        <v>1781</v>
      </c>
      <c r="Z363" s="730">
        <v>4.5744</v>
      </c>
      <c r="AA363" s="652">
        <f t="shared" ref="AA363:AA368" si="77">I363*Z363</f>
        <v>10100.2752</v>
      </c>
      <c r="AB363" s="721"/>
      <c r="AC363" s="747" t="s">
        <v>3973</v>
      </c>
      <c r="AD363" s="715" t="s">
        <v>112</v>
      </c>
      <c r="AE363" s="715">
        <f t="shared" si="76"/>
        <v>2208</v>
      </c>
      <c r="AF363" s="715"/>
      <c r="AG363" s="715">
        <v>2208</v>
      </c>
      <c r="AH363" s="715">
        <f t="shared" si="72"/>
        <v>0</v>
      </c>
      <c r="AI363" s="717"/>
      <c r="AJ363" s="715" t="s">
        <v>3981</v>
      </c>
      <c r="AK363" s="652">
        <f>I363</f>
        <v>2208</v>
      </c>
      <c r="AL363" s="652"/>
      <c r="AM363" s="652"/>
      <c r="AN363" s="652">
        <f t="shared" si="75"/>
        <v>2208</v>
      </c>
      <c r="AO363" s="652"/>
      <c r="AP363" s="652"/>
      <c r="AQ363" s="652"/>
      <c r="AR363" s="652"/>
      <c r="AS363" s="652"/>
      <c r="AT363" s="652">
        <f>I363/8</f>
        <v>276</v>
      </c>
      <c r="AU363" s="652"/>
      <c r="AV363" s="652"/>
      <c r="AW363" s="652"/>
      <c r="AX363" s="652"/>
      <c r="AY363" s="652"/>
      <c r="AZ363" s="652"/>
      <c r="BA363" s="652"/>
      <c r="BB363" s="652"/>
      <c r="BC363" s="652"/>
      <c r="BD363" s="652"/>
      <c r="BE363" s="652"/>
      <c r="BF363" s="652"/>
      <c r="BG363" s="652"/>
      <c r="BH363" s="652"/>
      <c r="BI363" s="652"/>
    </row>
    <row r="364" s="656" customFormat="1" ht="31" customHeight="1" spans="1:108">
      <c r="A364" s="806">
        <v>46182</v>
      </c>
      <c r="B364" s="807" t="s">
        <v>1797</v>
      </c>
      <c r="C364" s="808" t="s">
        <v>319</v>
      </c>
      <c r="D364" s="656">
        <v>4500210152</v>
      </c>
      <c r="E364" s="808" t="s">
        <v>1798</v>
      </c>
      <c r="F364" s="656" t="s">
        <v>5079</v>
      </c>
      <c r="G364" s="809" t="s">
        <v>4024</v>
      </c>
      <c r="H364" s="715" t="s">
        <v>3995</v>
      </c>
      <c r="I364" s="810">
        <v>496</v>
      </c>
      <c r="J364" s="808">
        <v>0</v>
      </c>
      <c r="K364" s="808">
        <v>16</v>
      </c>
      <c r="L364" s="808">
        <f t="shared" si="62"/>
        <v>31</v>
      </c>
      <c r="M364" s="811">
        <v>46216</v>
      </c>
      <c r="N364" s="811">
        <v>46214</v>
      </c>
      <c r="O364" s="807"/>
      <c r="P364" s="810" t="s">
        <v>106</v>
      </c>
      <c r="Q364" s="810"/>
      <c r="R364" s="735">
        <v>46182</v>
      </c>
      <c r="S364" s="720" t="s">
        <v>95</v>
      </c>
      <c r="T364" s="735" t="s">
        <v>5080</v>
      </c>
      <c r="U364" s="735"/>
      <c r="V364" s="813"/>
      <c r="W364" s="813"/>
      <c r="X364" s="813" t="s">
        <v>5081</v>
      </c>
      <c r="Y364" s="811" t="s">
        <v>1805</v>
      </c>
      <c r="Z364" s="814">
        <v>4.7945</v>
      </c>
      <c r="AA364" s="656">
        <f t="shared" si="77"/>
        <v>2378.072</v>
      </c>
      <c r="AB364" s="780"/>
      <c r="AC364" s="653" t="s">
        <v>3973</v>
      </c>
      <c r="AD364" s="771" t="s">
        <v>112</v>
      </c>
      <c r="AE364" s="808">
        <f t="shared" si="76"/>
        <v>496</v>
      </c>
      <c r="AF364" s="808"/>
      <c r="AG364" s="808">
        <v>496</v>
      </c>
      <c r="AH364" s="715">
        <f t="shared" si="72"/>
        <v>0</v>
      </c>
      <c r="AI364" s="810" t="s">
        <v>120</v>
      </c>
      <c r="AJ364" s="715" t="s">
        <v>3981</v>
      </c>
      <c r="AK364" s="774">
        <f>I364</f>
        <v>496</v>
      </c>
      <c r="AL364" s="774"/>
      <c r="AM364" s="652"/>
      <c r="AN364" s="652">
        <f t="shared" si="75"/>
        <v>496</v>
      </c>
      <c r="AP364" s="774"/>
      <c r="AQ364" s="656"/>
      <c r="AR364" s="656"/>
      <c r="AS364" s="656"/>
      <c r="AT364" s="656">
        <f>I364/8</f>
        <v>62</v>
      </c>
      <c r="AU364" s="652"/>
      <c r="AV364" s="774"/>
      <c r="AW364" s="774"/>
      <c r="AX364" s="656"/>
      <c r="BI364" s="774"/>
      <c r="BJ364" s="656"/>
      <c r="BK364" s="656"/>
      <c r="BL364" s="656"/>
      <c r="BM364" s="656"/>
      <c r="BN364" s="656"/>
      <c r="BO364" s="656"/>
      <c r="BP364" s="656"/>
      <c r="BQ364" s="656"/>
      <c r="BR364" s="656"/>
      <c r="BS364" s="656"/>
      <c r="BT364" s="656"/>
      <c r="BU364" s="656"/>
      <c r="BV364" s="656"/>
      <c r="BW364" s="656"/>
      <c r="BX364" s="656"/>
      <c r="BY364" s="656"/>
      <c r="BZ364" s="656"/>
      <c r="CA364" s="656"/>
      <c r="CB364" s="656"/>
      <c r="CC364" s="656"/>
      <c r="CD364" s="656"/>
      <c r="CE364" s="656"/>
      <c r="CF364" s="656"/>
      <c r="CG364" s="656"/>
      <c r="CH364" s="656"/>
      <c r="CI364" s="656"/>
      <c r="CJ364" s="656"/>
      <c r="CK364" s="656"/>
      <c r="CL364" s="656"/>
      <c r="CM364" s="656"/>
      <c r="CN364" s="656"/>
      <c r="CO364" s="656"/>
      <c r="CP364" s="656"/>
      <c r="CQ364" s="656"/>
      <c r="CR364" s="656"/>
      <c r="CS364" s="817"/>
      <c r="CT364" s="817"/>
      <c r="CU364" s="817"/>
      <c r="CV364" s="817"/>
      <c r="CW364" s="817"/>
      <c r="CX364" s="817"/>
      <c r="CY364" s="817"/>
      <c r="CZ364" s="817"/>
      <c r="DA364" s="817"/>
      <c r="DB364" s="817"/>
      <c r="DC364" s="817"/>
      <c r="DD364" s="817"/>
    </row>
    <row r="365" s="650" customFormat="1" ht="31" customHeight="1" spans="1:108">
      <c r="A365" s="713">
        <v>46164</v>
      </c>
      <c r="B365" s="714" t="s">
        <v>2590</v>
      </c>
      <c r="C365" s="715" t="s">
        <v>2523</v>
      </c>
      <c r="D365" s="652" t="s">
        <v>5082</v>
      </c>
      <c r="E365" s="715" t="s">
        <v>2591</v>
      </c>
      <c r="F365" s="652" t="s">
        <v>5083</v>
      </c>
      <c r="G365" s="716" t="s">
        <v>3968</v>
      </c>
      <c r="H365" s="715" t="s">
        <v>3969</v>
      </c>
      <c r="I365" s="717">
        <v>960</v>
      </c>
      <c r="J365" s="715">
        <v>0</v>
      </c>
      <c r="K365" s="715">
        <v>16</v>
      </c>
      <c r="L365" s="715">
        <f t="shared" si="62"/>
        <v>60</v>
      </c>
      <c r="M365" s="719">
        <v>46216</v>
      </c>
      <c r="N365" s="719">
        <v>46212</v>
      </c>
      <c r="O365" s="714"/>
      <c r="P365" s="717" t="s">
        <v>106</v>
      </c>
      <c r="Q365" s="717" t="s">
        <v>1744</v>
      </c>
      <c r="R365" s="723">
        <v>46164</v>
      </c>
      <c r="S365" s="720" t="s">
        <v>107</v>
      </c>
      <c r="T365" s="720" t="s">
        <v>5084</v>
      </c>
      <c r="U365" s="720"/>
      <c r="V365" s="720"/>
      <c r="W365" s="720"/>
      <c r="X365" s="720" t="s">
        <v>5085</v>
      </c>
      <c r="Y365" s="719" t="s">
        <v>1725</v>
      </c>
      <c r="Z365" s="730">
        <v>4.5967</v>
      </c>
      <c r="AA365" s="652">
        <f t="shared" si="77"/>
        <v>4412.832</v>
      </c>
      <c r="AB365" s="721"/>
      <c r="AC365" s="747" t="s">
        <v>4426</v>
      </c>
      <c r="AD365" s="715" t="s">
        <v>112</v>
      </c>
      <c r="AE365" s="715">
        <f t="shared" si="76"/>
        <v>960</v>
      </c>
      <c r="AF365" s="715"/>
      <c r="AG365" s="715">
        <v>960</v>
      </c>
      <c r="AH365" s="715">
        <f t="shared" si="72"/>
        <v>0</v>
      </c>
      <c r="AI365" s="717"/>
      <c r="AJ365" s="715" t="s">
        <v>3981</v>
      </c>
      <c r="AK365" s="652"/>
      <c r="AL365" s="652">
        <f>I365</f>
        <v>960</v>
      </c>
      <c r="AM365" s="652"/>
      <c r="AN365" s="652">
        <f t="shared" si="75"/>
        <v>960</v>
      </c>
      <c r="AO365" s="652"/>
      <c r="AP365" s="652"/>
      <c r="AQ365" s="652"/>
      <c r="AR365" s="652"/>
      <c r="AS365" s="652"/>
      <c r="AT365" s="652"/>
      <c r="AU365" s="652">
        <f>I365/8</f>
        <v>120</v>
      </c>
      <c r="AV365" s="652"/>
      <c r="AW365" s="652"/>
      <c r="AX365" s="652"/>
      <c r="AY365" s="652"/>
      <c r="AZ365" s="652"/>
      <c r="BA365" s="652"/>
      <c r="BB365" s="652"/>
      <c r="BC365" s="652"/>
      <c r="BD365" s="652"/>
      <c r="BE365" s="652"/>
      <c r="BF365" s="652"/>
      <c r="BG365" s="652"/>
      <c r="BH365" s="652"/>
      <c r="BI365" s="652"/>
      <c r="BJ365" s="651"/>
      <c r="BK365" s="651"/>
      <c r="BL365" s="651"/>
      <c r="BM365" s="651"/>
      <c r="BN365" s="651"/>
      <c r="BO365" s="651"/>
      <c r="BP365" s="651"/>
      <c r="BQ365" s="651"/>
      <c r="BR365" s="651"/>
      <c r="BS365" s="651"/>
      <c r="BT365" s="651"/>
      <c r="BU365" s="651"/>
      <c r="BV365" s="651"/>
      <c r="BW365" s="651"/>
      <c r="BX365" s="651"/>
      <c r="BY365" s="651"/>
      <c r="BZ365" s="651"/>
      <c r="CA365" s="651"/>
      <c r="CB365" s="651"/>
      <c r="CC365" s="651"/>
      <c r="CD365" s="651"/>
      <c r="CE365" s="651"/>
      <c r="CF365" s="651"/>
      <c r="CG365" s="651"/>
      <c r="CH365" s="651"/>
      <c r="CI365" s="651"/>
      <c r="CJ365" s="651"/>
      <c r="CK365" s="651"/>
      <c r="CL365" s="651"/>
      <c r="CM365" s="651"/>
      <c r="CN365" s="651"/>
      <c r="CO365" s="651"/>
      <c r="CP365" s="651"/>
      <c r="CQ365" s="651"/>
      <c r="CR365" s="651"/>
    </row>
    <row r="366" s="650" customFormat="1" ht="31" customHeight="1" spans="1:108">
      <c r="A366" s="713">
        <v>46218</v>
      </c>
      <c r="B366" s="714" t="s">
        <v>264</v>
      </c>
      <c r="C366" s="715" t="s">
        <v>265</v>
      </c>
      <c r="D366" s="652">
        <v>4500215933</v>
      </c>
      <c r="E366" s="715">
        <v>4400560175</v>
      </c>
      <c r="F366" s="652" t="s">
        <v>5086</v>
      </c>
      <c r="G366" s="716" t="s">
        <v>3973</v>
      </c>
      <c r="H366" s="715" t="s">
        <v>3995</v>
      </c>
      <c r="I366" s="717">
        <v>3008</v>
      </c>
      <c r="J366" s="715">
        <v>0</v>
      </c>
      <c r="K366" s="715">
        <v>16</v>
      </c>
      <c r="L366" s="715">
        <f t="shared" si="62"/>
        <v>188</v>
      </c>
      <c r="M366" s="719">
        <v>46216</v>
      </c>
      <c r="N366" s="719">
        <v>46212</v>
      </c>
      <c r="O366" s="720" t="s">
        <v>5087</v>
      </c>
      <c r="P366" s="717" t="s">
        <v>106</v>
      </c>
      <c r="Q366" s="717"/>
      <c r="R366" s="723" t="s">
        <v>2244</v>
      </c>
      <c r="S366" s="720" t="s">
        <v>107</v>
      </c>
      <c r="T366" s="720" t="s">
        <v>153</v>
      </c>
      <c r="U366" s="720"/>
      <c r="V366" s="720"/>
      <c r="W366" s="720"/>
      <c r="X366" s="720" t="s">
        <v>5088</v>
      </c>
      <c r="Y366" s="719" t="s">
        <v>142</v>
      </c>
      <c r="Z366" s="730">
        <v>4.8226</v>
      </c>
      <c r="AA366" s="652">
        <f t="shared" si="77"/>
        <v>14506.3808</v>
      </c>
      <c r="AB366" s="721"/>
      <c r="AC366" s="747" t="s">
        <v>4108</v>
      </c>
      <c r="AD366" s="715" t="s">
        <v>112</v>
      </c>
      <c r="AE366" s="715">
        <f t="shared" si="76"/>
        <v>3008</v>
      </c>
      <c r="AF366" s="715"/>
      <c r="AG366" s="715">
        <v>3008</v>
      </c>
      <c r="AH366" s="715">
        <f t="shared" si="72"/>
        <v>0</v>
      </c>
      <c r="AI366" s="717" t="s">
        <v>95</v>
      </c>
      <c r="AJ366" s="715" t="s">
        <v>3981</v>
      </c>
      <c r="AK366" s="652"/>
      <c r="AL366" s="652">
        <f>I366</f>
        <v>3008</v>
      </c>
      <c r="AM366" s="652"/>
      <c r="AN366" s="652">
        <f t="shared" si="75"/>
        <v>3008</v>
      </c>
      <c r="AO366" s="652"/>
      <c r="AP366" s="652"/>
      <c r="AQ366" s="652"/>
      <c r="AR366" s="652"/>
      <c r="AS366" s="652"/>
      <c r="AT366" s="652"/>
      <c r="AU366" s="652">
        <f>I366/8</f>
        <v>376</v>
      </c>
      <c r="AV366" s="652"/>
      <c r="AW366" s="652"/>
      <c r="AX366" s="652"/>
      <c r="AY366" s="652"/>
      <c r="AZ366" s="652"/>
      <c r="BA366" s="652"/>
      <c r="BB366" s="652"/>
      <c r="BC366" s="652"/>
      <c r="BD366" s="652"/>
      <c r="BE366" s="652"/>
      <c r="BF366" s="652"/>
      <c r="BG366" s="652"/>
      <c r="BH366" s="652"/>
      <c r="BI366" s="652"/>
      <c r="BJ366" s="724"/>
      <c r="BK366" s="724"/>
      <c r="BL366" s="724"/>
      <c r="BM366" s="724"/>
      <c r="BN366" s="724"/>
      <c r="BO366" s="724"/>
      <c r="BP366" s="724"/>
      <c r="BQ366" s="724"/>
      <c r="BR366" s="724"/>
      <c r="BS366" s="724"/>
      <c r="BT366" s="724"/>
      <c r="BU366" s="724"/>
      <c r="BV366" s="724"/>
      <c r="BW366" s="724"/>
      <c r="BX366" s="724"/>
      <c r="BY366" s="724"/>
      <c r="BZ366" s="724"/>
      <c r="CA366" s="724"/>
      <c r="CB366" s="724"/>
      <c r="CC366" s="724"/>
      <c r="CD366" s="724"/>
      <c r="CE366" s="724"/>
      <c r="CF366" s="724"/>
      <c r="CG366" s="724"/>
      <c r="CH366" s="724"/>
      <c r="CI366" s="724"/>
      <c r="CJ366" s="724"/>
      <c r="CK366" s="724"/>
      <c r="CL366" s="724"/>
      <c r="CM366" s="724"/>
      <c r="CN366" s="724"/>
      <c r="CO366" s="724"/>
      <c r="CP366" s="724"/>
      <c r="CQ366" s="724"/>
      <c r="CR366" s="724"/>
      <c r="CS366" s="724"/>
      <c r="CT366" s="724"/>
      <c r="CU366" s="724"/>
      <c r="CV366" s="724"/>
      <c r="CW366" s="724"/>
      <c r="CX366" s="724"/>
      <c r="CY366" s="724"/>
      <c r="CZ366" s="724"/>
      <c r="DA366" s="724"/>
      <c r="DB366" s="724"/>
      <c r="DC366" s="724"/>
      <c r="DD366" s="724"/>
    </row>
    <row r="367" s="650" customFormat="1" ht="31" customHeight="1" spans="1:108">
      <c r="A367" s="713">
        <v>46128</v>
      </c>
      <c r="B367" s="714" t="s">
        <v>1782</v>
      </c>
      <c r="C367" s="715" t="s">
        <v>115</v>
      </c>
      <c r="D367" s="652">
        <v>4500202450</v>
      </c>
      <c r="E367" s="1907" t="s">
        <v>5089</v>
      </c>
      <c r="F367" s="652" t="s">
        <v>5090</v>
      </c>
      <c r="G367" s="716" t="s">
        <v>3973</v>
      </c>
      <c r="H367" s="715" t="s">
        <v>3995</v>
      </c>
      <c r="I367" s="717">
        <v>976</v>
      </c>
      <c r="J367" s="715">
        <v>0</v>
      </c>
      <c r="K367" s="715">
        <v>16</v>
      </c>
      <c r="L367" s="715">
        <f t="shared" si="62"/>
        <v>61</v>
      </c>
      <c r="M367" s="719">
        <v>46216</v>
      </c>
      <c r="N367" s="719">
        <v>46212</v>
      </c>
      <c r="O367" s="714" t="s">
        <v>5091</v>
      </c>
      <c r="P367" s="717" t="s">
        <v>106</v>
      </c>
      <c r="Q367" s="717"/>
      <c r="R367" s="723">
        <v>46128</v>
      </c>
      <c r="S367" s="720" t="s">
        <v>107</v>
      </c>
      <c r="T367" s="720" t="s">
        <v>5092</v>
      </c>
      <c r="U367" s="720"/>
      <c r="V367" s="720"/>
      <c r="W367" s="720"/>
      <c r="X367" s="720" t="s">
        <v>5093</v>
      </c>
      <c r="Y367" s="818" t="s">
        <v>421</v>
      </c>
      <c r="Z367" s="730">
        <v>2.7987</v>
      </c>
      <c r="AA367" s="652">
        <f t="shared" si="77"/>
        <v>2731.5312</v>
      </c>
      <c r="AB367" s="729" t="s">
        <v>1786</v>
      </c>
      <c r="AC367" s="747" t="s">
        <v>3973</v>
      </c>
      <c r="AD367" s="715" t="s">
        <v>112</v>
      </c>
      <c r="AE367" s="715">
        <f t="shared" si="76"/>
        <v>976</v>
      </c>
      <c r="AF367" s="715"/>
      <c r="AG367" s="715">
        <v>976</v>
      </c>
      <c r="AH367" s="715">
        <f t="shared" si="72"/>
        <v>0</v>
      </c>
      <c r="AI367" s="717" t="s">
        <v>120</v>
      </c>
      <c r="AJ367" s="715" t="s">
        <v>3981</v>
      </c>
      <c r="AK367" s="652">
        <f>I367</f>
        <v>976</v>
      </c>
      <c r="AL367" s="652"/>
      <c r="AM367" s="652"/>
      <c r="AN367" s="652">
        <f t="shared" si="75"/>
        <v>976</v>
      </c>
      <c r="AO367" s="652"/>
      <c r="AP367" s="652"/>
      <c r="AQ367" s="652"/>
      <c r="AR367" s="652"/>
      <c r="AS367" s="652"/>
      <c r="AT367" s="652">
        <f>I367/8</f>
        <v>122</v>
      </c>
      <c r="AU367" s="652"/>
      <c r="AV367" s="652"/>
      <c r="AW367" s="652"/>
      <c r="AX367" s="652"/>
      <c r="AY367" s="652"/>
      <c r="AZ367" s="652"/>
      <c r="BA367" s="652"/>
      <c r="BB367" s="652"/>
      <c r="BC367" s="652"/>
      <c r="BD367" s="652"/>
      <c r="BE367" s="652"/>
      <c r="BF367" s="652"/>
      <c r="BG367" s="652"/>
      <c r="BH367" s="652"/>
      <c r="BI367" s="652"/>
      <c r="BJ367" s="727"/>
      <c r="BK367" s="727"/>
      <c r="BL367" s="727"/>
      <c r="BM367" s="727"/>
      <c r="BN367" s="727"/>
      <c r="BO367" s="727"/>
      <c r="BP367" s="727"/>
      <c r="BQ367" s="727"/>
      <c r="BR367" s="727"/>
      <c r="BS367" s="727"/>
      <c r="BT367" s="727"/>
      <c r="BU367" s="727"/>
      <c r="BV367" s="727"/>
      <c r="BW367" s="727"/>
      <c r="BX367" s="727"/>
      <c r="BY367" s="727"/>
      <c r="BZ367" s="727"/>
      <c r="CA367" s="727"/>
      <c r="CB367" s="727"/>
      <c r="CC367" s="727"/>
      <c r="CD367" s="727"/>
      <c r="CE367" s="727"/>
      <c r="CF367" s="727"/>
      <c r="CG367" s="727"/>
      <c r="CH367" s="727"/>
      <c r="CI367" s="727"/>
      <c r="CJ367" s="727"/>
      <c r="CK367" s="727"/>
      <c r="CL367" s="727"/>
      <c r="CM367" s="727"/>
      <c r="CN367" s="727"/>
      <c r="CO367" s="727"/>
      <c r="CP367" s="727"/>
      <c r="CQ367" s="727"/>
      <c r="CR367" s="727"/>
    </row>
    <row r="368" s="651" customFormat="1" ht="31" customHeight="1" spans="1:108">
      <c r="A368" s="713">
        <v>46128</v>
      </c>
      <c r="B368" s="714" t="s">
        <v>1782</v>
      </c>
      <c r="C368" s="715" t="s">
        <v>115</v>
      </c>
      <c r="D368" s="652">
        <v>4500202450</v>
      </c>
      <c r="E368" s="1907" t="s">
        <v>5094</v>
      </c>
      <c r="F368" s="652" t="s">
        <v>5095</v>
      </c>
      <c r="G368" s="716" t="s">
        <v>3973</v>
      </c>
      <c r="H368" s="715" t="s">
        <v>3995</v>
      </c>
      <c r="I368" s="717">
        <v>416</v>
      </c>
      <c r="J368" s="715">
        <v>0</v>
      </c>
      <c r="K368" s="715">
        <v>16</v>
      </c>
      <c r="L368" s="715">
        <f t="shared" si="62"/>
        <v>26</v>
      </c>
      <c r="M368" s="719">
        <v>46216</v>
      </c>
      <c r="N368" s="719">
        <v>46212</v>
      </c>
      <c r="O368" s="714" t="s">
        <v>5091</v>
      </c>
      <c r="P368" s="717" t="s">
        <v>106</v>
      </c>
      <c r="Q368" s="717"/>
      <c r="R368" s="723">
        <v>46128</v>
      </c>
      <c r="S368" s="720" t="s">
        <v>107</v>
      </c>
      <c r="T368" s="720" t="s">
        <v>5092</v>
      </c>
      <c r="U368" s="720"/>
      <c r="V368" s="720"/>
      <c r="W368" s="720"/>
      <c r="X368" s="720" t="s">
        <v>5096</v>
      </c>
      <c r="Y368" s="719" t="s">
        <v>421</v>
      </c>
      <c r="Z368" s="730">
        <v>2.7987</v>
      </c>
      <c r="AA368" s="652">
        <f t="shared" si="77"/>
        <v>1164.2592</v>
      </c>
      <c r="AB368" s="729" t="s">
        <v>1789</v>
      </c>
      <c r="AC368" s="747" t="s">
        <v>3973</v>
      </c>
      <c r="AD368" s="715" t="s">
        <v>112</v>
      </c>
      <c r="AE368" s="715">
        <f t="shared" si="76"/>
        <v>416</v>
      </c>
      <c r="AF368" s="715"/>
      <c r="AG368" s="715">
        <v>416</v>
      </c>
      <c r="AH368" s="715">
        <f t="shared" si="72"/>
        <v>0</v>
      </c>
      <c r="AI368" s="717" t="s">
        <v>120</v>
      </c>
      <c r="AJ368" s="715" t="s">
        <v>3981</v>
      </c>
      <c r="AK368" s="652">
        <f>I368</f>
        <v>416</v>
      </c>
      <c r="AL368" s="652"/>
      <c r="AM368" s="652"/>
      <c r="AN368" s="652">
        <f t="shared" si="75"/>
        <v>416</v>
      </c>
      <c r="AO368" s="652"/>
      <c r="AP368" s="652"/>
      <c r="AQ368" s="652"/>
      <c r="AR368" s="652"/>
      <c r="AS368" s="652"/>
      <c r="AT368" s="652">
        <f>I368/8</f>
        <v>52</v>
      </c>
      <c r="AU368" s="652"/>
      <c r="AV368" s="652"/>
      <c r="AW368" s="652"/>
      <c r="AX368" s="652"/>
      <c r="AY368" s="652"/>
      <c r="AZ368" s="652"/>
      <c r="BA368" s="652"/>
      <c r="BB368" s="652"/>
      <c r="BC368" s="652"/>
      <c r="BD368" s="652"/>
      <c r="BE368" s="652"/>
      <c r="BF368" s="652"/>
      <c r="BG368" s="652"/>
      <c r="BH368" s="652"/>
      <c r="BI368" s="652"/>
      <c r="BJ368" s="651"/>
      <c r="BK368" s="651"/>
      <c r="BL368" s="651"/>
      <c r="BM368" s="651"/>
      <c r="BN368" s="651"/>
      <c r="BO368" s="651"/>
      <c r="BP368" s="651"/>
      <c r="BQ368" s="651"/>
      <c r="BR368" s="651"/>
      <c r="BS368" s="651"/>
      <c r="BT368" s="651"/>
      <c r="BU368" s="651"/>
      <c r="BV368" s="651"/>
      <c r="BW368" s="651"/>
      <c r="BX368" s="651"/>
      <c r="BY368" s="651"/>
      <c r="BZ368" s="651"/>
      <c r="CA368" s="651"/>
      <c r="CB368" s="651"/>
      <c r="CC368" s="651"/>
      <c r="CD368" s="651"/>
      <c r="CE368" s="651"/>
      <c r="CF368" s="651"/>
      <c r="CG368" s="651"/>
      <c r="CH368" s="651"/>
      <c r="CI368" s="651"/>
      <c r="CJ368" s="651"/>
      <c r="CK368" s="651"/>
      <c r="CL368" s="651"/>
      <c r="CM368" s="651"/>
      <c r="CN368" s="651"/>
      <c r="CO368" s="651"/>
      <c r="CP368" s="651"/>
      <c r="CQ368" s="651"/>
      <c r="CR368" s="651"/>
      <c r="CS368" s="650"/>
      <c r="CT368" s="650"/>
      <c r="CU368" s="650"/>
      <c r="CV368" s="650"/>
      <c r="CW368" s="650"/>
      <c r="CX368" s="650"/>
      <c r="CY368" s="650"/>
      <c r="CZ368" s="650"/>
      <c r="DA368" s="650"/>
      <c r="DB368" s="650"/>
      <c r="DC368" s="650"/>
      <c r="DD368" s="650"/>
    </row>
    <row r="369" s="650" customFormat="1" ht="31" customHeight="1" spans="1:108">
      <c r="A369" s="713">
        <v>46161</v>
      </c>
      <c r="B369" s="714" t="s">
        <v>890</v>
      </c>
      <c r="C369" s="715" t="s">
        <v>891</v>
      </c>
      <c r="D369" s="652" t="s">
        <v>5097</v>
      </c>
      <c r="E369" s="715" t="s">
        <v>5098</v>
      </c>
      <c r="F369" s="652" t="s">
        <v>5099</v>
      </c>
      <c r="G369" s="716" t="s">
        <v>4028</v>
      </c>
      <c r="H369" s="715" t="s">
        <v>3978</v>
      </c>
      <c r="I369" s="717">
        <v>480</v>
      </c>
      <c r="J369" s="715">
        <v>0</v>
      </c>
      <c r="K369" s="715">
        <v>8</v>
      </c>
      <c r="L369" s="715">
        <f t="shared" si="62"/>
        <v>60</v>
      </c>
      <c r="M369" s="719">
        <v>46217</v>
      </c>
      <c r="N369" s="719">
        <v>46213</v>
      </c>
      <c r="O369" s="714"/>
      <c r="P369" s="717" t="s">
        <v>106</v>
      </c>
      <c r="Q369" s="717" t="s">
        <v>1773</v>
      </c>
      <c r="R369" s="723" t="s">
        <v>2869</v>
      </c>
      <c r="S369" s="720" t="s">
        <v>107</v>
      </c>
      <c r="T369" s="720" t="s">
        <v>5100</v>
      </c>
      <c r="U369" s="720"/>
      <c r="V369" s="720"/>
      <c r="W369" s="720"/>
      <c r="X369" s="720" t="s">
        <v>5101</v>
      </c>
      <c r="Y369" s="719" t="s">
        <v>895</v>
      </c>
      <c r="Z369" s="730">
        <v>4.7079</v>
      </c>
      <c r="AA369" s="652">
        <f>L369*Z369</f>
        <v>282.474</v>
      </c>
      <c r="AB369" s="721"/>
      <c r="AC369" s="747" t="s">
        <v>4031</v>
      </c>
      <c r="AD369" s="715" t="s">
        <v>112</v>
      </c>
      <c r="AE369" s="715">
        <f t="shared" si="76"/>
        <v>480</v>
      </c>
      <c r="AF369" s="715"/>
      <c r="AG369" s="715">
        <v>480</v>
      </c>
      <c r="AH369" s="715">
        <f t="shared" si="72"/>
        <v>0</v>
      </c>
      <c r="AI369" s="717"/>
      <c r="AJ369" s="715" t="s">
        <v>3981</v>
      </c>
      <c r="AK369" s="652"/>
      <c r="AL369" s="652">
        <f>I369</f>
        <v>480</v>
      </c>
      <c r="AM369" s="652"/>
      <c r="AN369" s="652">
        <f t="shared" si="75"/>
        <v>480</v>
      </c>
      <c r="AO369" s="652"/>
      <c r="AP369" s="652"/>
      <c r="AQ369" s="652"/>
      <c r="AR369" s="652"/>
      <c r="AS369" s="652"/>
      <c r="AT369" s="652"/>
      <c r="AU369" s="652">
        <f>I369/8</f>
        <v>60</v>
      </c>
      <c r="AV369" s="652"/>
      <c r="AW369" s="652"/>
      <c r="AX369" s="652"/>
      <c r="AY369" s="652"/>
      <c r="AZ369" s="652"/>
      <c r="BA369" s="652"/>
      <c r="BB369" s="652"/>
      <c r="BC369" s="652"/>
      <c r="BD369" s="652"/>
      <c r="BE369" s="652"/>
      <c r="BF369" s="652"/>
      <c r="BG369" s="652"/>
      <c r="BH369" s="652"/>
      <c r="BI369" s="652"/>
      <c r="BJ369" s="651"/>
      <c r="BK369" s="651"/>
      <c r="BL369" s="651"/>
      <c r="BM369" s="651"/>
      <c r="BN369" s="651"/>
      <c r="BO369" s="651"/>
      <c r="BP369" s="651"/>
      <c r="BQ369" s="651"/>
      <c r="BR369" s="651"/>
      <c r="BS369" s="651"/>
      <c r="BT369" s="651"/>
      <c r="BU369" s="651"/>
      <c r="BV369" s="651"/>
      <c r="BW369" s="651"/>
      <c r="BX369" s="651"/>
      <c r="BY369" s="651"/>
      <c r="BZ369" s="651"/>
      <c r="CA369" s="651"/>
      <c r="CB369" s="651"/>
      <c r="CC369" s="651"/>
      <c r="CD369" s="651"/>
      <c r="CE369" s="651"/>
      <c r="CF369" s="651"/>
      <c r="CG369" s="651"/>
      <c r="CH369" s="651"/>
      <c r="CI369" s="651"/>
      <c r="CJ369" s="651"/>
      <c r="CK369" s="651"/>
      <c r="CL369" s="651"/>
      <c r="CM369" s="651"/>
      <c r="CN369" s="651"/>
      <c r="CO369" s="651"/>
      <c r="CP369" s="651"/>
      <c r="CQ369" s="651"/>
      <c r="CR369" s="651"/>
    </row>
    <row r="370" s="650" customFormat="1" ht="31" customHeight="1" spans="1:108">
      <c r="A370" s="713">
        <v>46156</v>
      </c>
      <c r="B370" s="714" t="s">
        <v>1827</v>
      </c>
      <c r="C370" s="715" t="s">
        <v>1828</v>
      </c>
      <c r="D370" s="652" t="s">
        <v>5102</v>
      </c>
      <c r="E370" s="1908" t="s">
        <v>1829</v>
      </c>
      <c r="F370" s="652" t="s">
        <v>5103</v>
      </c>
      <c r="G370" s="716" t="s">
        <v>3973</v>
      </c>
      <c r="H370" s="715" t="s">
        <v>3995</v>
      </c>
      <c r="I370" s="717">
        <v>1760</v>
      </c>
      <c r="J370" s="715">
        <v>0</v>
      </c>
      <c r="K370" s="715">
        <v>16</v>
      </c>
      <c r="L370" s="715">
        <f>I370/K370</f>
        <v>110</v>
      </c>
      <c r="M370" s="719">
        <v>46217</v>
      </c>
      <c r="N370" s="778">
        <v>46213</v>
      </c>
      <c r="O370" s="714"/>
      <c r="P370" s="717" t="s">
        <v>106</v>
      </c>
      <c r="Q370" s="717"/>
      <c r="R370" s="723">
        <v>46182</v>
      </c>
      <c r="S370" s="720" t="s">
        <v>107</v>
      </c>
      <c r="T370" s="720" t="s">
        <v>5104</v>
      </c>
      <c r="U370" s="720"/>
      <c r="V370" s="720"/>
      <c r="W370" s="720"/>
      <c r="X370" s="720" t="s">
        <v>5105</v>
      </c>
      <c r="Y370" s="719" t="s">
        <v>757</v>
      </c>
      <c r="Z370" s="730">
        <v>4.6933</v>
      </c>
      <c r="AA370" s="652">
        <f>I370*Z370</f>
        <v>8260.208</v>
      </c>
      <c r="AB370" s="721"/>
      <c r="AC370" s="747" t="s">
        <v>4108</v>
      </c>
      <c r="AD370" s="715" t="s">
        <v>112</v>
      </c>
      <c r="AE370" s="715">
        <f t="shared" si="76"/>
        <v>1760</v>
      </c>
      <c r="AF370" s="715"/>
      <c r="AG370" s="715">
        <v>1760</v>
      </c>
      <c r="AH370" s="715">
        <f t="shared" si="72"/>
        <v>0</v>
      </c>
      <c r="AI370" s="717"/>
      <c r="AJ370" s="715" t="s">
        <v>3981</v>
      </c>
      <c r="AK370" s="652"/>
      <c r="AL370" s="652">
        <f>I370</f>
        <v>1760</v>
      </c>
      <c r="AM370" s="652"/>
      <c r="AN370" s="652">
        <f t="shared" si="75"/>
        <v>1760</v>
      </c>
      <c r="AO370" s="652"/>
      <c r="AP370" s="652"/>
      <c r="AQ370" s="652"/>
      <c r="AR370" s="652"/>
      <c r="AS370" s="652"/>
      <c r="AT370" s="652"/>
      <c r="AU370" s="652">
        <f>I370/8</f>
        <v>220</v>
      </c>
      <c r="AV370" s="652"/>
      <c r="AW370" s="652"/>
      <c r="AX370" s="652"/>
      <c r="AY370" s="652"/>
      <c r="AZ370" s="652"/>
      <c r="BA370" s="652"/>
      <c r="BB370" s="652"/>
      <c r="BC370" s="652"/>
      <c r="BD370" s="652"/>
      <c r="BE370" s="652"/>
      <c r="BF370" s="652"/>
      <c r="BG370" s="652"/>
      <c r="BH370" s="652"/>
      <c r="BI370" s="652"/>
    </row>
    <row r="371" s="650" customFormat="1" ht="31" customHeight="1" spans="1:108">
      <c r="A371" s="713">
        <v>46162</v>
      </c>
      <c r="B371" s="714" t="s">
        <v>1821</v>
      </c>
      <c r="C371" s="715" t="s">
        <v>1822</v>
      </c>
      <c r="D371" s="652" t="s">
        <v>5106</v>
      </c>
      <c r="E371" s="715" t="s">
        <v>628</v>
      </c>
      <c r="F371" s="652" t="s">
        <v>5107</v>
      </c>
      <c r="G371" s="716" t="s">
        <v>3973</v>
      </c>
      <c r="H371" s="715" t="s">
        <v>3995</v>
      </c>
      <c r="I371" s="717">
        <v>2016</v>
      </c>
      <c r="J371" s="715">
        <v>0</v>
      </c>
      <c r="K371" s="715">
        <v>16</v>
      </c>
      <c r="L371" s="715">
        <f>I371/K371</f>
        <v>126</v>
      </c>
      <c r="M371" s="719">
        <v>46217</v>
      </c>
      <c r="N371" s="778">
        <v>46213</v>
      </c>
      <c r="O371" s="714"/>
      <c r="P371" s="717" t="s">
        <v>106</v>
      </c>
      <c r="Q371" s="717"/>
      <c r="R371" s="723" t="s">
        <v>1824</v>
      </c>
      <c r="S371" s="720" t="s">
        <v>107</v>
      </c>
      <c r="T371" s="720" t="s">
        <v>5108</v>
      </c>
      <c r="U371" s="720"/>
      <c r="V371" s="720"/>
      <c r="W371" s="720"/>
      <c r="X371" s="720" t="s">
        <v>5109</v>
      </c>
      <c r="Y371" s="719" t="s">
        <v>295</v>
      </c>
      <c r="Z371" s="730">
        <v>4.6933</v>
      </c>
      <c r="AA371" s="652">
        <f>I371*Z371</f>
        <v>9461.6928</v>
      </c>
      <c r="AB371" s="721"/>
      <c r="AC371" s="747" t="s">
        <v>4108</v>
      </c>
      <c r="AD371" s="715" t="s">
        <v>112</v>
      </c>
      <c r="AE371" s="715">
        <f t="shared" si="76"/>
        <v>2016</v>
      </c>
      <c r="AF371" s="715"/>
      <c r="AG371" s="715">
        <v>2016</v>
      </c>
      <c r="AH371" s="715">
        <f t="shared" si="72"/>
        <v>0</v>
      </c>
      <c r="AI371" s="717"/>
      <c r="AJ371" s="715" t="s">
        <v>3981</v>
      </c>
      <c r="AK371" s="652"/>
      <c r="AL371" s="652">
        <f>I371</f>
        <v>2016</v>
      </c>
      <c r="AM371" s="652"/>
      <c r="AN371" s="652">
        <f t="shared" si="75"/>
        <v>2016</v>
      </c>
      <c r="AO371" s="652"/>
      <c r="AP371" s="652"/>
      <c r="AQ371" s="652"/>
      <c r="AR371" s="652"/>
      <c r="AS371" s="652"/>
      <c r="AT371" s="652"/>
      <c r="AU371" s="652">
        <f>I371/8</f>
        <v>252</v>
      </c>
      <c r="AV371" s="652"/>
      <c r="AW371" s="652"/>
      <c r="AX371" s="652"/>
      <c r="AY371" s="652"/>
      <c r="AZ371" s="652"/>
      <c r="BA371" s="652"/>
      <c r="BB371" s="652"/>
      <c r="BC371" s="652"/>
      <c r="BD371" s="652"/>
      <c r="BE371" s="652"/>
      <c r="BF371" s="652"/>
      <c r="BG371" s="652"/>
      <c r="BH371" s="652"/>
      <c r="BI371" s="652"/>
      <c r="BJ371" s="651"/>
      <c r="BK371" s="651"/>
      <c r="BL371" s="651"/>
      <c r="BM371" s="651"/>
      <c r="BN371" s="651"/>
      <c r="BO371" s="651"/>
      <c r="BP371" s="651"/>
      <c r="BQ371" s="651"/>
      <c r="BR371" s="651"/>
      <c r="BS371" s="651"/>
      <c r="BT371" s="651"/>
      <c r="BU371" s="651"/>
      <c r="BV371" s="651"/>
      <c r="BW371" s="651"/>
      <c r="BX371" s="651"/>
      <c r="BY371" s="651"/>
      <c r="BZ371" s="651"/>
      <c r="CA371" s="651"/>
      <c r="CB371" s="651"/>
      <c r="CC371" s="651"/>
      <c r="CD371" s="651"/>
      <c r="CE371" s="651"/>
      <c r="CF371" s="651"/>
      <c r="CG371" s="651"/>
      <c r="CH371" s="651"/>
      <c r="CI371" s="651"/>
      <c r="CJ371" s="651"/>
      <c r="CK371" s="651"/>
      <c r="CL371" s="651"/>
      <c r="CM371" s="651"/>
      <c r="CN371" s="651"/>
      <c r="CO371" s="651"/>
      <c r="CP371" s="651"/>
      <c r="CQ371" s="651"/>
      <c r="CR371" s="651"/>
    </row>
    <row r="372" s="657" customFormat="1" ht="31" customHeight="1" spans="1:108">
      <c r="A372" s="819">
        <v>46206</v>
      </c>
      <c r="B372" s="820"/>
      <c r="C372" s="821" t="s">
        <v>597</v>
      </c>
      <c r="D372" s="822" t="s">
        <v>5110</v>
      </c>
      <c r="E372" s="821"/>
      <c r="F372" s="822" t="s">
        <v>5111</v>
      </c>
      <c r="G372" s="823" t="s">
        <v>1808</v>
      </c>
      <c r="H372" s="708"/>
      <c r="I372" s="824" t="s">
        <v>1809</v>
      </c>
      <c r="J372" s="821"/>
      <c r="K372" s="821"/>
      <c r="L372" s="821"/>
      <c r="M372" s="825">
        <v>46217</v>
      </c>
      <c r="N372" s="826">
        <v>46213</v>
      </c>
      <c r="O372" s="820"/>
      <c r="P372" s="824"/>
      <c r="Q372" s="824"/>
      <c r="R372" s="827" t="s">
        <v>94</v>
      </c>
      <c r="S372" s="828" t="s">
        <v>95</v>
      </c>
      <c r="T372" s="828" t="s">
        <v>95</v>
      </c>
      <c r="U372" s="828"/>
      <c r="V372" s="829"/>
      <c r="W372" s="828"/>
      <c r="X372" s="828" t="s">
        <v>1810</v>
      </c>
      <c r="Y372" s="825" t="s">
        <v>272</v>
      </c>
      <c r="Z372" s="830"/>
      <c r="AA372" s="822"/>
      <c r="AB372" s="831"/>
      <c r="AC372" s="832"/>
      <c r="AD372" s="833" t="s">
        <v>99</v>
      </c>
      <c r="AE372" s="821"/>
      <c r="AF372" s="821"/>
      <c r="AG372" s="708">
        <v>40</v>
      </c>
      <c r="AH372" s="833" t="e">
        <f t="shared" si="72"/>
        <v>#VALUE!</v>
      </c>
      <c r="AI372" s="824"/>
      <c r="AJ372" s="821"/>
      <c r="AK372" s="822"/>
      <c r="AL372" s="822"/>
      <c r="AM372" s="822"/>
      <c r="AN372" s="822"/>
      <c r="AO372" s="822"/>
      <c r="AP372" s="822"/>
      <c r="AQ372" s="822"/>
      <c r="AR372" s="822"/>
      <c r="AS372" s="822"/>
      <c r="AT372" s="822"/>
      <c r="AU372" s="834"/>
      <c r="AV372" s="834"/>
      <c r="AW372" s="834"/>
      <c r="AX372" s="822"/>
      <c r="AY372" s="822"/>
      <c r="AZ372" s="822"/>
      <c r="BA372" s="822"/>
      <c r="BB372" s="822"/>
      <c r="BC372" s="822"/>
      <c r="BD372" s="822"/>
      <c r="BE372" s="822"/>
      <c r="BF372" s="822"/>
      <c r="BG372" s="822"/>
      <c r="BH372" s="822"/>
      <c r="BI372" s="822"/>
      <c r="BJ372" s="835"/>
      <c r="BK372" s="835"/>
      <c r="BL372" s="835"/>
      <c r="BM372" s="835"/>
      <c r="BN372" s="835"/>
      <c r="BO372" s="835"/>
      <c r="BP372" s="835"/>
      <c r="BQ372" s="835"/>
      <c r="BR372" s="835"/>
      <c r="BS372" s="835"/>
      <c r="BT372" s="835"/>
      <c r="BU372" s="835"/>
      <c r="BV372" s="835"/>
      <c r="BW372" s="835"/>
      <c r="BX372" s="835"/>
      <c r="BY372" s="835"/>
      <c r="BZ372" s="835"/>
      <c r="CA372" s="835"/>
      <c r="CB372" s="835"/>
      <c r="CC372" s="835"/>
      <c r="CD372" s="835"/>
      <c r="CE372" s="835"/>
      <c r="CF372" s="835"/>
      <c r="CG372" s="835"/>
      <c r="CH372" s="835"/>
      <c r="CI372" s="835"/>
      <c r="CJ372" s="835"/>
      <c r="CK372" s="835"/>
      <c r="CL372" s="835"/>
      <c r="CM372" s="835"/>
      <c r="CN372" s="835"/>
      <c r="CO372" s="835"/>
      <c r="CP372" s="835"/>
      <c r="CQ372" s="835"/>
      <c r="CR372" s="835"/>
      <c r="CS372" s="835"/>
      <c r="CT372" s="835"/>
      <c r="CU372" s="835"/>
      <c r="CV372" s="835"/>
      <c r="CW372" s="835"/>
      <c r="CX372" s="835"/>
      <c r="CY372" s="835"/>
      <c r="CZ372" s="835"/>
      <c r="DA372" s="835"/>
      <c r="DB372" s="835"/>
      <c r="DC372" s="835"/>
      <c r="DD372" s="835"/>
    </row>
    <row r="373" s="651" customFormat="1" ht="31" customHeight="1" spans="1:108">
      <c r="A373" s="713">
        <v>46102</v>
      </c>
      <c r="B373" s="714" t="s">
        <v>1853</v>
      </c>
      <c r="C373" s="715" t="s">
        <v>201</v>
      </c>
      <c r="D373" s="652">
        <v>4500197988</v>
      </c>
      <c r="E373" s="715" t="s">
        <v>1854</v>
      </c>
      <c r="F373" s="652" t="s">
        <v>5112</v>
      </c>
      <c r="G373" s="716" t="s">
        <v>3980</v>
      </c>
      <c r="H373" s="715" t="s">
        <v>3978</v>
      </c>
      <c r="I373" s="717">
        <v>9000</v>
      </c>
      <c r="J373" s="715">
        <v>0</v>
      </c>
      <c r="K373" s="715">
        <v>8</v>
      </c>
      <c r="L373" s="715">
        <f t="shared" ref="L373:L384" si="78">I373/K373</f>
        <v>1125</v>
      </c>
      <c r="M373" s="719">
        <v>46218</v>
      </c>
      <c r="N373" s="719">
        <v>46214</v>
      </c>
      <c r="O373" s="714"/>
      <c r="P373" s="717" t="s">
        <v>106</v>
      </c>
      <c r="Q373" s="717"/>
      <c r="R373" s="715" t="s">
        <v>4115</v>
      </c>
      <c r="S373" s="720" t="s">
        <v>107</v>
      </c>
      <c r="T373" s="720" t="s">
        <v>5113</v>
      </c>
      <c r="U373" s="720"/>
      <c r="V373" s="720"/>
      <c r="W373" s="720"/>
      <c r="X373" s="720" t="s">
        <v>5114</v>
      </c>
      <c r="Y373" s="719" t="s">
        <v>1858</v>
      </c>
      <c r="Z373" s="730">
        <v>5</v>
      </c>
      <c r="AA373" s="652">
        <f>Z373*I373</f>
        <v>45000</v>
      </c>
      <c r="AB373" s="721"/>
      <c r="AC373" s="747" t="s">
        <v>4031</v>
      </c>
      <c r="AD373" s="715" t="s">
        <v>112</v>
      </c>
      <c r="AE373" s="715">
        <f t="shared" ref="AE373:AE384" si="79">I373</f>
        <v>9000</v>
      </c>
      <c r="AF373" s="715"/>
      <c r="AG373" s="715">
        <v>9000</v>
      </c>
      <c r="AH373" s="715">
        <f t="shared" si="72"/>
        <v>0</v>
      </c>
      <c r="AI373" s="717"/>
      <c r="AJ373" s="715" t="s">
        <v>3981</v>
      </c>
      <c r="AK373" s="652"/>
      <c r="AL373" s="652">
        <f>I373</f>
        <v>9000</v>
      </c>
      <c r="AM373" s="652"/>
      <c r="AN373" s="652">
        <f t="shared" ref="AN373:AN384" si="80">I373</f>
        <v>9000</v>
      </c>
      <c r="AO373" s="652"/>
      <c r="AP373" s="652"/>
      <c r="AQ373" s="652"/>
      <c r="AR373" s="652"/>
      <c r="AS373" s="652"/>
      <c r="AT373" s="652"/>
      <c r="AU373" s="652">
        <f>I373/8</f>
        <v>1125</v>
      </c>
      <c r="AV373" s="652"/>
      <c r="AW373" s="652"/>
      <c r="AX373" s="652"/>
      <c r="AY373" s="652"/>
      <c r="AZ373" s="652"/>
      <c r="BA373" s="652"/>
      <c r="BB373" s="652"/>
      <c r="BC373" s="652"/>
      <c r="BD373" s="652"/>
      <c r="BE373" s="652"/>
      <c r="BF373" s="652"/>
      <c r="BG373" s="652"/>
      <c r="BH373" s="652"/>
      <c r="BI373" s="652"/>
      <c r="BJ373" s="650"/>
      <c r="BK373" s="650"/>
      <c r="BL373" s="650"/>
      <c r="BM373" s="650"/>
      <c r="BN373" s="650"/>
      <c r="BO373" s="650"/>
      <c r="BP373" s="650"/>
      <c r="BQ373" s="650"/>
      <c r="BR373" s="650"/>
      <c r="BS373" s="650"/>
      <c r="BT373" s="650"/>
      <c r="BU373" s="650"/>
      <c r="BV373" s="650"/>
      <c r="BW373" s="650"/>
      <c r="BX373" s="650"/>
      <c r="BY373" s="650"/>
      <c r="BZ373" s="650"/>
      <c r="CA373" s="650"/>
      <c r="CB373" s="650"/>
      <c r="CC373" s="650"/>
      <c r="CD373" s="650"/>
      <c r="CE373" s="650"/>
      <c r="CF373" s="650"/>
      <c r="CG373" s="650"/>
      <c r="CH373" s="650"/>
      <c r="CI373" s="650"/>
      <c r="CJ373" s="650"/>
      <c r="CK373" s="650"/>
      <c r="CL373" s="650"/>
      <c r="CM373" s="650"/>
      <c r="CN373" s="650"/>
      <c r="CO373" s="650"/>
      <c r="CP373" s="650"/>
      <c r="CQ373" s="650"/>
      <c r="CR373" s="650"/>
    </row>
    <row r="374" s="650" customFormat="1" ht="31" customHeight="1" spans="1:108">
      <c r="A374" s="713">
        <v>46156</v>
      </c>
      <c r="B374" s="714" t="s">
        <v>290</v>
      </c>
      <c r="C374" s="715" t="s">
        <v>291</v>
      </c>
      <c r="D374" s="652" t="s">
        <v>5115</v>
      </c>
      <c r="E374" s="715" t="s">
        <v>5116</v>
      </c>
      <c r="F374" s="652" t="s">
        <v>5117</v>
      </c>
      <c r="G374" s="716" t="s">
        <v>3980</v>
      </c>
      <c r="H374" s="715" t="s">
        <v>3978</v>
      </c>
      <c r="I374" s="717">
        <v>8064</v>
      </c>
      <c r="J374" s="715">
        <v>0</v>
      </c>
      <c r="K374" s="715">
        <v>8</v>
      </c>
      <c r="L374" s="715">
        <f t="shared" si="78"/>
        <v>1008</v>
      </c>
      <c r="M374" s="719">
        <v>46218</v>
      </c>
      <c r="N374" s="719">
        <v>46214</v>
      </c>
      <c r="O374" s="714"/>
      <c r="P374" s="717" t="s">
        <v>106</v>
      </c>
      <c r="Q374" s="717"/>
      <c r="R374" s="723">
        <v>46178</v>
      </c>
      <c r="S374" s="720" t="s">
        <v>107</v>
      </c>
      <c r="T374" s="720" t="s">
        <v>5118</v>
      </c>
      <c r="U374" s="720"/>
      <c r="V374" s="720"/>
      <c r="W374" s="720"/>
      <c r="X374" s="720" t="s">
        <v>5119</v>
      </c>
      <c r="Y374" s="719" t="s">
        <v>295</v>
      </c>
      <c r="Z374" s="730">
        <v>4.5677</v>
      </c>
      <c r="AA374" s="652">
        <f>Z374*I374</f>
        <v>36833.9328</v>
      </c>
      <c r="AB374" s="721"/>
      <c r="AC374" s="747" t="s">
        <v>4031</v>
      </c>
      <c r="AD374" s="715" t="s">
        <v>112</v>
      </c>
      <c r="AE374" s="715">
        <f t="shared" si="79"/>
        <v>8064</v>
      </c>
      <c r="AF374" s="715"/>
      <c r="AG374" s="715">
        <v>8064</v>
      </c>
      <c r="AH374" s="715">
        <f t="shared" si="72"/>
        <v>0</v>
      </c>
      <c r="AI374" s="717"/>
      <c r="AJ374" s="715" t="s">
        <v>3981</v>
      </c>
      <c r="AK374" s="652"/>
      <c r="AL374" s="652">
        <f>I374</f>
        <v>8064</v>
      </c>
      <c r="AM374" s="652"/>
      <c r="AN374" s="652">
        <f t="shared" si="80"/>
        <v>8064</v>
      </c>
      <c r="AO374" s="652"/>
      <c r="AP374" s="652"/>
      <c r="AQ374" s="652"/>
      <c r="AR374" s="652"/>
      <c r="AS374" s="652"/>
      <c r="AT374" s="652"/>
      <c r="AU374" s="652">
        <f>I374/8</f>
        <v>1008</v>
      </c>
      <c r="AV374" s="652"/>
      <c r="AW374" s="652"/>
      <c r="AX374" s="652"/>
      <c r="AY374" s="652"/>
      <c r="AZ374" s="652"/>
      <c r="BA374" s="652"/>
      <c r="BB374" s="652"/>
      <c r="BC374" s="652"/>
      <c r="BD374" s="652"/>
      <c r="BE374" s="652"/>
      <c r="BF374" s="652"/>
      <c r="BG374" s="652"/>
      <c r="BH374" s="652"/>
      <c r="BI374" s="652"/>
      <c r="BJ374" s="724"/>
      <c r="BK374" s="724"/>
      <c r="BL374" s="724"/>
      <c r="BM374" s="724"/>
      <c r="BN374" s="724"/>
      <c r="BO374" s="724"/>
      <c r="BP374" s="724"/>
      <c r="BQ374" s="724"/>
      <c r="BR374" s="724"/>
      <c r="BS374" s="724"/>
      <c r="BT374" s="724"/>
      <c r="BU374" s="724"/>
      <c r="BV374" s="724"/>
      <c r="BW374" s="724"/>
      <c r="BX374" s="724"/>
      <c r="BY374" s="724"/>
      <c r="BZ374" s="724"/>
      <c r="CA374" s="724"/>
      <c r="CB374" s="724"/>
      <c r="CC374" s="724"/>
      <c r="CD374" s="724"/>
      <c r="CE374" s="724"/>
      <c r="CF374" s="724"/>
      <c r="CG374" s="724"/>
      <c r="CH374" s="724"/>
      <c r="CI374" s="724"/>
      <c r="CJ374" s="724"/>
      <c r="CK374" s="724"/>
      <c r="CL374" s="724"/>
      <c r="CM374" s="724"/>
      <c r="CN374" s="724"/>
      <c r="CO374" s="724"/>
      <c r="CP374" s="724"/>
      <c r="CQ374" s="724"/>
      <c r="CR374" s="724"/>
    </row>
    <row r="375" s="650" customFormat="1" ht="31" customHeight="1" spans="1:108">
      <c r="A375" s="713">
        <v>46160</v>
      </c>
      <c r="B375" s="714" t="s">
        <v>346</v>
      </c>
      <c r="C375" s="715" t="s">
        <v>115</v>
      </c>
      <c r="D375" s="652" t="s">
        <v>5120</v>
      </c>
      <c r="E375" s="715" t="s">
        <v>5121</v>
      </c>
      <c r="F375" s="652" t="s">
        <v>5122</v>
      </c>
      <c r="G375" s="716" t="s">
        <v>4414</v>
      </c>
      <c r="H375" s="715" t="s">
        <v>3978</v>
      </c>
      <c r="I375" s="717">
        <v>7680</v>
      </c>
      <c r="J375" s="715">
        <v>0</v>
      </c>
      <c r="K375" s="715">
        <v>512</v>
      </c>
      <c r="L375" s="715">
        <f t="shared" si="78"/>
        <v>15</v>
      </c>
      <c r="M375" s="719">
        <v>46218</v>
      </c>
      <c r="N375" s="719">
        <v>46214</v>
      </c>
      <c r="O375" s="714" t="s">
        <v>5123</v>
      </c>
      <c r="P375" s="717" t="s">
        <v>106</v>
      </c>
      <c r="Q375" s="717"/>
      <c r="R375" s="723" t="s">
        <v>4201</v>
      </c>
      <c r="S375" s="720" t="s">
        <v>95</v>
      </c>
      <c r="T375" s="720" t="s">
        <v>4944</v>
      </c>
      <c r="U375" s="720"/>
      <c r="V375" s="720" t="s">
        <v>4706</v>
      </c>
      <c r="W375" s="720"/>
      <c r="X375" s="720" t="s">
        <v>4849</v>
      </c>
      <c r="Y375" s="719" t="s">
        <v>354</v>
      </c>
      <c r="Z375" s="730">
        <v>1431.5653</v>
      </c>
      <c r="AA375" s="652">
        <f t="shared" ref="AA375:AA380" si="81">I375*Z375</f>
        <v>10994421.504</v>
      </c>
      <c r="AB375" s="729" t="s">
        <v>5124</v>
      </c>
      <c r="AC375" s="747" t="s">
        <v>4194</v>
      </c>
      <c r="AD375" s="715" t="s">
        <v>112</v>
      </c>
      <c r="AE375" s="715">
        <f t="shared" si="79"/>
        <v>7680</v>
      </c>
      <c r="AF375" s="715" t="s">
        <v>5125</v>
      </c>
      <c r="AG375" s="715" t="s">
        <v>120</v>
      </c>
      <c r="AH375" s="715" t="e">
        <f t="shared" si="72"/>
        <v>#VALUE!</v>
      </c>
      <c r="AI375" s="717" t="s">
        <v>120</v>
      </c>
      <c r="AJ375" s="715" t="s">
        <v>3981</v>
      </c>
      <c r="AK375" s="652">
        <f t="shared" ref="AK375:AK380" si="82">I375</f>
        <v>7680</v>
      </c>
      <c r="AL375" s="652"/>
      <c r="AM375" s="652"/>
      <c r="AN375" s="652">
        <f t="shared" si="80"/>
        <v>7680</v>
      </c>
      <c r="AO375" s="652"/>
      <c r="AP375" s="652"/>
      <c r="AQ375" s="652"/>
      <c r="AR375" s="652"/>
      <c r="AS375" s="652"/>
      <c r="AT375" s="652">
        <f t="shared" ref="AT375:AT380" si="83">I375/8</f>
        <v>960</v>
      </c>
      <c r="AU375" s="652"/>
      <c r="AV375" s="652"/>
      <c r="AW375" s="652"/>
      <c r="AX375" s="652"/>
      <c r="AY375" s="652"/>
      <c r="AZ375" s="652"/>
      <c r="BA375" s="652"/>
      <c r="BB375" s="652"/>
      <c r="BC375" s="652"/>
      <c r="BD375" s="652"/>
      <c r="BE375" s="652"/>
      <c r="BF375" s="652"/>
      <c r="BG375" s="652"/>
      <c r="BH375" s="652"/>
      <c r="BI375" s="652"/>
      <c r="BJ375" s="651"/>
      <c r="BK375" s="651"/>
      <c r="BL375" s="651"/>
      <c r="BM375" s="651"/>
      <c r="BN375" s="651"/>
      <c r="BO375" s="651"/>
      <c r="BP375" s="651"/>
      <c r="BQ375" s="651"/>
      <c r="BR375" s="651"/>
      <c r="BS375" s="651"/>
      <c r="BT375" s="651"/>
      <c r="BU375" s="651"/>
      <c r="BV375" s="651"/>
      <c r="BW375" s="651"/>
      <c r="BX375" s="651"/>
      <c r="BY375" s="651"/>
      <c r="BZ375" s="651"/>
      <c r="CA375" s="651"/>
      <c r="CB375" s="651"/>
      <c r="CC375" s="651"/>
      <c r="CD375" s="651"/>
      <c r="CE375" s="651"/>
      <c r="CF375" s="651"/>
      <c r="CG375" s="651"/>
      <c r="CH375" s="651"/>
      <c r="CI375" s="651"/>
      <c r="CJ375" s="651"/>
      <c r="CK375" s="651"/>
      <c r="CL375" s="651"/>
      <c r="CM375" s="651"/>
      <c r="CN375" s="651"/>
      <c r="CO375" s="651"/>
      <c r="CP375" s="651"/>
      <c r="CQ375" s="651"/>
      <c r="CR375" s="651"/>
      <c r="CS375" s="651"/>
      <c r="CT375" s="651"/>
      <c r="CU375" s="651"/>
      <c r="CV375" s="651"/>
      <c r="CW375" s="651"/>
      <c r="CX375" s="651"/>
      <c r="CY375" s="651"/>
      <c r="CZ375" s="651"/>
      <c r="DA375" s="651"/>
      <c r="DB375" s="651"/>
      <c r="DC375" s="651"/>
      <c r="DD375" s="651"/>
    </row>
    <row r="376" s="650" customFormat="1" ht="31" customHeight="1" spans="1:108">
      <c r="A376" s="713">
        <v>46160</v>
      </c>
      <c r="B376" s="714" t="s">
        <v>346</v>
      </c>
      <c r="C376" s="715" t="s">
        <v>115</v>
      </c>
      <c r="D376" s="652" t="s">
        <v>5120</v>
      </c>
      <c r="E376" s="715" t="s">
        <v>5126</v>
      </c>
      <c r="F376" s="652" t="s">
        <v>5127</v>
      </c>
      <c r="G376" s="716" t="s">
        <v>4414</v>
      </c>
      <c r="H376" s="715" t="s">
        <v>3978</v>
      </c>
      <c r="I376" s="717">
        <v>8704</v>
      </c>
      <c r="J376" s="715">
        <v>0</v>
      </c>
      <c r="K376" s="715">
        <v>512</v>
      </c>
      <c r="L376" s="715">
        <f t="shared" si="78"/>
        <v>17</v>
      </c>
      <c r="M376" s="719">
        <v>46218</v>
      </c>
      <c r="N376" s="719">
        <v>46214</v>
      </c>
      <c r="O376" s="714" t="s">
        <v>5128</v>
      </c>
      <c r="P376" s="717" t="s">
        <v>106</v>
      </c>
      <c r="Q376" s="717"/>
      <c r="R376" s="723" t="s">
        <v>4201</v>
      </c>
      <c r="S376" s="720" t="s">
        <v>95</v>
      </c>
      <c r="T376" s="720" t="s">
        <v>4944</v>
      </c>
      <c r="U376" s="720"/>
      <c r="V376" s="720" t="s">
        <v>4706</v>
      </c>
      <c r="W376" s="720"/>
      <c r="X376" s="720" t="s">
        <v>4849</v>
      </c>
      <c r="Y376" s="719" t="s">
        <v>354</v>
      </c>
      <c r="Z376" s="730">
        <v>1431.5653</v>
      </c>
      <c r="AA376" s="652">
        <f t="shared" si="81"/>
        <v>12460344.3712</v>
      </c>
      <c r="AB376" s="729" t="s">
        <v>5129</v>
      </c>
      <c r="AC376" s="747" t="s">
        <v>4194</v>
      </c>
      <c r="AD376" s="715" t="s">
        <v>112</v>
      </c>
      <c r="AE376" s="715">
        <f t="shared" si="79"/>
        <v>8704</v>
      </c>
      <c r="AF376" s="715" t="s">
        <v>5125</v>
      </c>
      <c r="AG376" s="715">
        <v>8704</v>
      </c>
      <c r="AH376" s="715">
        <f t="shared" si="72"/>
        <v>0</v>
      </c>
      <c r="AI376" s="717" t="s">
        <v>120</v>
      </c>
      <c r="AJ376" s="715" t="s">
        <v>3981</v>
      </c>
      <c r="AK376" s="652">
        <f t="shared" si="82"/>
        <v>8704</v>
      </c>
      <c r="AL376" s="652"/>
      <c r="AM376" s="652"/>
      <c r="AN376" s="652">
        <f t="shared" si="80"/>
        <v>8704</v>
      </c>
      <c r="AO376" s="652"/>
      <c r="AP376" s="652"/>
      <c r="AQ376" s="652"/>
      <c r="AR376" s="652"/>
      <c r="AS376" s="652"/>
      <c r="AT376" s="652">
        <f t="shared" si="83"/>
        <v>1088</v>
      </c>
      <c r="AU376" s="652"/>
      <c r="AV376" s="652"/>
      <c r="AW376" s="652"/>
      <c r="AX376" s="652"/>
      <c r="AY376" s="652"/>
      <c r="AZ376" s="652"/>
      <c r="BA376" s="652"/>
      <c r="BB376" s="652"/>
      <c r="BC376" s="652"/>
      <c r="BD376" s="652"/>
      <c r="BE376" s="652"/>
      <c r="BF376" s="652"/>
      <c r="BG376" s="652"/>
      <c r="BH376" s="652"/>
      <c r="BI376" s="652"/>
      <c r="BJ376" s="651"/>
      <c r="BK376" s="651"/>
      <c r="BL376" s="651"/>
      <c r="BM376" s="651"/>
      <c r="BN376" s="651"/>
      <c r="BO376" s="651"/>
      <c r="BP376" s="651"/>
      <c r="BQ376" s="651"/>
      <c r="BR376" s="651"/>
      <c r="BS376" s="651"/>
      <c r="BT376" s="651"/>
      <c r="BU376" s="651"/>
      <c r="BV376" s="651"/>
      <c r="BW376" s="651"/>
      <c r="BX376" s="651"/>
      <c r="BY376" s="651"/>
      <c r="BZ376" s="651"/>
      <c r="CA376" s="651"/>
      <c r="CB376" s="651"/>
      <c r="CC376" s="651"/>
      <c r="CD376" s="651"/>
      <c r="CE376" s="651"/>
      <c r="CF376" s="651"/>
      <c r="CG376" s="651"/>
      <c r="CH376" s="651"/>
      <c r="CI376" s="651"/>
      <c r="CJ376" s="651"/>
      <c r="CK376" s="651"/>
      <c r="CL376" s="651"/>
      <c r="CM376" s="651"/>
      <c r="CN376" s="651"/>
      <c r="CO376" s="651"/>
      <c r="CP376" s="651"/>
      <c r="CQ376" s="651"/>
      <c r="CR376" s="651"/>
      <c r="CS376" s="654"/>
      <c r="CT376" s="654"/>
      <c r="CU376" s="654"/>
      <c r="CV376" s="654"/>
      <c r="CW376" s="654"/>
      <c r="CX376" s="654"/>
      <c r="CY376" s="654"/>
      <c r="CZ376" s="654"/>
      <c r="DA376" s="654"/>
      <c r="DB376" s="654"/>
      <c r="DC376" s="654"/>
      <c r="DD376" s="654"/>
    </row>
    <row r="377" s="650" customFormat="1" ht="31" customHeight="1" spans="1:108">
      <c r="A377" s="713">
        <v>46160</v>
      </c>
      <c r="B377" s="714" t="s">
        <v>346</v>
      </c>
      <c r="C377" s="715" t="s">
        <v>115</v>
      </c>
      <c r="D377" s="652" t="s">
        <v>5120</v>
      </c>
      <c r="E377" s="715" t="s">
        <v>5130</v>
      </c>
      <c r="F377" s="652" t="s">
        <v>5131</v>
      </c>
      <c r="G377" s="716" t="s">
        <v>4414</v>
      </c>
      <c r="H377" s="715" t="s">
        <v>3978</v>
      </c>
      <c r="I377" s="717">
        <v>6656</v>
      </c>
      <c r="J377" s="715">
        <v>0</v>
      </c>
      <c r="K377" s="715">
        <v>512</v>
      </c>
      <c r="L377" s="715">
        <f t="shared" si="78"/>
        <v>13</v>
      </c>
      <c r="M377" s="719">
        <v>46218</v>
      </c>
      <c r="N377" s="719">
        <v>46214</v>
      </c>
      <c r="O377" s="714" t="s">
        <v>5128</v>
      </c>
      <c r="P377" s="717" t="s">
        <v>106</v>
      </c>
      <c r="Q377" s="717"/>
      <c r="R377" s="723" t="s">
        <v>4201</v>
      </c>
      <c r="S377" s="720" t="s">
        <v>95</v>
      </c>
      <c r="T377" s="720" t="s">
        <v>4944</v>
      </c>
      <c r="U377" s="720"/>
      <c r="V377" s="720" t="s">
        <v>4706</v>
      </c>
      <c r="W377" s="720"/>
      <c r="X377" s="720" t="s">
        <v>4849</v>
      </c>
      <c r="Y377" s="719" t="s">
        <v>354</v>
      </c>
      <c r="Z377" s="730">
        <v>1431.5654</v>
      </c>
      <c r="AA377" s="652">
        <f t="shared" si="81"/>
        <v>9528499.3024</v>
      </c>
      <c r="AB377" s="729" t="s">
        <v>5132</v>
      </c>
      <c r="AC377" s="747" t="s">
        <v>4194</v>
      </c>
      <c r="AD377" s="715" t="s">
        <v>112</v>
      </c>
      <c r="AE377" s="715">
        <f t="shared" si="79"/>
        <v>6656</v>
      </c>
      <c r="AF377" s="715" t="s">
        <v>5125</v>
      </c>
      <c r="AG377" s="715" t="s">
        <v>120</v>
      </c>
      <c r="AH377" s="715" t="e">
        <f t="shared" si="72"/>
        <v>#VALUE!</v>
      </c>
      <c r="AI377" s="717" t="s">
        <v>120</v>
      </c>
      <c r="AJ377" s="715" t="s">
        <v>3981</v>
      </c>
      <c r="AK377" s="652">
        <f t="shared" si="82"/>
        <v>6656</v>
      </c>
      <c r="AL377" s="652"/>
      <c r="AM377" s="652"/>
      <c r="AN377" s="652">
        <f t="shared" si="80"/>
        <v>6656</v>
      </c>
      <c r="AO377" s="652"/>
      <c r="AP377" s="652"/>
      <c r="AQ377" s="652"/>
      <c r="AR377" s="652"/>
      <c r="AS377" s="652"/>
      <c r="AT377" s="652">
        <f t="shared" si="83"/>
        <v>832</v>
      </c>
      <c r="AU377" s="652"/>
      <c r="AV377" s="652"/>
      <c r="AW377" s="652"/>
      <c r="AX377" s="652"/>
      <c r="AY377" s="652"/>
      <c r="AZ377" s="652"/>
      <c r="BA377" s="652"/>
      <c r="BB377" s="652"/>
      <c r="BC377" s="652"/>
      <c r="BD377" s="652"/>
      <c r="BE377" s="652"/>
      <c r="BF377" s="652"/>
      <c r="BG377" s="652"/>
      <c r="BH377" s="652"/>
      <c r="BI377" s="652"/>
      <c r="BJ377" s="651"/>
      <c r="BK377" s="651"/>
      <c r="BL377" s="651"/>
      <c r="BM377" s="651"/>
      <c r="BN377" s="651"/>
      <c r="BO377" s="651"/>
      <c r="BP377" s="651"/>
      <c r="BQ377" s="651"/>
      <c r="BR377" s="651"/>
      <c r="BS377" s="651"/>
      <c r="BT377" s="651"/>
      <c r="BU377" s="651"/>
      <c r="BV377" s="651"/>
      <c r="BW377" s="651"/>
      <c r="BX377" s="651"/>
      <c r="BY377" s="651"/>
      <c r="BZ377" s="651"/>
      <c r="CA377" s="651"/>
      <c r="CB377" s="651"/>
      <c r="CC377" s="651"/>
      <c r="CD377" s="651"/>
      <c r="CE377" s="651"/>
      <c r="CF377" s="651"/>
      <c r="CG377" s="651"/>
      <c r="CH377" s="651"/>
      <c r="CI377" s="651"/>
      <c r="CJ377" s="651"/>
      <c r="CK377" s="651"/>
      <c r="CL377" s="651"/>
      <c r="CM377" s="651"/>
      <c r="CN377" s="651"/>
      <c r="CO377" s="651"/>
      <c r="CP377" s="651"/>
      <c r="CQ377" s="651"/>
      <c r="CR377" s="651"/>
    </row>
    <row r="378" s="650" customFormat="1" ht="31" customHeight="1" spans="1:108">
      <c r="A378" s="713">
        <v>46153</v>
      </c>
      <c r="B378" s="714" t="s">
        <v>223</v>
      </c>
      <c r="C378" s="715" t="s">
        <v>319</v>
      </c>
      <c r="D378" s="652" t="s">
        <v>5133</v>
      </c>
      <c r="E378" s="715" t="s">
        <v>5134</v>
      </c>
      <c r="F378" s="652" t="s">
        <v>5135</v>
      </c>
      <c r="G378" s="716" t="s">
        <v>3973</v>
      </c>
      <c r="H378" s="715" t="s">
        <v>3995</v>
      </c>
      <c r="I378" s="717">
        <v>240</v>
      </c>
      <c r="J378" s="715">
        <v>0</v>
      </c>
      <c r="K378" s="715">
        <v>16</v>
      </c>
      <c r="L378" s="715">
        <f t="shared" si="78"/>
        <v>15</v>
      </c>
      <c r="M378" s="719">
        <v>46218</v>
      </c>
      <c r="N378" s="719">
        <v>46214</v>
      </c>
      <c r="O378" s="714"/>
      <c r="P378" s="717" t="s">
        <v>106</v>
      </c>
      <c r="Q378" s="717" t="s">
        <v>5136</v>
      </c>
      <c r="R378" s="723">
        <v>46153</v>
      </c>
      <c r="S378" s="720" t="s">
        <v>107</v>
      </c>
      <c r="T378" s="720" t="s">
        <v>5137</v>
      </c>
      <c r="U378" s="720"/>
      <c r="V378" s="720"/>
      <c r="W378" s="720"/>
      <c r="X378" s="720" t="s">
        <v>4448</v>
      </c>
      <c r="Y378" s="719" t="s">
        <v>222</v>
      </c>
      <c r="Z378" s="730">
        <v>4.5471</v>
      </c>
      <c r="AA378" s="652">
        <f t="shared" si="81"/>
        <v>1091.304</v>
      </c>
      <c r="AB378" s="721"/>
      <c r="AC378" s="747" t="s">
        <v>3973</v>
      </c>
      <c r="AD378" s="715" t="s">
        <v>112</v>
      </c>
      <c r="AE378" s="715">
        <f t="shared" si="79"/>
        <v>240</v>
      </c>
      <c r="AF378" s="715" t="s">
        <v>5125</v>
      </c>
      <c r="AG378" s="767">
        <v>240</v>
      </c>
      <c r="AH378" s="715">
        <f t="shared" si="72"/>
        <v>0</v>
      </c>
      <c r="AI378" s="717" t="s">
        <v>120</v>
      </c>
      <c r="AJ378" s="715" t="s">
        <v>3981</v>
      </c>
      <c r="AK378" s="652">
        <f t="shared" si="82"/>
        <v>240</v>
      </c>
      <c r="AL378" s="652"/>
      <c r="AM378" s="652"/>
      <c r="AN378" s="652">
        <f t="shared" si="80"/>
        <v>240</v>
      </c>
      <c r="AO378" s="652"/>
      <c r="AP378" s="652"/>
      <c r="AQ378" s="652"/>
      <c r="AR378" s="652"/>
      <c r="AS378" s="652"/>
      <c r="AT378" s="652">
        <f t="shared" si="83"/>
        <v>30</v>
      </c>
      <c r="AU378" s="652"/>
      <c r="AV378" s="652"/>
      <c r="AW378" s="652"/>
      <c r="AX378" s="652"/>
      <c r="AY378" s="652"/>
      <c r="AZ378" s="652"/>
      <c r="BA378" s="652"/>
      <c r="BB378" s="652"/>
      <c r="BC378" s="652"/>
      <c r="BD378" s="652"/>
      <c r="BE378" s="652"/>
      <c r="BF378" s="652"/>
      <c r="BG378" s="652"/>
      <c r="BH378" s="652"/>
      <c r="BI378" s="652"/>
    </row>
    <row r="379" s="650" customFormat="1" ht="31" customHeight="1" spans="1:108">
      <c r="A379" s="713">
        <v>46164</v>
      </c>
      <c r="B379" s="714" t="s">
        <v>1634</v>
      </c>
      <c r="C379" s="715" t="s">
        <v>1635</v>
      </c>
      <c r="D379" s="652" t="s">
        <v>5138</v>
      </c>
      <c r="E379" s="715" t="s">
        <v>628</v>
      </c>
      <c r="F379" s="652" t="s">
        <v>5139</v>
      </c>
      <c r="G379" s="716" t="s">
        <v>3973</v>
      </c>
      <c r="H379" s="715" t="s">
        <v>3995</v>
      </c>
      <c r="I379" s="717">
        <v>704</v>
      </c>
      <c r="J379" s="715">
        <v>0</v>
      </c>
      <c r="K379" s="715">
        <v>16</v>
      </c>
      <c r="L379" s="715">
        <f t="shared" si="78"/>
        <v>44</v>
      </c>
      <c r="M379" s="719">
        <v>46218</v>
      </c>
      <c r="N379" s="719">
        <v>46214</v>
      </c>
      <c r="O379" s="714"/>
      <c r="P379" s="717" t="s">
        <v>106</v>
      </c>
      <c r="Q379" s="717"/>
      <c r="R379" s="734" t="s">
        <v>1930</v>
      </c>
      <c r="S379" s="735" t="s">
        <v>107</v>
      </c>
      <c r="T379" s="720" t="s">
        <v>1637</v>
      </c>
      <c r="U379" s="735"/>
      <c r="V379" s="720"/>
      <c r="W379" s="720"/>
      <c r="X379" s="720" t="s">
        <v>5140</v>
      </c>
      <c r="Y379" s="719" t="s">
        <v>1059</v>
      </c>
      <c r="Z379" s="730">
        <v>4.7039</v>
      </c>
      <c r="AA379" s="652">
        <f t="shared" si="81"/>
        <v>3311.5456</v>
      </c>
      <c r="AB379" s="721"/>
      <c r="AC379" s="747" t="s">
        <v>3973</v>
      </c>
      <c r="AD379" s="715" t="s">
        <v>112</v>
      </c>
      <c r="AE379" s="715">
        <f t="shared" si="79"/>
        <v>704</v>
      </c>
      <c r="AF379" s="715" t="s">
        <v>5125</v>
      </c>
      <c r="AG379" s="715">
        <v>704</v>
      </c>
      <c r="AH379" s="715">
        <f t="shared" si="72"/>
        <v>0</v>
      </c>
      <c r="AI379" s="717" t="s">
        <v>120</v>
      </c>
      <c r="AJ379" s="715" t="s">
        <v>3981</v>
      </c>
      <c r="AK379" s="652">
        <f t="shared" si="82"/>
        <v>704</v>
      </c>
      <c r="AL379" s="652"/>
      <c r="AM379" s="652"/>
      <c r="AN379" s="652">
        <f t="shared" si="80"/>
        <v>704</v>
      </c>
      <c r="AO379" s="652"/>
      <c r="AP379" s="652"/>
      <c r="AQ379" s="652"/>
      <c r="AR379" s="652"/>
      <c r="AS379" s="652"/>
      <c r="AT379" s="652">
        <f t="shared" si="83"/>
        <v>88</v>
      </c>
      <c r="AU379" s="652"/>
      <c r="AV379" s="652"/>
      <c r="AW379" s="652"/>
      <c r="AX379" s="652"/>
      <c r="AY379" s="652"/>
      <c r="AZ379" s="652"/>
      <c r="BA379" s="652"/>
      <c r="BB379" s="652"/>
      <c r="BC379" s="652"/>
      <c r="BD379" s="652"/>
      <c r="BE379" s="652"/>
      <c r="BF379" s="652"/>
      <c r="BG379" s="652"/>
      <c r="BH379" s="652"/>
      <c r="BI379" s="652"/>
      <c r="BJ379" s="651"/>
      <c r="BK379" s="651"/>
      <c r="BL379" s="651"/>
      <c r="BM379" s="651"/>
      <c r="BN379" s="651"/>
      <c r="BO379" s="651"/>
      <c r="BP379" s="651"/>
      <c r="BQ379" s="651"/>
      <c r="BR379" s="651"/>
      <c r="BS379" s="651"/>
      <c r="BT379" s="651"/>
      <c r="BU379" s="651"/>
      <c r="BV379" s="651"/>
      <c r="BW379" s="651"/>
      <c r="BX379" s="651"/>
      <c r="BY379" s="651"/>
      <c r="BZ379" s="651"/>
      <c r="CA379" s="651"/>
      <c r="CB379" s="651"/>
      <c r="CC379" s="651"/>
      <c r="CD379" s="651"/>
      <c r="CE379" s="651"/>
      <c r="CF379" s="651"/>
      <c r="CG379" s="651"/>
      <c r="CH379" s="651"/>
      <c r="CI379" s="651"/>
      <c r="CJ379" s="651"/>
      <c r="CK379" s="651"/>
      <c r="CL379" s="651"/>
      <c r="CM379" s="651"/>
      <c r="CN379" s="651"/>
      <c r="CO379" s="651"/>
      <c r="CP379" s="651"/>
      <c r="CQ379" s="651"/>
      <c r="CR379" s="651"/>
    </row>
    <row r="380" s="650" customFormat="1" ht="31" customHeight="1" spans="1:108">
      <c r="A380" s="713">
        <v>46154</v>
      </c>
      <c r="B380" s="714" t="s">
        <v>1212</v>
      </c>
      <c r="C380" s="715" t="s">
        <v>1213</v>
      </c>
      <c r="D380" s="652" t="s">
        <v>5141</v>
      </c>
      <c r="E380" s="715" t="s">
        <v>1867</v>
      </c>
      <c r="F380" s="652" t="s">
        <v>5142</v>
      </c>
      <c r="G380" s="716" t="s">
        <v>3973</v>
      </c>
      <c r="H380" s="715" t="s">
        <v>3995</v>
      </c>
      <c r="I380" s="717">
        <v>2528</v>
      </c>
      <c r="J380" s="715">
        <v>0</v>
      </c>
      <c r="K380" s="715">
        <v>16</v>
      </c>
      <c r="L380" s="715">
        <f t="shared" si="78"/>
        <v>158</v>
      </c>
      <c r="M380" s="719">
        <v>46218</v>
      </c>
      <c r="N380" s="719">
        <v>46223</v>
      </c>
      <c r="O380" s="714"/>
      <c r="P380" s="717" t="s">
        <v>106</v>
      </c>
      <c r="Q380" s="717"/>
      <c r="R380" s="723">
        <v>46190</v>
      </c>
      <c r="S380" s="720" t="s">
        <v>107</v>
      </c>
      <c r="T380" s="720" t="s">
        <v>5143</v>
      </c>
      <c r="U380" s="720"/>
      <c r="V380" s="720"/>
      <c r="W380" s="720"/>
      <c r="X380" s="720" t="s">
        <v>5144</v>
      </c>
      <c r="Y380" s="719" t="s">
        <v>295</v>
      </c>
      <c r="Z380" s="730">
        <v>4.5744</v>
      </c>
      <c r="AA380" s="652">
        <f t="shared" si="81"/>
        <v>11564.0832</v>
      </c>
      <c r="AB380" s="721"/>
      <c r="AC380" s="747" t="s">
        <v>3973</v>
      </c>
      <c r="AD380" s="715" t="s">
        <v>112</v>
      </c>
      <c r="AE380" s="715">
        <f t="shared" si="79"/>
        <v>2528</v>
      </c>
      <c r="AF380" s="715" t="s">
        <v>5125</v>
      </c>
      <c r="AG380" s="715" t="s">
        <v>120</v>
      </c>
      <c r="AH380" s="715" t="e">
        <f t="shared" si="72"/>
        <v>#VALUE!</v>
      </c>
      <c r="AI380" s="715" t="s">
        <v>120</v>
      </c>
      <c r="AJ380" s="715" t="s">
        <v>3981</v>
      </c>
      <c r="AK380" s="652">
        <f t="shared" si="82"/>
        <v>2528</v>
      </c>
      <c r="AL380" s="652"/>
      <c r="AM380" s="652"/>
      <c r="AN380" s="652">
        <f t="shared" si="80"/>
        <v>2528</v>
      </c>
      <c r="AO380" s="652"/>
      <c r="AP380" s="652"/>
      <c r="AQ380" s="652"/>
      <c r="AR380" s="652"/>
      <c r="AS380" s="652"/>
      <c r="AT380" s="652">
        <f t="shared" si="83"/>
        <v>316</v>
      </c>
      <c r="AU380" s="652"/>
      <c r="AV380" s="652"/>
      <c r="AW380" s="652"/>
      <c r="AX380" s="652"/>
      <c r="AY380" s="652"/>
      <c r="AZ380" s="652"/>
      <c r="BA380" s="652"/>
      <c r="BB380" s="652"/>
      <c r="BC380" s="652"/>
      <c r="BD380" s="652"/>
      <c r="BE380" s="652"/>
      <c r="BF380" s="652"/>
      <c r="BG380" s="652"/>
      <c r="BH380" s="652"/>
      <c r="BI380" s="652"/>
    </row>
    <row r="381" s="650" customFormat="1" ht="31" customHeight="1" spans="1:108">
      <c r="A381" s="713">
        <v>46112</v>
      </c>
      <c r="B381" s="714" t="s">
        <v>307</v>
      </c>
      <c r="C381" s="715" t="s">
        <v>308</v>
      </c>
      <c r="D381" s="652" t="s">
        <v>5145</v>
      </c>
      <c r="E381" s="715" t="s">
        <v>5146</v>
      </c>
      <c r="F381" s="652" t="s">
        <v>5147</v>
      </c>
      <c r="G381" s="716" t="s">
        <v>3973</v>
      </c>
      <c r="H381" s="715" t="s">
        <v>3995</v>
      </c>
      <c r="I381" s="717">
        <v>720</v>
      </c>
      <c r="J381" s="715">
        <v>0</v>
      </c>
      <c r="K381" s="715">
        <v>16</v>
      </c>
      <c r="L381" s="715">
        <f t="shared" si="78"/>
        <v>45</v>
      </c>
      <c r="M381" s="719">
        <v>46218</v>
      </c>
      <c r="N381" s="719">
        <v>46214</v>
      </c>
      <c r="O381" s="714"/>
      <c r="P381" s="717" t="s">
        <v>106</v>
      </c>
      <c r="Q381" s="717"/>
      <c r="R381" s="715" t="s">
        <v>2131</v>
      </c>
      <c r="S381" s="720" t="s">
        <v>107</v>
      </c>
      <c r="T381" s="720" t="s">
        <v>5148</v>
      </c>
      <c r="U381" s="720"/>
      <c r="V381" s="720"/>
      <c r="W381" s="720"/>
      <c r="X381" s="720" t="s">
        <v>5149</v>
      </c>
      <c r="Y381" s="719" t="s">
        <v>313</v>
      </c>
      <c r="Z381" s="730">
        <v>4.355</v>
      </c>
      <c r="AA381" s="652">
        <f>L381*Z381</f>
        <v>195.975</v>
      </c>
      <c r="AB381" s="721"/>
      <c r="AC381" s="747" t="s">
        <v>4108</v>
      </c>
      <c r="AD381" s="715" t="s">
        <v>112</v>
      </c>
      <c r="AE381" s="715">
        <f t="shared" si="79"/>
        <v>720</v>
      </c>
      <c r="AF381" s="715"/>
      <c r="AG381" s="767">
        <v>720</v>
      </c>
      <c r="AH381" s="715">
        <f t="shared" si="72"/>
        <v>0</v>
      </c>
      <c r="AI381" s="717"/>
      <c r="AJ381" s="715" t="s">
        <v>3981</v>
      </c>
      <c r="AK381" s="652"/>
      <c r="AL381" s="652">
        <f>I381</f>
        <v>720</v>
      </c>
      <c r="AM381" s="652"/>
      <c r="AN381" s="652">
        <f t="shared" si="80"/>
        <v>720</v>
      </c>
      <c r="AO381" s="652"/>
      <c r="AP381" s="652"/>
      <c r="AQ381" s="652"/>
      <c r="AR381" s="652"/>
      <c r="AS381" s="652"/>
      <c r="AT381" s="652"/>
      <c r="AU381" s="652">
        <f>I381/8</f>
        <v>90</v>
      </c>
      <c r="AV381" s="652"/>
      <c r="AW381" s="652"/>
      <c r="AX381" s="652"/>
      <c r="AY381" s="652"/>
      <c r="AZ381" s="652"/>
      <c r="BA381" s="652"/>
      <c r="BB381" s="652"/>
      <c r="BC381" s="652"/>
      <c r="BD381" s="652"/>
      <c r="BE381" s="652"/>
      <c r="BF381" s="652"/>
      <c r="BG381" s="652"/>
      <c r="BH381" s="652"/>
      <c r="BI381" s="652"/>
      <c r="CS381" s="651"/>
      <c r="CT381" s="651"/>
      <c r="CU381" s="651"/>
      <c r="CV381" s="651"/>
      <c r="CW381" s="651"/>
      <c r="CX381" s="651"/>
      <c r="CY381" s="651"/>
      <c r="CZ381" s="651"/>
      <c r="DA381" s="651"/>
      <c r="DB381" s="651"/>
      <c r="DC381" s="651"/>
      <c r="DD381" s="651"/>
    </row>
    <row r="382" s="650" customFormat="1" ht="31" customHeight="1" spans="1:108">
      <c r="A382" s="713">
        <v>46112</v>
      </c>
      <c r="B382" s="714" t="s">
        <v>328</v>
      </c>
      <c r="C382" s="715" t="s">
        <v>329</v>
      </c>
      <c r="D382" s="652" t="s">
        <v>5150</v>
      </c>
      <c r="E382" s="715" t="s">
        <v>5151</v>
      </c>
      <c r="F382" s="652" t="s">
        <v>5152</v>
      </c>
      <c r="G382" s="716" t="s">
        <v>3973</v>
      </c>
      <c r="H382" s="715" t="s">
        <v>3995</v>
      </c>
      <c r="I382" s="717">
        <v>304</v>
      </c>
      <c r="J382" s="715">
        <v>0</v>
      </c>
      <c r="K382" s="715">
        <v>16</v>
      </c>
      <c r="L382" s="715">
        <f t="shared" si="78"/>
        <v>19</v>
      </c>
      <c r="M382" s="719">
        <v>46218</v>
      </c>
      <c r="N382" s="719">
        <v>46214</v>
      </c>
      <c r="O382" s="714"/>
      <c r="P382" s="717" t="s">
        <v>106</v>
      </c>
      <c r="Q382" s="717"/>
      <c r="R382" s="715" t="s">
        <v>2131</v>
      </c>
      <c r="S382" s="720" t="s">
        <v>107</v>
      </c>
      <c r="T382" s="720" t="s">
        <v>5148</v>
      </c>
      <c r="U382" s="720"/>
      <c r="V382" s="720"/>
      <c r="W382" s="720"/>
      <c r="X382" s="720" t="s">
        <v>5153</v>
      </c>
      <c r="Y382" s="719" t="s">
        <v>313</v>
      </c>
      <c r="Z382" s="730">
        <v>4.355</v>
      </c>
      <c r="AA382" s="652">
        <f>L382*Z382</f>
        <v>82.745</v>
      </c>
      <c r="AB382" s="721"/>
      <c r="AC382" s="747" t="s">
        <v>4108</v>
      </c>
      <c r="AD382" s="715" t="s">
        <v>112</v>
      </c>
      <c r="AE382" s="715">
        <f t="shared" si="79"/>
        <v>304</v>
      </c>
      <c r="AF382" s="715"/>
      <c r="AG382" s="715">
        <v>304</v>
      </c>
      <c r="AH382" s="715">
        <f t="shared" si="72"/>
        <v>0</v>
      </c>
      <c r="AI382" s="717"/>
      <c r="AJ382" s="715" t="s">
        <v>3981</v>
      </c>
      <c r="AK382" s="652"/>
      <c r="AL382" s="652">
        <f>I382</f>
        <v>304</v>
      </c>
      <c r="AM382" s="652"/>
      <c r="AN382" s="652">
        <f t="shared" si="80"/>
        <v>304</v>
      </c>
      <c r="AO382" s="652"/>
      <c r="AP382" s="652"/>
      <c r="AQ382" s="652"/>
      <c r="AR382" s="652"/>
      <c r="AS382" s="652"/>
      <c r="AT382" s="652"/>
      <c r="AU382" s="652">
        <f>I382/8</f>
        <v>38</v>
      </c>
      <c r="AV382" s="652"/>
      <c r="AW382" s="652"/>
      <c r="AX382" s="652"/>
      <c r="AY382" s="652"/>
      <c r="AZ382" s="652"/>
      <c r="BA382" s="652"/>
      <c r="BB382" s="652"/>
      <c r="BC382" s="652"/>
      <c r="BD382" s="652"/>
      <c r="BE382" s="652"/>
      <c r="BF382" s="652"/>
      <c r="BG382" s="652"/>
      <c r="BH382" s="652"/>
      <c r="BI382" s="652"/>
      <c r="CS382" s="651"/>
      <c r="CT382" s="651"/>
      <c r="CU382" s="651"/>
      <c r="CV382" s="651"/>
      <c r="CW382" s="651"/>
      <c r="CX382" s="651"/>
      <c r="CY382" s="651"/>
      <c r="CZ382" s="651"/>
      <c r="DA382" s="651"/>
      <c r="DB382" s="651"/>
      <c r="DC382" s="651"/>
      <c r="DD382" s="651"/>
    </row>
    <row r="383" s="650" customFormat="1" ht="31" customHeight="1" spans="1:108">
      <c r="A383" s="713">
        <v>46112</v>
      </c>
      <c r="B383" s="714" t="s">
        <v>324</v>
      </c>
      <c r="C383" s="715" t="s">
        <v>325</v>
      </c>
      <c r="D383" s="652" t="s">
        <v>5154</v>
      </c>
      <c r="E383" s="715" t="s">
        <v>5155</v>
      </c>
      <c r="F383" s="652" t="s">
        <v>5156</v>
      </c>
      <c r="G383" s="716" t="s">
        <v>3973</v>
      </c>
      <c r="H383" s="715" t="s">
        <v>3995</v>
      </c>
      <c r="I383" s="717">
        <v>2496</v>
      </c>
      <c r="J383" s="715">
        <v>0</v>
      </c>
      <c r="K383" s="715">
        <v>16</v>
      </c>
      <c r="L383" s="715">
        <f t="shared" si="78"/>
        <v>156</v>
      </c>
      <c r="M383" s="719">
        <v>46218</v>
      </c>
      <c r="N383" s="719">
        <v>46214</v>
      </c>
      <c r="O383" s="714"/>
      <c r="P383" s="717" t="s">
        <v>106</v>
      </c>
      <c r="Q383" s="717"/>
      <c r="R383" s="771" t="s">
        <v>2131</v>
      </c>
      <c r="S383" s="735" t="s">
        <v>107</v>
      </c>
      <c r="T383" s="735" t="s">
        <v>5157</v>
      </c>
      <c r="U383" s="735"/>
      <c r="V383" s="720"/>
      <c r="W383" s="720"/>
      <c r="X383" s="720" t="s">
        <v>5158</v>
      </c>
      <c r="Y383" s="719" t="s">
        <v>313</v>
      </c>
      <c r="Z383" s="730">
        <v>4.355</v>
      </c>
      <c r="AA383" s="652">
        <f>L383*Z383</f>
        <v>679.38</v>
      </c>
      <c r="AB383" s="721"/>
      <c r="AC383" s="747" t="s">
        <v>4108</v>
      </c>
      <c r="AD383" s="715" t="s">
        <v>112</v>
      </c>
      <c r="AE383" s="715">
        <f t="shared" si="79"/>
        <v>2496</v>
      </c>
      <c r="AF383" s="715"/>
      <c r="AG383" s="715">
        <v>2496</v>
      </c>
      <c r="AH383" s="715">
        <f t="shared" si="72"/>
        <v>0</v>
      </c>
      <c r="AI383" s="717"/>
      <c r="AJ383" s="715" t="s">
        <v>3981</v>
      </c>
      <c r="AK383" s="652"/>
      <c r="AL383" s="652">
        <f>I383</f>
        <v>2496</v>
      </c>
      <c r="AM383" s="652"/>
      <c r="AN383" s="652">
        <f t="shared" si="80"/>
        <v>2496</v>
      </c>
      <c r="AO383" s="652"/>
      <c r="AP383" s="652"/>
      <c r="AQ383" s="652"/>
      <c r="AR383" s="652"/>
      <c r="AS383" s="652"/>
      <c r="AT383" s="652"/>
      <c r="AU383" s="652">
        <f>I383/8</f>
        <v>312</v>
      </c>
      <c r="AV383" s="652"/>
      <c r="AW383" s="652"/>
      <c r="AX383" s="652"/>
      <c r="AY383" s="652"/>
      <c r="AZ383" s="652"/>
      <c r="BA383" s="652"/>
      <c r="BB383" s="652"/>
      <c r="BC383" s="652"/>
      <c r="BD383" s="652"/>
      <c r="BE383" s="652"/>
      <c r="BF383" s="652"/>
      <c r="BG383" s="652"/>
      <c r="BH383" s="652"/>
      <c r="BI383" s="652"/>
      <c r="CS383" s="651"/>
      <c r="CT383" s="651"/>
      <c r="CU383" s="651"/>
      <c r="CV383" s="651"/>
      <c r="CW383" s="651"/>
      <c r="CX383" s="651"/>
      <c r="CY383" s="651"/>
      <c r="CZ383" s="651"/>
      <c r="DA383" s="651"/>
      <c r="DB383" s="651"/>
      <c r="DC383" s="651"/>
      <c r="DD383" s="651"/>
    </row>
    <row r="384" s="654" customFormat="1" ht="31" customHeight="1" spans="1:108">
      <c r="A384" s="713">
        <v>46107</v>
      </c>
      <c r="B384" s="714" t="s">
        <v>324</v>
      </c>
      <c r="C384" s="715" t="s">
        <v>325</v>
      </c>
      <c r="D384" s="652">
        <v>4500198815</v>
      </c>
      <c r="E384" s="715" t="s">
        <v>1849</v>
      </c>
      <c r="F384" s="652" t="s">
        <v>5159</v>
      </c>
      <c r="G384" s="716" t="s">
        <v>3973</v>
      </c>
      <c r="H384" s="715" t="s">
        <v>3995</v>
      </c>
      <c r="I384" s="717">
        <v>2512</v>
      </c>
      <c r="J384" s="715">
        <v>0</v>
      </c>
      <c r="K384" s="715">
        <v>16</v>
      </c>
      <c r="L384" s="715">
        <f t="shared" si="78"/>
        <v>157</v>
      </c>
      <c r="M384" s="719">
        <v>46218</v>
      </c>
      <c r="N384" s="719">
        <v>46214</v>
      </c>
      <c r="O384" s="714"/>
      <c r="P384" s="717" t="s">
        <v>106</v>
      </c>
      <c r="Q384" s="717"/>
      <c r="R384" s="723">
        <v>46185</v>
      </c>
      <c r="S384" s="720" t="s">
        <v>107</v>
      </c>
      <c r="T384" s="720" t="s">
        <v>2029</v>
      </c>
      <c r="U384" s="720"/>
      <c r="V384" s="720"/>
      <c r="W384" s="720"/>
      <c r="X384" s="720" t="s">
        <v>5160</v>
      </c>
      <c r="Y384" s="719" t="s">
        <v>313</v>
      </c>
      <c r="Z384" s="730">
        <v>4.355</v>
      </c>
      <c r="AA384" s="652">
        <f>Z384*I384</f>
        <v>10939.76</v>
      </c>
      <c r="AB384" s="721"/>
      <c r="AC384" s="747" t="s">
        <v>4108</v>
      </c>
      <c r="AD384" s="715" t="s">
        <v>112</v>
      </c>
      <c r="AE384" s="715">
        <f t="shared" si="79"/>
        <v>2512</v>
      </c>
      <c r="AF384" s="715"/>
      <c r="AG384" s="715">
        <v>2512</v>
      </c>
      <c r="AH384" s="715">
        <f t="shared" si="72"/>
        <v>0</v>
      </c>
      <c r="AI384" s="717"/>
      <c r="AJ384" s="715" t="s">
        <v>3981</v>
      </c>
      <c r="AK384" s="652"/>
      <c r="AL384" s="652">
        <f>I384</f>
        <v>2512</v>
      </c>
      <c r="AM384" s="652"/>
      <c r="AN384" s="652">
        <f t="shared" si="80"/>
        <v>2512</v>
      </c>
      <c r="AO384" s="652"/>
      <c r="AP384" s="652"/>
      <c r="AQ384" s="652"/>
      <c r="AR384" s="652"/>
      <c r="AS384" s="652"/>
      <c r="AT384" s="652"/>
      <c r="AU384" s="652">
        <f>I384/8</f>
        <v>314</v>
      </c>
      <c r="AV384" s="652"/>
      <c r="AW384" s="652"/>
      <c r="AX384" s="652"/>
      <c r="AY384" s="652"/>
      <c r="AZ384" s="652"/>
      <c r="BA384" s="652"/>
      <c r="BB384" s="652"/>
      <c r="BC384" s="652"/>
      <c r="BD384" s="652"/>
      <c r="BE384" s="652"/>
      <c r="BF384" s="652"/>
      <c r="BG384" s="652"/>
      <c r="BH384" s="652"/>
      <c r="BI384" s="652"/>
      <c r="BJ384" s="650"/>
      <c r="BK384" s="650"/>
      <c r="BL384" s="650"/>
      <c r="BM384" s="650"/>
      <c r="BN384" s="650"/>
      <c r="BO384" s="650"/>
      <c r="BP384" s="650"/>
      <c r="BQ384" s="650"/>
      <c r="BR384" s="650"/>
      <c r="BS384" s="650"/>
      <c r="BT384" s="650"/>
      <c r="BU384" s="650"/>
      <c r="BV384" s="650"/>
      <c r="BW384" s="650"/>
      <c r="BX384" s="650"/>
      <c r="BY384" s="650"/>
      <c r="BZ384" s="650"/>
      <c r="CA384" s="650"/>
      <c r="CB384" s="650"/>
      <c r="CC384" s="650"/>
      <c r="CD384" s="650"/>
      <c r="CE384" s="650"/>
      <c r="CF384" s="650"/>
      <c r="CG384" s="650"/>
      <c r="CH384" s="650"/>
      <c r="CI384" s="650"/>
      <c r="CJ384" s="650"/>
      <c r="CK384" s="650"/>
      <c r="CL384" s="650"/>
      <c r="CM384" s="650"/>
      <c r="CN384" s="650"/>
      <c r="CO384" s="650"/>
      <c r="CP384" s="650"/>
      <c r="CQ384" s="650"/>
      <c r="CR384" s="650"/>
      <c r="CS384" s="650"/>
      <c r="CT384" s="650"/>
      <c r="CU384" s="650"/>
      <c r="CV384" s="650"/>
      <c r="CW384" s="650"/>
      <c r="CX384" s="650"/>
      <c r="CY384" s="650"/>
      <c r="CZ384" s="650"/>
      <c r="DA384" s="650"/>
      <c r="DB384" s="650"/>
      <c r="DC384" s="650"/>
      <c r="DD384" s="650"/>
    </row>
    <row r="385" s="657" customFormat="1" ht="32.15" customHeight="1" spans="1:108">
      <c r="A385" s="819">
        <v>46189</v>
      </c>
      <c r="B385" s="820"/>
      <c r="C385" s="821" t="s">
        <v>597</v>
      </c>
      <c r="D385" s="822" t="s">
        <v>1859</v>
      </c>
      <c r="E385" s="821"/>
      <c r="F385" s="822" t="s">
        <v>1859</v>
      </c>
      <c r="G385" s="823" t="s">
        <v>3968</v>
      </c>
      <c r="H385" s="708"/>
      <c r="I385" s="824" t="s">
        <v>1860</v>
      </c>
      <c r="J385" s="821"/>
      <c r="K385" s="821"/>
      <c r="L385" s="821"/>
      <c r="M385" s="825">
        <v>46218</v>
      </c>
      <c r="N385" s="825">
        <v>46214</v>
      </c>
      <c r="O385" s="820"/>
      <c r="P385" s="824"/>
      <c r="Q385" s="824"/>
      <c r="R385" s="827" t="s">
        <v>94</v>
      </c>
      <c r="S385" s="828" t="s">
        <v>95</v>
      </c>
      <c r="T385" s="828" t="s">
        <v>95</v>
      </c>
      <c r="U385" s="828"/>
      <c r="V385" s="829"/>
      <c r="W385" s="828"/>
      <c r="X385" s="820" t="s">
        <v>5161</v>
      </c>
      <c r="Y385" s="825" t="s">
        <v>272</v>
      </c>
      <c r="Z385" s="830"/>
      <c r="AA385" s="822"/>
      <c r="AB385" s="831"/>
      <c r="AC385" s="836"/>
      <c r="AD385" s="833" t="s">
        <v>99</v>
      </c>
      <c r="AE385" s="821"/>
      <c r="AF385" s="821"/>
      <c r="AG385" s="708">
        <v>670</v>
      </c>
      <c r="AH385" s="833" t="e">
        <f t="shared" si="72"/>
        <v>#VALUE!</v>
      </c>
      <c r="AI385" s="824"/>
      <c r="AJ385" s="821"/>
      <c r="AK385" s="822"/>
      <c r="AL385" s="834"/>
      <c r="AM385" s="822"/>
      <c r="AN385" s="834"/>
      <c r="AO385" s="822"/>
      <c r="AP385" s="822"/>
      <c r="AQ385" s="834"/>
      <c r="AR385" s="834"/>
      <c r="AS385" s="834"/>
      <c r="AT385" s="822"/>
      <c r="AU385" s="834"/>
      <c r="AV385" s="834"/>
      <c r="AW385" s="834"/>
      <c r="AX385" s="822"/>
      <c r="AY385" s="822"/>
      <c r="AZ385" s="822"/>
      <c r="BA385" s="822"/>
      <c r="BB385" s="822"/>
      <c r="BC385" s="822"/>
      <c r="BD385" s="822"/>
      <c r="BE385" s="822"/>
      <c r="BF385" s="822"/>
      <c r="BG385" s="822"/>
      <c r="BH385" s="822"/>
      <c r="BI385" s="822"/>
      <c r="BJ385" s="835"/>
      <c r="BK385" s="835"/>
      <c r="BL385" s="835"/>
      <c r="BM385" s="835"/>
      <c r="BN385" s="835"/>
      <c r="BO385" s="835"/>
      <c r="BP385" s="835"/>
      <c r="BQ385" s="835"/>
      <c r="BR385" s="835"/>
      <c r="BS385" s="835"/>
      <c r="BT385" s="835"/>
      <c r="BU385" s="835"/>
      <c r="BV385" s="835"/>
      <c r="BW385" s="835"/>
      <c r="BX385" s="835"/>
      <c r="BY385" s="835"/>
      <c r="BZ385" s="835"/>
      <c r="CA385" s="835"/>
      <c r="CB385" s="835"/>
      <c r="CC385" s="835"/>
      <c r="CD385" s="835"/>
      <c r="CE385" s="835"/>
      <c r="CF385" s="835"/>
      <c r="CG385" s="835"/>
      <c r="CH385" s="835"/>
      <c r="CI385" s="835"/>
      <c r="CJ385" s="835"/>
      <c r="CK385" s="835"/>
      <c r="CL385" s="835"/>
      <c r="CM385" s="835"/>
      <c r="CN385" s="835"/>
      <c r="CO385" s="835"/>
      <c r="CP385" s="835"/>
      <c r="CQ385" s="835"/>
      <c r="CR385" s="835"/>
      <c r="CS385" s="659"/>
      <c r="CT385" s="659"/>
      <c r="CU385" s="659"/>
      <c r="CV385" s="659"/>
      <c r="CW385" s="659"/>
      <c r="CX385" s="659"/>
      <c r="CY385" s="659"/>
      <c r="CZ385" s="659"/>
      <c r="DA385" s="659"/>
      <c r="DB385" s="659"/>
      <c r="DC385" s="659"/>
      <c r="DD385" s="659"/>
    </row>
    <row r="386" s="650" customFormat="1" ht="31" customHeight="1" spans="1:108">
      <c r="A386" s="713">
        <v>46149</v>
      </c>
      <c r="B386" s="714" t="s">
        <v>538</v>
      </c>
      <c r="C386" s="715" t="s">
        <v>135</v>
      </c>
      <c r="D386" s="652" t="s">
        <v>5162</v>
      </c>
      <c r="E386" s="715" t="s">
        <v>5163</v>
      </c>
      <c r="F386" s="652" t="s">
        <v>5164</v>
      </c>
      <c r="G386" s="716" t="s">
        <v>3968</v>
      </c>
      <c r="H386" s="715" t="s">
        <v>3969</v>
      </c>
      <c r="I386" s="717">
        <v>2704</v>
      </c>
      <c r="J386" s="715">
        <v>0</v>
      </c>
      <c r="K386" s="715">
        <v>16</v>
      </c>
      <c r="L386" s="715">
        <f t="shared" ref="L386:L441" si="84">I386/K386</f>
        <v>169</v>
      </c>
      <c r="M386" s="719">
        <v>46219</v>
      </c>
      <c r="N386" s="719">
        <v>46216</v>
      </c>
      <c r="O386" s="714"/>
      <c r="P386" s="717" t="s">
        <v>106</v>
      </c>
      <c r="Q386" s="717"/>
      <c r="R386" s="723" t="s">
        <v>541</v>
      </c>
      <c r="S386" s="720" t="s">
        <v>107</v>
      </c>
      <c r="T386" s="720" t="s">
        <v>5165</v>
      </c>
      <c r="U386" s="720"/>
      <c r="V386" s="720"/>
      <c r="W386" s="720"/>
      <c r="X386" s="720" t="s">
        <v>5166</v>
      </c>
      <c r="Y386" s="719" t="s">
        <v>545</v>
      </c>
      <c r="Z386" s="730">
        <v>4.4696</v>
      </c>
      <c r="AA386" s="652">
        <f>I386*Z386</f>
        <v>12085.7984</v>
      </c>
      <c r="AB386" s="721"/>
      <c r="AC386" s="747" t="s">
        <v>4426</v>
      </c>
      <c r="AD386" s="715" t="s">
        <v>112</v>
      </c>
      <c r="AE386" s="715">
        <f t="shared" ref="AE386:AE441" si="85">I386</f>
        <v>2704</v>
      </c>
      <c r="AF386" s="715"/>
      <c r="AG386" s="715">
        <v>2704</v>
      </c>
      <c r="AH386" s="715">
        <f t="shared" si="72"/>
        <v>0</v>
      </c>
      <c r="AI386" s="717"/>
      <c r="AJ386" s="715" t="s">
        <v>3981</v>
      </c>
      <c r="AK386" s="652"/>
      <c r="AL386" s="652">
        <f>I386</f>
        <v>2704</v>
      </c>
      <c r="AM386" s="652"/>
      <c r="AN386" s="652">
        <f t="shared" ref="AN386:AN420" si="86">I386</f>
        <v>2704</v>
      </c>
      <c r="AO386" s="652"/>
      <c r="AP386" s="652"/>
      <c r="AQ386" s="652"/>
      <c r="AR386" s="652"/>
      <c r="AS386" s="652"/>
      <c r="AT386" s="652"/>
      <c r="AU386" s="652"/>
      <c r="AV386" s="652"/>
      <c r="AW386" s="652"/>
      <c r="AX386" s="652"/>
      <c r="AY386" s="652"/>
      <c r="AZ386" s="652"/>
      <c r="BA386" s="652"/>
      <c r="BB386" s="652"/>
      <c r="BC386" s="652"/>
      <c r="BD386" s="652"/>
      <c r="BE386" s="652"/>
      <c r="BF386" s="652"/>
      <c r="BG386" s="652"/>
      <c r="BH386" s="652"/>
      <c r="BI386" s="652"/>
      <c r="BJ386" s="724"/>
      <c r="BK386" s="724"/>
      <c r="BL386" s="724"/>
      <c r="BM386" s="724"/>
      <c r="BN386" s="724"/>
      <c r="BO386" s="724"/>
      <c r="BP386" s="724"/>
      <c r="BQ386" s="724"/>
      <c r="BR386" s="724"/>
      <c r="BS386" s="724"/>
      <c r="BT386" s="724"/>
      <c r="BU386" s="724"/>
      <c r="BV386" s="724"/>
      <c r="BW386" s="724"/>
      <c r="BX386" s="724"/>
      <c r="BY386" s="724"/>
      <c r="BZ386" s="724"/>
      <c r="CA386" s="724"/>
      <c r="CB386" s="724"/>
      <c r="CC386" s="724"/>
      <c r="CD386" s="724"/>
      <c r="CE386" s="724"/>
      <c r="CF386" s="724"/>
      <c r="CG386" s="724"/>
      <c r="CH386" s="724"/>
      <c r="CI386" s="724"/>
      <c r="CJ386" s="724"/>
      <c r="CK386" s="724"/>
      <c r="CL386" s="724"/>
      <c r="CM386" s="724"/>
      <c r="CN386" s="724"/>
      <c r="CO386" s="724"/>
      <c r="CP386" s="724"/>
      <c r="CQ386" s="724"/>
      <c r="CR386" s="724"/>
    </row>
    <row r="387" s="650" customFormat="1" ht="31" customHeight="1" spans="1:108">
      <c r="A387" s="713">
        <v>46149</v>
      </c>
      <c r="B387" s="714" t="s">
        <v>538</v>
      </c>
      <c r="C387" s="715" t="s">
        <v>810</v>
      </c>
      <c r="D387" s="652" t="s">
        <v>5162</v>
      </c>
      <c r="E387" s="715" t="s">
        <v>5167</v>
      </c>
      <c r="F387" s="652" t="s">
        <v>5168</v>
      </c>
      <c r="G387" s="716" t="s">
        <v>3968</v>
      </c>
      <c r="H387" s="715" t="s">
        <v>3969</v>
      </c>
      <c r="I387" s="717">
        <v>1056</v>
      </c>
      <c r="J387" s="715">
        <v>0</v>
      </c>
      <c r="K387" s="715">
        <v>16</v>
      </c>
      <c r="L387" s="715">
        <f t="shared" si="84"/>
        <v>66</v>
      </c>
      <c r="M387" s="719">
        <v>46219</v>
      </c>
      <c r="N387" s="719">
        <v>46216</v>
      </c>
      <c r="O387" s="714"/>
      <c r="P387" s="717" t="s">
        <v>106</v>
      </c>
      <c r="Q387" s="717"/>
      <c r="R387" s="723" t="s">
        <v>747</v>
      </c>
      <c r="S387" s="720" t="s">
        <v>107</v>
      </c>
      <c r="T387" s="720" t="s">
        <v>5165</v>
      </c>
      <c r="U387" s="720"/>
      <c r="V387" s="720"/>
      <c r="W387" s="720"/>
      <c r="X387" s="720" t="s">
        <v>5166</v>
      </c>
      <c r="Y387" s="719" t="s">
        <v>545</v>
      </c>
      <c r="Z387" s="730">
        <v>4.4696</v>
      </c>
      <c r="AA387" s="652">
        <f>I387*Z387</f>
        <v>4719.8976</v>
      </c>
      <c r="AB387" s="721"/>
      <c r="AC387" s="747" t="s">
        <v>4426</v>
      </c>
      <c r="AD387" s="715" t="s">
        <v>112</v>
      </c>
      <c r="AE387" s="715">
        <f t="shared" si="85"/>
        <v>1056</v>
      </c>
      <c r="AF387" s="715"/>
      <c r="AG387" s="715">
        <v>1056</v>
      </c>
      <c r="AH387" s="715">
        <f t="shared" si="72"/>
        <v>0</v>
      </c>
      <c r="AI387" s="717"/>
      <c r="AJ387" s="715" t="s">
        <v>3981</v>
      </c>
      <c r="AK387" s="652"/>
      <c r="AL387" s="652">
        <f>I387</f>
        <v>1056</v>
      </c>
      <c r="AM387" s="652"/>
      <c r="AN387" s="652">
        <f t="shared" si="86"/>
        <v>1056</v>
      </c>
      <c r="AO387" s="652"/>
      <c r="AP387" s="652"/>
      <c r="AQ387" s="652"/>
      <c r="AR387" s="652"/>
      <c r="AS387" s="652"/>
      <c r="AT387" s="652"/>
      <c r="AU387" s="652"/>
      <c r="AV387" s="652"/>
      <c r="AW387" s="652"/>
      <c r="AX387" s="652"/>
      <c r="AY387" s="652"/>
      <c r="AZ387" s="652"/>
      <c r="BA387" s="652"/>
      <c r="BB387" s="652"/>
      <c r="BC387" s="652"/>
      <c r="BD387" s="652"/>
      <c r="BE387" s="652"/>
      <c r="BF387" s="652"/>
      <c r="BG387" s="652"/>
      <c r="BH387" s="652"/>
      <c r="BI387" s="652"/>
      <c r="BJ387" s="724"/>
      <c r="BK387" s="724"/>
      <c r="BL387" s="724"/>
      <c r="BM387" s="724"/>
      <c r="BN387" s="724"/>
      <c r="BO387" s="724"/>
      <c r="BP387" s="724"/>
      <c r="BQ387" s="724"/>
      <c r="BR387" s="724"/>
      <c r="BS387" s="724"/>
      <c r="BT387" s="724"/>
      <c r="BU387" s="724"/>
      <c r="BV387" s="724"/>
      <c r="BW387" s="724"/>
      <c r="BX387" s="724"/>
      <c r="BY387" s="724"/>
      <c r="BZ387" s="724"/>
      <c r="CA387" s="724"/>
      <c r="CB387" s="724"/>
      <c r="CC387" s="724"/>
      <c r="CD387" s="724"/>
      <c r="CE387" s="724"/>
      <c r="CF387" s="724"/>
      <c r="CG387" s="724"/>
      <c r="CH387" s="724"/>
      <c r="CI387" s="724"/>
      <c r="CJ387" s="724"/>
      <c r="CK387" s="724"/>
      <c r="CL387" s="724"/>
      <c r="CM387" s="724"/>
      <c r="CN387" s="724"/>
      <c r="CO387" s="724"/>
      <c r="CP387" s="724"/>
      <c r="CQ387" s="724"/>
      <c r="CR387" s="724"/>
      <c r="CS387" s="737"/>
      <c r="CT387" s="737"/>
      <c r="CU387" s="737"/>
      <c r="CV387" s="737"/>
      <c r="CW387" s="737"/>
      <c r="CX387" s="737"/>
      <c r="CY387" s="737"/>
      <c r="CZ387" s="737"/>
      <c r="DA387" s="737"/>
      <c r="DB387" s="737"/>
      <c r="DC387" s="737"/>
      <c r="DD387" s="737"/>
    </row>
    <row r="388" s="650" customFormat="1" ht="31" customHeight="1" spans="1:108">
      <c r="A388" s="713">
        <v>46149</v>
      </c>
      <c r="B388" s="714" t="s">
        <v>538</v>
      </c>
      <c r="C388" s="715" t="s">
        <v>164</v>
      </c>
      <c r="D388" s="652" t="s">
        <v>5162</v>
      </c>
      <c r="E388" s="715" t="s">
        <v>5169</v>
      </c>
      <c r="F388" s="652" t="s">
        <v>5170</v>
      </c>
      <c r="G388" s="716" t="s">
        <v>3968</v>
      </c>
      <c r="H388" s="715" t="s">
        <v>3969</v>
      </c>
      <c r="I388" s="717">
        <v>928</v>
      </c>
      <c r="J388" s="715">
        <v>0</v>
      </c>
      <c r="K388" s="715">
        <v>16</v>
      </c>
      <c r="L388" s="715">
        <f t="shared" si="84"/>
        <v>58</v>
      </c>
      <c r="M388" s="719">
        <v>46219</v>
      </c>
      <c r="N388" s="719">
        <v>46216</v>
      </c>
      <c r="O388" s="714"/>
      <c r="P388" s="717" t="s">
        <v>106</v>
      </c>
      <c r="Q388" s="717"/>
      <c r="R388" s="723" t="s">
        <v>541</v>
      </c>
      <c r="S388" s="720" t="s">
        <v>107</v>
      </c>
      <c r="T388" s="720" t="s">
        <v>5165</v>
      </c>
      <c r="U388" s="720"/>
      <c r="V388" s="720"/>
      <c r="W388" s="720"/>
      <c r="X388" s="720" t="s">
        <v>5166</v>
      </c>
      <c r="Y388" s="719" t="s">
        <v>545</v>
      </c>
      <c r="Z388" s="730">
        <v>4.4798</v>
      </c>
      <c r="AA388" s="652">
        <f>I388*Z388</f>
        <v>4157.2544</v>
      </c>
      <c r="AB388" s="721"/>
      <c r="AC388" s="747" t="s">
        <v>4426</v>
      </c>
      <c r="AD388" s="715" t="s">
        <v>112</v>
      </c>
      <c r="AE388" s="715">
        <f t="shared" si="85"/>
        <v>928</v>
      </c>
      <c r="AF388" s="715"/>
      <c r="AG388" s="715">
        <v>928</v>
      </c>
      <c r="AH388" s="715">
        <f t="shared" si="72"/>
        <v>0</v>
      </c>
      <c r="AI388" s="717"/>
      <c r="AJ388" s="715" t="s">
        <v>3981</v>
      </c>
      <c r="AK388" s="652"/>
      <c r="AL388" s="652">
        <f>I388</f>
        <v>928</v>
      </c>
      <c r="AM388" s="652"/>
      <c r="AN388" s="652">
        <f t="shared" si="86"/>
        <v>928</v>
      </c>
      <c r="AO388" s="652"/>
      <c r="AP388" s="652"/>
      <c r="AQ388" s="652"/>
      <c r="AR388" s="652"/>
      <c r="AS388" s="652"/>
      <c r="AT388" s="652"/>
      <c r="AU388" s="652"/>
      <c r="AV388" s="652"/>
      <c r="AW388" s="652"/>
      <c r="AX388" s="652"/>
      <c r="AY388" s="652"/>
      <c r="AZ388" s="652"/>
      <c r="BA388" s="652"/>
      <c r="BB388" s="652"/>
      <c r="BC388" s="652"/>
      <c r="BD388" s="652"/>
      <c r="BE388" s="652"/>
      <c r="BF388" s="652"/>
      <c r="BG388" s="652"/>
      <c r="BH388" s="652"/>
      <c r="BI388" s="652"/>
    </row>
    <row r="389" s="651" customFormat="1" ht="31" customHeight="1" spans="1:108">
      <c r="A389" s="713">
        <v>46182</v>
      </c>
      <c r="B389" s="714" t="s">
        <v>114</v>
      </c>
      <c r="C389" s="715" t="s">
        <v>115</v>
      </c>
      <c r="D389" s="652">
        <v>4500211295</v>
      </c>
      <c r="E389" s="715" t="s">
        <v>5171</v>
      </c>
      <c r="F389" s="652" t="s">
        <v>5172</v>
      </c>
      <c r="G389" s="716" t="s">
        <v>3980</v>
      </c>
      <c r="H389" s="715" t="s">
        <v>3978</v>
      </c>
      <c r="I389" s="717">
        <v>5192</v>
      </c>
      <c r="J389" s="715">
        <v>0</v>
      </c>
      <c r="K389" s="715">
        <v>8</v>
      </c>
      <c r="L389" s="715">
        <f t="shared" si="84"/>
        <v>649</v>
      </c>
      <c r="M389" s="719">
        <v>46219</v>
      </c>
      <c r="N389" s="719">
        <v>46216</v>
      </c>
      <c r="O389" s="714"/>
      <c r="P389" s="717" t="s">
        <v>106</v>
      </c>
      <c r="Q389" s="717" t="s">
        <v>5173</v>
      </c>
      <c r="R389" s="723">
        <v>46189</v>
      </c>
      <c r="S389" s="720" t="s">
        <v>107</v>
      </c>
      <c r="T389" s="720" t="s">
        <v>5174</v>
      </c>
      <c r="U389" s="720"/>
      <c r="V389" s="720"/>
      <c r="W389" s="720" t="s">
        <v>5175</v>
      </c>
      <c r="X389" s="720" t="s">
        <v>5176</v>
      </c>
      <c r="Y389" s="719" t="s">
        <v>123</v>
      </c>
      <c r="Z389" s="730">
        <v>2.7891</v>
      </c>
      <c r="AA389" s="652">
        <f>I389*Z389</f>
        <v>14481.0072</v>
      </c>
      <c r="AB389" s="721"/>
      <c r="AC389" s="747" t="s">
        <v>3980</v>
      </c>
      <c r="AD389" s="715" t="s">
        <v>112</v>
      </c>
      <c r="AE389" s="715">
        <f t="shared" si="85"/>
        <v>5192</v>
      </c>
      <c r="AF389" s="715" t="s">
        <v>5125</v>
      </c>
      <c r="AG389" s="715">
        <v>5192</v>
      </c>
      <c r="AH389" s="715">
        <f t="shared" si="72"/>
        <v>0</v>
      </c>
      <c r="AI389" s="717" t="s">
        <v>120</v>
      </c>
      <c r="AJ389" s="715" t="s">
        <v>3981</v>
      </c>
      <c r="AK389" s="652">
        <f>I389</f>
        <v>5192</v>
      </c>
      <c r="AL389" s="652"/>
      <c r="AM389" s="652"/>
      <c r="AN389" s="652">
        <f t="shared" si="86"/>
        <v>5192</v>
      </c>
      <c r="AO389" s="652"/>
      <c r="AP389" s="652"/>
      <c r="AQ389" s="652"/>
      <c r="AR389" s="652"/>
      <c r="AS389" s="652"/>
      <c r="AT389" s="652">
        <f>I389/8</f>
        <v>649</v>
      </c>
      <c r="AU389" s="652"/>
      <c r="AV389" s="652"/>
      <c r="AW389" s="652"/>
      <c r="AX389" s="652"/>
      <c r="AY389" s="652"/>
      <c r="AZ389" s="652"/>
      <c r="BA389" s="652"/>
      <c r="BB389" s="652"/>
      <c r="BC389" s="652"/>
      <c r="BD389" s="652"/>
      <c r="BE389" s="652"/>
      <c r="BF389" s="652"/>
      <c r="BG389" s="652"/>
      <c r="BH389" s="652"/>
      <c r="BI389" s="652"/>
      <c r="BJ389" s="650"/>
      <c r="BK389" s="650"/>
      <c r="BL389" s="650"/>
      <c r="BM389" s="650"/>
      <c r="BN389" s="650"/>
      <c r="BO389" s="650"/>
      <c r="BP389" s="650"/>
      <c r="BQ389" s="650"/>
      <c r="BR389" s="650"/>
      <c r="BS389" s="650"/>
      <c r="BT389" s="650"/>
      <c r="BU389" s="650"/>
      <c r="BV389" s="650"/>
      <c r="BW389" s="650"/>
      <c r="BX389" s="650"/>
      <c r="BY389" s="650"/>
      <c r="BZ389" s="650"/>
      <c r="CA389" s="650"/>
      <c r="CB389" s="650"/>
      <c r="CC389" s="650"/>
      <c r="CD389" s="650"/>
      <c r="CE389" s="650"/>
      <c r="CF389" s="650"/>
      <c r="CG389" s="650"/>
      <c r="CH389" s="650"/>
      <c r="CI389" s="650"/>
      <c r="CJ389" s="650"/>
      <c r="CK389" s="650"/>
      <c r="CL389" s="650"/>
      <c r="CM389" s="650"/>
      <c r="CN389" s="650"/>
      <c r="CO389" s="650"/>
      <c r="CP389" s="650"/>
      <c r="CQ389" s="650"/>
      <c r="CR389" s="650"/>
    </row>
    <row r="390" s="650" customFormat="1" ht="31" customHeight="1" spans="1:108">
      <c r="A390" s="713">
        <v>46164</v>
      </c>
      <c r="B390" s="714" t="s">
        <v>378</v>
      </c>
      <c r="C390" s="715" t="s">
        <v>201</v>
      </c>
      <c r="D390" s="652" t="s">
        <v>5177</v>
      </c>
      <c r="E390" s="715" t="s">
        <v>5178</v>
      </c>
      <c r="F390" s="652" t="s">
        <v>5179</v>
      </c>
      <c r="G390" s="716" t="s">
        <v>3980</v>
      </c>
      <c r="H390" s="715" t="s">
        <v>3978</v>
      </c>
      <c r="I390" s="717">
        <v>1328</v>
      </c>
      <c r="J390" s="715">
        <v>0</v>
      </c>
      <c r="K390" s="715">
        <v>8</v>
      </c>
      <c r="L390" s="715">
        <f t="shared" si="84"/>
        <v>166</v>
      </c>
      <c r="M390" s="719">
        <v>46219</v>
      </c>
      <c r="N390" s="719">
        <v>46216</v>
      </c>
      <c r="O390" s="714" t="s">
        <v>2050</v>
      </c>
      <c r="P390" s="717" t="s">
        <v>106</v>
      </c>
      <c r="Q390" s="717"/>
      <c r="R390" s="723">
        <v>46171</v>
      </c>
      <c r="S390" s="720" t="s">
        <v>107</v>
      </c>
      <c r="T390" s="720" t="s">
        <v>3320</v>
      </c>
      <c r="U390" s="720"/>
      <c r="V390" s="720"/>
      <c r="W390" s="720"/>
      <c r="X390" s="720" t="s">
        <v>5180</v>
      </c>
      <c r="Y390" s="719" t="s">
        <v>384</v>
      </c>
      <c r="Z390" s="730">
        <v>4.6974</v>
      </c>
      <c r="AA390" s="652">
        <f>I390*Z390</f>
        <v>6238.1472</v>
      </c>
      <c r="AB390" s="721"/>
      <c r="AC390" s="747" t="s">
        <v>4031</v>
      </c>
      <c r="AD390" s="715" t="s">
        <v>112</v>
      </c>
      <c r="AE390" s="715">
        <f t="shared" si="85"/>
        <v>1328</v>
      </c>
      <c r="AF390" s="715"/>
      <c r="AG390" s="715">
        <v>1328</v>
      </c>
      <c r="AH390" s="715">
        <f t="shared" si="72"/>
        <v>0</v>
      </c>
      <c r="AI390" s="717" t="s">
        <v>120</v>
      </c>
      <c r="AJ390" s="715" t="s">
        <v>3981</v>
      </c>
      <c r="AK390" s="652"/>
      <c r="AL390" s="652">
        <f>I390</f>
        <v>1328</v>
      </c>
      <c r="AM390" s="652"/>
      <c r="AN390" s="652">
        <f t="shared" si="86"/>
        <v>1328</v>
      </c>
      <c r="AO390" s="652"/>
      <c r="AP390" s="652"/>
      <c r="AQ390" s="652"/>
      <c r="AR390" s="652"/>
      <c r="AS390" s="652"/>
      <c r="AT390" s="652"/>
      <c r="AU390" s="652">
        <f>I390/8</f>
        <v>166</v>
      </c>
      <c r="AV390" s="652"/>
      <c r="AW390" s="652"/>
      <c r="AX390" s="652"/>
      <c r="AY390" s="652"/>
      <c r="AZ390" s="652"/>
      <c r="BA390" s="652"/>
      <c r="BB390" s="652"/>
      <c r="BC390" s="652"/>
      <c r="BD390" s="652"/>
      <c r="BE390" s="652"/>
      <c r="BF390" s="652"/>
      <c r="BG390" s="652"/>
      <c r="BH390" s="652"/>
      <c r="BI390" s="652"/>
    </row>
    <row r="391" s="650" customFormat="1" ht="31" customHeight="1" spans="1:108">
      <c r="A391" s="713">
        <v>46142</v>
      </c>
      <c r="B391" s="714" t="s">
        <v>1438</v>
      </c>
      <c r="C391" s="715" t="s">
        <v>1439</v>
      </c>
      <c r="D391" s="652" t="s">
        <v>5181</v>
      </c>
      <c r="E391" s="715" t="s">
        <v>1880</v>
      </c>
      <c r="F391" s="652" t="s">
        <v>1881</v>
      </c>
      <c r="G391" s="716" t="s">
        <v>4337</v>
      </c>
      <c r="H391" s="715" t="s">
        <v>151</v>
      </c>
      <c r="I391" s="717">
        <v>264</v>
      </c>
      <c r="J391" s="715">
        <v>0</v>
      </c>
      <c r="K391" s="715">
        <v>24</v>
      </c>
      <c r="L391" s="715">
        <f t="shared" si="84"/>
        <v>11</v>
      </c>
      <c r="M391" s="719">
        <v>46219</v>
      </c>
      <c r="N391" s="738">
        <v>46228</v>
      </c>
      <c r="O391" s="714"/>
      <c r="P391" s="717" t="s">
        <v>106</v>
      </c>
      <c r="Q391" s="717"/>
      <c r="R391" s="723" t="s">
        <v>5015</v>
      </c>
      <c r="S391" s="720" t="s">
        <v>107</v>
      </c>
      <c r="T391" s="720" t="s">
        <v>5016</v>
      </c>
      <c r="U391" s="720"/>
      <c r="V391" s="720" t="s">
        <v>5017</v>
      </c>
      <c r="W391" s="720"/>
      <c r="X391" s="720" t="s">
        <v>1882</v>
      </c>
      <c r="Y391" s="719" t="s">
        <v>1446</v>
      </c>
      <c r="Z391" s="730">
        <v>210.56</v>
      </c>
      <c r="AA391" s="652">
        <f>L391*Z391</f>
        <v>2316.16</v>
      </c>
      <c r="AB391" s="721"/>
      <c r="AC391" s="747" t="s">
        <v>5064</v>
      </c>
      <c r="AD391" s="715" t="s">
        <v>112</v>
      </c>
      <c r="AE391" s="715">
        <f t="shared" si="85"/>
        <v>264</v>
      </c>
      <c r="AF391" s="715"/>
      <c r="AG391" s="715"/>
      <c r="AH391" s="715">
        <f t="shared" si="72"/>
        <v>-264</v>
      </c>
      <c r="AI391" s="717"/>
      <c r="AJ391" s="715" t="s">
        <v>3981</v>
      </c>
      <c r="AK391" s="652"/>
      <c r="AL391" s="652">
        <f>I391</f>
        <v>264</v>
      </c>
      <c r="AM391" s="652"/>
      <c r="AN391" s="652">
        <f t="shared" si="86"/>
        <v>264</v>
      </c>
      <c r="AO391" s="652"/>
      <c r="AP391" s="652"/>
      <c r="AQ391" s="652"/>
      <c r="AR391" s="652"/>
      <c r="AS391" s="652"/>
      <c r="AT391" s="652"/>
      <c r="AU391" s="652"/>
      <c r="AV391" s="652"/>
      <c r="AW391" s="652"/>
      <c r="AX391" s="652"/>
      <c r="AY391" s="652"/>
      <c r="AZ391" s="652"/>
      <c r="BA391" s="652">
        <f>L391</f>
        <v>11</v>
      </c>
      <c r="BB391" s="652"/>
      <c r="BC391" s="652"/>
      <c r="BD391" s="652"/>
      <c r="BE391" s="652"/>
      <c r="BF391" s="652"/>
      <c r="BG391" s="652"/>
      <c r="BH391" s="652"/>
      <c r="BI391" s="652"/>
    </row>
    <row r="392" s="650" customFormat="1" ht="31" customHeight="1" spans="1:108">
      <c r="A392" s="713">
        <v>46154</v>
      </c>
      <c r="B392" s="714" t="s">
        <v>669</v>
      </c>
      <c r="C392" s="715" t="s">
        <v>101</v>
      </c>
      <c r="D392" s="652" t="s">
        <v>5182</v>
      </c>
      <c r="E392" s="715" t="s">
        <v>5183</v>
      </c>
      <c r="F392" s="652" t="s">
        <v>5184</v>
      </c>
      <c r="G392" s="716" t="s">
        <v>3973</v>
      </c>
      <c r="H392" s="715" t="s">
        <v>3995</v>
      </c>
      <c r="I392" s="717">
        <v>640</v>
      </c>
      <c r="J392" s="715">
        <v>0</v>
      </c>
      <c r="K392" s="715">
        <v>16</v>
      </c>
      <c r="L392" s="715">
        <f t="shared" si="84"/>
        <v>40</v>
      </c>
      <c r="M392" s="719">
        <v>46220</v>
      </c>
      <c r="N392" s="719">
        <v>46216</v>
      </c>
      <c r="O392" s="714"/>
      <c r="P392" s="717" t="s">
        <v>106</v>
      </c>
      <c r="Q392" s="717"/>
      <c r="R392" s="723">
        <v>46154</v>
      </c>
      <c r="S392" s="735" t="s">
        <v>107</v>
      </c>
      <c r="T392" s="720" t="s">
        <v>95</v>
      </c>
      <c r="U392" s="720"/>
      <c r="V392" s="720"/>
      <c r="W392" s="720"/>
      <c r="X392" s="720" t="s">
        <v>5185</v>
      </c>
      <c r="Y392" s="719" t="s">
        <v>673</v>
      </c>
      <c r="Z392" s="730">
        <v>4.7039</v>
      </c>
      <c r="AA392" s="652">
        <f>I392*Z392</f>
        <v>3010.496</v>
      </c>
      <c r="AB392" s="721"/>
      <c r="AC392" s="747" t="s">
        <v>3973</v>
      </c>
      <c r="AD392" s="715" t="s">
        <v>112</v>
      </c>
      <c r="AE392" s="715">
        <f t="shared" si="85"/>
        <v>640</v>
      </c>
      <c r="AF392" s="715" t="s">
        <v>5125</v>
      </c>
      <c r="AG392" s="715">
        <v>640</v>
      </c>
      <c r="AH392" s="715">
        <f t="shared" si="72"/>
        <v>0</v>
      </c>
      <c r="AI392" s="717" t="s">
        <v>95</v>
      </c>
      <c r="AJ392" s="715" t="s">
        <v>3981</v>
      </c>
      <c r="AK392" s="652">
        <f>I392</f>
        <v>640</v>
      </c>
      <c r="AL392" s="652"/>
      <c r="AM392" s="652"/>
      <c r="AN392" s="652">
        <f t="shared" si="86"/>
        <v>640</v>
      </c>
      <c r="AO392" s="652"/>
      <c r="AP392" s="652"/>
      <c r="AQ392" s="652"/>
      <c r="AR392" s="652"/>
      <c r="AS392" s="652"/>
      <c r="AT392" s="652"/>
      <c r="AU392" s="652"/>
      <c r="AV392" s="652"/>
      <c r="AW392" s="652"/>
      <c r="AX392" s="652">
        <f>I392/8</f>
        <v>80</v>
      </c>
      <c r="AY392" s="652"/>
      <c r="AZ392" s="652"/>
      <c r="BA392" s="652"/>
      <c r="BB392" s="652"/>
      <c r="BC392" s="652"/>
      <c r="BD392" s="652"/>
      <c r="BE392" s="652"/>
      <c r="BF392" s="652"/>
      <c r="BG392" s="652"/>
      <c r="BH392" s="652"/>
      <c r="BI392" s="652"/>
    </row>
    <row r="393" s="654" customFormat="1" ht="31" customHeight="1" spans="1:108">
      <c r="A393" s="713">
        <v>46154</v>
      </c>
      <c r="B393" s="714" t="s">
        <v>669</v>
      </c>
      <c r="C393" s="715" t="s">
        <v>101</v>
      </c>
      <c r="D393" s="652" t="s">
        <v>5182</v>
      </c>
      <c r="E393" s="715" t="s">
        <v>5186</v>
      </c>
      <c r="F393" s="652" t="s">
        <v>5187</v>
      </c>
      <c r="G393" s="716" t="s">
        <v>3973</v>
      </c>
      <c r="H393" s="715" t="s">
        <v>3995</v>
      </c>
      <c r="I393" s="717">
        <v>1360</v>
      </c>
      <c r="J393" s="715">
        <v>0</v>
      </c>
      <c r="K393" s="715">
        <v>16</v>
      </c>
      <c r="L393" s="715">
        <f t="shared" si="84"/>
        <v>85</v>
      </c>
      <c r="M393" s="719">
        <v>46220</v>
      </c>
      <c r="N393" s="719">
        <v>46216</v>
      </c>
      <c r="O393" s="714"/>
      <c r="P393" s="717" t="s">
        <v>106</v>
      </c>
      <c r="Q393" s="717"/>
      <c r="R393" s="723">
        <v>46154</v>
      </c>
      <c r="S393" s="720" t="s">
        <v>107</v>
      </c>
      <c r="T393" s="720" t="s">
        <v>95</v>
      </c>
      <c r="U393" s="720"/>
      <c r="V393" s="720"/>
      <c r="W393" s="720"/>
      <c r="X393" s="720" t="s">
        <v>5185</v>
      </c>
      <c r="Y393" s="719" t="s">
        <v>673</v>
      </c>
      <c r="Z393" s="730">
        <v>4.6933</v>
      </c>
      <c r="AA393" s="652">
        <f>I393*Z393</f>
        <v>6382.888</v>
      </c>
      <c r="AB393" s="721"/>
      <c r="AC393" s="747" t="s">
        <v>3973</v>
      </c>
      <c r="AD393" s="715" t="s">
        <v>112</v>
      </c>
      <c r="AE393" s="715">
        <f t="shared" si="85"/>
        <v>1360</v>
      </c>
      <c r="AF393" s="715" t="s">
        <v>5125</v>
      </c>
      <c r="AG393" s="715">
        <v>1360</v>
      </c>
      <c r="AH393" s="715">
        <f t="shared" si="72"/>
        <v>0</v>
      </c>
      <c r="AI393" s="717" t="s">
        <v>95</v>
      </c>
      <c r="AJ393" s="715" t="s">
        <v>3981</v>
      </c>
      <c r="AK393" s="652">
        <f>I393</f>
        <v>1360</v>
      </c>
      <c r="AL393" s="652"/>
      <c r="AM393" s="652"/>
      <c r="AN393" s="652">
        <f t="shared" si="86"/>
        <v>1360</v>
      </c>
      <c r="AO393" s="652"/>
      <c r="AP393" s="652"/>
      <c r="AQ393" s="652"/>
      <c r="AR393" s="652"/>
      <c r="AS393" s="652"/>
      <c r="AT393" s="652"/>
      <c r="AU393" s="652"/>
      <c r="AV393" s="652"/>
      <c r="AW393" s="652"/>
      <c r="AX393" s="652">
        <f>I393/8</f>
        <v>170</v>
      </c>
      <c r="AY393" s="652"/>
      <c r="AZ393" s="652"/>
      <c r="BA393" s="652"/>
      <c r="BB393" s="652"/>
      <c r="BC393" s="652"/>
      <c r="BD393" s="652"/>
      <c r="BE393" s="652"/>
      <c r="BF393" s="652"/>
      <c r="BG393" s="652"/>
      <c r="BH393" s="652"/>
      <c r="BI393" s="652"/>
      <c r="BJ393" s="650"/>
      <c r="BK393" s="650"/>
      <c r="BL393" s="650"/>
      <c r="BM393" s="650"/>
      <c r="BN393" s="650"/>
      <c r="BO393" s="650"/>
      <c r="BP393" s="650"/>
      <c r="BQ393" s="650"/>
      <c r="BR393" s="650"/>
      <c r="BS393" s="650"/>
      <c r="BT393" s="650"/>
      <c r="BU393" s="650"/>
      <c r="BV393" s="650"/>
      <c r="BW393" s="650"/>
      <c r="BX393" s="650"/>
      <c r="BY393" s="650"/>
      <c r="BZ393" s="650"/>
      <c r="CA393" s="650"/>
      <c r="CB393" s="650"/>
      <c r="CC393" s="650"/>
      <c r="CD393" s="650"/>
      <c r="CE393" s="650"/>
      <c r="CF393" s="650"/>
      <c r="CG393" s="650"/>
      <c r="CH393" s="650"/>
      <c r="CI393" s="650"/>
      <c r="CJ393" s="650"/>
      <c r="CK393" s="650"/>
      <c r="CL393" s="650"/>
      <c r="CM393" s="650"/>
      <c r="CN393" s="650"/>
      <c r="CO393" s="650"/>
      <c r="CP393" s="650"/>
      <c r="CQ393" s="650"/>
      <c r="CR393" s="650"/>
      <c r="CS393" s="650"/>
      <c r="CT393" s="650"/>
      <c r="CU393" s="650"/>
      <c r="CV393" s="650"/>
      <c r="CW393" s="650"/>
      <c r="CX393" s="650"/>
      <c r="CY393" s="650"/>
      <c r="CZ393" s="650"/>
      <c r="DA393" s="650"/>
      <c r="DB393" s="650"/>
      <c r="DC393" s="650"/>
      <c r="DD393" s="650"/>
    </row>
    <row r="394" s="650" customFormat="1" ht="31" customHeight="1" spans="1:108">
      <c r="A394" s="713">
        <v>46142</v>
      </c>
      <c r="B394" s="714" t="s">
        <v>386</v>
      </c>
      <c r="C394" s="715" t="s">
        <v>115</v>
      </c>
      <c r="D394" s="652" t="s">
        <v>5188</v>
      </c>
      <c r="E394" s="715" t="s">
        <v>5189</v>
      </c>
      <c r="F394" s="652" t="s">
        <v>5190</v>
      </c>
      <c r="G394" s="716" t="s">
        <v>3968</v>
      </c>
      <c r="H394" s="715" t="s">
        <v>3969</v>
      </c>
      <c r="I394" s="717">
        <v>32720</v>
      </c>
      <c r="J394" s="715">
        <v>0</v>
      </c>
      <c r="K394" s="715">
        <v>16</v>
      </c>
      <c r="L394" s="715">
        <f t="shared" si="84"/>
        <v>2045</v>
      </c>
      <c r="M394" s="719">
        <v>46220</v>
      </c>
      <c r="N394" s="719">
        <v>46216</v>
      </c>
      <c r="O394" s="714" t="s">
        <v>5191</v>
      </c>
      <c r="P394" s="717" t="s">
        <v>106</v>
      </c>
      <c r="Q394" s="717"/>
      <c r="R394" s="723">
        <v>46142</v>
      </c>
      <c r="S394" s="720" t="s">
        <v>107</v>
      </c>
      <c r="T394" s="720" t="s">
        <v>5192</v>
      </c>
      <c r="U394" s="720"/>
      <c r="V394" s="720"/>
      <c r="W394" s="720"/>
      <c r="X394" s="720" t="s">
        <v>5193</v>
      </c>
      <c r="Y394" s="719" t="s">
        <v>393</v>
      </c>
      <c r="Z394" s="730">
        <v>2.6599</v>
      </c>
      <c r="AA394" s="652">
        <f>I394*Z394</f>
        <v>87031.928</v>
      </c>
      <c r="AB394" s="729" t="s">
        <v>5194</v>
      </c>
      <c r="AC394" s="747" t="s">
        <v>3968</v>
      </c>
      <c r="AD394" s="715" t="s">
        <v>112</v>
      </c>
      <c r="AE394" s="715">
        <f t="shared" si="85"/>
        <v>32720</v>
      </c>
      <c r="AF394" s="715" t="s">
        <v>5125</v>
      </c>
      <c r="AG394" s="715" t="s">
        <v>120</v>
      </c>
      <c r="AH394" s="715" t="e">
        <f t="shared" si="72"/>
        <v>#VALUE!</v>
      </c>
      <c r="AI394" s="717" t="s">
        <v>120</v>
      </c>
      <c r="AJ394" s="715" t="s">
        <v>3981</v>
      </c>
      <c r="AK394" s="652">
        <f>I394</f>
        <v>32720</v>
      </c>
      <c r="AL394" s="652"/>
      <c r="AM394" s="652"/>
      <c r="AN394" s="652">
        <f t="shared" si="86"/>
        <v>32720</v>
      </c>
      <c r="AO394" s="652"/>
      <c r="AP394" s="652"/>
      <c r="AQ394" s="652"/>
      <c r="AR394" s="652"/>
      <c r="AS394" s="652"/>
      <c r="AT394" s="652"/>
      <c r="AU394" s="652"/>
      <c r="AV394" s="652"/>
      <c r="AW394" s="652"/>
      <c r="AX394" s="652"/>
      <c r="AY394" s="652"/>
      <c r="AZ394" s="652"/>
      <c r="BA394" s="652"/>
      <c r="BB394" s="652"/>
      <c r="BC394" s="652"/>
      <c r="BD394" s="652"/>
      <c r="BE394" s="652"/>
      <c r="BF394" s="652"/>
      <c r="BG394" s="652"/>
      <c r="BH394" s="652"/>
      <c r="BI394" s="652"/>
    </row>
    <row r="395" s="650" customFormat="1" ht="31" customHeight="1" spans="1:108">
      <c r="A395" s="713">
        <v>46136</v>
      </c>
      <c r="B395" s="714" t="s">
        <v>346</v>
      </c>
      <c r="C395" s="715" t="s">
        <v>115</v>
      </c>
      <c r="D395" s="652" t="s">
        <v>5195</v>
      </c>
      <c r="E395" s="739">
        <v>7137244449</v>
      </c>
      <c r="F395" s="652" t="s">
        <v>1905</v>
      </c>
      <c r="G395" s="716" t="s">
        <v>4988</v>
      </c>
      <c r="H395" s="715" t="s">
        <v>1576</v>
      </c>
      <c r="I395" s="717">
        <v>20736</v>
      </c>
      <c r="J395" s="715">
        <v>0</v>
      </c>
      <c r="K395" s="715">
        <v>64</v>
      </c>
      <c r="L395" s="715">
        <f t="shared" si="84"/>
        <v>324</v>
      </c>
      <c r="M395" s="738">
        <v>46220</v>
      </c>
      <c r="N395" s="738">
        <v>46216</v>
      </c>
      <c r="O395" s="714"/>
      <c r="P395" s="717" t="s">
        <v>267</v>
      </c>
      <c r="Q395" s="717"/>
      <c r="R395" s="723">
        <v>46136</v>
      </c>
      <c r="S395" s="720" t="s">
        <v>95</v>
      </c>
      <c r="T395" s="720" t="s">
        <v>4498</v>
      </c>
      <c r="U395" s="720"/>
      <c r="V395" s="720" t="s">
        <v>1577</v>
      </c>
      <c r="W395" s="720"/>
      <c r="X395" s="720" t="s">
        <v>4989</v>
      </c>
      <c r="Y395" s="719" t="s">
        <v>354</v>
      </c>
      <c r="Z395" s="730">
        <v>234.1958</v>
      </c>
      <c r="AA395" s="652">
        <f>L395*Z395</f>
        <v>75879.4392</v>
      </c>
      <c r="AB395" s="725" t="s">
        <v>1907</v>
      </c>
      <c r="AC395" s="652" t="s">
        <v>1580</v>
      </c>
      <c r="AD395" s="715" t="s">
        <v>112</v>
      </c>
      <c r="AE395" s="715">
        <f t="shared" si="85"/>
        <v>20736</v>
      </c>
      <c r="AF395" s="715"/>
      <c r="AG395" s="715"/>
      <c r="AH395" s="715">
        <f t="shared" si="72"/>
        <v>-20736</v>
      </c>
      <c r="AI395" s="717"/>
      <c r="AJ395" s="715" t="s">
        <v>3981</v>
      </c>
      <c r="AK395" s="652">
        <f>I395</f>
        <v>20736</v>
      </c>
      <c r="AL395" s="652"/>
      <c r="AM395" s="652"/>
      <c r="AN395" s="652">
        <f t="shared" si="86"/>
        <v>20736</v>
      </c>
      <c r="AO395" s="652"/>
      <c r="AP395" s="652"/>
      <c r="AQ395" s="652"/>
      <c r="AR395" s="652"/>
      <c r="AS395" s="652"/>
      <c r="AT395" s="652">
        <f>I395/8</f>
        <v>2592</v>
      </c>
      <c r="AU395" s="652"/>
      <c r="AV395" s="652"/>
      <c r="AW395" s="652"/>
      <c r="AX395" s="652"/>
      <c r="AY395" s="652"/>
      <c r="AZ395" s="652"/>
      <c r="BA395" s="652"/>
      <c r="BB395" s="652"/>
      <c r="BC395" s="652"/>
      <c r="BD395" s="652"/>
      <c r="BE395" s="652"/>
      <c r="BF395" s="652">
        <f>L395</f>
        <v>324</v>
      </c>
      <c r="BG395" s="652"/>
      <c r="BH395" s="652"/>
      <c r="BI395" s="652"/>
      <c r="BJ395" s="731"/>
      <c r="BK395" s="731"/>
      <c r="BL395" s="731"/>
      <c r="BM395" s="731"/>
      <c r="BN395" s="731"/>
      <c r="BO395" s="731"/>
      <c r="BP395" s="731"/>
      <c r="BQ395" s="731"/>
      <c r="BR395" s="731"/>
      <c r="BS395" s="731"/>
      <c r="BT395" s="731"/>
      <c r="BU395" s="731"/>
      <c r="BV395" s="731"/>
      <c r="BW395" s="731"/>
      <c r="BX395" s="731"/>
      <c r="BY395" s="731"/>
      <c r="BZ395" s="731"/>
      <c r="CA395" s="731"/>
      <c r="CB395" s="731"/>
      <c r="CC395" s="731"/>
      <c r="CD395" s="731"/>
      <c r="CE395" s="731"/>
      <c r="CF395" s="731"/>
      <c r="CG395" s="731"/>
      <c r="CH395" s="731"/>
      <c r="CI395" s="731"/>
      <c r="CJ395" s="731"/>
      <c r="CK395" s="731"/>
      <c r="CL395" s="731"/>
      <c r="CM395" s="731"/>
      <c r="CN395" s="731"/>
      <c r="CO395" s="731"/>
      <c r="CP395" s="731"/>
      <c r="CQ395" s="731"/>
      <c r="CR395" s="731"/>
    </row>
    <row r="396" s="650" customFormat="1" ht="31" customHeight="1" spans="1:108">
      <c r="A396" s="713">
        <v>46136</v>
      </c>
      <c r="B396" s="714" t="s">
        <v>346</v>
      </c>
      <c r="C396" s="715" t="s">
        <v>115</v>
      </c>
      <c r="D396" s="652" t="s">
        <v>5196</v>
      </c>
      <c r="E396" s="739">
        <v>7137244454</v>
      </c>
      <c r="F396" s="652" t="s">
        <v>1888</v>
      </c>
      <c r="G396" s="716" t="s">
        <v>4988</v>
      </c>
      <c r="H396" s="715" t="s">
        <v>1576</v>
      </c>
      <c r="I396" s="717">
        <v>17216</v>
      </c>
      <c r="J396" s="715">
        <v>0</v>
      </c>
      <c r="K396" s="715">
        <v>64</v>
      </c>
      <c r="L396" s="715">
        <f t="shared" si="84"/>
        <v>269</v>
      </c>
      <c r="M396" s="738">
        <v>46220</v>
      </c>
      <c r="N396" s="738">
        <v>46216</v>
      </c>
      <c r="O396" s="714"/>
      <c r="P396" s="717" t="s">
        <v>267</v>
      </c>
      <c r="Q396" s="717"/>
      <c r="R396" s="723">
        <v>46136</v>
      </c>
      <c r="S396" s="720" t="s">
        <v>95</v>
      </c>
      <c r="T396" s="720" t="s">
        <v>4498</v>
      </c>
      <c r="U396" s="720"/>
      <c r="V396" s="720" t="s">
        <v>1577</v>
      </c>
      <c r="W396" s="720"/>
      <c r="X396" s="720" t="s">
        <v>4989</v>
      </c>
      <c r="Y396" s="719" t="s">
        <v>354</v>
      </c>
      <c r="Z396" s="730">
        <v>235.0099</v>
      </c>
      <c r="AA396" s="652">
        <f>L396*Z396</f>
        <v>63217.6631</v>
      </c>
      <c r="AB396" s="725" t="s">
        <v>1890</v>
      </c>
      <c r="AC396" s="652" t="s">
        <v>1580</v>
      </c>
      <c r="AD396" s="715" t="s">
        <v>112</v>
      </c>
      <c r="AE396" s="715">
        <f t="shared" si="85"/>
        <v>17216</v>
      </c>
      <c r="AF396" s="715"/>
      <c r="AG396" s="715"/>
      <c r="AH396" s="715">
        <f t="shared" si="72"/>
        <v>-17216</v>
      </c>
      <c r="AI396" s="717"/>
      <c r="AJ396" s="715" t="s">
        <v>3981</v>
      </c>
      <c r="AK396" s="652">
        <f>I396</f>
        <v>17216</v>
      </c>
      <c r="AL396" s="652"/>
      <c r="AM396" s="652"/>
      <c r="AN396" s="652">
        <f t="shared" si="86"/>
        <v>17216</v>
      </c>
      <c r="AO396" s="652"/>
      <c r="AP396" s="652"/>
      <c r="AQ396" s="652"/>
      <c r="AR396" s="652"/>
      <c r="AS396" s="652"/>
      <c r="AT396" s="652">
        <f>I396/8</f>
        <v>2152</v>
      </c>
      <c r="AU396" s="652"/>
      <c r="AV396" s="652"/>
      <c r="AW396" s="652"/>
      <c r="AX396" s="652"/>
      <c r="AY396" s="652"/>
      <c r="AZ396" s="652"/>
      <c r="BA396" s="652"/>
      <c r="BB396" s="652"/>
      <c r="BC396" s="652"/>
      <c r="BD396" s="652"/>
      <c r="BE396" s="652"/>
      <c r="BF396" s="652">
        <f>L396</f>
        <v>269</v>
      </c>
      <c r="BG396" s="652"/>
      <c r="BH396" s="652"/>
      <c r="BI396" s="652"/>
    </row>
    <row r="397" s="650" customFormat="1" ht="31" customHeight="1" spans="1:108">
      <c r="A397" s="713">
        <v>46219</v>
      </c>
      <c r="B397" s="714" t="s">
        <v>163</v>
      </c>
      <c r="C397" s="715" t="s">
        <v>164</v>
      </c>
      <c r="D397" s="652">
        <v>4500216772</v>
      </c>
      <c r="E397" s="715">
        <v>4400585260</v>
      </c>
      <c r="F397" s="652" t="s">
        <v>5197</v>
      </c>
      <c r="G397" s="716" t="s">
        <v>3973</v>
      </c>
      <c r="H397" s="715" t="s">
        <v>3995</v>
      </c>
      <c r="I397" s="717">
        <v>6000</v>
      </c>
      <c r="J397" s="715">
        <v>0</v>
      </c>
      <c r="K397" s="715">
        <v>16</v>
      </c>
      <c r="L397" s="715">
        <f t="shared" si="84"/>
        <v>375</v>
      </c>
      <c r="M397" s="719">
        <v>46220</v>
      </c>
      <c r="N397" s="719">
        <v>46216</v>
      </c>
      <c r="O397" s="714" t="s">
        <v>5198</v>
      </c>
      <c r="P397" s="717" t="s">
        <v>106</v>
      </c>
      <c r="Q397" s="717"/>
      <c r="R397" s="723" t="s">
        <v>2244</v>
      </c>
      <c r="S397" s="720" t="s">
        <v>107</v>
      </c>
      <c r="T397" s="720" t="s">
        <v>3997</v>
      </c>
      <c r="U397" s="720"/>
      <c r="V397" s="720" t="s">
        <v>5199</v>
      </c>
      <c r="W397" s="720"/>
      <c r="X397" s="720" t="s">
        <v>5200</v>
      </c>
      <c r="Y397" s="719" t="s">
        <v>142</v>
      </c>
      <c r="Z397" s="730">
        <v>4.7735</v>
      </c>
      <c r="AA397" s="652">
        <f>I397*Z397</f>
        <v>28641</v>
      </c>
      <c r="AB397" s="721"/>
      <c r="AC397" s="747" t="s">
        <v>3999</v>
      </c>
      <c r="AD397" s="715" t="s">
        <v>112</v>
      </c>
      <c r="AE397" s="715">
        <f t="shared" si="85"/>
        <v>6000</v>
      </c>
      <c r="AF397" s="715"/>
      <c r="AG397" s="715">
        <v>6000</v>
      </c>
      <c r="AH397" s="715">
        <f t="shared" si="72"/>
        <v>0</v>
      </c>
      <c r="AI397" s="717"/>
      <c r="AJ397" s="715" t="s">
        <v>3981</v>
      </c>
      <c r="AK397" s="652"/>
      <c r="AL397" s="652"/>
      <c r="AM397" s="652">
        <f>I397</f>
        <v>6000</v>
      </c>
      <c r="AN397" s="652">
        <f t="shared" si="86"/>
        <v>6000</v>
      </c>
      <c r="AO397" s="652"/>
      <c r="AP397" s="652"/>
      <c r="AQ397" s="652"/>
      <c r="AR397" s="652"/>
      <c r="AS397" s="652"/>
      <c r="AT397" s="652"/>
      <c r="AU397" s="652">
        <f>I397/8</f>
        <v>750</v>
      </c>
      <c r="AV397" s="652"/>
      <c r="AW397" s="652"/>
      <c r="AX397" s="652"/>
      <c r="AY397" s="652"/>
      <c r="AZ397" s="652"/>
      <c r="BA397" s="652"/>
      <c r="BB397" s="652"/>
      <c r="BC397" s="652"/>
      <c r="BD397" s="652"/>
      <c r="BE397" s="652"/>
      <c r="BF397" s="652"/>
      <c r="BG397" s="652"/>
      <c r="BH397" s="652"/>
      <c r="BI397" s="652"/>
      <c r="BJ397" s="724"/>
      <c r="BK397" s="724"/>
      <c r="BL397" s="724"/>
      <c r="BM397" s="724"/>
      <c r="BN397" s="724"/>
      <c r="BO397" s="724"/>
      <c r="BP397" s="724"/>
      <c r="BQ397" s="724"/>
      <c r="BR397" s="724"/>
      <c r="BS397" s="724"/>
      <c r="BT397" s="724"/>
      <c r="BU397" s="724"/>
      <c r="BV397" s="724"/>
      <c r="BW397" s="724"/>
      <c r="BX397" s="724"/>
      <c r="BY397" s="724"/>
      <c r="BZ397" s="724"/>
      <c r="CA397" s="724"/>
      <c r="CB397" s="724"/>
      <c r="CC397" s="724"/>
      <c r="CD397" s="724"/>
      <c r="CE397" s="724"/>
      <c r="CF397" s="724"/>
      <c r="CG397" s="724"/>
      <c r="CH397" s="724"/>
      <c r="CI397" s="724"/>
      <c r="CJ397" s="724"/>
      <c r="CK397" s="724"/>
      <c r="CL397" s="724"/>
      <c r="CM397" s="724"/>
      <c r="CN397" s="724"/>
      <c r="CO397" s="724"/>
      <c r="CP397" s="724"/>
      <c r="CQ397" s="724"/>
      <c r="CR397" s="724"/>
      <c r="CS397" s="724"/>
      <c r="CT397" s="724"/>
      <c r="CU397" s="724"/>
      <c r="CV397" s="724"/>
      <c r="CW397" s="724"/>
      <c r="CX397" s="724"/>
      <c r="CY397" s="724"/>
      <c r="CZ397" s="724"/>
      <c r="DA397" s="724"/>
      <c r="DB397" s="724"/>
      <c r="DC397" s="724"/>
      <c r="DD397" s="724"/>
    </row>
    <row r="398" s="650" customFormat="1" ht="31" customHeight="1" spans="1:108">
      <c r="A398" s="713">
        <v>46157</v>
      </c>
      <c r="B398" s="714" t="s">
        <v>5201</v>
      </c>
      <c r="C398" s="715" t="s">
        <v>1895</v>
      </c>
      <c r="D398" s="837" t="s">
        <v>5202</v>
      </c>
      <c r="E398" s="715" t="s">
        <v>5203</v>
      </c>
      <c r="F398" s="652" t="s">
        <v>5204</v>
      </c>
      <c r="G398" s="716" t="s">
        <v>3973</v>
      </c>
      <c r="H398" s="715" t="s">
        <v>3995</v>
      </c>
      <c r="I398" s="717">
        <v>800</v>
      </c>
      <c r="J398" s="715">
        <v>0</v>
      </c>
      <c r="K398" s="715">
        <v>16</v>
      </c>
      <c r="L398" s="715">
        <f t="shared" si="84"/>
        <v>50</v>
      </c>
      <c r="M398" s="719">
        <v>46220</v>
      </c>
      <c r="N398" s="719">
        <v>46216</v>
      </c>
      <c r="O398" s="714"/>
      <c r="P398" s="717" t="s">
        <v>106</v>
      </c>
      <c r="Q398" s="717"/>
      <c r="R398" s="723">
        <v>46184</v>
      </c>
      <c r="S398" s="720" t="s">
        <v>107</v>
      </c>
      <c r="T398" s="720" t="s">
        <v>5205</v>
      </c>
      <c r="U398" s="720"/>
      <c r="V398" s="720"/>
      <c r="W398" s="720"/>
      <c r="X398" s="720" t="s">
        <v>5206</v>
      </c>
      <c r="Y398" s="719" t="s">
        <v>3360</v>
      </c>
      <c r="Z398" s="730">
        <v>4.6653</v>
      </c>
      <c r="AA398" s="652">
        <f>I398*Z398</f>
        <v>3732.24</v>
      </c>
      <c r="AB398" s="721"/>
      <c r="AC398" s="747" t="s">
        <v>4108</v>
      </c>
      <c r="AD398" s="715" t="s">
        <v>112</v>
      </c>
      <c r="AE398" s="715">
        <f t="shared" si="85"/>
        <v>800</v>
      </c>
      <c r="AF398" s="715"/>
      <c r="AG398" s="715">
        <v>800</v>
      </c>
      <c r="AH398" s="715">
        <f t="shared" si="72"/>
        <v>0</v>
      </c>
      <c r="AI398" s="717" t="s">
        <v>120</v>
      </c>
      <c r="AJ398" s="715" t="s">
        <v>3981</v>
      </c>
      <c r="AK398" s="652"/>
      <c r="AL398" s="652">
        <f>I398</f>
        <v>800</v>
      </c>
      <c r="AM398" s="652"/>
      <c r="AN398" s="652">
        <f t="shared" si="86"/>
        <v>800</v>
      </c>
      <c r="AO398" s="652"/>
      <c r="AP398" s="652"/>
      <c r="AQ398" s="652"/>
      <c r="AR398" s="652"/>
      <c r="AS398" s="652"/>
      <c r="AT398" s="652"/>
      <c r="AU398" s="652">
        <f>I398/8</f>
        <v>100</v>
      </c>
      <c r="AV398" s="652"/>
      <c r="AW398" s="652"/>
      <c r="AX398" s="652"/>
      <c r="AY398" s="652"/>
      <c r="AZ398" s="652"/>
      <c r="BA398" s="652"/>
      <c r="BB398" s="652"/>
      <c r="BC398" s="652"/>
      <c r="BD398" s="652"/>
      <c r="BE398" s="652"/>
      <c r="BF398" s="652"/>
      <c r="BG398" s="652"/>
      <c r="BH398" s="652"/>
      <c r="BI398" s="652"/>
    </row>
    <row r="399" s="650" customFormat="1" ht="31" customHeight="1" spans="1:108">
      <c r="A399" s="713">
        <v>46134</v>
      </c>
      <c r="B399" s="714" t="s">
        <v>1532</v>
      </c>
      <c r="C399" s="715" t="s">
        <v>1533</v>
      </c>
      <c r="D399" s="652" t="s">
        <v>5207</v>
      </c>
      <c r="E399" s="715" t="s">
        <v>5208</v>
      </c>
      <c r="F399" s="652" t="s">
        <v>5209</v>
      </c>
      <c r="G399" s="716" t="s">
        <v>3973</v>
      </c>
      <c r="H399" s="715" t="s">
        <v>3995</v>
      </c>
      <c r="I399" s="717">
        <v>288</v>
      </c>
      <c r="J399" s="715">
        <v>0</v>
      </c>
      <c r="K399" s="715">
        <v>16</v>
      </c>
      <c r="L399" s="715">
        <f t="shared" si="84"/>
        <v>18</v>
      </c>
      <c r="M399" s="719">
        <v>46220</v>
      </c>
      <c r="N399" s="719">
        <v>46216</v>
      </c>
      <c r="O399" s="714"/>
      <c r="P399" s="717" t="s">
        <v>1410</v>
      </c>
      <c r="Q399" s="717" t="s">
        <v>1663</v>
      </c>
      <c r="R399" s="723">
        <v>46184</v>
      </c>
      <c r="S399" s="720" t="s">
        <v>107</v>
      </c>
      <c r="T399" s="720" t="s">
        <v>5210</v>
      </c>
      <c r="U399" s="720"/>
      <c r="V399" s="720"/>
      <c r="W399" s="720"/>
      <c r="X399" s="720" t="s">
        <v>5211</v>
      </c>
      <c r="Y399" s="719" t="s">
        <v>1169</v>
      </c>
      <c r="Z399" s="730">
        <v>4.5847</v>
      </c>
      <c r="AA399" s="652">
        <f>I399*Z399</f>
        <v>1320.3936</v>
      </c>
      <c r="AB399" s="721"/>
      <c r="AC399" s="747" t="s">
        <v>4108</v>
      </c>
      <c r="AD399" s="715" t="s">
        <v>112</v>
      </c>
      <c r="AE399" s="715">
        <f t="shared" si="85"/>
        <v>288</v>
      </c>
      <c r="AF399" s="715"/>
      <c r="AG399" s="715">
        <v>288</v>
      </c>
      <c r="AH399" s="715">
        <f t="shared" si="72"/>
        <v>0</v>
      </c>
      <c r="AI399" s="717"/>
      <c r="AJ399" s="715" t="s">
        <v>3981</v>
      </c>
      <c r="AK399" s="652"/>
      <c r="AL399" s="652">
        <f>I399</f>
        <v>288</v>
      </c>
      <c r="AM399" s="652"/>
      <c r="AN399" s="652">
        <f t="shared" si="86"/>
        <v>288</v>
      </c>
      <c r="AO399" s="652"/>
      <c r="AP399" s="652"/>
      <c r="AQ399" s="652"/>
      <c r="AR399" s="652"/>
      <c r="AS399" s="652"/>
      <c r="AT399" s="652"/>
      <c r="AU399" s="652">
        <v>288</v>
      </c>
      <c r="AV399" s="652"/>
      <c r="AW399" s="652"/>
      <c r="AX399" s="652"/>
      <c r="AY399" s="652"/>
      <c r="AZ399" s="652"/>
      <c r="BA399" s="652"/>
      <c r="BB399" s="652"/>
      <c r="BC399" s="652"/>
      <c r="BD399" s="652"/>
      <c r="BE399" s="652"/>
      <c r="BF399" s="652"/>
      <c r="BG399" s="652"/>
      <c r="BH399" s="652"/>
      <c r="BI399" s="652"/>
    </row>
    <row r="400" s="650" customFormat="1" ht="31" customHeight="1" spans="1:108">
      <c r="A400" s="713">
        <v>46171</v>
      </c>
      <c r="B400" s="714" t="s">
        <v>1928</v>
      </c>
      <c r="C400" s="715" t="s">
        <v>148</v>
      </c>
      <c r="D400" s="652">
        <v>4500209965</v>
      </c>
      <c r="E400" s="715">
        <v>5200009938</v>
      </c>
      <c r="F400" s="652" t="s">
        <v>5212</v>
      </c>
      <c r="G400" s="716" t="s">
        <v>4028</v>
      </c>
      <c r="H400" s="715" t="s">
        <v>3978</v>
      </c>
      <c r="I400" s="838">
        <v>496</v>
      </c>
      <c r="J400" s="715">
        <v>0</v>
      </c>
      <c r="K400" s="715">
        <v>8</v>
      </c>
      <c r="L400" s="715">
        <f t="shared" si="84"/>
        <v>62</v>
      </c>
      <c r="M400" s="719">
        <v>46220</v>
      </c>
      <c r="N400" s="719">
        <v>46216</v>
      </c>
      <c r="O400" s="714"/>
      <c r="P400" s="717" t="s">
        <v>106</v>
      </c>
      <c r="Q400" s="717"/>
      <c r="R400" s="723" t="s">
        <v>1930</v>
      </c>
      <c r="S400" s="720" t="s">
        <v>107</v>
      </c>
      <c r="T400" s="720" t="s">
        <v>5213</v>
      </c>
      <c r="U400" s="720"/>
      <c r="V400" s="720"/>
      <c r="W400" s="720"/>
      <c r="X400" s="720" t="s">
        <v>5214</v>
      </c>
      <c r="Y400" s="839" t="s">
        <v>1945</v>
      </c>
      <c r="Z400" s="730">
        <v>4.659</v>
      </c>
      <c r="AA400" s="652">
        <f>L400*Z400</f>
        <v>288.858</v>
      </c>
      <c r="AB400" s="721"/>
      <c r="AC400" s="747" t="s">
        <v>4031</v>
      </c>
      <c r="AD400" s="715" t="s">
        <v>112</v>
      </c>
      <c r="AE400" s="715">
        <f t="shared" si="85"/>
        <v>496</v>
      </c>
      <c r="AF400" s="715"/>
      <c r="AG400" s="715">
        <v>496</v>
      </c>
      <c r="AH400" s="715">
        <f t="shared" si="72"/>
        <v>0</v>
      </c>
      <c r="AI400" s="717"/>
      <c r="AJ400" s="715" t="s">
        <v>3981</v>
      </c>
      <c r="AK400" s="652"/>
      <c r="AL400" s="652">
        <f>I400</f>
        <v>496</v>
      </c>
      <c r="AM400" s="652"/>
      <c r="AN400" s="652">
        <f t="shared" si="86"/>
        <v>496</v>
      </c>
      <c r="AO400" s="652"/>
      <c r="AP400" s="652"/>
      <c r="AQ400" s="652"/>
      <c r="AR400" s="652"/>
      <c r="AS400" s="652"/>
      <c r="AT400" s="652"/>
      <c r="AU400" s="652">
        <f>I400/8</f>
        <v>62</v>
      </c>
      <c r="AV400" s="652"/>
      <c r="AW400" s="652"/>
      <c r="AX400" s="652"/>
      <c r="AY400" s="652"/>
      <c r="AZ400" s="652"/>
      <c r="BA400" s="652"/>
      <c r="BB400" s="652"/>
      <c r="BC400" s="652"/>
      <c r="BD400" s="652"/>
      <c r="BE400" s="652"/>
      <c r="BF400" s="652"/>
      <c r="BG400" s="652"/>
      <c r="BH400" s="652"/>
      <c r="BI400" s="652"/>
    </row>
    <row r="401" s="650" customFormat="1" ht="31" customHeight="1" spans="1:108">
      <c r="A401" s="713">
        <v>46169</v>
      </c>
      <c r="B401" s="714" t="s">
        <v>602</v>
      </c>
      <c r="C401" s="715" t="s">
        <v>508</v>
      </c>
      <c r="D401" s="652" t="s">
        <v>5215</v>
      </c>
      <c r="E401" s="715" t="s">
        <v>5216</v>
      </c>
      <c r="F401" s="652" t="s">
        <v>5217</v>
      </c>
      <c r="G401" s="716" t="s">
        <v>3980</v>
      </c>
      <c r="H401" s="715" t="s">
        <v>3978</v>
      </c>
      <c r="I401" s="717">
        <v>2000</v>
      </c>
      <c r="J401" s="715">
        <v>0</v>
      </c>
      <c r="K401" s="715">
        <v>8</v>
      </c>
      <c r="L401" s="715">
        <f t="shared" si="84"/>
        <v>250</v>
      </c>
      <c r="M401" s="719">
        <v>46220</v>
      </c>
      <c r="N401" s="719">
        <v>46216</v>
      </c>
      <c r="O401" s="714"/>
      <c r="P401" s="717" t="s">
        <v>106</v>
      </c>
      <c r="Q401" s="717"/>
      <c r="R401" s="723">
        <v>46169</v>
      </c>
      <c r="S401" s="720" t="s">
        <v>107</v>
      </c>
      <c r="T401" s="720" t="s">
        <v>4346</v>
      </c>
      <c r="U401" s="720"/>
      <c r="V401" s="720"/>
      <c r="W401" s="720"/>
      <c r="X401" s="720" t="s">
        <v>5218</v>
      </c>
      <c r="Y401" s="719" t="s">
        <v>362</v>
      </c>
      <c r="Z401" s="730">
        <v>4.6974</v>
      </c>
      <c r="AA401" s="652">
        <f>Z401*I401</f>
        <v>9394.8</v>
      </c>
      <c r="AB401" s="721"/>
      <c r="AC401" s="747" t="s">
        <v>3980</v>
      </c>
      <c r="AD401" s="715" t="s">
        <v>112</v>
      </c>
      <c r="AE401" s="715">
        <f t="shared" si="85"/>
        <v>2000</v>
      </c>
      <c r="AF401" s="715" t="s">
        <v>5125</v>
      </c>
      <c r="AG401" s="715">
        <v>2000</v>
      </c>
      <c r="AH401" s="715">
        <f t="shared" si="72"/>
        <v>0</v>
      </c>
      <c r="AI401" s="717" t="s">
        <v>120</v>
      </c>
      <c r="AJ401" s="715" t="s">
        <v>3981</v>
      </c>
      <c r="AK401" s="652">
        <f>I401</f>
        <v>2000</v>
      </c>
      <c r="AL401" s="652"/>
      <c r="AM401" s="652"/>
      <c r="AN401" s="652">
        <f t="shared" si="86"/>
        <v>2000</v>
      </c>
      <c r="AO401" s="652"/>
      <c r="AP401" s="652"/>
      <c r="AQ401" s="652"/>
      <c r="AR401" s="652"/>
      <c r="AS401" s="652"/>
      <c r="AT401" s="652"/>
      <c r="AU401" s="652"/>
      <c r="AV401" s="652"/>
      <c r="AW401" s="652"/>
      <c r="AX401" s="652">
        <f>I401/8</f>
        <v>250</v>
      </c>
      <c r="AY401" s="652"/>
      <c r="AZ401" s="652"/>
      <c r="BA401" s="652"/>
      <c r="BB401" s="652"/>
      <c r="BC401" s="652"/>
      <c r="BD401" s="652"/>
      <c r="BE401" s="652"/>
      <c r="BF401" s="652"/>
      <c r="BG401" s="652"/>
      <c r="BH401" s="652"/>
      <c r="BI401" s="652"/>
      <c r="CS401" s="651"/>
      <c r="CT401" s="651"/>
      <c r="CU401" s="651"/>
      <c r="CV401" s="651"/>
      <c r="CW401" s="651"/>
      <c r="CX401" s="651"/>
      <c r="CY401" s="651"/>
      <c r="CZ401" s="651"/>
      <c r="DA401" s="651"/>
      <c r="DB401" s="651"/>
      <c r="DC401" s="651"/>
      <c r="DD401" s="651"/>
    </row>
    <row r="402" s="650" customFormat="1" ht="31" customHeight="1" spans="1:108">
      <c r="A402" s="713">
        <v>46136</v>
      </c>
      <c r="B402" s="714" t="s">
        <v>346</v>
      </c>
      <c r="C402" s="715" t="s">
        <v>115</v>
      </c>
      <c r="D402" s="652" t="s">
        <v>5219</v>
      </c>
      <c r="E402" s="739">
        <v>7137244452</v>
      </c>
      <c r="F402" s="652" t="s">
        <v>1891</v>
      </c>
      <c r="G402" s="716" t="s">
        <v>4988</v>
      </c>
      <c r="H402" s="715" t="s">
        <v>1576</v>
      </c>
      <c r="I402" s="717">
        <v>26112</v>
      </c>
      <c r="J402" s="715">
        <v>0</v>
      </c>
      <c r="K402" s="715">
        <v>64</v>
      </c>
      <c r="L402" s="715">
        <f t="shared" si="84"/>
        <v>408</v>
      </c>
      <c r="M402" s="738">
        <v>46220</v>
      </c>
      <c r="N402" s="738">
        <v>46216</v>
      </c>
      <c r="O402" s="714"/>
      <c r="P402" s="717" t="s">
        <v>106</v>
      </c>
      <c r="Q402" s="717"/>
      <c r="R402" s="723">
        <v>46136</v>
      </c>
      <c r="S402" s="720" t="s">
        <v>95</v>
      </c>
      <c r="T402" s="720" t="s">
        <v>4498</v>
      </c>
      <c r="U402" s="720"/>
      <c r="V402" s="720" t="s">
        <v>1577</v>
      </c>
      <c r="W402" s="720"/>
      <c r="X402" s="720" t="s">
        <v>4989</v>
      </c>
      <c r="Y402" s="719" t="s">
        <v>354</v>
      </c>
      <c r="Z402" s="730">
        <v>234.1958</v>
      </c>
      <c r="AA402" s="652">
        <f>L402*Z402</f>
        <v>95551.8864</v>
      </c>
      <c r="AB402" s="725" t="s">
        <v>1893</v>
      </c>
      <c r="AC402" s="652" t="s">
        <v>1580</v>
      </c>
      <c r="AD402" s="715" t="s">
        <v>112</v>
      </c>
      <c r="AE402" s="715">
        <f t="shared" si="85"/>
        <v>26112</v>
      </c>
      <c r="AF402" s="715"/>
      <c r="AG402" s="715">
        <v>8624</v>
      </c>
      <c r="AH402" s="715">
        <f t="shared" si="72"/>
        <v>-17488</v>
      </c>
      <c r="AI402" s="717"/>
      <c r="AJ402" s="715" t="s">
        <v>3981</v>
      </c>
      <c r="AK402" s="652">
        <f>I402</f>
        <v>26112</v>
      </c>
      <c r="AL402" s="652"/>
      <c r="AM402" s="652"/>
      <c r="AN402" s="652">
        <f t="shared" si="86"/>
        <v>26112</v>
      </c>
      <c r="AO402" s="652"/>
      <c r="AP402" s="652"/>
      <c r="AQ402" s="652"/>
      <c r="AR402" s="652"/>
      <c r="AS402" s="652"/>
      <c r="AT402" s="652">
        <f>I402/8</f>
        <v>3264</v>
      </c>
      <c r="AU402" s="652"/>
      <c r="AV402" s="652"/>
      <c r="AW402" s="652"/>
      <c r="AX402" s="652"/>
      <c r="AY402" s="652"/>
      <c r="AZ402" s="652"/>
      <c r="BA402" s="652"/>
      <c r="BB402" s="652"/>
      <c r="BC402" s="652"/>
      <c r="BD402" s="652"/>
      <c r="BE402" s="652"/>
      <c r="BF402" s="652">
        <f>L402</f>
        <v>408</v>
      </c>
      <c r="BG402" s="652"/>
      <c r="BH402" s="652"/>
      <c r="BI402" s="652"/>
    </row>
    <row r="403" s="650" customFormat="1" ht="31" customHeight="1" spans="1:108">
      <c r="A403" s="713">
        <v>46163</v>
      </c>
      <c r="B403" s="714" t="s">
        <v>3729</v>
      </c>
      <c r="C403" s="715" t="s">
        <v>201</v>
      </c>
      <c r="D403" s="652" t="s">
        <v>5220</v>
      </c>
      <c r="E403" s="715" t="s">
        <v>5221</v>
      </c>
      <c r="F403" s="652" t="s">
        <v>5222</v>
      </c>
      <c r="G403" s="716" t="s">
        <v>3973</v>
      </c>
      <c r="H403" s="715" t="s">
        <v>3995</v>
      </c>
      <c r="I403" s="717">
        <v>3200</v>
      </c>
      <c r="J403" s="715">
        <v>0</v>
      </c>
      <c r="K403" s="715">
        <v>16</v>
      </c>
      <c r="L403" s="715">
        <f t="shared" si="84"/>
        <v>200</v>
      </c>
      <c r="M403" s="719">
        <v>46220</v>
      </c>
      <c r="N403" s="738">
        <v>46223</v>
      </c>
      <c r="O403" s="714"/>
      <c r="P403" s="717" t="s">
        <v>106</v>
      </c>
      <c r="Q403" s="717" t="s">
        <v>2118</v>
      </c>
      <c r="R403" s="723" t="s">
        <v>5223</v>
      </c>
      <c r="S403" s="720" t="s">
        <v>107</v>
      </c>
      <c r="T403" s="720" t="s">
        <v>5224</v>
      </c>
      <c r="U403" s="720"/>
      <c r="V403" s="720"/>
      <c r="W403" s="720"/>
      <c r="X403" s="720" t="s">
        <v>5225</v>
      </c>
      <c r="Y403" s="719" t="s">
        <v>3461</v>
      </c>
      <c r="Z403" s="730">
        <v>4.6548</v>
      </c>
      <c r="AA403" s="652">
        <f>I403*Z403</f>
        <v>14895.36</v>
      </c>
      <c r="AB403" s="721"/>
      <c r="AC403" s="747" t="s">
        <v>4108</v>
      </c>
      <c r="AD403" s="715" t="s">
        <v>112</v>
      </c>
      <c r="AE403" s="715">
        <f t="shared" si="85"/>
        <v>3200</v>
      </c>
      <c r="AF403" s="715" t="s">
        <v>4109</v>
      </c>
      <c r="AG403" s="715">
        <v>3200</v>
      </c>
      <c r="AH403" s="715">
        <f t="shared" si="72"/>
        <v>0</v>
      </c>
      <c r="AI403" s="717" t="s">
        <v>120</v>
      </c>
      <c r="AJ403" s="715" t="s">
        <v>3981</v>
      </c>
      <c r="AK403" s="652"/>
      <c r="AL403" s="652">
        <f>I403</f>
        <v>3200</v>
      </c>
      <c r="AM403" s="652"/>
      <c r="AN403" s="652">
        <f t="shared" si="86"/>
        <v>3200</v>
      </c>
      <c r="AO403" s="652"/>
      <c r="AP403" s="652"/>
      <c r="AQ403" s="652"/>
      <c r="AR403" s="652"/>
      <c r="AS403" s="652"/>
      <c r="AT403" s="652"/>
      <c r="AU403" s="652">
        <f>I403/8</f>
        <v>400</v>
      </c>
      <c r="AV403" s="652"/>
      <c r="AW403" s="652"/>
      <c r="AX403" s="652"/>
      <c r="AY403" s="652"/>
      <c r="AZ403" s="652"/>
      <c r="BA403" s="652"/>
      <c r="BB403" s="652"/>
      <c r="BC403" s="652"/>
      <c r="BD403" s="652"/>
      <c r="BE403" s="652"/>
      <c r="BF403" s="652"/>
      <c r="BG403" s="652"/>
      <c r="BH403" s="652"/>
      <c r="BI403" s="652"/>
      <c r="BJ403" s="651"/>
      <c r="BK403" s="651"/>
      <c r="BL403" s="651"/>
      <c r="BM403" s="651"/>
      <c r="BN403" s="651"/>
      <c r="BO403" s="651"/>
      <c r="BP403" s="651"/>
      <c r="BQ403" s="651"/>
      <c r="BR403" s="651"/>
      <c r="BS403" s="651"/>
      <c r="BT403" s="651"/>
      <c r="BU403" s="651"/>
      <c r="BV403" s="651"/>
      <c r="BW403" s="651"/>
      <c r="BX403" s="651"/>
      <c r="BY403" s="651"/>
      <c r="BZ403" s="651"/>
      <c r="CA403" s="651"/>
      <c r="CB403" s="651"/>
      <c r="CC403" s="651"/>
      <c r="CD403" s="651"/>
      <c r="CE403" s="651"/>
      <c r="CF403" s="651"/>
      <c r="CG403" s="651"/>
      <c r="CH403" s="651"/>
      <c r="CI403" s="651"/>
      <c r="CJ403" s="651"/>
      <c r="CK403" s="651"/>
      <c r="CL403" s="651"/>
      <c r="CM403" s="651"/>
      <c r="CN403" s="651"/>
      <c r="CO403" s="651"/>
      <c r="CP403" s="651"/>
      <c r="CQ403" s="651"/>
      <c r="CR403" s="651"/>
    </row>
    <row r="404" s="650" customFormat="1" ht="31" customHeight="1" spans="1:108">
      <c r="A404" s="713">
        <v>46216</v>
      </c>
      <c r="B404" s="714" t="s">
        <v>1928</v>
      </c>
      <c r="C404" s="715" t="s">
        <v>148</v>
      </c>
      <c r="D404" s="652">
        <v>4500216239</v>
      </c>
      <c r="E404" s="715">
        <v>5200010998</v>
      </c>
      <c r="F404" s="652" t="s">
        <v>5226</v>
      </c>
      <c r="G404" s="716" t="s">
        <v>4028</v>
      </c>
      <c r="H404" s="715" t="s">
        <v>3978</v>
      </c>
      <c r="I404" s="717">
        <v>2504</v>
      </c>
      <c r="J404" s="715">
        <v>0</v>
      </c>
      <c r="K404" s="715">
        <v>8</v>
      </c>
      <c r="L404" s="715">
        <f t="shared" si="84"/>
        <v>313</v>
      </c>
      <c r="M404" s="719">
        <v>46221</v>
      </c>
      <c r="N404" s="719">
        <v>46217</v>
      </c>
      <c r="O404" s="717" t="s">
        <v>5227</v>
      </c>
      <c r="P404" s="717" t="s">
        <v>106</v>
      </c>
      <c r="Q404" s="717" t="s">
        <v>1948</v>
      </c>
      <c r="R404" s="723">
        <v>46216</v>
      </c>
      <c r="S404" s="720" t="s">
        <v>107</v>
      </c>
      <c r="T404" s="720" t="s">
        <v>5228</v>
      </c>
      <c r="U404" s="720"/>
      <c r="V404" s="720"/>
      <c r="W404" s="720"/>
      <c r="X404" s="720" t="s">
        <v>5229</v>
      </c>
      <c r="Y404" s="719" t="s">
        <v>1492</v>
      </c>
      <c r="Z404" s="730">
        <v>4.7882</v>
      </c>
      <c r="AA404" s="652">
        <f>Z404*I404</f>
        <v>11989.6528</v>
      </c>
      <c r="AB404" s="721"/>
      <c r="AC404" s="722" t="s">
        <v>4031</v>
      </c>
      <c r="AD404" s="715" t="s">
        <v>112</v>
      </c>
      <c r="AE404" s="715">
        <f t="shared" si="85"/>
        <v>2504</v>
      </c>
      <c r="AF404" s="715"/>
      <c r="AG404" s="715">
        <v>2504</v>
      </c>
      <c r="AH404" s="715">
        <f t="shared" si="72"/>
        <v>0</v>
      </c>
      <c r="AI404" s="717"/>
      <c r="AJ404" s="715" t="s">
        <v>3981</v>
      </c>
      <c r="AK404" s="652"/>
      <c r="AL404" s="652">
        <f>I404</f>
        <v>2504</v>
      </c>
      <c r="AM404" s="652"/>
      <c r="AN404" s="652">
        <f t="shared" si="86"/>
        <v>2504</v>
      </c>
      <c r="AO404" s="652"/>
      <c r="AP404" s="652"/>
      <c r="AQ404" s="652"/>
      <c r="AR404" s="652"/>
      <c r="AS404" s="652"/>
      <c r="AT404" s="652"/>
      <c r="AU404" s="652">
        <f>I404/8</f>
        <v>313</v>
      </c>
      <c r="AV404" s="652"/>
      <c r="AW404" s="652"/>
      <c r="AX404" s="652"/>
      <c r="AY404" s="652"/>
      <c r="AZ404" s="652"/>
      <c r="BA404" s="652"/>
      <c r="BB404" s="652"/>
      <c r="BC404" s="652"/>
      <c r="BD404" s="652"/>
      <c r="BE404" s="652"/>
      <c r="BF404" s="652"/>
      <c r="BG404" s="652"/>
      <c r="BH404" s="652"/>
      <c r="BI404" s="652"/>
      <c r="BJ404" s="724"/>
      <c r="BK404" s="724"/>
      <c r="BL404" s="724"/>
      <c r="BM404" s="724"/>
      <c r="BN404" s="724"/>
      <c r="BO404" s="724"/>
      <c r="BP404" s="724"/>
      <c r="BQ404" s="724"/>
      <c r="BR404" s="724"/>
      <c r="BS404" s="724"/>
      <c r="BT404" s="724"/>
      <c r="BU404" s="724"/>
      <c r="BV404" s="724"/>
      <c r="BW404" s="724"/>
      <c r="BX404" s="724"/>
      <c r="BY404" s="724"/>
      <c r="BZ404" s="724"/>
      <c r="CA404" s="724"/>
      <c r="CB404" s="724"/>
      <c r="CC404" s="724"/>
      <c r="CD404" s="724"/>
      <c r="CE404" s="724"/>
      <c r="CF404" s="724"/>
      <c r="CG404" s="724"/>
      <c r="CH404" s="724"/>
      <c r="CI404" s="724"/>
      <c r="CJ404" s="724"/>
      <c r="CK404" s="724"/>
      <c r="CL404" s="724"/>
      <c r="CM404" s="724"/>
      <c r="CN404" s="724"/>
      <c r="CO404" s="724"/>
      <c r="CP404" s="724"/>
      <c r="CQ404" s="724"/>
      <c r="CR404" s="724"/>
      <c r="CS404" s="724"/>
      <c r="CT404" s="724"/>
      <c r="CU404" s="724"/>
      <c r="CV404" s="724"/>
      <c r="CW404" s="724"/>
      <c r="CX404" s="724"/>
      <c r="CY404" s="724"/>
      <c r="CZ404" s="724"/>
      <c r="DA404" s="724"/>
      <c r="DB404" s="724"/>
      <c r="DC404" s="724"/>
      <c r="DD404" s="724"/>
    </row>
    <row r="405" s="650" customFormat="1" ht="31" customHeight="1" spans="1:108">
      <c r="A405" s="713">
        <v>46128</v>
      </c>
      <c r="B405" s="714" t="s">
        <v>1957</v>
      </c>
      <c r="C405" s="715" t="s">
        <v>1895</v>
      </c>
      <c r="D405" s="652">
        <v>4500202459</v>
      </c>
      <c r="E405" s="739">
        <v>21215911</v>
      </c>
      <c r="F405" s="726" t="s">
        <v>5230</v>
      </c>
      <c r="G405" s="742" t="s">
        <v>3980</v>
      </c>
      <c r="H405" s="715" t="s">
        <v>3978</v>
      </c>
      <c r="I405" s="717">
        <v>6960</v>
      </c>
      <c r="J405" s="715">
        <v>0</v>
      </c>
      <c r="K405" s="739">
        <v>8</v>
      </c>
      <c r="L405" s="715">
        <f t="shared" si="84"/>
        <v>870</v>
      </c>
      <c r="M405" s="719">
        <v>46223</v>
      </c>
      <c r="N405" s="719">
        <f>M405-4</f>
        <v>46219</v>
      </c>
      <c r="O405" s="714" t="s">
        <v>5231</v>
      </c>
      <c r="P405" s="717" t="s">
        <v>106</v>
      </c>
      <c r="Q405" s="717"/>
      <c r="R405" s="723">
        <v>46163</v>
      </c>
      <c r="S405" s="720" t="s">
        <v>95</v>
      </c>
      <c r="T405" s="720" t="s">
        <v>5232</v>
      </c>
      <c r="U405" s="720"/>
      <c r="V405" s="720" t="s">
        <v>4011</v>
      </c>
      <c r="W405" s="720"/>
      <c r="X405" s="720" t="s">
        <v>5233</v>
      </c>
      <c r="Y405" s="719" t="s">
        <v>872</v>
      </c>
      <c r="Z405" s="754">
        <v>4.6868</v>
      </c>
      <c r="AA405" s="652">
        <f>I405*Z405</f>
        <v>32620.128</v>
      </c>
      <c r="AB405" s="721"/>
      <c r="AC405" s="652" t="s">
        <v>4108</v>
      </c>
      <c r="AD405" s="715" t="s">
        <v>112</v>
      </c>
      <c r="AE405" s="715">
        <f t="shared" si="85"/>
        <v>6960</v>
      </c>
      <c r="AF405" s="715"/>
      <c r="AG405" s="715">
        <v>6960</v>
      </c>
      <c r="AH405" s="715">
        <f t="shared" si="72"/>
        <v>0</v>
      </c>
      <c r="AI405" s="717"/>
      <c r="AJ405" s="715" t="s">
        <v>3981</v>
      </c>
      <c r="AK405" s="652"/>
      <c r="AL405" s="652">
        <f>I405</f>
        <v>6960</v>
      </c>
      <c r="AM405" s="652"/>
      <c r="AN405" s="652">
        <f t="shared" si="86"/>
        <v>6960</v>
      </c>
      <c r="AO405" s="652"/>
      <c r="AP405" s="652"/>
      <c r="AQ405" s="652"/>
      <c r="AR405" s="652"/>
      <c r="AS405" s="652"/>
      <c r="AT405" s="652"/>
      <c r="AU405" s="652">
        <f>I405/8</f>
        <v>870</v>
      </c>
      <c r="AV405" s="652"/>
      <c r="AW405" s="652"/>
      <c r="AX405" s="652"/>
      <c r="AY405" s="652"/>
      <c r="AZ405" s="652"/>
      <c r="BA405" s="652"/>
      <c r="BB405" s="652"/>
      <c r="BC405" s="652"/>
      <c r="BD405" s="652"/>
      <c r="BE405" s="652"/>
      <c r="BF405" s="652"/>
      <c r="BG405" s="652"/>
      <c r="BH405" s="652"/>
      <c r="BI405" s="652"/>
    </row>
    <row r="406" s="650" customFormat="1" ht="31" customHeight="1" spans="1:108">
      <c r="A406" s="713">
        <v>46134</v>
      </c>
      <c r="B406" s="714" t="s">
        <v>172</v>
      </c>
      <c r="C406" s="715" t="s">
        <v>115</v>
      </c>
      <c r="D406" s="652" t="s">
        <v>5234</v>
      </c>
      <c r="E406" s="715">
        <v>36266</v>
      </c>
      <c r="F406" s="652" t="s">
        <v>5235</v>
      </c>
      <c r="G406" s="716" t="s">
        <v>3973</v>
      </c>
      <c r="H406" s="715" t="s">
        <v>3995</v>
      </c>
      <c r="I406" s="752">
        <v>2400</v>
      </c>
      <c r="J406" s="715">
        <v>0</v>
      </c>
      <c r="K406" s="715">
        <v>16</v>
      </c>
      <c r="L406" s="715">
        <f t="shared" si="84"/>
        <v>150</v>
      </c>
      <c r="M406" s="738">
        <v>46223</v>
      </c>
      <c r="N406" s="738">
        <v>46219</v>
      </c>
      <c r="O406" s="714"/>
      <c r="P406" s="717" t="s">
        <v>106</v>
      </c>
      <c r="Q406" s="717"/>
      <c r="R406" s="723">
        <v>46189</v>
      </c>
      <c r="S406" s="720" t="s">
        <v>107</v>
      </c>
      <c r="T406" s="720" t="s">
        <v>95</v>
      </c>
      <c r="U406" s="720"/>
      <c r="V406" s="720"/>
      <c r="W406" s="720"/>
      <c r="X406" s="720" t="s">
        <v>888</v>
      </c>
      <c r="Y406" s="719" t="s">
        <v>178</v>
      </c>
      <c r="Z406" s="730">
        <v>2.7385</v>
      </c>
      <c r="AA406" s="652">
        <f>I406*Z406</f>
        <v>6572.4</v>
      </c>
      <c r="AB406" s="729" t="s">
        <v>5236</v>
      </c>
      <c r="AC406" s="722" t="s">
        <v>3973</v>
      </c>
      <c r="AD406" s="715" t="s">
        <v>112</v>
      </c>
      <c r="AE406" s="715">
        <f t="shared" si="85"/>
        <v>2400</v>
      </c>
      <c r="AF406" s="715" t="s">
        <v>5125</v>
      </c>
      <c r="AG406" s="715">
        <v>2400</v>
      </c>
      <c r="AH406" s="715">
        <f t="shared" si="72"/>
        <v>0</v>
      </c>
      <c r="AI406" s="717" t="s">
        <v>95</v>
      </c>
      <c r="AJ406" s="715" t="s">
        <v>3981</v>
      </c>
      <c r="AK406" s="652">
        <f>I406</f>
        <v>2400</v>
      </c>
      <c r="AL406" s="652"/>
      <c r="AM406" s="652"/>
      <c r="AN406" s="652">
        <f t="shared" si="86"/>
        <v>2400</v>
      </c>
      <c r="AO406" s="652"/>
      <c r="AP406" s="652"/>
      <c r="AQ406" s="652"/>
      <c r="AR406" s="652"/>
      <c r="AS406" s="652"/>
      <c r="AT406" s="652">
        <f>I406/8</f>
        <v>300</v>
      </c>
      <c r="AU406" s="652"/>
      <c r="AV406" s="652"/>
      <c r="AW406" s="652"/>
      <c r="AX406" s="652"/>
      <c r="AY406" s="652"/>
      <c r="AZ406" s="652"/>
      <c r="BA406" s="652"/>
      <c r="BB406" s="652"/>
      <c r="BC406" s="652"/>
      <c r="BD406" s="652"/>
      <c r="BE406" s="652"/>
      <c r="BF406" s="652"/>
      <c r="BG406" s="652"/>
      <c r="BH406" s="652"/>
      <c r="BI406" s="652"/>
    </row>
    <row r="407" s="650" customFormat="1" ht="31" customHeight="1" spans="1:108">
      <c r="A407" s="713">
        <v>46154</v>
      </c>
      <c r="B407" s="714" t="s">
        <v>1472</v>
      </c>
      <c r="C407" s="715" t="s">
        <v>1439</v>
      </c>
      <c r="D407" s="652" t="s">
        <v>5237</v>
      </c>
      <c r="E407" s="715" t="s">
        <v>628</v>
      </c>
      <c r="F407" s="652" t="s">
        <v>5238</v>
      </c>
      <c r="G407" s="716" t="s">
        <v>3973</v>
      </c>
      <c r="H407" s="715" t="s">
        <v>3995</v>
      </c>
      <c r="I407" s="752">
        <v>6800</v>
      </c>
      <c r="J407" s="715">
        <v>0</v>
      </c>
      <c r="K407" s="715">
        <v>16</v>
      </c>
      <c r="L407" s="715">
        <f t="shared" si="84"/>
        <v>425</v>
      </c>
      <c r="M407" s="738">
        <v>46223</v>
      </c>
      <c r="N407" s="738">
        <f>M407-4</f>
        <v>46219</v>
      </c>
      <c r="O407" s="714" t="s">
        <v>1474</v>
      </c>
      <c r="P407" s="717" t="s">
        <v>106</v>
      </c>
      <c r="Q407" s="717"/>
      <c r="R407" s="723" t="s">
        <v>2089</v>
      </c>
      <c r="S407" s="720" t="s">
        <v>107</v>
      </c>
      <c r="T407" s="720" t="s">
        <v>5239</v>
      </c>
      <c r="U407" s="720"/>
      <c r="V407" s="720"/>
      <c r="W407" s="720"/>
      <c r="X407" s="720" t="s">
        <v>5240</v>
      </c>
      <c r="Y407" s="719" t="s">
        <v>1477</v>
      </c>
      <c r="Z407" s="730">
        <v>4.6442</v>
      </c>
      <c r="AA407" s="652">
        <f>I407*Z407</f>
        <v>31580.56</v>
      </c>
      <c r="AB407" s="721"/>
      <c r="AC407" s="747" t="s">
        <v>4108</v>
      </c>
      <c r="AD407" s="715" t="s">
        <v>112</v>
      </c>
      <c r="AE407" s="715">
        <f t="shared" si="85"/>
        <v>6800</v>
      </c>
      <c r="AF407" s="715"/>
      <c r="AG407" s="715">
        <v>6800</v>
      </c>
      <c r="AH407" s="715">
        <f t="shared" si="72"/>
        <v>0</v>
      </c>
      <c r="AI407" s="717"/>
      <c r="AJ407" s="715" t="s">
        <v>3981</v>
      </c>
      <c r="AK407" s="652"/>
      <c r="AL407" s="652">
        <f>I407</f>
        <v>6800</v>
      </c>
      <c r="AM407" s="652"/>
      <c r="AN407" s="652">
        <f t="shared" si="86"/>
        <v>6800</v>
      </c>
      <c r="AO407" s="652"/>
      <c r="AP407" s="652"/>
      <c r="AQ407" s="652"/>
      <c r="AR407" s="652"/>
      <c r="AS407" s="652"/>
      <c r="AT407" s="652"/>
      <c r="AU407" s="652">
        <f>I407/8</f>
        <v>850</v>
      </c>
      <c r="AV407" s="652"/>
      <c r="AW407" s="652"/>
      <c r="AX407" s="652"/>
      <c r="AY407" s="652"/>
      <c r="AZ407" s="652"/>
      <c r="BA407" s="652"/>
      <c r="BB407" s="652"/>
      <c r="BC407" s="652"/>
      <c r="BD407" s="652"/>
      <c r="BE407" s="652"/>
      <c r="BF407" s="652"/>
      <c r="BG407" s="652"/>
      <c r="BH407" s="652"/>
      <c r="BI407" s="652"/>
      <c r="CS407" s="651"/>
      <c r="CT407" s="651"/>
      <c r="CU407" s="651"/>
      <c r="CV407" s="651"/>
      <c r="CW407" s="651"/>
      <c r="CX407" s="651"/>
      <c r="CY407" s="651"/>
      <c r="CZ407" s="651"/>
      <c r="DA407" s="651"/>
      <c r="DB407" s="651"/>
      <c r="DC407" s="651"/>
      <c r="DD407" s="651"/>
    </row>
    <row r="408" s="650" customFormat="1" ht="31" customHeight="1" spans="1:108">
      <c r="A408" s="713">
        <v>46162</v>
      </c>
      <c r="B408" s="714" t="s">
        <v>770</v>
      </c>
      <c r="C408" s="715" t="s">
        <v>771</v>
      </c>
      <c r="D408" s="652" t="s">
        <v>5241</v>
      </c>
      <c r="E408" s="715" t="s">
        <v>5242</v>
      </c>
      <c r="F408" s="652" t="s">
        <v>5243</v>
      </c>
      <c r="G408" s="716" t="s">
        <v>3980</v>
      </c>
      <c r="H408" s="715" t="s">
        <v>3978</v>
      </c>
      <c r="I408" s="717">
        <v>1704</v>
      </c>
      <c r="J408" s="715">
        <v>0</v>
      </c>
      <c r="K408" s="715">
        <v>8</v>
      </c>
      <c r="L408" s="715">
        <f t="shared" si="84"/>
        <v>213</v>
      </c>
      <c r="M408" s="840">
        <v>46223</v>
      </c>
      <c r="N408" s="840">
        <v>46219</v>
      </c>
      <c r="O408" s="714"/>
      <c r="P408" s="717" t="s">
        <v>106</v>
      </c>
      <c r="Q408" s="717"/>
      <c r="R408" s="723">
        <v>46175</v>
      </c>
      <c r="S408" s="720" t="s">
        <v>107</v>
      </c>
      <c r="T408" s="720" t="s">
        <v>4972</v>
      </c>
      <c r="U408" s="720"/>
      <c r="V408" s="720"/>
      <c r="W408" s="720"/>
      <c r="X408" s="720" t="s">
        <v>5244</v>
      </c>
      <c r="Y408" s="719" t="s">
        <v>2060</v>
      </c>
      <c r="Z408" s="730">
        <v>4.5779</v>
      </c>
      <c r="AA408" s="652">
        <f>Z408*I408</f>
        <v>7800.7416</v>
      </c>
      <c r="AB408" s="721"/>
      <c r="AC408" s="747" t="s">
        <v>4031</v>
      </c>
      <c r="AD408" s="715" t="s">
        <v>112</v>
      </c>
      <c r="AE408" s="715">
        <f t="shared" si="85"/>
        <v>1704</v>
      </c>
      <c r="AF408" s="715"/>
      <c r="AG408" s="715">
        <v>1704</v>
      </c>
      <c r="AH408" s="715">
        <f t="shared" si="72"/>
        <v>0</v>
      </c>
      <c r="AI408" s="717"/>
      <c r="AJ408" s="715" t="s">
        <v>3981</v>
      </c>
      <c r="AK408" s="652"/>
      <c r="AL408" s="652">
        <f>I408</f>
        <v>1704</v>
      </c>
      <c r="AM408" s="652"/>
      <c r="AN408" s="652">
        <f t="shared" si="86"/>
        <v>1704</v>
      </c>
      <c r="AO408" s="652"/>
      <c r="AP408" s="652"/>
      <c r="AQ408" s="652"/>
      <c r="AR408" s="652"/>
      <c r="AS408" s="652"/>
      <c r="AT408" s="652"/>
      <c r="AU408" s="652">
        <f>I408/8</f>
        <v>213</v>
      </c>
      <c r="AV408" s="652"/>
      <c r="AW408" s="652"/>
      <c r="AX408" s="652"/>
      <c r="AY408" s="652"/>
      <c r="AZ408" s="652"/>
      <c r="BA408" s="652"/>
      <c r="BB408" s="652"/>
      <c r="BC408" s="652"/>
      <c r="BD408" s="652"/>
      <c r="BE408" s="652"/>
      <c r="BF408" s="652"/>
      <c r="BG408" s="652"/>
      <c r="BH408" s="652"/>
      <c r="BI408" s="652"/>
      <c r="BJ408" s="727"/>
      <c r="BK408" s="727"/>
      <c r="BL408" s="727"/>
      <c r="BM408" s="727"/>
      <c r="BN408" s="727"/>
      <c r="BO408" s="727"/>
      <c r="BP408" s="727"/>
      <c r="BQ408" s="727"/>
      <c r="BR408" s="727"/>
      <c r="BS408" s="727"/>
      <c r="BT408" s="727"/>
      <c r="BU408" s="727"/>
      <c r="BV408" s="727"/>
      <c r="BW408" s="727"/>
      <c r="BX408" s="727"/>
      <c r="BY408" s="727"/>
      <c r="BZ408" s="727"/>
      <c r="CA408" s="727"/>
      <c r="CB408" s="727"/>
      <c r="CC408" s="727"/>
      <c r="CD408" s="727"/>
      <c r="CE408" s="727"/>
      <c r="CF408" s="727"/>
      <c r="CG408" s="727"/>
      <c r="CH408" s="727"/>
      <c r="CI408" s="727"/>
      <c r="CJ408" s="727"/>
      <c r="CK408" s="727"/>
      <c r="CL408" s="727"/>
      <c r="CM408" s="727"/>
      <c r="CN408" s="727"/>
      <c r="CO408" s="727"/>
      <c r="CP408" s="727"/>
      <c r="CQ408" s="727"/>
      <c r="CR408" s="727"/>
    </row>
    <row r="409" s="650" customFormat="1" ht="31" customHeight="1" spans="1:108">
      <c r="A409" s="713">
        <v>46139</v>
      </c>
      <c r="B409" s="714" t="s">
        <v>1021</v>
      </c>
      <c r="C409" s="715" t="s">
        <v>1022</v>
      </c>
      <c r="D409" s="652" t="s">
        <v>5245</v>
      </c>
      <c r="E409" s="715" t="s">
        <v>628</v>
      </c>
      <c r="F409" s="652" t="s">
        <v>5246</v>
      </c>
      <c r="G409" s="716" t="s">
        <v>3973</v>
      </c>
      <c r="H409" s="715" t="s">
        <v>3995</v>
      </c>
      <c r="I409" s="717">
        <v>2000</v>
      </c>
      <c r="J409" s="715">
        <v>0</v>
      </c>
      <c r="K409" s="715">
        <v>16</v>
      </c>
      <c r="L409" s="715">
        <f t="shared" si="84"/>
        <v>125</v>
      </c>
      <c r="M409" s="719">
        <v>46223</v>
      </c>
      <c r="N409" s="719">
        <v>46219</v>
      </c>
      <c r="O409" s="714"/>
      <c r="P409" s="717" t="s">
        <v>106</v>
      </c>
      <c r="Q409" s="717"/>
      <c r="R409" s="723" t="s">
        <v>5247</v>
      </c>
      <c r="S409" s="720" t="s">
        <v>107</v>
      </c>
      <c r="T409" s="720" t="s">
        <v>2004</v>
      </c>
      <c r="U409" s="720"/>
      <c r="V409" s="720" t="s">
        <v>4056</v>
      </c>
      <c r="W409" s="720"/>
      <c r="X409" s="720" t="s">
        <v>2005</v>
      </c>
      <c r="Y409" s="719" t="s">
        <v>295</v>
      </c>
      <c r="Z409" s="730">
        <v>4.5744</v>
      </c>
      <c r="AA409" s="652">
        <f>I409*Z409</f>
        <v>9148.8</v>
      </c>
      <c r="AB409" s="721"/>
      <c r="AC409" s="747" t="s">
        <v>4108</v>
      </c>
      <c r="AD409" s="715" t="s">
        <v>112</v>
      </c>
      <c r="AE409" s="715">
        <f t="shared" si="85"/>
        <v>2000</v>
      </c>
      <c r="AF409" s="715"/>
      <c r="AG409" s="715">
        <v>2000</v>
      </c>
      <c r="AH409" s="715">
        <f t="shared" si="72"/>
        <v>0</v>
      </c>
      <c r="AI409" s="717"/>
      <c r="AJ409" s="715" t="s">
        <v>3981</v>
      </c>
      <c r="AK409" s="652"/>
      <c r="AL409" s="652">
        <f>I409</f>
        <v>2000</v>
      </c>
      <c r="AM409" s="652"/>
      <c r="AN409" s="652">
        <f t="shared" si="86"/>
        <v>2000</v>
      </c>
      <c r="AO409" s="652"/>
      <c r="AP409" s="652"/>
      <c r="AQ409" s="652"/>
      <c r="AR409" s="652"/>
      <c r="AS409" s="652"/>
      <c r="AT409" s="652"/>
      <c r="AU409" s="652">
        <f>I409/8</f>
        <v>250</v>
      </c>
      <c r="AV409" s="652"/>
      <c r="AW409" s="652"/>
      <c r="AX409" s="652"/>
      <c r="AY409" s="652"/>
      <c r="AZ409" s="652"/>
      <c r="BA409" s="652"/>
      <c r="BB409" s="652"/>
      <c r="BC409" s="652"/>
      <c r="BD409" s="652"/>
      <c r="BE409" s="652"/>
      <c r="BF409" s="652"/>
      <c r="BG409" s="652"/>
      <c r="BH409" s="652"/>
      <c r="BI409" s="652"/>
      <c r="BJ409" s="650"/>
      <c r="BK409" s="650"/>
      <c r="BL409" s="650"/>
      <c r="BM409" s="650"/>
      <c r="BN409" s="650"/>
      <c r="BO409" s="650"/>
      <c r="BP409" s="650"/>
      <c r="BQ409" s="650"/>
      <c r="BR409" s="650"/>
      <c r="BS409" s="650"/>
      <c r="BT409" s="650"/>
      <c r="BU409" s="650"/>
      <c r="BV409" s="650"/>
      <c r="BW409" s="650"/>
      <c r="BX409" s="650"/>
      <c r="BY409" s="650"/>
      <c r="BZ409" s="650"/>
      <c r="CA409" s="650"/>
      <c r="CB409" s="650"/>
      <c r="CC409" s="650"/>
      <c r="CD409" s="650"/>
      <c r="CE409" s="650"/>
      <c r="CF409" s="650"/>
      <c r="CG409" s="650"/>
      <c r="CH409" s="650"/>
      <c r="CI409" s="650"/>
      <c r="CJ409" s="650"/>
      <c r="CK409" s="650"/>
      <c r="CL409" s="650"/>
      <c r="CM409" s="650"/>
      <c r="CN409" s="650"/>
      <c r="CO409" s="650"/>
      <c r="CP409" s="650"/>
      <c r="CQ409" s="650"/>
      <c r="CR409" s="650"/>
      <c r="CS409" s="651"/>
      <c r="CT409" s="651"/>
      <c r="CU409" s="651"/>
      <c r="CV409" s="651"/>
      <c r="CW409" s="651"/>
      <c r="CX409" s="651"/>
      <c r="CY409" s="651"/>
      <c r="CZ409" s="651"/>
      <c r="DA409" s="651"/>
      <c r="DB409" s="651"/>
      <c r="DC409" s="651"/>
      <c r="DD409" s="651"/>
    </row>
    <row r="410" s="650" customFormat="1" ht="31" customHeight="1" spans="1:108">
      <c r="A410" s="713">
        <v>46111</v>
      </c>
      <c r="B410" s="714" t="s">
        <v>2281</v>
      </c>
      <c r="C410" s="715" t="s">
        <v>201</v>
      </c>
      <c r="D410" s="652" t="s">
        <v>5248</v>
      </c>
      <c r="E410" s="715" t="s">
        <v>2282</v>
      </c>
      <c r="F410" s="652" t="s">
        <v>5249</v>
      </c>
      <c r="G410" s="716" t="s">
        <v>3980</v>
      </c>
      <c r="H410" s="715" t="s">
        <v>3978</v>
      </c>
      <c r="I410" s="717">
        <v>240</v>
      </c>
      <c r="J410" s="715">
        <v>0</v>
      </c>
      <c r="K410" s="715">
        <v>8</v>
      </c>
      <c r="L410" s="715">
        <f t="shared" si="84"/>
        <v>30</v>
      </c>
      <c r="M410" s="719">
        <v>46223</v>
      </c>
      <c r="N410" s="719">
        <v>46219</v>
      </c>
      <c r="O410" s="714"/>
      <c r="P410" s="717" t="s">
        <v>106</v>
      </c>
      <c r="Q410" s="717"/>
      <c r="R410" s="723" t="s">
        <v>4994</v>
      </c>
      <c r="S410" s="720" t="s">
        <v>107</v>
      </c>
      <c r="T410" s="720" t="s">
        <v>5250</v>
      </c>
      <c r="U410" s="720"/>
      <c r="V410" s="720"/>
      <c r="W410" s="720"/>
      <c r="X410" s="720" t="s">
        <v>5251</v>
      </c>
      <c r="Y410" s="719" t="s">
        <v>711</v>
      </c>
      <c r="Z410" s="730">
        <v>5</v>
      </c>
      <c r="AA410" s="652">
        <f>I410*Z410</f>
        <v>1200</v>
      </c>
      <c r="AB410" s="721"/>
      <c r="AC410" s="722" t="s">
        <v>4031</v>
      </c>
      <c r="AD410" s="715" t="s">
        <v>112</v>
      </c>
      <c r="AE410" s="715">
        <f t="shared" si="85"/>
        <v>240</v>
      </c>
      <c r="AF410" s="715"/>
      <c r="AG410" s="715">
        <v>240</v>
      </c>
      <c r="AH410" s="715">
        <f t="shared" si="72"/>
        <v>0</v>
      </c>
      <c r="AI410" s="717"/>
      <c r="AJ410" s="715" t="s">
        <v>3981</v>
      </c>
      <c r="AK410" s="652"/>
      <c r="AL410" s="652">
        <f>I410</f>
        <v>240</v>
      </c>
      <c r="AM410" s="652"/>
      <c r="AN410" s="652">
        <f t="shared" si="86"/>
        <v>240</v>
      </c>
      <c r="AO410" s="652"/>
      <c r="AP410" s="652"/>
      <c r="AQ410" s="652"/>
      <c r="AR410" s="652"/>
      <c r="AS410" s="652"/>
      <c r="AT410" s="652"/>
      <c r="AU410" s="652">
        <f>I410/8</f>
        <v>30</v>
      </c>
      <c r="AV410" s="652"/>
      <c r="AW410" s="652"/>
      <c r="AX410" s="652"/>
      <c r="AY410" s="652"/>
      <c r="AZ410" s="652"/>
      <c r="BA410" s="652"/>
      <c r="BB410" s="652"/>
      <c r="BC410" s="652"/>
      <c r="BD410" s="652"/>
      <c r="BE410" s="652"/>
      <c r="BF410" s="652"/>
      <c r="BG410" s="652"/>
      <c r="BH410" s="652"/>
      <c r="BI410" s="652"/>
    </row>
    <row r="411" s="651" customFormat="1" ht="31" customHeight="1" spans="1:108">
      <c r="A411" s="713">
        <v>46136</v>
      </c>
      <c r="B411" s="714" t="s">
        <v>583</v>
      </c>
      <c r="C411" s="715" t="s">
        <v>135</v>
      </c>
      <c r="D411" s="652" t="s">
        <v>5252</v>
      </c>
      <c r="E411" s="715" t="s">
        <v>5253</v>
      </c>
      <c r="F411" s="652" t="s">
        <v>5254</v>
      </c>
      <c r="G411" s="716" t="s">
        <v>5255</v>
      </c>
      <c r="H411" s="715" t="s">
        <v>4195</v>
      </c>
      <c r="I411" s="717">
        <v>1024</v>
      </c>
      <c r="J411" s="715">
        <v>0</v>
      </c>
      <c r="K411" s="715">
        <v>512</v>
      </c>
      <c r="L411" s="715">
        <f t="shared" si="84"/>
        <v>2</v>
      </c>
      <c r="M411" s="719">
        <v>46223</v>
      </c>
      <c r="N411" s="719">
        <v>46219</v>
      </c>
      <c r="O411" s="714"/>
      <c r="P411" s="717" t="s">
        <v>106</v>
      </c>
      <c r="Q411" s="717"/>
      <c r="R411" s="723" t="s">
        <v>1330</v>
      </c>
      <c r="S411" s="720" t="s">
        <v>107</v>
      </c>
      <c r="T411" s="720" t="s">
        <v>5256</v>
      </c>
      <c r="U411" s="720"/>
      <c r="V411" s="720" t="s">
        <v>4056</v>
      </c>
      <c r="W411" s="720"/>
      <c r="X411" s="720" t="s">
        <v>5257</v>
      </c>
      <c r="Y411" s="719" t="s">
        <v>1207</v>
      </c>
      <c r="Z411" s="730">
        <v>2332.5408</v>
      </c>
      <c r="AA411" s="652">
        <f>L411*Z411</f>
        <v>4665.0816</v>
      </c>
      <c r="AB411" s="721"/>
      <c r="AC411" s="716" t="s">
        <v>4194</v>
      </c>
      <c r="AD411" s="715" t="s">
        <v>112</v>
      </c>
      <c r="AE411" s="715">
        <f t="shared" si="85"/>
        <v>1024</v>
      </c>
      <c r="AF411" s="715" t="s">
        <v>5125</v>
      </c>
      <c r="AG411" s="715">
        <v>1024</v>
      </c>
      <c r="AH411" s="715">
        <f t="shared" ref="AH411:AH474" si="87">AG411-I411</f>
        <v>0</v>
      </c>
      <c r="AI411" s="717" t="s">
        <v>120</v>
      </c>
      <c r="AJ411" s="715" t="s">
        <v>3981</v>
      </c>
      <c r="AK411" s="652">
        <f>I411</f>
        <v>1024</v>
      </c>
      <c r="AL411" s="652"/>
      <c r="AM411" s="652"/>
      <c r="AN411" s="652">
        <f t="shared" si="86"/>
        <v>1024</v>
      </c>
      <c r="AO411" s="652"/>
      <c r="AP411" s="652"/>
      <c r="AQ411" s="652"/>
      <c r="AR411" s="652"/>
      <c r="AS411" s="652"/>
      <c r="AT411" s="652">
        <f>I411/8</f>
        <v>128</v>
      </c>
      <c r="AU411" s="652"/>
      <c r="AV411" s="652"/>
      <c r="AW411" s="652"/>
      <c r="AX411" s="652"/>
      <c r="AY411" s="652"/>
      <c r="AZ411" s="652"/>
      <c r="BA411" s="652"/>
      <c r="BB411" s="652"/>
      <c r="BC411" s="652"/>
      <c r="BD411" s="652"/>
      <c r="BE411" s="652"/>
      <c r="BF411" s="652"/>
      <c r="BG411" s="652"/>
      <c r="BH411" s="652"/>
      <c r="BI411" s="652"/>
      <c r="BJ411" s="650"/>
      <c r="BK411" s="650"/>
      <c r="BL411" s="650"/>
      <c r="BM411" s="650"/>
      <c r="BN411" s="650"/>
      <c r="BO411" s="650"/>
      <c r="BP411" s="650"/>
      <c r="BQ411" s="650"/>
      <c r="BR411" s="650"/>
      <c r="BS411" s="650"/>
      <c r="BT411" s="650"/>
      <c r="BU411" s="650"/>
      <c r="BV411" s="650"/>
      <c r="BW411" s="650"/>
      <c r="BX411" s="650"/>
      <c r="BY411" s="650"/>
      <c r="BZ411" s="650"/>
      <c r="CA411" s="650"/>
      <c r="CB411" s="650"/>
      <c r="CC411" s="650"/>
      <c r="CD411" s="650"/>
      <c r="CE411" s="650"/>
      <c r="CF411" s="650"/>
      <c r="CG411" s="650"/>
      <c r="CH411" s="650"/>
      <c r="CI411" s="650"/>
      <c r="CJ411" s="650"/>
      <c r="CK411" s="650"/>
      <c r="CL411" s="650"/>
      <c r="CM411" s="650"/>
      <c r="CN411" s="650"/>
      <c r="CO411" s="650"/>
      <c r="CP411" s="650"/>
      <c r="CQ411" s="650"/>
      <c r="CR411" s="650"/>
      <c r="CS411" s="650"/>
      <c r="CT411" s="650"/>
      <c r="CU411" s="650"/>
      <c r="CV411" s="650"/>
      <c r="CW411" s="650"/>
      <c r="CX411" s="650"/>
      <c r="CY411" s="650"/>
      <c r="CZ411" s="650"/>
      <c r="DA411" s="650"/>
      <c r="DB411" s="650"/>
      <c r="DC411" s="650"/>
      <c r="DD411" s="650"/>
    </row>
    <row r="412" s="651" customFormat="1" ht="31" customHeight="1" spans="1:108">
      <c r="A412" s="713">
        <v>46134</v>
      </c>
      <c r="B412" s="714" t="s">
        <v>1532</v>
      </c>
      <c r="C412" s="715" t="s">
        <v>1533</v>
      </c>
      <c r="D412" s="652" t="s">
        <v>5258</v>
      </c>
      <c r="E412" s="715" t="s">
        <v>5259</v>
      </c>
      <c r="F412" s="652" t="s">
        <v>5260</v>
      </c>
      <c r="G412" s="716" t="s">
        <v>3973</v>
      </c>
      <c r="H412" s="715" t="s">
        <v>3995</v>
      </c>
      <c r="I412" s="752">
        <v>304</v>
      </c>
      <c r="J412" s="715">
        <v>0</v>
      </c>
      <c r="K412" s="715">
        <v>16</v>
      </c>
      <c r="L412" s="715">
        <f t="shared" si="84"/>
        <v>19</v>
      </c>
      <c r="M412" s="738">
        <v>46223</v>
      </c>
      <c r="N412" s="738">
        <v>46219</v>
      </c>
      <c r="O412" s="714"/>
      <c r="P412" s="717" t="s">
        <v>106</v>
      </c>
      <c r="Q412" s="717"/>
      <c r="R412" s="723">
        <v>46189</v>
      </c>
      <c r="S412" s="720" t="s">
        <v>107</v>
      </c>
      <c r="T412" s="798" t="s">
        <v>5210</v>
      </c>
      <c r="U412" s="720"/>
      <c r="V412" s="720"/>
      <c r="W412" s="720"/>
      <c r="X412" s="720" t="s">
        <v>5261</v>
      </c>
      <c r="Y412" s="719" t="s">
        <v>1169</v>
      </c>
      <c r="Z412" s="730">
        <v>4.5847</v>
      </c>
      <c r="AA412" s="652">
        <f>I412*Z412</f>
        <v>1393.7488</v>
      </c>
      <c r="AB412" s="721"/>
      <c r="AC412" s="652" t="s">
        <v>4108</v>
      </c>
      <c r="AD412" s="715" t="s">
        <v>112</v>
      </c>
      <c r="AE412" s="715">
        <f t="shared" si="85"/>
        <v>304</v>
      </c>
      <c r="AF412" s="715"/>
      <c r="AG412" s="715">
        <v>304</v>
      </c>
      <c r="AH412" s="715">
        <f t="shared" si="87"/>
        <v>0</v>
      </c>
      <c r="AI412" s="717"/>
      <c r="AJ412" s="715" t="s">
        <v>3981</v>
      </c>
      <c r="AK412" s="652"/>
      <c r="AL412" s="652">
        <f>I412</f>
        <v>304</v>
      </c>
      <c r="AM412" s="652"/>
      <c r="AN412" s="652">
        <f t="shared" si="86"/>
        <v>304</v>
      </c>
      <c r="AO412" s="652"/>
      <c r="AP412" s="652"/>
      <c r="AQ412" s="652"/>
      <c r="AR412" s="652"/>
      <c r="AS412" s="652"/>
      <c r="AT412" s="652"/>
      <c r="AU412" s="652">
        <v>288</v>
      </c>
      <c r="AV412" s="652"/>
      <c r="AW412" s="652"/>
      <c r="AX412" s="652"/>
      <c r="AY412" s="652"/>
      <c r="AZ412" s="652"/>
      <c r="BA412" s="652"/>
      <c r="BB412" s="652"/>
      <c r="BC412" s="652"/>
      <c r="BD412" s="652"/>
      <c r="BE412" s="652"/>
      <c r="BF412" s="652"/>
      <c r="BG412" s="652"/>
      <c r="BH412" s="652"/>
      <c r="BI412" s="652"/>
      <c r="BJ412" s="650"/>
      <c r="BK412" s="650"/>
      <c r="BL412" s="650"/>
      <c r="BM412" s="650"/>
      <c r="BN412" s="650"/>
      <c r="BO412" s="650"/>
      <c r="BP412" s="650"/>
      <c r="BQ412" s="650"/>
      <c r="BR412" s="650"/>
      <c r="BS412" s="650"/>
      <c r="BT412" s="650"/>
      <c r="BU412" s="650"/>
      <c r="BV412" s="650"/>
      <c r="BW412" s="650"/>
      <c r="BX412" s="650"/>
      <c r="BY412" s="650"/>
      <c r="BZ412" s="650"/>
      <c r="CA412" s="650"/>
      <c r="CB412" s="650"/>
      <c r="CC412" s="650"/>
      <c r="CD412" s="650"/>
      <c r="CE412" s="650"/>
      <c r="CF412" s="650"/>
      <c r="CG412" s="650"/>
      <c r="CH412" s="650"/>
      <c r="CI412" s="650"/>
      <c r="CJ412" s="650"/>
      <c r="CK412" s="650"/>
      <c r="CL412" s="650"/>
      <c r="CM412" s="650"/>
      <c r="CN412" s="650"/>
      <c r="CO412" s="650"/>
      <c r="CP412" s="650"/>
      <c r="CQ412" s="650"/>
      <c r="CR412" s="650"/>
      <c r="CS412" s="650"/>
      <c r="CT412" s="650"/>
      <c r="CU412" s="650"/>
      <c r="CV412" s="650"/>
      <c r="CW412" s="650"/>
      <c r="CX412" s="650"/>
      <c r="CY412" s="650"/>
      <c r="CZ412" s="650"/>
      <c r="DA412" s="650"/>
      <c r="DB412" s="650"/>
      <c r="DC412" s="650"/>
      <c r="DD412" s="650"/>
    </row>
    <row r="413" s="650" customFormat="1" ht="31" customHeight="1" spans="1:108">
      <c r="A413" s="713">
        <v>46153</v>
      </c>
      <c r="B413" s="714" t="s">
        <v>1962</v>
      </c>
      <c r="C413" s="715" t="s">
        <v>1439</v>
      </c>
      <c r="D413" s="652">
        <v>4500206343</v>
      </c>
      <c r="E413" s="715" t="s">
        <v>628</v>
      </c>
      <c r="F413" s="652" t="s">
        <v>5262</v>
      </c>
      <c r="G413" s="716" t="s">
        <v>3973</v>
      </c>
      <c r="H413" s="715" t="s">
        <v>3995</v>
      </c>
      <c r="I413" s="717">
        <v>2400</v>
      </c>
      <c r="J413" s="715">
        <v>0</v>
      </c>
      <c r="K413" s="715">
        <v>16</v>
      </c>
      <c r="L413" s="715">
        <f t="shared" si="84"/>
        <v>150</v>
      </c>
      <c r="M413" s="719">
        <v>46223</v>
      </c>
      <c r="N413" s="719">
        <v>46219</v>
      </c>
      <c r="O413" s="714" t="s">
        <v>1965</v>
      </c>
      <c r="P413" s="717" t="s">
        <v>106</v>
      </c>
      <c r="Q413" s="717"/>
      <c r="R413" s="723" t="s">
        <v>1966</v>
      </c>
      <c r="S413" s="720" t="s">
        <v>107</v>
      </c>
      <c r="T413" s="720" t="s">
        <v>5263</v>
      </c>
      <c r="U413" s="720"/>
      <c r="V413" s="720"/>
      <c r="W413" s="720"/>
      <c r="X413" s="720" t="s">
        <v>5264</v>
      </c>
      <c r="Y413" s="719" t="s">
        <v>1477</v>
      </c>
      <c r="Z413" s="730">
        <v>4.6933</v>
      </c>
      <c r="AA413" s="652">
        <f>I413*Z413</f>
        <v>11263.92</v>
      </c>
      <c r="AB413" s="721"/>
      <c r="AC413" s="652" t="s">
        <v>4108</v>
      </c>
      <c r="AD413" s="715" t="s">
        <v>112</v>
      </c>
      <c r="AE413" s="715">
        <f t="shared" si="85"/>
        <v>2400</v>
      </c>
      <c r="AF413" s="715"/>
      <c r="AG413" s="715">
        <v>2400</v>
      </c>
      <c r="AH413" s="715">
        <f t="shared" si="87"/>
        <v>0</v>
      </c>
      <c r="AI413" s="717"/>
      <c r="AJ413" s="715" t="s">
        <v>3981</v>
      </c>
      <c r="AK413" s="652"/>
      <c r="AL413" s="652">
        <f>I413</f>
        <v>2400</v>
      </c>
      <c r="AM413" s="652"/>
      <c r="AN413" s="652">
        <f t="shared" si="86"/>
        <v>2400</v>
      </c>
      <c r="AO413" s="652"/>
      <c r="AP413" s="652"/>
      <c r="AQ413" s="652"/>
      <c r="AR413" s="652"/>
      <c r="AS413" s="652"/>
      <c r="AT413" s="652"/>
      <c r="AU413" s="652">
        <f>I413/8</f>
        <v>300</v>
      </c>
      <c r="AV413" s="652"/>
      <c r="AW413" s="652"/>
      <c r="AX413" s="652"/>
      <c r="AY413" s="652"/>
      <c r="AZ413" s="652"/>
      <c r="BA413" s="652"/>
      <c r="BB413" s="652"/>
      <c r="BC413" s="652"/>
      <c r="BD413" s="652"/>
      <c r="BE413" s="652"/>
      <c r="BF413" s="652"/>
      <c r="BG413" s="652"/>
      <c r="BH413" s="652"/>
      <c r="BI413" s="652"/>
    </row>
    <row r="414" s="650" customFormat="1" ht="31" customHeight="1" spans="1:108">
      <c r="A414" s="713">
        <v>46153</v>
      </c>
      <c r="B414" s="714" t="s">
        <v>525</v>
      </c>
      <c r="C414" s="715" t="s">
        <v>508</v>
      </c>
      <c r="D414" s="652" t="s">
        <v>5265</v>
      </c>
      <c r="E414" s="715" t="s">
        <v>5266</v>
      </c>
      <c r="F414" s="652" t="s">
        <v>5267</v>
      </c>
      <c r="G414" s="716" t="s">
        <v>3980</v>
      </c>
      <c r="H414" s="715" t="s">
        <v>3978</v>
      </c>
      <c r="I414" s="717">
        <v>1400</v>
      </c>
      <c r="J414" s="715">
        <v>0</v>
      </c>
      <c r="K414" s="715">
        <v>8</v>
      </c>
      <c r="L414" s="715">
        <f t="shared" si="84"/>
        <v>175</v>
      </c>
      <c r="M414" s="719">
        <v>46223</v>
      </c>
      <c r="N414" s="719">
        <v>46219</v>
      </c>
      <c r="O414" s="714"/>
      <c r="P414" s="717" t="s">
        <v>106</v>
      </c>
      <c r="Q414" s="717"/>
      <c r="R414" s="723">
        <v>46191</v>
      </c>
      <c r="S414" s="720" t="s">
        <v>107</v>
      </c>
      <c r="T414" s="720" t="s">
        <v>5268</v>
      </c>
      <c r="U414" s="720"/>
      <c r="V414" s="720" t="s">
        <v>4764</v>
      </c>
      <c r="W414" s="720"/>
      <c r="X414" s="720" t="s">
        <v>5269</v>
      </c>
      <c r="Y414" s="719" t="s">
        <v>362</v>
      </c>
      <c r="Z414" s="730">
        <v>4.6573</v>
      </c>
      <c r="AA414" s="652">
        <f>Z414*I414</f>
        <v>6520.22</v>
      </c>
      <c r="AB414" s="721"/>
      <c r="AC414" s="722" t="s">
        <v>3980</v>
      </c>
      <c r="AD414" s="715" t="s">
        <v>112</v>
      </c>
      <c r="AE414" s="715">
        <f t="shared" si="85"/>
        <v>1400</v>
      </c>
      <c r="AF414" s="715" t="s">
        <v>5125</v>
      </c>
      <c r="AG414" s="652">
        <v>1400</v>
      </c>
      <c r="AH414" s="715">
        <f t="shared" si="87"/>
        <v>0</v>
      </c>
      <c r="AI414" s="717" t="s">
        <v>120</v>
      </c>
      <c r="AJ414" s="715" t="s">
        <v>3981</v>
      </c>
      <c r="AK414" s="652">
        <f>I414</f>
        <v>1400</v>
      </c>
      <c r="AL414" s="652"/>
      <c r="AM414" s="652"/>
      <c r="AN414" s="652">
        <f t="shared" si="86"/>
        <v>1400</v>
      </c>
      <c r="AO414" s="652"/>
      <c r="AP414" s="652"/>
      <c r="AQ414" s="652"/>
      <c r="AR414" s="652"/>
      <c r="AS414" s="652"/>
      <c r="AT414" s="652"/>
      <c r="AU414" s="652"/>
      <c r="AV414" s="652"/>
      <c r="AW414" s="652"/>
      <c r="AX414" s="652">
        <f>I414/8</f>
        <v>175</v>
      </c>
      <c r="AY414" s="652"/>
      <c r="AZ414" s="652"/>
      <c r="BA414" s="652"/>
      <c r="BB414" s="652"/>
      <c r="BC414" s="652"/>
      <c r="BD414" s="652"/>
      <c r="BE414" s="652"/>
      <c r="BF414" s="652"/>
      <c r="BG414" s="652"/>
      <c r="BH414" s="652"/>
      <c r="BI414" s="652"/>
      <c r="BJ414" s="724"/>
      <c r="BK414" s="724"/>
      <c r="BL414" s="724"/>
      <c r="BM414" s="724"/>
      <c r="BN414" s="724"/>
      <c r="BO414" s="724"/>
      <c r="BP414" s="724"/>
      <c r="BQ414" s="724"/>
      <c r="BR414" s="724"/>
      <c r="BS414" s="724"/>
      <c r="BT414" s="724"/>
      <c r="BU414" s="724"/>
      <c r="BV414" s="724"/>
      <c r="BW414" s="724"/>
      <c r="BX414" s="724"/>
      <c r="BY414" s="724"/>
      <c r="BZ414" s="724"/>
      <c r="CA414" s="724"/>
      <c r="CB414" s="724"/>
      <c r="CC414" s="724"/>
      <c r="CD414" s="724"/>
      <c r="CE414" s="724"/>
      <c r="CF414" s="724"/>
      <c r="CG414" s="724"/>
      <c r="CH414" s="724"/>
      <c r="CI414" s="724"/>
      <c r="CJ414" s="724"/>
      <c r="CK414" s="724"/>
      <c r="CL414" s="724"/>
      <c r="CM414" s="724"/>
      <c r="CN414" s="724"/>
      <c r="CO414" s="724"/>
      <c r="CP414" s="724"/>
      <c r="CQ414" s="724"/>
      <c r="CR414" s="724"/>
    </row>
    <row r="415" s="650" customFormat="1" ht="31" customHeight="1" spans="1:108">
      <c r="A415" s="713">
        <v>46153</v>
      </c>
      <c r="B415" s="714" t="s">
        <v>521</v>
      </c>
      <c r="C415" s="715" t="s">
        <v>101</v>
      </c>
      <c r="D415" s="652" t="s">
        <v>5270</v>
      </c>
      <c r="E415" s="715" t="s">
        <v>5271</v>
      </c>
      <c r="F415" s="652" t="s">
        <v>5272</v>
      </c>
      <c r="G415" s="716" t="s">
        <v>3980</v>
      </c>
      <c r="H415" s="715" t="s">
        <v>3978</v>
      </c>
      <c r="I415" s="717">
        <v>104</v>
      </c>
      <c r="J415" s="715">
        <v>0</v>
      </c>
      <c r="K415" s="715">
        <v>8</v>
      </c>
      <c r="L415" s="715">
        <f t="shared" si="84"/>
        <v>13</v>
      </c>
      <c r="M415" s="719">
        <v>46223</v>
      </c>
      <c r="N415" s="719">
        <v>46219</v>
      </c>
      <c r="O415" s="714"/>
      <c r="P415" s="717" t="s">
        <v>106</v>
      </c>
      <c r="Q415" s="717"/>
      <c r="R415" s="723">
        <v>46191</v>
      </c>
      <c r="S415" s="720" t="s">
        <v>107</v>
      </c>
      <c r="T415" s="720" t="s">
        <v>5268</v>
      </c>
      <c r="U415" s="720"/>
      <c r="V415" s="720" t="s">
        <v>4764</v>
      </c>
      <c r="W415" s="720"/>
      <c r="X415" s="720" t="s">
        <v>5273</v>
      </c>
      <c r="Y415" s="719" t="s">
        <v>362</v>
      </c>
      <c r="Z415" s="730">
        <v>4.6676</v>
      </c>
      <c r="AA415" s="652">
        <f>Z415*I415</f>
        <v>485.4304</v>
      </c>
      <c r="AB415" s="721"/>
      <c r="AC415" s="722" t="s">
        <v>3980</v>
      </c>
      <c r="AD415" s="715" t="s">
        <v>112</v>
      </c>
      <c r="AE415" s="715">
        <f t="shared" si="85"/>
        <v>104</v>
      </c>
      <c r="AF415" s="715" t="s">
        <v>5125</v>
      </c>
      <c r="AG415" s="715">
        <v>104</v>
      </c>
      <c r="AH415" s="715">
        <f t="shared" si="87"/>
        <v>0</v>
      </c>
      <c r="AI415" s="717" t="s">
        <v>120</v>
      </c>
      <c r="AJ415" s="715" t="s">
        <v>3981</v>
      </c>
      <c r="AK415" s="652">
        <f>I415</f>
        <v>104</v>
      </c>
      <c r="AL415" s="652"/>
      <c r="AM415" s="652"/>
      <c r="AN415" s="652">
        <f t="shared" si="86"/>
        <v>104</v>
      </c>
      <c r="AO415" s="652"/>
      <c r="AP415" s="652"/>
      <c r="AQ415" s="652"/>
      <c r="AR415" s="652"/>
      <c r="AS415" s="652"/>
      <c r="AT415" s="652"/>
      <c r="AU415" s="652"/>
      <c r="AV415" s="652"/>
      <c r="AW415" s="652"/>
      <c r="AX415" s="652">
        <f>I415/8</f>
        <v>13</v>
      </c>
      <c r="AY415" s="652"/>
      <c r="AZ415" s="652"/>
      <c r="BA415" s="652"/>
      <c r="BB415" s="652"/>
      <c r="BC415" s="652"/>
      <c r="BD415" s="652"/>
      <c r="BE415" s="652"/>
      <c r="BF415" s="652"/>
      <c r="BG415" s="652"/>
      <c r="BH415" s="652"/>
      <c r="BI415" s="652"/>
      <c r="BJ415" s="724"/>
      <c r="BK415" s="724"/>
      <c r="BL415" s="724"/>
      <c r="BM415" s="724"/>
      <c r="BN415" s="724"/>
      <c r="BO415" s="724"/>
      <c r="BP415" s="724"/>
      <c r="BQ415" s="724"/>
      <c r="BR415" s="724"/>
      <c r="BS415" s="724"/>
      <c r="BT415" s="724"/>
      <c r="BU415" s="724"/>
      <c r="BV415" s="724"/>
      <c r="BW415" s="724"/>
      <c r="BX415" s="724"/>
      <c r="BY415" s="724"/>
      <c r="BZ415" s="724"/>
      <c r="CA415" s="724"/>
      <c r="CB415" s="724"/>
      <c r="CC415" s="724"/>
      <c r="CD415" s="724"/>
      <c r="CE415" s="724"/>
      <c r="CF415" s="724"/>
      <c r="CG415" s="724"/>
      <c r="CH415" s="724"/>
      <c r="CI415" s="724"/>
      <c r="CJ415" s="724"/>
      <c r="CK415" s="724"/>
      <c r="CL415" s="724"/>
      <c r="CM415" s="724"/>
      <c r="CN415" s="724"/>
      <c r="CO415" s="724"/>
      <c r="CP415" s="724"/>
      <c r="CQ415" s="724"/>
      <c r="CR415" s="724"/>
    </row>
    <row r="416" s="650" customFormat="1" ht="31" customHeight="1" spans="1:108">
      <c r="A416" s="713">
        <v>46132</v>
      </c>
      <c r="B416" s="714" t="s">
        <v>1212</v>
      </c>
      <c r="C416" s="715" t="s">
        <v>1213</v>
      </c>
      <c r="D416" s="652" t="s">
        <v>5274</v>
      </c>
      <c r="E416" s="715" t="s">
        <v>2011</v>
      </c>
      <c r="F416" s="652" t="s">
        <v>5275</v>
      </c>
      <c r="G416" s="716" t="s">
        <v>3973</v>
      </c>
      <c r="H416" s="715" t="s">
        <v>3995</v>
      </c>
      <c r="I416" s="717">
        <v>10000</v>
      </c>
      <c r="J416" s="715">
        <v>0</v>
      </c>
      <c r="K416" s="715">
        <v>16</v>
      </c>
      <c r="L416" s="715">
        <f t="shared" si="84"/>
        <v>625</v>
      </c>
      <c r="M416" s="719">
        <v>46223</v>
      </c>
      <c r="N416" s="738">
        <v>46223</v>
      </c>
      <c r="O416" s="714"/>
      <c r="P416" s="717" t="s">
        <v>106</v>
      </c>
      <c r="Q416" s="717"/>
      <c r="R416" s="723">
        <v>46197</v>
      </c>
      <c r="S416" s="720" t="s">
        <v>107</v>
      </c>
      <c r="T416" s="720" t="s">
        <v>5143</v>
      </c>
      <c r="U416" s="720"/>
      <c r="V416" s="720"/>
      <c r="W416" s="720"/>
      <c r="X416" s="720" t="s">
        <v>2015</v>
      </c>
      <c r="Y416" s="719" t="s">
        <v>295</v>
      </c>
      <c r="Z416" s="730">
        <v>4.5493</v>
      </c>
      <c r="AA416" s="652">
        <f>I416*Z416</f>
        <v>45493</v>
      </c>
      <c r="AB416" s="721"/>
      <c r="AC416" s="722" t="s">
        <v>3973</v>
      </c>
      <c r="AD416" s="715" t="s">
        <v>112</v>
      </c>
      <c r="AE416" s="715">
        <f t="shared" si="85"/>
        <v>10000</v>
      </c>
      <c r="AF416" s="715" t="s">
        <v>5125</v>
      </c>
      <c r="AG416" s="715" t="s">
        <v>120</v>
      </c>
      <c r="AH416" s="715" t="e">
        <f t="shared" si="87"/>
        <v>#VALUE!</v>
      </c>
      <c r="AI416" s="715" t="s">
        <v>120</v>
      </c>
      <c r="AJ416" s="715" t="s">
        <v>3981</v>
      </c>
      <c r="AK416" s="652">
        <f>I416</f>
        <v>10000</v>
      </c>
      <c r="AL416" s="652"/>
      <c r="AM416" s="652"/>
      <c r="AN416" s="652">
        <f t="shared" si="86"/>
        <v>10000</v>
      </c>
      <c r="AO416" s="652"/>
      <c r="AP416" s="652"/>
      <c r="AQ416" s="652"/>
      <c r="AR416" s="652"/>
      <c r="AS416" s="652"/>
      <c r="AT416" s="652">
        <f>I416/8</f>
        <v>1250</v>
      </c>
      <c r="AU416" s="652"/>
      <c r="AV416" s="652"/>
      <c r="AW416" s="652"/>
      <c r="AX416" s="652"/>
      <c r="AY416" s="652"/>
      <c r="AZ416" s="652"/>
      <c r="BA416" s="652"/>
      <c r="BB416" s="652"/>
      <c r="BC416" s="652"/>
      <c r="BD416" s="652"/>
      <c r="BE416" s="652"/>
      <c r="BF416" s="652"/>
      <c r="BG416" s="652"/>
      <c r="BH416" s="652"/>
      <c r="BI416" s="652"/>
      <c r="BJ416" s="654"/>
      <c r="BK416" s="654"/>
      <c r="BL416" s="654"/>
      <c r="BM416" s="654"/>
      <c r="BN416" s="654"/>
      <c r="BO416" s="654"/>
      <c r="BP416" s="654"/>
      <c r="BQ416" s="654"/>
      <c r="BR416" s="654"/>
      <c r="BS416" s="654"/>
      <c r="BT416" s="654"/>
      <c r="BU416" s="654"/>
      <c r="BV416" s="654"/>
      <c r="BW416" s="654"/>
      <c r="BX416" s="654"/>
      <c r="BY416" s="654"/>
      <c r="BZ416" s="654"/>
      <c r="CA416" s="654"/>
      <c r="CB416" s="654"/>
      <c r="CC416" s="654"/>
      <c r="CD416" s="654"/>
      <c r="CE416" s="654"/>
      <c r="CF416" s="654"/>
      <c r="CG416" s="654"/>
      <c r="CH416" s="654"/>
      <c r="CI416" s="654"/>
      <c r="CJ416" s="654"/>
      <c r="CK416" s="654"/>
      <c r="CL416" s="654"/>
      <c r="CM416" s="654"/>
      <c r="CN416" s="654"/>
      <c r="CO416" s="654"/>
      <c r="CP416" s="654"/>
      <c r="CQ416" s="654"/>
      <c r="CR416" s="654"/>
    </row>
    <row r="417" s="650" customFormat="1" ht="31" customHeight="1" spans="1:108">
      <c r="A417" s="841">
        <v>46205</v>
      </c>
      <c r="B417" s="714"/>
      <c r="C417" s="715" t="s">
        <v>597</v>
      </c>
      <c r="D417" s="652" t="s">
        <v>1994</v>
      </c>
      <c r="E417" s="715"/>
      <c r="F417" s="652" t="s">
        <v>5276</v>
      </c>
      <c r="G417" s="716" t="s">
        <v>3968</v>
      </c>
      <c r="H417" s="715" t="s">
        <v>3969</v>
      </c>
      <c r="I417" s="842">
        <v>240</v>
      </c>
      <c r="J417" s="715">
        <v>0</v>
      </c>
      <c r="K417" s="715">
        <v>16</v>
      </c>
      <c r="L417" s="715">
        <f t="shared" si="84"/>
        <v>15</v>
      </c>
      <c r="M417" s="719">
        <v>46223</v>
      </c>
      <c r="N417" s="719">
        <v>46219</v>
      </c>
      <c r="O417" s="714"/>
      <c r="P417" s="717" t="s">
        <v>106</v>
      </c>
      <c r="Q417" s="717"/>
      <c r="R417" s="723" t="s">
        <v>94</v>
      </c>
      <c r="S417" s="720" t="s">
        <v>95</v>
      </c>
      <c r="T417" s="720" t="s">
        <v>95</v>
      </c>
      <c r="U417" s="720"/>
      <c r="V417" s="720"/>
      <c r="W417" s="720"/>
      <c r="X417" s="720" t="s">
        <v>5277</v>
      </c>
      <c r="Y417" s="719" t="s">
        <v>272</v>
      </c>
      <c r="Z417" s="730"/>
      <c r="AA417" s="652"/>
      <c r="AB417" s="721"/>
      <c r="AC417" s="716" t="s">
        <v>3968</v>
      </c>
      <c r="AD417" s="715" t="s">
        <v>112</v>
      </c>
      <c r="AE417" s="715">
        <f t="shared" si="85"/>
        <v>240</v>
      </c>
      <c r="AF417" s="715"/>
      <c r="AG417" s="715">
        <v>240</v>
      </c>
      <c r="AH417" s="715">
        <f t="shared" si="87"/>
        <v>0</v>
      </c>
      <c r="AI417" s="717"/>
      <c r="AJ417" s="715" t="s">
        <v>3981</v>
      </c>
      <c r="AK417" s="652">
        <f>I417</f>
        <v>240</v>
      </c>
      <c r="AL417" s="652"/>
      <c r="AM417" s="652"/>
      <c r="AN417" s="652">
        <f t="shared" si="86"/>
        <v>240</v>
      </c>
      <c r="AO417" s="652"/>
      <c r="AP417" s="652"/>
      <c r="AQ417" s="652"/>
      <c r="AR417" s="652"/>
      <c r="AS417" s="652"/>
      <c r="AT417" s="652"/>
      <c r="AU417" s="652"/>
      <c r="AV417" s="652"/>
      <c r="AW417" s="652"/>
      <c r="AX417" s="652"/>
      <c r="AY417" s="652"/>
      <c r="AZ417" s="652"/>
      <c r="BA417" s="652"/>
      <c r="BB417" s="652"/>
      <c r="BC417" s="652"/>
      <c r="BD417" s="652"/>
      <c r="BE417" s="652"/>
      <c r="BF417" s="652"/>
      <c r="BG417" s="652"/>
      <c r="BH417" s="652"/>
      <c r="BI417" s="652"/>
      <c r="BJ417" s="724"/>
      <c r="BK417" s="724"/>
      <c r="BL417" s="724"/>
      <c r="BM417" s="724"/>
      <c r="BN417" s="724"/>
      <c r="BO417" s="724"/>
      <c r="BP417" s="724"/>
      <c r="BQ417" s="724"/>
      <c r="BR417" s="724"/>
      <c r="BS417" s="724"/>
      <c r="BT417" s="724"/>
      <c r="BU417" s="724"/>
      <c r="BV417" s="724"/>
      <c r="BW417" s="724"/>
      <c r="BX417" s="724"/>
      <c r="BY417" s="724"/>
      <c r="BZ417" s="724"/>
      <c r="CA417" s="724"/>
      <c r="CB417" s="724"/>
      <c r="CC417" s="724"/>
      <c r="CD417" s="724"/>
      <c r="CE417" s="724"/>
      <c r="CF417" s="724"/>
      <c r="CG417" s="724"/>
      <c r="CH417" s="724"/>
      <c r="CI417" s="724"/>
      <c r="CJ417" s="724"/>
      <c r="CK417" s="724"/>
      <c r="CL417" s="724"/>
      <c r="CM417" s="724"/>
      <c r="CN417" s="724"/>
      <c r="CO417" s="724"/>
      <c r="CP417" s="724"/>
      <c r="CQ417" s="724"/>
      <c r="CR417" s="724"/>
      <c r="CS417" s="724"/>
      <c r="CT417" s="724"/>
      <c r="CU417" s="724"/>
      <c r="CV417" s="724"/>
      <c r="CW417" s="724"/>
      <c r="CX417" s="724"/>
      <c r="CY417" s="724"/>
      <c r="CZ417" s="724"/>
      <c r="DA417" s="724"/>
      <c r="DB417" s="724"/>
      <c r="DC417" s="724"/>
      <c r="DD417" s="724"/>
    </row>
    <row r="418" s="656" customFormat="1" ht="31" customHeight="1" spans="1:108">
      <c r="A418" s="806">
        <v>46163</v>
      </c>
      <c r="B418" s="807" t="s">
        <v>499</v>
      </c>
      <c r="C418" s="808" t="s">
        <v>115</v>
      </c>
      <c r="D418" s="656" t="s">
        <v>5278</v>
      </c>
      <c r="E418" s="808" t="s">
        <v>5279</v>
      </c>
      <c r="F418" s="656" t="s">
        <v>5280</v>
      </c>
      <c r="G418" s="809" t="s">
        <v>4414</v>
      </c>
      <c r="H418" s="808" t="s">
        <v>3978</v>
      </c>
      <c r="I418" s="810">
        <v>4608</v>
      </c>
      <c r="J418" s="808">
        <v>0</v>
      </c>
      <c r="K418" s="808">
        <v>512</v>
      </c>
      <c r="L418" s="808">
        <f t="shared" si="84"/>
        <v>9</v>
      </c>
      <c r="M418" s="811">
        <v>46224</v>
      </c>
      <c r="N418" s="811">
        <v>46220</v>
      </c>
      <c r="O418" s="807" t="s">
        <v>5281</v>
      </c>
      <c r="P418" s="717" t="s">
        <v>106</v>
      </c>
      <c r="Q418" s="810"/>
      <c r="R418" s="723" t="s">
        <v>4201</v>
      </c>
      <c r="S418" s="720" t="s">
        <v>95</v>
      </c>
      <c r="T418" s="720" t="s">
        <v>4944</v>
      </c>
      <c r="U418" s="720"/>
      <c r="V418" s="813" t="s">
        <v>4706</v>
      </c>
      <c r="W418" s="813"/>
      <c r="X418" s="813" t="s">
        <v>5282</v>
      </c>
      <c r="Y418" s="811" t="s">
        <v>503</v>
      </c>
      <c r="Z418" s="814">
        <v>1434.8222</v>
      </c>
      <c r="AA418" s="656">
        <f>I418*Z418</f>
        <v>6611660.6976</v>
      </c>
      <c r="AB418" s="843" t="s">
        <v>5283</v>
      </c>
      <c r="AC418" s="652" t="s">
        <v>4194</v>
      </c>
      <c r="AD418" s="771" t="s">
        <v>112</v>
      </c>
      <c r="AE418" s="808">
        <f t="shared" si="85"/>
        <v>4608</v>
      </c>
      <c r="AF418" s="808" t="s">
        <v>5125</v>
      </c>
      <c r="AG418" s="808" t="s">
        <v>120</v>
      </c>
      <c r="AH418" s="715" t="e">
        <f t="shared" si="87"/>
        <v>#VALUE!</v>
      </c>
      <c r="AI418" s="810" t="s">
        <v>120</v>
      </c>
      <c r="AJ418" s="715" t="s">
        <v>3981</v>
      </c>
      <c r="AK418" s="774">
        <f>I418</f>
        <v>4608</v>
      </c>
      <c r="AL418" s="774"/>
      <c r="AM418" s="774"/>
      <c r="AN418" s="774">
        <f t="shared" si="86"/>
        <v>4608</v>
      </c>
      <c r="AP418" s="774"/>
      <c r="AQ418" s="652"/>
      <c r="AR418" s="652"/>
      <c r="AS418" s="652"/>
      <c r="AT418" s="656">
        <f>I418/8</f>
        <v>576</v>
      </c>
      <c r="BI418" s="774"/>
      <c r="BJ418" s="817"/>
      <c r="BK418" s="817"/>
      <c r="BL418" s="817"/>
      <c r="BM418" s="817"/>
      <c r="BN418" s="817"/>
      <c r="BO418" s="817"/>
      <c r="BP418" s="817"/>
      <c r="BQ418" s="817"/>
      <c r="BR418" s="817"/>
      <c r="BS418" s="817"/>
      <c r="BT418" s="817"/>
      <c r="BU418" s="817"/>
      <c r="BV418" s="817"/>
      <c r="BW418" s="817"/>
      <c r="BX418" s="817"/>
      <c r="BY418" s="817"/>
      <c r="BZ418" s="817"/>
      <c r="CA418" s="817"/>
      <c r="CB418" s="817"/>
      <c r="CC418" s="817"/>
      <c r="CD418" s="817"/>
      <c r="CE418" s="817"/>
      <c r="CF418" s="817"/>
      <c r="CG418" s="817"/>
      <c r="CH418" s="817"/>
      <c r="CI418" s="817"/>
      <c r="CJ418" s="817"/>
      <c r="CK418" s="817"/>
      <c r="CL418" s="817"/>
      <c r="CM418" s="817"/>
      <c r="CN418" s="817"/>
      <c r="CO418" s="817"/>
      <c r="CP418" s="817"/>
      <c r="CQ418" s="817"/>
      <c r="CR418" s="817"/>
    </row>
    <row r="419" s="650" customFormat="1" ht="31" customHeight="1" spans="1:108">
      <c r="A419" s="713">
        <v>46142</v>
      </c>
      <c r="B419" s="714" t="s">
        <v>378</v>
      </c>
      <c r="C419" s="715" t="s">
        <v>201</v>
      </c>
      <c r="D419" s="652" t="s">
        <v>5284</v>
      </c>
      <c r="E419" s="715">
        <v>2551020365</v>
      </c>
      <c r="F419" s="652" t="s">
        <v>2046</v>
      </c>
      <c r="G419" s="716" t="s">
        <v>5285</v>
      </c>
      <c r="H419" s="715" t="s">
        <v>2048</v>
      </c>
      <c r="I419" s="717">
        <v>16944</v>
      </c>
      <c r="J419" s="715">
        <v>0</v>
      </c>
      <c r="K419" s="715">
        <v>48</v>
      </c>
      <c r="L419" s="715">
        <f t="shared" si="84"/>
        <v>353</v>
      </c>
      <c r="M419" s="738">
        <v>46224</v>
      </c>
      <c r="N419" s="738">
        <f>M419-4</f>
        <v>46220</v>
      </c>
      <c r="O419" s="714"/>
      <c r="P419" s="717" t="s">
        <v>106</v>
      </c>
      <c r="Q419" s="717"/>
      <c r="R419" s="723">
        <v>46171</v>
      </c>
      <c r="S419" s="720" t="s">
        <v>107</v>
      </c>
      <c r="T419" s="720" t="s">
        <v>3320</v>
      </c>
      <c r="U419" s="720"/>
      <c r="V419" s="720" t="s">
        <v>4056</v>
      </c>
      <c r="W419" s="720"/>
      <c r="X419" s="720" t="s">
        <v>5286</v>
      </c>
      <c r="Y419" s="719" t="s">
        <v>384</v>
      </c>
      <c r="Z419" s="730">
        <v>326.2176</v>
      </c>
      <c r="AA419" s="652">
        <f>Z419*L419</f>
        <v>115154.8128</v>
      </c>
      <c r="AB419" s="721"/>
      <c r="AC419" s="722" t="s">
        <v>2052</v>
      </c>
      <c r="AD419" s="715" t="s">
        <v>112</v>
      </c>
      <c r="AE419" s="715">
        <f t="shared" si="85"/>
        <v>16944</v>
      </c>
      <c r="AF419" s="715"/>
      <c r="AG419" s="715"/>
      <c r="AH419" s="715">
        <f t="shared" si="87"/>
        <v>-16944</v>
      </c>
      <c r="AI419" s="717"/>
      <c r="AJ419" s="715" t="s">
        <v>3981</v>
      </c>
      <c r="AK419" s="652"/>
      <c r="AL419" s="652">
        <f>I419</f>
        <v>16944</v>
      </c>
      <c r="AM419" s="652"/>
      <c r="AN419" s="652">
        <f t="shared" si="86"/>
        <v>16944</v>
      </c>
      <c r="AO419" s="652"/>
      <c r="AP419" s="652"/>
      <c r="AQ419" s="652"/>
      <c r="AR419" s="652"/>
      <c r="AS419" s="652"/>
      <c r="AT419" s="652"/>
      <c r="AU419" s="652">
        <f>I419/8</f>
        <v>2118</v>
      </c>
      <c r="AV419" s="652"/>
      <c r="AW419" s="652"/>
      <c r="AX419" s="652"/>
      <c r="AY419" s="652"/>
      <c r="AZ419" s="652"/>
      <c r="BA419" s="652"/>
      <c r="BB419" s="652"/>
      <c r="BC419" s="652"/>
      <c r="BD419" s="652"/>
      <c r="BE419" s="652">
        <f>I419/48</f>
        <v>353</v>
      </c>
      <c r="BF419" s="652"/>
      <c r="BG419" s="652"/>
      <c r="BH419" s="652"/>
      <c r="BI419" s="652"/>
    </row>
    <row r="420" s="654" customFormat="1" ht="31" customHeight="1" spans="1:108">
      <c r="A420" s="713">
        <v>46177</v>
      </c>
      <c r="B420" s="714" t="s">
        <v>2437</v>
      </c>
      <c r="C420" s="715" t="s">
        <v>1388</v>
      </c>
      <c r="D420" s="652">
        <v>4500210679</v>
      </c>
      <c r="E420" s="715" t="s">
        <v>2438</v>
      </c>
      <c r="F420" s="652" t="s">
        <v>5287</v>
      </c>
      <c r="G420" s="716" t="s">
        <v>3973</v>
      </c>
      <c r="H420" s="715" t="s">
        <v>3995</v>
      </c>
      <c r="I420" s="717">
        <v>960</v>
      </c>
      <c r="J420" s="715">
        <v>0</v>
      </c>
      <c r="K420" s="715">
        <v>16</v>
      </c>
      <c r="L420" s="715">
        <f t="shared" si="84"/>
        <v>60</v>
      </c>
      <c r="M420" s="719">
        <v>46224</v>
      </c>
      <c r="N420" s="719">
        <v>46220</v>
      </c>
      <c r="O420" s="714"/>
      <c r="P420" s="717" t="s">
        <v>106</v>
      </c>
      <c r="Q420" s="717"/>
      <c r="R420" s="723">
        <v>46198</v>
      </c>
      <c r="S420" s="720" t="s">
        <v>107</v>
      </c>
      <c r="T420" s="720" t="s">
        <v>2440</v>
      </c>
      <c r="U420" s="720"/>
      <c r="V420" s="720"/>
      <c r="W420" s="720"/>
      <c r="X420" s="720" t="s">
        <v>2441</v>
      </c>
      <c r="Y420" s="719" t="s">
        <v>1252</v>
      </c>
      <c r="Z420" s="730">
        <v>4.8331</v>
      </c>
      <c r="AA420" s="652">
        <f>Z420*I420</f>
        <v>4639.776</v>
      </c>
      <c r="AB420" s="721"/>
      <c r="AC420" s="652" t="s">
        <v>4108</v>
      </c>
      <c r="AD420" s="715" t="s">
        <v>112</v>
      </c>
      <c r="AE420" s="715">
        <f t="shared" si="85"/>
        <v>960</v>
      </c>
      <c r="AF420" s="715" t="s">
        <v>4109</v>
      </c>
      <c r="AG420" s="715">
        <v>960</v>
      </c>
      <c r="AH420" s="715">
        <f t="shared" si="87"/>
        <v>0</v>
      </c>
      <c r="AI420" s="717"/>
      <c r="AJ420" s="715" t="s">
        <v>3981</v>
      </c>
      <c r="AK420" s="652"/>
      <c r="AL420" s="652">
        <f>I420</f>
        <v>960</v>
      </c>
      <c r="AM420" s="652"/>
      <c r="AN420" s="652">
        <f t="shared" si="86"/>
        <v>960</v>
      </c>
      <c r="AO420" s="652"/>
      <c r="AP420" s="652"/>
      <c r="AQ420" s="652"/>
      <c r="AR420" s="652"/>
      <c r="AS420" s="652"/>
      <c r="AT420" s="652"/>
      <c r="AU420" s="652">
        <f>I420/8</f>
        <v>120</v>
      </c>
      <c r="AV420" s="652"/>
      <c r="AW420" s="652"/>
      <c r="AX420" s="652"/>
      <c r="AY420" s="652"/>
      <c r="AZ420" s="652"/>
      <c r="BA420" s="652"/>
      <c r="BB420" s="652"/>
      <c r="BC420" s="652"/>
      <c r="BD420" s="652"/>
      <c r="BE420" s="652"/>
      <c r="BF420" s="652"/>
      <c r="BG420" s="652"/>
      <c r="BH420" s="652"/>
      <c r="BI420" s="652"/>
      <c r="BJ420" s="650"/>
      <c r="BK420" s="650"/>
      <c r="BL420" s="650"/>
      <c r="BM420" s="650"/>
      <c r="BN420" s="650"/>
      <c r="BO420" s="650"/>
      <c r="BP420" s="650"/>
      <c r="BQ420" s="650"/>
      <c r="BR420" s="650"/>
      <c r="BS420" s="650"/>
      <c r="BT420" s="650"/>
      <c r="BU420" s="650"/>
      <c r="BV420" s="650"/>
      <c r="BW420" s="650"/>
      <c r="BX420" s="650"/>
      <c r="BY420" s="650"/>
      <c r="BZ420" s="650"/>
      <c r="CA420" s="650"/>
      <c r="CB420" s="650"/>
      <c r="CC420" s="650"/>
      <c r="CD420" s="650"/>
      <c r="CE420" s="650"/>
      <c r="CF420" s="650"/>
      <c r="CG420" s="650"/>
      <c r="CH420" s="650"/>
      <c r="CI420" s="650"/>
      <c r="CJ420" s="650"/>
      <c r="CK420" s="650"/>
      <c r="CL420" s="650"/>
      <c r="CM420" s="650"/>
      <c r="CN420" s="650"/>
      <c r="CO420" s="650"/>
      <c r="CP420" s="650"/>
      <c r="CQ420" s="650"/>
      <c r="CR420" s="650"/>
    </row>
    <row r="421" s="650" customFormat="1" ht="31" customHeight="1" spans="1:108">
      <c r="A421" s="713">
        <v>46156</v>
      </c>
      <c r="B421" s="714" t="s">
        <v>935</v>
      </c>
      <c r="C421" s="715" t="s">
        <v>115</v>
      </c>
      <c r="D421" s="652" t="s">
        <v>5288</v>
      </c>
      <c r="E421" s="715" t="s">
        <v>5289</v>
      </c>
      <c r="F421" s="652" t="s">
        <v>2053</v>
      </c>
      <c r="G421" s="716" t="s">
        <v>4215</v>
      </c>
      <c r="H421" s="715" t="s">
        <v>483</v>
      </c>
      <c r="I421" s="717">
        <v>4320</v>
      </c>
      <c r="J421" s="715">
        <v>0</v>
      </c>
      <c r="K421" s="715">
        <v>120</v>
      </c>
      <c r="L421" s="715">
        <f t="shared" si="84"/>
        <v>36</v>
      </c>
      <c r="M421" s="738">
        <v>46224</v>
      </c>
      <c r="N421" s="802">
        <v>46231</v>
      </c>
      <c r="O421" s="714"/>
      <c r="P421" s="717" t="s">
        <v>106</v>
      </c>
      <c r="Q421" s="717"/>
      <c r="R421" s="723">
        <v>46155</v>
      </c>
      <c r="S421" s="720" t="s">
        <v>107</v>
      </c>
      <c r="T421" s="720" t="s">
        <v>95</v>
      </c>
      <c r="U421" s="720"/>
      <c r="V421" s="720"/>
      <c r="W421" s="720"/>
      <c r="X421" s="720" t="s">
        <v>937</v>
      </c>
      <c r="Y421" s="719" t="s">
        <v>488</v>
      </c>
      <c r="Z421" s="730">
        <v>642</v>
      </c>
      <c r="AA421" s="652">
        <f t="shared" ref="AA421:AA439" si="88">L421*Z421</f>
        <v>23112</v>
      </c>
      <c r="AB421" s="729" t="s">
        <v>5290</v>
      </c>
      <c r="AC421" s="722" t="s">
        <v>490</v>
      </c>
      <c r="AD421" s="715" t="s">
        <v>112</v>
      </c>
      <c r="AE421" s="715">
        <f t="shared" si="85"/>
        <v>4320</v>
      </c>
      <c r="AF421" s="715"/>
      <c r="AG421" s="715">
        <f>3570+750</f>
        <v>4320</v>
      </c>
      <c r="AH421" s="715">
        <f t="shared" si="87"/>
        <v>0</v>
      </c>
      <c r="AI421" s="717"/>
      <c r="AJ421" s="715" t="s">
        <v>3981</v>
      </c>
      <c r="AK421" s="652"/>
      <c r="AL421" s="652"/>
      <c r="AM421" s="652"/>
      <c r="AN421" s="652"/>
      <c r="AO421" s="652"/>
      <c r="AP421" s="652"/>
      <c r="AQ421" s="652">
        <f>I421</f>
        <v>4320</v>
      </c>
      <c r="AR421" s="652">
        <f>I421</f>
        <v>4320</v>
      </c>
      <c r="AS421" s="652">
        <f>I421/6</f>
        <v>720</v>
      </c>
      <c r="AT421" s="652"/>
      <c r="AU421" s="652"/>
      <c r="AV421" s="652"/>
      <c r="AW421" s="652"/>
      <c r="AX421" s="652"/>
      <c r="AY421" s="652"/>
      <c r="AZ421" s="652"/>
      <c r="BA421" s="652"/>
      <c r="BB421" s="652"/>
      <c r="BC421" s="652"/>
      <c r="BD421" s="652"/>
      <c r="BE421" s="652"/>
      <c r="BF421" s="652"/>
      <c r="BG421" s="652"/>
      <c r="BH421" s="652"/>
      <c r="BI421" s="652"/>
      <c r="CS421" s="651"/>
      <c r="CT421" s="651"/>
      <c r="CU421" s="651"/>
      <c r="CV421" s="651"/>
      <c r="CW421" s="651"/>
      <c r="CX421" s="651"/>
      <c r="CY421" s="651"/>
      <c r="CZ421" s="651"/>
      <c r="DA421" s="651"/>
      <c r="DB421" s="651"/>
      <c r="DC421" s="651"/>
      <c r="DD421" s="651"/>
    </row>
    <row r="422" s="650" customFormat="1" ht="31" customHeight="1" spans="1:108">
      <c r="A422" s="713">
        <v>46139</v>
      </c>
      <c r="B422" s="713" t="s">
        <v>5291</v>
      </c>
      <c r="C422" s="715" t="s">
        <v>201</v>
      </c>
      <c r="D422" s="652" t="s">
        <v>5292</v>
      </c>
      <c r="E422" s="715" t="s">
        <v>5293</v>
      </c>
      <c r="F422" s="652" t="s">
        <v>5294</v>
      </c>
      <c r="G422" s="716" t="s">
        <v>3968</v>
      </c>
      <c r="H422" s="715" t="s">
        <v>3969</v>
      </c>
      <c r="I422" s="717">
        <v>224</v>
      </c>
      <c r="J422" s="715">
        <v>0</v>
      </c>
      <c r="K422" s="715">
        <v>16</v>
      </c>
      <c r="L422" s="715">
        <f t="shared" si="84"/>
        <v>14</v>
      </c>
      <c r="M422" s="719">
        <v>46225</v>
      </c>
      <c r="N422" s="778">
        <v>46221</v>
      </c>
      <c r="O422" s="714"/>
      <c r="P422" s="717" t="s">
        <v>106</v>
      </c>
      <c r="Q422" s="717" t="s">
        <v>2254</v>
      </c>
      <c r="R422" s="723">
        <v>46139</v>
      </c>
      <c r="S422" s="720" t="s">
        <v>107</v>
      </c>
      <c r="T422" s="720" t="s">
        <v>5295</v>
      </c>
      <c r="U422" s="720"/>
      <c r="V422" s="720"/>
      <c r="W422" s="720"/>
      <c r="X422" s="720" t="s">
        <v>5296</v>
      </c>
      <c r="Y422" s="719" t="s">
        <v>557</v>
      </c>
      <c r="Z422" s="730">
        <v>4.4696</v>
      </c>
      <c r="AA422" s="652">
        <f t="shared" si="88"/>
        <v>62.5744</v>
      </c>
      <c r="AB422" s="721"/>
      <c r="AC422" s="652" t="s">
        <v>4426</v>
      </c>
      <c r="AD422" s="715" t="s">
        <v>112</v>
      </c>
      <c r="AE422" s="715">
        <f t="shared" si="85"/>
        <v>224</v>
      </c>
      <c r="AF422" s="715"/>
      <c r="AG422" s="715">
        <v>224</v>
      </c>
      <c r="AH422" s="715">
        <f t="shared" si="87"/>
        <v>0</v>
      </c>
      <c r="AI422" s="717"/>
      <c r="AJ422" s="715" t="s">
        <v>3981</v>
      </c>
      <c r="AK422" s="652"/>
      <c r="AL422" s="652">
        <f t="shared" ref="AL422:AL441" si="89">I422</f>
        <v>224</v>
      </c>
      <c r="AM422" s="652"/>
      <c r="AN422" s="652">
        <f t="shared" ref="AN422:AN466" si="90">I422</f>
        <v>224</v>
      </c>
      <c r="AO422" s="652"/>
      <c r="AP422" s="652"/>
      <c r="AQ422" s="652"/>
      <c r="AR422" s="652"/>
      <c r="AS422" s="652"/>
      <c r="AT422" s="652"/>
      <c r="AU422" s="652"/>
      <c r="AV422" s="652"/>
      <c r="AW422" s="652"/>
      <c r="AX422" s="652"/>
      <c r="AY422" s="652"/>
      <c r="AZ422" s="652"/>
      <c r="BA422" s="652"/>
      <c r="BB422" s="652"/>
      <c r="BC422" s="652"/>
      <c r="BD422" s="652"/>
      <c r="BE422" s="652"/>
      <c r="BF422" s="652"/>
      <c r="BG422" s="652"/>
      <c r="BH422" s="652"/>
      <c r="BI422" s="652"/>
      <c r="BJ422" s="650"/>
      <c r="BK422" s="650"/>
      <c r="BL422" s="650"/>
      <c r="BM422" s="650"/>
      <c r="BN422" s="650"/>
      <c r="BO422" s="650"/>
      <c r="BP422" s="650"/>
      <c r="BQ422" s="650"/>
      <c r="BR422" s="650"/>
      <c r="BS422" s="650"/>
      <c r="BT422" s="650"/>
      <c r="BU422" s="650"/>
      <c r="BV422" s="650"/>
      <c r="BW422" s="650"/>
      <c r="BX422" s="650"/>
      <c r="BY422" s="650"/>
      <c r="BZ422" s="650"/>
      <c r="CA422" s="650"/>
      <c r="CB422" s="650"/>
      <c r="CC422" s="650"/>
      <c r="CD422" s="650"/>
      <c r="CE422" s="650"/>
      <c r="CF422" s="650"/>
      <c r="CG422" s="650"/>
      <c r="CH422" s="650"/>
      <c r="CI422" s="650"/>
      <c r="CJ422" s="650"/>
      <c r="CK422" s="650"/>
      <c r="CL422" s="650"/>
      <c r="CM422" s="650"/>
      <c r="CN422" s="650"/>
      <c r="CO422" s="650"/>
      <c r="CP422" s="650"/>
      <c r="CQ422" s="650"/>
      <c r="CR422" s="650"/>
      <c r="CS422" s="651"/>
      <c r="CT422" s="651"/>
      <c r="CU422" s="651"/>
      <c r="CV422" s="651"/>
      <c r="CW422" s="651"/>
      <c r="CX422" s="651"/>
      <c r="CY422" s="651"/>
      <c r="CZ422" s="651"/>
      <c r="DA422" s="651"/>
      <c r="DB422" s="651"/>
      <c r="DC422" s="651"/>
      <c r="DD422" s="651"/>
    </row>
    <row r="423" s="650" customFormat="1" ht="31" customHeight="1" spans="1:108">
      <c r="A423" s="713">
        <v>46139</v>
      </c>
      <c r="B423" s="713" t="s">
        <v>5291</v>
      </c>
      <c r="C423" s="715" t="s">
        <v>201</v>
      </c>
      <c r="D423" s="652" t="s">
        <v>5292</v>
      </c>
      <c r="E423" s="715" t="s">
        <v>5297</v>
      </c>
      <c r="F423" s="652" t="s">
        <v>5298</v>
      </c>
      <c r="G423" s="716" t="s">
        <v>3968</v>
      </c>
      <c r="H423" s="715" t="s">
        <v>3969</v>
      </c>
      <c r="I423" s="717">
        <v>160</v>
      </c>
      <c r="J423" s="715">
        <v>0</v>
      </c>
      <c r="K423" s="715">
        <v>16</v>
      </c>
      <c r="L423" s="715">
        <f t="shared" si="84"/>
        <v>10</v>
      </c>
      <c r="M423" s="719">
        <v>46225</v>
      </c>
      <c r="N423" s="719">
        <v>46221</v>
      </c>
      <c r="O423" s="714"/>
      <c r="P423" s="717" t="s">
        <v>106</v>
      </c>
      <c r="Q423" s="717" t="s">
        <v>2254</v>
      </c>
      <c r="R423" s="723">
        <v>46139</v>
      </c>
      <c r="S423" s="720" t="s">
        <v>107</v>
      </c>
      <c r="T423" s="720" t="s">
        <v>5295</v>
      </c>
      <c r="U423" s="720"/>
      <c r="V423" s="720"/>
      <c r="W423" s="720"/>
      <c r="X423" s="720" t="s">
        <v>5296</v>
      </c>
      <c r="Y423" s="719" t="s">
        <v>557</v>
      </c>
      <c r="Z423" s="730">
        <v>4.4696</v>
      </c>
      <c r="AA423" s="652">
        <f t="shared" si="88"/>
        <v>44.696</v>
      </c>
      <c r="AB423" s="721"/>
      <c r="AC423" s="652" t="s">
        <v>4426</v>
      </c>
      <c r="AD423" s="715" t="s">
        <v>112</v>
      </c>
      <c r="AE423" s="715">
        <f t="shared" si="85"/>
        <v>160</v>
      </c>
      <c r="AF423" s="715"/>
      <c r="AG423" s="715">
        <v>160</v>
      </c>
      <c r="AH423" s="715">
        <f t="shared" si="87"/>
        <v>0</v>
      </c>
      <c r="AI423" s="717"/>
      <c r="AJ423" s="715" t="s">
        <v>3981</v>
      </c>
      <c r="AK423" s="652"/>
      <c r="AL423" s="652">
        <f t="shared" si="89"/>
        <v>160</v>
      </c>
      <c r="AM423" s="652"/>
      <c r="AN423" s="652">
        <f t="shared" si="90"/>
        <v>160</v>
      </c>
      <c r="AO423" s="652"/>
      <c r="AP423" s="652"/>
      <c r="AQ423" s="652"/>
      <c r="AR423" s="652"/>
      <c r="AS423" s="652"/>
      <c r="AT423" s="652"/>
      <c r="AU423" s="652"/>
      <c r="AV423" s="652"/>
      <c r="AW423" s="652"/>
      <c r="AX423" s="652"/>
      <c r="AY423" s="652"/>
      <c r="AZ423" s="652"/>
      <c r="BA423" s="652"/>
      <c r="BB423" s="652"/>
      <c r="BC423" s="652"/>
      <c r="BD423" s="652"/>
      <c r="BE423" s="652"/>
      <c r="BF423" s="652"/>
      <c r="BG423" s="652"/>
      <c r="BH423" s="652"/>
      <c r="BI423" s="652"/>
      <c r="BJ423" s="724"/>
      <c r="BK423" s="724"/>
      <c r="BL423" s="724"/>
      <c r="BM423" s="724"/>
      <c r="BN423" s="724"/>
      <c r="BO423" s="724"/>
      <c r="BP423" s="724"/>
      <c r="BQ423" s="724"/>
      <c r="BR423" s="724"/>
      <c r="BS423" s="724"/>
      <c r="BT423" s="724"/>
      <c r="BU423" s="724"/>
      <c r="BV423" s="724"/>
      <c r="BW423" s="724"/>
      <c r="BX423" s="724"/>
      <c r="BY423" s="724"/>
      <c r="BZ423" s="724"/>
      <c r="CA423" s="724"/>
      <c r="CB423" s="724"/>
      <c r="CC423" s="724"/>
      <c r="CD423" s="724"/>
      <c r="CE423" s="724"/>
      <c r="CF423" s="724"/>
      <c r="CG423" s="724"/>
      <c r="CH423" s="724"/>
      <c r="CI423" s="724"/>
      <c r="CJ423" s="724"/>
      <c r="CK423" s="724"/>
      <c r="CL423" s="724"/>
      <c r="CM423" s="724"/>
      <c r="CN423" s="724"/>
      <c r="CO423" s="724"/>
      <c r="CP423" s="724"/>
      <c r="CQ423" s="724"/>
      <c r="CR423" s="724"/>
    </row>
    <row r="424" s="651" customFormat="1" ht="31" customHeight="1" spans="1:108">
      <c r="A424" s="713">
        <v>46139</v>
      </c>
      <c r="B424" s="713" t="s">
        <v>5291</v>
      </c>
      <c r="C424" s="715" t="s">
        <v>201</v>
      </c>
      <c r="D424" s="652" t="s">
        <v>5292</v>
      </c>
      <c r="E424" s="715" t="s">
        <v>5299</v>
      </c>
      <c r="F424" s="652" t="s">
        <v>5300</v>
      </c>
      <c r="G424" s="716" t="s">
        <v>3968</v>
      </c>
      <c r="H424" s="715" t="s">
        <v>3969</v>
      </c>
      <c r="I424" s="717">
        <v>192</v>
      </c>
      <c r="J424" s="715">
        <v>0</v>
      </c>
      <c r="K424" s="715">
        <v>16</v>
      </c>
      <c r="L424" s="715">
        <f t="shared" si="84"/>
        <v>12</v>
      </c>
      <c r="M424" s="719">
        <v>46225</v>
      </c>
      <c r="N424" s="719">
        <v>46221</v>
      </c>
      <c r="O424" s="714"/>
      <c r="P424" s="717" t="s">
        <v>106</v>
      </c>
      <c r="Q424" s="717" t="s">
        <v>2254</v>
      </c>
      <c r="R424" s="723">
        <v>46139</v>
      </c>
      <c r="S424" s="720" t="s">
        <v>107</v>
      </c>
      <c r="T424" s="720" t="s">
        <v>5295</v>
      </c>
      <c r="U424" s="720"/>
      <c r="V424" s="720"/>
      <c r="W424" s="720"/>
      <c r="X424" s="720" t="s">
        <v>5296</v>
      </c>
      <c r="Y424" s="719" t="s">
        <v>557</v>
      </c>
      <c r="Z424" s="730">
        <v>4.4696</v>
      </c>
      <c r="AA424" s="652">
        <f t="shared" si="88"/>
        <v>53.6352</v>
      </c>
      <c r="AB424" s="721"/>
      <c r="AC424" s="652" t="s">
        <v>4426</v>
      </c>
      <c r="AD424" s="715" t="s">
        <v>112</v>
      </c>
      <c r="AE424" s="715">
        <f t="shared" si="85"/>
        <v>192</v>
      </c>
      <c r="AF424" s="715"/>
      <c r="AG424" s="715">
        <v>192</v>
      </c>
      <c r="AH424" s="715">
        <f t="shared" si="87"/>
        <v>0</v>
      </c>
      <c r="AI424" s="717"/>
      <c r="AJ424" s="715" t="s">
        <v>3981</v>
      </c>
      <c r="AK424" s="652"/>
      <c r="AL424" s="652">
        <f t="shared" si="89"/>
        <v>192</v>
      </c>
      <c r="AM424" s="652"/>
      <c r="AN424" s="652">
        <f t="shared" si="90"/>
        <v>192</v>
      </c>
      <c r="AO424" s="652"/>
      <c r="AP424" s="652"/>
      <c r="AQ424" s="652"/>
      <c r="AR424" s="652"/>
      <c r="AS424" s="652"/>
      <c r="AT424" s="652"/>
      <c r="AU424" s="652"/>
      <c r="AV424" s="652"/>
      <c r="AW424" s="652"/>
      <c r="AX424" s="652"/>
      <c r="AY424" s="652"/>
      <c r="AZ424" s="652"/>
      <c r="BA424" s="652"/>
      <c r="BB424" s="652"/>
      <c r="BC424" s="652"/>
      <c r="BD424" s="652"/>
      <c r="BE424" s="652"/>
      <c r="BF424" s="652"/>
      <c r="BG424" s="652"/>
      <c r="BH424" s="652"/>
      <c r="BI424" s="652"/>
      <c r="BJ424" s="650"/>
      <c r="BK424" s="650"/>
      <c r="BL424" s="650"/>
      <c r="BM424" s="650"/>
      <c r="BN424" s="650"/>
      <c r="BO424" s="650"/>
      <c r="BP424" s="650"/>
      <c r="BQ424" s="650"/>
      <c r="BR424" s="650"/>
      <c r="BS424" s="650"/>
      <c r="BT424" s="650"/>
      <c r="BU424" s="650"/>
      <c r="BV424" s="650"/>
      <c r="BW424" s="650"/>
      <c r="BX424" s="650"/>
      <c r="BY424" s="650"/>
      <c r="BZ424" s="650"/>
      <c r="CA424" s="650"/>
      <c r="CB424" s="650"/>
      <c r="CC424" s="650"/>
      <c r="CD424" s="650"/>
      <c r="CE424" s="650"/>
      <c r="CF424" s="650"/>
      <c r="CG424" s="650"/>
      <c r="CH424" s="650"/>
      <c r="CI424" s="650"/>
      <c r="CJ424" s="650"/>
      <c r="CK424" s="650"/>
      <c r="CL424" s="650"/>
      <c r="CM424" s="650"/>
      <c r="CN424" s="650"/>
      <c r="CO424" s="650"/>
      <c r="CP424" s="650"/>
      <c r="CQ424" s="650"/>
      <c r="CR424" s="650"/>
      <c r="CS424" s="650"/>
      <c r="CT424" s="650"/>
      <c r="CU424" s="650"/>
      <c r="CV424" s="650"/>
      <c r="CW424" s="650"/>
      <c r="CX424" s="650"/>
      <c r="CY424" s="650"/>
      <c r="CZ424" s="650"/>
      <c r="DA424" s="650"/>
      <c r="DB424" s="650"/>
      <c r="DC424" s="650"/>
      <c r="DD424" s="650"/>
    </row>
    <row r="425" s="650" customFormat="1" ht="31" customHeight="1" spans="1:108">
      <c r="A425" s="713">
        <v>46139</v>
      </c>
      <c r="B425" s="713" t="s">
        <v>5291</v>
      </c>
      <c r="C425" s="715" t="s">
        <v>201</v>
      </c>
      <c r="D425" s="652" t="s">
        <v>5292</v>
      </c>
      <c r="E425" s="715" t="s">
        <v>5301</v>
      </c>
      <c r="F425" s="652" t="s">
        <v>5302</v>
      </c>
      <c r="G425" s="716" t="s">
        <v>3968</v>
      </c>
      <c r="H425" s="715" t="s">
        <v>3969</v>
      </c>
      <c r="I425" s="717">
        <v>240</v>
      </c>
      <c r="J425" s="715">
        <v>0</v>
      </c>
      <c r="K425" s="715">
        <v>16</v>
      </c>
      <c r="L425" s="715">
        <f t="shared" si="84"/>
        <v>15</v>
      </c>
      <c r="M425" s="719">
        <v>46225</v>
      </c>
      <c r="N425" s="719">
        <v>46221</v>
      </c>
      <c r="O425" s="714"/>
      <c r="P425" s="717" t="s">
        <v>106</v>
      </c>
      <c r="Q425" s="717" t="s">
        <v>2254</v>
      </c>
      <c r="R425" s="723">
        <v>46139</v>
      </c>
      <c r="S425" s="720" t="s">
        <v>107</v>
      </c>
      <c r="T425" s="720" t="s">
        <v>5295</v>
      </c>
      <c r="U425" s="720"/>
      <c r="V425" s="720"/>
      <c r="W425" s="720"/>
      <c r="X425" s="720" t="s">
        <v>5296</v>
      </c>
      <c r="Y425" s="719" t="s">
        <v>557</v>
      </c>
      <c r="Z425" s="730">
        <v>4.4696</v>
      </c>
      <c r="AA425" s="652">
        <f t="shared" si="88"/>
        <v>67.044</v>
      </c>
      <c r="AB425" s="721"/>
      <c r="AC425" s="652" t="s">
        <v>4426</v>
      </c>
      <c r="AD425" s="715" t="s">
        <v>112</v>
      </c>
      <c r="AE425" s="715">
        <f t="shared" si="85"/>
        <v>240</v>
      </c>
      <c r="AF425" s="715"/>
      <c r="AG425" s="715">
        <v>240</v>
      </c>
      <c r="AH425" s="715">
        <f t="shared" si="87"/>
        <v>0</v>
      </c>
      <c r="AI425" s="717"/>
      <c r="AJ425" s="715" t="s">
        <v>3981</v>
      </c>
      <c r="AK425" s="652"/>
      <c r="AL425" s="652">
        <f t="shared" si="89"/>
        <v>240</v>
      </c>
      <c r="AM425" s="652"/>
      <c r="AN425" s="652">
        <f t="shared" si="90"/>
        <v>240</v>
      </c>
      <c r="AO425" s="652"/>
      <c r="AP425" s="652"/>
      <c r="AQ425" s="652"/>
      <c r="AR425" s="652"/>
      <c r="AS425" s="652"/>
      <c r="AT425" s="652"/>
      <c r="AU425" s="652"/>
      <c r="AV425" s="652"/>
      <c r="AW425" s="652"/>
      <c r="AX425" s="652"/>
      <c r="AY425" s="652"/>
      <c r="AZ425" s="652"/>
      <c r="BA425" s="652"/>
      <c r="BB425" s="652"/>
      <c r="BC425" s="652"/>
      <c r="BD425" s="652"/>
      <c r="BE425" s="652"/>
      <c r="BF425" s="652"/>
      <c r="BG425" s="652"/>
      <c r="BH425" s="652"/>
      <c r="BI425" s="652"/>
    </row>
    <row r="426" s="650" customFormat="1" ht="31" customHeight="1" spans="1:108">
      <c r="A426" s="713">
        <v>46139</v>
      </c>
      <c r="B426" s="713" t="s">
        <v>5291</v>
      </c>
      <c r="C426" s="715" t="s">
        <v>201</v>
      </c>
      <c r="D426" s="652" t="s">
        <v>5292</v>
      </c>
      <c r="E426" s="715" t="s">
        <v>5303</v>
      </c>
      <c r="F426" s="652" t="s">
        <v>5304</v>
      </c>
      <c r="G426" s="716" t="s">
        <v>3968</v>
      </c>
      <c r="H426" s="715" t="s">
        <v>3969</v>
      </c>
      <c r="I426" s="717">
        <v>176</v>
      </c>
      <c r="J426" s="715">
        <v>0</v>
      </c>
      <c r="K426" s="715">
        <v>16</v>
      </c>
      <c r="L426" s="715">
        <f t="shared" si="84"/>
        <v>11</v>
      </c>
      <c r="M426" s="719">
        <v>46225</v>
      </c>
      <c r="N426" s="719">
        <v>46221</v>
      </c>
      <c r="O426" s="714"/>
      <c r="P426" s="717" t="s">
        <v>106</v>
      </c>
      <c r="Q426" s="717" t="s">
        <v>2254</v>
      </c>
      <c r="R426" s="723">
        <v>46139</v>
      </c>
      <c r="S426" s="720" t="s">
        <v>107</v>
      </c>
      <c r="T426" s="720" t="s">
        <v>5295</v>
      </c>
      <c r="U426" s="720"/>
      <c r="V426" s="720"/>
      <c r="W426" s="720"/>
      <c r="X426" s="720" t="s">
        <v>5296</v>
      </c>
      <c r="Y426" s="719" t="s">
        <v>557</v>
      </c>
      <c r="Z426" s="730">
        <v>4.4696</v>
      </c>
      <c r="AA426" s="652">
        <f t="shared" si="88"/>
        <v>49.1656</v>
      </c>
      <c r="AB426" s="721"/>
      <c r="AC426" s="652" t="s">
        <v>4426</v>
      </c>
      <c r="AD426" s="715" t="s">
        <v>112</v>
      </c>
      <c r="AE426" s="715">
        <f t="shared" si="85"/>
        <v>176</v>
      </c>
      <c r="AF426" s="715"/>
      <c r="AG426" s="715">
        <v>176</v>
      </c>
      <c r="AH426" s="715">
        <f t="shared" si="87"/>
        <v>0</v>
      </c>
      <c r="AI426" s="717"/>
      <c r="AJ426" s="715" t="s">
        <v>3981</v>
      </c>
      <c r="AK426" s="652"/>
      <c r="AL426" s="652">
        <f t="shared" si="89"/>
        <v>176</v>
      </c>
      <c r="AM426" s="652"/>
      <c r="AN426" s="652">
        <f t="shared" si="90"/>
        <v>176</v>
      </c>
      <c r="AO426" s="652"/>
      <c r="AP426" s="652"/>
      <c r="AQ426" s="652"/>
      <c r="AR426" s="652"/>
      <c r="AS426" s="652"/>
      <c r="AT426" s="652"/>
      <c r="AU426" s="652"/>
      <c r="AV426" s="652"/>
      <c r="AW426" s="652"/>
      <c r="AX426" s="652"/>
      <c r="AY426" s="652"/>
      <c r="AZ426" s="652"/>
      <c r="BA426" s="652"/>
      <c r="BB426" s="652"/>
      <c r="BC426" s="652"/>
      <c r="BD426" s="652"/>
      <c r="BE426" s="652"/>
      <c r="BF426" s="652"/>
      <c r="BG426" s="652"/>
      <c r="BH426" s="652"/>
      <c r="BI426" s="652"/>
    </row>
    <row r="427" s="650" customFormat="1" ht="31" customHeight="1" spans="1:108">
      <c r="A427" s="713">
        <v>46139</v>
      </c>
      <c r="B427" s="713" t="s">
        <v>5291</v>
      </c>
      <c r="C427" s="715" t="s">
        <v>201</v>
      </c>
      <c r="D427" s="652" t="s">
        <v>5292</v>
      </c>
      <c r="E427" s="715" t="s">
        <v>5305</v>
      </c>
      <c r="F427" s="652" t="s">
        <v>5306</v>
      </c>
      <c r="G427" s="716" t="s">
        <v>3968</v>
      </c>
      <c r="H427" s="715" t="s">
        <v>3969</v>
      </c>
      <c r="I427" s="717">
        <v>544</v>
      </c>
      <c r="J427" s="715">
        <v>0</v>
      </c>
      <c r="K427" s="715">
        <v>16</v>
      </c>
      <c r="L427" s="715">
        <f t="shared" si="84"/>
        <v>34</v>
      </c>
      <c r="M427" s="719">
        <v>46225</v>
      </c>
      <c r="N427" s="719">
        <v>46221</v>
      </c>
      <c r="O427" s="714"/>
      <c r="P427" s="717" t="s">
        <v>106</v>
      </c>
      <c r="Q427" s="717" t="s">
        <v>2254</v>
      </c>
      <c r="R427" s="723">
        <v>46139</v>
      </c>
      <c r="S427" s="720" t="s">
        <v>107</v>
      </c>
      <c r="T427" s="720" t="s">
        <v>5295</v>
      </c>
      <c r="U427" s="720"/>
      <c r="V427" s="720"/>
      <c r="W427" s="720"/>
      <c r="X427" s="720" t="s">
        <v>5296</v>
      </c>
      <c r="Y427" s="719" t="s">
        <v>557</v>
      </c>
      <c r="Z427" s="730">
        <v>4.4696</v>
      </c>
      <c r="AA427" s="652">
        <f t="shared" si="88"/>
        <v>151.9664</v>
      </c>
      <c r="AB427" s="721"/>
      <c r="AC427" s="652" t="s">
        <v>4426</v>
      </c>
      <c r="AD427" s="715" t="s">
        <v>112</v>
      </c>
      <c r="AE427" s="715">
        <f t="shared" si="85"/>
        <v>544</v>
      </c>
      <c r="AF427" s="715"/>
      <c r="AG427" s="715">
        <v>544</v>
      </c>
      <c r="AH427" s="715">
        <f t="shared" si="87"/>
        <v>0</v>
      </c>
      <c r="AI427" s="717"/>
      <c r="AJ427" s="715" t="s">
        <v>3981</v>
      </c>
      <c r="AK427" s="652"/>
      <c r="AL427" s="652">
        <f t="shared" si="89"/>
        <v>544</v>
      </c>
      <c r="AM427" s="652"/>
      <c r="AN427" s="652">
        <f t="shared" si="90"/>
        <v>544</v>
      </c>
      <c r="AO427" s="652"/>
      <c r="AP427" s="652"/>
      <c r="AQ427" s="652"/>
      <c r="AR427" s="652"/>
      <c r="AS427" s="652"/>
      <c r="AT427" s="652"/>
      <c r="AU427" s="652"/>
      <c r="AV427" s="652"/>
      <c r="AW427" s="652"/>
      <c r="AX427" s="652"/>
      <c r="AY427" s="652"/>
      <c r="AZ427" s="652"/>
      <c r="BA427" s="652"/>
      <c r="BB427" s="652"/>
      <c r="BC427" s="652"/>
      <c r="BD427" s="652"/>
      <c r="BE427" s="652"/>
      <c r="BF427" s="652"/>
      <c r="BG427" s="652"/>
      <c r="BH427" s="652"/>
      <c r="BI427" s="652"/>
      <c r="CS427" s="654"/>
      <c r="CT427" s="654"/>
      <c r="CU427" s="654"/>
      <c r="CV427" s="654"/>
      <c r="CW427" s="654"/>
      <c r="CX427" s="654"/>
      <c r="CY427" s="654"/>
      <c r="CZ427" s="654"/>
      <c r="DA427" s="654"/>
      <c r="DB427" s="654"/>
      <c r="DC427" s="654"/>
      <c r="DD427" s="654"/>
    </row>
    <row r="428" s="654" customFormat="1" ht="31" customHeight="1" spans="1:108">
      <c r="A428" s="713">
        <v>46139</v>
      </c>
      <c r="B428" s="713" t="s">
        <v>5291</v>
      </c>
      <c r="C428" s="715" t="s">
        <v>201</v>
      </c>
      <c r="D428" s="652" t="s">
        <v>5292</v>
      </c>
      <c r="E428" s="715" t="s">
        <v>5307</v>
      </c>
      <c r="F428" s="652" t="s">
        <v>5308</v>
      </c>
      <c r="G428" s="716" t="s">
        <v>3968</v>
      </c>
      <c r="H428" s="715" t="s">
        <v>3969</v>
      </c>
      <c r="I428" s="717">
        <v>128</v>
      </c>
      <c r="J428" s="715">
        <v>0</v>
      </c>
      <c r="K428" s="715">
        <v>16</v>
      </c>
      <c r="L428" s="715">
        <f t="shared" si="84"/>
        <v>8</v>
      </c>
      <c r="M428" s="719">
        <v>46225</v>
      </c>
      <c r="N428" s="719">
        <v>46221</v>
      </c>
      <c r="O428" s="714"/>
      <c r="P428" s="717" t="s">
        <v>106</v>
      </c>
      <c r="Q428" s="717" t="s">
        <v>2254</v>
      </c>
      <c r="R428" s="723">
        <v>46139</v>
      </c>
      <c r="S428" s="720" t="s">
        <v>107</v>
      </c>
      <c r="T428" s="720" t="s">
        <v>5295</v>
      </c>
      <c r="U428" s="720"/>
      <c r="V428" s="720"/>
      <c r="W428" s="720"/>
      <c r="X428" s="720" t="s">
        <v>5296</v>
      </c>
      <c r="Y428" s="719" t="s">
        <v>557</v>
      </c>
      <c r="Z428" s="730">
        <v>4.4696</v>
      </c>
      <c r="AA428" s="652">
        <f t="shared" si="88"/>
        <v>35.7568</v>
      </c>
      <c r="AB428" s="721"/>
      <c r="AC428" s="652" t="s">
        <v>4426</v>
      </c>
      <c r="AD428" s="715" t="s">
        <v>112</v>
      </c>
      <c r="AE428" s="715">
        <f t="shared" si="85"/>
        <v>128</v>
      </c>
      <c r="AF428" s="715"/>
      <c r="AG428" s="715">
        <v>128</v>
      </c>
      <c r="AH428" s="715">
        <f t="shared" si="87"/>
        <v>0</v>
      </c>
      <c r="AI428" s="717"/>
      <c r="AJ428" s="715" t="s">
        <v>3981</v>
      </c>
      <c r="AK428" s="652"/>
      <c r="AL428" s="652">
        <f t="shared" si="89"/>
        <v>128</v>
      </c>
      <c r="AM428" s="652"/>
      <c r="AN428" s="652">
        <f t="shared" si="90"/>
        <v>128</v>
      </c>
      <c r="AO428" s="652"/>
      <c r="AP428" s="652"/>
      <c r="AQ428" s="652"/>
      <c r="AR428" s="652"/>
      <c r="AS428" s="652"/>
      <c r="AT428" s="652"/>
      <c r="AU428" s="652"/>
      <c r="AV428" s="652"/>
      <c r="AW428" s="652"/>
      <c r="AX428" s="652"/>
      <c r="AY428" s="652"/>
      <c r="AZ428" s="652"/>
      <c r="BA428" s="652"/>
      <c r="BB428" s="652"/>
      <c r="BC428" s="652"/>
      <c r="BD428" s="652"/>
      <c r="BE428" s="652"/>
      <c r="BF428" s="652"/>
      <c r="BG428" s="652"/>
      <c r="BH428" s="652"/>
      <c r="BI428" s="652"/>
      <c r="BJ428" s="650"/>
      <c r="BK428" s="650"/>
      <c r="BL428" s="650"/>
      <c r="BM428" s="650"/>
      <c r="BN428" s="650"/>
      <c r="BO428" s="650"/>
      <c r="BP428" s="650"/>
      <c r="BQ428" s="650"/>
      <c r="BR428" s="650"/>
      <c r="BS428" s="650"/>
      <c r="BT428" s="650"/>
      <c r="BU428" s="650"/>
      <c r="BV428" s="650"/>
      <c r="BW428" s="650"/>
      <c r="BX428" s="650"/>
      <c r="BY428" s="650"/>
      <c r="BZ428" s="650"/>
      <c r="CA428" s="650"/>
      <c r="CB428" s="650"/>
      <c r="CC428" s="650"/>
      <c r="CD428" s="650"/>
      <c r="CE428" s="650"/>
      <c r="CF428" s="650"/>
      <c r="CG428" s="650"/>
      <c r="CH428" s="650"/>
      <c r="CI428" s="650"/>
      <c r="CJ428" s="650"/>
      <c r="CK428" s="650"/>
      <c r="CL428" s="650"/>
      <c r="CM428" s="650"/>
      <c r="CN428" s="650"/>
      <c r="CO428" s="650"/>
      <c r="CP428" s="650"/>
      <c r="CQ428" s="650"/>
      <c r="CR428" s="650"/>
      <c r="CS428" s="650"/>
      <c r="CT428" s="650"/>
      <c r="CU428" s="650"/>
      <c r="CV428" s="650"/>
      <c r="CW428" s="650"/>
      <c r="CX428" s="650"/>
      <c r="CY428" s="650"/>
      <c r="CZ428" s="650"/>
      <c r="DA428" s="650"/>
      <c r="DB428" s="650"/>
      <c r="DC428" s="650"/>
      <c r="DD428" s="650"/>
    </row>
    <row r="429" s="650" customFormat="1" ht="31" customHeight="1" spans="1:108">
      <c r="A429" s="713">
        <v>46139</v>
      </c>
      <c r="B429" s="713" t="s">
        <v>5291</v>
      </c>
      <c r="C429" s="715" t="s">
        <v>201</v>
      </c>
      <c r="D429" s="652" t="s">
        <v>5292</v>
      </c>
      <c r="E429" s="715" t="s">
        <v>5309</v>
      </c>
      <c r="F429" s="652" t="s">
        <v>5310</v>
      </c>
      <c r="G429" s="716" t="s">
        <v>3968</v>
      </c>
      <c r="H429" s="715" t="s">
        <v>3969</v>
      </c>
      <c r="I429" s="717">
        <v>832</v>
      </c>
      <c r="J429" s="715">
        <v>0</v>
      </c>
      <c r="K429" s="715">
        <v>16</v>
      </c>
      <c r="L429" s="715">
        <f t="shared" si="84"/>
        <v>52</v>
      </c>
      <c r="M429" s="719">
        <v>46225</v>
      </c>
      <c r="N429" s="719">
        <v>46221</v>
      </c>
      <c r="O429" s="714"/>
      <c r="P429" s="717" t="s">
        <v>106</v>
      </c>
      <c r="Q429" s="717" t="s">
        <v>2254</v>
      </c>
      <c r="R429" s="723">
        <v>46139</v>
      </c>
      <c r="S429" s="720" t="s">
        <v>107</v>
      </c>
      <c r="T429" s="720" t="s">
        <v>5295</v>
      </c>
      <c r="U429" s="720"/>
      <c r="V429" s="720"/>
      <c r="W429" s="720"/>
      <c r="X429" s="720" t="s">
        <v>5296</v>
      </c>
      <c r="Y429" s="719" t="s">
        <v>557</v>
      </c>
      <c r="Z429" s="730">
        <v>4.4696</v>
      </c>
      <c r="AA429" s="652">
        <f t="shared" si="88"/>
        <v>232.4192</v>
      </c>
      <c r="AB429" s="721"/>
      <c r="AC429" s="652" t="s">
        <v>4426</v>
      </c>
      <c r="AD429" s="715" t="s">
        <v>112</v>
      </c>
      <c r="AE429" s="715">
        <f t="shared" si="85"/>
        <v>832</v>
      </c>
      <c r="AF429" s="715"/>
      <c r="AG429" s="715">
        <v>832</v>
      </c>
      <c r="AH429" s="715">
        <f t="shared" si="87"/>
        <v>0</v>
      </c>
      <c r="AI429" s="717"/>
      <c r="AJ429" s="715" t="s">
        <v>3981</v>
      </c>
      <c r="AK429" s="652"/>
      <c r="AL429" s="652">
        <f t="shared" si="89"/>
        <v>832</v>
      </c>
      <c r="AM429" s="652"/>
      <c r="AN429" s="652">
        <f t="shared" si="90"/>
        <v>832</v>
      </c>
      <c r="AO429" s="652"/>
      <c r="AP429" s="652"/>
      <c r="AQ429" s="652"/>
      <c r="AR429" s="652"/>
      <c r="AS429" s="652"/>
      <c r="AT429" s="652"/>
      <c r="AU429" s="652"/>
      <c r="AV429" s="652"/>
      <c r="AW429" s="652"/>
      <c r="AX429" s="652"/>
      <c r="AY429" s="652"/>
      <c r="AZ429" s="652"/>
      <c r="BA429" s="652"/>
      <c r="BB429" s="652"/>
      <c r="BC429" s="652"/>
      <c r="BD429" s="652"/>
      <c r="BE429" s="652"/>
      <c r="BF429" s="652"/>
      <c r="BG429" s="652"/>
      <c r="BH429" s="652"/>
      <c r="BI429" s="652"/>
    </row>
    <row r="430" s="650" customFormat="1" ht="31" customHeight="1" spans="1:108">
      <c r="A430" s="713">
        <v>46139</v>
      </c>
      <c r="B430" s="713" t="s">
        <v>5291</v>
      </c>
      <c r="C430" s="715" t="s">
        <v>201</v>
      </c>
      <c r="D430" s="652" t="s">
        <v>5292</v>
      </c>
      <c r="E430" s="715" t="s">
        <v>5311</v>
      </c>
      <c r="F430" s="652" t="s">
        <v>5312</v>
      </c>
      <c r="G430" s="716" t="s">
        <v>3968</v>
      </c>
      <c r="H430" s="715" t="s">
        <v>3969</v>
      </c>
      <c r="I430" s="717">
        <v>320</v>
      </c>
      <c r="J430" s="715">
        <v>0</v>
      </c>
      <c r="K430" s="715">
        <v>16</v>
      </c>
      <c r="L430" s="715">
        <f t="shared" si="84"/>
        <v>20</v>
      </c>
      <c r="M430" s="719">
        <v>46225</v>
      </c>
      <c r="N430" s="719">
        <v>46221</v>
      </c>
      <c r="O430" s="714"/>
      <c r="P430" s="717" t="s">
        <v>106</v>
      </c>
      <c r="Q430" s="717" t="s">
        <v>2254</v>
      </c>
      <c r="R430" s="723">
        <v>46139</v>
      </c>
      <c r="S430" s="720" t="s">
        <v>107</v>
      </c>
      <c r="T430" s="720" t="s">
        <v>5295</v>
      </c>
      <c r="U430" s="720"/>
      <c r="V430" s="720"/>
      <c r="W430" s="720"/>
      <c r="X430" s="720" t="s">
        <v>5296</v>
      </c>
      <c r="Y430" s="719" t="s">
        <v>557</v>
      </c>
      <c r="Z430" s="730">
        <v>4.4696</v>
      </c>
      <c r="AA430" s="652">
        <f t="shared" si="88"/>
        <v>89.392</v>
      </c>
      <c r="AB430" s="721"/>
      <c r="AC430" s="652" t="s">
        <v>4426</v>
      </c>
      <c r="AD430" s="715" t="s">
        <v>112</v>
      </c>
      <c r="AE430" s="715">
        <f t="shared" si="85"/>
        <v>320</v>
      </c>
      <c r="AF430" s="715"/>
      <c r="AG430" s="715">
        <v>320</v>
      </c>
      <c r="AH430" s="715">
        <f t="shared" si="87"/>
        <v>0</v>
      </c>
      <c r="AI430" s="717"/>
      <c r="AJ430" s="715" t="s">
        <v>3981</v>
      </c>
      <c r="AK430" s="652"/>
      <c r="AL430" s="652">
        <f t="shared" si="89"/>
        <v>320</v>
      </c>
      <c r="AM430" s="652"/>
      <c r="AN430" s="652">
        <f t="shared" si="90"/>
        <v>320</v>
      </c>
      <c r="AO430" s="652"/>
      <c r="AP430" s="652"/>
      <c r="AQ430" s="652"/>
      <c r="AR430" s="652"/>
      <c r="AS430" s="652"/>
      <c r="AT430" s="652"/>
      <c r="AU430" s="652"/>
      <c r="AV430" s="652"/>
      <c r="AW430" s="652"/>
      <c r="AX430" s="652"/>
      <c r="AY430" s="652"/>
      <c r="AZ430" s="652"/>
      <c r="BA430" s="652"/>
      <c r="BB430" s="652"/>
      <c r="BC430" s="652"/>
      <c r="BD430" s="652"/>
      <c r="BE430" s="652"/>
      <c r="BF430" s="652"/>
      <c r="BG430" s="652"/>
      <c r="BH430" s="652"/>
      <c r="BI430" s="652"/>
    </row>
    <row r="431" s="650" customFormat="1" ht="31" customHeight="1" spans="1:108">
      <c r="A431" s="713">
        <v>46139</v>
      </c>
      <c r="B431" s="713" t="s">
        <v>5291</v>
      </c>
      <c r="C431" s="715" t="s">
        <v>201</v>
      </c>
      <c r="D431" s="652" t="s">
        <v>5292</v>
      </c>
      <c r="E431" s="715" t="s">
        <v>5313</v>
      </c>
      <c r="F431" s="652" t="s">
        <v>5314</v>
      </c>
      <c r="G431" s="716" t="s">
        <v>3968</v>
      </c>
      <c r="H431" s="715" t="s">
        <v>3969</v>
      </c>
      <c r="I431" s="717">
        <v>304</v>
      </c>
      <c r="J431" s="715">
        <v>0</v>
      </c>
      <c r="K431" s="715">
        <v>16</v>
      </c>
      <c r="L431" s="715">
        <f t="shared" si="84"/>
        <v>19</v>
      </c>
      <c r="M431" s="719">
        <v>46225</v>
      </c>
      <c r="N431" s="719">
        <v>46221</v>
      </c>
      <c r="O431" s="714"/>
      <c r="P431" s="717" t="s">
        <v>106</v>
      </c>
      <c r="Q431" s="717" t="s">
        <v>2254</v>
      </c>
      <c r="R431" s="723">
        <v>46139</v>
      </c>
      <c r="S431" s="720" t="s">
        <v>107</v>
      </c>
      <c r="T431" s="720" t="s">
        <v>5295</v>
      </c>
      <c r="U431" s="720"/>
      <c r="V431" s="720"/>
      <c r="W431" s="720"/>
      <c r="X431" s="720" t="s">
        <v>5296</v>
      </c>
      <c r="Y431" s="719" t="s">
        <v>557</v>
      </c>
      <c r="Z431" s="730">
        <v>4.4696</v>
      </c>
      <c r="AA431" s="652">
        <f t="shared" si="88"/>
        <v>84.9224</v>
      </c>
      <c r="AB431" s="721"/>
      <c r="AC431" s="652" t="s">
        <v>4426</v>
      </c>
      <c r="AD431" s="715" t="s">
        <v>112</v>
      </c>
      <c r="AE431" s="715">
        <f t="shared" si="85"/>
        <v>304</v>
      </c>
      <c r="AF431" s="715"/>
      <c r="AG431" s="715">
        <v>304</v>
      </c>
      <c r="AH431" s="715">
        <f t="shared" si="87"/>
        <v>0</v>
      </c>
      <c r="AI431" s="717"/>
      <c r="AJ431" s="715" t="s">
        <v>3981</v>
      </c>
      <c r="AK431" s="652"/>
      <c r="AL431" s="652">
        <f t="shared" si="89"/>
        <v>304</v>
      </c>
      <c r="AM431" s="652"/>
      <c r="AN431" s="652">
        <f t="shared" si="90"/>
        <v>304</v>
      </c>
      <c r="AO431" s="652"/>
      <c r="AP431" s="652"/>
      <c r="AQ431" s="652"/>
      <c r="AR431" s="652"/>
      <c r="AS431" s="652"/>
      <c r="AT431" s="652"/>
      <c r="AU431" s="652"/>
      <c r="AV431" s="652"/>
      <c r="AW431" s="652"/>
      <c r="AX431" s="652"/>
      <c r="AY431" s="652"/>
      <c r="AZ431" s="652"/>
      <c r="BA431" s="652"/>
      <c r="BB431" s="652"/>
      <c r="BC431" s="652"/>
      <c r="BD431" s="652"/>
      <c r="BE431" s="652"/>
      <c r="BF431" s="652"/>
      <c r="BG431" s="652"/>
      <c r="BH431" s="652"/>
      <c r="BI431" s="652"/>
    </row>
    <row r="432" s="650" customFormat="1" ht="31" customHeight="1" spans="1:108">
      <c r="A432" s="713">
        <v>46139</v>
      </c>
      <c r="B432" s="713" t="s">
        <v>5291</v>
      </c>
      <c r="C432" s="715" t="s">
        <v>201</v>
      </c>
      <c r="D432" s="652" t="s">
        <v>5292</v>
      </c>
      <c r="E432" s="715" t="s">
        <v>5315</v>
      </c>
      <c r="F432" s="652" t="s">
        <v>5316</v>
      </c>
      <c r="G432" s="716" t="s">
        <v>3968</v>
      </c>
      <c r="H432" s="715" t="s">
        <v>3969</v>
      </c>
      <c r="I432" s="717">
        <v>112</v>
      </c>
      <c r="J432" s="715">
        <v>0</v>
      </c>
      <c r="K432" s="715">
        <v>16</v>
      </c>
      <c r="L432" s="715">
        <f t="shared" si="84"/>
        <v>7</v>
      </c>
      <c r="M432" s="719">
        <v>46225</v>
      </c>
      <c r="N432" s="778">
        <v>46221</v>
      </c>
      <c r="O432" s="714"/>
      <c r="P432" s="717" t="s">
        <v>106</v>
      </c>
      <c r="Q432" s="717" t="s">
        <v>2254</v>
      </c>
      <c r="R432" s="723">
        <v>46139</v>
      </c>
      <c r="S432" s="720" t="s">
        <v>107</v>
      </c>
      <c r="T432" s="720" t="s">
        <v>5295</v>
      </c>
      <c r="U432" s="720"/>
      <c r="V432" s="720"/>
      <c r="W432" s="720"/>
      <c r="X432" s="720" t="s">
        <v>5296</v>
      </c>
      <c r="Y432" s="719" t="s">
        <v>557</v>
      </c>
      <c r="Z432" s="730">
        <v>4.4696</v>
      </c>
      <c r="AA432" s="652">
        <f t="shared" si="88"/>
        <v>31.2872</v>
      </c>
      <c r="AB432" s="721"/>
      <c r="AC432" s="652" t="s">
        <v>4426</v>
      </c>
      <c r="AD432" s="715" t="s">
        <v>112</v>
      </c>
      <c r="AE432" s="715">
        <f t="shared" si="85"/>
        <v>112</v>
      </c>
      <c r="AF432" s="715"/>
      <c r="AG432" s="715">
        <v>112</v>
      </c>
      <c r="AH432" s="715">
        <f t="shared" si="87"/>
        <v>0</v>
      </c>
      <c r="AI432" s="717"/>
      <c r="AJ432" s="715" t="s">
        <v>3981</v>
      </c>
      <c r="AK432" s="652"/>
      <c r="AL432" s="652">
        <f t="shared" si="89"/>
        <v>112</v>
      </c>
      <c r="AM432" s="652"/>
      <c r="AN432" s="652">
        <f t="shared" si="90"/>
        <v>112</v>
      </c>
      <c r="AO432" s="652"/>
      <c r="AP432" s="652"/>
      <c r="AQ432" s="652"/>
      <c r="AR432" s="652"/>
      <c r="AS432" s="652"/>
      <c r="AT432" s="652"/>
      <c r="AU432" s="652"/>
      <c r="AV432" s="652"/>
      <c r="AW432" s="652"/>
      <c r="AX432" s="652"/>
      <c r="AY432" s="652"/>
      <c r="AZ432" s="652"/>
      <c r="BA432" s="652"/>
      <c r="BB432" s="652"/>
      <c r="BC432" s="652"/>
      <c r="BD432" s="652"/>
      <c r="BE432" s="652"/>
      <c r="BF432" s="652"/>
      <c r="BG432" s="652"/>
      <c r="BH432" s="652"/>
      <c r="BI432" s="652"/>
    </row>
    <row r="433" s="650" customFormat="1" ht="31" customHeight="1" spans="1:108">
      <c r="A433" s="713">
        <v>46139</v>
      </c>
      <c r="B433" s="713" t="s">
        <v>5291</v>
      </c>
      <c r="C433" s="715" t="s">
        <v>201</v>
      </c>
      <c r="D433" s="652" t="s">
        <v>5292</v>
      </c>
      <c r="E433" s="715" t="s">
        <v>5317</v>
      </c>
      <c r="F433" s="652" t="s">
        <v>5318</v>
      </c>
      <c r="G433" s="716" t="s">
        <v>3968</v>
      </c>
      <c r="H433" s="715" t="s">
        <v>3969</v>
      </c>
      <c r="I433" s="717">
        <v>160</v>
      </c>
      <c r="J433" s="715">
        <v>0</v>
      </c>
      <c r="K433" s="715">
        <v>16</v>
      </c>
      <c r="L433" s="715">
        <f t="shared" si="84"/>
        <v>10</v>
      </c>
      <c r="M433" s="719">
        <v>46225</v>
      </c>
      <c r="N433" s="778">
        <v>46221</v>
      </c>
      <c r="O433" s="714"/>
      <c r="P433" s="717" t="s">
        <v>106</v>
      </c>
      <c r="Q433" s="717" t="s">
        <v>2254</v>
      </c>
      <c r="R433" s="723">
        <v>46139</v>
      </c>
      <c r="S433" s="720" t="s">
        <v>107</v>
      </c>
      <c r="T433" s="720" t="s">
        <v>5295</v>
      </c>
      <c r="U433" s="720"/>
      <c r="V433" s="720"/>
      <c r="W433" s="720"/>
      <c r="X433" s="720" t="s">
        <v>5296</v>
      </c>
      <c r="Y433" s="719" t="s">
        <v>557</v>
      </c>
      <c r="Z433" s="730">
        <v>4.4696</v>
      </c>
      <c r="AA433" s="652">
        <f t="shared" si="88"/>
        <v>44.696</v>
      </c>
      <c r="AB433" s="721"/>
      <c r="AC433" s="652" t="s">
        <v>4426</v>
      </c>
      <c r="AD433" s="715" t="s">
        <v>112</v>
      </c>
      <c r="AE433" s="715">
        <f t="shared" si="85"/>
        <v>160</v>
      </c>
      <c r="AF433" s="715"/>
      <c r="AG433" s="715">
        <v>160</v>
      </c>
      <c r="AH433" s="715">
        <f t="shared" si="87"/>
        <v>0</v>
      </c>
      <c r="AI433" s="717"/>
      <c r="AJ433" s="715" t="s">
        <v>3981</v>
      </c>
      <c r="AK433" s="652"/>
      <c r="AL433" s="652">
        <f t="shared" si="89"/>
        <v>160</v>
      </c>
      <c r="AM433" s="652"/>
      <c r="AN433" s="652">
        <f t="shared" si="90"/>
        <v>160</v>
      </c>
      <c r="AO433" s="652"/>
      <c r="AP433" s="652"/>
      <c r="AQ433" s="652"/>
      <c r="AR433" s="652"/>
      <c r="AS433" s="652"/>
      <c r="AT433" s="652"/>
      <c r="AU433" s="652"/>
      <c r="AV433" s="652"/>
      <c r="AW433" s="652"/>
      <c r="AX433" s="652"/>
      <c r="AY433" s="652"/>
      <c r="AZ433" s="652"/>
      <c r="BA433" s="652"/>
      <c r="BB433" s="652"/>
      <c r="BC433" s="652"/>
      <c r="BD433" s="652"/>
      <c r="BE433" s="652"/>
      <c r="BF433" s="652"/>
      <c r="BG433" s="652"/>
      <c r="BH433" s="652"/>
      <c r="BI433" s="652"/>
    </row>
    <row r="434" s="650" customFormat="1" ht="31" customHeight="1" spans="1:108">
      <c r="A434" s="713">
        <v>46139</v>
      </c>
      <c r="B434" s="713" t="s">
        <v>5291</v>
      </c>
      <c r="C434" s="715" t="s">
        <v>201</v>
      </c>
      <c r="D434" s="652" t="s">
        <v>5292</v>
      </c>
      <c r="E434" s="715" t="s">
        <v>5319</v>
      </c>
      <c r="F434" s="652" t="s">
        <v>5320</v>
      </c>
      <c r="G434" s="716" t="s">
        <v>3968</v>
      </c>
      <c r="H434" s="715" t="s">
        <v>3969</v>
      </c>
      <c r="I434" s="717">
        <v>208</v>
      </c>
      <c r="J434" s="715">
        <v>0</v>
      </c>
      <c r="K434" s="715">
        <v>16</v>
      </c>
      <c r="L434" s="715">
        <f t="shared" si="84"/>
        <v>13</v>
      </c>
      <c r="M434" s="719">
        <v>46225</v>
      </c>
      <c r="N434" s="778">
        <v>46221</v>
      </c>
      <c r="O434" s="714"/>
      <c r="P434" s="717" t="s">
        <v>106</v>
      </c>
      <c r="Q434" s="717" t="s">
        <v>2254</v>
      </c>
      <c r="R434" s="723">
        <v>46139</v>
      </c>
      <c r="S434" s="720" t="s">
        <v>107</v>
      </c>
      <c r="T434" s="720" t="s">
        <v>5295</v>
      </c>
      <c r="U434" s="720"/>
      <c r="V434" s="720"/>
      <c r="W434" s="720"/>
      <c r="X434" s="720" t="s">
        <v>5296</v>
      </c>
      <c r="Y434" s="719" t="s">
        <v>557</v>
      </c>
      <c r="Z434" s="730">
        <v>4.4696</v>
      </c>
      <c r="AA434" s="652">
        <f t="shared" si="88"/>
        <v>58.1048</v>
      </c>
      <c r="AB434" s="721"/>
      <c r="AC434" s="652" t="s">
        <v>4426</v>
      </c>
      <c r="AD434" s="715" t="s">
        <v>112</v>
      </c>
      <c r="AE434" s="715">
        <f t="shared" si="85"/>
        <v>208</v>
      </c>
      <c r="AF434" s="715"/>
      <c r="AG434" s="715">
        <v>208</v>
      </c>
      <c r="AH434" s="715">
        <f t="shared" si="87"/>
        <v>0</v>
      </c>
      <c r="AI434" s="717"/>
      <c r="AJ434" s="715" t="s">
        <v>3981</v>
      </c>
      <c r="AK434" s="652"/>
      <c r="AL434" s="652">
        <f t="shared" si="89"/>
        <v>208</v>
      </c>
      <c r="AM434" s="652"/>
      <c r="AN434" s="652">
        <f t="shared" si="90"/>
        <v>208</v>
      </c>
      <c r="AO434" s="652"/>
      <c r="AP434" s="652"/>
      <c r="AQ434" s="652"/>
      <c r="AR434" s="652"/>
      <c r="AS434" s="652"/>
      <c r="AT434" s="652"/>
      <c r="AU434" s="652"/>
      <c r="AV434" s="652"/>
      <c r="AW434" s="652"/>
      <c r="AX434" s="652"/>
      <c r="AY434" s="652"/>
      <c r="AZ434" s="652"/>
      <c r="BA434" s="652"/>
      <c r="BB434" s="652"/>
      <c r="BC434" s="652"/>
      <c r="BD434" s="652"/>
      <c r="BE434" s="652"/>
      <c r="BF434" s="652"/>
      <c r="BG434" s="652"/>
      <c r="BH434" s="652"/>
      <c r="BI434" s="652"/>
    </row>
    <row r="435" s="650" customFormat="1" ht="31" customHeight="1" spans="1:108">
      <c r="A435" s="713">
        <v>46139</v>
      </c>
      <c r="B435" s="713" t="s">
        <v>5291</v>
      </c>
      <c r="C435" s="715" t="s">
        <v>201</v>
      </c>
      <c r="D435" s="652" t="s">
        <v>5292</v>
      </c>
      <c r="E435" s="715" t="s">
        <v>5321</v>
      </c>
      <c r="F435" s="652" t="s">
        <v>5322</v>
      </c>
      <c r="G435" s="716" t="s">
        <v>3968</v>
      </c>
      <c r="H435" s="715" t="s">
        <v>3969</v>
      </c>
      <c r="I435" s="717">
        <v>176</v>
      </c>
      <c r="J435" s="715">
        <v>0</v>
      </c>
      <c r="K435" s="715">
        <v>16</v>
      </c>
      <c r="L435" s="715">
        <f t="shared" si="84"/>
        <v>11</v>
      </c>
      <c r="M435" s="719">
        <v>46225</v>
      </c>
      <c r="N435" s="778">
        <v>46221</v>
      </c>
      <c r="O435" s="714"/>
      <c r="P435" s="717" t="s">
        <v>106</v>
      </c>
      <c r="Q435" s="717" t="s">
        <v>2254</v>
      </c>
      <c r="R435" s="723">
        <v>46139</v>
      </c>
      <c r="S435" s="720" t="s">
        <v>107</v>
      </c>
      <c r="T435" s="720" t="s">
        <v>5295</v>
      </c>
      <c r="U435" s="720"/>
      <c r="V435" s="720"/>
      <c r="W435" s="720"/>
      <c r="X435" s="720" t="s">
        <v>5296</v>
      </c>
      <c r="Y435" s="719" t="s">
        <v>557</v>
      </c>
      <c r="Z435" s="730">
        <v>4.4696</v>
      </c>
      <c r="AA435" s="652">
        <f t="shared" si="88"/>
        <v>49.1656</v>
      </c>
      <c r="AB435" s="721"/>
      <c r="AC435" s="652" t="s">
        <v>4426</v>
      </c>
      <c r="AD435" s="715" t="s">
        <v>112</v>
      </c>
      <c r="AE435" s="715">
        <f t="shared" si="85"/>
        <v>176</v>
      </c>
      <c r="AF435" s="715"/>
      <c r="AG435" s="715">
        <v>176</v>
      </c>
      <c r="AH435" s="715">
        <f t="shared" si="87"/>
        <v>0</v>
      </c>
      <c r="AI435" s="717"/>
      <c r="AJ435" s="715" t="s">
        <v>3981</v>
      </c>
      <c r="AK435" s="652"/>
      <c r="AL435" s="652">
        <f t="shared" si="89"/>
        <v>176</v>
      </c>
      <c r="AM435" s="652"/>
      <c r="AN435" s="652">
        <f t="shared" si="90"/>
        <v>176</v>
      </c>
      <c r="AO435" s="652"/>
      <c r="AP435" s="652"/>
      <c r="AQ435" s="652"/>
      <c r="AR435" s="652"/>
      <c r="AS435" s="652"/>
      <c r="AT435" s="652"/>
      <c r="AU435" s="652"/>
      <c r="AV435" s="652"/>
      <c r="AW435" s="652"/>
      <c r="AX435" s="652"/>
      <c r="AY435" s="652"/>
      <c r="AZ435" s="652"/>
      <c r="BA435" s="652"/>
      <c r="BB435" s="652"/>
      <c r="BC435" s="652"/>
      <c r="BD435" s="652"/>
      <c r="BE435" s="652"/>
      <c r="BF435" s="652"/>
      <c r="BG435" s="652"/>
      <c r="BH435" s="652"/>
      <c r="BI435" s="652"/>
    </row>
    <row r="436" s="650" customFormat="1" ht="31" customHeight="1" spans="1:108">
      <c r="A436" s="713">
        <v>46139</v>
      </c>
      <c r="B436" s="713" t="s">
        <v>5291</v>
      </c>
      <c r="C436" s="715" t="s">
        <v>201</v>
      </c>
      <c r="D436" s="652" t="s">
        <v>5292</v>
      </c>
      <c r="E436" s="715" t="s">
        <v>5323</v>
      </c>
      <c r="F436" s="652" t="s">
        <v>5324</v>
      </c>
      <c r="G436" s="716" t="s">
        <v>3968</v>
      </c>
      <c r="H436" s="715" t="s">
        <v>3969</v>
      </c>
      <c r="I436" s="717">
        <v>160</v>
      </c>
      <c r="J436" s="715">
        <v>0</v>
      </c>
      <c r="K436" s="715">
        <v>16</v>
      </c>
      <c r="L436" s="715">
        <f t="shared" si="84"/>
        <v>10</v>
      </c>
      <c r="M436" s="719">
        <v>46225</v>
      </c>
      <c r="N436" s="778">
        <v>46221</v>
      </c>
      <c r="O436" s="714"/>
      <c r="P436" s="717" t="s">
        <v>106</v>
      </c>
      <c r="Q436" s="717" t="s">
        <v>2254</v>
      </c>
      <c r="R436" s="723">
        <v>46139</v>
      </c>
      <c r="S436" s="720" t="s">
        <v>107</v>
      </c>
      <c r="T436" s="720" t="s">
        <v>5295</v>
      </c>
      <c r="U436" s="720"/>
      <c r="V436" s="720"/>
      <c r="W436" s="720"/>
      <c r="X436" s="720" t="s">
        <v>5296</v>
      </c>
      <c r="Y436" s="719" t="s">
        <v>557</v>
      </c>
      <c r="Z436" s="730">
        <v>4.4696</v>
      </c>
      <c r="AA436" s="652">
        <f t="shared" si="88"/>
        <v>44.696</v>
      </c>
      <c r="AB436" s="721"/>
      <c r="AC436" s="652" t="s">
        <v>4426</v>
      </c>
      <c r="AD436" s="715" t="s">
        <v>112</v>
      </c>
      <c r="AE436" s="715">
        <f t="shared" si="85"/>
        <v>160</v>
      </c>
      <c r="AF436" s="715"/>
      <c r="AG436" s="715">
        <v>160</v>
      </c>
      <c r="AH436" s="715">
        <f t="shared" si="87"/>
        <v>0</v>
      </c>
      <c r="AI436" s="717"/>
      <c r="AJ436" s="715" t="s">
        <v>3981</v>
      </c>
      <c r="AK436" s="652"/>
      <c r="AL436" s="652">
        <f t="shared" si="89"/>
        <v>160</v>
      </c>
      <c r="AM436" s="652"/>
      <c r="AN436" s="652">
        <f t="shared" si="90"/>
        <v>160</v>
      </c>
      <c r="AO436" s="652"/>
      <c r="AP436" s="652"/>
      <c r="AQ436" s="652"/>
      <c r="AR436" s="652"/>
      <c r="AS436" s="652"/>
      <c r="AT436" s="652"/>
      <c r="AU436" s="652"/>
      <c r="AV436" s="652"/>
      <c r="AW436" s="652"/>
      <c r="AX436" s="652"/>
      <c r="AY436" s="652"/>
      <c r="AZ436" s="652"/>
      <c r="BA436" s="652"/>
      <c r="BB436" s="652"/>
      <c r="BC436" s="652"/>
      <c r="BD436" s="652"/>
      <c r="BE436" s="652"/>
      <c r="BF436" s="652"/>
      <c r="BG436" s="652"/>
      <c r="BH436" s="652"/>
      <c r="BI436" s="652"/>
    </row>
    <row r="437" s="656" customFormat="1" ht="31" customHeight="1" spans="1:108">
      <c r="A437" s="806">
        <v>46139</v>
      </c>
      <c r="B437" s="806" t="s">
        <v>5291</v>
      </c>
      <c r="C437" s="808" t="s">
        <v>201</v>
      </c>
      <c r="D437" s="656" t="s">
        <v>5292</v>
      </c>
      <c r="E437" s="808" t="s">
        <v>5325</v>
      </c>
      <c r="F437" s="656" t="s">
        <v>5326</v>
      </c>
      <c r="G437" s="809" t="s">
        <v>3968</v>
      </c>
      <c r="H437" s="808" t="s">
        <v>3969</v>
      </c>
      <c r="I437" s="810">
        <v>144</v>
      </c>
      <c r="J437" s="808">
        <v>0</v>
      </c>
      <c r="K437" s="808">
        <v>16</v>
      </c>
      <c r="L437" s="808">
        <f t="shared" si="84"/>
        <v>9</v>
      </c>
      <c r="M437" s="811">
        <v>46225</v>
      </c>
      <c r="N437" s="811">
        <v>46221</v>
      </c>
      <c r="O437" s="757"/>
      <c r="P437" s="810" t="s">
        <v>106</v>
      </c>
      <c r="Q437" s="810" t="s">
        <v>2254</v>
      </c>
      <c r="R437" s="734">
        <v>46139</v>
      </c>
      <c r="S437" s="735" t="s">
        <v>107</v>
      </c>
      <c r="T437" s="735" t="s">
        <v>5295</v>
      </c>
      <c r="U437" s="735"/>
      <c r="V437" s="813"/>
      <c r="W437" s="813"/>
      <c r="X437" s="813" t="s">
        <v>5296</v>
      </c>
      <c r="Y437" s="811" t="s">
        <v>557</v>
      </c>
      <c r="Z437" s="814">
        <v>4.4696</v>
      </c>
      <c r="AA437" s="656">
        <f t="shared" si="88"/>
        <v>40.2264</v>
      </c>
      <c r="AB437" s="780"/>
      <c r="AC437" s="652" t="s">
        <v>4426</v>
      </c>
      <c r="AD437" s="771" t="s">
        <v>112</v>
      </c>
      <c r="AE437" s="808">
        <f t="shared" si="85"/>
        <v>144</v>
      </c>
      <c r="AF437" s="808"/>
      <c r="AG437" s="808">
        <v>144</v>
      </c>
      <c r="AH437" s="715">
        <f t="shared" si="87"/>
        <v>0</v>
      </c>
      <c r="AI437" s="810"/>
      <c r="AJ437" s="715" t="s">
        <v>3981</v>
      </c>
      <c r="AK437" s="774"/>
      <c r="AL437" s="774">
        <f t="shared" si="89"/>
        <v>144</v>
      </c>
      <c r="AM437" s="774"/>
      <c r="AN437" s="774">
        <f t="shared" si="90"/>
        <v>144</v>
      </c>
      <c r="AP437" s="774"/>
      <c r="AQ437" s="656"/>
      <c r="AR437" s="656"/>
      <c r="AS437" s="656"/>
      <c r="AT437" s="656"/>
      <c r="AU437" s="656"/>
      <c r="BI437" s="774"/>
    </row>
    <row r="438" s="650" customFormat="1" ht="31" customHeight="1" spans="1:108">
      <c r="A438" s="713">
        <v>46139</v>
      </c>
      <c r="B438" s="713" t="s">
        <v>5291</v>
      </c>
      <c r="C438" s="715" t="s">
        <v>201</v>
      </c>
      <c r="D438" s="652" t="s">
        <v>5292</v>
      </c>
      <c r="E438" s="715" t="s">
        <v>5327</v>
      </c>
      <c r="F438" s="652" t="s">
        <v>5328</v>
      </c>
      <c r="G438" s="716" t="s">
        <v>3968</v>
      </c>
      <c r="H438" s="715" t="s">
        <v>3969</v>
      </c>
      <c r="I438" s="717">
        <v>256</v>
      </c>
      <c r="J438" s="715">
        <v>0</v>
      </c>
      <c r="K438" s="715">
        <v>16</v>
      </c>
      <c r="L438" s="715">
        <f t="shared" si="84"/>
        <v>16</v>
      </c>
      <c r="M438" s="719">
        <v>46225</v>
      </c>
      <c r="N438" s="719">
        <v>46221</v>
      </c>
      <c r="O438" s="714"/>
      <c r="P438" s="810" t="s">
        <v>106</v>
      </c>
      <c r="Q438" s="717" t="s">
        <v>2254</v>
      </c>
      <c r="R438" s="723">
        <v>46139</v>
      </c>
      <c r="S438" s="720" t="s">
        <v>107</v>
      </c>
      <c r="T438" s="720" t="s">
        <v>5295</v>
      </c>
      <c r="U438" s="720"/>
      <c r="V438" s="720"/>
      <c r="W438" s="720"/>
      <c r="X438" s="720" t="s">
        <v>5296</v>
      </c>
      <c r="Y438" s="719" t="s">
        <v>557</v>
      </c>
      <c r="Z438" s="730">
        <v>4.4696</v>
      </c>
      <c r="AA438" s="652">
        <f t="shared" si="88"/>
        <v>71.5136</v>
      </c>
      <c r="AB438" s="721"/>
      <c r="AC438" s="652" t="s">
        <v>4426</v>
      </c>
      <c r="AD438" s="715" t="s">
        <v>112</v>
      </c>
      <c r="AE438" s="715">
        <f t="shared" si="85"/>
        <v>256</v>
      </c>
      <c r="AF438" s="715"/>
      <c r="AG438" s="715">
        <v>256</v>
      </c>
      <c r="AH438" s="715">
        <f t="shared" si="87"/>
        <v>0</v>
      </c>
      <c r="AI438" s="717"/>
      <c r="AJ438" s="715" t="s">
        <v>3981</v>
      </c>
      <c r="AK438" s="652"/>
      <c r="AL438" s="652">
        <f t="shared" si="89"/>
        <v>256</v>
      </c>
      <c r="AM438" s="652"/>
      <c r="AN438" s="652">
        <f t="shared" si="90"/>
        <v>256</v>
      </c>
      <c r="AO438" s="652"/>
      <c r="AP438" s="652"/>
      <c r="AQ438" s="652"/>
      <c r="AR438" s="652"/>
      <c r="AS438" s="652"/>
      <c r="AT438" s="652"/>
      <c r="AU438" s="652"/>
      <c r="AV438" s="652"/>
      <c r="AW438" s="652"/>
      <c r="AX438" s="652"/>
      <c r="AY438" s="652"/>
      <c r="AZ438" s="652"/>
      <c r="BA438" s="652"/>
      <c r="BB438" s="652"/>
      <c r="BC438" s="652"/>
      <c r="BD438" s="652"/>
      <c r="BE438" s="652"/>
      <c r="BF438" s="652"/>
      <c r="BG438" s="652"/>
      <c r="BH438" s="652"/>
      <c r="BI438" s="652"/>
      <c r="BJ438" s="731"/>
      <c r="BK438" s="731"/>
      <c r="BL438" s="731"/>
      <c r="BM438" s="731"/>
      <c r="BN438" s="731"/>
      <c r="BO438" s="731"/>
      <c r="BP438" s="731"/>
      <c r="BQ438" s="731"/>
      <c r="BR438" s="731"/>
      <c r="BS438" s="731"/>
      <c r="BT438" s="731"/>
      <c r="BU438" s="731"/>
      <c r="BV438" s="731"/>
      <c r="BW438" s="731"/>
      <c r="BX438" s="731"/>
      <c r="BY438" s="731"/>
      <c r="BZ438" s="731"/>
      <c r="CA438" s="731"/>
      <c r="CB438" s="731"/>
      <c r="CC438" s="731"/>
      <c r="CD438" s="731"/>
      <c r="CE438" s="731"/>
      <c r="CF438" s="731"/>
      <c r="CG438" s="731"/>
      <c r="CH438" s="731"/>
      <c r="CI438" s="731"/>
      <c r="CJ438" s="731"/>
      <c r="CK438" s="731"/>
      <c r="CL438" s="731"/>
      <c r="CM438" s="731"/>
      <c r="CN438" s="731"/>
      <c r="CO438" s="731"/>
      <c r="CP438" s="731"/>
      <c r="CQ438" s="731"/>
      <c r="CR438" s="731"/>
    </row>
    <row r="439" s="650" customFormat="1" ht="31" customHeight="1" spans="1:108">
      <c r="A439" s="713">
        <v>46139</v>
      </c>
      <c r="B439" s="714" t="s">
        <v>5291</v>
      </c>
      <c r="C439" s="715" t="s">
        <v>201</v>
      </c>
      <c r="D439" s="652" t="s">
        <v>5292</v>
      </c>
      <c r="E439" s="715" t="s">
        <v>5329</v>
      </c>
      <c r="F439" s="652" t="s">
        <v>5330</v>
      </c>
      <c r="G439" s="716" t="s">
        <v>3968</v>
      </c>
      <c r="H439" s="715" t="s">
        <v>3969</v>
      </c>
      <c r="I439" s="717">
        <v>96</v>
      </c>
      <c r="J439" s="715">
        <v>0</v>
      </c>
      <c r="K439" s="715">
        <v>16</v>
      </c>
      <c r="L439" s="715">
        <f t="shared" si="84"/>
        <v>6</v>
      </c>
      <c r="M439" s="719">
        <v>46225</v>
      </c>
      <c r="N439" s="719">
        <v>46221</v>
      </c>
      <c r="O439" s="714"/>
      <c r="P439" s="810" t="s">
        <v>106</v>
      </c>
      <c r="Q439" s="717" t="s">
        <v>2254</v>
      </c>
      <c r="R439" s="723">
        <v>46139</v>
      </c>
      <c r="S439" s="735" t="s">
        <v>107</v>
      </c>
      <c r="T439" s="735" t="s">
        <v>5295</v>
      </c>
      <c r="U439" s="735"/>
      <c r="V439" s="720"/>
      <c r="W439" s="720"/>
      <c r="X439" s="720" t="s">
        <v>5296</v>
      </c>
      <c r="Y439" s="719" t="s">
        <v>557</v>
      </c>
      <c r="Z439" s="730">
        <v>4.4696</v>
      </c>
      <c r="AA439" s="652">
        <f t="shared" si="88"/>
        <v>26.8176</v>
      </c>
      <c r="AB439" s="721"/>
      <c r="AC439" s="652" t="s">
        <v>4426</v>
      </c>
      <c r="AD439" s="715" t="s">
        <v>112</v>
      </c>
      <c r="AE439" s="715">
        <f t="shared" si="85"/>
        <v>96</v>
      </c>
      <c r="AF439" s="715"/>
      <c r="AG439" s="715">
        <v>96</v>
      </c>
      <c r="AH439" s="715">
        <f t="shared" si="87"/>
        <v>0</v>
      </c>
      <c r="AI439" s="717"/>
      <c r="AJ439" s="715" t="s">
        <v>3981</v>
      </c>
      <c r="AK439" s="652"/>
      <c r="AL439" s="652">
        <f t="shared" si="89"/>
        <v>96</v>
      </c>
      <c r="AM439" s="652"/>
      <c r="AN439" s="652">
        <f t="shared" si="90"/>
        <v>96</v>
      </c>
      <c r="AO439" s="652"/>
      <c r="AP439" s="652"/>
      <c r="AQ439" s="652"/>
      <c r="AR439" s="652"/>
      <c r="AS439" s="652"/>
      <c r="AT439" s="652"/>
      <c r="AU439" s="652"/>
      <c r="AV439" s="652"/>
      <c r="AW439" s="652"/>
      <c r="AX439" s="652"/>
      <c r="AY439" s="652"/>
      <c r="AZ439" s="652"/>
      <c r="BA439" s="652"/>
      <c r="BB439" s="652"/>
      <c r="BC439" s="652"/>
      <c r="BD439" s="652"/>
      <c r="BE439" s="652"/>
      <c r="BF439" s="652"/>
      <c r="BG439" s="652"/>
      <c r="BH439" s="652"/>
      <c r="BI439" s="652"/>
      <c r="BJ439" s="844"/>
      <c r="BK439" s="844"/>
      <c r="BL439" s="844"/>
      <c r="BM439" s="844"/>
      <c r="BN439" s="844"/>
      <c r="BO439" s="844"/>
      <c r="BP439" s="844"/>
      <c r="BQ439" s="844"/>
      <c r="BR439" s="844"/>
      <c r="BS439" s="844"/>
      <c r="BT439" s="845"/>
      <c r="BU439" s="844"/>
      <c r="BV439" s="844"/>
      <c r="BW439" s="844"/>
      <c r="BX439" s="731"/>
      <c r="BY439" s="844"/>
      <c r="BZ439" s="844"/>
      <c r="CA439" s="844"/>
      <c r="CB439" s="844"/>
      <c r="CC439" s="844"/>
      <c r="CD439" s="844"/>
      <c r="CE439" s="731"/>
      <c r="CF439" s="731"/>
      <c r="CG439" s="731"/>
      <c r="CH439" s="731"/>
      <c r="CI439" s="731"/>
      <c r="CJ439" s="731"/>
      <c r="CK439" s="731"/>
      <c r="CL439" s="731"/>
      <c r="CM439" s="731"/>
      <c r="CN439" s="731"/>
      <c r="CO439" s="731"/>
      <c r="CP439" s="731"/>
      <c r="CQ439" s="731"/>
      <c r="CR439" s="731"/>
    </row>
    <row r="440" s="650" customFormat="1" ht="31" customHeight="1" spans="1:108">
      <c r="A440" s="713">
        <v>46171</v>
      </c>
      <c r="B440" s="714" t="s">
        <v>1908</v>
      </c>
      <c r="C440" s="715" t="s">
        <v>201</v>
      </c>
      <c r="D440" s="652">
        <v>4500209115</v>
      </c>
      <c r="E440" s="715" t="s">
        <v>5331</v>
      </c>
      <c r="F440" s="652" t="s">
        <v>5332</v>
      </c>
      <c r="G440" s="716" t="s">
        <v>3968</v>
      </c>
      <c r="H440" s="715" t="s">
        <v>3969</v>
      </c>
      <c r="I440" s="717">
        <v>96</v>
      </c>
      <c r="J440" s="715">
        <v>0</v>
      </c>
      <c r="K440" s="715">
        <v>16</v>
      </c>
      <c r="L440" s="715">
        <f t="shared" si="84"/>
        <v>6</v>
      </c>
      <c r="M440" s="719">
        <v>46225</v>
      </c>
      <c r="N440" s="719">
        <v>46221</v>
      </c>
      <c r="O440" s="714"/>
      <c r="P440" s="717" t="s">
        <v>106</v>
      </c>
      <c r="Q440" s="717" t="s">
        <v>2220</v>
      </c>
      <c r="R440" s="723">
        <v>46171</v>
      </c>
      <c r="S440" s="720" t="s">
        <v>107</v>
      </c>
      <c r="T440" s="720" t="s">
        <v>5295</v>
      </c>
      <c r="U440" s="723"/>
      <c r="V440" s="720" t="s">
        <v>5333</v>
      </c>
      <c r="W440" s="720"/>
      <c r="X440" s="720" t="s">
        <v>5334</v>
      </c>
      <c r="Y440" s="719" t="s">
        <v>563</v>
      </c>
      <c r="Z440" s="730">
        <v>4.5967</v>
      </c>
      <c r="AA440" s="652">
        <f>I440*Z440</f>
        <v>441.2832</v>
      </c>
      <c r="AB440" s="721"/>
      <c r="AC440" s="652" t="s">
        <v>4426</v>
      </c>
      <c r="AD440" s="715" t="s">
        <v>112</v>
      </c>
      <c r="AE440" s="715">
        <f t="shared" si="85"/>
        <v>96</v>
      </c>
      <c r="AF440" s="715"/>
      <c r="AG440" s="715">
        <v>96</v>
      </c>
      <c r="AH440" s="715">
        <f t="shared" si="87"/>
        <v>0</v>
      </c>
      <c r="AI440" s="717"/>
      <c r="AJ440" s="715" t="s">
        <v>3981</v>
      </c>
      <c r="AK440" s="652"/>
      <c r="AL440" s="652">
        <f t="shared" si="89"/>
        <v>96</v>
      </c>
      <c r="AM440" s="652"/>
      <c r="AN440" s="652">
        <f t="shared" si="90"/>
        <v>96</v>
      </c>
      <c r="AO440" s="652"/>
      <c r="AP440" s="652"/>
      <c r="AQ440" s="652"/>
      <c r="AR440" s="652"/>
      <c r="AS440" s="652"/>
      <c r="AT440" s="652"/>
      <c r="AU440" s="652"/>
      <c r="AV440" s="652"/>
      <c r="AW440" s="652"/>
      <c r="AX440" s="652"/>
      <c r="AY440" s="652"/>
      <c r="AZ440" s="652"/>
      <c r="BA440" s="652"/>
      <c r="BB440" s="652"/>
      <c r="BC440" s="652"/>
      <c r="BD440" s="652"/>
      <c r="BE440" s="652"/>
      <c r="BF440" s="652"/>
      <c r="BG440" s="652"/>
      <c r="BH440" s="652"/>
      <c r="BI440" s="652"/>
    </row>
    <row r="441" s="650" customFormat="1" ht="31" customHeight="1" spans="1:108">
      <c r="A441" s="713">
        <v>46171</v>
      </c>
      <c r="B441" s="714" t="s">
        <v>1908</v>
      </c>
      <c r="C441" s="715" t="s">
        <v>201</v>
      </c>
      <c r="D441" s="652">
        <v>4500209115</v>
      </c>
      <c r="E441" s="715" t="s">
        <v>5335</v>
      </c>
      <c r="F441" s="652" t="s">
        <v>5336</v>
      </c>
      <c r="G441" s="716" t="s">
        <v>3968</v>
      </c>
      <c r="H441" s="715" t="s">
        <v>3969</v>
      </c>
      <c r="I441" s="717">
        <v>64</v>
      </c>
      <c r="J441" s="715">
        <v>0</v>
      </c>
      <c r="K441" s="715">
        <v>16</v>
      </c>
      <c r="L441" s="715">
        <f t="shared" si="84"/>
        <v>4</v>
      </c>
      <c r="M441" s="719">
        <v>46225</v>
      </c>
      <c r="N441" s="719">
        <v>46221</v>
      </c>
      <c r="O441" s="714"/>
      <c r="P441" s="717" t="s">
        <v>106</v>
      </c>
      <c r="Q441" s="717" t="s">
        <v>2220</v>
      </c>
      <c r="R441" s="723">
        <v>46171</v>
      </c>
      <c r="S441" s="720" t="s">
        <v>107</v>
      </c>
      <c r="T441" s="720" t="s">
        <v>5295</v>
      </c>
      <c r="U441" s="723"/>
      <c r="V441" s="720"/>
      <c r="W441" s="720"/>
      <c r="X441" s="720" t="s">
        <v>5334</v>
      </c>
      <c r="Y441" s="719" t="s">
        <v>563</v>
      </c>
      <c r="Z441" s="730">
        <v>4.5967</v>
      </c>
      <c r="AA441" s="652">
        <f>I441*Z441</f>
        <v>294.1888</v>
      </c>
      <c r="AB441" s="721"/>
      <c r="AC441" s="652" t="s">
        <v>4426</v>
      </c>
      <c r="AD441" s="715" t="s">
        <v>112</v>
      </c>
      <c r="AE441" s="715">
        <f t="shared" si="85"/>
        <v>64</v>
      </c>
      <c r="AF441" s="715"/>
      <c r="AG441" s="715">
        <v>64</v>
      </c>
      <c r="AH441" s="715">
        <f t="shared" si="87"/>
        <v>0</v>
      </c>
      <c r="AI441" s="717"/>
      <c r="AJ441" s="715" t="s">
        <v>3981</v>
      </c>
      <c r="AK441" s="652"/>
      <c r="AL441" s="652">
        <f t="shared" si="89"/>
        <v>64</v>
      </c>
      <c r="AM441" s="652"/>
      <c r="AN441" s="652">
        <f t="shared" si="90"/>
        <v>64</v>
      </c>
      <c r="AO441" s="652"/>
      <c r="AP441" s="652"/>
      <c r="AQ441" s="652"/>
      <c r="AR441" s="652"/>
      <c r="AS441" s="652"/>
      <c r="AT441" s="652"/>
      <c r="AU441" s="652"/>
      <c r="AV441" s="652"/>
      <c r="AW441" s="652"/>
      <c r="AX441" s="652"/>
      <c r="AY441" s="652"/>
      <c r="AZ441" s="652"/>
      <c r="BA441" s="652"/>
      <c r="BB441" s="652"/>
      <c r="BC441" s="652"/>
      <c r="BD441" s="652"/>
      <c r="BE441" s="652"/>
      <c r="BF441" s="652"/>
      <c r="BG441" s="652"/>
      <c r="BH441" s="652"/>
      <c r="BI441" s="652"/>
    </row>
    <row r="442" s="650" customFormat="1" ht="31" customHeight="1" spans="1:108">
      <c r="A442" s="713">
        <v>46212</v>
      </c>
      <c r="B442" s="714"/>
      <c r="C442" s="715" t="s">
        <v>597</v>
      </c>
      <c r="D442" s="652" t="s">
        <v>5337</v>
      </c>
      <c r="E442" s="715"/>
      <c r="F442" s="652" t="s">
        <v>5338</v>
      </c>
      <c r="G442" s="716" t="s">
        <v>3973</v>
      </c>
      <c r="H442" s="715" t="s">
        <v>3995</v>
      </c>
      <c r="I442" s="717" t="s">
        <v>5339</v>
      </c>
      <c r="J442" s="715">
        <v>0</v>
      </c>
      <c r="K442" s="715">
        <v>8</v>
      </c>
      <c r="L442" s="715">
        <v>3</v>
      </c>
      <c r="M442" s="719">
        <v>46225</v>
      </c>
      <c r="N442" s="719">
        <v>46221</v>
      </c>
      <c r="O442" s="714"/>
      <c r="P442" s="717"/>
      <c r="Q442" s="717"/>
      <c r="R442" s="723" t="s">
        <v>94</v>
      </c>
      <c r="S442" s="720" t="s">
        <v>95</v>
      </c>
      <c r="T442" s="720" t="s">
        <v>95</v>
      </c>
      <c r="U442" s="720"/>
      <c r="V442" s="720"/>
      <c r="W442" s="720"/>
      <c r="X442" s="714" t="s">
        <v>5340</v>
      </c>
      <c r="Y442" s="719" t="s">
        <v>272</v>
      </c>
      <c r="Z442" s="730"/>
      <c r="AA442" s="652"/>
      <c r="AB442" s="721"/>
      <c r="AC442" s="714"/>
      <c r="AD442" s="715" t="s">
        <v>99</v>
      </c>
      <c r="AE442" s="715"/>
      <c r="AF442" s="715"/>
      <c r="AG442" s="715">
        <v>40</v>
      </c>
      <c r="AH442" s="715" t="e">
        <f t="shared" si="87"/>
        <v>#VALUE!</v>
      </c>
      <c r="AI442" s="717"/>
      <c r="AJ442" s="715"/>
      <c r="AK442" s="652" t="str">
        <f>I442</f>
        <v>5个满PDQ(即40PCS)</v>
      </c>
      <c r="AL442" s="652"/>
      <c r="AM442" s="652"/>
      <c r="AN442" s="652" t="str">
        <f t="shared" si="90"/>
        <v>5个满PDQ(即40PCS)</v>
      </c>
      <c r="AO442" s="652"/>
      <c r="AP442" s="652"/>
      <c r="AQ442" s="652"/>
      <c r="AR442" s="652"/>
      <c r="AS442" s="652"/>
      <c r="AT442" s="652">
        <v>5</v>
      </c>
      <c r="AU442" s="652"/>
      <c r="AV442" s="652"/>
      <c r="AW442" s="652"/>
      <c r="AX442" s="652"/>
      <c r="AY442" s="652"/>
      <c r="AZ442" s="652"/>
      <c r="BA442" s="652"/>
      <c r="BB442" s="652"/>
      <c r="BC442" s="652"/>
      <c r="BD442" s="652"/>
      <c r="BE442" s="652"/>
      <c r="BF442" s="652"/>
      <c r="BG442" s="652"/>
      <c r="BH442" s="652"/>
      <c r="BI442" s="652"/>
      <c r="BJ442" s="724"/>
      <c r="BK442" s="724"/>
      <c r="BL442" s="724"/>
      <c r="BM442" s="724"/>
      <c r="BN442" s="724"/>
      <c r="BO442" s="724"/>
      <c r="BP442" s="724"/>
      <c r="BQ442" s="724"/>
      <c r="BR442" s="724"/>
      <c r="BS442" s="724"/>
      <c r="BT442" s="724"/>
      <c r="BU442" s="724"/>
      <c r="BV442" s="724"/>
      <c r="BW442" s="724"/>
      <c r="BX442" s="724"/>
      <c r="BY442" s="724"/>
      <c r="BZ442" s="724"/>
      <c r="CA442" s="724"/>
      <c r="CB442" s="724"/>
      <c r="CC442" s="724"/>
      <c r="CD442" s="724"/>
      <c r="CE442" s="724"/>
      <c r="CF442" s="724"/>
      <c r="CG442" s="724"/>
      <c r="CH442" s="724"/>
      <c r="CI442" s="724"/>
      <c r="CJ442" s="724"/>
      <c r="CK442" s="724"/>
      <c r="CL442" s="724"/>
      <c r="CM442" s="724"/>
      <c r="CN442" s="724"/>
      <c r="CO442" s="724"/>
      <c r="CP442" s="724"/>
      <c r="CQ442" s="724"/>
      <c r="CR442" s="724"/>
      <c r="CS442" s="724"/>
      <c r="CT442" s="724"/>
      <c r="CU442" s="724"/>
      <c r="CV442" s="724"/>
      <c r="CW442" s="724"/>
      <c r="CX442" s="724"/>
      <c r="CY442" s="724"/>
      <c r="CZ442" s="724"/>
      <c r="DA442" s="724"/>
      <c r="DB442" s="724"/>
      <c r="DC442" s="724"/>
      <c r="DD442" s="724"/>
    </row>
    <row r="443" s="651" customFormat="1" ht="31" customHeight="1" spans="1:108">
      <c r="A443" s="713">
        <v>46182</v>
      </c>
      <c r="B443" s="714" t="s">
        <v>114</v>
      </c>
      <c r="C443" s="715" t="s">
        <v>115</v>
      </c>
      <c r="D443" s="652">
        <v>4500211294</v>
      </c>
      <c r="E443" s="715" t="s">
        <v>5341</v>
      </c>
      <c r="F443" s="652" t="s">
        <v>5342</v>
      </c>
      <c r="G443" s="716" t="s">
        <v>3980</v>
      </c>
      <c r="H443" s="715" t="s">
        <v>3978</v>
      </c>
      <c r="I443" s="717">
        <v>7376</v>
      </c>
      <c r="J443" s="715">
        <v>0</v>
      </c>
      <c r="K443" s="715">
        <v>8</v>
      </c>
      <c r="L443" s="715">
        <f t="shared" ref="L443:L505" si="91">I443/K443</f>
        <v>922</v>
      </c>
      <c r="M443" s="719">
        <v>46226</v>
      </c>
      <c r="N443" s="719">
        <v>46223</v>
      </c>
      <c r="O443" s="714"/>
      <c r="P443" s="717" t="s">
        <v>106</v>
      </c>
      <c r="Q443" s="717"/>
      <c r="R443" s="723" t="s">
        <v>5343</v>
      </c>
      <c r="S443" s="720" t="s">
        <v>107</v>
      </c>
      <c r="T443" s="720" t="s">
        <v>5344</v>
      </c>
      <c r="U443" s="720"/>
      <c r="V443" s="720"/>
      <c r="W443" s="720" t="s">
        <v>5345</v>
      </c>
      <c r="X443" s="720" t="s">
        <v>5346</v>
      </c>
      <c r="Y443" s="719" t="s">
        <v>123</v>
      </c>
      <c r="Z443" s="730">
        <v>2.7891</v>
      </c>
      <c r="AA443" s="652">
        <f>I443*Z443</f>
        <v>20572.4016</v>
      </c>
      <c r="AB443" s="721"/>
      <c r="AC443" s="722" t="s">
        <v>3980</v>
      </c>
      <c r="AD443" s="715" t="s">
        <v>112</v>
      </c>
      <c r="AE443" s="715">
        <f t="shared" ref="AE443:AE505" si="92">I443</f>
        <v>7376</v>
      </c>
      <c r="AF443" s="715" t="s">
        <v>5125</v>
      </c>
      <c r="AG443" s="715">
        <v>7376</v>
      </c>
      <c r="AH443" s="715">
        <f t="shared" si="87"/>
        <v>0</v>
      </c>
      <c r="AI443" s="717" t="s">
        <v>120</v>
      </c>
      <c r="AJ443" s="715" t="s">
        <v>3981</v>
      </c>
      <c r="AK443" s="652">
        <f>I443</f>
        <v>7376</v>
      </c>
      <c r="AL443" s="652"/>
      <c r="AM443" s="652"/>
      <c r="AN443" s="652">
        <f t="shared" si="90"/>
        <v>7376</v>
      </c>
      <c r="AO443" s="652"/>
      <c r="AP443" s="652"/>
      <c r="AQ443" s="652"/>
      <c r="AR443" s="652"/>
      <c r="AS443" s="652"/>
      <c r="AT443" s="652">
        <f>I443/8</f>
        <v>922</v>
      </c>
      <c r="AU443" s="652"/>
      <c r="AV443" s="652"/>
      <c r="AW443" s="652"/>
      <c r="AX443" s="652"/>
      <c r="AY443" s="652"/>
      <c r="AZ443" s="652"/>
      <c r="BA443" s="652"/>
      <c r="BB443" s="652"/>
      <c r="BC443" s="652"/>
      <c r="BD443" s="652"/>
      <c r="BE443" s="652"/>
      <c r="BF443" s="652"/>
      <c r="BG443" s="652"/>
      <c r="BH443" s="652"/>
      <c r="BI443" s="652"/>
      <c r="BJ443" s="650"/>
      <c r="BK443" s="650"/>
      <c r="BL443" s="650"/>
      <c r="BM443" s="650"/>
      <c r="BN443" s="650"/>
      <c r="BO443" s="650"/>
      <c r="BP443" s="650"/>
      <c r="BQ443" s="650"/>
      <c r="BR443" s="650"/>
      <c r="BS443" s="650"/>
      <c r="BT443" s="650"/>
      <c r="BU443" s="650"/>
      <c r="BV443" s="650"/>
      <c r="BW443" s="650"/>
      <c r="BX443" s="650"/>
      <c r="BY443" s="650"/>
      <c r="BZ443" s="650"/>
      <c r="CA443" s="650"/>
      <c r="CB443" s="650"/>
      <c r="CC443" s="650"/>
      <c r="CD443" s="650"/>
      <c r="CE443" s="650"/>
      <c r="CF443" s="650"/>
      <c r="CG443" s="650"/>
      <c r="CH443" s="650"/>
      <c r="CI443" s="650"/>
      <c r="CJ443" s="650"/>
      <c r="CK443" s="650"/>
      <c r="CL443" s="650"/>
      <c r="CM443" s="650"/>
      <c r="CN443" s="650"/>
      <c r="CO443" s="650"/>
      <c r="CP443" s="650"/>
      <c r="CQ443" s="650"/>
      <c r="CR443" s="650"/>
      <c r="CS443" s="650"/>
      <c r="CT443" s="650"/>
      <c r="CU443" s="650"/>
      <c r="CV443" s="650"/>
      <c r="CW443" s="650"/>
      <c r="CX443" s="650"/>
      <c r="CY443" s="650"/>
      <c r="CZ443" s="650"/>
      <c r="DA443" s="650"/>
      <c r="DB443" s="650"/>
      <c r="DC443" s="650"/>
      <c r="DD443" s="650"/>
    </row>
    <row r="444" s="650" customFormat="1" ht="31" customHeight="1" spans="1:108">
      <c r="A444" s="713">
        <v>46171</v>
      </c>
      <c r="B444" s="714" t="s">
        <v>2451</v>
      </c>
      <c r="C444" s="715" t="s">
        <v>291</v>
      </c>
      <c r="D444" s="652">
        <v>4500209903</v>
      </c>
      <c r="E444" s="715"/>
      <c r="F444" s="652" t="s">
        <v>5347</v>
      </c>
      <c r="G444" s="716" t="s">
        <v>3973</v>
      </c>
      <c r="H444" s="715" t="s">
        <v>3995</v>
      </c>
      <c r="I444" s="717">
        <v>880</v>
      </c>
      <c r="J444" s="715">
        <v>0</v>
      </c>
      <c r="K444" s="715">
        <v>16</v>
      </c>
      <c r="L444" s="715">
        <f t="shared" si="91"/>
        <v>55</v>
      </c>
      <c r="M444" s="719">
        <v>46226</v>
      </c>
      <c r="N444" s="719">
        <v>46223</v>
      </c>
      <c r="O444" s="714" t="s">
        <v>2453</v>
      </c>
      <c r="P444" s="717" t="s">
        <v>106</v>
      </c>
      <c r="Q444" s="717" t="s">
        <v>4976</v>
      </c>
      <c r="R444" s="734" t="s">
        <v>1930</v>
      </c>
      <c r="S444" s="735" t="s">
        <v>107</v>
      </c>
      <c r="T444" s="735" t="s">
        <v>2455</v>
      </c>
      <c r="U444" s="735"/>
      <c r="V444" s="720"/>
      <c r="W444" s="720"/>
      <c r="X444" s="720" t="s">
        <v>5348</v>
      </c>
      <c r="Y444" s="719" t="s">
        <v>1927</v>
      </c>
      <c r="Z444" s="730">
        <v>4.7039</v>
      </c>
      <c r="AA444" s="652">
        <f>I444*Z444</f>
        <v>4139.432</v>
      </c>
      <c r="AB444" s="721"/>
      <c r="AC444" s="652" t="s">
        <v>4108</v>
      </c>
      <c r="AD444" s="715" t="s">
        <v>112</v>
      </c>
      <c r="AE444" s="715">
        <f t="shared" si="92"/>
        <v>880</v>
      </c>
      <c r="AF444" s="715"/>
      <c r="AG444" s="715">
        <v>880</v>
      </c>
      <c r="AH444" s="715">
        <f t="shared" si="87"/>
        <v>0</v>
      </c>
      <c r="AI444" s="717"/>
      <c r="AJ444" s="715" t="s">
        <v>3981</v>
      </c>
      <c r="AK444" s="652"/>
      <c r="AL444" s="652">
        <f>I444</f>
        <v>880</v>
      </c>
      <c r="AM444" s="652"/>
      <c r="AN444" s="652">
        <f t="shared" si="90"/>
        <v>880</v>
      </c>
      <c r="AO444" s="652"/>
      <c r="AP444" s="652"/>
      <c r="AQ444" s="652"/>
      <c r="AR444" s="652"/>
      <c r="AS444" s="652"/>
      <c r="AT444" s="652"/>
      <c r="AU444" s="652">
        <f>I444/8</f>
        <v>110</v>
      </c>
      <c r="AV444" s="652"/>
      <c r="AW444" s="652"/>
      <c r="AX444" s="652"/>
      <c r="AY444" s="652"/>
      <c r="AZ444" s="652"/>
      <c r="BA444" s="652"/>
      <c r="BB444" s="652"/>
      <c r="BC444" s="652"/>
      <c r="BD444" s="652"/>
      <c r="BE444" s="652"/>
      <c r="BF444" s="652"/>
      <c r="BG444" s="652"/>
      <c r="BH444" s="652"/>
      <c r="BI444" s="652"/>
      <c r="BJ444" s="650"/>
      <c r="BK444" s="650"/>
      <c r="BL444" s="650"/>
      <c r="BM444" s="650"/>
      <c r="BN444" s="650"/>
      <c r="BO444" s="650"/>
      <c r="BP444" s="650"/>
      <c r="BQ444" s="650"/>
      <c r="BR444" s="650"/>
      <c r="BS444" s="650"/>
      <c r="BT444" s="650"/>
      <c r="BU444" s="650"/>
      <c r="BV444" s="650"/>
      <c r="BW444" s="650"/>
      <c r="BX444" s="650"/>
      <c r="BY444" s="650"/>
      <c r="BZ444" s="650"/>
      <c r="CA444" s="650"/>
      <c r="CB444" s="650"/>
      <c r="CC444" s="650"/>
      <c r="CD444" s="650"/>
      <c r="CE444" s="650"/>
      <c r="CF444" s="650"/>
      <c r="CG444" s="650"/>
      <c r="CH444" s="650"/>
      <c r="CI444" s="650"/>
      <c r="CJ444" s="650"/>
      <c r="CK444" s="650"/>
      <c r="CL444" s="650"/>
      <c r="CM444" s="650"/>
      <c r="CN444" s="650"/>
      <c r="CO444" s="650"/>
      <c r="CP444" s="650"/>
      <c r="CQ444" s="650"/>
      <c r="CR444" s="650"/>
      <c r="CS444" s="651"/>
      <c r="CT444" s="651"/>
      <c r="CU444" s="651"/>
      <c r="CV444" s="651"/>
      <c r="CW444" s="651"/>
      <c r="CX444" s="651"/>
      <c r="CY444" s="651"/>
      <c r="CZ444" s="651"/>
      <c r="DA444" s="651"/>
      <c r="DB444" s="651"/>
      <c r="DC444" s="651"/>
      <c r="DD444" s="651"/>
    </row>
    <row r="445" s="654" customFormat="1" ht="31" customHeight="1" spans="1:108">
      <c r="A445" s="713">
        <v>46161</v>
      </c>
      <c r="B445" s="714" t="s">
        <v>2108</v>
      </c>
      <c r="C445" s="715" t="s">
        <v>291</v>
      </c>
      <c r="D445" s="652" t="s">
        <v>5349</v>
      </c>
      <c r="E445" s="715" t="s">
        <v>5350</v>
      </c>
      <c r="F445" s="652" t="s">
        <v>5351</v>
      </c>
      <c r="G445" s="716" t="s">
        <v>3973</v>
      </c>
      <c r="H445" s="715" t="s">
        <v>3995</v>
      </c>
      <c r="I445" s="717">
        <v>400</v>
      </c>
      <c r="J445" s="715">
        <v>0</v>
      </c>
      <c r="K445" s="715">
        <v>16</v>
      </c>
      <c r="L445" s="715">
        <f t="shared" si="91"/>
        <v>25</v>
      </c>
      <c r="M445" s="738">
        <v>46226</v>
      </c>
      <c r="N445" s="738">
        <f>M445-3</f>
        <v>46223</v>
      </c>
      <c r="O445" s="714" t="s">
        <v>5352</v>
      </c>
      <c r="P445" s="717" t="s">
        <v>1410</v>
      </c>
      <c r="Q445" s="717"/>
      <c r="R445" s="723" t="s">
        <v>1824</v>
      </c>
      <c r="S445" s="720" t="s">
        <v>107</v>
      </c>
      <c r="T445" s="720" t="s">
        <v>5353</v>
      </c>
      <c r="U445" s="720"/>
      <c r="V445" s="720"/>
      <c r="W445" s="720"/>
      <c r="X445" s="798" t="s">
        <v>5354</v>
      </c>
      <c r="Y445" s="719" t="s">
        <v>450</v>
      </c>
      <c r="Z445" s="730">
        <v>4.7039</v>
      </c>
      <c r="AA445" s="652">
        <f>I445*Z445</f>
        <v>1881.56</v>
      </c>
      <c r="AB445" s="721"/>
      <c r="AC445" s="747" t="s">
        <v>4108</v>
      </c>
      <c r="AD445" s="715" t="s">
        <v>112</v>
      </c>
      <c r="AE445" s="715">
        <f t="shared" si="92"/>
        <v>400</v>
      </c>
      <c r="AF445" s="715"/>
      <c r="AG445" s="715">
        <v>400</v>
      </c>
      <c r="AH445" s="715">
        <f t="shared" si="87"/>
        <v>0</v>
      </c>
      <c r="AI445" s="717" t="s">
        <v>120</v>
      </c>
      <c r="AJ445" s="715" t="s">
        <v>3981</v>
      </c>
      <c r="AK445" s="652"/>
      <c r="AL445" s="652">
        <f>I445</f>
        <v>400</v>
      </c>
      <c r="AM445" s="652"/>
      <c r="AN445" s="652">
        <f t="shared" si="90"/>
        <v>400</v>
      </c>
      <c r="AO445" s="652"/>
      <c r="AP445" s="652"/>
      <c r="AQ445" s="652"/>
      <c r="AR445" s="652"/>
      <c r="AS445" s="652"/>
      <c r="AT445" s="652"/>
      <c r="AU445" s="652">
        <f>I445/8</f>
        <v>50</v>
      </c>
      <c r="AV445" s="652"/>
      <c r="AW445" s="652"/>
      <c r="AX445" s="652"/>
      <c r="AY445" s="652"/>
      <c r="AZ445" s="652"/>
      <c r="BA445" s="652"/>
      <c r="BB445" s="652"/>
      <c r="BC445" s="652"/>
      <c r="BD445" s="652"/>
      <c r="BE445" s="652"/>
      <c r="BF445" s="652"/>
      <c r="BG445" s="652"/>
      <c r="BH445" s="652"/>
      <c r="BI445" s="652"/>
      <c r="BJ445" s="651"/>
      <c r="BK445" s="651"/>
      <c r="BL445" s="651"/>
      <c r="BM445" s="651"/>
      <c r="BN445" s="651"/>
      <c r="BO445" s="651"/>
      <c r="BP445" s="651"/>
      <c r="BQ445" s="651"/>
      <c r="BR445" s="651"/>
      <c r="BS445" s="651"/>
      <c r="BT445" s="651"/>
      <c r="BU445" s="651"/>
      <c r="BV445" s="651"/>
      <c r="BW445" s="651"/>
      <c r="BX445" s="651"/>
      <c r="BY445" s="651"/>
      <c r="BZ445" s="651"/>
      <c r="CA445" s="651"/>
      <c r="CB445" s="651"/>
      <c r="CC445" s="651"/>
      <c r="CD445" s="651"/>
      <c r="CE445" s="651"/>
      <c r="CF445" s="651"/>
      <c r="CG445" s="651"/>
      <c r="CH445" s="651"/>
      <c r="CI445" s="651"/>
      <c r="CJ445" s="651"/>
      <c r="CK445" s="651"/>
      <c r="CL445" s="651"/>
      <c r="CM445" s="651"/>
      <c r="CN445" s="651"/>
      <c r="CO445" s="651"/>
      <c r="CP445" s="651"/>
      <c r="CQ445" s="651"/>
      <c r="CR445" s="651"/>
      <c r="CS445" s="651"/>
      <c r="CT445" s="651"/>
      <c r="CU445" s="651"/>
      <c r="CV445" s="651"/>
      <c r="CW445" s="651"/>
      <c r="CX445" s="651"/>
      <c r="CY445" s="651"/>
      <c r="CZ445" s="651"/>
      <c r="DA445" s="651"/>
      <c r="DB445" s="651"/>
      <c r="DC445" s="651"/>
      <c r="DD445" s="651"/>
    </row>
    <row r="446" s="658" customFormat="1" ht="31" customHeight="1" spans="1:108">
      <c r="A446" s="819">
        <v>46185</v>
      </c>
      <c r="B446" s="820"/>
      <c r="C446" s="821" t="s">
        <v>597</v>
      </c>
      <c r="D446" s="822" t="s">
        <v>2447</v>
      </c>
      <c r="E446" s="821"/>
      <c r="F446" s="822" t="s">
        <v>5355</v>
      </c>
      <c r="G446" s="823" t="s">
        <v>3968</v>
      </c>
      <c r="H446" s="708" t="s">
        <v>3969</v>
      </c>
      <c r="I446" s="824">
        <v>7</v>
      </c>
      <c r="J446" s="821">
        <v>0</v>
      </c>
      <c r="K446" s="821">
        <v>16</v>
      </c>
      <c r="L446" s="821">
        <f t="shared" si="91"/>
        <v>0.4375</v>
      </c>
      <c r="M446" s="825">
        <v>46226</v>
      </c>
      <c r="N446" s="825">
        <v>46223</v>
      </c>
      <c r="O446" s="820"/>
      <c r="P446" s="824"/>
      <c r="Q446" s="824"/>
      <c r="R446" s="827" t="s">
        <v>94</v>
      </c>
      <c r="S446" s="829" t="s">
        <v>95</v>
      </c>
      <c r="T446" s="828" t="s">
        <v>95</v>
      </c>
      <c r="U446" s="828"/>
      <c r="V446" s="829"/>
      <c r="W446" s="828"/>
      <c r="X446" s="828" t="s">
        <v>5356</v>
      </c>
      <c r="Y446" s="825" t="s">
        <v>2450</v>
      </c>
      <c r="Z446" s="830"/>
      <c r="AA446" s="822">
        <f>I446*Z446</f>
        <v>0</v>
      </c>
      <c r="AB446" s="831"/>
      <c r="AC446" s="846" t="s">
        <v>3968</v>
      </c>
      <c r="AD446" s="821" t="s">
        <v>112</v>
      </c>
      <c r="AE446" s="821">
        <f t="shared" si="92"/>
        <v>7</v>
      </c>
      <c r="AF446" s="821"/>
      <c r="AG446" s="708"/>
      <c r="AH446" s="833">
        <f t="shared" si="87"/>
        <v>-7</v>
      </c>
      <c r="AI446" s="824"/>
      <c r="AJ446" s="708" t="s">
        <v>3981</v>
      </c>
      <c r="AK446" s="834">
        <f>I446</f>
        <v>7</v>
      </c>
      <c r="AL446" s="834"/>
      <c r="AM446" s="822"/>
      <c r="AN446" s="834">
        <f t="shared" si="90"/>
        <v>7</v>
      </c>
      <c r="AO446" s="822"/>
      <c r="AP446" s="822"/>
      <c r="AQ446" s="822"/>
      <c r="AR446" s="822"/>
      <c r="AS446" s="822"/>
      <c r="AT446" s="822"/>
      <c r="AU446" s="834"/>
      <c r="AV446" s="834"/>
      <c r="AW446" s="834"/>
      <c r="AX446" s="822"/>
      <c r="AY446" s="822"/>
      <c r="AZ446" s="822"/>
      <c r="BA446" s="822"/>
      <c r="BB446" s="822"/>
      <c r="BC446" s="822"/>
      <c r="BD446" s="822"/>
      <c r="BE446" s="822"/>
      <c r="BF446" s="822"/>
      <c r="BG446" s="822"/>
      <c r="BH446" s="822"/>
      <c r="BI446" s="822"/>
      <c r="BJ446" s="659"/>
      <c r="BK446" s="659"/>
      <c r="BL446" s="659"/>
      <c r="BM446" s="659"/>
      <c r="BN446" s="659"/>
      <c r="BO446" s="659"/>
      <c r="BP446" s="659"/>
      <c r="BQ446" s="659"/>
      <c r="BR446" s="659"/>
      <c r="BS446" s="659"/>
      <c r="BT446" s="659"/>
      <c r="BU446" s="659"/>
      <c r="BV446" s="659"/>
      <c r="BW446" s="659"/>
      <c r="BX446" s="659"/>
      <c r="BY446" s="659"/>
      <c r="BZ446" s="659"/>
      <c r="CA446" s="659"/>
      <c r="CB446" s="659"/>
      <c r="CC446" s="659"/>
      <c r="CD446" s="659"/>
      <c r="CE446" s="659"/>
      <c r="CF446" s="659"/>
      <c r="CG446" s="659"/>
      <c r="CH446" s="659"/>
      <c r="CI446" s="659"/>
      <c r="CJ446" s="659"/>
      <c r="CK446" s="659"/>
      <c r="CL446" s="659"/>
      <c r="CM446" s="659"/>
      <c r="CN446" s="659"/>
      <c r="CO446" s="659"/>
      <c r="CP446" s="659"/>
      <c r="CQ446" s="659"/>
      <c r="CR446" s="659"/>
      <c r="CS446" s="659"/>
      <c r="CT446" s="659"/>
      <c r="CU446" s="659"/>
      <c r="CV446" s="659"/>
      <c r="CW446" s="659"/>
      <c r="CX446" s="659"/>
      <c r="CY446" s="659"/>
      <c r="CZ446" s="659"/>
      <c r="DA446" s="659"/>
      <c r="DB446" s="659"/>
      <c r="DC446" s="659"/>
      <c r="DD446" s="659"/>
    </row>
    <row r="447" s="657" customFormat="1" ht="31" customHeight="1" spans="1:108">
      <c r="A447" s="819">
        <v>46185</v>
      </c>
      <c r="B447" s="820"/>
      <c r="C447" s="821" t="s">
        <v>597</v>
      </c>
      <c r="D447" s="822" t="s">
        <v>2447</v>
      </c>
      <c r="E447" s="821"/>
      <c r="F447" s="822" t="s">
        <v>5357</v>
      </c>
      <c r="G447" s="823" t="s">
        <v>3968</v>
      </c>
      <c r="H447" s="708" t="s">
        <v>3969</v>
      </c>
      <c r="I447" s="824">
        <v>7</v>
      </c>
      <c r="J447" s="821">
        <v>0</v>
      </c>
      <c r="K447" s="821">
        <v>16</v>
      </c>
      <c r="L447" s="821">
        <f t="shared" si="91"/>
        <v>0.4375</v>
      </c>
      <c r="M447" s="825">
        <v>46226</v>
      </c>
      <c r="N447" s="825">
        <v>46223</v>
      </c>
      <c r="O447" s="820"/>
      <c r="P447" s="824"/>
      <c r="Q447" s="824"/>
      <c r="R447" s="827" t="s">
        <v>94</v>
      </c>
      <c r="S447" s="847" t="s">
        <v>95</v>
      </c>
      <c r="T447" s="848" t="s">
        <v>95</v>
      </c>
      <c r="U447" s="848"/>
      <c r="V447" s="829"/>
      <c r="W447" s="828"/>
      <c r="X447" s="828" t="s">
        <v>5356</v>
      </c>
      <c r="Y447" s="825" t="s">
        <v>2450</v>
      </c>
      <c r="Z447" s="830"/>
      <c r="AA447" s="822">
        <f>I447*Z447</f>
        <v>0</v>
      </c>
      <c r="AB447" s="831"/>
      <c r="AC447" s="846" t="s">
        <v>3968</v>
      </c>
      <c r="AD447" s="821" t="s">
        <v>112</v>
      </c>
      <c r="AE447" s="821">
        <f t="shared" si="92"/>
        <v>7</v>
      </c>
      <c r="AF447" s="821"/>
      <c r="AG447" s="708"/>
      <c r="AH447" s="833">
        <f t="shared" si="87"/>
        <v>-7</v>
      </c>
      <c r="AI447" s="824"/>
      <c r="AJ447" s="708" t="s">
        <v>3981</v>
      </c>
      <c r="AK447" s="834">
        <f>I447</f>
        <v>7</v>
      </c>
      <c r="AL447" s="834"/>
      <c r="AM447" s="822"/>
      <c r="AN447" s="834">
        <f t="shared" si="90"/>
        <v>7</v>
      </c>
      <c r="AO447" s="822"/>
      <c r="AP447" s="822"/>
      <c r="AQ447" s="822"/>
      <c r="AR447" s="822"/>
      <c r="AS447" s="822"/>
      <c r="AT447" s="822"/>
      <c r="AU447" s="834"/>
      <c r="AV447" s="834"/>
      <c r="AW447" s="834"/>
      <c r="AX447" s="822"/>
      <c r="AY447" s="822"/>
      <c r="AZ447" s="822"/>
      <c r="BA447" s="822"/>
      <c r="BB447" s="822"/>
      <c r="BC447" s="822"/>
      <c r="BD447" s="822"/>
      <c r="BE447" s="822"/>
      <c r="BF447" s="822"/>
      <c r="BG447" s="822"/>
      <c r="BH447" s="822"/>
      <c r="BI447" s="822"/>
      <c r="BJ447" s="659"/>
      <c r="BK447" s="659"/>
      <c r="BL447" s="659"/>
      <c r="BM447" s="659"/>
      <c r="BN447" s="659"/>
      <c r="BO447" s="659"/>
      <c r="BP447" s="659"/>
      <c r="BQ447" s="659"/>
      <c r="BR447" s="659"/>
      <c r="BS447" s="659"/>
      <c r="BT447" s="659"/>
      <c r="BU447" s="659"/>
      <c r="BV447" s="659"/>
      <c r="BW447" s="659"/>
      <c r="BX447" s="659"/>
      <c r="BY447" s="659"/>
      <c r="BZ447" s="659"/>
      <c r="CA447" s="659"/>
      <c r="CB447" s="659"/>
      <c r="CC447" s="659"/>
      <c r="CD447" s="659"/>
      <c r="CE447" s="659"/>
      <c r="CF447" s="659"/>
      <c r="CG447" s="659"/>
      <c r="CH447" s="659"/>
      <c r="CI447" s="659"/>
      <c r="CJ447" s="659"/>
      <c r="CK447" s="659"/>
      <c r="CL447" s="659"/>
      <c r="CM447" s="659"/>
      <c r="CN447" s="659"/>
      <c r="CO447" s="659"/>
      <c r="CP447" s="659"/>
      <c r="CQ447" s="659"/>
      <c r="CR447" s="659"/>
      <c r="CS447" s="667"/>
      <c r="CT447" s="667"/>
      <c r="CU447" s="667"/>
      <c r="CV447" s="667"/>
      <c r="CW447" s="667"/>
      <c r="CX447" s="667"/>
      <c r="CY447" s="667"/>
      <c r="CZ447" s="667"/>
      <c r="DA447" s="667"/>
      <c r="DB447" s="667"/>
      <c r="DC447" s="667"/>
      <c r="DD447" s="667"/>
    </row>
    <row r="448" s="651" customFormat="1" ht="31" customHeight="1" spans="1:108">
      <c r="A448" s="713">
        <v>46127</v>
      </c>
      <c r="B448" s="714" t="s">
        <v>2123</v>
      </c>
      <c r="C448" s="715" t="s">
        <v>2124</v>
      </c>
      <c r="D448" s="652" t="s">
        <v>5358</v>
      </c>
      <c r="E448" s="715" t="s">
        <v>628</v>
      </c>
      <c r="F448" s="652" t="s">
        <v>5359</v>
      </c>
      <c r="G448" s="716" t="s">
        <v>3973</v>
      </c>
      <c r="H448" s="715" t="s">
        <v>3995</v>
      </c>
      <c r="I448" s="717">
        <v>2880</v>
      </c>
      <c r="J448" s="715">
        <v>0</v>
      </c>
      <c r="K448" s="715">
        <v>16</v>
      </c>
      <c r="L448" s="715">
        <f t="shared" si="91"/>
        <v>180</v>
      </c>
      <c r="M448" s="719">
        <v>46227</v>
      </c>
      <c r="N448" s="719">
        <f>M448-4</f>
        <v>46223</v>
      </c>
      <c r="O448" s="714"/>
      <c r="P448" s="717" t="s">
        <v>106</v>
      </c>
      <c r="Q448" s="717" t="s">
        <v>1663</v>
      </c>
      <c r="R448" s="723" t="s">
        <v>5360</v>
      </c>
      <c r="S448" s="720" t="s">
        <v>107</v>
      </c>
      <c r="T448" s="735" t="s">
        <v>95</v>
      </c>
      <c r="U448" s="720"/>
      <c r="V448" s="720"/>
      <c r="W448" s="720"/>
      <c r="X448" s="720" t="s">
        <v>5361</v>
      </c>
      <c r="Y448" s="719" t="s">
        <v>222</v>
      </c>
      <c r="Z448" s="730">
        <v>4.5368</v>
      </c>
      <c r="AA448" s="652">
        <f>L448*Z448</f>
        <v>816.624</v>
      </c>
      <c r="AB448" s="721"/>
      <c r="AC448" s="747" t="s">
        <v>3973</v>
      </c>
      <c r="AD448" s="715" t="s">
        <v>112</v>
      </c>
      <c r="AE448" s="715">
        <f t="shared" si="92"/>
        <v>2880</v>
      </c>
      <c r="AF448" s="715"/>
      <c r="AG448" s="715">
        <v>2880</v>
      </c>
      <c r="AH448" s="715">
        <f t="shared" si="87"/>
        <v>0</v>
      </c>
      <c r="AI448" s="717"/>
      <c r="AJ448" s="715" t="s">
        <v>3981</v>
      </c>
      <c r="AK448" s="652">
        <f>I448</f>
        <v>2880</v>
      </c>
      <c r="AL448" s="652"/>
      <c r="AM448" s="652"/>
      <c r="AN448" s="652">
        <f t="shared" si="90"/>
        <v>2880</v>
      </c>
      <c r="AO448" s="652"/>
      <c r="AP448" s="652"/>
      <c r="AQ448" s="652"/>
      <c r="AR448" s="652"/>
      <c r="AS448" s="652"/>
      <c r="AT448" s="652">
        <f>I448/8</f>
        <v>360</v>
      </c>
      <c r="AU448" s="652"/>
      <c r="AV448" s="652"/>
      <c r="AW448" s="652"/>
      <c r="AX448" s="652"/>
      <c r="AY448" s="652"/>
      <c r="AZ448" s="652"/>
      <c r="BA448" s="652"/>
      <c r="BB448" s="652"/>
      <c r="BC448" s="652"/>
      <c r="BD448" s="652"/>
      <c r="BE448" s="652"/>
      <c r="BF448" s="652"/>
      <c r="BG448" s="652"/>
      <c r="BH448" s="652"/>
      <c r="BI448" s="652"/>
      <c r="BJ448" s="650"/>
      <c r="BK448" s="650"/>
      <c r="BL448" s="650"/>
      <c r="BM448" s="650"/>
      <c r="BN448" s="650"/>
      <c r="BO448" s="650"/>
      <c r="BP448" s="650"/>
      <c r="BQ448" s="650"/>
      <c r="BR448" s="650"/>
      <c r="BS448" s="650"/>
      <c r="BT448" s="650"/>
      <c r="BU448" s="650"/>
      <c r="BV448" s="650"/>
      <c r="BW448" s="650"/>
      <c r="BX448" s="650"/>
      <c r="BY448" s="650"/>
      <c r="BZ448" s="650"/>
      <c r="CA448" s="650"/>
      <c r="CB448" s="650"/>
      <c r="CC448" s="650"/>
      <c r="CD448" s="650"/>
      <c r="CE448" s="650"/>
      <c r="CF448" s="650"/>
      <c r="CG448" s="650"/>
      <c r="CH448" s="650"/>
      <c r="CI448" s="650"/>
      <c r="CJ448" s="650"/>
      <c r="CK448" s="650"/>
      <c r="CL448" s="650"/>
      <c r="CM448" s="650"/>
      <c r="CN448" s="650"/>
      <c r="CO448" s="650"/>
      <c r="CP448" s="650"/>
      <c r="CQ448" s="650"/>
      <c r="CR448" s="650"/>
      <c r="CS448" s="650"/>
      <c r="CT448" s="650"/>
      <c r="CU448" s="650"/>
      <c r="CV448" s="650"/>
      <c r="CW448" s="650"/>
      <c r="CX448" s="650"/>
      <c r="CY448" s="650"/>
      <c r="CZ448" s="650"/>
      <c r="DA448" s="650"/>
      <c r="DB448" s="650"/>
      <c r="DC448" s="650"/>
      <c r="DD448" s="650"/>
    </row>
    <row r="449" s="651" customFormat="1" ht="31" customHeight="1" spans="1:108">
      <c r="A449" s="713">
        <v>46134</v>
      </c>
      <c r="B449" s="714" t="s">
        <v>1532</v>
      </c>
      <c r="C449" s="715" t="s">
        <v>1533</v>
      </c>
      <c r="D449" s="652" t="s">
        <v>5362</v>
      </c>
      <c r="E449" s="715" t="s">
        <v>628</v>
      </c>
      <c r="F449" s="652" t="s">
        <v>5363</v>
      </c>
      <c r="G449" s="716" t="s">
        <v>3973</v>
      </c>
      <c r="H449" s="715" t="s">
        <v>3995</v>
      </c>
      <c r="I449" s="717">
        <v>4176</v>
      </c>
      <c r="J449" s="715">
        <v>0</v>
      </c>
      <c r="K449" s="715">
        <v>16</v>
      </c>
      <c r="L449" s="715">
        <f t="shared" si="91"/>
        <v>261</v>
      </c>
      <c r="M449" s="719">
        <v>46227</v>
      </c>
      <c r="N449" s="719">
        <v>46223</v>
      </c>
      <c r="O449" s="714"/>
      <c r="P449" s="717" t="s">
        <v>106</v>
      </c>
      <c r="Q449" s="717"/>
      <c r="R449" s="723" t="s">
        <v>5223</v>
      </c>
      <c r="S449" s="720" t="s">
        <v>107</v>
      </c>
      <c r="T449" s="720" t="s">
        <v>2183</v>
      </c>
      <c r="U449" s="720"/>
      <c r="V449" s="720"/>
      <c r="W449" s="720"/>
      <c r="X449" s="720" t="s">
        <v>5364</v>
      </c>
      <c r="Y449" s="719" t="s">
        <v>1169</v>
      </c>
      <c r="Z449" s="730">
        <v>4.5744</v>
      </c>
      <c r="AA449" s="652">
        <f>I449*Z449</f>
        <v>19102.6944</v>
      </c>
      <c r="AB449" s="721"/>
      <c r="AC449" s="652" t="s">
        <v>4108</v>
      </c>
      <c r="AD449" s="715" t="s">
        <v>112</v>
      </c>
      <c r="AE449" s="715">
        <f t="shared" si="92"/>
        <v>4176</v>
      </c>
      <c r="AF449" s="715"/>
      <c r="AG449" s="715">
        <v>4176</v>
      </c>
      <c r="AH449" s="715">
        <f t="shared" si="87"/>
        <v>0</v>
      </c>
      <c r="AI449" s="717"/>
      <c r="AJ449" s="715" t="s">
        <v>3981</v>
      </c>
      <c r="AK449" s="652"/>
      <c r="AL449" s="652">
        <f>I449</f>
        <v>4176</v>
      </c>
      <c r="AM449" s="652"/>
      <c r="AN449" s="652">
        <f t="shared" si="90"/>
        <v>4176</v>
      </c>
      <c r="AO449" s="652"/>
      <c r="AP449" s="652"/>
      <c r="AQ449" s="652"/>
      <c r="AR449" s="652"/>
      <c r="AS449" s="652"/>
      <c r="AT449" s="652"/>
      <c r="AU449" s="652">
        <v>288</v>
      </c>
      <c r="AV449" s="652"/>
      <c r="AW449" s="652"/>
      <c r="AX449" s="652"/>
      <c r="AY449" s="652"/>
      <c r="AZ449" s="652"/>
      <c r="BA449" s="652"/>
      <c r="BB449" s="652"/>
      <c r="BC449" s="652"/>
      <c r="BD449" s="652"/>
      <c r="BE449" s="652"/>
      <c r="BF449" s="652"/>
      <c r="BG449" s="652"/>
      <c r="BH449" s="652"/>
      <c r="BI449" s="652"/>
      <c r="BJ449" s="724"/>
      <c r="BK449" s="724"/>
      <c r="BL449" s="724"/>
      <c r="BM449" s="724"/>
      <c r="BN449" s="724"/>
      <c r="BO449" s="724"/>
      <c r="BP449" s="724"/>
      <c r="BQ449" s="724"/>
      <c r="BR449" s="724"/>
      <c r="BS449" s="724"/>
      <c r="BT449" s="724"/>
      <c r="BU449" s="724"/>
      <c r="BV449" s="724"/>
      <c r="BW449" s="724"/>
      <c r="BX449" s="724"/>
      <c r="BY449" s="724"/>
      <c r="BZ449" s="724"/>
      <c r="CA449" s="724"/>
      <c r="CB449" s="724"/>
      <c r="CC449" s="724"/>
      <c r="CD449" s="724"/>
      <c r="CE449" s="724"/>
      <c r="CF449" s="724"/>
      <c r="CG449" s="724"/>
      <c r="CH449" s="724"/>
      <c r="CI449" s="724"/>
      <c r="CJ449" s="724"/>
      <c r="CK449" s="724"/>
      <c r="CL449" s="724"/>
      <c r="CM449" s="724"/>
      <c r="CN449" s="724"/>
      <c r="CO449" s="724"/>
      <c r="CP449" s="724"/>
      <c r="CQ449" s="724"/>
      <c r="CR449" s="724"/>
      <c r="CS449" s="650"/>
      <c r="CT449" s="650"/>
      <c r="CU449" s="650"/>
      <c r="CV449" s="650"/>
      <c r="CW449" s="650"/>
      <c r="CX449" s="650"/>
      <c r="CY449" s="650"/>
      <c r="CZ449" s="650"/>
      <c r="DA449" s="650"/>
      <c r="DB449" s="650"/>
      <c r="DC449" s="650"/>
      <c r="DD449" s="650"/>
    </row>
    <row r="450" s="654" customFormat="1" ht="31" customHeight="1" spans="1:108">
      <c r="A450" s="713">
        <v>46174</v>
      </c>
      <c r="B450" s="714" t="s">
        <v>2148</v>
      </c>
      <c r="C450" s="715" t="s">
        <v>2149</v>
      </c>
      <c r="D450" s="652">
        <v>4500209865</v>
      </c>
      <c r="E450" s="715"/>
      <c r="F450" s="652" t="s">
        <v>5365</v>
      </c>
      <c r="G450" s="716" t="s">
        <v>3980</v>
      </c>
      <c r="H450" s="715" t="s">
        <v>3978</v>
      </c>
      <c r="I450" s="752">
        <v>584</v>
      </c>
      <c r="J450" s="715">
        <v>0</v>
      </c>
      <c r="K450" s="715">
        <v>8</v>
      </c>
      <c r="L450" s="739">
        <f t="shared" si="91"/>
        <v>73</v>
      </c>
      <c r="M450" s="738">
        <v>46227</v>
      </c>
      <c r="N450" s="738">
        <f>M450-4</f>
        <v>46223</v>
      </c>
      <c r="O450" s="714"/>
      <c r="P450" s="717" t="s">
        <v>106</v>
      </c>
      <c r="Q450" s="717"/>
      <c r="R450" s="723">
        <v>46174</v>
      </c>
      <c r="S450" s="720" t="s">
        <v>107</v>
      </c>
      <c r="T450" s="735" t="s">
        <v>5366</v>
      </c>
      <c r="U450" s="720"/>
      <c r="V450" s="720"/>
      <c r="W450" s="720"/>
      <c r="X450" s="720" t="s">
        <v>5367</v>
      </c>
      <c r="Y450" s="719" t="s">
        <v>236</v>
      </c>
      <c r="Z450" s="730">
        <v>4.7079</v>
      </c>
      <c r="AA450" s="652">
        <f>I450*Z450</f>
        <v>2749.4136</v>
      </c>
      <c r="AB450" s="721"/>
      <c r="AC450" s="722" t="s">
        <v>4031</v>
      </c>
      <c r="AD450" s="715" t="s">
        <v>112</v>
      </c>
      <c r="AE450" s="715">
        <f t="shared" si="92"/>
        <v>584</v>
      </c>
      <c r="AF450" s="715"/>
      <c r="AG450" s="715">
        <v>584</v>
      </c>
      <c r="AH450" s="715">
        <f t="shared" si="87"/>
        <v>0</v>
      </c>
      <c r="AI450" s="717"/>
      <c r="AJ450" s="715" t="s">
        <v>3981</v>
      </c>
      <c r="AK450" s="652"/>
      <c r="AL450" s="652">
        <f>I450</f>
        <v>584</v>
      </c>
      <c r="AM450" s="652"/>
      <c r="AN450" s="652">
        <f t="shared" si="90"/>
        <v>584</v>
      </c>
      <c r="AO450" s="652"/>
      <c r="AP450" s="652"/>
      <c r="AQ450" s="652"/>
      <c r="AR450" s="652"/>
      <c r="AS450" s="652"/>
      <c r="AT450" s="652"/>
      <c r="AU450" s="652">
        <f>I450/8</f>
        <v>73</v>
      </c>
      <c r="AV450" s="652"/>
      <c r="AW450" s="652"/>
      <c r="AX450" s="652"/>
      <c r="AY450" s="652"/>
      <c r="AZ450" s="652"/>
      <c r="BA450" s="652"/>
      <c r="BB450" s="652"/>
      <c r="BC450" s="652"/>
      <c r="BD450" s="652"/>
      <c r="BE450" s="652"/>
      <c r="BF450" s="652"/>
      <c r="BG450" s="652"/>
      <c r="BH450" s="652"/>
      <c r="BI450" s="652"/>
      <c r="BJ450" s="650"/>
      <c r="BK450" s="650"/>
      <c r="BL450" s="650"/>
      <c r="BM450" s="650"/>
      <c r="BN450" s="650"/>
      <c r="BO450" s="650"/>
      <c r="BP450" s="650"/>
      <c r="BQ450" s="650"/>
      <c r="BR450" s="650"/>
      <c r="BS450" s="650"/>
      <c r="BT450" s="650"/>
      <c r="BU450" s="650"/>
      <c r="BV450" s="650"/>
      <c r="BW450" s="650"/>
      <c r="BX450" s="650"/>
      <c r="BY450" s="650"/>
      <c r="BZ450" s="650"/>
      <c r="CA450" s="650"/>
      <c r="CB450" s="650"/>
      <c r="CC450" s="650"/>
      <c r="CD450" s="650"/>
      <c r="CE450" s="650"/>
      <c r="CF450" s="650"/>
      <c r="CG450" s="650"/>
      <c r="CH450" s="650"/>
      <c r="CI450" s="650"/>
      <c r="CJ450" s="650"/>
      <c r="CK450" s="650"/>
      <c r="CL450" s="650"/>
      <c r="CM450" s="650"/>
      <c r="CN450" s="650"/>
      <c r="CO450" s="650"/>
      <c r="CP450" s="650"/>
      <c r="CQ450" s="650"/>
      <c r="CR450" s="650"/>
      <c r="CS450" s="650"/>
      <c r="CT450" s="650"/>
      <c r="CU450" s="650"/>
      <c r="CV450" s="650"/>
      <c r="CW450" s="650"/>
      <c r="CX450" s="650"/>
      <c r="CY450" s="650"/>
      <c r="CZ450" s="650"/>
      <c r="DA450" s="650"/>
      <c r="DB450" s="650"/>
      <c r="DC450" s="650"/>
      <c r="DD450" s="650"/>
    </row>
    <row r="451" s="650" customFormat="1" ht="31" customHeight="1" spans="1:108">
      <c r="A451" s="713">
        <v>46134</v>
      </c>
      <c r="B451" s="714" t="s">
        <v>1532</v>
      </c>
      <c r="C451" s="715" t="s">
        <v>1533</v>
      </c>
      <c r="D451" s="652" t="s">
        <v>5368</v>
      </c>
      <c r="E451" s="715" t="s">
        <v>2179</v>
      </c>
      <c r="F451" s="652" t="s">
        <v>5369</v>
      </c>
      <c r="G451" s="716" t="s">
        <v>3973</v>
      </c>
      <c r="H451" s="715" t="s">
        <v>3995</v>
      </c>
      <c r="I451" s="717">
        <v>496</v>
      </c>
      <c r="J451" s="715">
        <v>0</v>
      </c>
      <c r="K451" s="715">
        <v>16</v>
      </c>
      <c r="L451" s="715">
        <f t="shared" si="91"/>
        <v>31</v>
      </c>
      <c r="M451" s="719">
        <v>46227</v>
      </c>
      <c r="N451" s="719">
        <v>46223</v>
      </c>
      <c r="O451" s="714"/>
      <c r="P451" s="717" t="s">
        <v>106</v>
      </c>
      <c r="Q451" s="717"/>
      <c r="R451" s="723" t="s">
        <v>2182</v>
      </c>
      <c r="S451" s="720" t="s">
        <v>107</v>
      </c>
      <c r="T451" s="735" t="s">
        <v>2183</v>
      </c>
      <c r="U451" s="720"/>
      <c r="V451" s="720"/>
      <c r="W451" s="720"/>
      <c r="X451" s="714" t="s">
        <v>5370</v>
      </c>
      <c r="Y451" s="719" t="s">
        <v>1169</v>
      </c>
      <c r="Z451" s="730">
        <v>4.5847</v>
      </c>
      <c r="AA451" s="652">
        <f>I451*Z451</f>
        <v>2274.0112</v>
      </c>
      <c r="AB451" s="721"/>
      <c r="AC451" s="652" t="s">
        <v>4108</v>
      </c>
      <c r="AD451" s="715" t="s">
        <v>112</v>
      </c>
      <c r="AE451" s="715">
        <f t="shared" si="92"/>
        <v>496</v>
      </c>
      <c r="AF451" s="715"/>
      <c r="AG451" s="715">
        <v>496</v>
      </c>
      <c r="AH451" s="715">
        <f t="shared" si="87"/>
        <v>0</v>
      </c>
      <c r="AI451" s="717"/>
      <c r="AJ451" s="715" t="s">
        <v>3981</v>
      </c>
      <c r="AK451" s="652"/>
      <c r="AL451" s="652">
        <f>I451</f>
        <v>496</v>
      </c>
      <c r="AM451" s="652"/>
      <c r="AN451" s="652">
        <f t="shared" si="90"/>
        <v>496</v>
      </c>
      <c r="AO451" s="652"/>
      <c r="AP451" s="652"/>
      <c r="AQ451" s="652"/>
      <c r="AR451" s="652"/>
      <c r="AS451" s="652"/>
      <c r="AT451" s="652"/>
      <c r="AU451" s="652">
        <v>288</v>
      </c>
      <c r="AV451" s="652"/>
      <c r="AW451" s="652"/>
      <c r="AX451" s="652"/>
      <c r="AY451" s="652"/>
      <c r="AZ451" s="652"/>
      <c r="BA451" s="652"/>
      <c r="BB451" s="652"/>
      <c r="BC451" s="652"/>
      <c r="BD451" s="652"/>
      <c r="BE451" s="652"/>
      <c r="BF451" s="652"/>
      <c r="BG451" s="652"/>
      <c r="BH451" s="652"/>
      <c r="BI451" s="652"/>
      <c r="BJ451" s="731"/>
      <c r="BK451" s="731"/>
      <c r="BL451" s="731"/>
      <c r="BM451" s="731"/>
      <c r="BN451" s="731"/>
      <c r="BO451" s="731"/>
      <c r="BP451" s="731"/>
      <c r="BQ451" s="731"/>
      <c r="BR451" s="731"/>
      <c r="BS451" s="731"/>
      <c r="BT451" s="731"/>
      <c r="BU451" s="731"/>
      <c r="BV451" s="731"/>
      <c r="BW451" s="731"/>
      <c r="BX451" s="731"/>
      <c r="BY451" s="731"/>
      <c r="BZ451" s="731"/>
      <c r="CA451" s="731"/>
      <c r="CB451" s="731"/>
      <c r="CC451" s="731"/>
      <c r="CD451" s="731"/>
      <c r="CE451" s="731"/>
      <c r="CF451" s="731"/>
      <c r="CG451" s="731"/>
      <c r="CH451" s="731"/>
      <c r="CI451" s="731"/>
      <c r="CJ451" s="731"/>
      <c r="CK451" s="731"/>
      <c r="CL451" s="731"/>
      <c r="CM451" s="731"/>
      <c r="CN451" s="731"/>
      <c r="CO451" s="731"/>
      <c r="CP451" s="731"/>
      <c r="CQ451" s="731"/>
      <c r="CR451" s="731"/>
    </row>
    <row r="452" s="653" customFormat="1" ht="31" customHeight="1" spans="1:108">
      <c r="A452" s="756">
        <v>46134</v>
      </c>
      <c r="B452" s="757" t="s">
        <v>1532</v>
      </c>
      <c r="C452" s="758" t="s">
        <v>1533</v>
      </c>
      <c r="D452" s="653" t="s">
        <v>5371</v>
      </c>
      <c r="E452" s="758" t="s">
        <v>2195</v>
      </c>
      <c r="F452" s="653" t="s">
        <v>5372</v>
      </c>
      <c r="G452" s="760" t="s">
        <v>3973</v>
      </c>
      <c r="H452" s="758" t="s">
        <v>3995</v>
      </c>
      <c r="I452" s="761">
        <v>192</v>
      </c>
      <c r="J452" s="758">
        <v>0</v>
      </c>
      <c r="K452" s="758">
        <v>16</v>
      </c>
      <c r="L452" s="758">
        <f t="shared" si="91"/>
        <v>12</v>
      </c>
      <c r="M452" s="763">
        <v>46227</v>
      </c>
      <c r="N452" s="763">
        <v>46223</v>
      </c>
      <c r="O452" s="757"/>
      <c r="P452" s="761" t="s">
        <v>106</v>
      </c>
      <c r="Q452" s="761"/>
      <c r="R452" s="734" t="s">
        <v>2182</v>
      </c>
      <c r="S452" s="735" t="s">
        <v>107</v>
      </c>
      <c r="T452" s="735" t="s">
        <v>1537</v>
      </c>
      <c r="U452" s="735"/>
      <c r="V452" s="765"/>
      <c r="W452" s="765"/>
      <c r="X452" s="765" t="s">
        <v>2198</v>
      </c>
      <c r="Y452" s="763" t="s">
        <v>1169</v>
      </c>
      <c r="Z452" s="800">
        <v>4.5847</v>
      </c>
      <c r="AA452" s="653">
        <f>I452*Z452</f>
        <v>880.2624</v>
      </c>
      <c r="AB452" s="721"/>
      <c r="AC452" s="652" t="s">
        <v>4108</v>
      </c>
      <c r="AD452" s="715" t="s">
        <v>112</v>
      </c>
      <c r="AE452" s="758">
        <f t="shared" si="92"/>
        <v>192</v>
      </c>
      <c r="AF452" s="758"/>
      <c r="AG452" s="758">
        <v>192</v>
      </c>
      <c r="AH452" s="715">
        <f t="shared" si="87"/>
        <v>0</v>
      </c>
      <c r="AI452" s="761"/>
      <c r="AJ452" s="715" t="s">
        <v>3981</v>
      </c>
      <c r="AK452" s="652"/>
      <c r="AL452" s="652">
        <f>I452</f>
        <v>192</v>
      </c>
      <c r="AM452" s="652"/>
      <c r="AN452" s="652">
        <f t="shared" si="90"/>
        <v>192</v>
      </c>
      <c r="AP452" s="652"/>
      <c r="AQ452" s="653"/>
      <c r="AR452" s="653"/>
      <c r="AS452" s="653"/>
      <c r="AT452" s="653"/>
      <c r="AU452" s="653">
        <v>288</v>
      </c>
      <c r="BI452" s="652"/>
      <c r="BJ452" s="849"/>
      <c r="BK452" s="849"/>
      <c r="BL452" s="849"/>
      <c r="BM452" s="849"/>
      <c r="BN452" s="849"/>
      <c r="BO452" s="849"/>
      <c r="BP452" s="849"/>
      <c r="BQ452" s="849"/>
      <c r="BR452" s="849"/>
      <c r="BS452" s="849"/>
      <c r="BT452" s="849"/>
      <c r="BU452" s="849"/>
      <c r="BV452" s="849"/>
      <c r="BW452" s="849"/>
      <c r="BX452" s="849"/>
      <c r="BY452" s="849"/>
      <c r="BZ452" s="849"/>
      <c r="CA452" s="849"/>
      <c r="CB452" s="849"/>
      <c r="CC452" s="849"/>
      <c r="CD452" s="849"/>
      <c r="CE452" s="849"/>
      <c r="CF452" s="849"/>
      <c r="CG452" s="849"/>
      <c r="CH452" s="849"/>
      <c r="CI452" s="849"/>
      <c r="CJ452" s="849"/>
      <c r="CK452" s="849"/>
      <c r="CL452" s="849"/>
      <c r="CM452" s="849"/>
      <c r="CN452" s="849"/>
      <c r="CO452" s="849"/>
      <c r="CP452" s="849"/>
      <c r="CQ452" s="849"/>
      <c r="CR452" s="849"/>
    </row>
    <row r="453" s="654" customFormat="1" ht="31" customHeight="1" spans="1:108">
      <c r="A453" s="713">
        <v>46139</v>
      </c>
      <c r="B453" s="714" t="s">
        <v>874</v>
      </c>
      <c r="C453" s="715" t="s">
        <v>135</v>
      </c>
      <c r="D453" s="652" t="s">
        <v>5373</v>
      </c>
      <c r="E453" s="715" t="s">
        <v>5374</v>
      </c>
      <c r="F453" s="652" t="s">
        <v>5375</v>
      </c>
      <c r="G453" s="716" t="s">
        <v>3980</v>
      </c>
      <c r="H453" s="715" t="s">
        <v>3978</v>
      </c>
      <c r="I453" s="717">
        <v>7056</v>
      </c>
      <c r="J453" s="715">
        <v>0</v>
      </c>
      <c r="K453" s="715">
        <v>8</v>
      </c>
      <c r="L453" s="715">
        <f t="shared" si="91"/>
        <v>882</v>
      </c>
      <c r="M453" s="719">
        <v>46227</v>
      </c>
      <c r="N453" s="719">
        <v>46223</v>
      </c>
      <c r="O453" s="714"/>
      <c r="P453" s="717" t="s">
        <v>106</v>
      </c>
      <c r="Q453" s="717"/>
      <c r="R453" s="723" t="s">
        <v>5376</v>
      </c>
      <c r="S453" s="720" t="s">
        <v>107</v>
      </c>
      <c r="T453" s="720" t="s">
        <v>5377</v>
      </c>
      <c r="U453" s="720"/>
      <c r="V453" s="720" t="s">
        <v>4056</v>
      </c>
      <c r="W453" s="720"/>
      <c r="X453" s="720" t="s">
        <v>5378</v>
      </c>
      <c r="Y453" s="719" t="s">
        <v>236</v>
      </c>
      <c r="Z453" s="730">
        <v>4.5303</v>
      </c>
      <c r="AA453" s="652">
        <f>Z453*I453</f>
        <v>31965.7968</v>
      </c>
      <c r="AB453" s="721"/>
      <c r="AC453" s="722" t="s">
        <v>3980</v>
      </c>
      <c r="AD453" s="715" t="s">
        <v>112</v>
      </c>
      <c r="AE453" s="715">
        <f t="shared" si="92"/>
        <v>7056</v>
      </c>
      <c r="AF453" s="715" t="s">
        <v>5125</v>
      </c>
      <c r="AG453" s="715">
        <v>7056</v>
      </c>
      <c r="AH453" s="715">
        <f t="shared" si="87"/>
        <v>0</v>
      </c>
      <c r="AI453" s="717" t="s">
        <v>95</v>
      </c>
      <c r="AJ453" s="715" t="s">
        <v>3981</v>
      </c>
      <c r="AK453" s="652">
        <f>I453</f>
        <v>7056</v>
      </c>
      <c r="AL453" s="652"/>
      <c r="AM453" s="652"/>
      <c r="AN453" s="652">
        <f t="shared" si="90"/>
        <v>7056</v>
      </c>
      <c r="AO453" s="652"/>
      <c r="AP453" s="652"/>
      <c r="AQ453" s="652"/>
      <c r="AR453" s="652"/>
      <c r="AS453" s="652"/>
      <c r="AT453" s="652">
        <f>I453/8</f>
        <v>882</v>
      </c>
      <c r="AU453" s="652"/>
      <c r="AV453" s="652"/>
      <c r="AW453" s="652"/>
      <c r="AX453" s="652"/>
      <c r="AY453" s="652"/>
      <c r="AZ453" s="652"/>
      <c r="BA453" s="652"/>
      <c r="BB453" s="652"/>
      <c r="BC453" s="652"/>
      <c r="BD453" s="652"/>
      <c r="BE453" s="652"/>
      <c r="BF453" s="652"/>
      <c r="BG453" s="652"/>
      <c r="BH453" s="652"/>
      <c r="BI453" s="652"/>
      <c r="BJ453" s="650"/>
      <c r="BK453" s="650"/>
      <c r="BL453" s="650"/>
      <c r="BM453" s="650"/>
      <c r="BN453" s="650"/>
      <c r="BO453" s="650"/>
      <c r="BP453" s="650"/>
      <c r="BQ453" s="650"/>
      <c r="BR453" s="650"/>
      <c r="BS453" s="650"/>
      <c r="BT453" s="650"/>
      <c r="BU453" s="650"/>
      <c r="BV453" s="650"/>
      <c r="BW453" s="650"/>
      <c r="BX453" s="650"/>
      <c r="BY453" s="650"/>
      <c r="BZ453" s="650"/>
      <c r="CA453" s="650"/>
      <c r="CB453" s="650"/>
      <c r="CC453" s="650"/>
      <c r="CD453" s="650"/>
      <c r="CE453" s="650"/>
      <c r="CF453" s="650"/>
      <c r="CG453" s="650"/>
      <c r="CH453" s="650"/>
      <c r="CI453" s="650"/>
      <c r="CJ453" s="650"/>
      <c r="CK453" s="650"/>
      <c r="CL453" s="650"/>
      <c r="CM453" s="650"/>
      <c r="CN453" s="650"/>
      <c r="CO453" s="650"/>
      <c r="CP453" s="650"/>
      <c r="CQ453" s="650"/>
      <c r="CR453" s="650"/>
      <c r="CS453" s="650"/>
      <c r="CT453" s="650"/>
      <c r="CU453" s="650"/>
      <c r="CV453" s="650"/>
      <c r="CW453" s="650"/>
      <c r="CX453" s="650"/>
      <c r="CY453" s="650"/>
      <c r="CZ453" s="650"/>
      <c r="DA453" s="650"/>
      <c r="DB453" s="650"/>
      <c r="DC453" s="650"/>
      <c r="DD453" s="650"/>
    </row>
    <row r="454" s="650" customFormat="1" ht="31" customHeight="1" spans="1:108">
      <c r="A454" s="713">
        <v>46136</v>
      </c>
      <c r="B454" s="714" t="s">
        <v>191</v>
      </c>
      <c r="C454" s="715" t="s">
        <v>164</v>
      </c>
      <c r="D454" s="652" t="s">
        <v>5379</v>
      </c>
      <c r="E454" s="715" t="s">
        <v>5380</v>
      </c>
      <c r="F454" s="652" t="s">
        <v>5381</v>
      </c>
      <c r="G454" s="716" t="s">
        <v>4028</v>
      </c>
      <c r="H454" s="746" t="s">
        <v>3978</v>
      </c>
      <c r="I454" s="717">
        <v>9000</v>
      </c>
      <c r="J454" s="715">
        <v>0</v>
      </c>
      <c r="K454" s="715">
        <v>8</v>
      </c>
      <c r="L454" s="715">
        <f t="shared" si="91"/>
        <v>1125</v>
      </c>
      <c r="M454" s="719">
        <v>46227</v>
      </c>
      <c r="N454" s="719">
        <v>46223</v>
      </c>
      <c r="O454" s="714"/>
      <c r="P454" s="717" t="s">
        <v>106</v>
      </c>
      <c r="Q454" s="717"/>
      <c r="R454" s="723">
        <v>46197</v>
      </c>
      <c r="S454" s="720" t="s">
        <v>107</v>
      </c>
      <c r="T454" s="720" t="s">
        <v>1479</v>
      </c>
      <c r="U454" s="720"/>
      <c r="V454" s="720" t="s">
        <v>4982</v>
      </c>
      <c r="W454" s="720"/>
      <c r="X454" s="720" t="s">
        <v>5382</v>
      </c>
      <c r="Y454" s="719" t="s">
        <v>895</v>
      </c>
      <c r="Z454" s="730">
        <v>4.5677</v>
      </c>
      <c r="AA454" s="652">
        <f>L454*Z454</f>
        <v>5138.6625</v>
      </c>
      <c r="AB454" s="721"/>
      <c r="AC454" s="722" t="s">
        <v>4031</v>
      </c>
      <c r="AD454" s="715" t="s">
        <v>112</v>
      </c>
      <c r="AE454" s="715">
        <f t="shared" si="92"/>
        <v>9000</v>
      </c>
      <c r="AF454" s="715"/>
      <c r="AG454" s="715">
        <f>8040+960</f>
        <v>9000</v>
      </c>
      <c r="AH454" s="715">
        <f t="shared" si="87"/>
        <v>0</v>
      </c>
      <c r="AI454" s="717"/>
      <c r="AJ454" s="715" t="s">
        <v>3981</v>
      </c>
      <c r="AK454" s="652"/>
      <c r="AL454" s="652">
        <f>I454</f>
        <v>9000</v>
      </c>
      <c r="AM454" s="652"/>
      <c r="AN454" s="652">
        <f t="shared" si="90"/>
        <v>9000</v>
      </c>
      <c r="AO454" s="652"/>
      <c r="AP454" s="652"/>
      <c r="AQ454" s="652"/>
      <c r="AR454" s="652"/>
      <c r="AS454" s="652"/>
      <c r="AT454" s="652"/>
      <c r="AU454" s="652">
        <f>I454/8</f>
        <v>1125</v>
      </c>
      <c r="AV454" s="652"/>
      <c r="AW454" s="652"/>
      <c r="AX454" s="652"/>
      <c r="AY454" s="652"/>
      <c r="AZ454" s="652"/>
      <c r="BA454" s="652"/>
      <c r="BB454" s="652"/>
      <c r="BC454" s="652"/>
      <c r="BD454" s="652"/>
      <c r="BE454" s="652"/>
      <c r="BF454" s="652"/>
      <c r="BG454" s="652"/>
      <c r="BH454" s="652"/>
      <c r="BI454" s="652"/>
    </row>
    <row r="455" s="654" customFormat="1" ht="31" customHeight="1" spans="1:108">
      <c r="A455" s="713">
        <v>46139</v>
      </c>
      <c r="B455" s="714" t="s">
        <v>2304</v>
      </c>
      <c r="C455" s="715" t="s">
        <v>115</v>
      </c>
      <c r="D455" s="652" t="s">
        <v>5383</v>
      </c>
      <c r="E455" s="715" t="s">
        <v>5384</v>
      </c>
      <c r="F455" s="652" t="s">
        <v>5385</v>
      </c>
      <c r="G455" s="716" t="s">
        <v>3980</v>
      </c>
      <c r="H455" s="715" t="s">
        <v>3978</v>
      </c>
      <c r="I455" s="717">
        <v>10000</v>
      </c>
      <c r="J455" s="715">
        <v>0</v>
      </c>
      <c r="K455" s="715">
        <v>8</v>
      </c>
      <c r="L455" s="715">
        <f t="shared" si="91"/>
        <v>1250</v>
      </c>
      <c r="M455" s="719">
        <v>46227</v>
      </c>
      <c r="N455" s="719">
        <v>46223</v>
      </c>
      <c r="O455" s="714"/>
      <c r="P455" s="717" t="s">
        <v>106</v>
      </c>
      <c r="Q455" s="717"/>
      <c r="R455" s="723">
        <v>46188</v>
      </c>
      <c r="S455" s="720" t="s">
        <v>107</v>
      </c>
      <c r="T455" s="720" t="s">
        <v>5386</v>
      </c>
      <c r="U455" s="720"/>
      <c r="V455" s="720" t="s">
        <v>4056</v>
      </c>
      <c r="W455" s="720"/>
      <c r="X455" s="720" t="s">
        <v>5387</v>
      </c>
      <c r="Y455" s="719" t="s">
        <v>299</v>
      </c>
      <c r="Z455" s="730">
        <v>2.7793</v>
      </c>
      <c r="AA455" s="652">
        <f>Z455*I455</f>
        <v>27793</v>
      </c>
      <c r="AB455" s="729" t="s">
        <v>5388</v>
      </c>
      <c r="AC455" s="722" t="s">
        <v>4031</v>
      </c>
      <c r="AD455" s="715" t="s">
        <v>112</v>
      </c>
      <c r="AE455" s="715">
        <f t="shared" si="92"/>
        <v>10000</v>
      </c>
      <c r="AF455" s="715"/>
      <c r="AG455" s="715">
        <v>10000</v>
      </c>
      <c r="AH455" s="715">
        <f t="shared" si="87"/>
        <v>0</v>
      </c>
      <c r="AI455" s="717"/>
      <c r="AJ455" s="715" t="s">
        <v>3981</v>
      </c>
      <c r="AK455" s="652"/>
      <c r="AL455" s="652">
        <f>I455</f>
        <v>10000</v>
      </c>
      <c r="AM455" s="652"/>
      <c r="AN455" s="652">
        <f t="shared" si="90"/>
        <v>10000</v>
      </c>
      <c r="AO455" s="652"/>
      <c r="AP455" s="652"/>
      <c r="AQ455" s="652"/>
      <c r="AR455" s="652"/>
      <c r="AS455" s="652"/>
      <c r="AT455" s="652"/>
      <c r="AU455" s="652">
        <f>I455/8</f>
        <v>1250</v>
      </c>
      <c r="AV455" s="652"/>
      <c r="AW455" s="652"/>
      <c r="AX455" s="652"/>
      <c r="AY455" s="652"/>
      <c r="AZ455" s="652"/>
      <c r="BA455" s="652"/>
      <c r="BB455" s="652"/>
      <c r="BC455" s="652"/>
      <c r="BD455" s="652"/>
      <c r="BE455" s="652"/>
      <c r="BF455" s="652"/>
      <c r="BG455" s="652"/>
      <c r="BH455" s="652"/>
      <c r="BI455" s="652"/>
      <c r="BJ455" s="650"/>
      <c r="BK455" s="650"/>
      <c r="BL455" s="650"/>
      <c r="BM455" s="650"/>
      <c r="BN455" s="650"/>
      <c r="BO455" s="650"/>
      <c r="BP455" s="650"/>
      <c r="BQ455" s="650"/>
      <c r="BR455" s="650"/>
      <c r="BS455" s="650"/>
      <c r="BT455" s="650"/>
      <c r="BU455" s="650"/>
      <c r="BV455" s="650"/>
      <c r="BW455" s="650"/>
      <c r="BX455" s="650"/>
      <c r="BY455" s="650"/>
      <c r="BZ455" s="650"/>
      <c r="CA455" s="650"/>
      <c r="CB455" s="650"/>
      <c r="CC455" s="650"/>
      <c r="CD455" s="650"/>
      <c r="CE455" s="650"/>
      <c r="CF455" s="650"/>
      <c r="CG455" s="650"/>
      <c r="CH455" s="650"/>
      <c r="CI455" s="650"/>
      <c r="CJ455" s="650"/>
      <c r="CK455" s="650"/>
      <c r="CL455" s="650"/>
      <c r="CM455" s="650"/>
      <c r="CN455" s="650"/>
      <c r="CO455" s="650"/>
      <c r="CP455" s="650"/>
      <c r="CQ455" s="650"/>
      <c r="CR455" s="650"/>
      <c r="CS455" s="650"/>
      <c r="CT455" s="650"/>
      <c r="CU455" s="650"/>
      <c r="CV455" s="650"/>
      <c r="CW455" s="650"/>
      <c r="CX455" s="650"/>
      <c r="CY455" s="650"/>
      <c r="CZ455" s="650"/>
      <c r="DA455" s="650"/>
      <c r="DB455" s="650"/>
      <c r="DC455" s="650"/>
      <c r="DD455" s="650"/>
    </row>
    <row r="456" s="650" customFormat="1" ht="31" customHeight="1" spans="1:108">
      <c r="A456" s="713">
        <v>46167</v>
      </c>
      <c r="B456" s="714" t="s">
        <v>607</v>
      </c>
      <c r="C456" s="715" t="s">
        <v>608</v>
      </c>
      <c r="D456" s="652" t="s">
        <v>5389</v>
      </c>
      <c r="E456" s="715" t="s">
        <v>5390</v>
      </c>
      <c r="F456" s="652" t="s">
        <v>5391</v>
      </c>
      <c r="G456" s="716" t="s">
        <v>4028</v>
      </c>
      <c r="H456" s="715" t="s">
        <v>3978</v>
      </c>
      <c r="I456" s="717">
        <v>3200</v>
      </c>
      <c r="J456" s="715">
        <v>0</v>
      </c>
      <c r="K456" s="715">
        <v>8</v>
      </c>
      <c r="L456" s="715">
        <f t="shared" si="91"/>
        <v>400</v>
      </c>
      <c r="M456" s="719">
        <v>46227</v>
      </c>
      <c r="N456" s="719">
        <v>46223</v>
      </c>
      <c r="O456" s="714"/>
      <c r="P456" s="717" t="s">
        <v>106</v>
      </c>
      <c r="Q456" s="717"/>
      <c r="R456" s="723">
        <v>46197</v>
      </c>
      <c r="S456" s="720" t="s">
        <v>107</v>
      </c>
      <c r="T456" s="720" t="s">
        <v>4512</v>
      </c>
      <c r="U456" s="720"/>
      <c r="V456" s="720"/>
      <c r="W456" s="720"/>
      <c r="X456" s="720" t="s">
        <v>5392</v>
      </c>
      <c r="Y456" s="719" t="s">
        <v>895</v>
      </c>
      <c r="Z456" s="730">
        <v>4.6974</v>
      </c>
      <c r="AA456" s="652">
        <f>L456*Z456</f>
        <v>1878.96</v>
      </c>
      <c r="AB456" s="721"/>
      <c r="AC456" s="722" t="s">
        <v>4031</v>
      </c>
      <c r="AD456" s="715" t="s">
        <v>112</v>
      </c>
      <c r="AE456" s="715">
        <f t="shared" si="92"/>
        <v>3200</v>
      </c>
      <c r="AF456" s="715"/>
      <c r="AG456" s="715">
        <f>2880+320</f>
        <v>3200</v>
      </c>
      <c r="AH456" s="715">
        <f t="shared" si="87"/>
        <v>0</v>
      </c>
      <c r="AI456" s="717"/>
      <c r="AJ456" s="715" t="s">
        <v>3981</v>
      </c>
      <c r="AK456" s="652"/>
      <c r="AL456" s="652">
        <f>I456</f>
        <v>3200</v>
      </c>
      <c r="AM456" s="652"/>
      <c r="AN456" s="652">
        <f t="shared" si="90"/>
        <v>3200</v>
      </c>
      <c r="AO456" s="652"/>
      <c r="AP456" s="652"/>
      <c r="AQ456" s="652"/>
      <c r="AR456" s="652"/>
      <c r="AS456" s="652"/>
      <c r="AT456" s="652"/>
      <c r="AU456" s="652">
        <f>I456/8</f>
        <v>400</v>
      </c>
      <c r="AV456" s="652"/>
      <c r="AW456" s="652"/>
      <c r="AX456" s="652"/>
      <c r="AY456" s="652"/>
      <c r="AZ456" s="652"/>
      <c r="BA456" s="652"/>
      <c r="BB456" s="652"/>
      <c r="BC456" s="652"/>
      <c r="BD456" s="652"/>
      <c r="BE456" s="652"/>
      <c r="BF456" s="652"/>
      <c r="BG456" s="652"/>
      <c r="BH456" s="652"/>
      <c r="BI456" s="652"/>
      <c r="BJ456" s="650"/>
      <c r="BK456" s="650"/>
      <c r="BL456" s="650"/>
      <c r="BM456" s="650"/>
      <c r="BN456" s="650"/>
      <c r="BO456" s="650"/>
      <c r="BP456" s="650"/>
      <c r="BQ456" s="650"/>
      <c r="BR456" s="650"/>
      <c r="BS456" s="650"/>
      <c r="BT456" s="650"/>
      <c r="BU456" s="650"/>
      <c r="BV456" s="650"/>
      <c r="BW456" s="650"/>
      <c r="BX456" s="650"/>
      <c r="BY456" s="650"/>
      <c r="BZ456" s="650"/>
      <c r="CA456" s="650"/>
      <c r="CB456" s="650"/>
      <c r="CC456" s="650"/>
      <c r="CD456" s="650"/>
      <c r="CE456" s="650"/>
      <c r="CF456" s="650"/>
      <c r="CG456" s="650"/>
      <c r="CH456" s="650"/>
      <c r="CI456" s="650"/>
      <c r="CJ456" s="650"/>
      <c r="CK456" s="650"/>
      <c r="CL456" s="650"/>
      <c r="CM456" s="650"/>
      <c r="CN456" s="650"/>
      <c r="CO456" s="650"/>
      <c r="CP456" s="650"/>
      <c r="CQ456" s="650"/>
      <c r="CR456" s="650"/>
      <c r="CS456" s="651"/>
      <c r="CT456" s="651"/>
      <c r="CU456" s="651"/>
      <c r="CV456" s="651"/>
      <c r="CW456" s="651"/>
      <c r="CX456" s="651"/>
      <c r="CY456" s="651"/>
      <c r="CZ456" s="651"/>
      <c r="DA456" s="651"/>
      <c r="DB456" s="651"/>
      <c r="DC456" s="651"/>
      <c r="DD456" s="651"/>
    </row>
    <row r="457" s="650" customFormat="1" ht="31" customHeight="1" spans="1:108">
      <c r="A457" s="713">
        <v>46184</v>
      </c>
      <c r="B457" s="714" t="s">
        <v>114</v>
      </c>
      <c r="C457" s="715" t="s">
        <v>115</v>
      </c>
      <c r="D457" s="652">
        <v>4500211701</v>
      </c>
      <c r="E457" s="715" t="s">
        <v>5393</v>
      </c>
      <c r="F457" s="652" t="s">
        <v>5394</v>
      </c>
      <c r="G457" s="716" t="s">
        <v>3980</v>
      </c>
      <c r="H457" s="715" t="s">
        <v>3978</v>
      </c>
      <c r="I457" s="717">
        <v>5192</v>
      </c>
      <c r="J457" s="715">
        <v>0</v>
      </c>
      <c r="K457" s="715">
        <v>8</v>
      </c>
      <c r="L457" s="715">
        <f t="shared" si="91"/>
        <v>649</v>
      </c>
      <c r="M457" s="719">
        <v>46227</v>
      </c>
      <c r="N457" s="719">
        <v>46223</v>
      </c>
      <c r="O457" s="714"/>
      <c r="P457" s="717" t="s">
        <v>106</v>
      </c>
      <c r="Q457" s="717"/>
      <c r="R457" s="723" t="s">
        <v>5343</v>
      </c>
      <c r="S457" s="720" t="s">
        <v>107</v>
      </c>
      <c r="T457" s="720" t="s">
        <v>5395</v>
      </c>
      <c r="U457" s="720"/>
      <c r="V457" s="720"/>
      <c r="W457" s="720"/>
      <c r="X457" s="720" t="s">
        <v>5396</v>
      </c>
      <c r="Y457" s="719" t="s">
        <v>123</v>
      </c>
      <c r="Z457" s="730">
        <v>2.7891</v>
      </c>
      <c r="AA457" s="652">
        <f>I457*Z457</f>
        <v>14481.0072</v>
      </c>
      <c r="AB457" s="729" t="s">
        <v>5397</v>
      </c>
      <c r="AC457" s="722" t="s">
        <v>3980</v>
      </c>
      <c r="AD457" s="715" t="s">
        <v>112</v>
      </c>
      <c r="AE457" s="715">
        <f t="shared" si="92"/>
        <v>5192</v>
      </c>
      <c r="AF457" s="715"/>
      <c r="AG457" s="715">
        <v>5192</v>
      </c>
      <c r="AH457" s="715">
        <f t="shared" si="87"/>
        <v>0</v>
      </c>
      <c r="AI457" s="717"/>
      <c r="AJ457" s="715" t="s">
        <v>3981</v>
      </c>
      <c r="AK457" s="652">
        <f>I457</f>
        <v>5192</v>
      </c>
      <c r="AL457" s="652"/>
      <c r="AM457" s="652"/>
      <c r="AN457" s="652">
        <f t="shared" si="90"/>
        <v>5192</v>
      </c>
      <c r="AO457" s="652"/>
      <c r="AP457" s="652"/>
      <c r="AQ457" s="652"/>
      <c r="AR457" s="652"/>
      <c r="AS457" s="652"/>
      <c r="AT457" s="652">
        <f>I457/8</f>
        <v>649</v>
      </c>
      <c r="AU457" s="652"/>
      <c r="AV457" s="652"/>
      <c r="AW457" s="652"/>
      <c r="AX457" s="652"/>
      <c r="AY457" s="652"/>
      <c r="AZ457" s="652"/>
      <c r="BA457" s="652"/>
      <c r="BB457" s="652"/>
      <c r="BC457" s="652"/>
      <c r="BD457" s="652"/>
      <c r="BE457" s="652"/>
      <c r="BF457" s="652"/>
      <c r="BG457" s="652"/>
      <c r="BH457" s="652"/>
      <c r="BI457" s="652"/>
    </row>
    <row r="458" s="653" customFormat="1" ht="31" customHeight="1" spans="1:108">
      <c r="A458" s="756">
        <v>46128</v>
      </c>
      <c r="B458" s="757" t="s">
        <v>191</v>
      </c>
      <c r="C458" s="758" t="s">
        <v>164</v>
      </c>
      <c r="D458" s="850">
        <v>4500201886</v>
      </c>
      <c r="E458" s="758">
        <v>5200009228</v>
      </c>
      <c r="F458" s="653" t="s">
        <v>2133</v>
      </c>
      <c r="G458" s="760" t="s">
        <v>4353</v>
      </c>
      <c r="H458" s="758" t="s">
        <v>2405</v>
      </c>
      <c r="I458" s="761">
        <v>600</v>
      </c>
      <c r="J458" s="758">
        <v>0</v>
      </c>
      <c r="K458" s="758">
        <v>12</v>
      </c>
      <c r="L458" s="758">
        <f t="shared" si="91"/>
        <v>50</v>
      </c>
      <c r="M458" s="851">
        <v>46227</v>
      </c>
      <c r="N458" s="851">
        <v>46223</v>
      </c>
      <c r="O458" s="757"/>
      <c r="P458" s="761" t="s">
        <v>106</v>
      </c>
      <c r="Q458" s="761"/>
      <c r="R458" s="734">
        <v>46128</v>
      </c>
      <c r="S458" s="735" t="s">
        <v>95</v>
      </c>
      <c r="T458" s="735" t="s">
        <v>5398</v>
      </c>
      <c r="U458" s="735"/>
      <c r="V458" s="765" t="s">
        <v>4967</v>
      </c>
      <c r="W458" s="765"/>
      <c r="X458" s="765" t="s">
        <v>5399</v>
      </c>
      <c r="Y458" s="763" t="s">
        <v>922</v>
      </c>
      <c r="Z458" s="800">
        <v>105.7584</v>
      </c>
      <c r="AA458" s="653">
        <f>I458*Z458</f>
        <v>63455.04</v>
      </c>
      <c r="AB458" s="721"/>
      <c r="AC458" s="852" t="s">
        <v>4388</v>
      </c>
      <c r="AD458" s="715" t="s">
        <v>112</v>
      </c>
      <c r="AE458" s="758">
        <f t="shared" si="92"/>
        <v>600</v>
      </c>
      <c r="AF458" s="758"/>
      <c r="AG458" s="758"/>
      <c r="AH458" s="715">
        <f t="shared" si="87"/>
        <v>-600</v>
      </c>
      <c r="AI458" s="761"/>
      <c r="AJ458" s="758" t="s">
        <v>3981</v>
      </c>
      <c r="AK458" s="652"/>
      <c r="AL458" s="652">
        <f>I458</f>
        <v>600</v>
      </c>
      <c r="AM458" s="652"/>
      <c r="AN458" s="652">
        <f t="shared" si="90"/>
        <v>600</v>
      </c>
      <c r="AP458" s="652"/>
      <c r="AQ458" s="653"/>
      <c r="AR458" s="653"/>
      <c r="AS458" s="653"/>
      <c r="AT458" s="653"/>
      <c r="AU458" s="653"/>
      <c r="AV458" s="653"/>
      <c r="AW458" s="653"/>
      <c r="AX458" s="653"/>
      <c r="BI458" s="652"/>
    </row>
    <row r="459" s="650" customFormat="1" ht="31" customHeight="1" spans="1:108">
      <c r="A459" s="713">
        <v>46142</v>
      </c>
      <c r="B459" s="714" t="s">
        <v>2473</v>
      </c>
      <c r="C459" s="715" t="s">
        <v>1054</v>
      </c>
      <c r="D459" s="853" t="s">
        <v>5400</v>
      </c>
      <c r="E459" s="715" t="s">
        <v>2474</v>
      </c>
      <c r="F459" s="652" t="s">
        <v>5401</v>
      </c>
      <c r="G459" s="716" t="s">
        <v>3973</v>
      </c>
      <c r="H459" s="715" t="s">
        <v>3995</v>
      </c>
      <c r="I459" s="717">
        <v>1504</v>
      </c>
      <c r="J459" s="715">
        <v>0</v>
      </c>
      <c r="K459" s="715">
        <v>16</v>
      </c>
      <c r="L459" s="715">
        <f t="shared" si="91"/>
        <v>94</v>
      </c>
      <c r="M459" s="719">
        <v>46227</v>
      </c>
      <c r="N459" s="719">
        <v>46223</v>
      </c>
      <c r="O459" s="714"/>
      <c r="P459" s="717" t="s">
        <v>106</v>
      </c>
      <c r="Q459" s="717"/>
      <c r="R459" s="723">
        <v>46142</v>
      </c>
      <c r="S459" s="720" t="s">
        <v>107</v>
      </c>
      <c r="T459" s="720" t="s">
        <v>2477</v>
      </c>
      <c r="U459" s="720"/>
      <c r="V459" s="720" t="s">
        <v>4056</v>
      </c>
      <c r="W459" s="720"/>
      <c r="X459" s="720" t="s">
        <v>2478</v>
      </c>
      <c r="Y459" s="719" t="s">
        <v>659</v>
      </c>
      <c r="Z459" s="730">
        <v>4.6542</v>
      </c>
      <c r="AA459" s="652">
        <f>I459*Z459</f>
        <v>6999.9168</v>
      </c>
      <c r="AB459" s="721"/>
      <c r="AC459" s="722" t="s">
        <v>3973</v>
      </c>
      <c r="AD459" s="715" t="s">
        <v>112</v>
      </c>
      <c r="AE459" s="715">
        <f t="shared" si="92"/>
        <v>1504</v>
      </c>
      <c r="AF459" s="715" t="s">
        <v>5125</v>
      </c>
      <c r="AG459" s="715">
        <v>1504</v>
      </c>
      <c r="AH459" s="715">
        <f t="shared" si="87"/>
        <v>0</v>
      </c>
      <c r="AI459" s="717" t="s">
        <v>120</v>
      </c>
      <c r="AJ459" s="715" t="s">
        <v>3981</v>
      </c>
      <c r="AK459" s="652">
        <f>I459</f>
        <v>1504</v>
      </c>
      <c r="AL459" s="652"/>
      <c r="AM459" s="652"/>
      <c r="AN459" s="652">
        <f t="shared" si="90"/>
        <v>1504</v>
      </c>
      <c r="AO459" s="652"/>
      <c r="AP459" s="652"/>
      <c r="AQ459" s="652"/>
      <c r="AR459" s="652"/>
      <c r="AS459" s="652"/>
      <c r="AT459" s="652">
        <f>I459/8</f>
        <v>188</v>
      </c>
      <c r="AU459" s="652"/>
      <c r="AV459" s="652"/>
      <c r="AW459" s="652"/>
      <c r="AX459" s="652"/>
      <c r="AY459" s="652"/>
      <c r="AZ459" s="652"/>
      <c r="BA459" s="652"/>
      <c r="BB459" s="652"/>
      <c r="BC459" s="652"/>
      <c r="BD459" s="652"/>
      <c r="BE459" s="652"/>
      <c r="BF459" s="652"/>
      <c r="BG459" s="652"/>
      <c r="BH459" s="652"/>
      <c r="BI459" s="652"/>
    </row>
    <row r="460" s="650" customFormat="1" ht="31" customHeight="1" spans="1:108">
      <c r="A460" s="713">
        <v>46132</v>
      </c>
      <c r="B460" s="714" t="s">
        <v>2154</v>
      </c>
      <c r="C460" s="715" t="s">
        <v>115</v>
      </c>
      <c r="D460" s="652" t="s">
        <v>5402</v>
      </c>
      <c r="E460" s="715" t="s">
        <v>2155</v>
      </c>
      <c r="F460" s="652" t="s">
        <v>5403</v>
      </c>
      <c r="G460" s="716" t="s">
        <v>3980</v>
      </c>
      <c r="H460" s="715" t="s">
        <v>3978</v>
      </c>
      <c r="I460" s="717">
        <v>504</v>
      </c>
      <c r="J460" s="715">
        <v>0</v>
      </c>
      <c r="K460" s="715">
        <v>8</v>
      </c>
      <c r="L460" s="715">
        <f t="shared" si="91"/>
        <v>63</v>
      </c>
      <c r="M460" s="719">
        <v>46227</v>
      </c>
      <c r="N460" s="719">
        <v>46223</v>
      </c>
      <c r="O460" s="714"/>
      <c r="P460" s="717" t="s">
        <v>106</v>
      </c>
      <c r="Q460" s="717"/>
      <c r="R460" s="723">
        <v>46160</v>
      </c>
      <c r="S460" s="720" t="s">
        <v>107</v>
      </c>
      <c r="T460" s="720" t="s">
        <v>95</v>
      </c>
      <c r="U460" s="720"/>
      <c r="V460" s="720"/>
      <c r="W460" s="720"/>
      <c r="X460" s="720" t="s">
        <v>2159</v>
      </c>
      <c r="Y460" s="719" t="s">
        <v>421</v>
      </c>
      <c r="Z460" s="730">
        <v>2.7529</v>
      </c>
      <c r="AA460" s="652">
        <f>Z460*I460</f>
        <v>1387.4616</v>
      </c>
      <c r="AB460" s="729" t="s">
        <v>2160</v>
      </c>
      <c r="AC460" s="722" t="s">
        <v>3980</v>
      </c>
      <c r="AD460" s="715" t="s">
        <v>112</v>
      </c>
      <c r="AE460" s="715">
        <f t="shared" si="92"/>
        <v>504</v>
      </c>
      <c r="AF460" s="715" t="s">
        <v>5125</v>
      </c>
      <c r="AG460" s="715">
        <v>504</v>
      </c>
      <c r="AH460" s="715">
        <f t="shared" si="87"/>
        <v>0</v>
      </c>
      <c r="AI460" s="717" t="s">
        <v>95</v>
      </c>
      <c r="AJ460" s="715" t="s">
        <v>3981</v>
      </c>
      <c r="AK460" s="652">
        <f>I460</f>
        <v>504</v>
      </c>
      <c r="AL460" s="652"/>
      <c r="AM460" s="652"/>
      <c r="AN460" s="652">
        <f t="shared" si="90"/>
        <v>504</v>
      </c>
      <c r="AO460" s="652"/>
      <c r="AP460" s="652"/>
      <c r="AQ460" s="652"/>
      <c r="AR460" s="652"/>
      <c r="AS460" s="652"/>
      <c r="AT460" s="652">
        <f>I460/8</f>
        <v>63</v>
      </c>
      <c r="AU460" s="652"/>
      <c r="AV460" s="652"/>
      <c r="AW460" s="652"/>
      <c r="AX460" s="652"/>
      <c r="AY460" s="652"/>
      <c r="AZ460" s="652"/>
      <c r="BA460" s="652"/>
      <c r="BB460" s="652"/>
      <c r="BC460" s="652"/>
      <c r="BD460" s="652"/>
      <c r="BE460" s="652"/>
      <c r="BF460" s="652"/>
      <c r="BG460" s="652"/>
      <c r="BH460" s="652"/>
      <c r="BI460" s="652"/>
      <c r="BJ460" s="724"/>
      <c r="BK460" s="724"/>
      <c r="BL460" s="724"/>
      <c r="BM460" s="724"/>
      <c r="BN460" s="724"/>
      <c r="BO460" s="724"/>
      <c r="BP460" s="724"/>
      <c r="BQ460" s="724"/>
      <c r="BR460" s="724"/>
      <c r="BS460" s="724"/>
      <c r="BT460" s="724"/>
      <c r="BU460" s="724"/>
      <c r="BV460" s="724"/>
      <c r="BW460" s="724"/>
      <c r="BX460" s="724"/>
      <c r="BY460" s="724"/>
      <c r="BZ460" s="724"/>
      <c r="CA460" s="724"/>
      <c r="CB460" s="724"/>
      <c r="CC460" s="724"/>
      <c r="CD460" s="724"/>
      <c r="CE460" s="724"/>
      <c r="CF460" s="724"/>
      <c r="CG460" s="724"/>
      <c r="CH460" s="724"/>
      <c r="CI460" s="724"/>
      <c r="CJ460" s="724"/>
      <c r="CK460" s="724"/>
      <c r="CL460" s="724"/>
      <c r="CM460" s="724"/>
      <c r="CN460" s="724"/>
      <c r="CO460" s="724"/>
      <c r="CP460" s="724"/>
      <c r="CQ460" s="724"/>
      <c r="CR460" s="724"/>
    </row>
    <row r="461" s="650" customFormat="1" ht="31" customHeight="1" spans="1:108">
      <c r="A461" s="713">
        <v>46151</v>
      </c>
      <c r="B461" s="714" t="s">
        <v>2166</v>
      </c>
      <c r="C461" s="715" t="s">
        <v>1828</v>
      </c>
      <c r="D461" s="652" t="s">
        <v>5404</v>
      </c>
      <c r="E461" s="739" t="s">
        <v>2167</v>
      </c>
      <c r="F461" s="652" t="s">
        <v>5405</v>
      </c>
      <c r="G461" s="716" t="s">
        <v>3973</v>
      </c>
      <c r="H461" s="715" t="s">
        <v>3995</v>
      </c>
      <c r="I461" s="717">
        <v>352</v>
      </c>
      <c r="J461" s="715">
        <v>0</v>
      </c>
      <c r="K461" s="715">
        <v>16</v>
      </c>
      <c r="L461" s="715">
        <f t="shared" si="91"/>
        <v>22</v>
      </c>
      <c r="M461" s="719">
        <v>46227</v>
      </c>
      <c r="N461" s="719">
        <v>46223</v>
      </c>
      <c r="O461" s="714"/>
      <c r="P461" s="717" t="s">
        <v>106</v>
      </c>
      <c r="Q461" s="717"/>
      <c r="R461" s="723" t="s">
        <v>2131</v>
      </c>
      <c r="S461" s="720" t="s">
        <v>107</v>
      </c>
      <c r="T461" s="720" t="s">
        <v>5406</v>
      </c>
      <c r="U461" s="720"/>
      <c r="V461" s="720"/>
      <c r="W461" s="720"/>
      <c r="X461" s="720" t="s">
        <v>5407</v>
      </c>
      <c r="Y461" s="719" t="s">
        <v>2171</v>
      </c>
      <c r="Z461" s="730">
        <v>4.5847</v>
      </c>
      <c r="AA461" s="652">
        <f>I461*Z461</f>
        <v>1613.8144</v>
      </c>
      <c r="AB461" s="721"/>
      <c r="AC461" s="652" t="s">
        <v>4108</v>
      </c>
      <c r="AD461" s="715" t="s">
        <v>112</v>
      </c>
      <c r="AE461" s="715">
        <f t="shared" si="92"/>
        <v>352</v>
      </c>
      <c r="AF461" s="715"/>
      <c r="AG461" s="715">
        <v>352</v>
      </c>
      <c r="AH461" s="715">
        <f t="shared" si="87"/>
        <v>0</v>
      </c>
      <c r="AI461" s="717"/>
      <c r="AJ461" s="715" t="s">
        <v>3981</v>
      </c>
      <c r="AK461" s="652"/>
      <c r="AL461" s="652">
        <f>I461</f>
        <v>352</v>
      </c>
      <c r="AM461" s="652"/>
      <c r="AN461" s="652">
        <f t="shared" si="90"/>
        <v>352</v>
      </c>
      <c r="AO461" s="652"/>
      <c r="AP461" s="652"/>
      <c r="AQ461" s="652"/>
      <c r="AR461" s="652"/>
      <c r="AS461" s="652"/>
      <c r="AT461" s="652"/>
      <c r="AU461" s="652">
        <f>I461/8</f>
        <v>44</v>
      </c>
      <c r="AV461" s="652"/>
      <c r="AW461" s="652"/>
      <c r="AX461" s="652"/>
      <c r="AY461" s="652"/>
      <c r="AZ461" s="652"/>
      <c r="BA461" s="652"/>
      <c r="BB461" s="652"/>
      <c r="BC461" s="652"/>
      <c r="BD461" s="652"/>
      <c r="BE461" s="652"/>
      <c r="BF461" s="652"/>
      <c r="BG461" s="652"/>
      <c r="BH461" s="652"/>
      <c r="BI461" s="652"/>
    </row>
    <row r="462" s="650" customFormat="1" ht="31" customHeight="1" spans="1:108">
      <c r="A462" s="713">
        <v>46162</v>
      </c>
      <c r="B462" s="714" t="s">
        <v>2209</v>
      </c>
      <c r="C462" s="715" t="s">
        <v>115</v>
      </c>
      <c r="D462" s="652" t="s">
        <v>5408</v>
      </c>
      <c r="E462" s="715" t="s">
        <v>2216</v>
      </c>
      <c r="F462" s="652" t="s">
        <v>5409</v>
      </c>
      <c r="G462" s="716" t="s">
        <v>3980</v>
      </c>
      <c r="H462" s="715" t="s">
        <v>3978</v>
      </c>
      <c r="I462" s="717">
        <v>768</v>
      </c>
      <c r="J462" s="715">
        <v>0</v>
      </c>
      <c r="K462" s="715">
        <v>8</v>
      </c>
      <c r="L462" s="715">
        <f t="shared" si="91"/>
        <v>96</v>
      </c>
      <c r="M462" s="719">
        <v>46227</v>
      </c>
      <c r="N462" s="719">
        <v>46223</v>
      </c>
      <c r="O462" s="714"/>
      <c r="P462" s="717" t="s">
        <v>106</v>
      </c>
      <c r="Q462" s="717"/>
      <c r="R462" s="723">
        <v>46163</v>
      </c>
      <c r="S462" s="720" t="s">
        <v>107</v>
      </c>
      <c r="T462" s="720" t="s">
        <v>95</v>
      </c>
      <c r="U462" s="720"/>
      <c r="V462" s="720"/>
      <c r="W462" s="720"/>
      <c r="X462" s="720" t="s">
        <v>5410</v>
      </c>
      <c r="Y462" s="719" t="s">
        <v>1955</v>
      </c>
      <c r="Z462" s="730">
        <v>2.8247</v>
      </c>
      <c r="AA462" s="652">
        <f>Z462*I462</f>
        <v>2169.3696</v>
      </c>
      <c r="AB462" s="729" t="s">
        <v>2213</v>
      </c>
      <c r="AC462" s="722" t="s">
        <v>3980</v>
      </c>
      <c r="AD462" s="715" t="s">
        <v>112</v>
      </c>
      <c r="AE462" s="715">
        <f t="shared" si="92"/>
        <v>768</v>
      </c>
      <c r="AF462" s="715" t="s">
        <v>5125</v>
      </c>
      <c r="AG462" s="715">
        <v>768</v>
      </c>
      <c r="AH462" s="715">
        <f t="shared" si="87"/>
        <v>0</v>
      </c>
      <c r="AI462" s="717" t="s">
        <v>95</v>
      </c>
      <c r="AJ462" s="715" t="s">
        <v>3981</v>
      </c>
      <c r="AK462" s="652">
        <f>I462</f>
        <v>768</v>
      </c>
      <c r="AL462" s="652"/>
      <c r="AM462" s="652"/>
      <c r="AN462" s="652">
        <f t="shared" si="90"/>
        <v>768</v>
      </c>
      <c r="AO462" s="652"/>
      <c r="AP462" s="652"/>
      <c r="AQ462" s="652"/>
      <c r="AR462" s="652"/>
      <c r="AS462" s="652"/>
      <c r="AT462" s="652">
        <f>I462/8</f>
        <v>96</v>
      </c>
      <c r="AU462" s="652"/>
      <c r="AV462" s="652"/>
      <c r="AW462" s="652"/>
      <c r="AX462" s="652"/>
      <c r="AY462" s="652"/>
      <c r="AZ462" s="652"/>
      <c r="BA462" s="652"/>
      <c r="BB462" s="652"/>
      <c r="BC462" s="652"/>
      <c r="BD462" s="652"/>
      <c r="BE462" s="652"/>
      <c r="BF462" s="652"/>
      <c r="BG462" s="652"/>
      <c r="BH462" s="652"/>
      <c r="BI462" s="652"/>
      <c r="BJ462" s="727"/>
      <c r="BK462" s="727"/>
      <c r="BL462" s="727"/>
      <c r="BM462" s="727"/>
      <c r="BN462" s="727"/>
      <c r="BO462" s="727"/>
      <c r="BP462" s="727"/>
      <c r="BQ462" s="727"/>
      <c r="BR462" s="727"/>
      <c r="BS462" s="727"/>
      <c r="BT462" s="727"/>
      <c r="BU462" s="727"/>
      <c r="BV462" s="727"/>
      <c r="BW462" s="727"/>
      <c r="BX462" s="727"/>
      <c r="BY462" s="727"/>
      <c r="BZ462" s="727"/>
      <c r="CA462" s="727"/>
      <c r="CB462" s="727"/>
      <c r="CC462" s="727"/>
      <c r="CD462" s="727"/>
      <c r="CE462" s="727"/>
      <c r="CF462" s="727"/>
      <c r="CG462" s="727"/>
      <c r="CH462" s="727"/>
      <c r="CI462" s="727"/>
      <c r="CJ462" s="727"/>
      <c r="CK462" s="727"/>
      <c r="CL462" s="727"/>
      <c r="CM462" s="727"/>
      <c r="CN462" s="727"/>
      <c r="CO462" s="727"/>
      <c r="CP462" s="727"/>
      <c r="CQ462" s="727"/>
      <c r="CR462" s="727"/>
      <c r="CS462" s="654"/>
      <c r="CT462" s="654"/>
      <c r="CU462" s="654"/>
      <c r="CV462" s="654"/>
      <c r="CW462" s="654"/>
      <c r="CX462" s="654"/>
      <c r="CY462" s="654"/>
      <c r="CZ462" s="654"/>
      <c r="DA462" s="654"/>
      <c r="DB462" s="654"/>
      <c r="DC462" s="654"/>
      <c r="DD462" s="654"/>
    </row>
    <row r="463" s="651" customFormat="1" ht="31" customHeight="1" spans="1:108">
      <c r="A463" s="713">
        <v>46162</v>
      </c>
      <c r="B463" s="714" t="s">
        <v>2209</v>
      </c>
      <c r="C463" s="715" t="s">
        <v>115</v>
      </c>
      <c r="D463" s="652" t="s">
        <v>5408</v>
      </c>
      <c r="E463" s="715" t="s">
        <v>2210</v>
      </c>
      <c r="F463" s="652" t="s">
        <v>5411</v>
      </c>
      <c r="G463" s="716" t="s">
        <v>3980</v>
      </c>
      <c r="H463" s="715" t="s">
        <v>3978</v>
      </c>
      <c r="I463" s="717">
        <v>680</v>
      </c>
      <c r="J463" s="715">
        <v>0</v>
      </c>
      <c r="K463" s="715">
        <v>8</v>
      </c>
      <c r="L463" s="715">
        <f t="shared" si="91"/>
        <v>85</v>
      </c>
      <c r="M463" s="719">
        <v>46227</v>
      </c>
      <c r="N463" s="719">
        <v>46223</v>
      </c>
      <c r="O463" s="714"/>
      <c r="P463" s="717" t="s">
        <v>106</v>
      </c>
      <c r="Q463" s="717"/>
      <c r="R463" s="723">
        <v>46163</v>
      </c>
      <c r="S463" s="720" t="s">
        <v>107</v>
      </c>
      <c r="T463" s="720" t="s">
        <v>95</v>
      </c>
      <c r="U463" s="720"/>
      <c r="V463" s="720"/>
      <c r="W463" s="720"/>
      <c r="X463" s="720" t="s">
        <v>5410</v>
      </c>
      <c r="Y463" s="719" t="s">
        <v>1955</v>
      </c>
      <c r="Z463" s="730">
        <v>2.8247</v>
      </c>
      <c r="AA463" s="652">
        <f>Z463*I463</f>
        <v>1920.796</v>
      </c>
      <c r="AB463" s="729" t="s">
        <v>2213</v>
      </c>
      <c r="AC463" s="722" t="s">
        <v>3980</v>
      </c>
      <c r="AD463" s="715" t="s">
        <v>112</v>
      </c>
      <c r="AE463" s="715">
        <f t="shared" si="92"/>
        <v>680</v>
      </c>
      <c r="AF463" s="715" t="s">
        <v>5125</v>
      </c>
      <c r="AG463" s="715">
        <v>680</v>
      </c>
      <c r="AH463" s="715">
        <f t="shared" si="87"/>
        <v>0</v>
      </c>
      <c r="AI463" s="717" t="s">
        <v>95</v>
      </c>
      <c r="AJ463" s="715" t="s">
        <v>3981</v>
      </c>
      <c r="AK463" s="652">
        <f>I463</f>
        <v>680</v>
      </c>
      <c r="AL463" s="652"/>
      <c r="AM463" s="652"/>
      <c r="AN463" s="652">
        <f t="shared" si="90"/>
        <v>680</v>
      </c>
      <c r="AO463" s="652"/>
      <c r="AP463" s="652"/>
      <c r="AQ463" s="652"/>
      <c r="AR463" s="652"/>
      <c r="AS463" s="652"/>
      <c r="AT463" s="652">
        <f>I463/8</f>
        <v>85</v>
      </c>
      <c r="AU463" s="652"/>
      <c r="AV463" s="652"/>
      <c r="AW463" s="652"/>
      <c r="AX463" s="652"/>
      <c r="AY463" s="652"/>
      <c r="AZ463" s="652"/>
      <c r="BA463" s="652"/>
      <c r="BB463" s="652"/>
      <c r="BC463" s="652"/>
      <c r="BD463" s="652"/>
      <c r="BE463" s="652"/>
      <c r="BF463" s="652"/>
      <c r="BG463" s="652"/>
      <c r="BH463" s="652"/>
      <c r="BI463" s="652"/>
      <c r="BJ463" s="727"/>
      <c r="BK463" s="727"/>
      <c r="BL463" s="727"/>
      <c r="BM463" s="727"/>
      <c r="BN463" s="727"/>
      <c r="BO463" s="727"/>
      <c r="BP463" s="727"/>
      <c r="BQ463" s="727"/>
      <c r="BR463" s="727"/>
      <c r="BS463" s="727"/>
      <c r="BT463" s="727"/>
      <c r="BU463" s="727"/>
      <c r="BV463" s="727"/>
      <c r="BW463" s="727"/>
      <c r="BX463" s="727"/>
      <c r="BY463" s="727"/>
      <c r="BZ463" s="727"/>
      <c r="CA463" s="727"/>
      <c r="CB463" s="727"/>
      <c r="CC463" s="727"/>
      <c r="CD463" s="727"/>
      <c r="CE463" s="727"/>
      <c r="CF463" s="727"/>
      <c r="CG463" s="727"/>
      <c r="CH463" s="727"/>
      <c r="CI463" s="727"/>
      <c r="CJ463" s="727"/>
      <c r="CK463" s="727"/>
      <c r="CL463" s="727"/>
      <c r="CM463" s="727"/>
      <c r="CN463" s="727"/>
      <c r="CO463" s="727"/>
      <c r="CP463" s="727"/>
      <c r="CQ463" s="727"/>
      <c r="CR463" s="727"/>
    </row>
    <row r="464" s="653" customFormat="1" ht="31" customHeight="1" spans="1:108">
      <c r="A464" s="756">
        <v>46162</v>
      </c>
      <c r="B464" s="757" t="s">
        <v>2209</v>
      </c>
      <c r="C464" s="758" t="s">
        <v>115</v>
      </c>
      <c r="D464" s="653" t="s">
        <v>5408</v>
      </c>
      <c r="E464" s="758" t="s">
        <v>2214</v>
      </c>
      <c r="F464" s="653" t="s">
        <v>5412</v>
      </c>
      <c r="G464" s="760" t="s">
        <v>3980</v>
      </c>
      <c r="H464" s="715" t="s">
        <v>3978</v>
      </c>
      <c r="I464" s="761">
        <v>320</v>
      </c>
      <c r="J464" s="758">
        <v>0</v>
      </c>
      <c r="K464" s="758">
        <v>8</v>
      </c>
      <c r="L464" s="758">
        <f t="shared" si="91"/>
        <v>40</v>
      </c>
      <c r="M464" s="763">
        <v>46227</v>
      </c>
      <c r="N464" s="763">
        <v>46223</v>
      </c>
      <c r="O464" s="757"/>
      <c r="P464" s="761" t="s">
        <v>106</v>
      </c>
      <c r="Q464" s="761"/>
      <c r="R464" s="723">
        <v>46163</v>
      </c>
      <c r="S464" s="720" t="s">
        <v>107</v>
      </c>
      <c r="T464" s="720" t="s">
        <v>95</v>
      </c>
      <c r="U464" s="765"/>
      <c r="V464" s="765"/>
      <c r="W464" s="765"/>
      <c r="X464" s="765" t="s">
        <v>5410</v>
      </c>
      <c r="Y464" s="763" t="s">
        <v>1955</v>
      </c>
      <c r="Z464" s="800">
        <v>2.8248</v>
      </c>
      <c r="AA464" s="653">
        <f>Z464*I464</f>
        <v>903.936</v>
      </c>
      <c r="AB464" s="729" t="s">
        <v>2213</v>
      </c>
      <c r="AC464" s="722" t="s">
        <v>3980</v>
      </c>
      <c r="AD464" s="715" t="s">
        <v>112</v>
      </c>
      <c r="AE464" s="758">
        <f t="shared" si="92"/>
        <v>320</v>
      </c>
      <c r="AF464" s="758" t="s">
        <v>5125</v>
      </c>
      <c r="AG464" s="758">
        <v>320</v>
      </c>
      <c r="AH464" s="715">
        <f t="shared" si="87"/>
        <v>0</v>
      </c>
      <c r="AI464" s="761" t="s">
        <v>95</v>
      </c>
      <c r="AJ464" s="758" t="s">
        <v>3981</v>
      </c>
      <c r="AK464" s="652">
        <f>I464</f>
        <v>320</v>
      </c>
      <c r="AL464" s="652"/>
      <c r="AM464" s="652"/>
      <c r="AN464" s="652">
        <f t="shared" si="90"/>
        <v>320</v>
      </c>
      <c r="AT464" s="652">
        <f>I464/8</f>
        <v>40</v>
      </c>
      <c r="BJ464" s="801"/>
      <c r="BK464" s="801"/>
      <c r="BL464" s="801"/>
      <c r="BM464" s="801"/>
      <c r="BN464" s="801"/>
      <c r="BO464" s="801"/>
      <c r="BP464" s="801"/>
      <c r="BQ464" s="801"/>
      <c r="BR464" s="801"/>
      <c r="BS464" s="801"/>
      <c r="BT464" s="801"/>
      <c r="BU464" s="801"/>
      <c r="BV464" s="801"/>
      <c r="BW464" s="801"/>
      <c r="BX464" s="801"/>
      <c r="BY464" s="801"/>
      <c r="BZ464" s="801"/>
      <c r="CA464" s="801"/>
      <c r="CB464" s="801"/>
      <c r="CC464" s="801"/>
      <c r="CD464" s="801"/>
      <c r="CE464" s="801"/>
      <c r="CF464" s="801"/>
      <c r="CG464" s="801"/>
      <c r="CH464" s="801"/>
      <c r="CI464" s="801"/>
      <c r="CJ464" s="801"/>
      <c r="CK464" s="801"/>
      <c r="CL464" s="801"/>
      <c r="CM464" s="801"/>
      <c r="CN464" s="801"/>
      <c r="CO464" s="801"/>
      <c r="CP464" s="801"/>
      <c r="CQ464" s="801"/>
      <c r="CR464" s="801"/>
    </row>
    <row r="465" s="651" customFormat="1" ht="31" customHeight="1" spans="1:108">
      <c r="A465" s="713">
        <v>46182</v>
      </c>
      <c r="B465" s="714" t="s">
        <v>147</v>
      </c>
      <c r="C465" s="715" t="s">
        <v>148</v>
      </c>
      <c r="D465" s="652">
        <v>4500211229</v>
      </c>
      <c r="E465" s="715">
        <v>4400555633</v>
      </c>
      <c r="F465" s="652" t="s">
        <v>5413</v>
      </c>
      <c r="G465" s="716" t="s">
        <v>3973</v>
      </c>
      <c r="H465" s="715" t="s">
        <v>3995</v>
      </c>
      <c r="I465" s="717">
        <v>544</v>
      </c>
      <c r="J465" s="715">
        <v>0</v>
      </c>
      <c r="K465" s="715">
        <v>16</v>
      </c>
      <c r="L465" s="715">
        <f t="shared" si="91"/>
        <v>34</v>
      </c>
      <c r="M465" s="719">
        <v>46227</v>
      </c>
      <c r="N465" s="719">
        <f>M465-4</f>
        <v>46223</v>
      </c>
      <c r="O465" s="714"/>
      <c r="P465" s="717" t="s">
        <v>106</v>
      </c>
      <c r="Q465" s="717"/>
      <c r="R465" s="723">
        <v>46182</v>
      </c>
      <c r="S465" s="720" t="s">
        <v>107</v>
      </c>
      <c r="T465" s="720" t="s">
        <v>1794</v>
      </c>
      <c r="U465" s="720"/>
      <c r="V465" s="720"/>
      <c r="W465" s="720"/>
      <c r="X465" s="720" t="s">
        <v>5414</v>
      </c>
      <c r="Y465" s="719" t="s">
        <v>1142</v>
      </c>
      <c r="Z465" s="730">
        <v>4.8331</v>
      </c>
      <c r="AA465" s="652">
        <f>I465*Z465</f>
        <v>2629.2064</v>
      </c>
      <c r="AB465" s="721"/>
      <c r="AC465" s="652" t="s">
        <v>4108</v>
      </c>
      <c r="AD465" s="715" t="s">
        <v>112</v>
      </c>
      <c r="AE465" s="715">
        <f t="shared" si="92"/>
        <v>544</v>
      </c>
      <c r="AF465" s="715"/>
      <c r="AG465" s="715">
        <v>544</v>
      </c>
      <c r="AH465" s="715">
        <f t="shared" si="87"/>
        <v>0</v>
      </c>
      <c r="AI465" s="717"/>
      <c r="AJ465" s="715" t="s">
        <v>3981</v>
      </c>
      <c r="AK465" s="652"/>
      <c r="AL465" s="652">
        <f>I465</f>
        <v>544</v>
      </c>
      <c r="AM465" s="652"/>
      <c r="AN465" s="652">
        <f t="shared" si="90"/>
        <v>544</v>
      </c>
      <c r="AO465" s="652"/>
      <c r="AP465" s="652"/>
      <c r="AQ465" s="652"/>
      <c r="AR465" s="652"/>
      <c r="AS465" s="652"/>
      <c r="AT465" s="652"/>
      <c r="AU465" s="652">
        <f>I465/8</f>
        <v>68</v>
      </c>
      <c r="AV465" s="652"/>
      <c r="AW465" s="652"/>
      <c r="AX465" s="652"/>
      <c r="AY465" s="652"/>
      <c r="AZ465" s="652"/>
      <c r="BA465" s="652"/>
      <c r="BB465" s="652"/>
      <c r="BC465" s="652"/>
      <c r="BD465" s="652"/>
      <c r="BE465" s="652"/>
      <c r="BF465" s="652"/>
      <c r="BG465" s="652"/>
      <c r="BH465" s="652"/>
      <c r="BI465" s="652"/>
      <c r="BJ465" s="650"/>
      <c r="BK465" s="650"/>
      <c r="BL465" s="650"/>
      <c r="BM465" s="650"/>
      <c r="BN465" s="650"/>
      <c r="BO465" s="650"/>
      <c r="BP465" s="650"/>
      <c r="BQ465" s="650"/>
      <c r="BR465" s="650"/>
      <c r="BS465" s="650"/>
      <c r="BT465" s="650"/>
      <c r="BU465" s="650"/>
      <c r="BV465" s="650"/>
      <c r="BW465" s="650"/>
      <c r="BX465" s="650"/>
      <c r="BY465" s="650"/>
      <c r="BZ465" s="650"/>
      <c r="CA465" s="650"/>
      <c r="CB465" s="650"/>
      <c r="CC465" s="650"/>
      <c r="CD465" s="650"/>
      <c r="CE465" s="650"/>
      <c r="CF465" s="650"/>
      <c r="CG465" s="650"/>
      <c r="CH465" s="650"/>
      <c r="CI465" s="650"/>
      <c r="CJ465" s="650"/>
      <c r="CK465" s="650"/>
      <c r="CL465" s="650"/>
      <c r="CM465" s="650"/>
      <c r="CN465" s="650"/>
      <c r="CO465" s="650"/>
      <c r="CP465" s="650"/>
      <c r="CQ465" s="650"/>
      <c r="CR465" s="650"/>
      <c r="CS465" s="650"/>
      <c r="CT465" s="650"/>
      <c r="CU465" s="650"/>
      <c r="CV465" s="650"/>
      <c r="CW465" s="650"/>
      <c r="CX465" s="650"/>
      <c r="CY465" s="650"/>
      <c r="CZ465" s="650"/>
      <c r="DA465" s="650"/>
      <c r="DB465" s="650"/>
      <c r="DC465" s="650"/>
      <c r="DD465" s="650"/>
    </row>
    <row r="466" s="650" customFormat="1" ht="31" customHeight="1" spans="1:108">
      <c r="A466" s="713">
        <v>46182</v>
      </c>
      <c r="B466" s="714" t="s">
        <v>147</v>
      </c>
      <c r="C466" s="715" t="s">
        <v>148</v>
      </c>
      <c r="D466" s="652">
        <v>4500211229</v>
      </c>
      <c r="E466" s="715">
        <v>4400555634</v>
      </c>
      <c r="F466" s="652" t="s">
        <v>5415</v>
      </c>
      <c r="G466" s="716" t="s">
        <v>3973</v>
      </c>
      <c r="H466" s="715" t="s">
        <v>3995</v>
      </c>
      <c r="I466" s="717">
        <v>1264</v>
      </c>
      <c r="J466" s="715">
        <v>0</v>
      </c>
      <c r="K466" s="715">
        <v>16</v>
      </c>
      <c r="L466" s="715">
        <f t="shared" si="91"/>
        <v>79</v>
      </c>
      <c r="M466" s="719">
        <v>46227</v>
      </c>
      <c r="N466" s="719">
        <f>M466-4</f>
        <v>46223</v>
      </c>
      <c r="O466" s="714"/>
      <c r="P466" s="717" t="s">
        <v>106</v>
      </c>
      <c r="Q466" s="717"/>
      <c r="R466" s="723">
        <v>46182</v>
      </c>
      <c r="S466" s="720" t="s">
        <v>107</v>
      </c>
      <c r="T466" s="720" t="s">
        <v>1794</v>
      </c>
      <c r="U466" s="720"/>
      <c r="V466" s="720"/>
      <c r="W466" s="720"/>
      <c r="X466" s="720" t="s">
        <v>5414</v>
      </c>
      <c r="Y466" s="719" t="s">
        <v>1142</v>
      </c>
      <c r="Z466" s="730">
        <v>4.8226</v>
      </c>
      <c r="AA466" s="652">
        <f>I466*Z466</f>
        <v>6095.7664</v>
      </c>
      <c r="AB466" s="721"/>
      <c r="AC466" s="652" t="s">
        <v>4108</v>
      </c>
      <c r="AD466" s="715" t="s">
        <v>112</v>
      </c>
      <c r="AE466" s="715">
        <f t="shared" si="92"/>
        <v>1264</v>
      </c>
      <c r="AF466" s="715"/>
      <c r="AG466" s="715">
        <v>1264</v>
      </c>
      <c r="AH466" s="715">
        <f t="shared" si="87"/>
        <v>0</v>
      </c>
      <c r="AI466" s="717"/>
      <c r="AJ466" s="715" t="s">
        <v>3981</v>
      </c>
      <c r="AK466" s="652"/>
      <c r="AL466" s="652">
        <f>I466</f>
        <v>1264</v>
      </c>
      <c r="AM466" s="652"/>
      <c r="AN466" s="652">
        <f t="shared" si="90"/>
        <v>1264</v>
      </c>
      <c r="AO466" s="652"/>
      <c r="AP466" s="652"/>
      <c r="AQ466" s="652"/>
      <c r="AR466" s="652"/>
      <c r="AS466" s="652"/>
      <c r="AT466" s="652"/>
      <c r="AU466" s="652">
        <f>I466/8</f>
        <v>158</v>
      </c>
      <c r="AV466" s="652"/>
      <c r="AW466" s="652"/>
      <c r="AX466" s="652"/>
      <c r="AY466" s="652"/>
      <c r="AZ466" s="652"/>
      <c r="BA466" s="652"/>
      <c r="BB466" s="652"/>
      <c r="BC466" s="652"/>
      <c r="BD466" s="652"/>
      <c r="BE466" s="652"/>
      <c r="BF466" s="652"/>
      <c r="BG466" s="652"/>
      <c r="BH466" s="652"/>
      <c r="BI466" s="652"/>
      <c r="BJ466" s="650"/>
      <c r="BK466" s="650"/>
      <c r="BL466" s="650"/>
      <c r="BM466" s="650"/>
      <c r="BN466" s="650"/>
      <c r="BO466" s="650"/>
      <c r="BP466" s="650"/>
      <c r="BQ466" s="650"/>
      <c r="BR466" s="650"/>
      <c r="BS466" s="650"/>
      <c r="BT466" s="650"/>
      <c r="BU466" s="650"/>
      <c r="BV466" s="650"/>
      <c r="BW466" s="650"/>
      <c r="BX466" s="650"/>
      <c r="BY466" s="650"/>
      <c r="BZ466" s="650"/>
      <c r="CA466" s="650"/>
      <c r="CB466" s="650"/>
      <c r="CC466" s="650"/>
      <c r="CD466" s="650"/>
      <c r="CE466" s="650"/>
      <c r="CF466" s="650"/>
      <c r="CG466" s="650"/>
      <c r="CH466" s="650"/>
      <c r="CI466" s="650"/>
      <c r="CJ466" s="650"/>
      <c r="CK466" s="650"/>
      <c r="CL466" s="650"/>
      <c r="CM466" s="650"/>
      <c r="CN466" s="650"/>
      <c r="CO466" s="650"/>
      <c r="CP466" s="650"/>
      <c r="CQ466" s="650"/>
      <c r="CR466" s="650"/>
      <c r="CS466" s="651"/>
      <c r="CT466" s="651"/>
      <c r="CU466" s="651"/>
      <c r="CV466" s="651"/>
      <c r="CW466" s="651"/>
      <c r="CX466" s="651"/>
      <c r="CY466" s="651"/>
      <c r="CZ466" s="651"/>
      <c r="DA466" s="651"/>
      <c r="DB466" s="651"/>
      <c r="DC466" s="651"/>
      <c r="DD466" s="651"/>
    </row>
    <row r="467" s="651" customFormat="1" ht="31" customHeight="1" spans="1:108">
      <c r="A467" s="713">
        <v>46219</v>
      </c>
      <c r="B467" s="714" t="s">
        <v>2509</v>
      </c>
      <c r="C467" s="715" t="s">
        <v>508</v>
      </c>
      <c r="D467" s="652">
        <v>4500216779</v>
      </c>
      <c r="E467" s="715">
        <v>1924640134</v>
      </c>
      <c r="F467" s="652" t="s">
        <v>2510</v>
      </c>
      <c r="G467" s="716" t="s">
        <v>5416</v>
      </c>
      <c r="H467" s="715" t="s">
        <v>483</v>
      </c>
      <c r="I467" s="717">
        <v>240</v>
      </c>
      <c r="J467" s="715">
        <v>0</v>
      </c>
      <c r="K467" s="715">
        <v>120</v>
      </c>
      <c r="L467" s="715">
        <f t="shared" si="91"/>
        <v>2</v>
      </c>
      <c r="M467" s="719">
        <v>46227</v>
      </c>
      <c r="N467" s="719">
        <v>46223</v>
      </c>
      <c r="O467" s="714" t="s">
        <v>5417</v>
      </c>
      <c r="P467" s="717" t="s">
        <v>106</v>
      </c>
      <c r="Q467" s="717"/>
      <c r="R467" s="723">
        <v>46202</v>
      </c>
      <c r="S467" s="720" t="s">
        <v>107</v>
      </c>
      <c r="T467" s="720" t="s">
        <v>95</v>
      </c>
      <c r="U467" s="720"/>
      <c r="V467" s="720"/>
      <c r="W467" s="720"/>
      <c r="X467" s="720" t="s">
        <v>2513</v>
      </c>
      <c r="Y467" s="719" t="s">
        <v>513</v>
      </c>
      <c r="Z467" s="730">
        <v>1119.104</v>
      </c>
      <c r="AA467" s="652">
        <f>L467*Z467</f>
        <v>2238.208</v>
      </c>
      <c r="AB467" s="721"/>
      <c r="AC467" s="722" t="s">
        <v>2514</v>
      </c>
      <c r="AD467" s="715" t="s">
        <v>112</v>
      </c>
      <c r="AE467" s="715">
        <f t="shared" si="92"/>
        <v>240</v>
      </c>
      <c r="AF467" s="715"/>
      <c r="AG467" s="715">
        <v>240</v>
      </c>
      <c r="AH467" s="715">
        <f t="shared" si="87"/>
        <v>0</v>
      </c>
      <c r="AI467" s="717"/>
      <c r="AJ467" s="715" t="s">
        <v>3981</v>
      </c>
      <c r="AK467" s="652"/>
      <c r="AL467" s="652"/>
      <c r="AM467" s="652"/>
      <c r="AN467" s="652"/>
      <c r="AO467" s="652"/>
      <c r="AP467" s="652"/>
      <c r="AQ467" s="652">
        <f>I467</f>
        <v>240</v>
      </c>
      <c r="AR467" s="652">
        <f>I467</f>
        <v>240</v>
      </c>
      <c r="AS467" s="652">
        <f>I467/6</f>
        <v>40</v>
      </c>
      <c r="AT467" s="652"/>
      <c r="AU467" s="652"/>
      <c r="AV467" s="652"/>
      <c r="AW467" s="652"/>
      <c r="AX467" s="652"/>
      <c r="AY467" s="652"/>
      <c r="AZ467" s="652"/>
      <c r="BA467" s="652"/>
      <c r="BB467" s="652"/>
      <c r="BC467" s="652"/>
      <c r="BD467" s="652"/>
      <c r="BE467" s="652"/>
      <c r="BF467" s="652"/>
      <c r="BG467" s="652"/>
      <c r="BH467" s="652"/>
      <c r="BI467" s="652"/>
      <c r="BJ467" s="724"/>
      <c r="BK467" s="724"/>
      <c r="BL467" s="724"/>
      <c r="BM467" s="724"/>
      <c r="BN467" s="724"/>
      <c r="BO467" s="724"/>
      <c r="BP467" s="724"/>
      <c r="BQ467" s="724"/>
      <c r="BR467" s="724"/>
      <c r="BS467" s="724"/>
      <c r="BT467" s="724"/>
      <c r="BU467" s="724"/>
      <c r="BV467" s="724"/>
      <c r="BW467" s="724"/>
      <c r="BX467" s="724"/>
      <c r="BY467" s="724"/>
      <c r="BZ467" s="724"/>
      <c r="CA467" s="724"/>
      <c r="CB467" s="724"/>
      <c r="CC467" s="724"/>
      <c r="CD467" s="724"/>
      <c r="CE467" s="724"/>
      <c r="CF467" s="724"/>
      <c r="CG467" s="724"/>
      <c r="CH467" s="724"/>
      <c r="CI467" s="724"/>
      <c r="CJ467" s="724"/>
      <c r="CK467" s="724"/>
      <c r="CL467" s="724"/>
      <c r="CM467" s="724"/>
      <c r="CN467" s="724"/>
      <c r="CO467" s="724"/>
      <c r="CP467" s="724"/>
      <c r="CQ467" s="724"/>
      <c r="CR467" s="724"/>
      <c r="CS467" s="724"/>
      <c r="CT467" s="724"/>
      <c r="CU467" s="724"/>
      <c r="CV467" s="724"/>
      <c r="CW467" s="724"/>
      <c r="CX467" s="724"/>
      <c r="CY467" s="724"/>
      <c r="CZ467" s="724"/>
      <c r="DA467" s="724"/>
      <c r="DB467" s="724"/>
      <c r="DC467" s="724"/>
      <c r="DD467" s="724"/>
    </row>
    <row r="468" s="650" customFormat="1" ht="31" customHeight="1" spans="1:108">
      <c r="A468" s="713">
        <v>46148</v>
      </c>
      <c r="B468" s="714" t="s">
        <v>626</v>
      </c>
      <c r="C468" s="715" t="s">
        <v>627</v>
      </c>
      <c r="D468" s="652" t="s">
        <v>5418</v>
      </c>
      <c r="E468" s="715" t="s">
        <v>628</v>
      </c>
      <c r="F468" s="652" t="s">
        <v>5419</v>
      </c>
      <c r="G468" s="716" t="s">
        <v>3973</v>
      </c>
      <c r="H468" s="715" t="s">
        <v>3995</v>
      </c>
      <c r="I468" s="717">
        <v>1408</v>
      </c>
      <c r="J468" s="715">
        <v>0</v>
      </c>
      <c r="K468" s="715">
        <v>16</v>
      </c>
      <c r="L468" s="715">
        <f t="shared" si="91"/>
        <v>88</v>
      </c>
      <c r="M468" s="719">
        <v>46227</v>
      </c>
      <c r="N468" s="738">
        <v>46230</v>
      </c>
      <c r="O468" s="714"/>
      <c r="P468" s="717" t="s">
        <v>1410</v>
      </c>
      <c r="Q468" s="717" t="s">
        <v>2254</v>
      </c>
      <c r="R468" s="723">
        <v>46198</v>
      </c>
      <c r="S468" s="720" t="s">
        <v>95</v>
      </c>
      <c r="T468" s="720" t="s">
        <v>5420</v>
      </c>
      <c r="U468" s="720"/>
      <c r="V468" s="720"/>
      <c r="W468" s="720"/>
      <c r="X468" s="798" t="s">
        <v>5421</v>
      </c>
      <c r="Y468" s="719" t="s">
        <v>295</v>
      </c>
      <c r="Z468" s="730">
        <v>4.5744</v>
      </c>
      <c r="AA468" s="652">
        <f>I468*Z468</f>
        <v>6440.7552</v>
      </c>
      <c r="AB468" s="721"/>
      <c r="AC468" s="652" t="s">
        <v>4108</v>
      </c>
      <c r="AD468" s="715" t="s">
        <v>112</v>
      </c>
      <c r="AE468" s="715">
        <f t="shared" si="92"/>
        <v>1408</v>
      </c>
      <c r="AF468" s="715"/>
      <c r="AG468" s="715">
        <v>1408</v>
      </c>
      <c r="AH468" s="715">
        <f t="shared" si="87"/>
        <v>0</v>
      </c>
      <c r="AI468" s="717"/>
      <c r="AJ468" s="715" t="s">
        <v>3981</v>
      </c>
      <c r="AK468" s="652"/>
      <c r="AL468" s="652">
        <f>I468</f>
        <v>1408</v>
      </c>
      <c r="AM468" s="652"/>
      <c r="AN468" s="652">
        <f t="shared" ref="AN468:AN487" si="93">I468</f>
        <v>1408</v>
      </c>
      <c r="AO468" s="652"/>
      <c r="AP468" s="652"/>
      <c r="AQ468" s="652"/>
      <c r="AR468" s="652"/>
      <c r="AS468" s="652"/>
      <c r="AT468" s="652"/>
      <c r="AU468" s="652">
        <v>288</v>
      </c>
      <c r="AV468" s="652"/>
      <c r="AW468" s="652"/>
      <c r="AX468" s="652"/>
      <c r="AY468" s="652"/>
      <c r="AZ468" s="652"/>
      <c r="BA468" s="652"/>
      <c r="BB468" s="652"/>
      <c r="BC468" s="652"/>
      <c r="BD468" s="652"/>
      <c r="BE468" s="652"/>
      <c r="BF468" s="652"/>
      <c r="BG468" s="652"/>
      <c r="BH468" s="652"/>
      <c r="BI468" s="652"/>
      <c r="BJ468" s="650"/>
      <c r="BK468" s="650"/>
      <c r="BL468" s="650"/>
      <c r="BM468" s="650"/>
      <c r="BN468" s="650"/>
      <c r="BO468" s="650"/>
      <c r="BP468" s="650"/>
      <c r="BQ468" s="650"/>
      <c r="BR468" s="650"/>
      <c r="BS468" s="650"/>
      <c r="BT468" s="650"/>
      <c r="BU468" s="650"/>
      <c r="BV468" s="650"/>
      <c r="BW468" s="650"/>
      <c r="BX468" s="650"/>
      <c r="BY468" s="650"/>
      <c r="BZ468" s="650"/>
      <c r="CA468" s="650"/>
      <c r="CB468" s="650"/>
      <c r="CC468" s="650"/>
      <c r="CD468" s="650"/>
      <c r="CE468" s="650"/>
      <c r="CF468" s="650"/>
      <c r="CG468" s="650"/>
      <c r="CH468" s="650"/>
      <c r="CI468" s="650"/>
      <c r="CJ468" s="650"/>
      <c r="CK468" s="650"/>
      <c r="CL468" s="650"/>
      <c r="CM468" s="650"/>
      <c r="CN468" s="650"/>
      <c r="CO468" s="650"/>
      <c r="CP468" s="650"/>
      <c r="CQ468" s="650"/>
      <c r="CR468" s="650"/>
      <c r="CS468" s="651"/>
      <c r="CT468" s="651"/>
      <c r="CU468" s="651"/>
      <c r="CV468" s="651"/>
      <c r="CW468" s="651"/>
      <c r="CX468" s="651"/>
      <c r="CY468" s="651"/>
      <c r="CZ468" s="651"/>
      <c r="DA468" s="651"/>
      <c r="DB468" s="651"/>
      <c r="DC468" s="651"/>
      <c r="DD468" s="651"/>
    </row>
    <row r="469" s="651" customFormat="1" ht="31" customHeight="1" spans="1:108">
      <c r="A469" s="713">
        <v>46163</v>
      </c>
      <c r="B469" s="714" t="s">
        <v>2161</v>
      </c>
      <c r="C469" s="715" t="s">
        <v>291</v>
      </c>
      <c r="D469" s="652" t="s">
        <v>5422</v>
      </c>
      <c r="E469" s="715" t="s">
        <v>5423</v>
      </c>
      <c r="F469" s="652" t="s">
        <v>5424</v>
      </c>
      <c r="G469" s="716" t="s">
        <v>3973</v>
      </c>
      <c r="H469" s="715" t="s">
        <v>3995</v>
      </c>
      <c r="I469" s="717">
        <v>704</v>
      </c>
      <c r="J469" s="715">
        <v>0</v>
      </c>
      <c r="K469" s="715">
        <v>16</v>
      </c>
      <c r="L469" s="715">
        <f t="shared" si="91"/>
        <v>44</v>
      </c>
      <c r="M469" s="719">
        <v>46227</v>
      </c>
      <c r="N469" s="738">
        <v>46227</v>
      </c>
      <c r="O469" s="714"/>
      <c r="P469" s="717" t="s">
        <v>1410</v>
      </c>
      <c r="Q469" s="715" t="s">
        <v>2163</v>
      </c>
      <c r="R469" s="723">
        <v>46171</v>
      </c>
      <c r="S469" s="720" t="s">
        <v>107</v>
      </c>
      <c r="T469" s="720" t="s">
        <v>5425</v>
      </c>
      <c r="U469" s="720"/>
      <c r="V469" s="720"/>
      <c r="W469" s="720"/>
      <c r="X469" s="720" t="s">
        <v>5426</v>
      </c>
      <c r="Y469" s="719" t="s">
        <v>1252</v>
      </c>
      <c r="Z469" s="730">
        <v>4.7039</v>
      </c>
      <c r="AA469" s="652">
        <f>I469*Z469</f>
        <v>3311.5456</v>
      </c>
      <c r="AB469" s="721"/>
      <c r="AC469" s="652" t="s">
        <v>4108</v>
      </c>
      <c r="AD469" s="715" t="s">
        <v>112</v>
      </c>
      <c r="AE469" s="715">
        <f t="shared" si="92"/>
        <v>704</v>
      </c>
      <c r="AF469" s="715"/>
      <c r="AG469" s="715">
        <v>704</v>
      </c>
      <c r="AH469" s="715">
        <f t="shared" si="87"/>
        <v>0</v>
      </c>
      <c r="AI469" s="717"/>
      <c r="AJ469" s="715" t="s">
        <v>3981</v>
      </c>
      <c r="AK469" s="652"/>
      <c r="AL469" s="652">
        <f>I469</f>
        <v>704</v>
      </c>
      <c r="AM469" s="652"/>
      <c r="AN469" s="652">
        <f t="shared" si="93"/>
        <v>704</v>
      </c>
      <c r="AO469" s="652"/>
      <c r="AP469" s="652"/>
      <c r="AQ469" s="652"/>
      <c r="AR469" s="652"/>
      <c r="AS469" s="652"/>
      <c r="AT469" s="652"/>
      <c r="AU469" s="652">
        <f>I469/8</f>
        <v>88</v>
      </c>
      <c r="AV469" s="652"/>
      <c r="AW469" s="652"/>
      <c r="AX469" s="652"/>
      <c r="AY469" s="652"/>
      <c r="AZ469" s="652"/>
      <c r="BA469" s="652"/>
      <c r="BB469" s="652"/>
      <c r="BC469" s="652"/>
      <c r="BD469" s="652"/>
      <c r="BE469" s="652"/>
      <c r="BF469" s="652"/>
      <c r="BG469" s="652"/>
      <c r="BH469" s="652"/>
      <c r="BI469" s="652"/>
      <c r="BJ469" s="651"/>
      <c r="BK469" s="651"/>
      <c r="BL469" s="651"/>
      <c r="BM469" s="651"/>
      <c r="BN469" s="651"/>
      <c r="BO469" s="651"/>
      <c r="BP469" s="651"/>
      <c r="BQ469" s="651"/>
      <c r="BR469" s="651"/>
      <c r="BS469" s="651"/>
      <c r="BT469" s="651"/>
      <c r="BU469" s="651"/>
      <c r="BV469" s="651"/>
      <c r="BW469" s="651"/>
      <c r="BX469" s="651"/>
      <c r="BY469" s="651"/>
      <c r="BZ469" s="651"/>
      <c r="CA469" s="651"/>
      <c r="CB469" s="651"/>
      <c r="CC469" s="651"/>
      <c r="CD469" s="651"/>
      <c r="CE469" s="651"/>
      <c r="CF469" s="651"/>
      <c r="CG469" s="651"/>
      <c r="CH469" s="651"/>
      <c r="CI469" s="651"/>
      <c r="CJ469" s="651"/>
      <c r="CK469" s="651"/>
      <c r="CL469" s="651"/>
      <c r="CM469" s="651"/>
      <c r="CN469" s="651"/>
      <c r="CO469" s="651"/>
      <c r="CP469" s="651"/>
      <c r="CQ469" s="651"/>
      <c r="CR469" s="651"/>
      <c r="CS469" s="650"/>
      <c r="CT469" s="650"/>
      <c r="CU469" s="650"/>
      <c r="CV469" s="650"/>
      <c r="CW469" s="650"/>
      <c r="CX469" s="650"/>
      <c r="CY469" s="650"/>
      <c r="CZ469" s="650"/>
      <c r="DA469" s="650"/>
      <c r="DB469" s="650"/>
      <c r="DC469" s="650"/>
      <c r="DD469" s="650"/>
    </row>
    <row r="470" s="651" customFormat="1" ht="31" customHeight="1" spans="1:108">
      <c r="A470" s="713">
        <v>46189</v>
      </c>
      <c r="B470" s="714" t="s">
        <v>2137</v>
      </c>
      <c r="C470" s="715" t="s">
        <v>2138</v>
      </c>
      <c r="D470" s="652" t="s">
        <v>5427</v>
      </c>
      <c r="E470" s="715" t="s">
        <v>628</v>
      </c>
      <c r="F470" s="652" t="s">
        <v>5428</v>
      </c>
      <c r="G470" s="716" t="s">
        <v>3973</v>
      </c>
      <c r="H470" s="715" t="s">
        <v>3995</v>
      </c>
      <c r="I470" s="717">
        <v>2000</v>
      </c>
      <c r="J470" s="715">
        <v>0</v>
      </c>
      <c r="K470" s="715">
        <v>16</v>
      </c>
      <c r="L470" s="715">
        <f t="shared" si="91"/>
        <v>125</v>
      </c>
      <c r="M470" s="719">
        <v>46227</v>
      </c>
      <c r="N470" s="738">
        <v>46235</v>
      </c>
      <c r="O470" s="714" t="s">
        <v>2140</v>
      </c>
      <c r="P470" s="717" t="s">
        <v>1410</v>
      </c>
      <c r="Q470" s="717"/>
      <c r="R470" s="723">
        <v>46199</v>
      </c>
      <c r="S470" s="720" t="s">
        <v>107</v>
      </c>
      <c r="T470" s="720" t="s">
        <v>5429</v>
      </c>
      <c r="U470" s="720"/>
      <c r="V470" s="720"/>
      <c r="W470" s="720"/>
      <c r="X470" s="798" t="s">
        <v>5430</v>
      </c>
      <c r="Y470" s="719" t="s">
        <v>1477</v>
      </c>
      <c r="Z470" s="730">
        <v>4.8226</v>
      </c>
      <c r="AA470" s="652">
        <f>I470*Z470</f>
        <v>9645.2</v>
      </c>
      <c r="AB470" s="721"/>
      <c r="AC470" s="652" t="s">
        <v>4108</v>
      </c>
      <c r="AD470" s="715" t="s">
        <v>112</v>
      </c>
      <c r="AE470" s="715">
        <f t="shared" si="92"/>
        <v>2000</v>
      </c>
      <c r="AF470" s="715"/>
      <c r="AG470" s="715">
        <v>2000</v>
      </c>
      <c r="AH470" s="715">
        <f t="shared" si="87"/>
        <v>0</v>
      </c>
      <c r="AI470" s="717"/>
      <c r="AJ470" s="715" t="s">
        <v>3981</v>
      </c>
      <c r="AK470" s="652"/>
      <c r="AL470" s="652">
        <f>I470</f>
        <v>2000</v>
      </c>
      <c r="AM470" s="652"/>
      <c r="AN470" s="652">
        <f t="shared" si="93"/>
        <v>2000</v>
      </c>
      <c r="AO470" s="652"/>
      <c r="AP470" s="652"/>
      <c r="AQ470" s="652"/>
      <c r="AR470" s="652"/>
      <c r="AS470" s="652"/>
      <c r="AT470" s="652"/>
      <c r="AU470" s="652">
        <f>I470/8</f>
        <v>250</v>
      </c>
      <c r="AV470" s="652"/>
      <c r="AW470" s="652"/>
      <c r="AX470" s="652"/>
      <c r="AY470" s="652"/>
      <c r="AZ470" s="652"/>
      <c r="BA470" s="652"/>
      <c r="BB470" s="652"/>
      <c r="BC470" s="652"/>
      <c r="BD470" s="652"/>
      <c r="BE470" s="652"/>
      <c r="BF470" s="652"/>
      <c r="BG470" s="652"/>
      <c r="BH470" s="652"/>
      <c r="BI470" s="652"/>
      <c r="BJ470" s="650"/>
      <c r="BK470" s="650"/>
      <c r="BL470" s="650"/>
      <c r="BM470" s="650"/>
      <c r="BN470" s="650"/>
      <c r="BO470" s="650"/>
      <c r="BP470" s="650"/>
      <c r="BQ470" s="650"/>
      <c r="BR470" s="650"/>
      <c r="BS470" s="650"/>
      <c r="BT470" s="650"/>
      <c r="BU470" s="650"/>
      <c r="BV470" s="650"/>
      <c r="BW470" s="650"/>
      <c r="BX470" s="650"/>
      <c r="BY470" s="650"/>
      <c r="BZ470" s="650"/>
      <c r="CA470" s="650"/>
      <c r="CB470" s="650"/>
      <c r="CC470" s="650"/>
      <c r="CD470" s="650"/>
      <c r="CE470" s="650"/>
      <c r="CF470" s="650"/>
      <c r="CG470" s="650"/>
      <c r="CH470" s="650"/>
      <c r="CI470" s="650"/>
      <c r="CJ470" s="650"/>
      <c r="CK470" s="650"/>
      <c r="CL470" s="650"/>
      <c r="CM470" s="650"/>
      <c r="CN470" s="650"/>
      <c r="CO470" s="650"/>
      <c r="CP470" s="650"/>
      <c r="CQ470" s="650"/>
      <c r="CR470" s="650"/>
      <c r="CS470" s="650"/>
      <c r="CT470" s="650"/>
      <c r="CU470" s="650"/>
      <c r="CV470" s="650"/>
      <c r="CW470" s="650"/>
      <c r="CX470" s="650"/>
      <c r="CY470" s="650"/>
      <c r="CZ470" s="650"/>
      <c r="DA470" s="650"/>
      <c r="DB470" s="650"/>
      <c r="DC470" s="650"/>
      <c r="DD470" s="650"/>
    </row>
    <row r="471" s="656" customFormat="1" ht="31" customHeight="1" spans="1:108">
      <c r="A471" s="806">
        <v>46136</v>
      </c>
      <c r="B471" s="807" t="s">
        <v>583</v>
      </c>
      <c r="C471" s="808" t="s">
        <v>135</v>
      </c>
      <c r="D471" s="656" t="s">
        <v>5252</v>
      </c>
      <c r="E471" s="808" t="s">
        <v>5431</v>
      </c>
      <c r="F471" s="656" t="s">
        <v>5432</v>
      </c>
      <c r="G471" s="854" t="s">
        <v>5255</v>
      </c>
      <c r="H471" s="715" t="s">
        <v>4195</v>
      </c>
      <c r="I471" s="810">
        <v>2560</v>
      </c>
      <c r="J471" s="808">
        <v>0</v>
      </c>
      <c r="K471" s="808">
        <v>512</v>
      </c>
      <c r="L471" s="808">
        <f t="shared" si="91"/>
        <v>5</v>
      </c>
      <c r="M471" s="811">
        <v>46230</v>
      </c>
      <c r="N471" s="811">
        <v>46226</v>
      </c>
      <c r="O471" s="807"/>
      <c r="P471" s="810" t="s">
        <v>106</v>
      </c>
      <c r="Q471" s="810"/>
      <c r="R471" s="734" t="s">
        <v>2078</v>
      </c>
      <c r="S471" s="735" t="s">
        <v>107</v>
      </c>
      <c r="T471" s="735" t="s">
        <v>5433</v>
      </c>
      <c r="U471" s="735"/>
      <c r="V471" s="813" t="s">
        <v>4056</v>
      </c>
      <c r="W471" s="813"/>
      <c r="X471" s="813" t="s">
        <v>5257</v>
      </c>
      <c r="Y471" s="811" t="s">
        <v>1207</v>
      </c>
      <c r="Z471" s="814">
        <v>2332.5408</v>
      </c>
      <c r="AA471" s="656">
        <f>L471*Z471</f>
        <v>11662.704</v>
      </c>
      <c r="AB471" s="780"/>
      <c r="AC471" s="809" t="s">
        <v>4194</v>
      </c>
      <c r="AD471" s="771" t="s">
        <v>112</v>
      </c>
      <c r="AE471" s="808">
        <f t="shared" si="92"/>
        <v>2560</v>
      </c>
      <c r="AF471" s="808" t="s">
        <v>5125</v>
      </c>
      <c r="AG471" s="808">
        <v>2560</v>
      </c>
      <c r="AH471" s="715">
        <f t="shared" si="87"/>
        <v>0</v>
      </c>
      <c r="AI471" s="810" t="s">
        <v>120</v>
      </c>
      <c r="AJ471" s="715" t="s">
        <v>3981</v>
      </c>
      <c r="AK471" s="774">
        <f>I471</f>
        <v>2560</v>
      </c>
      <c r="AL471" s="652"/>
      <c r="AM471" s="652"/>
      <c r="AN471" s="652">
        <f t="shared" si="93"/>
        <v>2560</v>
      </c>
      <c r="AP471" s="774"/>
      <c r="AQ471" s="656"/>
      <c r="AR471" s="656"/>
      <c r="AS471" s="656"/>
      <c r="AT471" s="656">
        <f>I471/8</f>
        <v>320</v>
      </c>
      <c r="AU471" s="652"/>
      <c r="AV471" s="774"/>
      <c r="AW471" s="774"/>
      <c r="AX471" s="656"/>
      <c r="BI471" s="774"/>
    </row>
    <row r="472" s="650" customFormat="1" ht="31" customHeight="1" spans="1:108">
      <c r="A472" s="713">
        <v>46156</v>
      </c>
      <c r="B472" s="714" t="s">
        <v>2262</v>
      </c>
      <c r="C472" s="715" t="s">
        <v>2263</v>
      </c>
      <c r="D472" s="652">
        <v>4500204227</v>
      </c>
      <c r="E472" s="715" t="s">
        <v>5434</v>
      </c>
      <c r="F472" s="652" t="s">
        <v>5435</v>
      </c>
      <c r="G472" s="716" t="s">
        <v>3973</v>
      </c>
      <c r="H472" s="715" t="s">
        <v>3995</v>
      </c>
      <c r="I472" s="717">
        <v>5008</v>
      </c>
      <c r="J472" s="715">
        <v>0</v>
      </c>
      <c r="K472" s="715">
        <v>16</v>
      </c>
      <c r="L472" s="715">
        <f t="shared" si="91"/>
        <v>313</v>
      </c>
      <c r="M472" s="719">
        <v>46230</v>
      </c>
      <c r="N472" s="719">
        <v>46226</v>
      </c>
      <c r="O472" s="714"/>
      <c r="P472" s="717" t="s">
        <v>106</v>
      </c>
      <c r="Q472" s="717" t="s">
        <v>1195</v>
      </c>
      <c r="R472" s="723">
        <v>46156</v>
      </c>
      <c r="S472" s="720" t="s">
        <v>107</v>
      </c>
      <c r="T472" s="720" t="s">
        <v>5436</v>
      </c>
      <c r="U472" s="720"/>
      <c r="V472" s="720" t="s">
        <v>5437</v>
      </c>
      <c r="W472" s="720"/>
      <c r="X472" s="720" t="s">
        <v>5438</v>
      </c>
      <c r="Y472" s="719" t="s">
        <v>2269</v>
      </c>
      <c r="Z472" s="730">
        <v>4.6828</v>
      </c>
      <c r="AA472" s="652">
        <f>I472*Z472</f>
        <v>23451.4624</v>
      </c>
      <c r="AB472" s="721"/>
      <c r="AC472" s="722" t="s">
        <v>3973</v>
      </c>
      <c r="AD472" s="715" t="s">
        <v>112</v>
      </c>
      <c r="AE472" s="715">
        <f t="shared" si="92"/>
        <v>5008</v>
      </c>
      <c r="AF472" s="715" t="s">
        <v>5125</v>
      </c>
      <c r="AG472" s="715">
        <v>5008</v>
      </c>
      <c r="AH472" s="715">
        <f t="shared" si="87"/>
        <v>0</v>
      </c>
      <c r="AI472" s="717" t="s">
        <v>120</v>
      </c>
      <c r="AJ472" s="715" t="s">
        <v>3981</v>
      </c>
      <c r="AK472" s="652">
        <f>I472</f>
        <v>5008</v>
      </c>
      <c r="AL472" s="652"/>
      <c r="AM472" s="652"/>
      <c r="AN472" s="652">
        <f t="shared" si="93"/>
        <v>5008</v>
      </c>
      <c r="AO472" s="652"/>
      <c r="AP472" s="652"/>
      <c r="AQ472" s="652"/>
      <c r="AR472" s="652"/>
      <c r="AS472" s="652"/>
      <c r="AT472" s="652">
        <f>I472/8</f>
        <v>626</v>
      </c>
      <c r="AU472" s="652"/>
      <c r="AV472" s="652"/>
      <c r="AW472" s="652"/>
      <c r="AX472" s="652"/>
      <c r="AY472" s="652"/>
      <c r="AZ472" s="652"/>
      <c r="BA472" s="652"/>
      <c r="BB472" s="652"/>
      <c r="BC472" s="652"/>
      <c r="BD472" s="652"/>
      <c r="BE472" s="652"/>
      <c r="BF472" s="652"/>
      <c r="BG472" s="652"/>
      <c r="BH472" s="652"/>
      <c r="BI472" s="652"/>
      <c r="BJ472" s="650"/>
      <c r="BK472" s="650"/>
      <c r="BL472" s="650"/>
      <c r="BM472" s="650"/>
      <c r="BN472" s="650"/>
      <c r="BO472" s="650"/>
      <c r="BP472" s="650"/>
      <c r="BQ472" s="650"/>
      <c r="BR472" s="650"/>
      <c r="BS472" s="650"/>
      <c r="BT472" s="650"/>
      <c r="BU472" s="650"/>
      <c r="BV472" s="650"/>
      <c r="BW472" s="650"/>
      <c r="BX472" s="650"/>
      <c r="BY472" s="650"/>
      <c r="BZ472" s="650"/>
      <c r="CA472" s="650"/>
      <c r="CB472" s="650"/>
      <c r="CC472" s="650"/>
      <c r="CD472" s="650"/>
      <c r="CE472" s="650"/>
      <c r="CF472" s="650"/>
      <c r="CG472" s="650"/>
      <c r="CH472" s="650"/>
      <c r="CI472" s="650"/>
      <c r="CJ472" s="650"/>
      <c r="CK472" s="650"/>
      <c r="CL472" s="650"/>
      <c r="CM472" s="650"/>
      <c r="CN472" s="650"/>
      <c r="CO472" s="650"/>
      <c r="CP472" s="650"/>
      <c r="CQ472" s="650"/>
      <c r="CR472" s="650"/>
      <c r="CS472" s="654"/>
      <c r="CT472" s="654"/>
      <c r="CU472" s="654"/>
      <c r="CV472" s="654"/>
      <c r="CW472" s="654"/>
      <c r="CX472" s="654"/>
      <c r="CY472" s="654"/>
      <c r="CZ472" s="654"/>
      <c r="DA472" s="654"/>
      <c r="DB472" s="654"/>
      <c r="DC472" s="654"/>
      <c r="DD472" s="654"/>
    </row>
    <row r="473" s="650" customFormat="1" ht="31" customHeight="1" spans="1:108">
      <c r="A473" s="713">
        <v>46149</v>
      </c>
      <c r="B473" s="714" t="s">
        <v>1039</v>
      </c>
      <c r="C473" s="715" t="s">
        <v>201</v>
      </c>
      <c r="D473" s="652" t="s">
        <v>5439</v>
      </c>
      <c r="E473" s="715" t="s">
        <v>5440</v>
      </c>
      <c r="F473" s="652" t="s">
        <v>5441</v>
      </c>
      <c r="G473" s="716" t="s">
        <v>3980</v>
      </c>
      <c r="H473" s="715" t="s">
        <v>3978</v>
      </c>
      <c r="I473" s="752">
        <v>1504</v>
      </c>
      <c r="J473" s="715">
        <v>0</v>
      </c>
      <c r="K473" s="715">
        <v>8</v>
      </c>
      <c r="L473" s="715">
        <f t="shared" si="91"/>
        <v>188</v>
      </c>
      <c r="M473" s="719">
        <v>46230</v>
      </c>
      <c r="N473" s="719">
        <v>46226</v>
      </c>
      <c r="O473" s="714"/>
      <c r="P473" s="717" t="s">
        <v>1410</v>
      </c>
      <c r="Q473" s="717"/>
      <c r="R473" s="723" t="s">
        <v>5442</v>
      </c>
      <c r="S473" s="720" t="s">
        <v>95</v>
      </c>
      <c r="T473" s="720" t="s">
        <v>5443</v>
      </c>
      <c r="U473" s="720"/>
      <c r="V473" s="720"/>
      <c r="W473" s="720"/>
      <c r="X473" s="720" t="s">
        <v>5444</v>
      </c>
      <c r="Y473" s="719" t="s">
        <v>204</v>
      </c>
      <c r="Z473" s="730">
        <v>4.5405</v>
      </c>
      <c r="AA473" s="652">
        <f>Z473*I473</f>
        <v>6828.912</v>
      </c>
      <c r="AB473" s="721"/>
      <c r="AC473" s="722" t="s">
        <v>4031</v>
      </c>
      <c r="AD473" s="715" t="s">
        <v>112</v>
      </c>
      <c r="AE473" s="715">
        <f t="shared" si="92"/>
        <v>1504</v>
      </c>
      <c r="AF473" s="715"/>
      <c r="AG473" s="715">
        <v>1504</v>
      </c>
      <c r="AH473" s="715">
        <f t="shared" si="87"/>
        <v>0</v>
      </c>
      <c r="AI473" s="717" t="s">
        <v>120</v>
      </c>
      <c r="AJ473" s="715" t="s">
        <v>3981</v>
      </c>
      <c r="AK473" s="652"/>
      <c r="AL473" s="652">
        <f>I473</f>
        <v>1504</v>
      </c>
      <c r="AM473" s="652"/>
      <c r="AN473" s="652">
        <f t="shared" si="93"/>
        <v>1504</v>
      </c>
      <c r="AO473" s="652"/>
      <c r="AP473" s="652"/>
      <c r="AQ473" s="652"/>
      <c r="AR473" s="652"/>
      <c r="AS473" s="652"/>
      <c r="AT473" s="652"/>
      <c r="AU473" s="652">
        <f>I473/8</f>
        <v>188</v>
      </c>
      <c r="AV473" s="652"/>
      <c r="AW473" s="652"/>
      <c r="AX473" s="652"/>
      <c r="AY473" s="652"/>
      <c r="AZ473" s="652"/>
      <c r="BA473" s="652"/>
      <c r="BB473" s="652"/>
      <c r="BC473" s="652"/>
      <c r="BD473" s="652"/>
      <c r="BE473" s="652"/>
      <c r="BF473" s="652"/>
      <c r="BG473" s="652"/>
      <c r="BH473" s="652"/>
      <c r="BI473" s="652"/>
    </row>
    <row r="474" s="650" customFormat="1" ht="31" customHeight="1" spans="1:108">
      <c r="A474" s="713">
        <v>46156</v>
      </c>
      <c r="B474" s="714" t="s">
        <v>2257</v>
      </c>
      <c r="C474" s="715" t="s">
        <v>810</v>
      </c>
      <c r="D474" s="652" t="s">
        <v>5445</v>
      </c>
      <c r="E474" s="715" t="s">
        <v>628</v>
      </c>
      <c r="F474" s="652" t="s">
        <v>5446</v>
      </c>
      <c r="G474" s="716" t="s">
        <v>3973</v>
      </c>
      <c r="H474" s="715" t="s">
        <v>3995</v>
      </c>
      <c r="I474" s="717">
        <v>1600</v>
      </c>
      <c r="J474" s="715">
        <v>0</v>
      </c>
      <c r="K474" s="715">
        <v>16</v>
      </c>
      <c r="L474" s="715">
        <f t="shared" si="91"/>
        <v>100</v>
      </c>
      <c r="M474" s="719">
        <v>46230</v>
      </c>
      <c r="N474" s="719">
        <v>46226</v>
      </c>
      <c r="O474" s="714"/>
      <c r="P474" s="717" t="s">
        <v>1410</v>
      </c>
      <c r="Q474" s="717" t="s">
        <v>5447</v>
      </c>
      <c r="R474" s="723">
        <v>46197</v>
      </c>
      <c r="S474" s="720" t="s">
        <v>107</v>
      </c>
      <c r="T474" s="720" t="s">
        <v>5448</v>
      </c>
      <c r="U474" s="720"/>
      <c r="V474" s="720"/>
      <c r="W474" s="720"/>
      <c r="X474" s="720" t="s">
        <v>5449</v>
      </c>
      <c r="Y474" s="719" t="s">
        <v>1945</v>
      </c>
      <c r="Z474" s="730">
        <v>4.6933</v>
      </c>
      <c r="AA474" s="652">
        <f t="shared" ref="AA474:AA480" si="94">I474*Z474</f>
        <v>7509.28</v>
      </c>
      <c r="AB474" s="721"/>
      <c r="AC474" s="652" t="s">
        <v>4108</v>
      </c>
      <c r="AD474" s="715" t="s">
        <v>112</v>
      </c>
      <c r="AE474" s="715">
        <f t="shared" si="92"/>
        <v>1600</v>
      </c>
      <c r="AF474" s="715"/>
      <c r="AG474" s="715">
        <v>1600</v>
      </c>
      <c r="AH474" s="715">
        <f t="shared" si="87"/>
        <v>0</v>
      </c>
      <c r="AI474" s="717"/>
      <c r="AJ474" s="715" t="s">
        <v>3981</v>
      </c>
      <c r="AK474" s="652"/>
      <c r="AL474" s="652">
        <f>I474</f>
        <v>1600</v>
      </c>
      <c r="AM474" s="652"/>
      <c r="AN474" s="652">
        <f t="shared" si="93"/>
        <v>1600</v>
      </c>
      <c r="AO474" s="652"/>
      <c r="AP474" s="652"/>
      <c r="AQ474" s="652"/>
      <c r="AR474" s="652"/>
      <c r="AS474" s="652"/>
      <c r="AT474" s="652"/>
      <c r="AU474" s="652">
        <f>I474/8</f>
        <v>200</v>
      </c>
      <c r="AV474" s="652"/>
      <c r="AW474" s="652"/>
      <c r="AX474" s="652"/>
      <c r="AY474" s="652"/>
      <c r="AZ474" s="652"/>
      <c r="BA474" s="652"/>
      <c r="BB474" s="652"/>
      <c r="BC474" s="652"/>
      <c r="BD474" s="652"/>
      <c r="BE474" s="652"/>
      <c r="BF474" s="652"/>
      <c r="BG474" s="652"/>
      <c r="BH474" s="652"/>
      <c r="BI474" s="652"/>
      <c r="BJ474" s="650"/>
      <c r="BK474" s="650"/>
      <c r="BL474" s="650"/>
      <c r="BM474" s="650"/>
      <c r="BN474" s="650"/>
      <c r="BO474" s="650"/>
      <c r="BP474" s="650"/>
      <c r="BQ474" s="650"/>
      <c r="BR474" s="650"/>
      <c r="BS474" s="650"/>
      <c r="BT474" s="650"/>
      <c r="BU474" s="650"/>
      <c r="BV474" s="650"/>
      <c r="BW474" s="650"/>
      <c r="BX474" s="650"/>
      <c r="BY474" s="650"/>
      <c r="BZ474" s="650"/>
      <c r="CA474" s="650"/>
      <c r="CB474" s="650"/>
      <c r="CC474" s="650"/>
      <c r="CD474" s="650"/>
      <c r="CE474" s="650"/>
      <c r="CF474" s="650"/>
      <c r="CG474" s="650"/>
      <c r="CH474" s="650"/>
      <c r="CI474" s="650"/>
      <c r="CJ474" s="650"/>
      <c r="CK474" s="650"/>
      <c r="CL474" s="650"/>
      <c r="CM474" s="650"/>
      <c r="CN474" s="650"/>
      <c r="CO474" s="650"/>
      <c r="CP474" s="650"/>
      <c r="CQ474" s="650"/>
      <c r="CR474" s="650"/>
      <c r="CS474" s="654"/>
      <c r="CT474" s="654"/>
      <c r="CU474" s="654"/>
      <c r="CV474" s="654"/>
      <c r="CW474" s="654"/>
      <c r="CX474" s="654"/>
      <c r="CY474" s="654"/>
      <c r="CZ474" s="654"/>
      <c r="DA474" s="654"/>
      <c r="DB474" s="654"/>
      <c r="DC474" s="654"/>
      <c r="DD474" s="654"/>
    </row>
    <row r="475" s="650" customFormat="1" ht="31" customHeight="1" spans="1:108">
      <c r="A475" s="713">
        <v>46182</v>
      </c>
      <c r="B475" s="714" t="s">
        <v>4571</v>
      </c>
      <c r="C475" s="715" t="s">
        <v>164</v>
      </c>
      <c r="D475" s="837">
        <v>4500206232</v>
      </c>
      <c r="E475" s="715">
        <v>30260576</v>
      </c>
      <c r="F475" s="652" t="s">
        <v>5450</v>
      </c>
      <c r="G475" s="716" t="s">
        <v>4574</v>
      </c>
      <c r="H475" s="715" t="s">
        <v>3969</v>
      </c>
      <c r="I475" s="717">
        <v>2720</v>
      </c>
      <c r="J475" s="715">
        <v>0</v>
      </c>
      <c r="K475" s="715">
        <v>16</v>
      </c>
      <c r="L475" s="715">
        <f t="shared" si="91"/>
        <v>170</v>
      </c>
      <c r="M475" s="778">
        <v>46234</v>
      </c>
      <c r="N475" s="778">
        <v>46230</v>
      </c>
      <c r="O475" s="714"/>
      <c r="P475" s="717" t="s">
        <v>106</v>
      </c>
      <c r="Q475" s="717" t="s">
        <v>1241</v>
      </c>
      <c r="R475" s="723">
        <v>46196</v>
      </c>
      <c r="S475" s="720" t="s">
        <v>107</v>
      </c>
      <c r="T475" s="735" t="s">
        <v>5451</v>
      </c>
      <c r="U475" s="735"/>
      <c r="V475" s="735"/>
      <c r="W475" s="720"/>
      <c r="X475" s="720" t="s">
        <v>5452</v>
      </c>
      <c r="Y475" s="719" t="s">
        <v>1985</v>
      </c>
      <c r="Z475" s="730">
        <v>4.4696</v>
      </c>
      <c r="AA475" s="652">
        <f t="shared" si="94"/>
        <v>12157.312</v>
      </c>
      <c r="AB475" s="721"/>
      <c r="AC475" s="794" t="s">
        <v>4574</v>
      </c>
      <c r="AD475" s="715" t="s">
        <v>112</v>
      </c>
      <c r="AE475" s="715">
        <f t="shared" si="92"/>
        <v>2720</v>
      </c>
      <c r="AF475" s="715"/>
      <c r="AG475" s="715">
        <f>2704+16</f>
        <v>2720</v>
      </c>
      <c r="AH475" s="715">
        <f t="shared" ref="AH475:AH537" si="95">AG475-I475</f>
        <v>0</v>
      </c>
      <c r="AI475" s="717" t="s">
        <v>120</v>
      </c>
      <c r="AJ475" s="715" t="s">
        <v>3981</v>
      </c>
      <c r="AK475" s="652">
        <f>I475</f>
        <v>2720</v>
      </c>
      <c r="AL475" s="652"/>
      <c r="AM475" s="652"/>
      <c r="AN475" s="652">
        <f t="shared" si="93"/>
        <v>2720</v>
      </c>
      <c r="AO475" s="652"/>
      <c r="AP475" s="652"/>
      <c r="AQ475" s="652"/>
      <c r="AR475" s="652"/>
      <c r="AS475" s="652"/>
      <c r="AT475" s="652"/>
      <c r="AU475" s="652"/>
      <c r="AV475" s="652"/>
      <c r="AW475" s="652"/>
      <c r="AX475" s="652"/>
      <c r="AY475" s="652"/>
      <c r="AZ475" s="652"/>
      <c r="BA475" s="652"/>
      <c r="BB475" s="652"/>
      <c r="BC475" s="652"/>
      <c r="BD475" s="652"/>
      <c r="BE475" s="652"/>
      <c r="BF475" s="652"/>
      <c r="BG475" s="652"/>
      <c r="BH475" s="652"/>
      <c r="BI475" s="652"/>
      <c r="BJ475" s="650"/>
      <c r="BK475" s="650"/>
      <c r="BL475" s="650"/>
      <c r="BM475" s="650"/>
      <c r="BN475" s="650"/>
      <c r="BO475" s="650"/>
      <c r="BP475" s="650"/>
      <c r="BQ475" s="650"/>
      <c r="BR475" s="650"/>
      <c r="BS475" s="650"/>
      <c r="BT475" s="650"/>
      <c r="BU475" s="650"/>
      <c r="BV475" s="650"/>
      <c r="BW475" s="650"/>
      <c r="BX475" s="650"/>
      <c r="BY475" s="650"/>
      <c r="BZ475" s="650"/>
      <c r="CA475" s="650"/>
      <c r="CB475" s="650"/>
      <c r="CC475" s="650"/>
      <c r="CD475" s="650"/>
      <c r="CE475" s="650"/>
      <c r="CF475" s="650"/>
      <c r="CG475" s="650"/>
      <c r="CH475" s="650"/>
      <c r="CI475" s="650"/>
      <c r="CJ475" s="650"/>
      <c r="CK475" s="650"/>
      <c r="CL475" s="650"/>
      <c r="CM475" s="650"/>
      <c r="CN475" s="650"/>
      <c r="CO475" s="650"/>
      <c r="CP475" s="650"/>
      <c r="CQ475" s="650"/>
      <c r="CR475" s="650"/>
      <c r="CS475" s="651"/>
      <c r="CT475" s="651"/>
      <c r="CU475" s="651"/>
      <c r="CV475" s="651"/>
      <c r="CW475" s="651"/>
      <c r="CX475" s="651"/>
      <c r="CY475" s="651"/>
      <c r="CZ475" s="651"/>
      <c r="DA475" s="651"/>
      <c r="DB475" s="651"/>
      <c r="DC475" s="651"/>
      <c r="DD475" s="651"/>
    </row>
    <row r="476" s="651" customFormat="1" ht="31" customHeight="1" spans="1:108">
      <c r="A476" s="713">
        <v>46184</v>
      </c>
      <c r="B476" s="714" t="s">
        <v>114</v>
      </c>
      <c r="C476" s="715" t="s">
        <v>115</v>
      </c>
      <c r="D476" s="652">
        <v>4500211710</v>
      </c>
      <c r="E476" s="715" t="s">
        <v>5453</v>
      </c>
      <c r="F476" s="652" t="s">
        <v>5454</v>
      </c>
      <c r="G476" s="716" t="s">
        <v>3980</v>
      </c>
      <c r="H476" s="715" t="s">
        <v>3978</v>
      </c>
      <c r="I476" s="717">
        <v>13000</v>
      </c>
      <c r="J476" s="715">
        <v>0</v>
      </c>
      <c r="K476" s="715">
        <v>8</v>
      </c>
      <c r="L476" s="715">
        <f t="shared" si="91"/>
        <v>1625</v>
      </c>
      <c r="M476" s="719">
        <v>46234</v>
      </c>
      <c r="N476" s="719">
        <v>46230</v>
      </c>
      <c r="O476" s="714"/>
      <c r="P476" s="717" t="s">
        <v>106</v>
      </c>
      <c r="Q476" s="717" t="s">
        <v>4976</v>
      </c>
      <c r="R476" s="723" t="s">
        <v>5455</v>
      </c>
      <c r="S476" s="720" t="s">
        <v>107</v>
      </c>
      <c r="T476" s="720" t="s">
        <v>5456</v>
      </c>
      <c r="U476" s="720"/>
      <c r="V476" s="720"/>
      <c r="W476" s="720"/>
      <c r="X476" s="720" t="s">
        <v>5396</v>
      </c>
      <c r="Y476" s="719" t="s">
        <v>123</v>
      </c>
      <c r="Z476" s="730">
        <v>2.7799</v>
      </c>
      <c r="AA476" s="652">
        <f t="shared" si="94"/>
        <v>36138.7</v>
      </c>
      <c r="AB476" s="721"/>
      <c r="AC476" s="722" t="s">
        <v>3980</v>
      </c>
      <c r="AD476" s="715" t="s">
        <v>112</v>
      </c>
      <c r="AE476" s="715">
        <f t="shared" si="92"/>
        <v>13000</v>
      </c>
      <c r="AF476" s="715"/>
      <c r="AG476" s="715">
        <f>8520+4480</f>
        <v>13000</v>
      </c>
      <c r="AH476" s="715">
        <f t="shared" si="95"/>
        <v>0</v>
      </c>
      <c r="AI476" s="717"/>
      <c r="AJ476" s="715" t="s">
        <v>3981</v>
      </c>
      <c r="AK476" s="652">
        <f>I476</f>
        <v>13000</v>
      </c>
      <c r="AL476" s="652"/>
      <c r="AM476" s="652"/>
      <c r="AN476" s="652">
        <f t="shared" si="93"/>
        <v>13000</v>
      </c>
      <c r="AO476" s="652"/>
      <c r="AP476" s="652"/>
      <c r="AQ476" s="652"/>
      <c r="AR476" s="652"/>
      <c r="AS476" s="652"/>
      <c r="AT476" s="652">
        <f>I476/8</f>
        <v>1625</v>
      </c>
      <c r="AU476" s="652"/>
      <c r="AV476" s="652"/>
      <c r="AW476" s="652"/>
      <c r="AX476" s="652"/>
      <c r="AY476" s="652"/>
      <c r="AZ476" s="652"/>
      <c r="BA476" s="652"/>
      <c r="BB476" s="652"/>
      <c r="BC476" s="652"/>
      <c r="BD476" s="652"/>
      <c r="BE476" s="652"/>
      <c r="BF476" s="652"/>
      <c r="BG476" s="652"/>
      <c r="BH476" s="652"/>
      <c r="BI476" s="652"/>
      <c r="BJ476" s="650"/>
      <c r="BK476" s="650"/>
      <c r="BL476" s="650"/>
      <c r="BM476" s="650"/>
      <c r="BN476" s="650"/>
      <c r="BO476" s="650"/>
      <c r="BP476" s="650"/>
      <c r="BQ476" s="650"/>
      <c r="BR476" s="650"/>
      <c r="BS476" s="650"/>
      <c r="BT476" s="650"/>
      <c r="BU476" s="650"/>
      <c r="BV476" s="650"/>
      <c r="BW476" s="650"/>
      <c r="BX476" s="650"/>
      <c r="BY476" s="650"/>
      <c r="BZ476" s="650"/>
      <c r="CA476" s="650"/>
      <c r="CB476" s="650"/>
      <c r="CC476" s="650"/>
      <c r="CD476" s="650"/>
      <c r="CE476" s="650"/>
      <c r="CF476" s="650"/>
      <c r="CG476" s="650"/>
      <c r="CH476" s="650"/>
      <c r="CI476" s="650"/>
      <c r="CJ476" s="650"/>
      <c r="CK476" s="650"/>
      <c r="CL476" s="650"/>
      <c r="CM476" s="650"/>
      <c r="CN476" s="650"/>
      <c r="CO476" s="650"/>
      <c r="CP476" s="650"/>
      <c r="CQ476" s="650"/>
      <c r="CR476" s="650"/>
    </row>
    <row r="477" s="651" customFormat="1" ht="31" customHeight="1" spans="1:108">
      <c r="A477" s="713">
        <v>46178</v>
      </c>
      <c r="B477" s="714" t="s">
        <v>2596</v>
      </c>
      <c r="C477" s="715" t="s">
        <v>1439</v>
      </c>
      <c r="D477" s="652">
        <v>4500210889</v>
      </c>
      <c r="E477" s="715">
        <v>7201198</v>
      </c>
      <c r="F477" s="652" t="s">
        <v>5457</v>
      </c>
      <c r="G477" s="716" t="s">
        <v>3973</v>
      </c>
      <c r="H477" s="715" t="s">
        <v>3995</v>
      </c>
      <c r="I477" s="717">
        <v>720</v>
      </c>
      <c r="J477" s="715">
        <v>0</v>
      </c>
      <c r="K477" s="715">
        <v>16</v>
      </c>
      <c r="L477" s="715">
        <f t="shared" si="91"/>
        <v>45</v>
      </c>
      <c r="M477" s="778">
        <v>46234</v>
      </c>
      <c r="N477" s="778">
        <v>46230</v>
      </c>
      <c r="O477" s="714"/>
      <c r="P477" s="717" t="s">
        <v>1410</v>
      </c>
      <c r="Q477" s="717"/>
      <c r="R477" s="723">
        <v>46185</v>
      </c>
      <c r="S477" s="720" t="s">
        <v>107</v>
      </c>
      <c r="T477" s="720" t="s">
        <v>5458</v>
      </c>
      <c r="U477" s="720"/>
      <c r="V477" s="720"/>
      <c r="W477" s="720"/>
      <c r="X477" s="720" t="s">
        <v>5459</v>
      </c>
      <c r="Y477" s="719" t="s">
        <v>2600</v>
      </c>
      <c r="Z477" s="730">
        <v>4.7945</v>
      </c>
      <c r="AA477" s="652">
        <f t="shared" si="94"/>
        <v>3452.04</v>
      </c>
      <c r="AB477" s="721"/>
      <c r="AC477" s="652" t="s">
        <v>4108</v>
      </c>
      <c r="AD477" s="715" t="s">
        <v>112</v>
      </c>
      <c r="AE477" s="715">
        <f t="shared" si="92"/>
        <v>720</v>
      </c>
      <c r="AF477" s="715"/>
      <c r="AG477" s="715">
        <v>720</v>
      </c>
      <c r="AH477" s="715">
        <f t="shared" si="95"/>
        <v>0</v>
      </c>
      <c r="AI477" s="717"/>
      <c r="AJ477" s="715" t="s">
        <v>3981</v>
      </c>
      <c r="AK477" s="652"/>
      <c r="AL477" s="652">
        <f>I477</f>
        <v>720</v>
      </c>
      <c r="AM477" s="652"/>
      <c r="AN477" s="652">
        <f t="shared" si="93"/>
        <v>720</v>
      </c>
      <c r="AO477" s="652"/>
      <c r="AP477" s="652"/>
      <c r="AQ477" s="652"/>
      <c r="AR477" s="652"/>
      <c r="AS477" s="652"/>
      <c r="AT477" s="652"/>
      <c r="AU477" s="652">
        <f>I477/8</f>
        <v>90</v>
      </c>
      <c r="AV477" s="652"/>
      <c r="AW477" s="652"/>
      <c r="AX477" s="652"/>
      <c r="AY477" s="652"/>
      <c r="AZ477" s="652"/>
      <c r="BA477" s="652"/>
      <c r="BB477" s="652"/>
      <c r="BC477" s="652"/>
      <c r="BD477" s="652"/>
      <c r="BE477" s="652"/>
      <c r="BF477" s="652"/>
      <c r="BG477" s="652"/>
      <c r="BH477" s="652"/>
      <c r="BI477" s="652"/>
      <c r="BJ477" s="650"/>
      <c r="BK477" s="650"/>
      <c r="BL477" s="650"/>
      <c r="BM477" s="650"/>
      <c r="BN477" s="650"/>
      <c r="BO477" s="650"/>
      <c r="BP477" s="650"/>
      <c r="BQ477" s="650"/>
      <c r="BR477" s="650"/>
      <c r="BS477" s="650"/>
      <c r="BT477" s="650"/>
      <c r="BU477" s="650"/>
      <c r="BV477" s="650"/>
      <c r="BW477" s="650"/>
      <c r="BX477" s="650"/>
      <c r="BY477" s="650"/>
      <c r="BZ477" s="650"/>
      <c r="CA477" s="650"/>
      <c r="CB477" s="650"/>
      <c r="CC477" s="650"/>
      <c r="CD477" s="650"/>
      <c r="CE477" s="650"/>
      <c r="CF477" s="650"/>
      <c r="CG477" s="650"/>
      <c r="CH477" s="650"/>
      <c r="CI477" s="650"/>
      <c r="CJ477" s="650"/>
      <c r="CK477" s="650"/>
      <c r="CL477" s="650"/>
      <c r="CM477" s="650"/>
      <c r="CN477" s="650"/>
      <c r="CO477" s="650"/>
      <c r="CP477" s="650"/>
      <c r="CQ477" s="650"/>
      <c r="CR477" s="650"/>
    </row>
    <row r="478" s="650" customFormat="1" ht="31" customHeight="1" spans="1:108">
      <c r="A478" s="713">
        <v>46136</v>
      </c>
      <c r="B478" s="714" t="s">
        <v>2522</v>
      </c>
      <c r="C478" s="715" t="s">
        <v>2523</v>
      </c>
      <c r="D478" s="652">
        <v>4500203837</v>
      </c>
      <c r="E478" s="715">
        <v>4500159372</v>
      </c>
      <c r="F478" s="652" t="s">
        <v>5460</v>
      </c>
      <c r="G478" s="716" t="s">
        <v>3973</v>
      </c>
      <c r="H478" s="715" t="s">
        <v>3995</v>
      </c>
      <c r="I478" s="717">
        <v>1808</v>
      </c>
      <c r="J478" s="715">
        <v>0</v>
      </c>
      <c r="K478" s="715">
        <v>16</v>
      </c>
      <c r="L478" s="715">
        <f t="shared" si="91"/>
        <v>113</v>
      </c>
      <c r="M478" s="719">
        <v>46230</v>
      </c>
      <c r="N478" s="719">
        <v>46226</v>
      </c>
      <c r="O478" s="714"/>
      <c r="P478" s="717" t="s">
        <v>1410</v>
      </c>
      <c r="Q478" s="717" t="s">
        <v>4976</v>
      </c>
      <c r="R478" s="723">
        <v>46184</v>
      </c>
      <c r="S478" s="720" t="s">
        <v>107</v>
      </c>
      <c r="T478" s="720" t="s">
        <v>5461</v>
      </c>
      <c r="U478" s="720"/>
      <c r="V478" s="720"/>
      <c r="W478" s="720"/>
      <c r="X478" s="720" t="s">
        <v>5462</v>
      </c>
      <c r="Y478" s="719" t="s">
        <v>757</v>
      </c>
      <c r="Z478" s="730">
        <v>4.5744</v>
      </c>
      <c r="AA478" s="652">
        <f t="shared" si="94"/>
        <v>8270.5152</v>
      </c>
      <c r="AB478" s="721"/>
      <c r="AC478" s="652" t="s">
        <v>4108</v>
      </c>
      <c r="AD478" s="715" t="s">
        <v>112</v>
      </c>
      <c r="AE478" s="715">
        <f t="shared" si="92"/>
        <v>1808</v>
      </c>
      <c r="AF478" s="715"/>
      <c r="AG478" s="715">
        <v>1808</v>
      </c>
      <c r="AH478" s="715">
        <f t="shared" si="95"/>
        <v>0</v>
      </c>
      <c r="AI478" s="717" t="s">
        <v>4064</v>
      </c>
      <c r="AJ478" s="715" t="s">
        <v>3981</v>
      </c>
      <c r="AK478" s="652"/>
      <c r="AL478" s="652">
        <f>I478</f>
        <v>1808</v>
      </c>
      <c r="AM478" s="652"/>
      <c r="AN478" s="652">
        <f t="shared" si="93"/>
        <v>1808</v>
      </c>
      <c r="AO478" s="652"/>
      <c r="AP478" s="652"/>
      <c r="AQ478" s="652"/>
      <c r="AR478" s="652"/>
      <c r="AS478" s="652"/>
      <c r="AT478" s="652"/>
      <c r="AU478" s="652">
        <f>I478/8</f>
        <v>226</v>
      </c>
      <c r="AV478" s="652"/>
      <c r="AW478" s="652"/>
      <c r="AX478" s="652"/>
      <c r="AY478" s="652"/>
      <c r="AZ478" s="652"/>
      <c r="BA478" s="652"/>
      <c r="BB478" s="652"/>
      <c r="BC478" s="652"/>
      <c r="BD478" s="652"/>
      <c r="BE478" s="652"/>
      <c r="BF478" s="652"/>
      <c r="BG478" s="652"/>
      <c r="BH478" s="652"/>
      <c r="BI478" s="652"/>
      <c r="BJ478" s="650"/>
      <c r="BK478" s="650"/>
      <c r="BL478" s="650"/>
      <c r="BM478" s="650"/>
      <c r="BN478" s="650"/>
      <c r="BO478" s="650"/>
      <c r="BP478" s="650"/>
      <c r="BQ478" s="650"/>
      <c r="BR478" s="650"/>
      <c r="BS478" s="650"/>
      <c r="BT478" s="650"/>
      <c r="BU478" s="650"/>
      <c r="BV478" s="650"/>
      <c r="BW478" s="650"/>
      <c r="BX478" s="650"/>
      <c r="BY478" s="650"/>
      <c r="BZ478" s="650"/>
      <c r="CA478" s="650"/>
      <c r="CB478" s="650"/>
      <c r="CC478" s="650"/>
      <c r="CD478" s="650"/>
      <c r="CE478" s="650"/>
      <c r="CF478" s="650"/>
      <c r="CG478" s="650"/>
      <c r="CH478" s="650"/>
      <c r="CI478" s="650"/>
      <c r="CJ478" s="650"/>
      <c r="CK478" s="650"/>
      <c r="CL478" s="650"/>
      <c r="CM478" s="650"/>
      <c r="CN478" s="650"/>
      <c r="CO478" s="650"/>
      <c r="CP478" s="650"/>
      <c r="CQ478" s="650"/>
      <c r="CR478" s="650"/>
      <c r="CS478" s="654"/>
      <c r="CT478" s="654"/>
      <c r="CU478" s="654"/>
      <c r="CV478" s="654"/>
      <c r="CW478" s="654"/>
      <c r="CX478" s="654"/>
      <c r="CY478" s="654"/>
      <c r="CZ478" s="654"/>
      <c r="DA478" s="654"/>
      <c r="DB478" s="654"/>
      <c r="DC478" s="654"/>
      <c r="DD478" s="654"/>
    </row>
    <row r="479" s="650" customFormat="1" ht="31" customHeight="1" spans="1:108">
      <c r="A479" s="713">
        <v>46153</v>
      </c>
      <c r="B479" s="714" t="s">
        <v>2294</v>
      </c>
      <c r="C479" s="715" t="s">
        <v>115</v>
      </c>
      <c r="D479" s="652" t="s">
        <v>5463</v>
      </c>
      <c r="E479" s="715" t="s">
        <v>5464</v>
      </c>
      <c r="F479" s="652" t="s">
        <v>5465</v>
      </c>
      <c r="G479" s="716" t="s">
        <v>3973</v>
      </c>
      <c r="H479" s="715" t="s">
        <v>3995</v>
      </c>
      <c r="I479" s="717">
        <v>4960</v>
      </c>
      <c r="J479" s="715">
        <v>0</v>
      </c>
      <c r="K479" s="715">
        <v>16</v>
      </c>
      <c r="L479" s="715">
        <f t="shared" si="91"/>
        <v>310</v>
      </c>
      <c r="M479" s="719">
        <v>46231</v>
      </c>
      <c r="N479" s="719">
        <v>46227</v>
      </c>
      <c r="O479" s="714"/>
      <c r="P479" s="717" t="s">
        <v>106</v>
      </c>
      <c r="Q479" s="717"/>
      <c r="R479" s="734">
        <v>46184</v>
      </c>
      <c r="S479" s="720" t="s">
        <v>107</v>
      </c>
      <c r="T479" s="735" t="s">
        <v>95</v>
      </c>
      <c r="U479" s="720"/>
      <c r="V479" s="720"/>
      <c r="W479" s="720"/>
      <c r="X479" s="720" t="s">
        <v>5466</v>
      </c>
      <c r="Y479" s="719" t="s">
        <v>2297</v>
      </c>
      <c r="Z479" s="730">
        <v>2.816</v>
      </c>
      <c r="AA479" s="652">
        <f t="shared" si="94"/>
        <v>13967.36</v>
      </c>
      <c r="AB479" s="721"/>
      <c r="AC479" s="722" t="s">
        <v>3973</v>
      </c>
      <c r="AD479" s="715" t="s">
        <v>112</v>
      </c>
      <c r="AE479" s="715">
        <f t="shared" si="92"/>
        <v>4960</v>
      </c>
      <c r="AF479" s="715" t="s">
        <v>5125</v>
      </c>
      <c r="AG479" s="715">
        <v>4960</v>
      </c>
      <c r="AH479" s="715">
        <f t="shared" si="95"/>
        <v>0</v>
      </c>
      <c r="AI479" s="717" t="s">
        <v>95</v>
      </c>
      <c r="AJ479" s="715" t="s">
        <v>3981</v>
      </c>
      <c r="AK479" s="652">
        <f>I479</f>
        <v>4960</v>
      </c>
      <c r="AL479" s="652"/>
      <c r="AM479" s="652"/>
      <c r="AN479" s="652">
        <f t="shared" si="93"/>
        <v>4960</v>
      </c>
      <c r="AO479" s="652"/>
      <c r="AP479" s="652"/>
      <c r="AQ479" s="652"/>
      <c r="AR479" s="652"/>
      <c r="AS479" s="652"/>
      <c r="AT479" s="652">
        <f>I479/8</f>
        <v>620</v>
      </c>
      <c r="AU479" s="652"/>
      <c r="AV479" s="652"/>
      <c r="AW479" s="652"/>
      <c r="AX479" s="652"/>
      <c r="AY479" s="652"/>
      <c r="AZ479" s="652"/>
      <c r="BA479" s="652"/>
      <c r="BB479" s="652"/>
      <c r="BC479" s="652"/>
      <c r="BD479" s="652"/>
      <c r="BE479" s="652"/>
      <c r="BF479" s="652"/>
      <c r="BG479" s="652"/>
      <c r="BH479" s="652"/>
      <c r="BI479" s="652"/>
    </row>
    <row r="480" s="650" customFormat="1" ht="31" customHeight="1" spans="1:108">
      <c r="A480" s="713">
        <v>46164</v>
      </c>
      <c r="B480" s="714" t="s">
        <v>230</v>
      </c>
      <c r="C480" s="715" t="s">
        <v>135</v>
      </c>
      <c r="D480" s="652" t="s">
        <v>5467</v>
      </c>
      <c r="E480" s="715" t="s">
        <v>5468</v>
      </c>
      <c r="F480" s="652" t="s">
        <v>5469</v>
      </c>
      <c r="G480" s="716" t="s">
        <v>3973</v>
      </c>
      <c r="H480" s="715" t="s">
        <v>3995</v>
      </c>
      <c r="I480" s="717">
        <v>1008</v>
      </c>
      <c r="J480" s="715">
        <v>0</v>
      </c>
      <c r="K480" s="715">
        <v>16</v>
      </c>
      <c r="L480" s="715">
        <f t="shared" si="91"/>
        <v>63</v>
      </c>
      <c r="M480" s="719">
        <v>46231</v>
      </c>
      <c r="N480" s="719">
        <v>46227</v>
      </c>
      <c r="O480" s="714"/>
      <c r="P480" s="717" t="s">
        <v>106</v>
      </c>
      <c r="Q480" s="855" t="s">
        <v>5470</v>
      </c>
      <c r="R480" s="723">
        <v>46171</v>
      </c>
      <c r="S480" s="720" t="s">
        <v>107</v>
      </c>
      <c r="T480" s="735" t="s">
        <v>5471</v>
      </c>
      <c r="U480" s="720"/>
      <c r="V480" s="720"/>
      <c r="W480" s="720"/>
      <c r="X480" s="720" t="s">
        <v>5472</v>
      </c>
      <c r="Y480" s="719" t="s">
        <v>236</v>
      </c>
      <c r="Z480" s="730">
        <v>4.6933</v>
      </c>
      <c r="AA480" s="652">
        <f t="shared" si="94"/>
        <v>4730.8464</v>
      </c>
      <c r="AB480" s="721"/>
      <c r="AC480" s="714" t="s">
        <v>3973</v>
      </c>
      <c r="AD480" s="715" t="s">
        <v>112</v>
      </c>
      <c r="AE480" s="715">
        <f t="shared" si="92"/>
        <v>1008</v>
      </c>
      <c r="AF480" s="715" t="s">
        <v>5125</v>
      </c>
      <c r="AG480" s="715">
        <v>1008</v>
      </c>
      <c r="AH480" s="715">
        <f t="shared" si="95"/>
        <v>0</v>
      </c>
      <c r="AI480" s="717" t="s">
        <v>120</v>
      </c>
      <c r="AJ480" s="715" t="s">
        <v>3981</v>
      </c>
      <c r="AK480" s="652">
        <f>I480</f>
        <v>1008</v>
      </c>
      <c r="AL480" s="652"/>
      <c r="AM480" s="652"/>
      <c r="AN480" s="652">
        <f t="shared" si="93"/>
        <v>1008</v>
      </c>
      <c r="AO480" s="652"/>
      <c r="AP480" s="652"/>
      <c r="AQ480" s="652"/>
      <c r="AR480" s="652"/>
      <c r="AS480" s="652"/>
      <c r="AT480" s="652">
        <f>I480/8</f>
        <v>126</v>
      </c>
      <c r="AU480" s="652"/>
      <c r="AV480" s="652"/>
      <c r="AW480" s="652"/>
      <c r="AX480" s="652"/>
      <c r="AY480" s="652"/>
      <c r="AZ480" s="652"/>
      <c r="BA480" s="652"/>
      <c r="BB480" s="652"/>
      <c r="BC480" s="652"/>
      <c r="BD480" s="652"/>
      <c r="BE480" s="652"/>
      <c r="BF480" s="652"/>
      <c r="BG480" s="652"/>
      <c r="BH480" s="652"/>
      <c r="BI480" s="652"/>
    </row>
    <row r="481" s="650" customFormat="1" ht="31" customHeight="1" spans="1:108">
      <c r="A481" s="713">
        <v>46167</v>
      </c>
      <c r="B481" s="714" t="s">
        <v>607</v>
      </c>
      <c r="C481" s="715" t="s">
        <v>608</v>
      </c>
      <c r="D481" s="652" t="s">
        <v>5473</v>
      </c>
      <c r="E481" s="715" t="s">
        <v>5474</v>
      </c>
      <c r="F481" s="652" t="s">
        <v>5475</v>
      </c>
      <c r="G481" s="716" t="s">
        <v>4028</v>
      </c>
      <c r="H481" s="715" t="s">
        <v>3978</v>
      </c>
      <c r="I481" s="717">
        <v>3200</v>
      </c>
      <c r="J481" s="715">
        <v>0</v>
      </c>
      <c r="K481" s="715">
        <v>8</v>
      </c>
      <c r="L481" s="715">
        <f t="shared" si="91"/>
        <v>400</v>
      </c>
      <c r="M481" s="719">
        <v>46232</v>
      </c>
      <c r="N481" s="719">
        <v>46228</v>
      </c>
      <c r="O481" s="714"/>
      <c r="P481" s="717" t="s">
        <v>1410</v>
      </c>
      <c r="Q481" s="717"/>
      <c r="R481" s="723">
        <v>46198</v>
      </c>
      <c r="S481" s="720" t="s">
        <v>107</v>
      </c>
      <c r="T481" s="735" t="s">
        <v>5476</v>
      </c>
      <c r="U481" s="720"/>
      <c r="V481" s="720"/>
      <c r="W481" s="720"/>
      <c r="X481" s="720" t="s">
        <v>5392</v>
      </c>
      <c r="Y481" s="719" t="s">
        <v>895</v>
      </c>
      <c r="Z481" s="730">
        <v>4.6974</v>
      </c>
      <c r="AA481" s="652">
        <f>L481*Z481</f>
        <v>1878.96</v>
      </c>
      <c r="AB481" s="721"/>
      <c r="AC481" s="722" t="s">
        <v>4031</v>
      </c>
      <c r="AD481" s="715" t="s">
        <v>112</v>
      </c>
      <c r="AE481" s="715">
        <f t="shared" si="92"/>
        <v>3200</v>
      </c>
      <c r="AF481" s="715"/>
      <c r="AG481" s="715">
        <v>3200</v>
      </c>
      <c r="AH481" s="715">
        <f t="shared" si="95"/>
        <v>0</v>
      </c>
      <c r="AI481" s="717"/>
      <c r="AJ481" s="715" t="s">
        <v>3981</v>
      </c>
      <c r="AK481" s="652"/>
      <c r="AL481" s="652">
        <f>I481</f>
        <v>3200</v>
      </c>
      <c r="AM481" s="652"/>
      <c r="AN481" s="652">
        <f t="shared" si="93"/>
        <v>3200</v>
      </c>
      <c r="AO481" s="652"/>
      <c r="AP481" s="652"/>
      <c r="AQ481" s="652"/>
      <c r="AR481" s="652"/>
      <c r="AS481" s="652"/>
      <c r="AT481" s="652"/>
      <c r="AU481" s="652">
        <f>I481/8</f>
        <v>400</v>
      </c>
      <c r="AV481" s="652"/>
      <c r="AW481" s="652"/>
      <c r="AX481" s="652"/>
      <c r="AY481" s="652"/>
      <c r="AZ481" s="652"/>
      <c r="BA481" s="652"/>
      <c r="BB481" s="652"/>
      <c r="BC481" s="652"/>
      <c r="BD481" s="652"/>
      <c r="BE481" s="652"/>
      <c r="BF481" s="652"/>
      <c r="BG481" s="652"/>
      <c r="BH481" s="652"/>
      <c r="BI481" s="652"/>
    </row>
    <row r="482" s="651" customFormat="1" ht="31" customHeight="1" spans="1:108">
      <c r="A482" s="713">
        <v>46167</v>
      </c>
      <c r="B482" s="714" t="s">
        <v>2550</v>
      </c>
      <c r="C482" s="715" t="s">
        <v>115</v>
      </c>
      <c r="D482" s="652" t="s">
        <v>5477</v>
      </c>
      <c r="E482" s="715" t="s">
        <v>5478</v>
      </c>
      <c r="F482" s="652" t="s">
        <v>2551</v>
      </c>
      <c r="G482" s="716" t="s">
        <v>5479</v>
      </c>
      <c r="H482" s="715" t="s">
        <v>5480</v>
      </c>
      <c r="I482" s="717">
        <v>6480</v>
      </c>
      <c r="J482" s="715">
        <v>0</v>
      </c>
      <c r="K482" s="715">
        <v>8</v>
      </c>
      <c r="L482" s="715">
        <f t="shared" si="91"/>
        <v>810</v>
      </c>
      <c r="M482" s="719">
        <v>46232</v>
      </c>
      <c r="N482" s="738">
        <v>46239</v>
      </c>
      <c r="O482" s="714"/>
      <c r="P482" s="717" t="s">
        <v>1410</v>
      </c>
      <c r="Q482" s="717" t="s">
        <v>2893</v>
      </c>
      <c r="R482" s="723" t="s">
        <v>5481</v>
      </c>
      <c r="S482" s="720" t="s">
        <v>107</v>
      </c>
      <c r="T482" s="720" t="s">
        <v>95</v>
      </c>
      <c r="U482" s="720"/>
      <c r="V482" s="720"/>
      <c r="W482" s="720"/>
      <c r="X482" s="720" t="s">
        <v>5482</v>
      </c>
      <c r="Y482" s="719" t="s">
        <v>2009</v>
      </c>
      <c r="Z482" s="730">
        <v>5.1</v>
      </c>
      <c r="AA482" s="652">
        <f t="shared" ref="AA482:AA495" si="96">I482*Z482</f>
        <v>33048</v>
      </c>
      <c r="AB482" s="721"/>
      <c r="AC482" s="652" t="s">
        <v>5479</v>
      </c>
      <c r="AD482" s="715" t="s">
        <v>3804</v>
      </c>
      <c r="AE482" s="715">
        <f t="shared" si="92"/>
        <v>6480</v>
      </c>
      <c r="AF482" s="715"/>
      <c r="AG482" s="715">
        <f>32+6448</f>
        <v>6480</v>
      </c>
      <c r="AH482" s="715">
        <f t="shared" si="95"/>
        <v>0</v>
      </c>
      <c r="AI482" s="717"/>
      <c r="AJ482" s="715" t="s">
        <v>3981</v>
      </c>
      <c r="AK482" s="652"/>
      <c r="AL482" s="652"/>
      <c r="AM482" s="652"/>
      <c r="AN482" s="652">
        <f t="shared" si="93"/>
        <v>6480</v>
      </c>
      <c r="AO482" s="652"/>
      <c r="AP482" s="652"/>
      <c r="AQ482" s="652"/>
      <c r="AR482" s="652"/>
      <c r="AS482" s="652"/>
      <c r="AT482" s="652"/>
      <c r="AU482" s="652"/>
      <c r="AV482" s="652"/>
      <c r="AW482" s="652"/>
      <c r="AX482" s="652"/>
      <c r="AY482" s="652"/>
      <c r="AZ482" s="652"/>
      <c r="BA482" s="652"/>
      <c r="BB482" s="652"/>
      <c r="BC482" s="652"/>
      <c r="BD482" s="652"/>
      <c r="BE482" s="652"/>
      <c r="BF482" s="652"/>
      <c r="BG482" s="652"/>
      <c r="BH482" s="652"/>
      <c r="BI482" s="652">
        <f>I482</f>
        <v>6480</v>
      </c>
      <c r="BJ482" s="650"/>
      <c r="BK482" s="650"/>
      <c r="BL482" s="650"/>
      <c r="BM482" s="650"/>
      <c r="BN482" s="650"/>
      <c r="BO482" s="650"/>
      <c r="BP482" s="650"/>
      <c r="BQ482" s="650"/>
      <c r="BR482" s="650"/>
      <c r="BS482" s="650"/>
      <c r="BT482" s="650"/>
      <c r="BU482" s="650"/>
      <c r="BV482" s="650"/>
      <c r="BW482" s="650"/>
      <c r="BX482" s="650"/>
      <c r="BY482" s="650"/>
      <c r="BZ482" s="650"/>
      <c r="CA482" s="650"/>
      <c r="CB482" s="650"/>
      <c r="CC482" s="650"/>
      <c r="CD482" s="650"/>
      <c r="CE482" s="650"/>
      <c r="CF482" s="650"/>
      <c r="CG482" s="650"/>
      <c r="CH482" s="650"/>
      <c r="CI482" s="650"/>
      <c r="CJ482" s="650"/>
      <c r="CK482" s="650"/>
      <c r="CL482" s="650"/>
      <c r="CM482" s="650"/>
      <c r="CN482" s="650"/>
      <c r="CO482" s="650"/>
      <c r="CP482" s="650"/>
      <c r="CQ482" s="650"/>
      <c r="CR482" s="650"/>
    </row>
    <row r="483" s="651" customFormat="1" ht="31" customHeight="1" spans="1:108">
      <c r="A483" s="713">
        <v>46156</v>
      </c>
      <c r="B483" s="714" t="s">
        <v>1295</v>
      </c>
      <c r="C483" s="715" t="s">
        <v>201</v>
      </c>
      <c r="D483" s="652">
        <v>4500207265</v>
      </c>
      <c r="E483" s="715" t="s">
        <v>2318</v>
      </c>
      <c r="F483" s="652" t="s">
        <v>5483</v>
      </c>
      <c r="G483" s="716" t="s">
        <v>3980</v>
      </c>
      <c r="H483" s="715" t="s">
        <v>3978</v>
      </c>
      <c r="I483" s="717">
        <v>808</v>
      </c>
      <c r="J483" s="715">
        <v>0</v>
      </c>
      <c r="K483" s="715">
        <v>8</v>
      </c>
      <c r="L483" s="715">
        <f t="shared" si="91"/>
        <v>101</v>
      </c>
      <c r="M483" s="719">
        <v>46233</v>
      </c>
      <c r="N483" s="719">
        <v>46230</v>
      </c>
      <c r="O483" s="714"/>
      <c r="P483" s="717" t="s">
        <v>106</v>
      </c>
      <c r="Q483" s="717" t="s">
        <v>1773</v>
      </c>
      <c r="R483" s="723" t="s">
        <v>5455</v>
      </c>
      <c r="S483" s="720" t="s">
        <v>107</v>
      </c>
      <c r="T483" s="720" t="s">
        <v>2321</v>
      </c>
      <c r="U483" s="720"/>
      <c r="V483" s="720"/>
      <c r="W483" s="720"/>
      <c r="X483" s="720" t="s">
        <v>5484</v>
      </c>
      <c r="Y483" s="719" t="s">
        <v>204</v>
      </c>
      <c r="Z483" s="730">
        <v>4.5882</v>
      </c>
      <c r="AA483" s="652">
        <f t="shared" si="96"/>
        <v>3707.2656</v>
      </c>
      <c r="AB483" s="721"/>
      <c r="AC483" s="722" t="s">
        <v>4031</v>
      </c>
      <c r="AD483" s="715" t="s">
        <v>112</v>
      </c>
      <c r="AE483" s="715">
        <f t="shared" si="92"/>
        <v>808</v>
      </c>
      <c r="AF483" s="715"/>
      <c r="AG483" s="715">
        <v>808</v>
      </c>
      <c r="AH483" s="715">
        <f t="shared" si="95"/>
        <v>0</v>
      </c>
      <c r="AI483" s="717" t="s">
        <v>120</v>
      </c>
      <c r="AJ483" s="715" t="s">
        <v>3981</v>
      </c>
      <c r="AK483" s="652"/>
      <c r="AL483" s="652">
        <f>I483</f>
        <v>808</v>
      </c>
      <c r="AM483" s="652"/>
      <c r="AN483" s="652">
        <f t="shared" si="93"/>
        <v>808</v>
      </c>
      <c r="AO483" s="652"/>
      <c r="AP483" s="652"/>
      <c r="AQ483" s="652"/>
      <c r="AR483" s="652"/>
      <c r="AS483" s="652"/>
      <c r="AT483" s="652"/>
      <c r="AU483" s="652">
        <f>I483/8</f>
        <v>101</v>
      </c>
      <c r="AV483" s="652"/>
      <c r="AW483" s="652"/>
      <c r="AX483" s="652"/>
      <c r="AY483" s="652"/>
      <c r="AZ483" s="652"/>
      <c r="BA483" s="652"/>
      <c r="BB483" s="652"/>
      <c r="BC483" s="652"/>
      <c r="BD483" s="652"/>
      <c r="BE483" s="652"/>
      <c r="BF483" s="652"/>
      <c r="BG483" s="652"/>
      <c r="BH483" s="652"/>
      <c r="BI483" s="652"/>
      <c r="BJ483" s="650"/>
      <c r="BK483" s="650"/>
      <c r="BL483" s="650"/>
      <c r="BM483" s="650"/>
      <c r="BN483" s="650"/>
      <c r="BO483" s="650"/>
      <c r="BP483" s="650"/>
      <c r="BQ483" s="650"/>
      <c r="BR483" s="650"/>
      <c r="BS483" s="650"/>
      <c r="BT483" s="650"/>
      <c r="BU483" s="650"/>
      <c r="BV483" s="650"/>
      <c r="BW483" s="650"/>
      <c r="BX483" s="650"/>
      <c r="BY483" s="650"/>
      <c r="BZ483" s="650"/>
      <c r="CA483" s="650"/>
      <c r="CB483" s="650"/>
      <c r="CC483" s="650"/>
      <c r="CD483" s="650"/>
      <c r="CE483" s="650"/>
      <c r="CF483" s="650"/>
      <c r="CG483" s="650"/>
      <c r="CH483" s="650"/>
      <c r="CI483" s="650"/>
      <c r="CJ483" s="650"/>
      <c r="CK483" s="650"/>
      <c r="CL483" s="650"/>
      <c r="CM483" s="650"/>
      <c r="CN483" s="650"/>
      <c r="CO483" s="650"/>
      <c r="CP483" s="650"/>
      <c r="CQ483" s="650"/>
      <c r="CR483" s="650"/>
    </row>
    <row r="484" s="650" customFormat="1" ht="31" customHeight="1" spans="1:108">
      <c r="A484" s="713">
        <v>46162</v>
      </c>
      <c r="B484" s="714" t="s">
        <v>223</v>
      </c>
      <c r="C484" s="715" t="s">
        <v>319</v>
      </c>
      <c r="D484" s="652" t="s">
        <v>5485</v>
      </c>
      <c r="E484" s="715" t="s">
        <v>5486</v>
      </c>
      <c r="F484" s="652" t="s">
        <v>5487</v>
      </c>
      <c r="G484" s="716" t="s">
        <v>3973</v>
      </c>
      <c r="H484" s="715" t="s">
        <v>3995</v>
      </c>
      <c r="I484" s="717">
        <v>1200</v>
      </c>
      <c r="J484" s="715">
        <v>0</v>
      </c>
      <c r="K484" s="715">
        <v>16</v>
      </c>
      <c r="L484" s="715">
        <f t="shared" si="91"/>
        <v>75</v>
      </c>
      <c r="M484" s="719">
        <v>46233</v>
      </c>
      <c r="N484" s="719">
        <v>46230</v>
      </c>
      <c r="O484" s="714"/>
      <c r="P484" s="717" t="s">
        <v>106</v>
      </c>
      <c r="Q484" s="717" t="s">
        <v>2329</v>
      </c>
      <c r="R484" s="723">
        <v>46162</v>
      </c>
      <c r="S484" s="720" t="s">
        <v>107</v>
      </c>
      <c r="T484" s="720" t="s">
        <v>5488</v>
      </c>
      <c r="U484" s="720"/>
      <c r="V484" s="720"/>
      <c r="W484" s="720"/>
      <c r="X484" s="720" t="s">
        <v>5489</v>
      </c>
      <c r="Y484" s="719" t="s">
        <v>222</v>
      </c>
      <c r="Z484" s="730">
        <v>4.6548</v>
      </c>
      <c r="AA484" s="652">
        <f t="shared" si="96"/>
        <v>5585.76</v>
      </c>
      <c r="AB484" s="721"/>
      <c r="AC484" s="714" t="s">
        <v>3973</v>
      </c>
      <c r="AD484" s="715" t="s">
        <v>112</v>
      </c>
      <c r="AE484" s="715">
        <f t="shared" si="92"/>
        <v>1200</v>
      </c>
      <c r="AF484" s="715" t="s">
        <v>5125</v>
      </c>
      <c r="AG484" s="715" t="s">
        <v>120</v>
      </c>
      <c r="AH484" s="715" t="e">
        <f t="shared" si="95"/>
        <v>#VALUE!</v>
      </c>
      <c r="AI484" s="715" t="s">
        <v>120</v>
      </c>
      <c r="AJ484" s="715" t="s">
        <v>3981</v>
      </c>
      <c r="AK484" s="652">
        <f>I484</f>
        <v>1200</v>
      </c>
      <c r="AL484" s="652"/>
      <c r="AM484" s="652"/>
      <c r="AN484" s="652">
        <f t="shared" si="93"/>
        <v>1200</v>
      </c>
      <c r="AO484" s="652"/>
      <c r="AP484" s="652"/>
      <c r="AQ484" s="652"/>
      <c r="AR484" s="652"/>
      <c r="AS484" s="652"/>
      <c r="AT484" s="652">
        <f>I484/8</f>
        <v>150</v>
      </c>
      <c r="AU484" s="652"/>
      <c r="AV484" s="652"/>
      <c r="AW484" s="652"/>
      <c r="AX484" s="652"/>
      <c r="AY484" s="652"/>
      <c r="AZ484" s="652"/>
      <c r="BA484" s="652"/>
      <c r="BB484" s="652"/>
      <c r="BC484" s="652"/>
      <c r="BD484" s="652"/>
      <c r="BE484" s="652"/>
      <c r="BF484" s="652"/>
      <c r="BG484" s="652"/>
      <c r="BH484" s="652"/>
      <c r="BI484" s="652"/>
      <c r="BJ484" s="651"/>
      <c r="BK484" s="651"/>
      <c r="BL484" s="651"/>
      <c r="BM484" s="651"/>
      <c r="BN484" s="651"/>
      <c r="BO484" s="651"/>
      <c r="BP484" s="651"/>
      <c r="BQ484" s="651"/>
      <c r="BR484" s="651"/>
      <c r="BS484" s="651"/>
      <c r="BT484" s="651"/>
      <c r="BU484" s="651"/>
      <c r="BV484" s="651"/>
      <c r="BW484" s="651"/>
      <c r="BX484" s="651"/>
      <c r="BY484" s="651"/>
      <c r="BZ484" s="651"/>
      <c r="CA484" s="651"/>
      <c r="CB484" s="651"/>
      <c r="CC484" s="651"/>
      <c r="CD484" s="651"/>
      <c r="CE484" s="651"/>
      <c r="CF484" s="651"/>
      <c r="CG484" s="651"/>
      <c r="CH484" s="651"/>
      <c r="CI484" s="651"/>
      <c r="CJ484" s="651"/>
      <c r="CK484" s="651"/>
      <c r="CL484" s="651"/>
      <c r="CM484" s="651"/>
      <c r="CN484" s="651"/>
      <c r="CO484" s="651"/>
      <c r="CP484" s="651"/>
      <c r="CQ484" s="651"/>
      <c r="CR484" s="651"/>
    </row>
    <row r="485" s="650" customFormat="1" ht="31" customHeight="1" spans="1:108">
      <c r="A485" s="713">
        <v>46167</v>
      </c>
      <c r="B485" s="714" t="s">
        <v>1110</v>
      </c>
      <c r="C485" s="715" t="s">
        <v>1111</v>
      </c>
      <c r="D485" s="652" t="s">
        <v>5490</v>
      </c>
      <c r="E485" s="715" t="s">
        <v>628</v>
      </c>
      <c r="F485" s="652" t="s">
        <v>5491</v>
      </c>
      <c r="G485" s="716" t="s">
        <v>3973</v>
      </c>
      <c r="H485" s="715" t="s">
        <v>3995</v>
      </c>
      <c r="I485" s="717">
        <v>2000</v>
      </c>
      <c r="J485" s="715">
        <v>0</v>
      </c>
      <c r="K485" s="715">
        <v>16</v>
      </c>
      <c r="L485" s="715">
        <f t="shared" si="91"/>
        <v>125</v>
      </c>
      <c r="M485" s="719">
        <v>46233</v>
      </c>
      <c r="N485" s="719">
        <v>46230</v>
      </c>
      <c r="O485" s="714"/>
      <c r="P485" s="717" t="s">
        <v>106</v>
      </c>
      <c r="Q485" s="717"/>
      <c r="R485" s="723" t="s">
        <v>1411</v>
      </c>
      <c r="S485" s="720" t="s">
        <v>107</v>
      </c>
      <c r="T485" s="720" t="s">
        <v>95</v>
      </c>
      <c r="U485" s="720"/>
      <c r="V485" s="720"/>
      <c r="W485" s="720"/>
      <c r="X485" s="720" t="s">
        <v>5492</v>
      </c>
      <c r="Y485" s="719" t="s">
        <v>222</v>
      </c>
      <c r="Z485" s="730">
        <v>4.5368</v>
      </c>
      <c r="AA485" s="652">
        <f t="shared" si="96"/>
        <v>9073.6</v>
      </c>
      <c r="AB485" s="721"/>
      <c r="AC485" s="714" t="s">
        <v>3973</v>
      </c>
      <c r="AD485" s="715" t="s">
        <v>112</v>
      </c>
      <c r="AE485" s="715">
        <f t="shared" si="92"/>
        <v>2000</v>
      </c>
      <c r="AF485" s="715" t="s">
        <v>5125</v>
      </c>
      <c r="AG485" s="715">
        <v>2000</v>
      </c>
      <c r="AH485" s="715">
        <f t="shared" si="95"/>
        <v>0</v>
      </c>
      <c r="AI485" s="717" t="s">
        <v>95</v>
      </c>
      <c r="AJ485" s="715" t="s">
        <v>3981</v>
      </c>
      <c r="AK485" s="652">
        <f>I485</f>
        <v>2000</v>
      </c>
      <c r="AL485" s="652"/>
      <c r="AM485" s="652"/>
      <c r="AN485" s="652">
        <f t="shared" si="93"/>
        <v>2000</v>
      </c>
      <c r="AO485" s="652"/>
      <c r="AP485" s="652"/>
      <c r="AQ485" s="652"/>
      <c r="AR485" s="652"/>
      <c r="AS485" s="652"/>
      <c r="AT485" s="652">
        <f>I485/8</f>
        <v>250</v>
      </c>
      <c r="AU485" s="652"/>
      <c r="AV485" s="652"/>
      <c r="AW485" s="652"/>
      <c r="AX485" s="652"/>
      <c r="AY485" s="652"/>
      <c r="AZ485" s="652"/>
      <c r="BA485" s="652"/>
      <c r="BB485" s="652"/>
      <c r="BC485" s="652"/>
      <c r="BD485" s="652"/>
      <c r="BE485" s="652"/>
      <c r="BF485" s="652"/>
      <c r="BG485" s="652"/>
      <c r="BH485" s="652"/>
      <c r="BI485" s="652"/>
      <c r="BJ485" s="650"/>
      <c r="BK485" s="650"/>
      <c r="BL485" s="650"/>
      <c r="BM485" s="650"/>
      <c r="BN485" s="650"/>
      <c r="BO485" s="650"/>
      <c r="BP485" s="650"/>
      <c r="BQ485" s="650"/>
      <c r="BR485" s="650"/>
      <c r="BS485" s="650"/>
      <c r="BT485" s="650"/>
      <c r="BU485" s="650"/>
      <c r="BV485" s="650"/>
      <c r="BW485" s="650"/>
      <c r="BX485" s="650"/>
      <c r="BY485" s="650"/>
      <c r="BZ485" s="650"/>
      <c r="CA485" s="650"/>
      <c r="CB485" s="650"/>
      <c r="CC485" s="650"/>
      <c r="CD485" s="650"/>
      <c r="CE485" s="650"/>
      <c r="CF485" s="650"/>
      <c r="CG485" s="650"/>
      <c r="CH485" s="650"/>
      <c r="CI485" s="650"/>
      <c r="CJ485" s="650"/>
      <c r="CK485" s="650"/>
      <c r="CL485" s="650"/>
      <c r="CM485" s="650"/>
      <c r="CN485" s="650"/>
      <c r="CO485" s="650"/>
      <c r="CP485" s="650"/>
      <c r="CQ485" s="650"/>
      <c r="CR485" s="650"/>
      <c r="CS485" s="654"/>
      <c r="CT485" s="654"/>
      <c r="CU485" s="654"/>
      <c r="CV485" s="654"/>
      <c r="CW485" s="654"/>
      <c r="CX485" s="654"/>
      <c r="CY485" s="654"/>
      <c r="CZ485" s="654"/>
      <c r="DA485" s="654"/>
      <c r="DB485" s="654"/>
      <c r="DC485" s="654"/>
      <c r="DD485" s="654"/>
    </row>
    <row r="486" s="650" customFormat="1" ht="31" customHeight="1" spans="1:108">
      <c r="A486" s="713">
        <v>46183</v>
      </c>
      <c r="B486" s="714" t="s">
        <v>163</v>
      </c>
      <c r="C486" s="715" t="s">
        <v>164</v>
      </c>
      <c r="D486" s="652" t="s">
        <v>5493</v>
      </c>
      <c r="E486" s="715" t="s">
        <v>5494</v>
      </c>
      <c r="F486" s="652" t="s">
        <v>5495</v>
      </c>
      <c r="G486" s="716" t="s">
        <v>3973</v>
      </c>
      <c r="H486" s="715" t="s">
        <v>3995</v>
      </c>
      <c r="I486" s="717">
        <v>7504</v>
      </c>
      <c r="J486" s="715">
        <v>0</v>
      </c>
      <c r="K486" s="715">
        <v>16</v>
      </c>
      <c r="L486" s="715">
        <f t="shared" si="91"/>
        <v>469</v>
      </c>
      <c r="M486" s="719">
        <v>46233</v>
      </c>
      <c r="N486" s="719">
        <v>46230</v>
      </c>
      <c r="O486" s="714"/>
      <c r="P486" s="717" t="s">
        <v>106</v>
      </c>
      <c r="Q486" s="717"/>
      <c r="R486" s="734" t="s">
        <v>2869</v>
      </c>
      <c r="S486" s="735" t="s">
        <v>107</v>
      </c>
      <c r="T486" s="720" t="s">
        <v>3997</v>
      </c>
      <c r="U486" s="735"/>
      <c r="V486" s="720" t="s">
        <v>5199</v>
      </c>
      <c r="W486" s="720"/>
      <c r="X486" s="720" t="s">
        <v>5496</v>
      </c>
      <c r="Y486" s="719" t="s">
        <v>142</v>
      </c>
      <c r="Z486" s="754">
        <v>4.894</v>
      </c>
      <c r="AA486" s="652">
        <f t="shared" si="96"/>
        <v>36724.576</v>
      </c>
      <c r="AB486" s="721"/>
      <c r="AC486" s="652" t="s">
        <v>4108</v>
      </c>
      <c r="AD486" s="715" t="s">
        <v>112</v>
      </c>
      <c r="AE486" s="715">
        <f t="shared" si="92"/>
        <v>7504</v>
      </c>
      <c r="AF486" s="715"/>
      <c r="AG486" s="715">
        <v>7504</v>
      </c>
      <c r="AH486" s="715">
        <f t="shared" si="95"/>
        <v>0</v>
      </c>
      <c r="AI486" s="717" t="s">
        <v>120</v>
      </c>
      <c r="AJ486" s="715" t="s">
        <v>3981</v>
      </c>
      <c r="AK486" s="652"/>
      <c r="AL486" s="652"/>
      <c r="AM486" s="652">
        <f>I486</f>
        <v>7504</v>
      </c>
      <c r="AN486" s="652">
        <f t="shared" si="93"/>
        <v>7504</v>
      </c>
      <c r="AO486" s="652"/>
      <c r="AP486" s="652"/>
      <c r="AQ486" s="652"/>
      <c r="AR486" s="652"/>
      <c r="AS486" s="652"/>
      <c r="AT486" s="652"/>
      <c r="AU486" s="652">
        <f>I486/8</f>
        <v>938</v>
      </c>
      <c r="AV486" s="652"/>
      <c r="AW486" s="652"/>
      <c r="AX486" s="652"/>
      <c r="AY486" s="652"/>
      <c r="AZ486" s="652"/>
      <c r="BA486" s="652"/>
      <c r="BB486" s="652"/>
      <c r="BC486" s="652"/>
      <c r="BD486" s="652"/>
      <c r="BE486" s="652"/>
      <c r="BF486" s="652"/>
      <c r="BG486" s="652"/>
      <c r="BH486" s="652"/>
      <c r="BI486" s="652"/>
      <c r="BJ486" s="650"/>
      <c r="BK486" s="650"/>
      <c r="BL486" s="650"/>
      <c r="BM486" s="650"/>
      <c r="BN486" s="650"/>
      <c r="BO486" s="650"/>
      <c r="BP486" s="650"/>
      <c r="BQ486" s="650"/>
      <c r="BR486" s="650"/>
      <c r="BS486" s="650"/>
      <c r="BT486" s="650"/>
      <c r="BU486" s="650"/>
      <c r="BV486" s="650"/>
      <c r="BW486" s="650"/>
      <c r="BX486" s="650"/>
      <c r="BY486" s="650"/>
      <c r="BZ486" s="650"/>
      <c r="CA486" s="650"/>
      <c r="CB486" s="650"/>
      <c r="CC486" s="650"/>
      <c r="CD486" s="650"/>
      <c r="CE486" s="650"/>
      <c r="CF486" s="650"/>
      <c r="CG486" s="650"/>
      <c r="CH486" s="650"/>
      <c r="CI486" s="650"/>
      <c r="CJ486" s="650"/>
      <c r="CK486" s="650"/>
      <c r="CL486" s="650"/>
      <c r="CM486" s="650"/>
      <c r="CN486" s="650"/>
      <c r="CO486" s="650"/>
      <c r="CP486" s="650"/>
      <c r="CQ486" s="650"/>
      <c r="CR486" s="650"/>
      <c r="CS486" s="654"/>
      <c r="CT486" s="654"/>
      <c r="CU486" s="654"/>
      <c r="CV486" s="654"/>
      <c r="CW486" s="654"/>
      <c r="CX486" s="654"/>
      <c r="CY486" s="654"/>
      <c r="CZ486" s="654"/>
      <c r="DA486" s="654"/>
      <c r="DB486" s="654"/>
      <c r="DC486" s="654"/>
      <c r="DD486" s="654"/>
    </row>
    <row r="487" s="651" customFormat="1" ht="31" customHeight="1" spans="1:108">
      <c r="A487" s="713">
        <v>46184</v>
      </c>
      <c r="B487" s="714" t="s">
        <v>114</v>
      </c>
      <c r="C487" s="715" t="s">
        <v>115</v>
      </c>
      <c r="D487" s="652">
        <v>4500211706</v>
      </c>
      <c r="E487" s="715" t="s">
        <v>5497</v>
      </c>
      <c r="F487" s="652" t="s">
        <v>5498</v>
      </c>
      <c r="G487" s="716" t="s">
        <v>3980</v>
      </c>
      <c r="H487" s="715" t="s">
        <v>3978</v>
      </c>
      <c r="I487" s="717">
        <v>66000</v>
      </c>
      <c r="J487" s="715">
        <v>488</v>
      </c>
      <c r="K487" s="715">
        <v>8</v>
      </c>
      <c r="L487" s="715">
        <f t="shared" si="91"/>
        <v>8250</v>
      </c>
      <c r="M487" s="719">
        <v>46233</v>
      </c>
      <c r="N487" s="719">
        <v>46230</v>
      </c>
      <c r="O487" s="714"/>
      <c r="P487" s="717" t="s">
        <v>106</v>
      </c>
      <c r="Q487" s="717" t="s">
        <v>1663</v>
      </c>
      <c r="R487" s="723" t="s">
        <v>5455</v>
      </c>
      <c r="S487" s="720" t="s">
        <v>107</v>
      </c>
      <c r="T487" s="720" t="s">
        <v>5456</v>
      </c>
      <c r="U487" s="720"/>
      <c r="V487" s="720"/>
      <c r="W487" s="720"/>
      <c r="X487" s="720" t="s">
        <v>5499</v>
      </c>
      <c r="Y487" s="719" t="s">
        <v>123</v>
      </c>
      <c r="Z487" s="730">
        <v>2.7553</v>
      </c>
      <c r="AA487" s="652">
        <f t="shared" si="96"/>
        <v>181849.8</v>
      </c>
      <c r="AB487" s="721"/>
      <c r="AC487" s="722" t="s">
        <v>3980</v>
      </c>
      <c r="AD487" s="715" t="s">
        <v>112</v>
      </c>
      <c r="AE487" s="715">
        <f t="shared" si="92"/>
        <v>66000</v>
      </c>
      <c r="AF487" s="715"/>
      <c r="AG487" s="715">
        <v>66000</v>
      </c>
      <c r="AH487" s="715">
        <f t="shared" si="95"/>
        <v>0</v>
      </c>
      <c r="AI487" s="717"/>
      <c r="AJ487" s="715" t="s">
        <v>3981</v>
      </c>
      <c r="AK487" s="652">
        <f>I487</f>
        <v>66000</v>
      </c>
      <c r="AL487" s="652"/>
      <c r="AM487" s="652"/>
      <c r="AN487" s="652">
        <f t="shared" si="93"/>
        <v>66000</v>
      </c>
      <c r="AO487" s="652"/>
      <c r="AP487" s="652"/>
      <c r="AQ487" s="652"/>
      <c r="AR487" s="652"/>
      <c r="AS487" s="652"/>
      <c r="AT487" s="652">
        <f>I487/8</f>
        <v>8250</v>
      </c>
      <c r="AU487" s="652"/>
      <c r="AV487" s="652"/>
      <c r="AW487" s="652"/>
      <c r="AX487" s="652"/>
      <c r="AY487" s="652"/>
      <c r="AZ487" s="652"/>
      <c r="BA487" s="652"/>
      <c r="BB487" s="652"/>
      <c r="BC487" s="652"/>
      <c r="BD487" s="652"/>
      <c r="BE487" s="652"/>
      <c r="BF487" s="652"/>
      <c r="BG487" s="652"/>
      <c r="BH487" s="652"/>
      <c r="BI487" s="652"/>
      <c r="BJ487" s="650"/>
      <c r="BK487" s="650"/>
      <c r="BL487" s="650"/>
      <c r="BM487" s="650"/>
      <c r="BN487" s="650"/>
      <c r="BO487" s="650"/>
      <c r="BP487" s="650"/>
      <c r="BQ487" s="650"/>
      <c r="BR487" s="650"/>
      <c r="BS487" s="650"/>
      <c r="BT487" s="650"/>
      <c r="BU487" s="650"/>
      <c r="BV487" s="650"/>
      <c r="BW487" s="650"/>
      <c r="BX487" s="650"/>
      <c r="BY487" s="650"/>
      <c r="BZ487" s="650"/>
      <c r="CA487" s="650"/>
      <c r="CB487" s="650"/>
      <c r="CC487" s="650"/>
      <c r="CD487" s="650"/>
      <c r="CE487" s="650"/>
      <c r="CF487" s="650"/>
      <c r="CG487" s="650"/>
      <c r="CH487" s="650"/>
      <c r="CI487" s="650"/>
      <c r="CJ487" s="650"/>
      <c r="CK487" s="650"/>
      <c r="CL487" s="650"/>
      <c r="CM487" s="650"/>
      <c r="CN487" s="650"/>
      <c r="CO487" s="650"/>
      <c r="CP487" s="650"/>
      <c r="CQ487" s="650"/>
      <c r="CR487" s="650"/>
      <c r="CS487" s="650"/>
      <c r="CT487" s="650"/>
      <c r="CU487" s="650"/>
      <c r="CV487" s="650"/>
      <c r="CW487" s="650"/>
      <c r="CX487" s="650"/>
      <c r="CY487" s="650"/>
      <c r="CZ487" s="650"/>
      <c r="DA487" s="650"/>
      <c r="DB487" s="650"/>
      <c r="DC487" s="650"/>
      <c r="DD487" s="650"/>
    </row>
    <row r="488" s="650" customFormat="1" ht="31" customHeight="1" spans="1:108">
      <c r="A488" s="713">
        <v>46178</v>
      </c>
      <c r="B488" s="714" t="s">
        <v>2480</v>
      </c>
      <c r="C488" s="715" t="s">
        <v>164</v>
      </c>
      <c r="D488" s="837">
        <v>4500210819</v>
      </c>
      <c r="E488" s="715" t="s">
        <v>5500</v>
      </c>
      <c r="F488" s="652" t="s">
        <v>5501</v>
      </c>
      <c r="G488" s="716" t="s">
        <v>3968</v>
      </c>
      <c r="H488" s="715" t="s">
        <v>3969</v>
      </c>
      <c r="I488" s="717">
        <v>6320</v>
      </c>
      <c r="J488" s="715">
        <v>0</v>
      </c>
      <c r="K488" s="715">
        <v>16</v>
      </c>
      <c r="L488" s="715">
        <f t="shared" si="91"/>
        <v>395</v>
      </c>
      <c r="M488" s="719">
        <v>46233</v>
      </c>
      <c r="N488" s="719">
        <v>46230</v>
      </c>
      <c r="O488" s="714"/>
      <c r="P488" s="717" t="s">
        <v>1410</v>
      </c>
      <c r="Q488" s="717"/>
      <c r="R488" s="723" t="s">
        <v>541</v>
      </c>
      <c r="S488" s="720" t="s">
        <v>107</v>
      </c>
      <c r="T488" s="720" t="s">
        <v>5502</v>
      </c>
      <c r="U488" s="723"/>
      <c r="V488" s="720"/>
      <c r="W488" s="720"/>
      <c r="X488" s="720" t="s">
        <v>5503</v>
      </c>
      <c r="Y488" s="719" t="s">
        <v>2505</v>
      </c>
      <c r="Z488" s="730">
        <v>4.7049</v>
      </c>
      <c r="AA488" s="652">
        <f t="shared" si="96"/>
        <v>29734.968</v>
      </c>
      <c r="AB488" s="721"/>
      <c r="AC488" s="652" t="s">
        <v>4426</v>
      </c>
      <c r="AD488" s="715" t="s">
        <v>112</v>
      </c>
      <c r="AE488" s="715">
        <f t="shared" si="92"/>
        <v>6320</v>
      </c>
      <c r="AF488" s="715"/>
      <c r="AG488" s="715">
        <v>6320</v>
      </c>
      <c r="AH488" s="715">
        <f t="shared" si="95"/>
        <v>0</v>
      </c>
      <c r="AI488" s="717"/>
      <c r="AJ488" s="715" t="s">
        <v>3981</v>
      </c>
      <c r="AK488" s="652"/>
      <c r="AL488" s="652"/>
      <c r="AM488" s="652"/>
      <c r="AN488" s="652"/>
      <c r="AO488" s="652"/>
      <c r="AP488" s="652"/>
      <c r="AQ488" s="652"/>
      <c r="AR488" s="652"/>
      <c r="AS488" s="652"/>
      <c r="AT488" s="652"/>
      <c r="AU488" s="652"/>
      <c r="AV488" s="652"/>
      <c r="AW488" s="652"/>
      <c r="AX488" s="652"/>
      <c r="AY488" s="652"/>
      <c r="AZ488" s="652"/>
      <c r="BA488" s="652"/>
      <c r="BB488" s="652"/>
      <c r="BC488" s="652"/>
      <c r="BD488" s="652"/>
      <c r="BE488" s="652"/>
      <c r="BF488" s="652"/>
      <c r="BG488" s="652"/>
      <c r="BH488" s="652"/>
      <c r="BI488" s="652"/>
    </row>
    <row r="489" s="650" customFormat="1" ht="31" customHeight="1" spans="1:108">
      <c r="A489" s="713">
        <v>46164</v>
      </c>
      <c r="B489" s="714" t="s">
        <v>378</v>
      </c>
      <c r="C489" s="715" t="s">
        <v>201</v>
      </c>
      <c r="D489" s="652" t="s">
        <v>5504</v>
      </c>
      <c r="E489" s="715" t="s">
        <v>5505</v>
      </c>
      <c r="F489" s="652" t="s">
        <v>5506</v>
      </c>
      <c r="G489" s="716" t="s">
        <v>3980</v>
      </c>
      <c r="H489" s="715" t="s">
        <v>3978</v>
      </c>
      <c r="I489" s="717">
        <v>1600</v>
      </c>
      <c r="J489" s="715">
        <v>0</v>
      </c>
      <c r="K489" s="715">
        <v>8</v>
      </c>
      <c r="L489" s="715">
        <f t="shared" si="91"/>
        <v>200</v>
      </c>
      <c r="M489" s="719">
        <v>46233</v>
      </c>
      <c r="N489" s="719">
        <v>46230</v>
      </c>
      <c r="O489" s="732" t="s">
        <v>2249</v>
      </c>
      <c r="P489" s="717" t="s">
        <v>1410</v>
      </c>
      <c r="Q489" s="717" t="s">
        <v>1241</v>
      </c>
      <c r="R489" s="723">
        <v>46199</v>
      </c>
      <c r="S489" s="720" t="s">
        <v>107</v>
      </c>
      <c r="T489" s="720" t="s">
        <v>5507</v>
      </c>
      <c r="U489" s="720"/>
      <c r="V489" s="720"/>
      <c r="W489" s="720"/>
      <c r="X489" s="720" t="s">
        <v>5508</v>
      </c>
      <c r="Y489" s="719" t="s">
        <v>384</v>
      </c>
      <c r="Z489" s="730">
        <v>4.6974</v>
      </c>
      <c r="AA489" s="652">
        <f t="shared" si="96"/>
        <v>7515.84</v>
      </c>
      <c r="AB489" s="721"/>
      <c r="AC489" s="722" t="s">
        <v>4031</v>
      </c>
      <c r="AD489" s="715" t="s">
        <v>112</v>
      </c>
      <c r="AE489" s="715">
        <f t="shared" si="92"/>
        <v>1600</v>
      </c>
      <c r="AF489" s="715"/>
      <c r="AG489" s="715">
        <v>1600</v>
      </c>
      <c r="AH489" s="715">
        <f t="shared" si="95"/>
        <v>0</v>
      </c>
      <c r="AI489" s="717"/>
      <c r="AJ489" s="715" t="s">
        <v>3981</v>
      </c>
      <c r="AK489" s="652"/>
      <c r="AL489" s="652">
        <f t="shared" ref="AL489:AL496" si="97">I489</f>
        <v>1600</v>
      </c>
      <c r="AM489" s="652"/>
      <c r="AN489" s="652">
        <f t="shared" ref="AN489:AN513" si="98">I489</f>
        <v>1600</v>
      </c>
      <c r="AO489" s="652"/>
      <c r="AP489" s="652"/>
      <c r="AQ489" s="652"/>
      <c r="AR489" s="652"/>
      <c r="AS489" s="652"/>
      <c r="AT489" s="652"/>
      <c r="AU489" s="652">
        <f>I489/8</f>
        <v>200</v>
      </c>
      <c r="AV489" s="652"/>
      <c r="AW489" s="652"/>
      <c r="AX489" s="652"/>
      <c r="AY489" s="652"/>
      <c r="AZ489" s="652"/>
      <c r="BA489" s="652"/>
      <c r="BB489" s="652"/>
      <c r="BC489" s="652"/>
      <c r="BD489" s="652"/>
      <c r="BE489" s="652"/>
      <c r="BF489" s="652"/>
      <c r="BG489" s="652"/>
      <c r="BH489" s="652"/>
      <c r="BI489" s="652"/>
      <c r="BJ489" s="650"/>
      <c r="BK489" s="650"/>
      <c r="BL489" s="650"/>
      <c r="BM489" s="650"/>
      <c r="BN489" s="650"/>
      <c r="BO489" s="650"/>
      <c r="BP489" s="650"/>
      <c r="BQ489" s="650"/>
      <c r="BR489" s="650"/>
      <c r="BS489" s="650"/>
      <c r="BT489" s="650"/>
      <c r="BU489" s="650"/>
      <c r="BV489" s="650"/>
      <c r="BW489" s="650"/>
      <c r="BX489" s="650"/>
      <c r="BY489" s="650"/>
      <c r="BZ489" s="650"/>
      <c r="CA489" s="650"/>
      <c r="CB489" s="650"/>
      <c r="CC489" s="650"/>
      <c r="CD489" s="650"/>
      <c r="CE489" s="650"/>
      <c r="CF489" s="650"/>
      <c r="CG489" s="650"/>
      <c r="CH489" s="650"/>
      <c r="CI489" s="650"/>
      <c r="CJ489" s="650"/>
      <c r="CK489" s="650"/>
      <c r="CL489" s="650"/>
      <c r="CM489" s="650"/>
      <c r="CN489" s="650"/>
      <c r="CO489" s="650"/>
      <c r="CP489" s="650"/>
      <c r="CQ489" s="650"/>
      <c r="CR489" s="650"/>
      <c r="CS489" s="651"/>
      <c r="CT489" s="651"/>
      <c r="CU489" s="651"/>
      <c r="CV489" s="651"/>
      <c r="CW489" s="651"/>
      <c r="CX489" s="651"/>
      <c r="CY489" s="651"/>
      <c r="CZ489" s="651"/>
      <c r="DA489" s="651"/>
      <c r="DB489" s="651"/>
      <c r="DC489" s="651"/>
      <c r="DD489" s="651"/>
    </row>
    <row r="490" s="650" customFormat="1" ht="31" customHeight="1" spans="1:108">
      <c r="A490" s="713">
        <v>46149</v>
      </c>
      <c r="B490" s="714" t="s">
        <v>743</v>
      </c>
      <c r="C490" s="715" t="s">
        <v>164</v>
      </c>
      <c r="D490" s="837" t="s">
        <v>5509</v>
      </c>
      <c r="E490" s="715" t="s">
        <v>5510</v>
      </c>
      <c r="F490" s="652" t="s">
        <v>5511</v>
      </c>
      <c r="G490" s="716" t="s">
        <v>3968</v>
      </c>
      <c r="H490" s="715" t="s">
        <v>3969</v>
      </c>
      <c r="I490" s="717">
        <v>928</v>
      </c>
      <c r="J490" s="715">
        <v>0</v>
      </c>
      <c r="K490" s="715">
        <v>16</v>
      </c>
      <c r="L490" s="715">
        <f t="shared" si="91"/>
        <v>58</v>
      </c>
      <c r="M490" s="719">
        <v>46233</v>
      </c>
      <c r="N490" s="719">
        <v>46230</v>
      </c>
      <c r="O490" s="714"/>
      <c r="P490" s="717" t="s">
        <v>1410</v>
      </c>
      <c r="Q490" s="717"/>
      <c r="R490" s="723" t="s">
        <v>541</v>
      </c>
      <c r="S490" s="720" t="s">
        <v>107</v>
      </c>
      <c r="T490" s="735" t="s">
        <v>5502</v>
      </c>
      <c r="U490" s="720"/>
      <c r="V490" s="720"/>
      <c r="W490" s="720"/>
      <c r="X490" s="798" t="s">
        <v>5512</v>
      </c>
      <c r="Y490" s="719" t="s">
        <v>545</v>
      </c>
      <c r="Z490" s="730">
        <v>4.4798</v>
      </c>
      <c r="AA490" s="652">
        <f t="shared" si="96"/>
        <v>4157.2544</v>
      </c>
      <c r="AB490" s="721"/>
      <c r="AC490" s="652" t="s">
        <v>4426</v>
      </c>
      <c r="AD490" s="715" t="s">
        <v>112</v>
      </c>
      <c r="AE490" s="715">
        <f t="shared" si="92"/>
        <v>928</v>
      </c>
      <c r="AF490" s="715"/>
      <c r="AG490" s="715">
        <v>928</v>
      </c>
      <c r="AH490" s="715">
        <f t="shared" si="95"/>
        <v>0</v>
      </c>
      <c r="AI490" s="717"/>
      <c r="AJ490" s="715" t="s">
        <v>3981</v>
      </c>
      <c r="AK490" s="652"/>
      <c r="AL490" s="652">
        <f t="shared" si="97"/>
        <v>928</v>
      </c>
      <c r="AM490" s="652"/>
      <c r="AN490" s="652">
        <f t="shared" si="98"/>
        <v>928</v>
      </c>
      <c r="AO490" s="652"/>
      <c r="AP490" s="652"/>
      <c r="AQ490" s="652"/>
      <c r="AR490" s="652"/>
      <c r="AS490" s="652"/>
      <c r="AT490" s="652"/>
      <c r="AU490" s="652"/>
      <c r="AV490" s="652"/>
      <c r="AW490" s="652"/>
      <c r="AX490" s="652"/>
      <c r="AY490" s="652"/>
      <c r="AZ490" s="652"/>
      <c r="BA490" s="652"/>
      <c r="BB490" s="652"/>
      <c r="BC490" s="652"/>
      <c r="BD490" s="652"/>
      <c r="BE490" s="652"/>
      <c r="BF490" s="652"/>
      <c r="BG490" s="652"/>
      <c r="BH490" s="652"/>
      <c r="BI490" s="652"/>
    </row>
    <row r="491" s="651" customFormat="1" ht="31" customHeight="1" spans="1:108">
      <c r="A491" s="713">
        <v>46149</v>
      </c>
      <c r="B491" s="714" t="s">
        <v>743</v>
      </c>
      <c r="C491" s="715" t="s">
        <v>135</v>
      </c>
      <c r="D491" s="837" t="s">
        <v>5509</v>
      </c>
      <c r="E491" s="715" t="s">
        <v>5513</v>
      </c>
      <c r="F491" s="652" t="s">
        <v>5514</v>
      </c>
      <c r="G491" s="716" t="s">
        <v>3968</v>
      </c>
      <c r="H491" s="715" t="s">
        <v>3969</v>
      </c>
      <c r="I491" s="717">
        <v>2704</v>
      </c>
      <c r="J491" s="715">
        <v>0</v>
      </c>
      <c r="K491" s="715">
        <v>16</v>
      </c>
      <c r="L491" s="715">
        <f t="shared" si="91"/>
        <v>169</v>
      </c>
      <c r="M491" s="719">
        <v>46233</v>
      </c>
      <c r="N491" s="719">
        <v>46230</v>
      </c>
      <c r="O491" s="714"/>
      <c r="P491" s="717" t="s">
        <v>1410</v>
      </c>
      <c r="Q491" s="717"/>
      <c r="R491" s="723" t="s">
        <v>541</v>
      </c>
      <c r="S491" s="720" t="s">
        <v>107</v>
      </c>
      <c r="T491" s="720" t="s">
        <v>5502</v>
      </c>
      <c r="U491" s="720"/>
      <c r="V491" s="720"/>
      <c r="W491" s="720"/>
      <c r="X491" s="798" t="s">
        <v>5512</v>
      </c>
      <c r="Y491" s="719" t="s">
        <v>545</v>
      </c>
      <c r="Z491" s="730">
        <v>4.4696</v>
      </c>
      <c r="AA491" s="652">
        <f t="shared" si="96"/>
        <v>12085.7984</v>
      </c>
      <c r="AB491" s="721"/>
      <c r="AC491" s="652" t="s">
        <v>4426</v>
      </c>
      <c r="AD491" s="715" t="s">
        <v>112</v>
      </c>
      <c r="AE491" s="715">
        <f t="shared" si="92"/>
        <v>2704</v>
      </c>
      <c r="AF491" s="715"/>
      <c r="AG491" s="715">
        <v>2704</v>
      </c>
      <c r="AH491" s="715">
        <f t="shared" si="95"/>
        <v>0</v>
      </c>
      <c r="AI491" s="717"/>
      <c r="AJ491" s="715" t="s">
        <v>3981</v>
      </c>
      <c r="AK491" s="652"/>
      <c r="AL491" s="652">
        <f t="shared" si="97"/>
        <v>2704</v>
      </c>
      <c r="AM491" s="652"/>
      <c r="AN491" s="652">
        <f t="shared" si="98"/>
        <v>2704</v>
      </c>
      <c r="AO491" s="652"/>
      <c r="AP491" s="652"/>
      <c r="AQ491" s="652"/>
      <c r="AR491" s="652"/>
      <c r="AS491" s="652"/>
      <c r="AT491" s="652"/>
      <c r="AU491" s="652"/>
      <c r="AV491" s="652"/>
      <c r="AW491" s="652"/>
      <c r="AX491" s="652"/>
      <c r="AY491" s="652"/>
      <c r="AZ491" s="652"/>
      <c r="BA491" s="652"/>
      <c r="BB491" s="652"/>
      <c r="BC491" s="652"/>
      <c r="BD491" s="652"/>
      <c r="BE491" s="652"/>
      <c r="BF491" s="652"/>
      <c r="BG491" s="652"/>
      <c r="BH491" s="652"/>
      <c r="BI491" s="652"/>
      <c r="BJ491" s="650"/>
      <c r="BK491" s="650"/>
      <c r="BL491" s="650"/>
      <c r="BM491" s="650"/>
      <c r="BN491" s="650"/>
      <c r="BO491" s="650"/>
      <c r="BP491" s="650"/>
      <c r="BQ491" s="650"/>
      <c r="BR491" s="650"/>
      <c r="BS491" s="650"/>
      <c r="BT491" s="650"/>
      <c r="BU491" s="650"/>
      <c r="BV491" s="650"/>
      <c r="BW491" s="650"/>
      <c r="BX491" s="650"/>
      <c r="BY491" s="650"/>
      <c r="BZ491" s="650"/>
      <c r="CA491" s="650"/>
      <c r="CB491" s="650"/>
      <c r="CC491" s="650"/>
      <c r="CD491" s="650"/>
      <c r="CE491" s="650"/>
      <c r="CF491" s="650"/>
      <c r="CG491" s="650"/>
      <c r="CH491" s="650"/>
      <c r="CI491" s="650"/>
      <c r="CJ491" s="650"/>
      <c r="CK491" s="650"/>
      <c r="CL491" s="650"/>
      <c r="CM491" s="650"/>
      <c r="CN491" s="650"/>
      <c r="CO491" s="650"/>
      <c r="CP491" s="650"/>
      <c r="CQ491" s="650"/>
      <c r="CR491" s="650"/>
      <c r="CS491" s="650"/>
      <c r="CT491" s="650"/>
      <c r="CU491" s="650"/>
      <c r="CV491" s="650"/>
      <c r="CW491" s="650"/>
      <c r="CX491" s="650"/>
      <c r="CY491" s="650"/>
      <c r="CZ491" s="650"/>
      <c r="DA491" s="650"/>
      <c r="DB491" s="650"/>
      <c r="DC491" s="650"/>
      <c r="DD491" s="650"/>
    </row>
    <row r="492" s="651" customFormat="1" ht="31" customHeight="1" spans="1:108">
      <c r="A492" s="713">
        <v>46141</v>
      </c>
      <c r="B492" s="714" t="s">
        <v>809</v>
      </c>
      <c r="C492" s="715" t="s">
        <v>810</v>
      </c>
      <c r="D492" s="652" t="s">
        <v>5515</v>
      </c>
      <c r="E492" s="715" t="s">
        <v>5516</v>
      </c>
      <c r="F492" s="652" t="s">
        <v>5517</v>
      </c>
      <c r="G492" s="716" t="s">
        <v>4028</v>
      </c>
      <c r="H492" s="746" t="s">
        <v>3978</v>
      </c>
      <c r="I492" s="717">
        <v>3000</v>
      </c>
      <c r="J492" s="715">
        <v>0</v>
      </c>
      <c r="K492" s="715">
        <v>8</v>
      </c>
      <c r="L492" s="715">
        <f t="shared" si="91"/>
        <v>375</v>
      </c>
      <c r="M492" s="719">
        <v>46233</v>
      </c>
      <c r="N492" s="719">
        <v>46230</v>
      </c>
      <c r="O492" s="714"/>
      <c r="P492" s="717" t="s">
        <v>1410</v>
      </c>
      <c r="Q492" s="717" t="s">
        <v>2528</v>
      </c>
      <c r="R492" s="723" t="s">
        <v>3198</v>
      </c>
      <c r="S492" s="720" t="s">
        <v>107</v>
      </c>
      <c r="T492" s="720" t="s">
        <v>5518</v>
      </c>
      <c r="U492" s="720"/>
      <c r="V492" s="720" t="s">
        <v>4056</v>
      </c>
      <c r="W492" s="720"/>
      <c r="X492" s="798" t="s">
        <v>5519</v>
      </c>
      <c r="Y492" s="719" t="s">
        <v>722</v>
      </c>
      <c r="Z492" s="730">
        <v>4.5779</v>
      </c>
      <c r="AA492" s="652">
        <f t="shared" si="96"/>
        <v>13733.7</v>
      </c>
      <c r="AB492" s="721"/>
      <c r="AC492" s="722" t="s">
        <v>4031</v>
      </c>
      <c r="AD492" s="715" t="s">
        <v>112</v>
      </c>
      <c r="AE492" s="715">
        <f t="shared" si="92"/>
        <v>3000</v>
      </c>
      <c r="AF492" s="715"/>
      <c r="AG492" s="715">
        <v>3000</v>
      </c>
      <c r="AH492" s="715">
        <f t="shared" si="95"/>
        <v>0</v>
      </c>
      <c r="AI492" s="717"/>
      <c r="AJ492" s="715" t="s">
        <v>3981</v>
      </c>
      <c r="AK492" s="652"/>
      <c r="AL492" s="652">
        <f t="shared" si="97"/>
        <v>3000</v>
      </c>
      <c r="AM492" s="652"/>
      <c r="AN492" s="652">
        <f t="shared" si="98"/>
        <v>3000</v>
      </c>
      <c r="AO492" s="652"/>
      <c r="AP492" s="652"/>
      <c r="AQ492" s="652"/>
      <c r="AR492" s="652"/>
      <c r="AS492" s="652"/>
      <c r="AT492" s="652"/>
      <c r="AU492" s="652">
        <f>I492/8</f>
        <v>375</v>
      </c>
      <c r="AV492" s="652"/>
      <c r="AW492" s="652"/>
      <c r="AX492" s="652"/>
      <c r="AY492" s="652"/>
      <c r="AZ492" s="652"/>
      <c r="BA492" s="652"/>
      <c r="BB492" s="652"/>
      <c r="BC492" s="652"/>
      <c r="BD492" s="652"/>
      <c r="BE492" s="652"/>
      <c r="BF492" s="652"/>
      <c r="BG492" s="652"/>
      <c r="BH492" s="652"/>
      <c r="BI492" s="652"/>
      <c r="BJ492" s="650"/>
      <c r="BK492" s="650"/>
      <c r="BL492" s="650"/>
      <c r="BM492" s="650"/>
      <c r="BN492" s="650"/>
      <c r="BO492" s="650"/>
      <c r="BP492" s="650"/>
      <c r="BQ492" s="650"/>
      <c r="BR492" s="650"/>
      <c r="BS492" s="650"/>
      <c r="BT492" s="650"/>
      <c r="BU492" s="650"/>
      <c r="BV492" s="650"/>
      <c r="BW492" s="650"/>
      <c r="BX492" s="650"/>
      <c r="BY492" s="650"/>
      <c r="BZ492" s="650"/>
      <c r="CA492" s="650"/>
      <c r="CB492" s="650"/>
      <c r="CC492" s="650"/>
      <c r="CD492" s="650"/>
      <c r="CE492" s="650"/>
      <c r="CF492" s="650"/>
      <c r="CG492" s="650"/>
      <c r="CH492" s="650"/>
      <c r="CI492" s="650"/>
      <c r="CJ492" s="650"/>
      <c r="CK492" s="650"/>
      <c r="CL492" s="650"/>
      <c r="CM492" s="650"/>
      <c r="CN492" s="650"/>
      <c r="CO492" s="650"/>
      <c r="CP492" s="650"/>
      <c r="CQ492" s="650"/>
      <c r="CR492" s="650"/>
      <c r="CS492" s="650"/>
      <c r="CT492" s="650"/>
      <c r="CU492" s="650"/>
      <c r="CV492" s="650"/>
      <c r="CW492" s="650"/>
      <c r="CX492" s="650"/>
      <c r="CY492" s="650"/>
      <c r="CZ492" s="650"/>
      <c r="DA492" s="650"/>
      <c r="DB492" s="650"/>
      <c r="DC492" s="650"/>
      <c r="DD492" s="650"/>
    </row>
    <row r="493" s="651" customFormat="1" ht="31" customHeight="1" spans="1:108">
      <c r="A493" s="713">
        <v>46168</v>
      </c>
      <c r="B493" s="714" t="s">
        <v>5520</v>
      </c>
      <c r="C493" s="715" t="s">
        <v>1439</v>
      </c>
      <c r="D493" s="652" t="s">
        <v>5521</v>
      </c>
      <c r="E493" s="715" t="s">
        <v>628</v>
      </c>
      <c r="F493" s="652" t="s">
        <v>5522</v>
      </c>
      <c r="G493" s="716" t="s">
        <v>3973</v>
      </c>
      <c r="H493" s="715" t="s">
        <v>3995</v>
      </c>
      <c r="I493" s="717">
        <v>560</v>
      </c>
      <c r="J493" s="715">
        <v>0</v>
      </c>
      <c r="K493" s="715">
        <v>16</v>
      </c>
      <c r="L493" s="715">
        <f t="shared" si="91"/>
        <v>35</v>
      </c>
      <c r="M493" s="719">
        <v>46233</v>
      </c>
      <c r="N493" s="719">
        <v>46230</v>
      </c>
      <c r="O493" s="714"/>
      <c r="P493" s="717" t="s">
        <v>1410</v>
      </c>
      <c r="Q493" s="717" t="s">
        <v>5447</v>
      </c>
      <c r="R493" s="723">
        <v>46178</v>
      </c>
      <c r="S493" s="720" t="s">
        <v>107</v>
      </c>
      <c r="T493" s="723" t="s">
        <v>5042</v>
      </c>
      <c r="U493" s="723"/>
      <c r="V493" s="720"/>
      <c r="W493" s="720"/>
      <c r="X493" s="720" t="s">
        <v>5523</v>
      </c>
      <c r="Y493" s="719" t="s">
        <v>1477</v>
      </c>
      <c r="Z493" s="730">
        <v>4.7039</v>
      </c>
      <c r="AA493" s="652">
        <f t="shared" si="96"/>
        <v>2634.184</v>
      </c>
      <c r="AB493" s="721"/>
      <c r="AC493" s="652" t="s">
        <v>4108</v>
      </c>
      <c r="AD493" s="715" t="s">
        <v>112</v>
      </c>
      <c r="AE493" s="715">
        <f t="shared" si="92"/>
        <v>560</v>
      </c>
      <c r="AF493" s="715"/>
      <c r="AG493" s="715">
        <v>560</v>
      </c>
      <c r="AH493" s="715">
        <f t="shared" si="95"/>
        <v>0</v>
      </c>
      <c r="AI493" s="717"/>
      <c r="AJ493" s="715" t="s">
        <v>3981</v>
      </c>
      <c r="AK493" s="652"/>
      <c r="AL493" s="652">
        <f t="shared" si="97"/>
        <v>560</v>
      </c>
      <c r="AM493" s="652"/>
      <c r="AN493" s="652">
        <f t="shared" si="98"/>
        <v>560</v>
      </c>
      <c r="AO493" s="652"/>
      <c r="AP493" s="652"/>
      <c r="AQ493" s="652"/>
      <c r="AR493" s="652"/>
      <c r="AS493" s="652"/>
      <c r="AT493" s="652"/>
      <c r="AU493" s="652">
        <f>I493/8</f>
        <v>70</v>
      </c>
      <c r="AV493" s="652"/>
      <c r="AW493" s="652"/>
      <c r="AX493" s="652"/>
      <c r="AY493" s="652"/>
      <c r="AZ493" s="652"/>
      <c r="BA493" s="652"/>
      <c r="BB493" s="652"/>
      <c r="BC493" s="652"/>
      <c r="BD493" s="652"/>
      <c r="BE493" s="652"/>
      <c r="BF493" s="652"/>
      <c r="BG493" s="652"/>
      <c r="BH493" s="652"/>
      <c r="BI493" s="652"/>
      <c r="BJ493" s="650"/>
      <c r="BK493" s="650"/>
      <c r="BL493" s="650"/>
      <c r="BM493" s="650"/>
      <c r="BN493" s="650"/>
      <c r="BO493" s="650"/>
      <c r="BP493" s="650"/>
      <c r="BQ493" s="650"/>
      <c r="BR493" s="650"/>
      <c r="BS493" s="650"/>
      <c r="BT493" s="650"/>
      <c r="BU493" s="650"/>
      <c r="BV493" s="650"/>
      <c r="BW493" s="650"/>
      <c r="BX493" s="650"/>
      <c r="BY493" s="650"/>
      <c r="BZ493" s="650"/>
      <c r="CA493" s="650"/>
      <c r="CB493" s="650"/>
      <c r="CC493" s="650"/>
      <c r="CD493" s="650"/>
      <c r="CE493" s="650"/>
      <c r="CF493" s="650"/>
      <c r="CG493" s="650"/>
      <c r="CH493" s="650"/>
      <c r="CI493" s="650"/>
      <c r="CJ493" s="650"/>
      <c r="CK493" s="650"/>
      <c r="CL493" s="650"/>
      <c r="CM493" s="650"/>
      <c r="CN493" s="650"/>
      <c r="CO493" s="650"/>
      <c r="CP493" s="650"/>
      <c r="CQ493" s="650"/>
      <c r="CR493" s="650"/>
    </row>
    <row r="494" s="654" customFormat="1" ht="31" customHeight="1" spans="1:108">
      <c r="A494" s="713">
        <v>46157</v>
      </c>
      <c r="B494" s="714" t="s">
        <v>5524</v>
      </c>
      <c r="C494" s="715" t="s">
        <v>810</v>
      </c>
      <c r="D494" s="837" t="s">
        <v>5525</v>
      </c>
      <c r="E494" s="715" t="s">
        <v>5526</v>
      </c>
      <c r="F494" s="652" t="s">
        <v>5527</v>
      </c>
      <c r="G494" s="716" t="s">
        <v>3968</v>
      </c>
      <c r="H494" s="715" t="s">
        <v>3969</v>
      </c>
      <c r="I494" s="717">
        <v>1104</v>
      </c>
      <c r="J494" s="715">
        <v>0</v>
      </c>
      <c r="K494" s="715">
        <v>16</v>
      </c>
      <c r="L494" s="715">
        <f t="shared" si="91"/>
        <v>69</v>
      </c>
      <c r="M494" s="719">
        <v>46234</v>
      </c>
      <c r="N494" s="719">
        <v>46230</v>
      </c>
      <c r="O494" s="714"/>
      <c r="P494" s="717" t="s">
        <v>1410</v>
      </c>
      <c r="Q494" s="717"/>
      <c r="R494" s="723" t="s">
        <v>747</v>
      </c>
      <c r="S494" s="720" t="s">
        <v>107</v>
      </c>
      <c r="T494" s="720" t="s">
        <v>5165</v>
      </c>
      <c r="U494" s="720"/>
      <c r="V494" s="720"/>
      <c r="W494" s="720"/>
      <c r="X494" s="798" t="s">
        <v>5528</v>
      </c>
      <c r="Y494" s="719" t="s">
        <v>2505</v>
      </c>
      <c r="Z494" s="730">
        <v>4.5553</v>
      </c>
      <c r="AA494" s="652">
        <f t="shared" si="96"/>
        <v>5029.0512</v>
      </c>
      <c r="AB494" s="721"/>
      <c r="AC494" s="652" t="s">
        <v>4426</v>
      </c>
      <c r="AD494" s="715" t="s">
        <v>112</v>
      </c>
      <c r="AE494" s="715">
        <f t="shared" si="92"/>
        <v>1104</v>
      </c>
      <c r="AF494" s="715"/>
      <c r="AG494" s="715">
        <v>1104</v>
      </c>
      <c r="AH494" s="715">
        <f t="shared" si="95"/>
        <v>0</v>
      </c>
      <c r="AI494" s="717"/>
      <c r="AJ494" s="715" t="s">
        <v>3981</v>
      </c>
      <c r="AK494" s="652"/>
      <c r="AL494" s="652">
        <f t="shared" si="97"/>
        <v>1104</v>
      </c>
      <c r="AM494" s="652"/>
      <c r="AN494" s="652">
        <f t="shared" si="98"/>
        <v>1104</v>
      </c>
      <c r="AO494" s="652"/>
      <c r="AP494" s="652"/>
      <c r="AQ494" s="652"/>
      <c r="AR494" s="652"/>
      <c r="AS494" s="652"/>
      <c r="AT494" s="652"/>
      <c r="AU494" s="652"/>
      <c r="AV494" s="652"/>
      <c r="AW494" s="652"/>
      <c r="AX494" s="652"/>
      <c r="AY494" s="652"/>
      <c r="AZ494" s="652"/>
      <c r="BA494" s="652"/>
      <c r="BB494" s="652"/>
      <c r="BC494" s="652"/>
      <c r="BD494" s="652"/>
      <c r="BE494" s="652"/>
      <c r="BF494" s="652"/>
      <c r="BG494" s="652"/>
      <c r="BH494" s="652"/>
      <c r="BI494" s="652"/>
      <c r="BJ494" s="650"/>
      <c r="BK494" s="650"/>
      <c r="BL494" s="650"/>
      <c r="BM494" s="650"/>
      <c r="BN494" s="650"/>
      <c r="BO494" s="650"/>
      <c r="BP494" s="650"/>
      <c r="BQ494" s="650"/>
      <c r="BR494" s="650"/>
      <c r="BS494" s="650"/>
      <c r="BT494" s="650"/>
      <c r="BU494" s="650"/>
      <c r="BV494" s="650"/>
      <c r="BW494" s="650"/>
      <c r="BX494" s="650"/>
      <c r="BY494" s="650"/>
      <c r="BZ494" s="650"/>
      <c r="CA494" s="650"/>
      <c r="CB494" s="650"/>
      <c r="CC494" s="650"/>
      <c r="CD494" s="650"/>
      <c r="CE494" s="650"/>
      <c r="CF494" s="650"/>
      <c r="CG494" s="650"/>
      <c r="CH494" s="650"/>
      <c r="CI494" s="650"/>
      <c r="CJ494" s="650"/>
      <c r="CK494" s="650"/>
      <c r="CL494" s="650"/>
      <c r="CM494" s="650"/>
      <c r="CN494" s="650"/>
      <c r="CO494" s="650"/>
      <c r="CP494" s="650"/>
      <c r="CQ494" s="650"/>
      <c r="CR494" s="650"/>
      <c r="CS494" s="650"/>
      <c r="CT494" s="650"/>
      <c r="CU494" s="650"/>
      <c r="CV494" s="650"/>
      <c r="CW494" s="650"/>
      <c r="CX494" s="650"/>
      <c r="CY494" s="650"/>
      <c r="CZ494" s="650"/>
      <c r="DA494" s="650"/>
      <c r="DB494" s="650"/>
      <c r="DC494" s="650"/>
      <c r="DD494" s="650"/>
    </row>
    <row r="495" s="650" customFormat="1" ht="31" customHeight="1" spans="1:108">
      <c r="A495" s="713">
        <v>46157</v>
      </c>
      <c r="B495" s="714" t="s">
        <v>5524</v>
      </c>
      <c r="C495" s="715" t="s">
        <v>810</v>
      </c>
      <c r="D495" s="837" t="s">
        <v>5525</v>
      </c>
      <c r="E495" s="715" t="s">
        <v>5529</v>
      </c>
      <c r="F495" s="652" t="s">
        <v>5530</v>
      </c>
      <c r="G495" s="716" t="s">
        <v>3968</v>
      </c>
      <c r="H495" s="715" t="s">
        <v>3969</v>
      </c>
      <c r="I495" s="717">
        <v>832</v>
      </c>
      <c r="J495" s="715">
        <v>0</v>
      </c>
      <c r="K495" s="715">
        <v>16</v>
      </c>
      <c r="L495" s="715">
        <f t="shared" si="91"/>
        <v>52</v>
      </c>
      <c r="M495" s="719">
        <v>46234</v>
      </c>
      <c r="N495" s="719">
        <v>46230</v>
      </c>
      <c r="O495" s="714"/>
      <c r="P495" s="717" t="s">
        <v>1410</v>
      </c>
      <c r="Q495" s="717"/>
      <c r="R495" s="734" t="s">
        <v>747</v>
      </c>
      <c r="S495" s="720" t="s">
        <v>107</v>
      </c>
      <c r="T495" s="735" t="s">
        <v>5165</v>
      </c>
      <c r="U495" s="735"/>
      <c r="V495" s="720"/>
      <c r="W495" s="720"/>
      <c r="X495" s="798" t="s">
        <v>5528</v>
      </c>
      <c r="Y495" s="719" t="s">
        <v>2505</v>
      </c>
      <c r="Z495" s="730">
        <v>4.5862</v>
      </c>
      <c r="AA495" s="652">
        <f t="shared" si="96"/>
        <v>3815.7184</v>
      </c>
      <c r="AB495" s="721"/>
      <c r="AC495" s="652" t="s">
        <v>4426</v>
      </c>
      <c r="AD495" s="715" t="s">
        <v>112</v>
      </c>
      <c r="AE495" s="715">
        <f t="shared" si="92"/>
        <v>832</v>
      </c>
      <c r="AF495" s="715"/>
      <c r="AG495" s="715">
        <v>832</v>
      </c>
      <c r="AH495" s="715">
        <f t="shared" si="95"/>
        <v>0</v>
      </c>
      <c r="AI495" s="717"/>
      <c r="AJ495" s="715" t="s">
        <v>3981</v>
      </c>
      <c r="AK495" s="652"/>
      <c r="AL495" s="652">
        <f t="shared" si="97"/>
        <v>832</v>
      </c>
      <c r="AM495" s="652"/>
      <c r="AN495" s="652">
        <f t="shared" si="98"/>
        <v>832</v>
      </c>
      <c r="AO495" s="652"/>
      <c r="AP495" s="652"/>
      <c r="AQ495" s="652"/>
      <c r="AR495" s="652"/>
      <c r="AS495" s="652"/>
      <c r="AT495" s="652"/>
      <c r="AU495" s="652"/>
      <c r="AV495" s="652"/>
      <c r="AW495" s="652"/>
      <c r="AX495" s="652"/>
      <c r="AY495" s="652"/>
      <c r="AZ495" s="652"/>
      <c r="BA495" s="652"/>
      <c r="BB495" s="652"/>
      <c r="BC495" s="652"/>
      <c r="BD495" s="652"/>
      <c r="BE495" s="652"/>
      <c r="BF495" s="652"/>
      <c r="BG495" s="652"/>
      <c r="BH495" s="652"/>
      <c r="BI495" s="652"/>
    </row>
    <row r="496" s="650" customFormat="1" ht="31" customHeight="1" spans="1:108">
      <c r="A496" s="713">
        <v>46136</v>
      </c>
      <c r="B496" s="714" t="s">
        <v>191</v>
      </c>
      <c r="C496" s="715" t="s">
        <v>164</v>
      </c>
      <c r="D496" s="652" t="s">
        <v>5531</v>
      </c>
      <c r="E496" s="715" t="s">
        <v>5532</v>
      </c>
      <c r="F496" s="652" t="s">
        <v>5533</v>
      </c>
      <c r="G496" s="716" t="s">
        <v>4028</v>
      </c>
      <c r="H496" s="746" t="s">
        <v>3978</v>
      </c>
      <c r="I496" s="717">
        <v>9000</v>
      </c>
      <c r="J496" s="715">
        <v>0</v>
      </c>
      <c r="K496" s="715">
        <v>8</v>
      </c>
      <c r="L496" s="715">
        <f t="shared" si="91"/>
        <v>1125</v>
      </c>
      <c r="M496" s="719">
        <v>46234</v>
      </c>
      <c r="N496" s="778">
        <v>46230</v>
      </c>
      <c r="O496" s="714"/>
      <c r="P496" s="717" t="s">
        <v>1410</v>
      </c>
      <c r="Q496" s="717" t="s">
        <v>2254</v>
      </c>
      <c r="R496" s="723">
        <v>46198</v>
      </c>
      <c r="S496" s="720" t="s">
        <v>107</v>
      </c>
      <c r="T496" s="720" t="s">
        <v>4512</v>
      </c>
      <c r="U496" s="720"/>
      <c r="V496" s="720" t="s">
        <v>4982</v>
      </c>
      <c r="W496" s="720"/>
      <c r="X496" s="720" t="s">
        <v>5534</v>
      </c>
      <c r="Y496" s="719" t="s">
        <v>895</v>
      </c>
      <c r="Z496" s="730">
        <v>4.5677</v>
      </c>
      <c r="AA496" s="652">
        <f>L496*Z496</f>
        <v>5138.6625</v>
      </c>
      <c r="AB496" s="721"/>
      <c r="AC496" s="722" t="s">
        <v>4031</v>
      </c>
      <c r="AD496" s="715" t="s">
        <v>112</v>
      </c>
      <c r="AE496" s="715">
        <f t="shared" si="92"/>
        <v>9000</v>
      </c>
      <c r="AF496" s="715"/>
      <c r="AG496" s="715">
        <f>7680+1320</f>
        <v>9000</v>
      </c>
      <c r="AH496" s="715">
        <f t="shared" si="95"/>
        <v>0</v>
      </c>
      <c r="AI496" s="717"/>
      <c r="AJ496" s="715" t="s">
        <v>3981</v>
      </c>
      <c r="AK496" s="652"/>
      <c r="AL496" s="652">
        <f t="shared" si="97"/>
        <v>9000</v>
      </c>
      <c r="AM496" s="652"/>
      <c r="AN496" s="652">
        <f t="shared" si="98"/>
        <v>9000</v>
      </c>
      <c r="AO496" s="652"/>
      <c r="AP496" s="652"/>
      <c r="AQ496" s="652"/>
      <c r="AR496" s="652"/>
      <c r="AS496" s="652"/>
      <c r="AT496" s="652"/>
      <c r="AU496" s="652">
        <f>I496/8</f>
        <v>1125</v>
      </c>
      <c r="AV496" s="652"/>
      <c r="AW496" s="652"/>
      <c r="AX496" s="652"/>
      <c r="AY496" s="652"/>
      <c r="AZ496" s="652"/>
      <c r="BA496" s="652"/>
      <c r="BB496" s="652"/>
      <c r="BC496" s="652"/>
      <c r="BD496" s="652"/>
      <c r="BE496" s="652"/>
      <c r="BF496" s="652"/>
      <c r="BG496" s="652"/>
      <c r="BH496" s="652"/>
      <c r="BI496" s="652"/>
      <c r="BJ496" s="731"/>
      <c r="BK496" s="731"/>
      <c r="BL496" s="731"/>
      <c r="BM496" s="731"/>
      <c r="BN496" s="731"/>
      <c r="BO496" s="731"/>
      <c r="BP496" s="731"/>
      <c r="BQ496" s="731"/>
      <c r="BR496" s="731"/>
      <c r="BS496" s="731"/>
      <c r="BT496" s="731"/>
      <c r="BU496" s="731"/>
      <c r="BV496" s="731"/>
      <c r="BW496" s="731"/>
      <c r="BX496" s="731"/>
      <c r="BY496" s="731"/>
      <c r="BZ496" s="731"/>
      <c r="CA496" s="731"/>
      <c r="CB496" s="731"/>
      <c r="CC496" s="731"/>
      <c r="CD496" s="731"/>
      <c r="CE496" s="731"/>
      <c r="CF496" s="731"/>
      <c r="CG496" s="731"/>
      <c r="CH496" s="731"/>
      <c r="CI496" s="731"/>
      <c r="CJ496" s="731"/>
      <c r="CK496" s="731"/>
      <c r="CL496" s="731"/>
      <c r="CM496" s="731"/>
      <c r="CN496" s="731"/>
      <c r="CO496" s="731"/>
      <c r="CP496" s="731"/>
      <c r="CQ496" s="731"/>
      <c r="CR496" s="731"/>
    </row>
    <row r="497" s="650" customFormat="1" ht="31" customHeight="1" spans="1:108">
      <c r="A497" s="713">
        <v>46184</v>
      </c>
      <c r="B497" s="714" t="s">
        <v>114</v>
      </c>
      <c r="C497" s="715" t="s">
        <v>115</v>
      </c>
      <c r="D497" s="652">
        <v>4500211709</v>
      </c>
      <c r="E497" s="715" t="s">
        <v>5535</v>
      </c>
      <c r="F497" s="652" t="s">
        <v>5536</v>
      </c>
      <c r="G497" s="716" t="s">
        <v>3980</v>
      </c>
      <c r="H497" s="715" t="s">
        <v>3978</v>
      </c>
      <c r="I497" s="717">
        <v>20664</v>
      </c>
      <c r="J497" s="715">
        <v>0</v>
      </c>
      <c r="K497" s="715">
        <v>8</v>
      </c>
      <c r="L497" s="715">
        <f t="shared" si="91"/>
        <v>2583</v>
      </c>
      <c r="M497" s="719">
        <v>46234</v>
      </c>
      <c r="N497" s="778">
        <v>46230</v>
      </c>
      <c r="O497" s="714"/>
      <c r="P497" s="717" t="s">
        <v>1410</v>
      </c>
      <c r="Q497" s="717" t="s">
        <v>2254</v>
      </c>
      <c r="R497" s="723" t="s">
        <v>5455</v>
      </c>
      <c r="S497" s="720" t="s">
        <v>107</v>
      </c>
      <c r="T497" s="720" t="s">
        <v>5456</v>
      </c>
      <c r="U497" s="720"/>
      <c r="V497" s="720"/>
      <c r="W497" s="720"/>
      <c r="X497" s="720" t="s">
        <v>5537</v>
      </c>
      <c r="Y497" s="719" t="s">
        <v>123</v>
      </c>
      <c r="Z497" s="730">
        <v>2.7651</v>
      </c>
      <c r="AA497" s="652">
        <f>I497*Z497</f>
        <v>57138.0264</v>
      </c>
      <c r="AB497" s="721"/>
      <c r="AC497" s="722" t="s">
        <v>3980</v>
      </c>
      <c r="AD497" s="715" t="s">
        <v>112</v>
      </c>
      <c r="AE497" s="715">
        <f t="shared" si="92"/>
        <v>20664</v>
      </c>
      <c r="AF497" s="715"/>
      <c r="AG497" s="715">
        <v>20664</v>
      </c>
      <c r="AH497" s="715">
        <f t="shared" si="95"/>
        <v>0</v>
      </c>
      <c r="AI497" s="717"/>
      <c r="AJ497" s="715" t="s">
        <v>3981</v>
      </c>
      <c r="AK497" s="652">
        <f>I497</f>
        <v>20664</v>
      </c>
      <c r="AL497" s="652"/>
      <c r="AM497" s="652"/>
      <c r="AN497" s="652">
        <f t="shared" si="98"/>
        <v>20664</v>
      </c>
      <c r="AO497" s="652"/>
      <c r="AP497" s="652"/>
      <c r="AQ497" s="652"/>
      <c r="AR497" s="652"/>
      <c r="AS497" s="652"/>
      <c r="AT497" s="652">
        <f>I497/8</f>
        <v>2583</v>
      </c>
      <c r="AU497" s="652"/>
      <c r="AV497" s="652"/>
      <c r="AW497" s="652"/>
      <c r="AX497" s="652"/>
      <c r="AY497" s="652"/>
      <c r="AZ497" s="652"/>
      <c r="BA497" s="652"/>
      <c r="BB497" s="652"/>
      <c r="BC497" s="652"/>
      <c r="BD497" s="652"/>
      <c r="BE497" s="652"/>
      <c r="BF497" s="652"/>
      <c r="BG497" s="652"/>
      <c r="BH497" s="652"/>
      <c r="BI497" s="652"/>
    </row>
    <row r="498" s="654" customFormat="1" ht="31" customHeight="1" spans="1:108">
      <c r="A498" s="713">
        <v>46185</v>
      </c>
      <c r="B498" s="714" t="s">
        <v>2387</v>
      </c>
      <c r="C498" s="715" t="s">
        <v>810</v>
      </c>
      <c r="D498" s="652">
        <v>4500212105</v>
      </c>
      <c r="E498" s="715">
        <v>9470</v>
      </c>
      <c r="F498" s="652" t="s">
        <v>5538</v>
      </c>
      <c r="G498" s="716" t="s">
        <v>3973</v>
      </c>
      <c r="H498" s="715" t="s">
        <v>3995</v>
      </c>
      <c r="I498" s="717">
        <v>512</v>
      </c>
      <c r="J498" s="715">
        <v>0</v>
      </c>
      <c r="K498" s="715">
        <v>16</v>
      </c>
      <c r="L498" s="715">
        <f t="shared" si="91"/>
        <v>32</v>
      </c>
      <c r="M498" s="719">
        <v>46238</v>
      </c>
      <c r="N498" s="738">
        <v>46235</v>
      </c>
      <c r="O498" s="714"/>
      <c r="P498" s="717" t="s">
        <v>1410</v>
      </c>
      <c r="Q498" s="717" t="s">
        <v>2254</v>
      </c>
      <c r="R498" s="723">
        <v>46205</v>
      </c>
      <c r="S498" s="720" t="s">
        <v>107</v>
      </c>
      <c r="T498" s="720" t="s">
        <v>5539</v>
      </c>
      <c r="U498" s="720"/>
      <c r="V498" s="720"/>
      <c r="W498" s="720"/>
      <c r="X498" s="720" t="s">
        <v>5540</v>
      </c>
      <c r="Y498" s="719" t="s">
        <v>2391</v>
      </c>
      <c r="Z498" s="730">
        <v>4.8331</v>
      </c>
      <c r="AA498" s="652">
        <f>I498*Z498</f>
        <v>2474.5472</v>
      </c>
      <c r="AB498" s="721"/>
      <c r="AC498" s="652" t="s">
        <v>4108</v>
      </c>
      <c r="AD498" s="715" t="s">
        <v>112</v>
      </c>
      <c r="AE498" s="715">
        <f t="shared" si="92"/>
        <v>512</v>
      </c>
      <c r="AF498" s="715"/>
      <c r="AG498" s="715">
        <v>512</v>
      </c>
      <c r="AH498" s="715">
        <f t="shared" si="95"/>
        <v>0</v>
      </c>
      <c r="AI498" s="717"/>
      <c r="AJ498" s="715" t="s">
        <v>3981</v>
      </c>
      <c r="AK498" s="652"/>
      <c r="AL498" s="652">
        <f>I498</f>
        <v>512</v>
      </c>
      <c r="AM498" s="652"/>
      <c r="AN498" s="652">
        <f t="shared" si="98"/>
        <v>512</v>
      </c>
      <c r="AO498" s="652"/>
      <c r="AP498" s="652"/>
      <c r="AQ498" s="652"/>
      <c r="AR498" s="652"/>
      <c r="AS498" s="652"/>
      <c r="AT498" s="652"/>
      <c r="AU498" s="652">
        <f>I498/8</f>
        <v>64</v>
      </c>
      <c r="AV498" s="652"/>
      <c r="AW498" s="652"/>
      <c r="AX498" s="652"/>
      <c r="AY498" s="652"/>
      <c r="AZ498" s="652"/>
      <c r="BA498" s="652"/>
      <c r="BB498" s="652"/>
      <c r="BC498" s="652"/>
      <c r="BD498" s="652"/>
      <c r="BE498" s="652"/>
      <c r="BF498" s="652"/>
      <c r="BG498" s="652"/>
      <c r="BH498" s="652"/>
      <c r="BI498" s="652"/>
      <c r="BJ498" s="650"/>
      <c r="BK498" s="650"/>
      <c r="BL498" s="650"/>
      <c r="BM498" s="650"/>
      <c r="BN498" s="650"/>
      <c r="BO498" s="650"/>
      <c r="BP498" s="650"/>
      <c r="BQ498" s="650"/>
      <c r="BR498" s="650"/>
      <c r="BS498" s="650"/>
      <c r="BT498" s="650"/>
      <c r="BU498" s="650"/>
      <c r="BV498" s="650"/>
      <c r="BW498" s="650"/>
      <c r="BX498" s="650"/>
      <c r="BY498" s="650"/>
      <c r="BZ498" s="650"/>
      <c r="CA498" s="650"/>
      <c r="CB498" s="650"/>
      <c r="CC498" s="650"/>
      <c r="CD498" s="650"/>
      <c r="CE498" s="650"/>
      <c r="CF498" s="650"/>
      <c r="CG498" s="650"/>
      <c r="CH498" s="650"/>
      <c r="CI498" s="650"/>
      <c r="CJ498" s="650"/>
      <c r="CK498" s="650"/>
      <c r="CL498" s="650"/>
      <c r="CM498" s="650"/>
      <c r="CN498" s="650"/>
      <c r="CO498" s="650"/>
      <c r="CP498" s="650"/>
      <c r="CQ498" s="650"/>
      <c r="CR498" s="650"/>
      <c r="CS498" s="650"/>
      <c r="CT498" s="650"/>
      <c r="CU498" s="650"/>
      <c r="CV498" s="650"/>
      <c r="CW498" s="650"/>
      <c r="CX498" s="650"/>
      <c r="CY498" s="650"/>
      <c r="CZ498" s="650"/>
      <c r="DA498" s="650"/>
      <c r="DB498" s="650"/>
      <c r="DC498" s="650"/>
      <c r="DD498" s="650"/>
    </row>
    <row r="499" s="650" customFormat="1" ht="31" customHeight="1" spans="1:108">
      <c r="A499" s="713">
        <v>46189</v>
      </c>
      <c r="B499" s="714" t="s">
        <v>386</v>
      </c>
      <c r="C499" s="715" t="s">
        <v>115</v>
      </c>
      <c r="D499" s="652" t="s">
        <v>5541</v>
      </c>
      <c r="E499" s="715" t="s">
        <v>5542</v>
      </c>
      <c r="F499" s="652" t="s">
        <v>5543</v>
      </c>
      <c r="G499" s="716" t="s">
        <v>3968</v>
      </c>
      <c r="H499" s="715" t="s">
        <v>3969</v>
      </c>
      <c r="I499" s="717">
        <v>6256</v>
      </c>
      <c r="J499" s="715">
        <v>0</v>
      </c>
      <c r="K499" s="715">
        <v>16</v>
      </c>
      <c r="L499" s="715">
        <f t="shared" si="91"/>
        <v>391</v>
      </c>
      <c r="M499" s="719">
        <v>46237</v>
      </c>
      <c r="N499" s="738">
        <v>46236</v>
      </c>
      <c r="O499" s="714"/>
      <c r="P499" s="717" t="s">
        <v>1410</v>
      </c>
      <c r="Q499" s="717"/>
      <c r="R499" s="723">
        <v>46189</v>
      </c>
      <c r="S499" s="720" t="s">
        <v>107</v>
      </c>
      <c r="T499" s="720" t="s">
        <v>5544</v>
      </c>
      <c r="U499" s="720"/>
      <c r="V499" s="720"/>
      <c r="W499" s="720"/>
      <c r="X499" s="720" t="s">
        <v>5545</v>
      </c>
      <c r="Y499" s="719" t="s">
        <v>557</v>
      </c>
      <c r="Z499" s="730">
        <v>2.8229</v>
      </c>
      <c r="AA499" s="652">
        <f>I499*Z499</f>
        <v>17660.0624</v>
      </c>
      <c r="AB499" s="729" t="s">
        <v>5546</v>
      </c>
      <c r="AC499" s="856" t="s">
        <v>3968</v>
      </c>
      <c r="AD499" s="715" t="s">
        <v>112</v>
      </c>
      <c r="AE499" s="715">
        <f t="shared" si="92"/>
        <v>6256</v>
      </c>
      <c r="AF499" s="715"/>
      <c r="AG499" s="715">
        <f>4800+1456</f>
        <v>6256</v>
      </c>
      <c r="AH499" s="715">
        <f t="shared" si="95"/>
        <v>0</v>
      </c>
      <c r="AI499" s="717"/>
      <c r="AJ499" s="715" t="s">
        <v>3981</v>
      </c>
      <c r="AK499" s="652">
        <f>I499</f>
        <v>6256</v>
      </c>
      <c r="AL499" s="652"/>
      <c r="AM499" s="652"/>
      <c r="AN499" s="652">
        <f t="shared" si="98"/>
        <v>6256</v>
      </c>
      <c r="AO499" s="652"/>
      <c r="AP499" s="652"/>
      <c r="AQ499" s="652"/>
      <c r="AR499" s="652"/>
      <c r="AS499" s="652"/>
      <c r="AT499" s="652"/>
      <c r="AU499" s="652"/>
      <c r="AV499" s="652"/>
      <c r="AW499" s="652"/>
      <c r="AX499" s="652"/>
      <c r="AY499" s="652"/>
      <c r="AZ499" s="652"/>
      <c r="BA499" s="652"/>
      <c r="BB499" s="652"/>
      <c r="BC499" s="652"/>
      <c r="BD499" s="652"/>
      <c r="BE499" s="652"/>
      <c r="BF499" s="652"/>
      <c r="BG499" s="652"/>
      <c r="BH499" s="652"/>
      <c r="BI499" s="652"/>
    </row>
    <row r="500" s="650" customFormat="1" ht="31" customHeight="1" spans="1:108">
      <c r="A500" s="713">
        <v>46168</v>
      </c>
      <c r="B500" s="714" t="s">
        <v>5547</v>
      </c>
      <c r="C500" s="715" t="s">
        <v>148</v>
      </c>
      <c r="D500" s="652" t="s">
        <v>5548</v>
      </c>
      <c r="E500" s="715" t="s">
        <v>5549</v>
      </c>
      <c r="F500" s="652" t="s">
        <v>5550</v>
      </c>
      <c r="G500" s="716" t="s">
        <v>3973</v>
      </c>
      <c r="H500" s="715" t="s">
        <v>3995</v>
      </c>
      <c r="I500" s="717">
        <v>304</v>
      </c>
      <c r="J500" s="715">
        <v>0</v>
      </c>
      <c r="K500" s="715">
        <v>16</v>
      </c>
      <c r="L500" s="715">
        <f t="shared" si="91"/>
        <v>19</v>
      </c>
      <c r="M500" s="719">
        <v>46239</v>
      </c>
      <c r="N500" s="738">
        <v>46237</v>
      </c>
      <c r="O500" s="714" t="s">
        <v>5551</v>
      </c>
      <c r="P500" s="717" t="s">
        <v>1410</v>
      </c>
      <c r="Q500" s="717"/>
      <c r="R500" s="723" t="s">
        <v>5552</v>
      </c>
      <c r="S500" s="720" t="s">
        <v>107</v>
      </c>
      <c r="T500" s="720" t="s">
        <v>5553</v>
      </c>
      <c r="U500" s="720"/>
      <c r="V500" s="720" t="s">
        <v>5554</v>
      </c>
      <c r="W500" s="720"/>
      <c r="X500" s="720" t="s">
        <v>5555</v>
      </c>
      <c r="Y500" s="719" t="s">
        <v>5556</v>
      </c>
      <c r="Z500" s="730">
        <v>4.7858</v>
      </c>
      <c r="AA500" s="652">
        <f>I500*Z500</f>
        <v>1454.8832</v>
      </c>
      <c r="AB500" s="721"/>
      <c r="AC500" s="722" t="s">
        <v>4108</v>
      </c>
      <c r="AD500" s="715" t="s">
        <v>112</v>
      </c>
      <c r="AE500" s="715">
        <f t="shared" si="92"/>
        <v>304</v>
      </c>
      <c r="AF500" s="715"/>
      <c r="AG500" s="715">
        <v>304</v>
      </c>
      <c r="AH500" s="715">
        <f t="shared" si="95"/>
        <v>0</v>
      </c>
      <c r="AI500" s="717"/>
      <c r="AJ500" s="715" t="s">
        <v>3981</v>
      </c>
      <c r="AK500" s="652"/>
      <c r="AL500" s="652">
        <f>I500</f>
        <v>304</v>
      </c>
      <c r="AM500" s="652"/>
      <c r="AN500" s="652">
        <f t="shared" si="98"/>
        <v>304</v>
      </c>
      <c r="AO500" s="652"/>
      <c r="AP500" s="652"/>
      <c r="AQ500" s="652"/>
      <c r="AR500" s="652"/>
      <c r="AS500" s="652"/>
      <c r="AT500" s="652"/>
      <c r="AU500" s="652">
        <f>I500/8</f>
        <v>38</v>
      </c>
      <c r="AV500" s="652"/>
      <c r="AW500" s="652"/>
      <c r="AX500" s="652"/>
      <c r="AY500" s="652"/>
      <c r="AZ500" s="652"/>
      <c r="BA500" s="652"/>
      <c r="BB500" s="652"/>
      <c r="BC500" s="652"/>
      <c r="BD500" s="652"/>
      <c r="BE500" s="652"/>
      <c r="BF500" s="652"/>
      <c r="BG500" s="652"/>
      <c r="BH500" s="652"/>
      <c r="BI500" s="652"/>
      <c r="BJ500" s="737"/>
      <c r="BK500" s="737"/>
      <c r="BL500" s="737"/>
      <c r="BM500" s="737"/>
      <c r="BN500" s="737"/>
      <c r="BO500" s="737"/>
      <c r="BP500" s="737"/>
      <c r="BQ500" s="737"/>
      <c r="BR500" s="737"/>
      <c r="BS500" s="737"/>
      <c r="BT500" s="737"/>
      <c r="BU500" s="737"/>
      <c r="BV500" s="737"/>
      <c r="BW500" s="737"/>
      <c r="BX500" s="737"/>
      <c r="BY500" s="737"/>
      <c r="BZ500" s="737"/>
      <c r="CA500" s="737"/>
      <c r="CB500" s="737"/>
      <c r="CC500" s="737"/>
      <c r="CD500" s="737"/>
      <c r="CE500" s="737"/>
      <c r="CF500" s="737"/>
      <c r="CG500" s="737"/>
      <c r="CH500" s="737"/>
      <c r="CI500" s="737"/>
      <c r="CJ500" s="737"/>
      <c r="CK500" s="737"/>
      <c r="CL500" s="737"/>
      <c r="CM500" s="737"/>
      <c r="CN500" s="737"/>
      <c r="CO500" s="737"/>
      <c r="CP500" s="737"/>
      <c r="CQ500" s="737"/>
      <c r="CR500" s="737"/>
    </row>
    <row r="501" s="650" customFormat="1" ht="31" customHeight="1" spans="1:108">
      <c r="A501" s="713">
        <v>46135</v>
      </c>
      <c r="B501" s="714" t="s">
        <v>1583</v>
      </c>
      <c r="C501" s="715" t="s">
        <v>201</v>
      </c>
      <c r="D501" s="652" t="s">
        <v>5557</v>
      </c>
      <c r="E501" s="715" t="s">
        <v>5558</v>
      </c>
      <c r="F501" s="652" t="s">
        <v>5559</v>
      </c>
      <c r="G501" s="716" t="s">
        <v>3980</v>
      </c>
      <c r="H501" s="715" t="s">
        <v>3978</v>
      </c>
      <c r="I501" s="717">
        <v>2416</v>
      </c>
      <c r="J501" s="715">
        <v>0</v>
      </c>
      <c r="K501" s="715">
        <v>8</v>
      </c>
      <c r="L501" s="715">
        <f t="shared" si="91"/>
        <v>302</v>
      </c>
      <c r="M501" s="719">
        <v>46239</v>
      </c>
      <c r="N501" s="738">
        <v>46239</v>
      </c>
      <c r="O501" s="714" t="s">
        <v>1587</v>
      </c>
      <c r="P501" s="717" t="s">
        <v>1410</v>
      </c>
      <c r="Q501" s="717" t="s">
        <v>2528</v>
      </c>
      <c r="R501" s="723">
        <v>46136</v>
      </c>
      <c r="S501" s="720" t="s">
        <v>107</v>
      </c>
      <c r="T501" s="720" t="s">
        <v>4306</v>
      </c>
      <c r="U501" s="720"/>
      <c r="V501" s="720"/>
      <c r="W501" s="720"/>
      <c r="X501" s="720" t="s">
        <v>5560</v>
      </c>
      <c r="Y501" s="719" t="s">
        <v>1590</v>
      </c>
      <c r="Z501" s="730">
        <v>4.5779</v>
      </c>
      <c r="AA501" s="652">
        <f>Z501*I501</f>
        <v>11060.2064</v>
      </c>
      <c r="AB501" s="721"/>
      <c r="AC501" s="722" t="s">
        <v>4031</v>
      </c>
      <c r="AD501" s="715" t="s">
        <v>112</v>
      </c>
      <c r="AE501" s="715">
        <f t="shared" si="92"/>
        <v>2416</v>
      </c>
      <c r="AF501" s="715"/>
      <c r="AG501" s="715">
        <v>2416</v>
      </c>
      <c r="AH501" s="715">
        <f t="shared" si="95"/>
        <v>0</v>
      </c>
      <c r="AI501" s="717"/>
      <c r="AJ501" s="715" t="s">
        <v>3981</v>
      </c>
      <c r="AK501" s="652"/>
      <c r="AL501" s="652">
        <f>I501</f>
        <v>2416</v>
      </c>
      <c r="AM501" s="652"/>
      <c r="AN501" s="652">
        <f t="shared" si="98"/>
        <v>2416</v>
      </c>
      <c r="AO501" s="652"/>
      <c r="AP501" s="652"/>
      <c r="AQ501" s="652"/>
      <c r="AR501" s="652"/>
      <c r="AS501" s="652"/>
      <c r="AT501" s="652"/>
      <c r="AU501" s="652">
        <v>288</v>
      </c>
      <c r="AV501" s="652"/>
      <c r="AW501" s="652"/>
      <c r="AX501" s="652"/>
      <c r="AY501" s="652"/>
      <c r="AZ501" s="652"/>
      <c r="BA501" s="652"/>
      <c r="BB501" s="652"/>
      <c r="BC501" s="652"/>
      <c r="BD501" s="652"/>
      <c r="BE501" s="652"/>
      <c r="BF501" s="652"/>
      <c r="BG501" s="652"/>
      <c r="BH501" s="652"/>
      <c r="BI501" s="652"/>
      <c r="BJ501" s="737"/>
      <c r="BK501" s="737"/>
      <c r="BL501" s="737"/>
      <c r="BM501" s="737"/>
      <c r="BN501" s="737"/>
      <c r="BO501" s="737"/>
      <c r="BP501" s="737"/>
      <c r="BQ501" s="737"/>
      <c r="BR501" s="737"/>
      <c r="BS501" s="737"/>
      <c r="BT501" s="737"/>
      <c r="BU501" s="737"/>
      <c r="BV501" s="737"/>
      <c r="BW501" s="737"/>
      <c r="BX501" s="737"/>
      <c r="BY501" s="737"/>
      <c r="BZ501" s="737"/>
      <c r="CA501" s="737"/>
      <c r="CB501" s="737"/>
      <c r="CC501" s="737"/>
      <c r="CD501" s="737"/>
      <c r="CE501" s="737"/>
      <c r="CF501" s="737"/>
      <c r="CG501" s="737"/>
      <c r="CH501" s="737"/>
      <c r="CI501" s="737"/>
      <c r="CJ501" s="737"/>
      <c r="CK501" s="737"/>
      <c r="CL501" s="737"/>
      <c r="CM501" s="737"/>
      <c r="CN501" s="737"/>
      <c r="CO501" s="737"/>
      <c r="CP501" s="737"/>
      <c r="CQ501" s="737"/>
      <c r="CR501" s="737"/>
    </row>
    <row r="502" s="650" customFormat="1" ht="31" customHeight="1" spans="1:108">
      <c r="A502" s="713">
        <v>46167</v>
      </c>
      <c r="B502" s="714" t="s">
        <v>2687</v>
      </c>
      <c r="C502" s="715" t="s">
        <v>201</v>
      </c>
      <c r="D502" s="652" t="s">
        <v>5561</v>
      </c>
      <c r="E502" s="715" t="s">
        <v>5562</v>
      </c>
      <c r="F502" s="652" t="s">
        <v>5563</v>
      </c>
      <c r="G502" s="716" t="s">
        <v>3980</v>
      </c>
      <c r="H502" s="715" t="s">
        <v>3978</v>
      </c>
      <c r="I502" s="717">
        <v>1200</v>
      </c>
      <c r="J502" s="715">
        <v>0</v>
      </c>
      <c r="K502" s="715">
        <v>8</v>
      </c>
      <c r="L502" s="715">
        <f t="shared" si="91"/>
        <v>150</v>
      </c>
      <c r="M502" s="719">
        <v>46241</v>
      </c>
      <c r="N502" s="719">
        <v>46237</v>
      </c>
      <c r="O502" s="714"/>
      <c r="P502" s="717" t="s">
        <v>1410</v>
      </c>
      <c r="Q502" s="717"/>
      <c r="R502" s="734">
        <v>46174</v>
      </c>
      <c r="S502" s="720" t="s">
        <v>95</v>
      </c>
      <c r="T502" s="735" t="s">
        <v>5564</v>
      </c>
      <c r="U502" s="735"/>
      <c r="V502" s="720"/>
      <c r="W502" s="720"/>
      <c r="X502" s="720" t="s">
        <v>5565</v>
      </c>
      <c r="Y502" s="719" t="s">
        <v>2692</v>
      </c>
      <c r="Z502" s="730">
        <v>4.6974</v>
      </c>
      <c r="AA502" s="652">
        <f>I502*Z502</f>
        <v>5636.88</v>
      </c>
      <c r="AB502" s="721"/>
      <c r="AC502" s="722" t="s">
        <v>4031</v>
      </c>
      <c r="AD502" s="715" t="s">
        <v>112</v>
      </c>
      <c r="AE502" s="715">
        <f t="shared" si="92"/>
        <v>1200</v>
      </c>
      <c r="AF502" s="715"/>
      <c r="AG502" s="715">
        <v>1200</v>
      </c>
      <c r="AH502" s="715">
        <f t="shared" si="95"/>
        <v>0</v>
      </c>
      <c r="AI502" s="717"/>
      <c r="AJ502" s="715" t="s">
        <v>3981</v>
      </c>
      <c r="AK502" s="652"/>
      <c r="AL502" s="652">
        <f>I502</f>
        <v>1200</v>
      </c>
      <c r="AM502" s="652"/>
      <c r="AN502" s="652">
        <f t="shared" si="98"/>
        <v>1200</v>
      </c>
      <c r="AO502" s="652"/>
      <c r="AP502" s="652"/>
      <c r="AQ502" s="652"/>
      <c r="AR502" s="652"/>
      <c r="AS502" s="652"/>
      <c r="AT502" s="652"/>
      <c r="AU502" s="652">
        <f>I502/8</f>
        <v>150</v>
      </c>
      <c r="AV502" s="652"/>
      <c r="AW502" s="652"/>
      <c r="AX502" s="652"/>
      <c r="AY502" s="652"/>
      <c r="AZ502" s="652"/>
      <c r="BA502" s="652"/>
      <c r="BB502" s="652"/>
      <c r="BC502" s="652"/>
      <c r="BD502" s="652"/>
      <c r="BE502" s="652"/>
      <c r="BF502" s="652"/>
      <c r="BG502" s="652"/>
      <c r="BH502" s="652"/>
      <c r="BI502" s="652"/>
    </row>
    <row r="503" s="650" customFormat="1" ht="31" customHeight="1" spans="1:108">
      <c r="A503" s="713">
        <v>46167</v>
      </c>
      <c r="B503" s="714" t="s">
        <v>2687</v>
      </c>
      <c r="C503" s="715" t="s">
        <v>201</v>
      </c>
      <c r="D503" s="652" t="s">
        <v>5561</v>
      </c>
      <c r="E503" s="715" t="s">
        <v>5566</v>
      </c>
      <c r="F503" s="652" t="s">
        <v>5567</v>
      </c>
      <c r="G503" s="716" t="s">
        <v>3980</v>
      </c>
      <c r="H503" s="715" t="s">
        <v>3978</v>
      </c>
      <c r="I503" s="717">
        <v>304</v>
      </c>
      <c r="J503" s="715">
        <v>0</v>
      </c>
      <c r="K503" s="715">
        <v>8</v>
      </c>
      <c r="L503" s="715">
        <f t="shared" si="91"/>
        <v>38</v>
      </c>
      <c r="M503" s="719">
        <v>46241</v>
      </c>
      <c r="N503" s="719">
        <v>46237</v>
      </c>
      <c r="O503" s="714"/>
      <c r="P503" s="717" t="s">
        <v>1410</v>
      </c>
      <c r="Q503" s="717"/>
      <c r="R503" s="723">
        <v>46174</v>
      </c>
      <c r="S503" s="720" t="s">
        <v>95</v>
      </c>
      <c r="T503" s="720" t="s">
        <v>5564</v>
      </c>
      <c r="U503" s="720"/>
      <c r="V503" s="720"/>
      <c r="W503" s="720"/>
      <c r="X503" s="720" t="s">
        <v>5565</v>
      </c>
      <c r="Y503" s="719" t="s">
        <v>2692</v>
      </c>
      <c r="Z503" s="730">
        <v>4.6974</v>
      </c>
      <c r="AA503" s="652">
        <f>I503*Z503</f>
        <v>1428.0096</v>
      </c>
      <c r="AB503" s="721"/>
      <c r="AC503" s="722" t="s">
        <v>4031</v>
      </c>
      <c r="AD503" s="715" t="s">
        <v>112</v>
      </c>
      <c r="AE503" s="715">
        <f t="shared" si="92"/>
        <v>304</v>
      </c>
      <c r="AF503" s="715" t="s">
        <v>4109</v>
      </c>
      <c r="AG503" s="715">
        <v>304</v>
      </c>
      <c r="AH503" s="715">
        <f t="shared" si="95"/>
        <v>0</v>
      </c>
      <c r="AI503" s="717"/>
      <c r="AJ503" s="715" t="s">
        <v>3981</v>
      </c>
      <c r="AK503" s="652"/>
      <c r="AL503" s="652">
        <f>I503</f>
        <v>304</v>
      </c>
      <c r="AM503" s="652"/>
      <c r="AN503" s="652">
        <f t="shared" si="98"/>
        <v>304</v>
      </c>
      <c r="AO503" s="652"/>
      <c r="AP503" s="652"/>
      <c r="AQ503" s="652"/>
      <c r="AR503" s="652"/>
      <c r="AS503" s="652"/>
      <c r="AT503" s="652"/>
      <c r="AU503" s="652">
        <f>I503/8</f>
        <v>38</v>
      </c>
      <c r="AV503" s="652"/>
      <c r="AW503" s="652"/>
      <c r="AX503" s="652"/>
      <c r="AY503" s="652"/>
      <c r="AZ503" s="652"/>
      <c r="BA503" s="652"/>
      <c r="BB503" s="652"/>
      <c r="BC503" s="652"/>
      <c r="BD503" s="652"/>
      <c r="BE503" s="652"/>
      <c r="BF503" s="652"/>
      <c r="BG503" s="652"/>
      <c r="BH503" s="652"/>
      <c r="BI503" s="652"/>
      <c r="BJ503" s="650"/>
      <c r="BK503" s="650"/>
      <c r="BL503" s="650"/>
      <c r="BM503" s="650"/>
      <c r="BN503" s="650"/>
      <c r="BO503" s="650"/>
      <c r="BP503" s="650"/>
      <c r="BQ503" s="650"/>
      <c r="BR503" s="650"/>
      <c r="BS503" s="650"/>
      <c r="BT503" s="650"/>
      <c r="BU503" s="650"/>
      <c r="BV503" s="650"/>
      <c r="BW503" s="650"/>
      <c r="BX503" s="650"/>
      <c r="BY503" s="650"/>
      <c r="BZ503" s="650"/>
      <c r="CA503" s="650"/>
      <c r="CB503" s="650"/>
      <c r="CC503" s="650"/>
      <c r="CD503" s="650"/>
      <c r="CE503" s="650"/>
      <c r="CF503" s="650"/>
      <c r="CG503" s="650"/>
      <c r="CH503" s="650"/>
      <c r="CI503" s="650"/>
      <c r="CJ503" s="650"/>
      <c r="CK503" s="650"/>
      <c r="CL503" s="650"/>
      <c r="CM503" s="650"/>
      <c r="CN503" s="650"/>
      <c r="CO503" s="650"/>
      <c r="CP503" s="650"/>
      <c r="CQ503" s="650"/>
      <c r="CR503" s="650"/>
      <c r="CS503" s="654"/>
      <c r="CT503" s="654"/>
      <c r="CU503" s="654"/>
      <c r="CV503" s="654"/>
      <c r="CW503" s="654"/>
      <c r="CX503" s="654"/>
      <c r="CY503" s="654"/>
      <c r="CZ503" s="654"/>
      <c r="DA503" s="654"/>
      <c r="DB503" s="654"/>
      <c r="DC503" s="654"/>
      <c r="DD503" s="654"/>
    </row>
    <row r="504" s="654" customFormat="1" ht="31" customHeight="1" spans="1:108">
      <c r="A504" s="713">
        <v>46164</v>
      </c>
      <c r="B504" s="714" t="s">
        <v>296</v>
      </c>
      <c r="C504" s="715" t="s">
        <v>115</v>
      </c>
      <c r="D504" s="652" t="s">
        <v>5568</v>
      </c>
      <c r="E504" s="739">
        <v>219602806</v>
      </c>
      <c r="F504" s="726" t="s">
        <v>2791</v>
      </c>
      <c r="G504" s="716" t="s">
        <v>4353</v>
      </c>
      <c r="H504" s="715" t="s">
        <v>2405</v>
      </c>
      <c r="I504" s="717">
        <v>600</v>
      </c>
      <c r="J504" s="715">
        <v>0</v>
      </c>
      <c r="K504" s="715">
        <v>12</v>
      </c>
      <c r="L504" s="715">
        <f t="shared" si="91"/>
        <v>50</v>
      </c>
      <c r="M504" s="719">
        <v>46241</v>
      </c>
      <c r="N504" s="738">
        <v>46239</v>
      </c>
      <c r="O504" s="714"/>
      <c r="P504" s="717" t="s">
        <v>1410</v>
      </c>
      <c r="Q504" s="717"/>
      <c r="R504" s="723">
        <v>46205</v>
      </c>
      <c r="S504" s="720" t="s">
        <v>107</v>
      </c>
      <c r="T504" s="735" t="s">
        <v>5569</v>
      </c>
      <c r="U504" s="735"/>
      <c r="V504" s="720"/>
      <c r="W504" s="720"/>
      <c r="X504" s="798" t="s">
        <v>2408</v>
      </c>
      <c r="Y504" s="719" t="s">
        <v>299</v>
      </c>
      <c r="Z504" s="754">
        <v>65.566</v>
      </c>
      <c r="AA504" s="652">
        <f>L504*Z504</f>
        <v>3278.3</v>
      </c>
      <c r="AB504" s="721"/>
      <c r="AC504" s="751" t="s">
        <v>4353</v>
      </c>
      <c r="AD504" s="715" t="s">
        <v>112</v>
      </c>
      <c r="AE504" s="715">
        <f t="shared" si="92"/>
        <v>600</v>
      </c>
      <c r="AF504" s="715"/>
      <c r="AG504" s="715"/>
      <c r="AH504" s="715">
        <f t="shared" si="95"/>
        <v>-600</v>
      </c>
      <c r="AI504" s="717"/>
      <c r="AJ504" s="715" t="s">
        <v>3981</v>
      </c>
      <c r="AK504" s="652">
        <f>I504</f>
        <v>600</v>
      </c>
      <c r="AL504" s="652"/>
      <c r="AM504" s="652"/>
      <c r="AN504" s="652">
        <f t="shared" si="98"/>
        <v>600</v>
      </c>
      <c r="AO504" s="652"/>
      <c r="AP504" s="652"/>
      <c r="AQ504" s="652"/>
      <c r="AR504" s="652"/>
      <c r="AS504" s="652"/>
      <c r="AT504" s="652"/>
      <c r="AU504" s="652"/>
      <c r="AV504" s="652"/>
      <c r="AW504" s="652"/>
      <c r="AX504" s="652"/>
      <c r="AY504" s="652"/>
      <c r="AZ504" s="652"/>
      <c r="BA504" s="652"/>
      <c r="BB504" s="652"/>
      <c r="BC504" s="652"/>
      <c r="BD504" s="652">
        <f>L504</f>
        <v>50</v>
      </c>
      <c r="BE504" s="652"/>
      <c r="BF504" s="652"/>
      <c r="BG504" s="652"/>
      <c r="BH504" s="652"/>
      <c r="BI504" s="652"/>
      <c r="BJ504" s="650"/>
      <c r="BK504" s="650"/>
      <c r="BL504" s="650"/>
      <c r="BM504" s="650"/>
      <c r="BN504" s="650"/>
      <c r="BO504" s="650"/>
      <c r="BP504" s="650"/>
      <c r="BQ504" s="650"/>
      <c r="BR504" s="650"/>
      <c r="BS504" s="650"/>
      <c r="BT504" s="650"/>
      <c r="BU504" s="650"/>
      <c r="BV504" s="650"/>
      <c r="BW504" s="650"/>
      <c r="BX504" s="650"/>
      <c r="BY504" s="650"/>
      <c r="BZ504" s="650"/>
      <c r="CA504" s="650"/>
      <c r="CB504" s="650"/>
      <c r="CC504" s="650"/>
      <c r="CD504" s="650"/>
      <c r="CE504" s="650"/>
      <c r="CF504" s="650"/>
      <c r="CG504" s="650"/>
      <c r="CH504" s="650"/>
      <c r="CI504" s="650"/>
      <c r="CJ504" s="650"/>
      <c r="CK504" s="650"/>
      <c r="CL504" s="650"/>
      <c r="CM504" s="650"/>
      <c r="CN504" s="650"/>
      <c r="CO504" s="650"/>
      <c r="CP504" s="650"/>
      <c r="CQ504" s="650"/>
      <c r="CR504" s="650"/>
      <c r="CS504" s="651"/>
      <c r="CT504" s="651"/>
      <c r="CU504" s="651"/>
      <c r="CV504" s="651"/>
      <c r="CW504" s="651"/>
      <c r="CX504" s="651"/>
      <c r="CY504" s="651"/>
      <c r="CZ504" s="651"/>
      <c r="DA504" s="651"/>
      <c r="DB504" s="651"/>
      <c r="DC504" s="651"/>
      <c r="DD504" s="651"/>
    </row>
    <row r="505" s="651" customFormat="1" ht="31" customHeight="1" spans="1:108">
      <c r="A505" s="713">
        <v>46184</v>
      </c>
      <c r="B505" s="714" t="s">
        <v>2845</v>
      </c>
      <c r="C505" s="715" t="s">
        <v>201</v>
      </c>
      <c r="D505" s="652">
        <v>4500211804</v>
      </c>
      <c r="E505" s="715">
        <v>5200010553</v>
      </c>
      <c r="F505" s="652" t="s">
        <v>5570</v>
      </c>
      <c r="G505" s="716" t="s">
        <v>4141</v>
      </c>
      <c r="H505" s="715" t="s">
        <v>3969</v>
      </c>
      <c r="I505" s="717">
        <v>1488</v>
      </c>
      <c r="J505" s="715">
        <v>0</v>
      </c>
      <c r="K505" s="715">
        <v>16</v>
      </c>
      <c r="L505" s="715">
        <f t="shared" si="91"/>
        <v>93</v>
      </c>
      <c r="M505" s="719">
        <v>46241</v>
      </c>
      <c r="N505" s="738">
        <v>46242</v>
      </c>
      <c r="O505" s="714"/>
      <c r="P505" s="717" t="s">
        <v>1410</v>
      </c>
      <c r="Q505" s="717"/>
      <c r="R505" s="723">
        <v>46184</v>
      </c>
      <c r="S505" s="720" t="s">
        <v>107</v>
      </c>
      <c r="T505" s="720" t="s">
        <v>5571</v>
      </c>
      <c r="U505" s="720"/>
      <c r="V505" s="720"/>
      <c r="W505" s="720"/>
      <c r="X505" s="720" t="s">
        <v>5572</v>
      </c>
      <c r="Y505" s="719" t="s">
        <v>2207</v>
      </c>
      <c r="Z505" s="730">
        <v>4.6846</v>
      </c>
      <c r="AA505" s="652">
        <f>L505*Z505</f>
        <v>435.6678</v>
      </c>
      <c r="AB505" s="721"/>
      <c r="AC505" s="722" t="s">
        <v>5573</v>
      </c>
      <c r="AD505" s="715" t="s">
        <v>112</v>
      </c>
      <c r="AE505" s="715">
        <f t="shared" si="92"/>
        <v>1488</v>
      </c>
      <c r="AF505" s="715"/>
      <c r="AG505" s="715">
        <v>1488</v>
      </c>
      <c r="AH505" s="715">
        <f t="shared" si="95"/>
        <v>0</v>
      </c>
      <c r="AI505" s="717"/>
      <c r="AJ505" s="715" t="s">
        <v>3981</v>
      </c>
      <c r="AK505" s="652"/>
      <c r="AL505" s="652">
        <f>I505</f>
        <v>1488</v>
      </c>
      <c r="AM505" s="652"/>
      <c r="AN505" s="652">
        <f t="shared" si="98"/>
        <v>1488</v>
      </c>
      <c r="AO505" s="652"/>
      <c r="AP505" s="652"/>
      <c r="AQ505" s="652"/>
      <c r="AR505" s="652"/>
      <c r="AS505" s="652"/>
      <c r="AT505" s="652"/>
      <c r="AU505" s="652"/>
      <c r="AV505" s="652"/>
      <c r="AW505" s="652"/>
      <c r="AX505" s="652"/>
      <c r="AY505" s="652"/>
      <c r="AZ505" s="652"/>
      <c r="BA505" s="652"/>
      <c r="BB505" s="652"/>
      <c r="BC505" s="652"/>
      <c r="BD505" s="652"/>
      <c r="BE505" s="652"/>
      <c r="BF505" s="652"/>
      <c r="BG505" s="652"/>
      <c r="BH505" s="652"/>
      <c r="BI505" s="652"/>
      <c r="BJ505" s="650"/>
      <c r="BK505" s="650"/>
      <c r="BL505" s="650"/>
      <c r="BM505" s="650"/>
      <c r="BN505" s="650"/>
      <c r="BO505" s="650"/>
      <c r="BP505" s="650"/>
      <c r="BQ505" s="650"/>
      <c r="BR505" s="650"/>
      <c r="BS505" s="650"/>
      <c r="BT505" s="650"/>
      <c r="BU505" s="650"/>
      <c r="BV505" s="650"/>
      <c r="BW505" s="650"/>
      <c r="BX505" s="650"/>
      <c r="BY505" s="650"/>
      <c r="BZ505" s="650"/>
      <c r="CA505" s="650"/>
      <c r="CB505" s="650"/>
      <c r="CC505" s="650"/>
      <c r="CD505" s="650"/>
      <c r="CE505" s="650"/>
      <c r="CF505" s="650"/>
      <c r="CG505" s="650"/>
      <c r="CH505" s="650"/>
      <c r="CI505" s="650"/>
      <c r="CJ505" s="650"/>
      <c r="CK505" s="650"/>
      <c r="CL505" s="650"/>
      <c r="CM505" s="650"/>
      <c r="CN505" s="650"/>
      <c r="CO505" s="650"/>
      <c r="CP505" s="650"/>
      <c r="CQ505" s="650"/>
      <c r="CR505" s="650"/>
      <c r="CS505" s="650"/>
      <c r="CT505" s="650"/>
      <c r="CU505" s="650"/>
      <c r="CV505" s="650"/>
      <c r="CW505" s="650"/>
      <c r="CX505" s="650"/>
      <c r="CY505" s="650"/>
      <c r="CZ505" s="650"/>
      <c r="DA505" s="650"/>
      <c r="DB505" s="650"/>
      <c r="DC505" s="650"/>
      <c r="DD505" s="650"/>
    </row>
    <row r="506" s="650" customFormat="1" ht="31" customHeight="1" spans="1:108">
      <c r="A506" s="713">
        <v>46128</v>
      </c>
      <c r="B506" s="714" t="s">
        <v>1782</v>
      </c>
      <c r="C506" s="715" t="s">
        <v>115</v>
      </c>
      <c r="D506" s="652">
        <v>4500202450</v>
      </c>
      <c r="E506" s="1907" t="s">
        <v>5574</v>
      </c>
      <c r="F506" s="652" t="s">
        <v>5575</v>
      </c>
      <c r="G506" s="716" t="s">
        <v>3973</v>
      </c>
      <c r="H506" s="715" t="s">
        <v>3995</v>
      </c>
      <c r="I506" s="717">
        <v>1504</v>
      </c>
      <c r="J506" s="715">
        <v>0</v>
      </c>
      <c r="K506" s="715">
        <v>16</v>
      </c>
      <c r="L506" s="715">
        <f t="shared" ref="L506:L550" si="99">I506/K506</f>
        <v>94</v>
      </c>
      <c r="M506" s="738">
        <v>46248</v>
      </c>
      <c r="N506" s="738">
        <v>46244</v>
      </c>
      <c r="O506" s="714"/>
      <c r="P506" s="717" t="s">
        <v>106</v>
      </c>
      <c r="Q506" s="717" t="s">
        <v>1663</v>
      </c>
      <c r="R506" s="723">
        <v>46128</v>
      </c>
      <c r="S506" s="720" t="s">
        <v>107</v>
      </c>
      <c r="T506" s="720" t="s">
        <v>5092</v>
      </c>
      <c r="U506" s="720"/>
      <c r="V506" s="720"/>
      <c r="W506" s="720"/>
      <c r="X506" s="720" t="s">
        <v>5093</v>
      </c>
      <c r="Y506" s="719" t="s">
        <v>421</v>
      </c>
      <c r="Z506" s="730">
        <v>2.7925</v>
      </c>
      <c r="AA506" s="652">
        <f t="shared" ref="AA506:AA511" si="100">I506*Z506</f>
        <v>4199.92</v>
      </c>
      <c r="AB506" s="725" t="s">
        <v>2994</v>
      </c>
      <c r="AC506" s="722" t="s">
        <v>3973</v>
      </c>
      <c r="AD506" s="715" t="s">
        <v>112</v>
      </c>
      <c r="AE506" s="715">
        <f t="shared" ref="AE506:AE550" si="101">I506</f>
        <v>1504</v>
      </c>
      <c r="AF506" s="715"/>
      <c r="AG506" s="715">
        <v>1504</v>
      </c>
      <c r="AH506" s="715">
        <f t="shared" si="95"/>
        <v>0</v>
      </c>
      <c r="AI506" s="717" t="s">
        <v>120</v>
      </c>
      <c r="AJ506" s="715" t="s">
        <v>3981</v>
      </c>
      <c r="AK506" s="652">
        <f>I506</f>
        <v>1504</v>
      </c>
      <c r="AL506" s="652"/>
      <c r="AM506" s="652"/>
      <c r="AN506" s="652">
        <f t="shared" si="98"/>
        <v>1504</v>
      </c>
      <c r="AO506" s="652"/>
      <c r="AP506" s="652"/>
      <c r="AQ506" s="652"/>
      <c r="AR506" s="652"/>
      <c r="AS506" s="652"/>
      <c r="AT506" s="652">
        <f>I506/8</f>
        <v>188</v>
      </c>
      <c r="AU506" s="652"/>
      <c r="AV506" s="652"/>
      <c r="AW506" s="652"/>
      <c r="AX506" s="652"/>
      <c r="AY506" s="652"/>
      <c r="AZ506" s="652"/>
      <c r="BA506" s="652"/>
      <c r="BB506" s="652"/>
      <c r="BC506" s="652"/>
      <c r="BD506" s="652"/>
      <c r="BE506" s="652"/>
      <c r="BF506" s="652"/>
      <c r="BG506" s="652"/>
      <c r="BH506" s="652"/>
      <c r="BI506" s="652"/>
      <c r="BJ506" s="651"/>
      <c r="BK506" s="651"/>
      <c r="BL506" s="651"/>
      <c r="BM506" s="651"/>
      <c r="BN506" s="651"/>
      <c r="BO506" s="651"/>
      <c r="BP506" s="651"/>
      <c r="BQ506" s="651"/>
      <c r="BR506" s="651"/>
      <c r="BS506" s="651"/>
      <c r="BT506" s="651"/>
      <c r="BU506" s="651"/>
      <c r="BV506" s="651"/>
      <c r="BW506" s="651"/>
      <c r="BX506" s="651"/>
      <c r="BY506" s="651"/>
      <c r="BZ506" s="651"/>
      <c r="CA506" s="651"/>
      <c r="CB506" s="651"/>
      <c r="CC506" s="651"/>
      <c r="CD506" s="651"/>
      <c r="CE506" s="651"/>
      <c r="CF506" s="651"/>
      <c r="CG506" s="651"/>
      <c r="CH506" s="651"/>
      <c r="CI506" s="651"/>
      <c r="CJ506" s="651"/>
      <c r="CK506" s="651"/>
      <c r="CL506" s="651"/>
      <c r="CM506" s="651"/>
      <c r="CN506" s="651"/>
      <c r="CO506" s="651"/>
      <c r="CP506" s="651"/>
      <c r="CQ506" s="651"/>
      <c r="CR506" s="651"/>
      <c r="CS506" s="654"/>
      <c r="CT506" s="654"/>
      <c r="CU506" s="654"/>
      <c r="CV506" s="654"/>
      <c r="CW506" s="654"/>
      <c r="CX506" s="654"/>
      <c r="CY506" s="654"/>
      <c r="CZ506" s="654"/>
      <c r="DA506" s="654"/>
      <c r="DB506" s="654"/>
      <c r="DC506" s="654"/>
      <c r="DD506" s="654"/>
    </row>
    <row r="507" s="650" customFormat="1" ht="31" customHeight="1" spans="1:108">
      <c r="A507" s="713">
        <v>46128</v>
      </c>
      <c r="B507" s="714" t="s">
        <v>1782</v>
      </c>
      <c r="C507" s="715" t="s">
        <v>115</v>
      </c>
      <c r="D507" s="652">
        <v>4500202450</v>
      </c>
      <c r="E507" s="1907" t="s">
        <v>5576</v>
      </c>
      <c r="F507" s="652" t="s">
        <v>5577</v>
      </c>
      <c r="G507" s="716" t="s">
        <v>3973</v>
      </c>
      <c r="H507" s="715" t="s">
        <v>3995</v>
      </c>
      <c r="I507" s="717">
        <v>512</v>
      </c>
      <c r="J507" s="715">
        <v>0</v>
      </c>
      <c r="K507" s="715">
        <v>16</v>
      </c>
      <c r="L507" s="715">
        <f t="shared" si="99"/>
        <v>32</v>
      </c>
      <c r="M507" s="738">
        <v>46248</v>
      </c>
      <c r="N507" s="738">
        <v>46244</v>
      </c>
      <c r="O507" s="714"/>
      <c r="P507" s="717" t="s">
        <v>106</v>
      </c>
      <c r="Q507" s="717"/>
      <c r="R507" s="723">
        <v>46128</v>
      </c>
      <c r="S507" s="735" t="s">
        <v>107</v>
      </c>
      <c r="T507" s="720" t="s">
        <v>5092</v>
      </c>
      <c r="U507" s="720"/>
      <c r="V507" s="720"/>
      <c r="W507" s="720"/>
      <c r="X507" s="720" t="s">
        <v>5578</v>
      </c>
      <c r="Y507" s="719" t="s">
        <v>421</v>
      </c>
      <c r="Z507" s="730">
        <v>2.7925</v>
      </c>
      <c r="AA507" s="652">
        <f t="shared" si="100"/>
        <v>1429.76</v>
      </c>
      <c r="AB507" s="725" t="s">
        <v>2994</v>
      </c>
      <c r="AC507" s="722" t="s">
        <v>3973</v>
      </c>
      <c r="AD507" s="715" t="s">
        <v>112</v>
      </c>
      <c r="AE507" s="715">
        <f t="shared" si="101"/>
        <v>512</v>
      </c>
      <c r="AF507" s="715"/>
      <c r="AG507" s="715">
        <v>512</v>
      </c>
      <c r="AH507" s="715">
        <f t="shared" si="95"/>
        <v>0</v>
      </c>
      <c r="AI507" s="717" t="s">
        <v>120</v>
      </c>
      <c r="AJ507" s="715" t="s">
        <v>3981</v>
      </c>
      <c r="AK507" s="652">
        <f>I507</f>
        <v>512</v>
      </c>
      <c r="AL507" s="652"/>
      <c r="AM507" s="652"/>
      <c r="AN507" s="652">
        <f t="shared" si="98"/>
        <v>512</v>
      </c>
      <c r="AO507" s="652"/>
      <c r="AP507" s="652"/>
      <c r="AQ507" s="652"/>
      <c r="AR507" s="652"/>
      <c r="AS507" s="652"/>
      <c r="AT507" s="652">
        <f>I507/8</f>
        <v>64</v>
      </c>
      <c r="AU507" s="652"/>
      <c r="AV507" s="652"/>
      <c r="AW507" s="652"/>
      <c r="AX507" s="652"/>
      <c r="AY507" s="652"/>
      <c r="AZ507" s="652"/>
      <c r="BA507" s="652"/>
      <c r="BB507" s="652"/>
      <c r="BC507" s="652"/>
      <c r="BD507" s="652"/>
      <c r="BE507" s="652"/>
      <c r="BF507" s="652"/>
      <c r="BG507" s="652"/>
      <c r="BH507" s="652"/>
      <c r="BI507" s="652"/>
      <c r="BJ507" s="727"/>
      <c r="BK507" s="727"/>
      <c r="BL507" s="727"/>
      <c r="BM507" s="727"/>
      <c r="BN507" s="727"/>
      <c r="BO507" s="727"/>
      <c r="BP507" s="727"/>
      <c r="BQ507" s="727"/>
      <c r="BR507" s="727"/>
      <c r="BS507" s="727"/>
      <c r="BT507" s="727"/>
      <c r="BU507" s="727"/>
      <c r="BV507" s="727"/>
      <c r="BW507" s="727"/>
      <c r="BX507" s="727"/>
      <c r="BY507" s="727"/>
      <c r="BZ507" s="727"/>
      <c r="CA507" s="727"/>
      <c r="CB507" s="727"/>
      <c r="CC507" s="727"/>
      <c r="CD507" s="727"/>
      <c r="CE507" s="727"/>
      <c r="CF507" s="727"/>
      <c r="CG507" s="727"/>
      <c r="CH507" s="727"/>
      <c r="CI507" s="727"/>
      <c r="CJ507" s="727"/>
      <c r="CK507" s="727"/>
      <c r="CL507" s="727"/>
      <c r="CM507" s="727"/>
      <c r="CN507" s="727"/>
      <c r="CO507" s="727"/>
      <c r="CP507" s="727"/>
      <c r="CQ507" s="727"/>
      <c r="CR507" s="727"/>
    </row>
    <row r="508" s="650" customFormat="1" ht="31" customHeight="1" spans="1:108">
      <c r="A508" s="713">
        <v>46185</v>
      </c>
      <c r="B508" s="714" t="s">
        <v>2231</v>
      </c>
      <c r="C508" s="715" t="s">
        <v>148</v>
      </c>
      <c r="D508" s="652">
        <v>4500210632</v>
      </c>
      <c r="E508" s="715"/>
      <c r="F508" s="652" t="s">
        <v>5579</v>
      </c>
      <c r="G508" s="716" t="s">
        <v>3973</v>
      </c>
      <c r="H508" s="715" t="s">
        <v>3995</v>
      </c>
      <c r="I508" s="717">
        <v>112</v>
      </c>
      <c r="J508" s="715">
        <v>0</v>
      </c>
      <c r="K508" s="715">
        <v>16</v>
      </c>
      <c r="L508" s="715">
        <f t="shared" si="99"/>
        <v>7</v>
      </c>
      <c r="M508" s="719">
        <v>46233</v>
      </c>
      <c r="N508" s="719">
        <v>46230</v>
      </c>
      <c r="O508" s="714"/>
      <c r="P508" s="717" t="s">
        <v>1410</v>
      </c>
      <c r="Q508" s="717"/>
      <c r="R508" s="723">
        <v>46185</v>
      </c>
      <c r="S508" s="720" t="s">
        <v>107</v>
      </c>
      <c r="T508" s="720" t="s">
        <v>5580</v>
      </c>
      <c r="U508" s="720"/>
      <c r="V508" s="720"/>
      <c r="W508" s="720"/>
      <c r="X508" s="720" t="s">
        <v>5581</v>
      </c>
      <c r="Y508" s="719" t="s">
        <v>2037</v>
      </c>
      <c r="Z508" s="730">
        <v>4.8331</v>
      </c>
      <c r="AA508" s="652">
        <f t="shared" si="100"/>
        <v>541.3072</v>
      </c>
      <c r="AB508" s="721"/>
      <c r="AC508" s="652" t="s">
        <v>4108</v>
      </c>
      <c r="AD508" s="715" t="s">
        <v>112</v>
      </c>
      <c r="AE508" s="715">
        <f t="shared" si="101"/>
        <v>112</v>
      </c>
      <c r="AF508" s="715"/>
      <c r="AG508" s="715">
        <v>112</v>
      </c>
      <c r="AH508" s="715">
        <f t="shared" si="95"/>
        <v>0</v>
      </c>
      <c r="AI508" s="717"/>
      <c r="AJ508" s="715" t="s">
        <v>3981</v>
      </c>
      <c r="AK508" s="652"/>
      <c r="AL508" s="652">
        <f>I508</f>
        <v>112</v>
      </c>
      <c r="AM508" s="652"/>
      <c r="AN508" s="652">
        <f t="shared" si="98"/>
        <v>112</v>
      </c>
      <c r="AO508" s="652"/>
      <c r="AP508" s="652"/>
      <c r="AQ508" s="652"/>
      <c r="AR508" s="652"/>
      <c r="AS508" s="652"/>
      <c r="AT508" s="652"/>
      <c r="AU508" s="652">
        <f>I508/8</f>
        <v>14</v>
      </c>
      <c r="AV508" s="652"/>
      <c r="AW508" s="652"/>
      <c r="AX508" s="652"/>
      <c r="AY508" s="652"/>
      <c r="AZ508" s="652"/>
      <c r="BA508" s="652"/>
      <c r="BB508" s="652"/>
      <c r="BC508" s="652"/>
      <c r="BD508" s="652"/>
      <c r="BE508" s="652"/>
      <c r="BF508" s="652"/>
      <c r="BG508" s="652"/>
      <c r="BH508" s="652"/>
      <c r="BI508" s="652"/>
    </row>
    <row r="509" s="650" customFormat="1" ht="31" customHeight="1" spans="1:108">
      <c r="A509" s="713">
        <v>46163</v>
      </c>
      <c r="B509" s="714" t="s">
        <v>499</v>
      </c>
      <c r="C509" s="715" t="s">
        <v>115</v>
      </c>
      <c r="D509" s="652" t="s">
        <v>5582</v>
      </c>
      <c r="E509" s="715" t="s">
        <v>5583</v>
      </c>
      <c r="F509" s="652" t="s">
        <v>5584</v>
      </c>
      <c r="G509" s="716" t="s">
        <v>4414</v>
      </c>
      <c r="H509" s="715" t="s">
        <v>3978</v>
      </c>
      <c r="I509" s="717">
        <v>6656</v>
      </c>
      <c r="J509" s="715">
        <v>0</v>
      </c>
      <c r="K509" s="715">
        <v>512</v>
      </c>
      <c r="L509" s="715">
        <f t="shared" si="99"/>
        <v>13</v>
      </c>
      <c r="M509" s="719">
        <v>46232</v>
      </c>
      <c r="N509" s="719">
        <v>46228</v>
      </c>
      <c r="O509" s="714" t="s">
        <v>5585</v>
      </c>
      <c r="P509" s="717" t="s">
        <v>1410</v>
      </c>
      <c r="Q509" s="717" t="s">
        <v>1663</v>
      </c>
      <c r="R509" s="723" t="s">
        <v>4201</v>
      </c>
      <c r="S509" s="720" t="s">
        <v>95</v>
      </c>
      <c r="T509" s="735" t="s">
        <v>4944</v>
      </c>
      <c r="U509" s="720"/>
      <c r="V509" s="720" t="s">
        <v>4706</v>
      </c>
      <c r="W509" s="720"/>
      <c r="X509" s="720" t="s">
        <v>5586</v>
      </c>
      <c r="Y509" s="719" t="s">
        <v>503</v>
      </c>
      <c r="Z509" s="730">
        <v>1431.5654</v>
      </c>
      <c r="AA509" s="652">
        <f t="shared" si="100"/>
        <v>9528499.3024</v>
      </c>
      <c r="AB509" s="721"/>
      <c r="AC509" s="652" t="s">
        <v>4194</v>
      </c>
      <c r="AD509" s="715" t="s">
        <v>112</v>
      </c>
      <c r="AE509" s="715">
        <f t="shared" si="101"/>
        <v>6656</v>
      </c>
      <c r="AF509" s="715" t="s">
        <v>5125</v>
      </c>
      <c r="AG509" s="715">
        <v>6656</v>
      </c>
      <c r="AH509" s="715">
        <f t="shared" si="95"/>
        <v>0</v>
      </c>
      <c r="AI509" s="717" t="s">
        <v>120</v>
      </c>
      <c r="AJ509" s="715" t="s">
        <v>3981</v>
      </c>
      <c r="AK509" s="652">
        <f>I509</f>
        <v>6656</v>
      </c>
      <c r="AL509" s="652"/>
      <c r="AM509" s="652"/>
      <c r="AN509" s="652">
        <f t="shared" si="98"/>
        <v>6656</v>
      </c>
      <c r="AO509" s="652"/>
      <c r="AP509" s="652"/>
      <c r="AQ509" s="652"/>
      <c r="AR509" s="652"/>
      <c r="AS509" s="652"/>
      <c r="AT509" s="652">
        <f>I509/8</f>
        <v>832</v>
      </c>
      <c r="AU509" s="652"/>
      <c r="AV509" s="652"/>
      <c r="AW509" s="652"/>
      <c r="AX509" s="652"/>
      <c r="AY509" s="652"/>
      <c r="AZ509" s="652"/>
      <c r="BA509" s="652"/>
      <c r="BB509" s="652"/>
      <c r="BC509" s="652"/>
      <c r="BD509" s="652"/>
      <c r="BE509" s="652"/>
      <c r="BF509" s="652"/>
      <c r="BG509" s="652"/>
      <c r="BH509" s="652"/>
      <c r="BI509" s="652"/>
      <c r="BJ509" s="651"/>
      <c r="BK509" s="651"/>
      <c r="BL509" s="651"/>
      <c r="BM509" s="651"/>
      <c r="BN509" s="651"/>
      <c r="BO509" s="651"/>
      <c r="BP509" s="651"/>
      <c r="BQ509" s="651"/>
      <c r="BR509" s="651"/>
      <c r="BS509" s="651"/>
      <c r="BT509" s="651"/>
      <c r="BU509" s="651"/>
      <c r="BV509" s="651"/>
      <c r="BW509" s="651"/>
      <c r="BX509" s="651"/>
      <c r="BY509" s="651"/>
      <c r="BZ509" s="651"/>
      <c r="CA509" s="651"/>
      <c r="CB509" s="651"/>
      <c r="CC509" s="651"/>
      <c r="CD509" s="651"/>
      <c r="CE509" s="651"/>
      <c r="CF509" s="651"/>
      <c r="CG509" s="651"/>
      <c r="CH509" s="651"/>
      <c r="CI509" s="651"/>
      <c r="CJ509" s="651"/>
      <c r="CK509" s="651"/>
      <c r="CL509" s="651"/>
      <c r="CM509" s="651"/>
      <c r="CN509" s="651"/>
      <c r="CO509" s="651"/>
      <c r="CP509" s="651"/>
      <c r="CQ509" s="651"/>
      <c r="CR509" s="651"/>
    </row>
    <row r="510" s="651" customFormat="1" ht="31" customHeight="1" spans="1:108">
      <c r="A510" s="713">
        <v>46163</v>
      </c>
      <c r="B510" s="714" t="s">
        <v>499</v>
      </c>
      <c r="C510" s="715" t="s">
        <v>115</v>
      </c>
      <c r="D510" s="652" t="s">
        <v>5582</v>
      </c>
      <c r="E510" s="715" t="s">
        <v>5587</v>
      </c>
      <c r="F510" s="652" t="s">
        <v>5588</v>
      </c>
      <c r="G510" s="716" t="s">
        <v>4414</v>
      </c>
      <c r="H510" s="715" t="s">
        <v>3978</v>
      </c>
      <c r="I510" s="717">
        <v>8192</v>
      </c>
      <c r="J510" s="715">
        <v>0</v>
      </c>
      <c r="K510" s="715">
        <v>512</v>
      </c>
      <c r="L510" s="715">
        <f t="shared" si="99"/>
        <v>16</v>
      </c>
      <c r="M510" s="719">
        <v>46232</v>
      </c>
      <c r="N510" s="719">
        <v>46228</v>
      </c>
      <c r="O510" s="714" t="s">
        <v>5589</v>
      </c>
      <c r="P510" s="717" t="s">
        <v>1410</v>
      </c>
      <c r="Q510" s="717" t="s">
        <v>1241</v>
      </c>
      <c r="R510" s="723" t="s">
        <v>4201</v>
      </c>
      <c r="S510" s="720" t="s">
        <v>95</v>
      </c>
      <c r="T510" s="720" t="s">
        <v>4944</v>
      </c>
      <c r="U510" s="720"/>
      <c r="V510" s="720" t="s">
        <v>4706</v>
      </c>
      <c r="W510" s="720"/>
      <c r="X510" s="720" t="s">
        <v>5586</v>
      </c>
      <c r="Y510" s="719" t="s">
        <v>503</v>
      </c>
      <c r="Z510" s="730">
        <v>1431.5656</v>
      </c>
      <c r="AA510" s="652">
        <f t="shared" si="100"/>
        <v>11727385.3952</v>
      </c>
      <c r="AB510" s="721"/>
      <c r="AC510" s="652" t="s">
        <v>4194</v>
      </c>
      <c r="AD510" s="715" t="s">
        <v>112</v>
      </c>
      <c r="AE510" s="715">
        <f t="shared" si="101"/>
        <v>8192</v>
      </c>
      <c r="AF510" s="715" t="s">
        <v>5125</v>
      </c>
      <c r="AG510" s="715">
        <v>8192</v>
      </c>
      <c r="AH510" s="715">
        <f t="shared" si="95"/>
        <v>0</v>
      </c>
      <c r="AI510" s="717" t="s">
        <v>120</v>
      </c>
      <c r="AJ510" s="715" t="s">
        <v>3981</v>
      </c>
      <c r="AK510" s="652">
        <f>I510</f>
        <v>8192</v>
      </c>
      <c r="AL510" s="652"/>
      <c r="AM510" s="652"/>
      <c r="AN510" s="652">
        <f t="shared" si="98"/>
        <v>8192</v>
      </c>
      <c r="AO510" s="652"/>
      <c r="AP510" s="652"/>
      <c r="AQ510" s="652"/>
      <c r="AR510" s="652"/>
      <c r="AS510" s="652"/>
      <c r="AT510" s="652">
        <f>I510/8</f>
        <v>1024</v>
      </c>
      <c r="AU510" s="652"/>
      <c r="AV510" s="652"/>
      <c r="AW510" s="652"/>
      <c r="AX510" s="652"/>
      <c r="AY510" s="652"/>
      <c r="AZ510" s="652"/>
      <c r="BA510" s="652"/>
      <c r="BB510" s="652"/>
      <c r="BC510" s="652"/>
      <c r="BD510" s="652"/>
      <c r="BE510" s="652"/>
      <c r="BF510" s="652"/>
      <c r="BG510" s="652"/>
      <c r="BH510" s="652"/>
      <c r="BI510" s="652"/>
      <c r="BJ510" s="651"/>
      <c r="BK510" s="651"/>
      <c r="BL510" s="651"/>
      <c r="BM510" s="651"/>
      <c r="BN510" s="651"/>
      <c r="BO510" s="651"/>
      <c r="BP510" s="651"/>
      <c r="BQ510" s="651"/>
      <c r="BR510" s="651"/>
      <c r="BS510" s="651"/>
      <c r="BT510" s="651"/>
      <c r="BU510" s="651"/>
      <c r="BV510" s="651"/>
      <c r="BW510" s="651"/>
      <c r="BX510" s="651"/>
      <c r="BY510" s="651"/>
      <c r="BZ510" s="651"/>
      <c r="CA510" s="651"/>
      <c r="CB510" s="651"/>
      <c r="CC510" s="651"/>
      <c r="CD510" s="651"/>
      <c r="CE510" s="651"/>
      <c r="CF510" s="651"/>
      <c r="CG510" s="651"/>
      <c r="CH510" s="651"/>
      <c r="CI510" s="651"/>
      <c r="CJ510" s="651"/>
      <c r="CK510" s="651"/>
      <c r="CL510" s="651"/>
      <c r="CM510" s="651"/>
      <c r="CN510" s="651"/>
      <c r="CO510" s="651"/>
      <c r="CP510" s="651"/>
      <c r="CQ510" s="651"/>
      <c r="CR510" s="651"/>
      <c r="CS510" s="650"/>
      <c r="CT510" s="650"/>
      <c r="CU510" s="650"/>
      <c r="CV510" s="650"/>
      <c r="CW510" s="650"/>
      <c r="CX510" s="650"/>
      <c r="CY510" s="650"/>
      <c r="CZ510" s="650"/>
      <c r="DA510" s="650"/>
      <c r="DB510" s="650"/>
      <c r="DC510" s="650"/>
      <c r="DD510" s="650"/>
    </row>
    <row r="511" s="651" customFormat="1" ht="31" customHeight="1" spans="1:108">
      <c r="A511" s="713">
        <v>46217</v>
      </c>
      <c r="B511" s="714" t="s">
        <v>264</v>
      </c>
      <c r="C511" s="715" t="s">
        <v>265</v>
      </c>
      <c r="D511" s="652">
        <v>4500216435</v>
      </c>
      <c r="E511" s="715">
        <v>4400561411</v>
      </c>
      <c r="F511" s="652" t="s">
        <v>5590</v>
      </c>
      <c r="G511" s="716" t="s">
        <v>3973</v>
      </c>
      <c r="H511" s="715" t="s">
        <v>3995</v>
      </c>
      <c r="I511" s="717">
        <v>3008</v>
      </c>
      <c r="J511" s="715">
        <v>0</v>
      </c>
      <c r="K511" s="715">
        <v>16</v>
      </c>
      <c r="L511" s="715">
        <f t="shared" si="99"/>
        <v>188</v>
      </c>
      <c r="M511" s="719">
        <v>46230</v>
      </c>
      <c r="N511" s="719">
        <v>46226</v>
      </c>
      <c r="O511" s="720" t="s">
        <v>2243</v>
      </c>
      <c r="P511" s="717" t="s">
        <v>1410</v>
      </c>
      <c r="Q511" s="717"/>
      <c r="R511" s="723" t="s">
        <v>2244</v>
      </c>
      <c r="S511" s="720" t="s">
        <v>107</v>
      </c>
      <c r="T511" s="720" t="s">
        <v>153</v>
      </c>
      <c r="U511" s="720"/>
      <c r="V511" s="720"/>
      <c r="W511" s="720"/>
      <c r="X511" s="720" t="s">
        <v>5591</v>
      </c>
      <c r="Y511" s="719" t="s">
        <v>142</v>
      </c>
      <c r="Z511" s="730">
        <v>4.784</v>
      </c>
      <c r="AA511" s="652">
        <f t="shared" si="100"/>
        <v>14390.272</v>
      </c>
      <c r="AB511" s="721"/>
      <c r="AC511" s="747" t="s">
        <v>4108</v>
      </c>
      <c r="AD511" s="715" t="s">
        <v>112</v>
      </c>
      <c r="AE511" s="715">
        <f t="shared" si="101"/>
        <v>3008</v>
      </c>
      <c r="AF511" s="715"/>
      <c r="AG511" s="715">
        <v>3008</v>
      </c>
      <c r="AH511" s="715">
        <f t="shared" si="95"/>
        <v>0</v>
      </c>
      <c r="AI511" s="717"/>
      <c r="AJ511" s="715" t="s">
        <v>3981</v>
      </c>
      <c r="AK511" s="652"/>
      <c r="AL511" s="652">
        <f>I511</f>
        <v>3008</v>
      </c>
      <c r="AM511" s="652"/>
      <c r="AN511" s="652">
        <f t="shared" si="98"/>
        <v>3008</v>
      </c>
      <c r="AO511" s="724"/>
      <c r="AP511" s="652"/>
      <c r="AQ511" s="652"/>
      <c r="AR511" s="652"/>
      <c r="AS511" s="652"/>
      <c r="AT511" s="652"/>
      <c r="AU511" s="652">
        <f>I511/8</f>
        <v>376</v>
      </c>
      <c r="AV511" s="652"/>
      <c r="AW511" s="652"/>
      <c r="AX511" s="652"/>
      <c r="AY511" s="652"/>
      <c r="AZ511" s="652"/>
      <c r="BA511" s="652"/>
      <c r="BB511" s="652"/>
      <c r="BC511" s="652"/>
      <c r="BD511" s="652"/>
      <c r="BE511" s="652"/>
      <c r="BF511" s="652"/>
      <c r="BG511" s="652"/>
      <c r="BH511" s="652"/>
      <c r="BI511" s="652"/>
      <c r="BJ511" s="724"/>
      <c r="BK511" s="724"/>
      <c r="BL511" s="724"/>
      <c r="BM511" s="724"/>
      <c r="BN511" s="724"/>
      <c r="BO511" s="724"/>
      <c r="BP511" s="724"/>
      <c r="BQ511" s="724"/>
      <c r="BR511" s="724"/>
      <c r="BS511" s="724"/>
      <c r="BT511" s="724"/>
      <c r="BU511" s="724"/>
      <c r="BV511" s="724"/>
      <c r="BW511" s="724"/>
      <c r="BX511" s="724"/>
      <c r="BY511" s="724"/>
      <c r="BZ511" s="724"/>
      <c r="CA511" s="724"/>
      <c r="CB511" s="724"/>
      <c r="CC511" s="724"/>
      <c r="CD511" s="724"/>
      <c r="CE511" s="724"/>
      <c r="CF511" s="724"/>
      <c r="CG511" s="724"/>
      <c r="CH511" s="724"/>
      <c r="CI511" s="724"/>
      <c r="CJ511" s="724"/>
      <c r="CK511" s="724"/>
      <c r="CL511" s="724"/>
      <c r="CM511" s="724"/>
      <c r="CN511" s="724"/>
      <c r="CO511" s="724"/>
      <c r="CP511" s="724"/>
      <c r="CQ511" s="724"/>
      <c r="CR511" s="724"/>
      <c r="CS511" s="724"/>
      <c r="CT511" s="724"/>
      <c r="CU511" s="724"/>
      <c r="CV511" s="724"/>
      <c r="CW511" s="724"/>
      <c r="CX511" s="724"/>
      <c r="CY511" s="724"/>
      <c r="CZ511" s="724"/>
      <c r="DA511" s="724"/>
      <c r="DB511" s="724"/>
      <c r="DC511" s="724"/>
      <c r="DD511" s="724"/>
    </row>
    <row r="512" s="653" customFormat="1" ht="31" customHeight="1" spans="1:108">
      <c r="A512" s="756">
        <v>46131</v>
      </c>
      <c r="B512" s="757" t="s">
        <v>521</v>
      </c>
      <c r="C512" s="758" t="s">
        <v>101</v>
      </c>
      <c r="D512" s="653" t="s">
        <v>5592</v>
      </c>
      <c r="E512" s="758" t="s">
        <v>5593</v>
      </c>
      <c r="F512" s="653" t="s">
        <v>5594</v>
      </c>
      <c r="G512" s="760" t="s">
        <v>3980</v>
      </c>
      <c r="H512" s="758" t="s">
        <v>3978</v>
      </c>
      <c r="I512" s="761">
        <v>88</v>
      </c>
      <c r="J512" s="758">
        <v>0</v>
      </c>
      <c r="K512" s="758">
        <v>8</v>
      </c>
      <c r="L512" s="758">
        <f t="shared" si="99"/>
        <v>11</v>
      </c>
      <c r="M512" s="763">
        <v>46230</v>
      </c>
      <c r="N512" s="851">
        <v>46231</v>
      </c>
      <c r="O512" s="757"/>
      <c r="P512" s="717" t="s">
        <v>1410</v>
      </c>
      <c r="Q512" s="761"/>
      <c r="R512" s="723">
        <v>46195</v>
      </c>
      <c r="S512" s="720" t="s">
        <v>107</v>
      </c>
      <c r="T512" s="720" t="s">
        <v>5595</v>
      </c>
      <c r="U512" s="765"/>
      <c r="V512" s="765" t="s">
        <v>4764</v>
      </c>
      <c r="W512" s="765"/>
      <c r="X512" s="857" t="s">
        <v>5596</v>
      </c>
      <c r="Y512" s="763" t="s">
        <v>362</v>
      </c>
      <c r="Z512" s="800">
        <v>4.6676</v>
      </c>
      <c r="AA512" s="653">
        <f>Z512*I512</f>
        <v>410.7488</v>
      </c>
      <c r="AB512" s="721"/>
      <c r="AC512" s="722" t="s">
        <v>3980</v>
      </c>
      <c r="AD512" s="715" t="s">
        <v>112</v>
      </c>
      <c r="AE512" s="758">
        <f t="shared" si="101"/>
        <v>88</v>
      </c>
      <c r="AF512" s="758" t="s">
        <v>5125</v>
      </c>
      <c r="AG512" s="758">
        <v>88</v>
      </c>
      <c r="AH512" s="715">
        <f t="shared" si="95"/>
        <v>0</v>
      </c>
      <c r="AI512" s="761" t="s">
        <v>120</v>
      </c>
      <c r="AJ512" s="758" t="s">
        <v>3981</v>
      </c>
      <c r="AK512" s="652">
        <f>I512</f>
        <v>88</v>
      </c>
      <c r="AL512" s="652"/>
      <c r="AM512" s="652"/>
      <c r="AN512" s="652">
        <f t="shared" si="98"/>
        <v>88</v>
      </c>
      <c r="AT512" s="652"/>
      <c r="AU512" s="653"/>
      <c r="AV512" s="653"/>
      <c r="AW512" s="653"/>
      <c r="AX512" s="653">
        <f>I512/8</f>
        <v>11</v>
      </c>
      <c r="CS512" s="655"/>
      <c r="CT512" s="655"/>
      <c r="CU512" s="655"/>
      <c r="CV512" s="655"/>
      <c r="CW512" s="655"/>
      <c r="CX512" s="655"/>
      <c r="CY512" s="655"/>
      <c r="CZ512" s="655"/>
      <c r="DA512" s="655"/>
      <c r="DB512" s="655"/>
      <c r="DC512" s="655"/>
      <c r="DD512" s="655"/>
    </row>
    <row r="513" s="650" customFormat="1" ht="31" customHeight="1" spans="1:108">
      <c r="A513" s="713">
        <v>46131</v>
      </c>
      <c r="B513" s="714" t="s">
        <v>525</v>
      </c>
      <c r="C513" s="715" t="s">
        <v>508</v>
      </c>
      <c r="D513" s="652" t="s">
        <v>5597</v>
      </c>
      <c r="E513" s="715" t="s">
        <v>5598</v>
      </c>
      <c r="F513" s="652" t="s">
        <v>5599</v>
      </c>
      <c r="G513" s="716" t="s">
        <v>3980</v>
      </c>
      <c r="H513" s="715" t="s">
        <v>3978</v>
      </c>
      <c r="I513" s="717">
        <v>1416</v>
      </c>
      <c r="J513" s="715">
        <v>0</v>
      </c>
      <c r="K513" s="715">
        <v>8</v>
      </c>
      <c r="L513" s="715">
        <f t="shared" si="99"/>
        <v>177</v>
      </c>
      <c r="M513" s="719">
        <v>46230</v>
      </c>
      <c r="N513" s="738">
        <v>46231</v>
      </c>
      <c r="O513" s="714"/>
      <c r="P513" s="717" t="s">
        <v>1410</v>
      </c>
      <c r="Q513" s="717"/>
      <c r="R513" s="734">
        <v>46195</v>
      </c>
      <c r="S513" s="735" t="s">
        <v>107</v>
      </c>
      <c r="T513" s="735" t="s">
        <v>5595</v>
      </c>
      <c r="U513" s="735"/>
      <c r="V513" s="720" t="s">
        <v>4764</v>
      </c>
      <c r="W513" s="720"/>
      <c r="X513" s="798" t="s">
        <v>5600</v>
      </c>
      <c r="Y513" s="719" t="s">
        <v>362</v>
      </c>
      <c r="Z513" s="730">
        <v>4.6573</v>
      </c>
      <c r="AA513" s="652">
        <f>Z513*I513</f>
        <v>6594.7368</v>
      </c>
      <c r="AB513" s="721"/>
      <c r="AC513" s="722" t="s">
        <v>3980</v>
      </c>
      <c r="AD513" s="715" t="s">
        <v>112</v>
      </c>
      <c r="AE513" s="715">
        <f t="shared" si="101"/>
        <v>1416</v>
      </c>
      <c r="AF513" s="715" t="s">
        <v>5125</v>
      </c>
      <c r="AG513" s="715">
        <v>1416</v>
      </c>
      <c r="AH513" s="715">
        <f t="shared" si="95"/>
        <v>0</v>
      </c>
      <c r="AI513" s="717" t="s">
        <v>4064</v>
      </c>
      <c r="AJ513" s="715" t="s">
        <v>3981</v>
      </c>
      <c r="AK513" s="652">
        <f>I513</f>
        <v>1416</v>
      </c>
      <c r="AL513" s="652"/>
      <c r="AM513" s="652"/>
      <c r="AN513" s="652">
        <f t="shared" si="98"/>
        <v>1416</v>
      </c>
      <c r="AO513" s="652"/>
      <c r="AP513" s="652"/>
      <c r="AQ513" s="652"/>
      <c r="AR513" s="652"/>
      <c r="AS513" s="652"/>
      <c r="AT513" s="652"/>
      <c r="AU513" s="652"/>
      <c r="AV513" s="652"/>
      <c r="AW513" s="652"/>
      <c r="AX513" s="652">
        <f>I513/8</f>
        <v>177</v>
      </c>
      <c r="AY513" s="652"/>
      <c r="AZ513" s="652"/>
      <c r="BA513" s="652"/>
      <c r="BB513" s="652"/>
      <c r="BC513" s="652"/>
      <c r="BD513" s="652"/>
      <c r="BE513" s="652"/>
      <c r="BF513" s="652"/>
      <c r="BG513" s="652"/>
      <c r="BH513" s="652"/>
      <c r="BI513" s="652"/>
    </row>
    <row r="514" s="651" customFormat="1" ht="31" customHeight="1" spans="1:108">
      <c r="A514" s="713">
        <v>46099</v>
      </c>
      <c r="B514" s="714" t="s">
        <v>723</v>
      </c>
      <c r="C514" s="715" t="s">
        <v>135</v>
      </c>
      <c r="D514" s="652">
        <v>4500197502</v>
      </c>
      <c r="E514" s="715" t="s">
        <v>1986</v>
      </c>
      <c r="F514" s="652" t="s">
        <v>1987</v>
      </c>
      <c r="G514" s="716" t="s">
        <v>4341</v>
      </c>
      <c r="H514" s="715" t="s">
        <v>483</v>
      </c>
      <c r="I514" s="752">
        <v>4320</v>
      </c>
      <c r="J514" s="715">
        <v>0</v>
      </c>
      <c r="K514" s="715">
        <v>120</v>
      </c>
      <c r="L514" s="739">
        <f t="shared" si="99"/>
        <v>36</v>
      </c>
      <c r="M514" s="719">
        <v>46223</v>
      </c>
      <c r="N514" s="738">
        <v>46227</v>
      </c>
      <c r="O514" s="714"/>
      <c r="P514" s="717" t="s">
        <v>1410</v>
      </c>
      <c r="Q514" s="717"/>
      <c r="R514" s="723">
        <v>46133</v>
      </c>
      <c r="S514" s="720" t="s">
        <v>107</v>
      </c>
      <c r="T514" s="720" t="s">
        <v>95</v>
      </c>
      <c r="U514" s="720"/>
      <c r="V514" s="720"/>
      <c r="W514" s="720"/>
      <c r="X514" s="798" t="s">
        <v>5601</v>
      </c>
      <c r="Y514" s="719" t="s">
        <v>730</v>
      </c>
      <c r="Z514" s="730">
        <v>642</v>
      </c>
      <c r="AA514" s="652">
        <f>L514*Z514</f>
        <v>23112</v>
      </c>
      <c r="AB514" s="721"/>
      <c r="AC514" s="722" t="s">
        <v>731</v>
      </c>
      <c r="AD514" s="715" t="s">
        <v>112</v>
      </c>
      <c r="AE514" s="715">
        <f t="shared" si="101"/>
        <v>4320</v>
      </c>
      <c r="AF514" s="715"/>
      <c r="AG514" s="715">
        <f>1820+810+1690</f>
        <v>4320</v>
      </c>
      <c r="AH514" s="715">
        <f t="shared" si="95"/>
        <v>0</v>
      </c>
      <c r="AI514" s="717"/>
      <c r="AJ514" s="715" t="s">
        <v>3981</v>
      </c>
      <c r="AK514" s="652"/>
      <c r="AL514" s="652"/>
      <c r="AM514" s="652"/>
      <c r="AN514" s="652"/>
      <c r="AO514" s="652"/>
      <c r="AP514" s="652"/>
      <c r="AQ514" s="652">
        <f>I514</f>
        <v>4320</v>
      </c>
      <c r="AR514" s="652">
        <f>I514</f>
        <v>4320</v>
      </c>
      <c r="AS514" s="652">
        <f>I514/6</f>
        <v>720</v>
      </c>
      <c r="AT514" s="652"/>
      <c r="AU514" s="652"/>
      <c r="AV514" s="652"/>
      <c r="AW514" s="652"/>
      <c r="AX514" s="652"/>
      <c r="AY514" s="652"/>
      <c r="AZ514" s="652"/>
      <c r="BA514" s="652"/>
      <c r="BB514" s="652"/>
      <c r="BC514" s="652"/>
      <c r="BD514" s="652"/>
      <c r="BE514" s="652"/>
      <c r="BF514" s="652"/>
      <c r="BG514" s="652"/>
      <c r="BH514" s="652"/>
      <c r="BI514" s="652"/>
      <c r="BJ514" s="650"/>
      <c r="BK514" s="650"/>
      <c r="BL514" s="650"/>
      <c r="BM514" s="650"/>
      <c r="BN514" s="650"/>
      <c r="BO514" s="650"/>
      <c r="BP514" s="650"/>
      <c r="BQ514" s="650"/>
      <c r="BR514" s="650"/>
      <c r="BS514" s="650"/>
      <c r="BT514" s="650"/>
      <c r="BU514" s="650"/>
      <c r="BV514" s="650"/>
      <c r="BW514" s="650"/>
      <c r="BX514" s="650"/>
      <c r="BY514" s="650"/>
      <c r="BZ514" s="650"/>
      <c r="CA514" s="650"/>
      <c r="CB514" s="650"/>
      <c r="CC514" s="650"/>
      <c r="CD514" s="650"/>
      <c r="CE514" s="650"/>
      <c r="CF514" s="650"/>
      <c r="CG514" s="650"/>
      <c r="CH514" s="650"/>
      <c r="CI514" s="650"/>
      <c r="CJ514" s="650"/>
      <c r="CK514" s="650"/>
      <c r="CL514" s="650"/>
      <c r="CM514" s="650"/>
      <c r="CN514" s="650"/>
      <c r="CO514" s="650"/>
      <c r="CP514" s="650"/>
      <c r="CQ514" s="650"/>
      <c r="CR514" s="650"/>
      <c r="CS514" s="650"/>
      <c r="CT514" s="650"/>
      <c r="CU514" s="650"/>
      <c r="CV514" s="650"/>
      <c r="CW514" s="650"/>
      <c r="CX514" s="650"/>
      <c r="CY514" s="650"/>
      <c r="CZ514" s="650"/>
      <c r="DA514" s="650"/>
      <c r="DB514" s="650"/>
      <c r="DC514" s="650"/>
      <c r="DD514" s="650"/>
    </row>
    <row r="515" s="651" customFormat="1" ht="31" customHeight="1" spans="1:108">
      <c r="A515" s="713">
        <v>46136</v>
      </c>
      <c r="B515" s="714" t="s">
        <v>583</v>
      </c>
      <c r="C515" s="715" t="s">
        <v>135</v>
      </c>
      <c r="D515" s="652" t="s">
        <v>5252</v>
      </c>
      <c r="E515" s="715" t="s">
        <v>5602</v>
      </c>
      <c r="F515" s="652" t="s">
        <v>5603</v>
      </c>
      <c r="G515" s="742" t="s">
        <v>5255</v>
      </c>
      <c r="H515" s="715" t="s">
        <v>4195</v>
      </c>
      <c r="I515" s="717">
        <v>1024</v>
      </c>
      <c r="J515" s="715">
        <v>0</v>
      </c>
      <c r="K515" s="715">
        <v>512</v>
      </c>
      <c r="L515" s="715">
        <f t="shared" si="99"/>
        <v>2</v>
      </c>
      <c r="M515" s="719">
        <v>46223</v>
      </c>
      <c r="N515" s="738">
        <v>46252</v>
      </c>
      <c r="O515" s="714"/>
      <c r="P515" s="717" t="s">
        <v>1410</v>
      </c>
      <c r="Q515" s="717"/>
      <c r="R515" s="723">
        <v>46153</v>
      </c>
      <c r="S515" s="720" t="s">
        <v>107</v>
      </c>
      <c r="T515" s="720" t="s">
        <v>5433</v>
      </c>
      <c r="U515" s="720"/>
      <c r="V515" s="720" t="s">
        <v>4056</v>
      </c>
      <c r="W515" s="720"/>
      <c r="X515" s="798" t="s">
        <v>5257</v>
      </c>
      <c r="Y515" s="719" t="s">
        <v>1207</v>
      </c>
      <c r="Z515" s="730">
        <v>2332.5408</v>
      </c>
      <c r="AA515" s="652">
        <f>L515*Z515</f>
        <v>4665.0816</v>
      </c>
      <c r="AB515" s="721"/>
      <c r="AC515" s="716" t="s">
        <v>4194</v>
      </c>
      <c r="AD515" s="715" t="s">
        <v>112</v>
      </c>
      <c r="AE515" s="715">
        <f t="shared" si="101"/>
        <v>1024</v>
      </c>
      <c r="AF515" s="715" t="s">
        <v>5125</v>
      </c>
      <c r="AG515" s="715"/>
      <c r="AH515" s="715">
        <f t="shared" si="95"/>
        <v>-1024</v>
      </c>
      <c r="AI515" s="717"/>
      <c r="AJ515" s="715" t="s">
        <v>3981</v>
      </c>
      <c r="AK515" s="652">
        <f>I515</f>
        <v>1024</v>
      </c>
      <c r="AL515" s="652"/>
      <c r="AM515" s="652"/>
      <c r="AN515" s="652">
        <f>I515</f>
        <v>1024</v>
      </c>
      <c r="AO515" s="652"/>
      <c r="AP515" s="652"/>
      <c r="AQ515" s="652"/>
      <c r="AR515" s="652"/>
      <c r="AS515" s="652"/>
      <c r="AT515" s="652">
        <f>I515/8</f>
        <v>128</v>
      </c>
      <c r="AU515" s="652"/>
      <c r="AV515" s="652"/>
      <c r="AW515" s="652"/>
      <c r="AX515" s="652"/>
      <c r="AY515" s="652"/>
      <c r="AZ515" s="652"/>
      <c r="BA515" s="652"/>
      <c r="BB515" s="652"/>
      <c r="BC515" s="652"/>
      <c r="BD515" s="652"/>
      <c r="BE515" s="652"/>
      <c r="BF515" s="652"/>
      <c r="BG515" s="652"/>
      <c r="BH515" s="652"/>
      <c r="BI515" s="652"/>
      <c r="BJ515" s="650"/>
      <c r="BK515" s="650"/>
      <c r="BL515" s="650"/>
      <c r="BM515" s="650"/>
      <c r="BN515" s="650"/>
      <c r="BO515" s="650"/>
      <c r="BP515" s="650"/>
      <c r="BQ515" s="650"/>
      <c r="BR515" s="650"/>
      <c r="BS515" s="650"/>
      <c r="BT515" s="650"/>
      <c r="BU515" s="650"/>
      <c r="BV515" s="650"/>
      <c r="BW515" s="650"/>
      <c r="BX515" s="650"/>
      <c r="BY515" s="650"/>
      <c r="BZ515" s="650"/>
      <c r="CA515" s="650"/>
      <c r="CB515" s="650"/>
      <c r="CC515" s="650"/>
      <c r="CD515" s="650"/>
      <c r="CE515" s="650"/>
      <c r="CF515" s="650"/>
      <c r="CG515" s="650"/>
      <c r="CH515" s="650"/>
      <c r="CI515" s="650"/>
      <c r="CJ515" s="650"/>
      <c r="CK515" s="650"/>
      <c r="CL515" s="650"/>
      <c r="CM515" s="650"/>
      <c r="CN515" s="650"/>
      <c r="CO515" s="650"/>
      <c r="CP515" s="650"/>
      <c r="CQ515" s="650"/>
      <c r="CR515" s="650"/>
      <c r="CS515" s="650"/>
      <c r="CT515" s="650"/>
      <c r="CU515" s="650"/>
      <c r="CV515" s="650"/>
      <c r="CW515" s="650"/>
      <c r="CX515" s="650"/>
      <c r="CY515" s="650"/>
      <c r="CZ515" s="650"/>
      <c r="DA515" s="650"/>
      <c r="DB515" s="650"/>
      <c r="DC515" s="650"/>
      <c r="DD515" s="650"/>
    </row>
    <row r="516" s="650" customFormat="1" ht="31" customHeight="1" spans="1:108">
      <c r="A516" s="713">
        <v>46169</v>
      </c>
      <c r="B516" s="714" t="s">
        <v>2509</v>
      </c>
      <c r="C516" s="715" t="s">
        <v>508</v>
      </c>
      <c r="D516" s="652" t="s">
        <v>5604</v>
      </c>
      <c r="E516" s="715" t="s">
        <v>5605</v>
      </c>
      <c r="F516" s="652" t="s">
        <v>2515</v>
      </c>
      <c r="G516" s="716" t="s">
        <v>5416</v>
      </c>
      <c r="H516" s="715" t="s">
        <v>483</v>
      </c>
      <c r="I516" s="717">
        <v>4080</v>
      </c>
      <c r="J516" s="715">
        <v>0</v>
      </c>
      <c r="K516" s="715">
        <v>120</v>
      </c>
      <c r="L516" s="715">
        <f t="shared" si="99"/>
        <v>34</v>
      </c>
      <c r="M516" s="719">
        <v>46233</v>
      </c>
      <c r="N516" s="738">
        <v>46240</v>
      </c>
      <c r="O516" s="714" t="s">
        <v>2516</v>
      </c>
      <c r="P516" s="717" t="s">
        <v>1410</v>
      </c>
      <c r="Q516" s="717"/>
      <c r="R516" s="723">
        <v>46202</v>
      </c>
      <c r="S516" s="720" t="s">
        <v>107</v>
      </c>
      <c r="T516" s="720" t="s">
        <v>95</v>
      </c>
      <c r="U516" s="720"/>
      <c r="V516" s="720"/>
      <c r="W516" s="720"/>
      <c r="X516" s="720" t="s">
        <v>5606</v>
      </c>
      <c r="Y516" s="719" t="s">
        <v>673</v>
      </c>
      <c r="Z516" s="730">
        <v>1070</v>
      </c>
      <c r="AA516" s="652">
        <f>L516*Z516</f>
        <v>36380</v>
      </c>
      <c r="AB516" s="721"/>
      <c r="AC516" s="722" t="s">
        <v>2514</v>
      </c>
      <c r="AD516" s="715" t="s">
        <v>112</v>
      </c>
      <c r="AE516" s="715">
        <f t="shared" si="101"/>
        <v>4080</v>
      </c>
      <c r="AF516" s="715"/>
      <c r="AG516" s="715">
        <v>4080</v>
      </c>
      <c r="AH516" s="715">
        <f t="shared" si="95"/>
        <v>0</v>
      </c>
      <c r="AI516" s="717"/>
      <c r="AJ516" s="715" t="s">
        <v>3981</v>
      </c>
      <c r="AK516" s="652"/>
      <c r="AL516" s="652"/>
      <c r="AM516" s="652"/>
      <c r="AN516" s="652"/>
      <c r="AO516" s="652"/>
      <c r="AP516" s="652"/>
      <c r="AQ516" s="652">
        <f>I516</f>
        <v>4080</v>
      </c>
      <c r="AR516" s="652">
        <f>I516</f>
        <v>4080</v>
      </c>
      <c r="AS516" s="652">
        <f>I516/6</f>
        <v>680</v>
      </c>
      <c r="AT516" s="652"/>
      <c r="AU516" s="652"/>
      <c r="AV516" s="652"/>
      <c r="AW516" s="652"/>
      <c r="AX516" s="652"/>
      <c r="AY516" s="652"/>
      <c r="AZ516" s="652"/>
      <c r="BA516" s="652"/>
      <c r="BB516" s="652"/>
      <c r="BC516" s="652"/>
      <c r="BD516" s="652"/>
      <c r="BE516" s="652"/>
      <c r="BF516" s="652"/>
      <c r="BG516" s="652"/>
      <c r="BH516" s="652"/>
      <c r="BI516" s="652"/>
    </row>
    <row r="517" s="650" customFormat="1" ht="31" customHeight="1" spans="1:108">
      <c r="A517" s="713">
        <v>46136</v>
      </c>
      <c r="B517" s="714" t="s">
        <v>280</v>
      </c>
      <c r="C517" s="715" t="s">
        <v>135</v>
      </c>
      <c r="D517" s="652" t="s">
        <v>5607</v>
      </c>
      <c r="E517" s="715" t="s">
        <v>2491</v>
      </c>
      <c r="F517" s="652" t="s">
        <v>5608</v>
      </c>
      <c r="G517" s="716" t="s">
        <v>3980</v>
      </c>
      <c r="H517" s="715" t="s">
        <v>3978</v>
      </c>
      <c r="I517" s="717">
        <v>8000</v>
      </c>
      <c r="J517" s="715">
        <v>0</v>
      </c>
      <c r="K517" s="715">
        <v>8</v>
      </c>
      <c r="L517" s="715">
        <f t="shared" si="99"/>
        <v>1000</v>
      </c>
      <c r="M517" s="719">
        <v>46227</v>
      </c>
      <c r="N517" s="719">
        <v>46223</v>
      </c>
      <c r="O517" s="714"/>
      <c r="P517" s="717" t="s">
        <v>1410</v>
      </c>
      <c r="Q517" s="717"/>
      <c r="R517" s="723">
        <v>46151</v>
      </c>
      <c r="S517" s="720" t="s">
        <v>107</v>
      </c>
      <c r="T517" s="720" t="s">
        <v>5609</v>
      </c>
      <c r="U517" s="720"/>
      <c r="V517" s="720" t="s">
        <v>4056</v>
      </c>
      <c r="W517" s="720"/>
      <c r="X517" s="798" t="s">
        <v>5610</v>
      </c>
      <c r="Y517" s="719" t="s">
        <v>1207</v>
      </c>
      <c r="Z517" s="730">
        <v>4.5677</v>
      </c>
      <c r="AA517" s="652">
        <f>Z517*I517</f>
        <v>36541.6</v>
      </c>
      <c r="AB517" s="721"/>
      <c r="AC517" s="722" t="s">
        <v>3980</v>
      </c>
      <c r="AD517" s="715" t="s">
        <v>112</v>
      </c>
      <c r="AE517" s="715">
        <f t="shared" si="101"/>
        <v>8000</v>
      </c>
      <c r="AF517" s="715" t="s">
        <v>5125</v>
      </c>
      <c r="AG517" s="715" t="s">
        <v>120</v>
      </c>
      <c r="AH517" s="715" t="e">
        <f t="shared" si="95"/>
        <v>#VALUE!</v>
      </c>
      <c r="AI517" s="717"/>
      <c r="AJ517" s="715" t="s">
        <v>3981</v>
      </c>
      <c r="AK517" s="652">
        <f>I517</f>
        <v>8000</v>
      </c>
      <c r="AL517" s="652"/>
      <c r="AM517" s="652"/>
      <c r="AN517" s="652">
        <f t="shared" ref="AN517:AN522" si="102">I517</f>
        <v>8000</v>
      </c>
      <c r="AO517" s="652"/>
      <c r="AP517" s="652"/>
      <c r="AQ517" s="652"/>
      <c r="AR517" s="652"/>
      <c r="AS517" s="652"/>
      <c r="AT517" s="652">
        <f>I517/8</f>
        <v>1000</v>
      </c>
      <c r="AU517" s="652"/>
      <c r="AV517" s="652"/>
      <c r="AW517" s="652"/>
      <c r="AX517" s="652"/>
      <c r="AY517" s="652"/>
      <c r="AZ517" s="652"/>
      <c r="BA517" s="652"/>
      <c r="BB517" s="652"/>
      <c r="BC517" s="652"/>
      <c r="BD517" s="652"/>
      <c r="BE517" s="652"/>
      <c r="BF517" s="652"/>
      <c r="BG517" s="652"/>
      <c r="BH517" s="652"/>
      <c r="BI517" s="652"/>
      <c r="BJ517" s="724"/>
      <c r="BK517" s="724"/>
      <c r="BL517" s="724"/>
      <c r="BM517" s="724"/>
      <c r="BN517" s="724"/>
      <c r="BO517" s="724"/>
      <c r="BP517" s="724"/>
      <c r="BQ517" s="724"/>
      <c r="BR517" s="724"/>
      <c r="BS517" s="724"/>
      <c r="BT517" s="724"/>
      <c r="BU517" s="724"/>
      <c r="BV517" s="724"/>
      <c r="BW517" s="724"/>
      <c r="BX517" s="724"/>
      <c r="BY517" s="724"/>
      <c r="BZ517" s="724"/>
      <c r="CA517" s="724"/>
      <c r="CB517" s="724"/>
      <c r="CC517" s="724"/>
      <c r="CD517" s="724"/>
      <c r="CE517" s="724"/>
      <c r="CF517" s="724"/>
      <c r="CG517" s="724"/>
      <c r="CH517" s="724"/>
      <c r="CI517" s="724"/>
      <c r="CJ517" s="724"/>
      <c r="CK517" s="724"/>
      <c r="CL517" s="724"/>
      <c r="CM517" s="724"/>
      <c r="CN517" s="724"/>
      <c r="CO517" s="724"/>
      <c r="CP517" s="724"/>
      <c r="CQ517" s="724"/>
      <c r="CR517" s="724"/>
    </row>
    <row r="518" s="650" customFormat="1" ht="31" customHeight="1" spans="1:108">
      <c r="A518" s="713">
        <v>46163</v>
      </c>
      <c r="B518" s="714" t="s">
        <v>499</v>
      </c>
      <c r="C518" s="715" t="s">
        <v>115</v>
      </c>
      <c r="D518" s="652" t="s">
        <v>5278</v>
      </c>
      <c r="E518" s="715" t="s">
        <v>5611</v>
      </c>
      <c r="F518" s="652" t="s">
        <v>5612</v>
      </c>
      <c r="G518" s="716" t="s">
        <v>4414</v>
      </c>
      <c r="H518" s="715" t="s">
        <v>3978</v>
      </c>
      <c r="I518" s="717">
        <v>10240</v>
      </c>
      <c r="J518" s="715">
        <v>0</v>
      </c>
      <c r="K518" s="715">
        <v>512</v>
      </c>
      <c r="L518" s="715">
        <f t="shared" si="99"/>
        <v>20</v>
      </c>
      <c r="M518" s="719">
        <v>46224</v>
      </c>
      <c r="N518" s="778">
        <v>46220</v>
      </c>
      <c r="O518" s="714" t="s">
        <v>5123</v>
      </c>
      <c r="P518" s="717" t="s">
        <v>1410</v>
      </c>
      <c r="Q518" s="717" t="s">
        <v>5613</v>
      </c>
      <c r="R518" s="723" t="s">
        <v>4201</v>
      </c>
      <c r="S518" s="720" t="s">
        <v>95</v>
      </c>
      <c r="T518" s="720" t="s">
        <v>4944</v>
      </c>
      <c r="U518" s="720"/>
      <c r="V518" s="720" t="s">
        <v>4706</v>
      </c>
      <c r="W518" s="720"/>
      <c r="X518" s="720" t="s">
        <v>5282</v>
      </c>
      <c r="Y518" s="719" t="s">
        <v>503</v>
      </c>
      <c r="Z518" s="730">
        <v>1428.34</v>
      </c>
      <c r="AA518" s="652">
        <f>I518*Z518</f>
        <v>14626201.6</v>
      </c>
      <c r="AB518" s="725" t="s">
        <v>5614</v>
      </c>
      <c r="AC518" s="652" t="s">
        <v>4194</v>
      </c>
      <c r="AD518" s="715" t="s">
        <v>112</v>
      </c>
      <c r="AE518" s="715">
        <f t="shared" si="101"/>
        <v>10240</v>
      </c>
      <c r="AF518" s="715" t="s">
        <v>5125</v>
      </c>
      <c r="AG518" s="715">
        <v>10240</v>
      </c>
      <c r="AH518" s="715">
        <f t="shared" si="95"/>
        <v>0</v>
      </c>
      <c r="AI518" s="717" t="s">
        <v>120</v>
      </c>
      <c r="AJ518" s="715" t="s">
        <v>3981</v>
      </c>
      <c r="AK518" s="652">
        <f>I518</f>
        <v>10240</v>
      </c>
      <c r="AL518" s="652"/>
      <c r="AM518" s="652"/>
      <c r="AN518" s="652">
        <f t="shared" si="102"/>
        <v>10240</v>
      </c>
      <c r="AO518" s="652"/>
      <c r="AP518" s="652"/>
      <c r="AQ518" s="652"/>
      <c r="AR518" s="652"/>
      <c r="AS518" s="652"/>
      <c r="AT518" s="652">
        <f>I518/8</f>
        <v>1280</v>
      </c>
      <c r="AU518" s="652"/>
      <c r="AV518" s="652"/>
      <c r="AW518" s="652"/>
      <c r="AX518" s="652"/>
      <c r="AY518" s="652"/>
      <c r="AZ518" s="652"/>
      <c r="BA518" s="652"/>
      <c r="BB518" s="652"/>
      <c r="BC518" s="652"/>
      <c r="BD518" s="652"/>
      <c r="BE518" s="652"/>
      <c r="BF518" s="652"/>
      <c r="BG518" s="652"/>
      <c r="BH518" s="652"/>
      <c r="BI518" s="652"/>
      <c r="BJ518" s="651"/>
      <c r="BK518" s="651"/>
      <c r="BL518" s="651"/>
      <c r="BM518" s="651"/>
      <c r="BN518" s="651"/>
      <c r="BO518" s="651"/>
      <c r="BP518" s="651"/>
      <c r="BQ518" s="651"/>
      <c r="BR518" s="651"/>
      <c r="BS518" s="651"/>
      <c r="BT518" s="651"/>
      <c r="BU518" s="651"/>
      <c r="BV518" s="651"/>
      <c r="BW518" s="651"/>
      <c r="BX518" s="651"/>
      <c r="BY518" s="651"/>
      <c r="BZ518" s="651"/>
      <c r="CA518" s="651"/>
      <c r="CB518" s="651"/>
      <c r="CC518" s="651"/>
      <c r="CD518" s="651"/>
      <c r="CE518" s="651"/>
      <c r="CF518" s="651"/>
      <c r="CG518" s="651"/>
      <c r="CH518" s="651"/>
      <c r="CI518" s="651"/>
      <c r="CJ518" s="651"/>
      <c r="CK518" s="651"/>
      <c r="CL518" s="651"/>
      <c r="CM518" s="651"/>
      <c r="CN518" s="651"/>
      <c r="CO518" s="651"/>
      <c r="CP518" s="651"/>
      <c r="CQ518" s="651"/>
      <c r="CR518" s="651"/>
    </row>
    <row r="519" s="650" customFormat="1" ht="31" customHeight="1" spans="1:108">
      <c r="A519" s="713">
        <v>46163</v>
      </c>
      <c r="B519" s="714" t="s">
        <v>499</v>
      </c>
      <c r="C519" s="715" t="s">
        <v>115</v>
      </c>
      <c r="D519" s="652" t="s">
        <v>5278</v>
      </c>
      <c r="E519" s="715" t="s">
        <v>5615</v>
      </c>
      <c r="F519" s="652" t="s">
        <v>5616</v>
      </c>
      <c r="G519" s="716" t="s">
        <v>4414</v>
      </c>
      <c r="H519" s="715" t="s">
        <v>3978</v>
      </c>
      <c r="I519" s="717">
        <v>7168</v>
      </c>
      <c r="J519" s="715">
        <v>0</v>
      </c>
      <c r="K519" s="715">
        <v>512</v>
      </c>
      <c r="L519" s="715">
        <f t="shared" si="99"/>
        <v>14</v>
      </c>
      <c r="M519" s="719">
        <v>46224</v>
      </c>
      <c r="N519" s="778">
        <v>46220</v>
      </c>
      <c r="O519" s="714" t="s">
        <v>5617</v>
      </c>
      <c r="P519" s="717" t="s">
        <v>1410</v>
      </c>
      <c r="Q519" s="717"/>
      <c r="R519" s="734" t="s">
        <v>4201</v>
      </c>
      <c r="S519" s="735" t="s">
        <v>95</v>
      </c>
      <c r="T519" s="735" t="s">
        <v>4944</v>
      </c>
      <c r="U519" s="735"/>
      <c r="V519" s="720" t="s">
        <v>4706</v>
      </c>
      <c r="W519" s="720"/>
      <c r="X519" s="720" t="s">
        <v>5282</v>
      </c>
      <c r="Y519" s="719" t="s">
        <v>503</v>
      </c>
      <c r="Z519" s="730">
        <v>1431.565</v>
      </c>
      <c r="AA519" s="652">
        <f>I519*Z519</f>
        <v>10261457.92</v>
      </c>
      <c r="AB519" s="729" t="s">
        <v>5618</v>
      </c>
      <c r="AC519" s="652" t="s">
        <v>4194</v>
      </c>
      <c r="AD519" s="715" t="s">
        <v>112</v>
      </c>
      <c r="AE519" s="715">
        <f t="shared" si="101"/>
        <v>7168</v>
      </c>
      <c r="AF519" s="715" t="s">
        <v>5125</v>
      </c>
      <c r="AG519" s="715" t="s">
        <v>4064</v>
      </c>
      <c r="AH519" s="715" t="e">
        <f t="shared" si="95"/>
        <v>#VALUE!</v>
      </c>
      <c r="AI519" s="717" t="s">
        <v>120</v>
      </c>
      <c r="AJ519" s="715" t="s">
        <v>3981</v>
      </c>
      <c r="AK519" s="652">
        <f>I519</f>
        <v>7168</v>
      </c>
      <c r="AL519" s="652"/>
      <c r="AM519" s="652"/>
      <c r="AN519" s="652">
        <f t="shared" si="102"/>
        <v>7168</v>
      </c>
      <c r="AO519" s="652"/>
      <c r="AP519" s="652"/>
      <c r="AQ519" s="652"/>
      <c r="AR519" s="652"/>
      <c r="AS519" s="652"/>
      <c r="AT519" s="652">
        <f>I519/8</f>
        <v>896</v>
      </c>
      <c r="AU519" s="652"/>
      <c r="AV519" s="652"/>
      <c r="AW519" s="652"/>
      <c r="AX519" s="652"/>
      <c r="AY519" s="652"/>
      <c r="AZ519" s="652"/>
      <c r="BA519" s="652"/>
      <c r="BB519" s="652"/>
      <c r="BC519" s="652"/>
      <c r="BD519" s="652"/>
      <c r="BE519" s="652"/>
      <c r="BF519" s="652"/>
      <c r="BG519" s="652"/>
      <c r="BH519" s="652"/>
      <c r="BI519" s="652"/>
      <c r="BJ519" s="726"/>
      <c r="BK519" s="726"/>
      <c r="BL519" s="726"/>
      <c r="BM519" s="726"/>
      <c r="BN519" s="726"/>
      <c r="BO519" s="726"/>
      <c r="BP519" s="726"/>
      <c r="BQ519" s="726"/>
      <c r="BR519" s="726"/>
      <c r="BS519" s="726"/>
      <c r="BT519" s="858"/>
      <c r="BU519" s="726"/>
      <c r="BV519" s="726"/>
      <c r="BW519" s="726"/>
      <c r="BX519" s="651"/>
      <c r="BY519" s="726"/>
      <c r="BZ519" s="726"/>
      <c r="CA519" s="726"/>
      <c r="CB519" s="726"/>
      <c r="CC519" s="726"/>
      <c r="CD519" s="726"/>
      <c r="CE519" s="651"/>
      <c r="CF519" s="651"/>
      <c r="CG519" s="651"/>
      <c r="CH519" s="651"/>
      <c r="CI519" s="651"/>
      <c r="CJ519" s="651"/>
      <c r="CK519" s="651"/>
      <c r="CL519" s="651"/>
      <c r="CM519" s="651"/>
      <c r="CN519" s="651"/>
      <c r="CO519" s="651"/>
      <c r="CP519" s="651"/>
      <c r="CQ519" s="651"/>
      <c r="CR519" s="651"/>
    </row>
    <row r="520" s="650" customFormat="1" ht="31" customHeight="1" spans="1:108">
      <c r="A520" s="713">
        <v>46163</v>
      </c>
      <c r="B520" s="714" t="s">
        <v>499</v>
      </c>
      <c r="C520" s="715" t="s">
        <v>115</v>
      </c>
      <c r="D520" s="652" t="s">
        <v>5278</v>
      </c>
      <c r="E520" s="715" t="s">
        <v>5619</v>
      </c>
      <c r="F520" s="652" t="s">
        <v>5620</v>
      </c>
      <c r="G520" s="716" t="s">
        <v>4414</v>
      </c>
      <c r="H520" s="715" t="s">
        <v>3978</v>
      </c>
      <c r="I520" s="717">
        <v>10752</v>
      </c>
      <c r="J520" s="715">
        <v>0</v>
      </c>
      <c r="K520" s="715">
        <v>512</v>
      </c>
      <c r="L520" s="715">
        <f t="shared" si="99"/>
        <v>21</v>
      </c>
      <c r="M520" s="719">
        <v>46224</v>
      </c>
      <c r="N520" s="719">
        <v>46220</v>
      </c>
      <c r="O520" s="714" t="s">
        <v>5123</v>
      </c>
      <c r="P520" s="717" t="s">
        <v>1410</v>
      </c>
      <c r="Q520" s="717" t="s">
        <v>1241</v>
      </c>
      <c r="R520" s="723" t="s">
        <v>4201</v>
      </c>
      <c r="S520" s="720" t="s">
        <v>95</v>
      </c>
      <c r="T520" s="720" t="s">
        <v>4944</v>
      </c>
      <c r="U520" s="720"/>
      <c r="V520" s="720" t="s">
        <v>4706</v>
      </c>
      <c r="W520" s="720"/>
      <c r="X520" s="720" t="s">
        <v>5282</v>
      </c>
      <c r="Y520" s="719" t="s">
        <v>503</v>
      </c>
      <c r="Z520" s="730">
        <v>1428.3395</v>
      </c>
      <c r="AA520" s="652">
        <f>I520*Z520</f>
        <v>15357506.304</v>
      </c>
      <c r="AB520" s="725" t="s">
        <v>5614</v>
      </c>
      <c r="AC520" s="652" t="s">
        <v>4194</v>
      </c>
      <c r="AD520" s="715" t="s">
        <v>112</v>
      </c>
      <c r="AE520" s="715">
        <f t="shared" si="101"/>
        <v>10752</v>
      </c>
      <c r="AF520" s="715" t="s">
        <v>5125</v>
      </c>
      <c r="AG520" s="715" t="s">
        <v>120</v>
      </c>
      <c r="AH520" s="715" t="e">
        <f t="shared" si="95"/>
        <v>#VALUE!</v>
      </c>
      <c r="AI520" s="717" t="s">
        <v>120</v>
      </c>
      <c r="AJ520" s="715" t="s">
        <v>3981</v>
      </c>
      <c r="AK520" s="652">
        <f>I520</f>
        <v>10752</v>
      </c>
      <c r="AL520" s="652"/>
      <c r="AM520" s="652"/>
      <c r="AN520" s="652">
        <f t="shared" si="102"/>
        <v>10752</v>
      </c>
      <c r="AO520" s="652"/>
      <c r="AP520" s="652"/>
      <c r="AQ520" s="652"/>
      <c r="AR520" s="652"/>
      <c r="AS520" s="652"/>
      <c r="AT520" s="652">
        <f>I520/8</f>
        <v>1344</v>
      </c>
      <c r="AU520" s="652"/>
      <c r="AV520" s="652"/>
      <c r="AW520" s="652"/>
      <c r="AX520" s="652"/>
      <c r="AY520" s="652"/>
      <c r="AZ520" s="652"/>
      <c r="BA520" s="652"/>
      <c r="BB520" s="652"/>
      <c r="BC520" s="652"/>
      <c r="BD520" s="652"/>
      <c r="BE520" s="652"/>
      <c r="BF520" s="652"/>
      <c r="BG520" s="652"/>
      <c r="BH520" s="652"/>
      <c r="BI520" s="652"/>
      <c r="BJ520" s="651"/>
      <c r="BK520" s="651"/>
      <c r="BL520" s="651"/>
      <c r="BM520" s="651"/>
      <c r="BN520" s="651"/>
      <c r="BO520" s="651"/>
      <c r="BP520" s="651"/>
      <c r="BQ520" s="651"/>
      <c r="BR520" s="651"/>
      <c r="BS520" s="651"/>
      <c r="BT520" s="651"/>
      <c r="BU520" s="651"/>
      <c r="BV520" s="651"/>
      <c r="BW520" s="651"/>
      <c r="BX520" s="651"/>
      <c r="BY520" s="651"/>
      <c r="BZ520" s="651"/>
      <c r="CA520" s="651"/>
      <c r="CB520" s="651"/>
      <c r="CC520" s="651"/>
      <c r="CD520" s="651"/>
      <c r="CE520" s="651"/>
      <c r="CF520" s="651"/>
      <c r="CG520" s="651"/>
      <c r="CH520" s="651"/>
      <c r="CI520" s="651"/>
      <c r="CJ520" s="651"/>
      <c r="CK520" s="651"/>
      <c r="CL520" s="651"/>
      <c r="CM520" s="651"/>
      <c r="CN520" s="651"/>
      <c r="CO520" s="651"/>
      <c r="CP520" s="651"/>
      <c r="CQ520" s="651"/>
      <c r="CR520" s="651"/>
      <c r="CS520" s="651"/>
      <c r="CT520" s="651"/>
      <c r="CU520" s="651"/>
      <c r="CV520" s="651"/>
      <c r="CW520" s="651"/>
      <c r="CX520" s="651"/>
      <c r="CY520" s="651"/>
      <c r="CZ520" s="651"/>
      <c r="DA520" s="651"/>
      <c r="DB520" s="651"/>
      <c r="DC520" s="651"/>
      <c r="DD520" s="651"/>
    </row>
    <row r="521" s="650" customFormat="1" ht="31" customHeight="1" spans="1:108">
      <c r="A521" s="713">
        <v>46163</v>
      </c>
      <c r="B521" s="714" t="s">
        <v>499</v>
      </c>
      <c r="C521" s="715" t="s">
        <v>115</v>
      </c>
      <c r="D521" s="652" t="s">
        <v>5582</v>
      </c>
      <c r="E521" s="715" t="s">
        <v>5621</v>
      </c>
      <c r="F521" s="652" t="s">
        <v>5622</v>
      </c>
      <c r="G521" s="716" t="s">
        <v>4414</v>
      </c>
      <c r="H521" s="715" t="s">
        <v>3978</v>
      </c>
      <c r="I521" s="717">
        <v>7168</v>
      </c>
      <c r="J521" s="715">
        <v>0</v>
      </c>
      <c r="K521" s="715">
        <v>512</v>
      </c>
      <c r="L521" s="715">
        <f t="shared" si="99"/>
        <v>14</v>
      </c>
      <c r="M521" s="719">
        <v>46232</v>
      </c>
      <c r="N521" s="719">
        <v>46228</v>
      </c>
      <c r="O521" s="714" t="s">
        <v>5589</v>
      </c>
      <c r="P521" s="717" t="s">
        <v>1410</v>
      </c>
      <c r="Q521" s="717" t="s">
        <v>1241</v>
      </c>
      <c r="R521" s="734" t="s">
        <v>4201</v>
      </c>
      <c r="S521" s="735" t="s">
        <v>95</v>
      </c>
      <c r="T521" s="735" t="s">
        <v>4944</v>
      </c>
      <c r="U521" s="735"/>
      <c r="V521" s="720" t="s">
        <v>4706</v>
      </c>
      <c r="W521" s="720"/>
      <c r="X521" s="720" t="s">
        <v>5586</v>
      </c>
      <c r="Y521" s="719" t="s">
        <v>503</v>
      </c>
      <c r="Z521" s="730">
        <v>1431.565</v>
      </c>
      <c r="AA521" s="652">
        <f>I521*Z521</f>
        <v>10261457.92</v>
      </c>
      <c r="AB521" s="721"/>
      <c r="AC521" s="652" t="s">
        <v>4194</v>
      </c>
      <c r="AD521" s="715" t="s">
        <v>112</v>
      </c>
      <c r="AE521" s="715">
        <f t="shared" si="101"/>
        <v>7168</v>
      </c>
      <c r="AF521" s="715" t="s">
        <v>5125</v>
      </c>
      <c r="AG521" s="715">
        <v>7168</v>
      </c>
      <c r="AH521" s="715">
        <f t="shared" si="95"/>
        <v>0</v>
      </c>
      <c r="AI521" s="717" t="s">
        <v>120</v>
      </c>
      <c r="AJ521" s="715" t="s">
        <v>3981</v>
      </c>
      <c r="AK521" s="652">
        <f>I521</f>
        <v>7168</v>
      </c>
      <c r="AL521" s="652"/>
      <c r="AM521" s="652"/>
      <c r="AN521" s="652">
        <f t="shared" si="102"/>
        <v>7168</v>
      </c>
      <c r="AO521" s="652"/>
      <c r="AP521" s="652"/>
      <c r="AQ521" s="652"/>
      <c r="AR521" s="652"/>
      <c r="AS521" s="652"/>
      <c r="AT521" s="652">
        <f>I521/8</f>
        <v>896</v>
      </c>
      <c r="AU521" s="652"/>
      <c r="AV521" s="652"/>
      <c r="AW521" s="652"/>
      <c r="AX521" s="652"/>
      <c r="AY521" s="652"/>
      <c r="AZ521" s="652"/>
      <c r="BA521" s="652"/>
      <c r="BB521" s="652"/>
      <c r="BC521" s="652"/>
      <c r="BD521" s="652"/>
      <c r="BE521" s="652"/>
      <c r="BF521" s="652"/>
      <c r="BG521" s="652"/>
      <c r="BH521" s="652"/>
      <c r="BI521" s="652"/>
      <c r="BJ521" s="651"/>
      <c r="BK521" s="651"/>
      <c r="BL521" s="651"/>
      <c r="BM521" s="651"/>
      <c r="BN521" s="651"/>
      <c r="BO521" s="651"/>
      <c r="BP521" s="651"/>
      <c r="BQ521" s="651"/>
      <c r="BR521" s="651"/>
      <c r="BS521" s="651"/>
      <c r="BT521" s="651"/>
      <c r="BU521" s="651"/>
      <c r="BV521" s="651"/>
      <c r="BW521" s="651"/>
      <c r="BX521" s="651"/>
      <c r="BY521" s="651"/>
      <c r="BZ521" s="651"/>
      <c r="CA521" s="651"/>
      <c r="CB521" s="651"/>
      <c r="CC521" s="651"/>
      <c r="CD521" s="651"/>
      <c r="CE521" s="651"/>
      <c r="CF521" s="651"/>
      <c r="CG521" s="651"/>
      <c r="CH521" s="651"/>
      <c r="CI521" s="651"/>
      <c r="CJ521" s="651"/>
      <c r="CK521" s="651"/>
      <c r="CL521" s="651"/>
      <c r="CM521" s="651"/>
      <c r="CN521" s="651"/>
      <c r="CO521" s="651"/>
      <c r="CP521" s="651"/>
      <c r="CQ521" s="651"/>
      <c r="CR521" s="651"/>
    </row>
    <row r="522" s="659" customFormat="1" ht="31" customHeight="1" spans="1:108">
      <c r="A522" s="859">
        <v>46127</v>
      </c>
      <c r="B522" s="860" t="s">
        <v>1162</v>
      </c>
      <c r="C522" s="708" t="s">
        <v>291</v>
      </c>
      <c r="D522" s="834">
        <v>4500201970</v>
      </c>
      <c r="E522" s="708" t="s">
        <v>1163</v>
      </c>
      <c r="F522" s="834" t="s">
        <v>5623</v>
      </c>
      <c r="G522" s="846" t="s">
        <v>3973</v>
      </c>
      <c r="H522" s="708" t="s">
        <v>3995</v>
      </c>
      <c r="I522" s="861">
        <v>1440</v>
      </c>
      <c r="J522" s="708">
        <v>0</v>
      </c>
      <c r="K522" s="708">
        <v>16</v>
      </c>
      <c r="L522" s="708">
        <f t="shared" si="99"/>
        <v>90</v>
      </c>
      <c r="M522" s="862">
        <v>46191</v>
      </c>
      <c r="N522" s="863" t="s">
        <v>1165</v>
      </c>
      <c r="O522" s="860" t="s">
        <v>5624</v>
      </c>
      <c r="P522" s="861"/>
      <c r="Q522" s="861"/>
      <c r="R522" s="864">
        <v>46164</v>
      </c>
      <c r="S522" s="829" t="s">
        <v>95</v>
      </c>
      <c r="T522" s="829" t="s">
        <v>5625</v>
      </c>
      <c r="U522" s="829"/>
      <c r="V522" s="829"/>
      <c r="W522" s="829"/>
      <c r="X522" s="865" t="s">
        <v>5626</v>
      </c>
      <c r="Y522" s="862" t="s">
        <v>1169</v>
      </c>
      <c r="Z522" s="866">
        <v>4.5744</v>
      </c>
      <c r="AA522" s="834">
        <f>I522*Z522</f>
        <v>6587.136</v>
      </c>
      <c r="AB522" s="831"/>
      <c r="AC522" s="867" t="s">
        <v>4108</v>
      </c>
      <c r="AD522" s="708" t="s">
        <v>112</v>
      </c>
      <c r="AE522" s="708">
        <f t="shared" si="101"/>
        <v>1440</v>
      </c>
      <c r="AF522" s="821" t="s">
        <v>4109</v>
      </c>
      <c r="AG522" s="708">
        <v>1440</v>
      </c>
      <c r="AH522" s="833">
        <f t="shared" si="95"/>
        <v>0</v>
      </c>
      <c r="AI522" s="861"/>
      <c r="AJ522" s="708" t="s">
        <v>3981</v>
      </c>
      <c r="AK522" s="834"/>
      <c r="AL522" s="834">
        <f>I522</f>
        <v>1440</v>
      </c>
      <c r="AM522" s="834"/>
      <c r="AN522" s="834">
        <f t="shared" si="102"/>
        <v>1440</v>
      </c>
      <c r="AO522" s="834"/>
      <c r="AP522" s="834"/>
      <c r="AQ522" s="834"/>
      <c r="AR522" s="834"/>
      <c r="AS522" s="834"/>
      <c r="AT522" s="834"/>
      <c r="AU522" s="868">
        <f>I522/8</f>
        <v>180</v>
      </c>
      <c r="AV522" s="834"/>
      <c r="AW522" s="834"/>
      <c r="AX522" s="834"/>
      <c r="AY522" s="834"/>
      <c r="AZ522" s="834"/>
      <c r="BA522" s="834"/>
      <c r="BB522" s="834"/>
      <c r="BC522" s="834"/>
      <c r="BD522" s="834"/>
      <c r="BE522" s="834"/>
      <c r="BF522" s="834"/>
      <c r="BG522" s="834"/>
      <c r="BH522" s="834"/>
      <c r="BI522" s="834"/>
      <c r="BJ522" s="659"/>
      <c r="BK522" s="659"/>
      <c r="BL522" s="659"/>
      <c r="BM522" s="659"/>
      <c r="BN522" s="659"/>
      <c r="BO522" s="659"/>
      <c r="BP522" s="659"/>
      <c r="BQ522" s="659"/>
      <c r="BR522" s="659"/>
      <c r="BS522" s="659"/>
      <c r="BT522" s="659"/>
      <c r="BU522" s="659"/>
      <c r="BV522" s="659"/>
      <c r="BW522" s="659"/>
      <c r="BX522" s="659"/>
      <c r="BY522" s="659"/>
      <c r="BZ522" s="659"/>
      <c r="CA522" s="659"/>
      <c r="CB522" s="659"/>
      <c r="CC522" s="659"/>
      <c r="CD522" s="659"/>
      <c r="CE522" s="659"/>
      <c r="CF522" s="659"/>
      <c r="CG522" s="659"/>
      <c r="CH522" s="659"/>
      <c r="CI522" s="659"/>
      <c r="CJ522" s="659"/>
      <c r="CK522" s="659"/>
      <c r="CL522" s="659"/>
      <c r="CM522" s="659"/>
      <c r="CN522" s="659"/>
      <c r="CO522" s="659"/>
      <c r="CP522" s="659"/>
      <c r="CQ522" s="659"/>
      <c r="CR522" s="659"/>
      <c r="CS522" s="667"/>
      <c r="CT522" s="667"/>
      <c r="CU522" s="667"/>
      <c r="CV522" s="667"/>
      <c r="CW522" s="667"/>
      <c r="CX522" s="667"/>
      <c r="CY522" s="667"/>
      <c r="CZ522" s="667"/>
      <c r="DA522" s="667"/>
      <c r="DB522" s="667"/>
      <c r="DC522" s="667"/>
      <c r="DD522" s="667"/>
    </row>
    <row r="523" s="650" customFormat="1" ht="31" customHeight="1" spans="1:108">
      <c r="A523" s="713">
        <v>46099</v>
      </c>
      <c r="B523" s="714" t="s">
        <v>723</v>
      </c>
      <c r="C523" s="715" t="s">
        <v>135</v>
      </c>
      <c r="D523" s="652">
        <v>4500197501</v>
      </c>
      <c r="E523" s="715" t="s">
        <v>1239</v>
      </c>
      <c r="F523" s="652" t="s">
        <v>1240</v>
      </c>
      <c r="G523" s="716" t="s">
        <v>4341</v>
      </c>
      <c r="H523" s="715" t="s">
        <v>483</v>
      </c>
      <c r="I523" s="717">
        <v>4320</v>
      </c>
      <c r="J523" s="715">
        <v>0</v>
      </c>
      <c r="K523" s="715">
        <v>120</v>
      </c>
      <c r="L523" s="718">
        <f t="shared" si="99"/>
        <v>36</v>
      </c>
      <c r="M523" s="719">
        <v>46195</v>
      </c>
      <c r="N523" s="738">
        <v>46217</v>
      </c>
      <c r="O523" s="714"/>
      <c r="P523" s="761"/>
      <c r="Q523" s="717" t="s">
        <v>1241</v>
      </c>
      <c r="R523" s="723">
        <v>46133</v>
      </c>
      <c r="S523" s="720" t="s">
        <v>107</v>
      </c>
      <c r="T523" s="735" t="s">
        <v>95</v>
      </c>
      <c r="U523" s="735"/>
      <c r="V523" s="720"/>
      <c r="W523" s="720"/>
      <c r="X523" s="720" t="s">
        <v>5627</v>
      </c>
      <c r="Y523" s="719" t="s">
        <v>730</v>
      </c>
      <c r="Z523" s="715">
        <v>642</v>
      </c>
      <c r="AA523" s="715">
        <f>L523*Z523</f>
        <v>23112</v>
      </c>
      <c r="AB523" s="721"/>
      <c r="AC523" s="722" t="s">
        <v>731</v>
      </c>
      <c r="AD523" s="715" t="s">
        <v>112</v>
      </c>
      <c r="AE523" s="715">
        <f t="shared" si="101"/>
        <v>4320</v>
      </c>
      <c r="AF523" s="715" t="s">
        <v>4109</v>
      </c>
      <c r="AG523" s="715">
        <f>686+1152+1152+144+994+192</f>
        <v>4320</v>
      </c>
      <c r="AH523" s="715">
        <f t="shared" si="95"/>
        <v>0</v>
      </c>
      <c r="AI523" s="717"/>
      <c r="AJ523" s="715" t="s">
        <v>3981</v>
      </c>
      <c r="AK523" s="652"/>
      <c r="AL523" s="652"/>
      <c r="AM523" s="652"/>
      <c r="AN523" s="652"/>
      <c r="AO523" s="652"/>
      <c r="AP523" s="652"/>
      <c r="AQ523" s="652">
        <f>I523</f>
        <v>4320</v>
      </c>
      <c r="AR523" s="652">
        <f>I523</f>
        <v>4320</v>
      </c>
      <c r="AS523" s="652">
        <f>I523/6</f>
        <v>720</v>
      </c>
      <c r="AT523" s="652"/>
      <c r="AU523" s="652"/>
      <c r="AV523" s="652"/>
      <c r="AW523" s="652"/>
      <c r="AX523" s="652"/>
      <c r="AY523" s="652"/>
      <c r="AZ523" s="652"/>
      <c r="BA523" s="652"/>
      <c r="BB523" s="652"/>
      <c r="BC523" s="652"/>
      <c r="BD523" s="652"/>
      <c r="BE523" s="652"/>
      <c r="BF523" s="652"/>
      <c r="BG523" s="652"/>
      <c r="BH523" s="652"/>
      <c r="BI523" s="652"/>
      <c r="BJ523" s="724"/>
      <c r="BK523" s="724"/>
      <c r="BL523" s="724"/>
      <c r="BM523" s="724"/>
      <c r="BN523" s="724"/>
      <c r="BO523" s="724"/>
      <c r="BP523" s="724"/>
      <c r="BQ523" s="724"/>
      <c r="BR523" s="724"/>
      <c r="BS523" s="724"/>
      <c r="BT523" s="724"/>
      <c r="BU523" s="724"/>
      <c r="BV523" s="724"/>
      <c r="BW523" s="724"/>
      <c r="BX523" s="724"/>
      <c r="BY523" s="724"/>
      <c r="BZ523" s="724"/>
      <c r="CA523" s="724"/>
      <c r="CB523" s="724"/>
      <c r="CC523" s="724"/>
      <c r="CD523" s="724"/>
      <c r="CE523" s="724"/>
      <c r="CF523" s="724"/>
      <c r="CG523" s="724"/>
      <c r="CH523" s="724"/>
      <c r="CI523" s="724"/>
      <c r="CJ523" s="724"/>
      <c r="CK523" s="724"/>
      <c r="CL523" s="724"/>
      <c r="CM523" s="724"/>
      <c r="CN523" s="724"/>
      <c r="CO523" s="724"/>
      <c r="CP523" s="724"/>
      <c r="CQ523" s="724"/>
      <c r="CR523" s="724"/>
    </row>
    <row r="524" s="660" customFormat="1" ht="31" customHeight="1" spans="1:108">
      <c r="A524" s="869">
        <v>46134</v>
      </c>
      <c r="B524" s="870" t="s">
        <v>1532</v>
      </c>
      <c r="C524" s="871" t="s">
        <v>1533</v>
      </c>
      <c r="D524" s="872" t="s">
        <v>5628</v>
      </c>
      <c r="E524" s="871" t="s">
        <v>1534</v>
      </c>
      <c r="F524" s="872" t="s">
        <v>5629</v>
      </c>
      <c r="G524" s="873" t="s">
        <v>3973</v>
      </c>
      <c r="H524" s="871" t="s">
        <v>3995</v>
      </c>
      <c r="I524" s="874">
        <v>32</v>
      </c>
      <c r="J524" s="871">
        <v>0</v>
      </c>
      <c r="K524" s="871">
        <v>16</v>
      </c>
      <c r="L524" s="871">
        <f t="shared" si="99"/>
        <v>2</v>
      </c>
      <c r="M524" s="875">
        <v>46206</v>
      </c>
      <c r="N524" s="875">
        <v>46202</v>
      </c>
      <c r="O524" s="870"/>
      <c r="P524" s="874" t="s">
        <v>1410</v>
      </c>
      <c r="Q524" s="874"/>
      <c r="R524" s="876">
        <v>46177</v>
      </c>
      <c r="S524" s="877" t="s">
        <v>107</v>
      </c>
      <c r="T524" s="877" t="s">
        <v>5630</v>
      </c>
      <c r="U524" s="877"/>
      <c r="V524" s="877"/>
      <c r="W524" s="877"/>
      <c r="X524" s="877" t="s">
        <v>5211</v>
      </c>
      <c r="Y524" s="875" t="s">
        <v>1169</v>
      </c>
      <c r="Z524" s="878">
        <v>4.5847</v>
      </c>
      <c r="AA524" s="872">
        <f>I524*Z524</f>
        <v>146.7104</v>
      </c>
      <c r="AB524" s="831"/>
      <c r="AC524" s="872" t="s">
        <v>4108</v>
      </c>
      <c r="AD524" s="871" t="s">
        <v>112</v>
      </c>
      <c r="AE524" s="871">
        <f t="shared" si="101"/>
        <v>32</v>
      </c>
      <c r="AF524" s="871"/>
      <c r="AG524" s="871">
        <v>32</v>
      </c>
      <c r="AH524" s="871">
        <f t="shared" si="95"/>
        <v>0</v>
      </c>
      <c r="AI524" s="874" t="s">
        <v>4064</v>
      </c>
      <c r="AJ524" s="871" t="s">
        <v>3981</v>
      </c>
      <c r="AK524" s="872"/>
      <c r="AL524" s="872">
        <f>I524</f>
        <v>32</v>
      </c>
      <c r="AM524" s="872"/>
      <c r="AN524" s="872">
        <f t="shared" ref="AN524:AN539" si="103">I524</f>
        <v>32</v>
      </c>
      <c r="AO524" s="872"/>
      <c r="AP524" s="872"/>
      <c r="AQ524" s="872"/>
      <c r="AR524" s="872"/>
      <c r="AS524" s="872"/>
      <c r="AT524" s="872"/>
      <c r="AU524" s="872">
        <f>I524/8</f>
        <v>4</v>
      </c>
      <c r="AV524" s="872"/>
      <c r="AW524" s="872"/>
      <c r="AX524" s="872"/>
      <c r="AY524" s="872"/>
      <c r="AZ524" s="872"/>
      <c r="BA524" s="872"/>
      <c r="BB524" s="872"/>
      <c r="BC524" s="872"/>
      <c r="BD524" s="872"/>
      <c r="BE524" s="872"/>
      <c r="BF524" s="872"/>
      <c r="BG524" s="872"/>
      <c r="BH524" s="872"/>
      <c r="BI524" s="872"/>
    </row>
    <row r="525" s="650" customFormat="1" ht="31" customHeight="1" spans="1:108">
      <c r="A525" s="713">
        <v>46120</v>
      </c>
      <c r="B525" s="745" t="s">
        <v>1485</v>
      </c>
      <c r="C525" s="746" t="s">
        <v>1439</v>
      </c>
      <c r="D525" s="747" t="s">
        <v>5631</v>
      </c>
      <c r="E525" s="746" t="s">
        <v>5632</v>
      </c>
      <c r="F525" s="747" t="s">
        <v>5633</v>
      </c>
      <c r="G525" s="746" t="s">
        <v>4028</v>
      </c>
      <c r="H525" s="746" t="s">
        <v>3978</v>
      </c>
      <c r="I525" s="748">
        <v>1800</v>
      </c>
      <c r="J525" s="746">
        <v>0</v>
      </c>
      <c r="K525" s="746">
        <v>8</v>
      </c>
      <c r="L525" s="715">
        <f t="shared" si="99"/>
        <v>225</v>
      </c>
      <c r="M525" s="719">
        <v>46206</v>
      </c>
      <c r="N525" s="738">
        <v>46253</v>
      </c>
      <c r="O525" s="714"/>
      <c r="P525" s="717" t="s">
        <v>1410</v>
      </c>
      <c r="Q525" s="717"/>
      <c r="R525" s="723" t="s">
        <v>1487</v>
      </c>
      <c r="S525" s="720" t="s">
        <v>107</v>
      </c>
      <c r="T525" s="720" t="s">
        <v>5634</v>
      </c>
      <c r="U525" s="720"/>
      <c r="V525" s="720" t="s">
        <v>4347</v>
      </c>
      <c r="W525" s="720"/>
      <c r="X525" s="714" t="s">
        <v>1491</v>
      </c>
      <c r="Y525" s="749" t="s">
        <v>1492</v>
      </c>
      <c r="Z525" s="750">
        <v>5</v>
      </c>
      <c r="AA525" s="652">
        <f>L525*Z525</f>
        <v>1125</v>
      </c>
      <c r="AB525" s="721"/>
      <c r="AC525" s="722" t="s">
        <v>4031</v>
      </c>
      <c r="AD525" s="715" t="s">
        <v>112</v>
      </c>
      <c r="AE525" s="715">
        <f t="shared" si="101"/>
        <v>1800</v>
      </c>
      <c r="AF525" s="715"/>
      <c r="AG525" s="715">
        <v>1800</v>
      </c>
      <c r="AH525" s="715">
        <f t="shared" si="95"/>
        <v>0</v>
      </c>
      <c r="AI525" s="717" t="s">
        <v>4064</v>
      </c>
      <c r="AJ525" s="715" t="s">
        <v>3981</v>
      </c>
      <c r="AK525" s="652"/>
      <c r="AL525" s="652">
        <f>I525</f>
        <v>1800</v>
      </c>
      <c r="AM525" s="652"/>
      <c r="AN525" s="652">
        <f t="shared" si="103"/>
        <v>1800</v>
      </c>
      <c r="AO525" s="652"/>
      <c r="AP525" s="652"/>
      <c r="AQ525" s="652"/>
      <c r="AR525" s="652"/>
      <c r="AS525" s="652"/>
      <c r="AT525" s="652"/>
      <c r="AU525" s="652">
        <f>I525/8</f>
        <v>225</v>
      </c>
      <c r="AV525" s="652"/>
      <c r="AW525" s="652"/>
      <c r="AX525" s="652"/>
      <c r="AY525" s="652"/>
      <c r="AZ525" s="652"/>
      <c r="BA525" s="652"/>
      <c r="BB525" s="652"/>
      <c r="BC525" s="652"/>
      <c r="BD525" s="652"/>
      <c r="BE525" s="652"/>
      <c r="BF525" s="652"/>
      <c r="BG525" s="652"/>
      <c r="BH525" s="652"/>
      <c r="BI525" s="652"/>
    </row>
    <row r="526" s="657" customFormat="1" ht="31" customHeight="1" spans="1:108">
      <c r="A526" s="819">
        <v>46122</v>
      </c>
      <c r="B526" s="860" t="s">
        <v>1682</v>
      </c>
      <c r="C526" s="708" t="s">
        <v>148</v>
      </c>
      <c r="D526" s="834" t="s">
        <v>5635</v>
      </c>
      <c r="E526" s="708" t="s">
        <v>1726</v>
      </c>
      <c r="F526" s="834" t="s">
        <v>1727</v>
      </c>
      <c r="G526" s="846" t="s">
        <v>4337</v>
      </c>
      <c r="H526" s="708" t="s">
        <v>151</v>
      </c>
      <c r="I526" s="861">
        <v>72</v>
      </c>
      <c r="J526" s="708">
        <v>0</v>
      </c>
      <c r="K526" s="708">
        <v>24</v>
      </c>
      <c r="L526" s="708">
        <f t="shared" si="99"/>
        <v>3</v>
      </c>
      <c r="M526" s="862">
        <v>46213</v>
      </c>
      <c r="N526" s="879">
        <v>46227</v>
      </c>
      <c r="O526" s="860"/>
      <c r="P526" s="861"/>
      <c r="Q526" s="861"/>
      <c r="R526" s="827" t="s">
        <v>5015</v>
      </c>
      <c r="S526" s="829" t="s">
        <v>107</v>
      </c>
      <c r="T526" s="829" t="s">
        <v>1444</v>
      </c>
      <c r="U526" s="829"/>
      <c r="V526" s="829"/>
      <c r="W526" s="829"/>
      <c r="X526" s="829" t="s">
        <v>5636</v>
      </c>
      <c r="Y526" s="862" t="s">
        <v>1446</v>
      </c>
      <c r="Z526" s="866">
        <v>203.2712</v>
      </c>
      <c r="AA526" s="834">
        <f>L526*Z526</f>
        <v>609.8136</v>
      </c>
      <c r="AB526" s="831"/>
      <c r="AC526" s="836" t="s">
        <v>5064</v>
      </c>
      <c r="AD526" s="821" t="s">
        <v>112</v>
      </c>
      <c r="AE526" s="708">
        <f t="shared" si="101"/>
        <v>72</v>
      </c>
      <c r="AF526" s="708"/>
      <c r="AG526" s="708"/>
      <c r="AH526" s="833">
        <f t="shared" si="95"/>
        <v>-72</v>
      </c>
      <c r="AI526" s="861"/>
      <c r="AJ526" s="708" t="s">
        <v>3981</v>
      </c>
      <c r="AK526" s="834"/>
      <c r="AL526" s="834">
        <f>I526</f>
        <v>72</v>
      </c>
      <c r="AM526" s="834"/>
      <c r="AN526" s="834">
        <f t="shared" si="103"/>
        <v>72</v>
      </c>
      <c r="AO526" s="834"/>
      <c r="AP526" s="834"/>
      <c r="AQ526" s="834"/>
      <c r="AR526" s="834"/>
      <c r="AS526" s="834"/>
      <c r="AT526" s="834"/>
      <c r="AU526" s="834"/>
      <c r="AV526" s="834"/>
      <c r="AW526" s="834"/>
      <c r="AX526" s="834"/>
      <c r="AY526" s="834"/>
      <c r="AZ526" s="834"/>
      <c r="BA526" s="834"/>
      <c r="BB526" s="834"/>
      <c r="BC526" s="834"/>
      <c r="BD526" s="834"/>
      <c r="BE526" s="834"/>
      <c r="BF526" s="834"/>
      <c r="BG526" s="834"/>
      <c r="BH526" s="834"/>
      <c r="BI526" s="834"/>
      <c r="BJ526" s="659"/>
      <c r="BK526" s="659"/>
      <c r="BL526" s="659"/>
      <c r="BM526" s="659"/>
      <c r="BN526" s="659"/>
      <c r="BO526" s="659"/>
      <c r="BP526" s="659"/>
      <c r="BQ526" s="659"/>
      <c r="BR526" s="659"/>
      <c r="BS526" s="659"/>
      <c r="BT526" s="659"/>
      <c r="BU526" s="659"/>
      <c r="BV526" s="659"/>
      <c r="BW526" s="659"/>
      <c r="BX526" s="659"/>
      <c r="BY526" s="659"/>
      <c r="BZ526" s="659"/>
      <c r="CA526" s="659"/>
      <c r="CB526" s="659"/>
      <c r="CC526" s="659"/>
      <c r="CD526" s="659"/>
      <c r="CE526" s="659"/>
      <c r="CF526" s="659"/>
      <c r="CG526" s="659"/>
      <c r="CH526" s="659"/>
      <c r="CI526" s="659"/>
      <c r="CJ526" s="659"/>
      <c r="CK526" s="659"/>
      <c r="CL526" s="659"/>
      <c r="CM526" s="659"/>
      <c r="CN526" s="659"/>
      <c r="CO526" s="659"/>
      <c r="CP526" s="659"/>
      <c r="CQ526" s="659"/>
      <c r="CR526" s="659"/>
      <c r="CS526" s="659"/>
      <c r="CT526" s="659"/>
      <c r="CU526" s="659"/>
      <c r="CV526" s="659"/>
      <c r="CW526" s="659"/>
      <c r="CX526" s="659"/>
      <c r="CY526" s="659"/>
      <c r="CZ526" s="659"/>
      <c r="DA526" s="659"/>
      <c r="DB526" s="659"/>
      <c r="DC526" s="659"/>
      <c r="DD526" s="659"/>
    </row>
    <row r="527" s="657" customFormat="1" ht="31" customHeight="1" spans="1:108">
      <c r="A527" s="819">
        <v>46122</v>
      </c>
      <c r="B527" s="860" t="s">
        <v>1682</v>
      </c>
      <c r="C527" s="708" t="s">
        <v>148</v>
      </c>
      <c r="D527" s="834" t="s">
        <v>5635</v>
      </c>
      <c r="E527" s="708" t="s">
        <v>1729</v>
      </c>
      <c r="F527" s="834" t="s">
        <v>1730</v>
      </c>
      <c r="G527" s="846" t="s">
        <v>4337</v>
      </c>
      <c r="H527" s="708" t="s">
        <v>151</v>
      </c>
      <c r="I527" s="861">
        <v>2304</v>
      </c>
      <c r="J527" s="708">
        <v>0</v>
      </c>
      <c r="K527" s="708">
        <v>24</v>
      </c>
      <c r="L527" s="708">
        <f t="shared" si="99"/>
        <v>96</v>
      </c>
      <c r="M527" s="862">
        <v>46213</v>
      </c>
      <c r="N527" s="879">
        <v>46227</v>
      </c>
      <c r="O527" s="860"/>
      <c r="P527" s="861"/>
      <c r="Q527" s="861"/>
      <c r="R527" s="827" t="s">
        <v>5015</v>
      </c>
      <c r="S527" s="829" t="s">
        <v>107</v>
      </c>
      <c r="T527" s="829" t="s">
        <v>1444</v>
      </c>
      <c r="U527" s="829"/>
      <c r="V527" s="829"/>
      <c r="W527" s="829"/>
      <c r="X527" s="829" t="s">
        <v>5636</v>
      </c>
      <c r="Y527" s="862" t="s">
        <v>1446</v>
      </c>
      <c r="Z527" s="866">
        <v>202.3808</v>
      </c>
      <c r="AA527" s="834">
        <f>L527*Z527</f>
        <v>19428.5568</v>
      </c>
      <c r="AB527" s="831"/>
      <c r="AC527" s="836" t="s">
        <v>5064</v>
      </c>
      <c r="AD527" s="821" t="s">
        <v>112</v>
      </c>
      <c r="AE527" s="708">
        <f t="shared" si="101"/>
        <v>2304</v>
      </c>
      <c r="AF527" s="708"/>
      <c r="AG527" s="708"/>
      <c r="AH527" s="833">
        <f t="shared" si="95"/>
        <v>-2304</v>
      </c>
      <c r="AI527" s="861"/>
      <c r="AJ527" s="708" t="s">
        <v>3981</v>
      </c>
      <c r="AK527" s="834"/>
      <c r="AL527" s="834">
        <f>I527</f>
        <v>2304</v>
      </c>
      <c r="AM527" s="834"/>
      <c r="AN527" s="834">
        <f t="shared" si="103"/>
        <v>2304</v>
      </c>
      <c r="AO527" s="834"/>
      <c r="AP527" s="834"/>
      <c r="AQ527" s="834"/>
      <c r="AR527" s="834"/>
      <c r="AS527" s="834"/>
      <c r="AT527" s="834"/>
      <c r="AU527" s="834"/>
      <c r="AV527" s="834"/>
      <c r="AW527" s="834"/>
      <c r="AX527" s="834"/>
      <c r="AY527" s="834"/>
      <c r="AZ527" s="834"/>
      <c r="BA527" s="834"/>
      <c r="BB527" s="834"/>
      <c r="BC527" s="834"/>
      <c r="BD527" s="834"/>
      <c r="BE527" s="834"/>
      <c r="BF527" s="834"/>
      <c r="BG527" s="834"/>
      <c r="BH527" s="834"/>
      <c r="BI527" s="834"/>
      <c r="BJ527" s="835"/>
      <c r="BK527" s="835"/>
      <c r="BL527" s="835"/>
      <c r="BM527" s="835"/>
      <c r="BN527" s="835"/>
      <c r="BO527" s="835"/>
      <c r="BP527" s="835"/>
      <c r="BQ527" s="835"/>
      <c r="BR527" s="835"/>
      <c r="BS527" s="835"/>
      <c r="BT527" s="835"/>
      <c r="BU527" s="835"/>
      <c r="BV527" s="835"/>
      <c r="BW527" s="835"/>
      <c r="BX527" s="835"/>
      <c r="BY527" s="835"/>
      <c r="BZ527" s="835"/>
      <c r="CA527" s="835"/>
      <c r="CB527" s="835"/>
      <c r="CC527" s="835"/>
      <c r="CD527" s="835"/>
      <c r="CE527" s="835"/>
      <c r="CF527" s="835"/>
      <c r="CG527" s="835"/>
      <c r="CH527" s="835"/>
      <c r="CI527" s="835"/>
      <c r="CJ527" s="835"/>
      <c r="CK527" s="835"/>
      <c r="CL527" s="835"/>
      <c r="CM527" s="835"/>
      <c r="CN527" s="835"/>
      <c r="CO527" s="835"/>
      <c r="CP527" s="835"/>
      <c r="CQ527" s="835"/>
      <c r="CR527" s="835"/>
      <c r="CS527" s="659"/>
      <c r="CT527" s="659"/>
      <c r="CU527" s="659"/>
      <c r="CV527" s="659"/>
      <c r="CW527" s="659"/>
      <c r="CX527" s="659"/>
      <c r="CY527" s="659"/>
      <c r="CZ527" s="659"/>
      <c r="DA527" s="659"/>
      <c r="DB527" s="659"/>
      <c r="DC527" s="659"/>
      <c r="DD527" s="659"/>
    </row>
    <row r="528" s="650" customFormat="1" ht="31" customHeight="1" spans="1:108">
      <c r="A528" s="713">
        <v>46129</v>
      </c>
      <c r="B528" s="714" t="s">
        <v>1676</v>
      </c>
      <c r="C528" s="715" t="s">
        <v>1439</v>
      </c>
      <c r="D528" s="652" t="s">
        <v>5637</v>
      </c>
      <c r="E528" s="715" t="s">
        <v>628</v>
      </c>
      <c r="F528" s="652" t="s">
        <v>1677</v>
      </c>
      <c r="G528" s="716" t="s">
        <v>4359</v>
      </c>
      <c r="H528" s="715" t="s">
        <v>804</v>
      </c>
      <c r="I528" s="717">
        <v>1800</v>
      </c>
      <c r="J528" s="715">
        <v>0</v>
      </c>
      <c r="K528" s="715">
        <v>6</v>
      </c>
      <c r="L528" s="718">
        <f t="shared" si="99"/>
        <v>300</v>
      </c>
      <c r="M528" s="719">
        <v>46213</v>
      </c>
      <c r="N528" s="738">
        <v>46227</v>
      </c>
      <c r="O528" s="717"/>
      <c r="P528" s="717" t="s">
        <v>1410</v>
      </c>
      <c r="Q528" s="715"/>
      <c r="R528" s="723" t="s">
        <v>4994</v>
      </c>
      <c r="S528" s="720" t="s">
        <v>95</v>
      </c>
      <c r="T528" s="720" t="s">
        <v>5638</v>
      </c>
      <c r="U528" s="720"/>
      <c r="V528" s="714" t="s">
        <v>1680</v>
      </c>
      <c r="W528" s="652"/>
      <c r="X528" s="714" t="s">
        <v>1681</v>
      </c>
      <c r="Y528" s="719" t="s">
        <v>722</v>
      </c>
      <c r="Z528" s="652">
        <v>8.15</v>
      </c>
      <c r="AA528" s="722">
        <f>I528*Z528</f>
        <v>14670</v>
      </c>
      <c r="AB528" s="803"/>
      <c r="AC528" s="747" t="s">
        <v>952</v>
      </c>
      <c r="AD528" s="715" t="s">
        <v>112</v>
      </c>
      <c r="AE528" s="715">
        <f t="shared" si="101"/>
        <v>1800</v>
      </c>
      <c r="AF528" s="717"/>
      <c r="AG528" s="715">
        <v>1800</v>
      </c>
      <c r="AH528" s="715">
        <f t="shared" si="95"/>
        <v>0</v>
      </c>
      <c r="AI528" s="652"/>
      <c r="AJ528" s="715" t="s">
        <v>3981</v>
      </c>
      <c r="AK528" s="804"/>
      <c r="AL528" s="652"/>
      <c r="AM528" s="652"/>
      <c r="AN528" s="652">
        <f t="shared" si="103"/>
        <v>1800</v>
      </c>
      <c r="AO528" s="652"/>
      <c r="AP528" s="652"/>
      <c r="AQ528" s="804"/>
      <c r="AR528" s="804"/>
      <c r="AS528" s="652"/>
      <c r="AT528" s="652"/>
      <c r="AU528" s="804"/>
      <c r="AV528" s="804"/>
      <c r="AW528" s="804"/>
      <c r="AX528" s="804"/>
      <c r="AY528" s="804"/>
      <c r="AZ528" s="804"/>
      <c r="BA528" s="652"/>
      <c r="BB528" s="652"/>
      <c r="BC528" s="652"/>
      <c r="BD528" s="652"/>
      <c r="BE528" s="652"/>
      <c r="BF528" s="652"/>
      <c r="BG528" s="652"/>
      <c r="BH528" s="652"/>
      <c r="BI528" s="652">
        <f>I528</f>
        <v>1800</v>
      </c>
    </row>
    <row r="529" s="657" customFormat="1" ht="31" customHeight="1" spans="1:108">
      <c r="A529" s="819">
        <v>46157</v>
      </c>
      <c r="B529" s="860" t="s">
        <v>5639</v>
      </c>
      <c r="C529" s="708" t="s">
        <v>164</v>
      </c>
      <c r="D529" s="880">
        <v>4500207316</v>
      </c>
      <c r="E529" s="708" t="s">
        <v>5640</v>
      </c>
      <c r="F529" s="834" t="s">
        <v>5641</v>
      </c>
      <c r="G529" s="846" t="s">
        <v>3980</v>
      </c>
      <c r="H529" s="708" t="s">
        <v>3978</v>
      </c>
      <c r="I529" s="861">
        <v>304</v>
      </c>
      <c r="J529" s="708">
        <v>0</v>
      </c>
      <c r="K529" s="708">
        <v>8</v>
      </c>
      <c r="L529" s="708">
        <f t="shared" si="99"/>
        <v>38</v>
      </c>
      <c r="M529" s="862">
        <v>46216</v>
      </c>
      <c r="N529" s="862">
        <v>46212</v>
      </c>
      <c r="O529" s="860"/>
      <c r="P529" s="861"/>
      <c r="Q529" s="861"/>
      <c r="R529" s="864">
        <v>46175</v>
      </c>
      <c r="S529" s="828" t="s">
        <v>107</v>
      </c>
      <c r="T529" s="828" t="s">
        <v>5642</v>
      </c>
      <c r="U529" s="828"/>
      <c r="V529" s="829"/>
      <c r="W529" s="829"/>
      <c r="X529" s="829" t="s">
        <v>5643</v>
      </c>
      <c r="Y529" s="862" t="s">
        <v>5644</v>
      </c>
      <c r="Z529" s="866">
        <v>4.6676</v>
      </c>
      <c r="AA529" s="834">
        <f>Z529*I529</f>
        <v>1418.9504</v>
      </c>
      <c r="AB529" s="831"/>
      <c r="AC529" s="836" t="s">
        <v>4031</v>
      </c>
      <c r="AD529" s="821" t="s">
        <v>112</v>
      </c>
      <c r="AE529" s="708">
        <f t="shared" si="101"/>
        <v>304</v>
      </c>
      <c r="AF529" s="821" t="s">
        <v>4109</v>
      </c>
      <c r="AG529" s="708">
        <v>304</v>
      </c>
      <c r="AH529" s="833">
        <f t="shared" si="95"/>
        <v>0</v>
      </c>
      <c r="AI529" s="824" t="s">
        <v>120</v>
      </c>
      <c r="AJ529" s="708" t="s">
        <v>3981</v>
      </c>
      <c r="AK529" s="834"/>
      <c r="AL529" s="868">
        <f>I529</f>
        <v>304</v>
      </c>
      <c r="AM529" s="822"/>
      <c r="AN529" s="834">
        <f t="shared" si="103"/>
        <v>304</v>
      </c>
      <c r="AO529" s="834"/>
      <c r="AP529" s="834"/>
      <c r="AQ529" s="834"/>
      <c r="AR529" s="834"/>
      <c r="AS529" s="834"/>
      <c r="AT529" s="834"/>
      <c r="AU529" s="868">
        <f>I529/8</f>
        <v>38</v>
      </c>
      <c r="AV529" s="834"/>
      <c r="AW529" s="834"/>
      <c r="AX529" s="834"/>
      <c r="AY529" s="834"/>
      <c r="AZ529" s="834"/>
      <c r="BA529" s="834"/>
      <c r="BB529" s="834"/>
      <c r="BC529" s="834"/>
      <c r="BD529" s="834"/>
      <c r="BE529" s="834"/>
      <c r="BF529" s="834"/>
      <c r="BG529" s="834"/>
      <c r="BH529" s="834"/>
      <c r="BI529" s="834"/>
      <c r="BJ529" s="835"/>
      <c r="BK529" s="835"/>
      <c r="BL529" s="835"/>
      <c r="BM529" s="835"/>
      <c r="BN529" s="835"/>
      <c r="BO529" s="835"/>
      <c r="BP529" s="835"/>
      <c r="BQ529" s="835"/>
      <c r="BR529" s="835"/>
      <c r="BS529" s="835"/>
      <c r="BT529" s="835"/>
      <c r="BU529" s="835"/>
      <c r="BV529" s="835"/>
      <c r="BW529" s="835"/>
      <c r="BX529" s="835"/>
      <c r="BY529" s="835"/>
      <c r="BZ529" s="835"/>
      <c r="CA529" s="835"/>
      <c r="CB529" s="835"/>
      <c r="CC529" s="835"/>
      <c r="CD529" s="835"/>
      <c r="CE529" s="835"/>
      <c r="CF529" s="835"/>
      <c r="CG529" s="835"/>
      <c r="CH529" s="835"/>
      <c r="CI529" s="835"/>
      <c r="CJ529" s="835"/>
      <c r="CK529" s="835"/>
      <c r="CL529" s="835"/>
      <c r="CM529" s="835"/>
      <c r="CN529" s="835"/>
      <c r="CO529" s="835"/>
      <c r="CP529" s="835"/>
      <c r="CQ529" s="835"/>
      <c r="CR529" s="835"/>
      <c r="CS529" s="667"/>
      <c r="CT529" s="667"/>
      <c r="CU529" s="667"/>
      <c r="CV529" s="667"/>
      <c r="CW529" s="667"/>
      <c r="CX529" s="667"/>
      <c r="CY529" s="667"/>
      <c r="CZ529" s="667"/>
      <c r="DA529" s="667"/>
      <c r="DB529" s="667"/>
      <c r="DC529" s="667"/>
      <c r="DD529" s="667"/>
    </row>
    <row r="530" s="657" customFormat="1" ht="31" customHeight="1" spans="1:108">
      <c r="A530" s="819">
        <v>46183</v>
      </c>
      <c r="B530" s="820" t="s">
        <v>5645</v>
      </c>
      <c r="C530" s="821" t="s">
        <v>1461</v>
      </c>
      <c r="D530" s="822">
        <v>4500211547</v>
      </c>
      <c r="E530" s="821"/>
      <c r="F530" s="822" t="s">
        <v>5646</v>
      </c>
      <c r="G530" s="823" t="s">
        <v>3968</v>
      </c>
      <c r="H530" s="708" t="s">
        <v>3969</v>
      </c>
      <c r="I530" s="824">
        <v>1008</v>
      </c>
      <c r="J530" s="821">
        <v>0</v>
      </c>
      <c r="K530" s="821">
        <v>16</v>
      </c>
      <c r="L530" s="821">
        <f t="shared" si="99"/>
        <v>63</v>
      </c>
      <c r="M530" s="825">
        <v>46223</v>
      </c>
      <c r="N530" s="863">
        <v>46230</v>
      </c>
      <c r="O530" s="820"/>
      <c r="P530" s="824"/>
      <c r="Q530" s="824"/>
      <c r="R530" s="864">
        <v>46198</v>
      </c>
      <c r="S530" s="828" t="s">
        <v>107</v>
      </c>
      <c r="T530" s="828" t="s">
        <v>5647</v>
      </c>
      <c r="U530" s="828"/>
      <c r="V530" s="829"/>
      <c r="W530" s="828"/>
      <c r="X530" s="828" t="s">
        <v>5648</v>
      </c>
      <c r="Y530" s="825" t="s">
        <v>1130</v>
      </c>
      <c r="Z530" s="830">
        <v>4.6846</v>
      </c>
      <c r="AA530" s="822">
        <f>I530*Z530</f>
        <v>4722.0768</v>
      </c>
      <c r="AB530" s="831"/>
      <c r="AC530" s="846" t="s">
        <v>3968</v>
      </c>
      <c r="AD530" s="821" t="s">
        <v>112</v>
      </c>
      <c r="AE530" s="821">
        <f t="shared" si="101"/>
        <v>1008</v>
      </c>
      <c r="AF530" s="821"/>
      <c r="AG530" s="708">
        <v>1008</v>
      </c>
      <c r="AH530" s="833">
        <f t="shared" si="95"/>
        <v>0</v>
      </c>
      <c r="AI530" s="824"/>
      <c r="AJ530" s="708" t="s">
        <v>3981</v>
      </c>
      <c r="AK530" s="834">
        <f>I530</f>
        <v>1008</v>
      </c>
      <c r="AL530" s="834"/>
      <c r="AM530" s="822"/>
      <c r="AN530" s="834">
        <f t="shared" si="103"/>
        <v>1008</v>
      </c>
      <c r="AO530" s="822"/>
      <c r="AP530" s="822"/>
      <c r="AQ530" s="822"/>
      <c r="AR530" s="822"/>
      <c r="AS530" s="822"/>
      <c r="AT530" s="822"/>
      <c r="AU530" s="834"/>
      <c r="AV530" s="834"/>
      <c r="AW530" s="834"/>
      <c r="AX530" s="822"/>
      <c r="AY530" s="822"/>
      <c r="AZ530" s="822"/>
      <c r="BA530" s="822"/>
      <c r="BB530" s="822"/>
      <c r="BC530" s="822"/>
      <c r="BD530" s="822"/>
      <c r="BE530" s="822"/>
      <c r="BF530" s="822"/>
      <c r="BG530" s="822"/>
      <c r="BH530" s="822"/>
      <c r="BI530" s="822"/>
      <c r="BJ530" s="659"/>
      <c r="BK530" s="659"/>
      <c r="BL530" s="659"/>
      <c r="BM530" s="659"/>
      <c r="BN530" s="659"/>
      <c r="BO530" s="659"/>
      <c r="BP530" s="659"/>
      <c r="BQ530" s="659"/>
      <c r="BR530" s="659"/>
      <c r="BS530" s="659"/>
      <c r="BT530" s="659"/>
      <c r="BU530" s="659"/>
      <c r="BV530" s="659"/>
      <c r="BW530" s="659"/>
      <c r="BX530" s="659"/>
      <c r="BY530" s="659"/>
      <c r="BZ530" s="659"/>
      <c r="CA530" s="659"/>
      <c r="CB530" s="659"/>
      <c r="CC530" s="659"/>
      <c r="CD530" s="659"/>
      <c r="CE530" s="659"/>
      <c r="CF530" s="659"/>
      <c r="CG530" s="659"/>
      <c r="CH530" s="659"/>
      <c r="CI530" s="659"/>
      <c r="CJ530" s="659"/>
      <c r="CK530" s="659"/>
      <c r="CL530" s="659"/>
      <c r="CM530" s="659"/>
      <c r="CN530" s="659"/>
      <c r="CO530" s="659"/>
      <c r="CP530" s="659"/>
      <c r="CQ530" s="659"/>
      <c r="CR530" s="659"/>
      <c r="CS530" s="659"/>
      <c r="CT530" s="659"/>
      <c r="CU530" s="659"/>
      <c r="CV530" s="659"/>
      <c r="CW530" s="659"/>
      <c r="CX530" s="659"/>
      <c r="CY530" s="659"/>
      <c r="CZ530" s="659"/>
      <c r="DA530" s="659"/>
      <c r="DB530" s="659"/>
      <c r="DC530" s="659"/>
      <c r="DD530" s="659"/>
    </row>
    <row r="531" s="657" customFormat="1" ht="31" customHeight="1" spans="1:108">
      <c r="A531" s="819">
        <v>46134</v>
      </c>
      <c r="B531" s="860" t="s">
        <v>1532</v>
      </c>
      <c r="C531" s="708" t="s">
        <v>1533</v>
      </c>
      <c r="D531" s="834" t="s">
        <v>5649</v>
      </c>
      <c r="E531" s="708" t="s">
        <v>2429</v>
      </c>
      <c r="F531" s="834" t="s">
        <v>2430</v>
      </c>
      <c r="G531" s="846" t="s">
        <v>4337</v>
      </c>
      <c r="H531" s="708" t="s">
        <v>151</v>
      </c>
      <c r="I531" s="881">
        <v>312</v>
      </c>
      <c r="J531" s="708">
        <v>0</v>
      </c>
      <c r="K531" s="708">
        <v>24</v>
      </c>
      <c r="L531" s="708">
        <f t="shared" si="99"/>
        <v>13</v>
      </c>
      <c r="M531" s="862">
        <v>46223</v>
      </c>
      <c r="N531" s="879">
        <v>46231</v>
      </c>
      <c r="O531" s="860"/>
      <c r="P531" s="861"/>
      <c r="Q531" s="861"/>
      <c r="R531" s="864">
        <v>46189</v>
      </c>
      <c r="S531" s="829" t="s">
        <v>107</v>
      </c>
      <c r="T531" s="828" t="s">
        <v>1537</v>
      </c>
      <c r="U531" s="829"/>
      <c r="V531" s="829"/>
      <c r="W531" s="829"/>
      <c r="X531" s="882" t="s">
        <v>5650</v>
      </c>
      <c r="Y531" s="862" t="s">
        <v>1169</v>
      </c>
      <c r="Z531" s="883">
        <v>214.994</v>
      </c>
      <c r="AA531" s="834">
        <f>L531*Z531</f>
        <v>2794.922</v>
      </c>
      <c r="AB531" s="831"/>
      <c r="AC531" s="836" t="s">
        <v>5064</v>
      </c>
      <c r="AD531" s="821" t="s">
        <v>112</v>
      </c>
      <c r="AE531" s="708">
        <f t="shared" si="101"/>
        <v>312</v>
      </c>
      <c r="AF531" s="708"/>
      <c r="AG531" s="708"/>
      <c r="AH531" s="833">
        <f t="shared" si="95"/>
        <v>-312</v>
      </c>
      <c r="AI531" s="861"/>
      <c r="AJ531" s="708" t="s">
        <v>3981</v>
      </c>
      <c r="AK531" s="834"/>
      <c r="AL531" s="834">
        <f>I531</f>
        <v>312</v>
      </c>
      <c r="AM531" s="834"/>
      <c r="AN531" s="834">
        <f t="shared" si="103"/>
        <v>312</v>
      </c>
      <c r="AO531" s="834"/>
      <c r="AP531" s="834"/>
      <c r="AQ531" s="834"/>
      <c r="AR531" s="834"/>
      <c r="AS531" s="834"/>
      <c r="AT531" s="834"/>
      <c r="AU531" s="834"/>
      <c r="AV531" s="834"/>
      <c r="AW531" s="834"/>
      <c r="AX531" s="834"/>
      <c r="AY531" s="834"/>
      <c r="AZ531" s="834"/>
      <c r="BA531" s="834">
        <f>I531/K531</f>
        <v>13</v>
      </c>
      <c r="BB531" s="834"/>
      <c r="BC531" s="834"/>
      <c r="BD531" s="834"/>
      <c r="BE531" s="834"/>
      <c r="BF531" s="834"/>
      <c r="BG531" s="834"/>
      <c r="BH531" s="834"/>
      <c r="BI531" s="834"/>
      <c r="BJ531" s="659"/>
      <c r="BK531" s="659"/>
      <c r="BL531" s="659"/>
      <c r="BM531" s="659"/>
      <c r="BN531" s="659"/>
      <c r="BO531" s="659"/>
      <c r="BP531" s="659"/>
      <c r="BQ531" s="659"/>
      <c r="BR531" s="659"/>
      <c r="BS531" s="659"/>
      <c r="BT531" s="659"/>
      <c r="BU531" s="659"/>
      <c r="BV531" s="659"/>
      <c r="BW531" s="659"/>
      <c r="BX531" s="659"/>
      <c r="BY531" s="659"/>
      <c r="BZ531" s="659"/>
      <c r="CA531" s="659"/>
      <c r="CB531" s="659"/>
      <c r="CC531" s="659"/>
      <c r="CD531" s="659"/>
      <c r="CE531" s="659"/>
      <c r="CF531" s="659"/>
      <c r="CG531" s="659"/>
      <c r="CH531" s="659"/>
      <c r="CI531" s="659"/>
      <c r="CJ531" s="659"/>
      <c r="CK531" s="659"/>
      <c r="CL531" s="659"/>
      <c r="CM531" s="659"/>
      <c r="CN531" s="659"/>
      <c r="CO531" s="659"/>
      <c r="CP531" s="659"/>
      <c r="CQ531" s="659"/>
      <c r="CR531" s="659"/>
      <c r="CS531" s="662"/>
      <c r="CT531" s="662"/>
      <c r="CU531" s="662"/>
      <c r="CV531" s="662"/>
      <c r="CW531" s="662"/>
      <c r="CX531" s="662"/>
      <c r="CY531" s="662"/>
      <c r="CZ531" s="662"/>
      <c r="DA531" s="662"/>
      <c r="DB531" s="662"/>
      <c r="DC531" s="662"/>
      <c r="DD531" s="662"/>
    </row>
    <row r="532" s="657" customFormat="1" ht="31" customHeight="1" spans="1:108">
      <c r="A532" s="819">
        <v>46168</v>
      </c>
      <c r="B532" s="820" t="s">
        <v>1532</v>
      </c>
      <c r="C532" s="821" t="s">
        <v>1533</v>
      </c>
      <c r="D532" s="822" t="s">
        <v>5362</v>
      </c>
      <c r="E532" s="821" t="s">
        <v>628</v>
      </c>
      <c r="F532" s="822" t="s">
        <v>2425</v>
      </c>
      <c r="G532" s="823" t="s">
        <v>4337</v>
      </c>
      <c r="H532" s="708" t="s">
        <v>151</v>
      </c>
      <c r="I532" s="824">
        <v>360</v>
      </c>
      <c r="J532" s="821">
        <v>0</v>
      </c>
      <c r="K532" s="821">
        <v>24</v>
      </c>
      <c r="L532" s="821">
        <f t="shared" si="99"/>
        <v>15</v>
      </c>
      <c r="M532" s="825">
        <v>46212</v>
      </c>
      <c r="N532" s="879">
        <v>46232</v>
      </c>
      <c r="O532" s="820"/>
      <c r="P532" s="824"/>
      <c r="Q532" s="824"/>
      <c r="R532" s="827">
        <v>46178</v>
      </c>
      <c r="S532" s="828" t="s">
        <v>107</v>
      </c>
      <c r="T532" s="828" t="s">
        <v>5651</v>
      </c>
      <c r="U532" s="828"/>
      <c r="V532" s="829"/>
      <c r="W532" s="828"/>
      <c r="X532" s="828" t="s">
        <v>5652</v>
      </c>
      <c r="Y532" s="825" t="s">
        <v>1169</v>
      </c>
      <c r="Z532" s="830">
        <v>214.994</v>
      </c>
      <c r="AA532" s="822">
        <f>L532*Z532</f>
        <v>3224.91</v>
      </c>
      <c r="AB532" s="831"/>
      <c r="AC532" s="836" t="s">
        <v>5064</v>
      </c>
      <c r="AD532" s="821" t="s">
        <v>112</v>
      </c>
      <c r="AE532" s="821">
        <f t="shared" si="101"/>
        <v>360</v>
      </c>
      <c r="AF532" s="821"/>
      <c r="AG532" s="708"/>
      <c r="AH532" s="833">
        <f t="shared" si="95"/>
        <v>-360</v>
      </c>
      <c r="AI532" s="824"/>
      <c r="AJ532" s="708" t="s">
        <v>3981</v>
      </c>
      <c r="AK532" s="822"/>
      <c r="AL532" s="834">
        <f>I532</f>
        <v>360</v>
      </c>
      <c r="AM532" s="822"/>
      <c r="AN532" s="834">
        <f t="shared" si="103"/>
        <v>360</v>
      </c>
      <c r="AO532" s="822"/>
      <c r="AP532" s="822"/>
      <c r="AQ532" s="822"/>
      <c r="AR532" s="822"/>
      <c r="AS532" s="822"/>
      <c r="AT532" s="822"/>
      <c r="AU532" s="834"/>
      <c r="AV532" s="834"/>
      <c r="AW532" s="834"/>
      <c r="AX532" s="822"/>
      <c r="AY532" s="822"/>
      <c r="AZ532" s="822"/>
      <c r="BA532" s="822">
        <f>L532</f>
        <v>15</v>
      </c>
      <c r="BB532" s="822"/>
      <c r="BC532" s="822"/>
      <c r="BD532" s="822"/>
      <c r="BE532" s="822"/>
      <c r="BF532" s="822"/>
      <c r="BG532" s="822"/>
      <c r="BH532" s="822"/>
      <c r="BI532" s="822"/>
      <c r="BJ532" s="659"/>
      <c r="BK532" s="659"/>
      <c r="BL532" s="659"/>
      <c r="BM532" s="659"/>
      <c r="BN532" s="659"/>
      <c r="BO532" s="659"/>
      <c r="BP532" s="659"/>
      <c r="BQ532" s="659"/>
      <c r="BR532" s="659"/>
      <c r="BS532" s="659"/>
      <c r="BT532" s="659"/>
      <c r="BU532" s="659"/>
      <c r="BV532" s="659"/>
      <c r="BW532" s="659"/>
      <c r="BX532" s="659"/>
      <c r="BY532" s="659"/>
      <c r="BZ532" s="659"/>
      <c r="CA532" s="659"/>
      <c r="CB532" s="659"/>
      <c r="CC532" s="659"/>
      <c r="CD532" s="659"/>
      <c r="CE532" s="659"/>
      <c r="CF532" s="659"/>
      <c r="CG532" s="659"/>
      <c r="CH532" s="659"/>
      <c r="CI532" s="659"/>
      <c r="CJ532" s="659"/>
      <c r="CK532" s="659"/>
      <c r="CL532" s="659"/>
      <c r="CM532" s="659"/>
      <c r="CN532" s="659"/>
      <c r="CO532" s="659"/>
      <c r="CP532" s="659"/>
      <c r="CQ532" s="659"/>
      <c r="CR532" s="659"/>
      <c r="CS532" s="662"/>
      <c r="CT532" s="662"/>
      <c r="CU532" s="662"/>
      <c r="CV532" s="662"/>
      <c r="CW532" s="662"/>
      <c r="CX532" s="662"/>
      <c r="CY532" s="662"/>
      <c r="CZ532" s="662"/>
      <c r="DA532" s="662"/>
      <c r="DB532" s="662"/>
      <c r="DC532" s="662"/>
      <c r="DD532" s="662"/>
    </row>
    <row r="533" s="657" customFormat="1" ht="31" customHeight="1" spans="1:108">
      <c r="A533" s="819">
        <v>46142</v>
      </c>
      <c r="B533" s="860" t="s">
        <v>1438</v>
      </c>
      <c r="C533" s="708" t="s">
        <v>1439</v>
      </c>
      <c r="D533" s="834" t="s">
        <v>5653</v>
      </c>
      <c r="E533" s="708" t="s">
        <v>1876</v>
      </c>
      <c r="F533" s="834" t="s">
        <v>1877</v>
      </c>
      <c r="G533" s="846" t="s">
        <v>4337</v>
      </c>
      <c r="H533" s="708" t="s">
        <v>151</v>
      </c>
      <c r="I533" s="861">
        <v>336</v>
      </c>
      <c r="J533" s="708">
        <v>0</v>
      </c>
      <c r="K533" s="708">
        <v>24</v>
      </c>
      <c r="L533" s="708">
        <f t="shared" si="99"/>
        <v>14</v>
      </c>
      <c r="M533" s="862">
        <v>46219</v>
      </c>
      <c r="N533" s="879">
        <v>46228</v>
      </c>
      <c r="O533" s="860"/>
      <c r="P533" s="861"/>
      <c r="Q533" s="861"/>
      <c r="R533" s="827" t="s">
        <v>5015</v>
      </c>
      <c r="S533" s="829" t="s">
        <v>107</v>
      </c>
      <c r="T533" s="829" t="s">
        <v>5016</v>
      </c>
      <c r="U533" s="829"/>
      <c r="V533" s="829" t="s">
        <v>5017</v>
      </c>
      <c r="W533" s="829"/>
      <c r="X533" s="829" t="s">
        <v>5654</v>
      </c>
      <c r="Y533" s="862" t="s">
        <v>1446</v>
      </c>
      <c r="Z533" s="866">
        <v>210.1148</v>
      </c>
      <c r="AA533" s="834">
        <f>L533*Z533</f>
        <v>2941.6072</v>
      </c>
      <c r="AB533" s="831"/>
      <c r="AC533" s="836" t="s">
        <v>5064</v>
      </c>
      <c r="AD533" s="821" t="s">
        <v>112</v>
      </c>
      <c r="AE533" s="708">
        <f t="shared" si="101"/>
        <v>336</v>
      </c>
      <c r="AF533" s="708"/>
      <c r="AG533" s="708"/>
      <c r="AH533" s="833">
        <f t="shared" si="95"/>
        <v>-336</v>
      </c>
      <c r="AI533" s="861"/>
      <c r="AJ533" s="708" t="s">
        <v>3981</v>
      </c>
      <c r="AK533" s="834"/>
      <c r="AL533" s="834">
        <f>I533</f>
        <v>336</v>
      </c>
      <c r="AM533" s="834"/>
      <c r="AN533" s="834">
        <f t="shared" si="103"/>
        <v>336</v>
      </c>
      <c r="AO533" s="834"/>
      <c r="AP533" s="834"/>
      <c r="AQ533" s="834"/>
      <c r="AR533" s="834"/>
      <c r="AS533" s="834"/>
      <c r="AT533" s="834"/>
      <c r="AU533" s="834"/>
      <c r="AV533" s="834"/>
      <c r="AW533" s="834"/>
      <c r="AX533" s="834"/>
      <c r="AY533" s="834"/>
      <c r="AZ533" s="834"/>
      <c r="BA533" s="834">
        <f>L533</f>
        <v>14</v>
      </c>
      <c r="BB533" s="834"/>
      <c r="BC533" s="834"/>
      <c r="BD533" s="834"/>
      <c r="BE533" s="834"/>
      <c r="BF533" s="834"/>
      <c r="BG533" s="834"/>
      <c r="BH533" s="834"/>
      <c r="BI533" s="834"/>
      <c r="BJ533" s="659"/>
      <c r="BK533" s="659"/>
      <c r="BL533" s="659"/>
      <c r="BM533" s="659"/>
      <c r="BN533" s="659"/>
      <c r="BO533" s="659"/>
      <c r="BP533" s="659"/>
      <c r="BQ533" s="659"/>
      <c r="BR533" s="659"/>
      <c r="BS533" s="659"/>
      <c r="BT533" s="659"/>
      <c r="BU533" s="659"/>
      <c r="BV533" s="659"/>
      <c r="BW533" s="659"/>
      <c r="BX533" s="659"/>
      <c r="BY533" s="659"/>
      <c r="BZ533" s="659"/>
      <c r="CA533" s="659"/>
      <c r="CB533" s="659"/>
      <c r="CC533" s="659"/>
      <c r="CD533" s="659"/>
      <c r="CE533" s="659"/>
      <c r="CF533" s="659"/>
      <c r="CG533" s="659"/>
      <c r="CH533" s="659"/>
      <c r="CI533" s="659"/>
      <c r="CJ533" s="659"/>
      <c r="CK533" s="659"/>
      <c r="CL533" s="659"/>
      <c r="CM533" s="659"/>
      <c r="CN533" s="659"/>
      <c r="CO533" s="659"/>
      <c r="CP533" s="659"/>
      <c r="CQ533" s="659"/>
      <c r="CR533" s="659"/>
      <c r="CS533" s="659"/>
      <c r="CT533" s="659"/>
      <c r="CU533" s="659"/>
      <c r="CV533" s="659"/>
      <c r="CW533" s="659"/>
      <c r="CX533" s="659"/>
      <c r="CY533" s="659"/>
      <c r="CZ533" s="659"/>
      <c r="DA533" s="659"/>
      <c r="DB533" s="659"/>
      <c r="DC533" s="659"/>
      <c r="DD533" s="659"/>
    </row>
    <row r="534" s="654" customFormat="1" ht="31" customHeight="1" spans="1:108">
      <c r="A534" s="713">
        <v>46148</v>
      </c>
      <c r="B534" s="714" t="s">
        <v>1149</v>
      </c>
      <c r="C534" s="715" t="s">
        <v>291</v>
      </c>
      <c r="D534" s="652" t="s">
        <v>5655</v>
      </c>
      <c r="E534" s="715" t="s">
        <v>5656</v>
      </c>
      <c r="F534" s="652" t="s">
        <v>2433</v>
      </c>
      <c r="G534" s="716" t="s">
        <v>4359</v>
      </c>
      <c r="H534" s="715" t="s">
        <v>804</v>
      </c>
      <c r="I534" s="752">
        <v>2004</v>
      </c>
      <c r="J534" s="715">
        <v>0</v>
      </c>
      <c r="K534" s="715">
        <v>6</v>
      </c>
      <c r="L534" s="715">
        <f t="shared" si="99"/>
        <v>334</v>
      </c>
      <c r="M534" s="719">
        <v>46223</v>
      </c>
      <c r="N534" s="884" t="s">
        <v>5657</v>
      </c>
      <c r="O534" s="714"/>
      <c r="P534" s="717" t="s">
        <v>1410</v>
      </c>
      <c r="Q534" s="717"/>
      <c r="R534" s="723">
        <v>46198</v>
      </c>
      <c r="S534" s="720" t="s">
        <v>95</v>
      </c>
      <c r="T534" s="720" t="s">
        <v>5658</v>
      </c>
      <c r="U534" s="720"/>
      <c r="V534" s="720"/>
      <c r="W534" s="720"/>
      <c r="X534" s="720" t="s">
        <v>2436</v>
      </c>
      <c r="Y534" s="719" t="s">
        <v>295</v>
      </c>
      <c r="Z534" s="730">
        <v>8.15</v>
      </c>
      <c r="AA534" s="652">
        <f>L534*Z534</f>
        <v>2722.1</v>
      </c>
      <c r="AB534" s="721"/>
      <c r="AC534" s="715" t="s">
        <v>952</v>
      </c>
      <c r="AD534" s="715" t="s">
        <v>112</v>
      </c>
      <c r="AE534" s="715">
        <f t="shared" si="101"/>
        <v>2004</v>
      </c>
      <c r="AF534" s="715"/>
      <c r="AG534" s="715">
        <v>2004</v>
      </c>
      <c r="AH534" s="715">
        <f t="shared" si="95"/>
        <v>0</v>
      </c>
      <c r="AI534" s="717"/>
      <c r="AJ534" s="715" t="s">
        <v>3981</v>
      </c>
      <c r="AK534" s="652"/>
      <c r="AL534" s="652"/>
      <c r="AM534" s="652"/>
      <c r="AN534" s="652">
        <f t="shared" si="103"/>
        <v>2004</v>
      </c>
      <c r="AO534" s="652"/>
      <c r="AP534" s="652"/>
      <c r="AQ534" s="652"/>
      <c r="AR534" s="652"/>
      <c r="AS534" s="652"/>
      <c r="AT534" s="652"/>
      <c r="AU534" s="652"/>
      <c r="AV534" s="652"/>
      <c r="AW534" s="652"/>
      <c r="AX534" s="652"/>
      <c r="AY534" s="652"/>
      <c r="AZ534" s="652"/>
      <c r="BA534" s="652"/>
      <c r="BB534" s="652"/>
      <c r="BC534" s="652"/>
      <c r="BD534" s="652"/>
      <c r="BE534" s="652"/>
      <c r="BF534" s="652"/>
      <c r="BG534" s="652"/>
      <c r="BH534" s="652"/>
      <c r="BI534" s="652">
        <f>I534</f>
        <v>2004</v>
      </c>
      <c r="BJ534" s="650"/>
      <c r="BK534" s="650"/>
      <c r="BL534" s="650"/>
      <c r="BM534" s="650"/>
      <c r="BN534" s="650"/>
      <c r="BO534" s="650"/>
      <c r="BP534" s="650"/>
      <c r="BQ534" s="650"/>
      <c r="BR534" s="650"/>
      <c r="BS534" s="650"/>
      <c r="BT534" s="650"/>
      <c r="BU534" s="650"/>
      <c r="BV534" s="650"/>
      <c r="BW534" s="650"/>
      <c r="BX534" s="650"/>
      <c r="BY534" s="650"/>
      <c r="BZ534" s="650"/>
      <c r="CA534" s="650"/>
      <c r="CB534" s="650"/>
      <c r="CC534" s="650"/>
      <c r="CD534" s="650"/>
      <c r="CE534" s="650"/>
      <c r="CF534" s="650"/>
      <c r="CG534" s="650"/>
      <c r="CH534" s="650"/>
      <c r="CI534" s="650"/>
      <c r="CJ534" s="650"/>
      <c r="CK534" s="650"/>
      <c r="CL534" s="650"/>
      <c r="CM534" s="650"/>
      <c r="CN534" s="650"/>
      <c r="CO534" s="650"/>
      <c r="CP534" s="650"/>
      <c r="CQ534" s="650"/>
      <c r="CR534" s="650"/>
    </row>
    <row r="535" s="650" customFormat="1" ht="31" customHeight="1" spans="1:108">
      <c r="A535" s="713">
        <v>46122</v>
      </c>
      <c r="B535" s="714" t="s">
        <v>1060</v>
      </c>
      <c r="C535" s="715" t="s">
        <v>148</v>
      </c>
      <c r="D535" s="652">
        <v>4500201010</v>
      </c>
      <c r="E535" s="715" t="s">
        <v>5659</v>
      </c>
      <c r="F535" s="652" t="s">
        <v>1862</v>
      </c>
      <c r="G535" s="716" t="s">
        <v>4359</v>
      </c>
      <c r="H535" s="715" t="s">
        <v>804</v>
      </c>
      <c r="I535" s="717">
        <v>1704</v>
      </c>
      <c r="J535" s="715">
        <v>0</v>
      </c>
      <c r="K535" s="715">
        <v>6</v>
      </c>
      <c r="L535" s="715">
        <f t="shared" si="99"/>
        <v>284</v>
      </c>
      <c r="M535" s="719">
        <v>46218</v>
      </c>
      <c r="N535" s="738">
        <v>46228</v>
      </c>
      <c r="O535" s="714"/>
      <c r="P535" s="717" t="s">
        <v>1410</v>
      </c>
      <c r="Q535" s="717"/>
      <c r="R535" s="723" t="s">
        <v>1863</v>
      </c>
      <c r="S535" s="720" t="s">
        <v>95</v>
      </c>
      <c r="T535" s="720" t="s">
        <v>5660</v>
      </c>
      <c r="U535" s="720"/>
      <c r="V535" s="714" t="s">
        <v>5661</v>
      </c>
      <c r="W535" s="720"/>
      <c r="X535" s="720" t="s">
        <v>1865</v>
      </c>
      <c r="Y535" s="719" t="s">
        <v>1067</v>
      </c>
      <c r="Z535" s="730">
        <v>8.15</v>
      </c>
      <c r="AA535" s="652">
        <f>L535*Z535</f>
        <v>2314.6</v>
      </c>
      <c r="AB535" s="721"/>
      <c r="AC535" s="747" t="s">
        <v>952</v>
      </c>
      <c r="AD535" s="715" t="s">
        <v>112</v>
      </c>
      <c r="AE535" s="715">
        <f t="shared" si="101"/>
        <v>1704</v>
      </c>
      <c r="AF535" s="715"/>
      <c r="AG535" s="715">
        <f>1686+18</f>
        <v>1704</v>
      </c>
      <c r="AH535" s="715">
        <f t="shared" si="95"/>
        <v>0</v>
      </c>
      <c r="AI535" s="717"/>
      <c r="AJ535" s="715" t="s">
        <v>3981</v>
      </c>
      <c r="AK535" s="652"/>
      <c r="AL535" s="652"/>
      <c r="AM535" s="652"/>
      <c r="AN535" s="652">
        <f t="shared" si="103"/>
        <v>1704</v>
      </c>
      <c r="AO535" s="652"/>
      <c r="AP535" s="652"/>
      <c r="AQ535" s="652"/>
      <c r="AR535" s="652"/>
      <c r="AS535" s="652"/>
      <c r="AT535" s="652"/>
      <c r="AU535" s="652"/>
      <c r="AV535" s="652"/>
      <c r="AW535" s="652"/>
      <c r="AX535" s="652"/>
      <c r="AY535" s="652"/>
      <c r="AZ535" s="652"/>
      <c r="BA535" s="652"/>
      <c r="BB535" s="652"/>
      <c r="BC535" s="652"/>
      <c r="BD535" s="652"/>
      <c r="BE535" s="652"/>
      <c r="BF535" s="652"/>
      <c r="BG535" s="652"/>
      <c r="BH535" s="652"/>
      <c r="BI535" s="652">
        <f>I535</f>
        <v>1704</v>
      </c>
      <c r="CS535" s="651"/>
      <c r="CT535" s="651"/>
      <c r="CU535" s="651"/>
      <c r="CV535" s="651"/>
      <c r="CW535" s="651"/>
      <c r="CX535" s="651"/>
      <c r="CY535" s="651"/>
      <c r="CZ535" s="651"/>
      <c r="DA535" s="651"/>
      <c r="DB535" s="651"/>
      <c r="DC535" s="651"/>
      <c r="DD535" s="651"/>
    </row>
    <row r="536" s="659" customFormat="1" ht="31" customHeight="1" spans="1:108">
      <c r="A536" s="819">
        <v>46171</v>
      </c>
      <c r="B536" s="820" t="s">
        <v>1908</v>
      </c>
      <c r="C536" s="821" t="s">
        <v>201</v>
      </c>
      <c r="D536" s="822">
        <v>4500209616</v>
      </c>
      <c r="E536" s="821" t="s">
        <v>5662</v>
      </c>
      <c r="F536" s="822" t="s">
        <v>5663</v>
      </c>
      <c r="G536" s="823" t="s">
        <v>3968</v>
      </c>
      <c r="H536" s="708" t="s">
        <v>3969</v>
      </c>
      <c r="I536" s="824">
        <v>16</v>
      </c>
      <c r="J536" s="821">
        <v>0</v>
      </c>
      <c r="K536" s="821">
        <v>16</v>
      </c>
      <c r="L536" s="821">
        <f t="shared" si="99"/>
        <v>1</v>
      </c>
      <c r="M536" s="825">
        <v>46232</v>
      </c>
      <c r="N536" s="825">
        <v>46228</v>
      </c>
      <c r="O536" s="820"/>
      <c r="P536" s="824"/>
      <c r="Q536" s="885" t="s">
        <v>2220</v>
      </c>
      <c r="R536" s="827">
        <v>46171</v>
      </c>
      <c r="S536" s="828" t="s">
        <v>107</v>
      </c>
      <c r="T536" s="848" t="s">
        <v>5664</v>
      </c>
      <c r="U536" s="886"/>
      <c r="V536" s="829"/>
      <c r="W536" s="828"/>
      <c r="X536" s="828" t="s">
        <v>5665</v>
      </c>
      <c r="Y536" s="825" t="s">
        <v>563</v>
      </c>
      <c r="Z536" s="830">
        <v>4.5967</v>
      </c>
      <c r="AA536" s="822">
        <f>I536*Z536</f>
        <v>73.5472</v>
      </c>
      <c r="AB536" s="831"/>
      <c r="AC536" s="887" t="s">
        <v>4426</v>
      </c>
      <c r="AD536" s="821" t="s">
        <v>112</v>
      </c>
      <c r="AE536" s="821">
        <f t="shared" si="101"/>
        <v>16</v>
      </c>
      <c r="AF536" s="821"/>
      <c r="AG536" s="708">
        <v>16</v>
      </c>
      <c r="AH536" s="833">
        <f t="shared" si="95"/>
        <v>0</v>
      </c>
      <c r="AI536" s="824"/>
      <c r="AJ536" s="708" t="s">
        <v>3981</v>
      </c>
      <c r="AK536" s="822"/>
      <c r="AL536" s="834">
        <f>I536</f>
        <v>16</v>
      </c>
      <c r="AM536" s="822"/>
      <c r="AN536" s="834">
        <f t="shared" si="103"/>
        <v>16</v>
      </c>
      <c r="AO536" s="822"/>
      <c r="AP536" s="822"/>
      <c r="AQ536" s="822"/>
      <c r="AR536" s="822"/>
      <c r="AS536" s="822"/>
      <c r="AT536" s="822"/>
      <c r="AU536" s="834"/>
      <c r="AV536" s="834"/>
      <c r="AW536" s="834"/>
      <c r="AX536" s="822"/>
      <c r="AY536" s="822"/>
      <c r="AZ536" s="822"/>
      <c r="BA536" s="822"/>
      <c r="BB536" s="822"/>
      <c r="BC536" s="822"/>
      <c r="BD536" s="822"/>
      <c r="BE536" s="822"/>
      <c r="BF536" s="822"/>
      <c r="BG536" s="822"/>
      <c r="BH536" s="822"/>
      <c r="BI536" s="822"/>
      <c r="CS536" s="661"/>
      <c r="CT536" s="661"/>
      <c r="CU536" s="661"/>
      <c r="CV536" s="661"/>
      <c r="CW536" s="661"/>
      <c r="CX536" s="661"/>
      <c r="CY536" s="661"/>
      <c r="CZ536" s="661"/>
      <c r="DA536" s="661"/>
      <c r="DB536" s="661"/>
      <c r="DC536" s="661"/>
      <c r="DD536" s="661"/>
    </row>
    <row r="537" s="654" customFormat="1" ht="31" customHeight="1" spans="1:108">
      <c r="A537" s="713">
        <v>46162</v>
      </c>
      <c r="B537" s="714" t="s">
        <v>1934</v>
      </c>
      <c r="C537" s="715" t="s">
        <v>291</v>
      </c>
      <c r="D537" s="652" t="s">
        <v>5666</v>
      </c>
      <c r="E537" s="739">
        <v>17410859</v>
      </c>
      <c r="F537" s="652" t="s">
        <v>5667</v>
      </c>
      <c r="G537" s="716" t="s">
        <v>3973</v>
      </c>
      <c r="H537" s="715" t="s">
        <v>3995</v>
      </c>
      <c r="I537" s="717">
        <v>1440</v>
      </c>
      <c r="J537" s="715">
        <v>0</v>
      </c>
      <c r="K537" s="715">
        <v>16</v>
      </c>
      <c r="L537" s="715">
        <f t="shared" si="99"/>
        <v>90</v>
      </c>
      <c r="M537" s="738">
        <v>46226</v>
      </c>
      <c r="N537" s="738">
        <v>46223</v>
      </c>
      <c r="O537" s="714" t="s">
        <v>5352</v>
      </c>
      <c r="P537" s="717" t="s">
        <v>1410</v>
      </c>
      <c r="Q537" s="717"/>
      <c r="R537" s="723" t="s">
        <v>1824</v>
      </c>
      <c r="S537" s="720" t="s">
        <v>107</v>
      </c>
      <c r="T537" s="720" t="s">
        <v>5353</v>
      </c>
      <c r="U537" s="720"/>
      <c r="V537" s="720"/>
      <c r="W537" s="720"/>
      <c r="X537" s="720" t="s">
        <v>5668</v>
      </c>
      <c r="Y537" s="719" t="s">
        <v>450</v>
      </c>
      <c r="Z537" s="730">
        <v>4.6933</v>
      </c>
      <c r="AA537" s="652">
        <f>I537*Z537</f>
        <v>6758.352</v>
      </c>
      <c r="AB537" s="721"/>
      <c r="AC537" s="747" t="s">
        <v>4108</v>
      </c>
      <c r="AD537" s="715" t="s">
        <v>112</v>
      </c>
      <c r="AE537" s="715">
        <f t="shared" si="101"/>
        <v>1440</v>
      </c>
      <c r="AF537" s="715" t="s">
        <v>4109</v>
      </c>
      <c r="AG537" s="715">
        <v>1440</v>
      </c>
      <c r="AH537" s="715">
        <f t="shared" si="95"/>
        <v>0</v>
      </c>
      <c r="AI537" s="717"/>
      <c r="AJ537" s="715" t="s">
        <v>3981</v>
      </c>
      <c r="AK537" s="652"/>
      <c r="AL537" s="652">
        <f>I537</f>
        <v>1440</v>
      </c>
      <c r="AM537" s="652"/>
      <c r="AN537" s="652">
        <f t="shared" si="103"/>
        <v>1440</v>
      </c>
      <c r="AO537" s="652"/>
      <c r="AP537" s="652"/>
      <c r="AQ537" s="652"/>
      <c r="AR537" s="652"/>
      <c r="AS537" s="652"/>
      <c r="AT537" s="652"/>
      <c r="AU537" s="652">
        <f>I537/8</f>
        <v>180</v>
      </c>
      <c r="AV537" s="652"/>
      <c r="AW537" s="652"/>
      <c r="AX537" s="652"/>
      <c r="AY537" s="652"/>
      <c r="AZ537" s="652"/>
      <c r="BA537" s="652"/>
      <c r="BB537" s="652"/>
      <c r="BC537" s="652"/>
      <c r="BD537" s="652"/>
      <c r="BE537" s="652"/>
      <c r="BF537" s="652"/>
      <c r="BG537" s="652"/>
      <c r="BH537" s="652"/>
      <c r="BI537" s="652"/>
      <c r="BJ537" s="651"/>
      <c r="BK537" s="651"/>
      <c r="BL537" s="651"/>
      <c r="BM537" s="651"/>
      <c r="BN537" s="651"/>
      <c r="BO537" s="651"/>
      <c r="BP537" s="651"/>
      <c r="BQ537" s="651"/>
      <c r="BR537" s="651"/>
      <c r="BS537" s="651"/>
      <c r="BT537" s="651"/>
      <c r="BU537" s="651"/>
      <c r="BV537" s="651"/>
      <c r="BW537" s="651"/>
      <c r="BX537" s="651"/>
      <c r="BY537" s="651"/>
      <c r="BZ537" s="651"/>
      <c r="CA537" s="651"/>
      <c r="CB537" s="651"/>
      <c r="CC537" s="651"/>
      <c r="CD537" s="651"/>
      <c r="CE537" s="651"/>
      <c r="CF537" s="651"/>
      <c r="CG537" s="651"/>
      <c r="CH537" s="651"/>
      <c r="CI537" s="651"/>
      <c r="CJ537" s="651"/>
      <c r="CK537" s="651"/>
      <c r="CL537" s="651"/>
      <c r="CM537" s="651"/>
      <c r="CN537" s="651"/>
      <c r="CO537" s="651"/>
      <c r="CP537" s="651"/>
      <c r="CQ537" s="651"/>
      <c r="CR537" s="651"/>
      <c r="CS537" s="650"/>
      <c r="CT537" s="650"/>
      <c r="CU537" s="650"/>
      <c r="CV537" s="650"/>
      <c r="CW537" s="650"/>
      <c r="CX537" s="650"/>
      <c r="CY537" s="650"/>
      <c r="CZ537" s="650"/>
      <c r="DA537" s="650"/>
      <c r="DB537" s="650"/>
      <c r="DC537" s="650"/>
      <c r="DD537" s="650"/>
    </row>
    <row r="538" s="650" customFormat="1" ht="31" customHeight="1" spans="1:108">
      <c r="A538" s="713">
        <v>46149</v>
      </c>
      <c r="B538" s="714" t="s">
        <v>538</v>
      </c>
      <c r="C538" s="715" t="s">
        <v>135</v>
      </c>
      <c r="D538" s="837" t="s">
        <v>5669</v>
      </c>
      <c r="E538" s="715" t="s">
        <v>5670</v>
      </c>
      <c r="F538" s="652" t="s">
        <v>5671</v>
      </c>
      <c r="G538" s="716" t="s">
        <v>3968</v>
      </c>
      <c r="H538" s="715" t="s">
        <v>3969</v>
      </c>
      <c r="I538" s="717">
        <v>1616</v>
      </c>
      <c r="J538" s="715">
        <v>0</v>
      </c>
      <c r="K538" s="715">
        <v>16</v>
      </c>
      <c r="L538" s="715">
        <f t="shared" si="99"/>
        <v>101</v>
      </c>
      <c r="M538" s="719">
        <v>46227</v>
      </c>
      <c r="N538" s="719">
        <v>46223</v>
      </c>
      <c r="O538" s="714"/>
      <c r="P538" s="717"/>
      <c r="Q538" s="717"/>
      <c r="R538" s="723" t="s">
        <v>541</v>
      </c>
      <c r="S538" s="720" t="s">
        <v>107</v>
      </c>
      <c r="T538" s="720" t="s">
        <v>5165</v>
      </c>
      <c r="U538" s="720"/>
      <c r="V538" s="720"/>
      <c r="W538" s="720"/>
      <c r="X538" s="798" t="s">
        <v>5672</v>
      </c>
      <c r="Y538" s="719" t="s">
        <v>545</v>
      </c>
      <c r="Z538" s="730">
        <v>4.4696</v>
      </c>
      <c r="AA538" s="652">
        <f>I538*Z538</f>
        <v>7222.8736</v>
      </c>
      <c r="AB538" s="721"/>
      <c r="AC538" s="652" t="s">
        <v>4426</v>
      </c>
      <c r="AD538" s="715" t="s">
        <v>112</v>
      </c>
      <c r="AE538" s="715">
        <f t="shared" si="101"/>
        <v>1616</v>
      </c>
      <c r="AF538" s="715"/>
      <c r="AG538" s="715">
        <v>1616</v>
      </c>
      <c r="AH538" s="715">
        <f t="shared" ref="AH538:AH601" si="104">AG538-I538</f>
        <v>0</v>
      </c>
      <c r="AI538" s="717"/>
      <c r="AJ538" s="715" t="s">
        <v>3981</v>
      </c>
      <c r="AK538" s="652"/>
      <c r="AL538" s="652">
        <f>I538</f>
        <v>1616</v>
      </c>
      <c r="AM538" s="652"/>
      <c r="AN538" s="652">
        <f t="shared" si="103"/>
        <v>1616</v>
      </c>
      <c r="AO538" s="652"/>
      <c r="AP538" s="652"/>
      <c r="AQ538" s="652"/>
      <c r="AR538" s="652"/>
      <c r="AS538" s="652"/>
      <c r="AT538" s="652"/>
      <c r="AU538" s="652"/>
      <c r="AV538" s="652"/>
      <c r="AW538" s="652"/>
      <c r="AX538" s="652"/>
      <c r="AY538" s="652"/>
      <c r="AZ538" s="652"/>
      <c r="BA538" s="652"/>
      <c r="BB538" s="652"/>
      <c r="BC538" s="652"/>
      <c r="BD538" s="652"/>
      <c r="BE538" s="652"/>
      <c r="BF538" s="652"/>
      <c r="BG538" s="652"/>
      <c r="BH538" s="652"/>
      <c r="BI538" s="652"/>
    </row>
    <row r="539" s="650" customFormat="1" ht="31" customHeight="1" spans="1:108">
      <c r="A539" s="819">
        <v>46133</v>
      </c>
      <c r="B539" s="860" t="s">
        <v>706</v>
      </c>
      <c r="C539" s="708" t="s">
        <v>201</v>
      </c>
      <c r="D539" s="834" t="s">
        <v>5673</v>
      </c>
      <c r="E539" s="888" t="s">
        <v>2310</v>
      </c>
      <c r="F539" s="834" t="s">
        <v>2311</v>
      </c>
      <c r="G539" s="846" t="s">
        <v>4353</v>
      </c>
      <c r="H539" s="821" t="s">
        <v>2405</v>
      </c>
      <c r="I539" s="881">
        <v>1776</v>
      </c>
      <c r="J539" s="708">
        <v>0</v>
      </c>
      <c r="K539" s="708">
        <v>12</v>
      </c>
      <c r="L539" s="708">
        <f t="shared" si="99"/>
        <v>148</v>
      </c>
      <c r="M539" s="879">
        <v>46232</v>
      </c>
      <c r="N539" s="879">
        <v>46232</v>
      </c>
      <c r="O539" s="860"/>
      <c r="P539" s="861"/>
      <c r="Q539" s="861"/>
      <c r="R539" s="864">
        <v>46195</v>
      </c>
      <c r="S539" s="829" t="s">
        <v>107</v>
      </c>
      <c r="T539" s="847" t="s">
        <v>5674</v>
      </c>
      <c r="U539" s="847"/>
      <c r="V539" s="829"/>
      <c r="W539" s="829"/>
      <c r="X539" s="829" t="s">
        <v>2313</v>
      </c>
      <c r="Y539" s="862" t="s">
        <v>711</v>
      </c>
      <c r="Z539" s="866">
        <v>105.444</v>
      </c>
      <c r="AA539" s="834">
        <f t="shared" ref="AA539:AA547" si="105">L539*Z539</f>
        <v>15605.712</v>
      </c>
      <c r="AB539" s="831"/>
      <c r="AC539" s="820" t="s">
        <v>4388</v>
      </c>
      <c r="AD539" s="715" t="s">
        <v>112</v>
      </c>
      <c r="AE539" s="708">
        <f t="shared" si="101"/>
        <v>1776</v>
      </c>
      <c r="AF539" s="708"/>
      <c r="AG539" s="708"/>
      <c r="AH539" s="833">
        <f t="shared" si="104"/>
        <v>-1776</v>
      </c>
      <c r="AI539" s="861"/>
      <c r="AJ539" s="708" t="s">
        <v>3981</v>
      </c>
      <c r="AK539" s="834"/>
      <c r="AL539" s="834">
        <f>I539</f>
        <v>1776</v>
      </c>
      <c r="AM539" s="834"/>
      <c r="AN539" s="834">
        <f t="shared" si="103"/>
        <v>1776</v>
      </c>
      <c r="AO539" s="834"/>
      <c r="AP539" s="834"/>
      <c r="AQ539" s="834"/>
      <c r="AR539" s="834"/>
      <c r="AS539" s="834"/>
      <c r="AT539" s="834"/>
      <c r="AU539" s="834"/>
      <c r="AV539" s="834"/>
      <c r="AW539" s="834"/>
      <c r="AX539" s="834"/>
      <c r="AY539" s="834"/>
      <c r="AZ539" s="834"/>
      <c r="BA539" s="834"/>
      <c r="BB539" s="834"/>
      <c r="BC539" s="834"/>
      <c r="BD539" s="834">
        <f>I539/K539</f>
        <v>148</v>
      </c>
      <c r="BE539" s="834"/>
      <c r="BF539" s="834"/>
      <c r="BG539" s="834"/>
      <c r="BH539" s="834"/>
      <c r="BI539" s="834"/>
      <c r="BJ539" s="889"/>
      <c r="BK539" s="889"/>
      <c r="BL539" s="889"/>
      <c r="BM539" s="889"/>
      <c r="BN539" s="889"/>
      <c r="BO539" s="889"/>
      <c r="BP539" s="889"/>
      <c r="BQ539" s="889"/>
      <c r="BR539" s="889"/>
      <c r="BS539" s="889"/>
      <c r="BT539" s="889"/>
      <c r="BU539" s="889"/>
      <c r="BV539" s="889"/>
      <c r="BW539" s="889"/>
      <c r="BX539" s="889"/>
      <c r="BY539" s="889"/>
      <c r="BZ539" s="889"/>
      <c r="CA539" s="889"/>
      <c r="CB539" s="889"/>
      <c r="CC539" s="889"/>
      <c r="CD539" s="889"/>
      <c r="CE539" s="889"/>
      <c r="CF539" s="889"/>
      <c r="CG539" s="889"/>
      <c r="CH539" s="889"/>
      <c r="CI539" s="889"/>
      <c r="CJ539" s="889"/>
      <c r="CK539" s="889"/>
      <c r="CL539" s="889"/>
      <c r="CM539" s="889"/>
      <c r="CN539" s="889"/>
      <c r="CO539" s="889"/>
      <c r="CP539" s="889"/>
      <c r="CQ539" s="889"/>
      <c r="CR539" s="889"/>
      <c r="CS539" s="659"/>
      <c r="CT539" s="659"/>
      <c r="CU539" s="659"/>
      <c r="CV539" s="659"/>
      <c r="CW539" s="659"/>
      <c r="CX539" s="659"/>
      <c r="CY539" s="659"/>
      <c r="CZ539" s="659"/>
      <c r="DA539" s="659"/>
      <c r="DB539" s="659"/>
      <c r="DC539" s="659"/>
      <c r="DD539" s="659"/>
    </row>
    <row r="540" s="661" customFormat="1" ht="31" customHeight="1" spans="1:108">
      <c r="A540" s="819">
        <v>46156</v>
      </c>
      <c r="B540" s="860" t="s">
        <v>935</v>
      </c>
      <c r="C540" s="708" t="s">
        <v>115</v>
      </c>
      <c r="D540" s="834" t="s">
        <v>5675</v>
      </c>
      <c r="E540" s="708" t="s">
        <v>5676</v>
      </c>
      <c r="F540" s="834" t="s">
        <v>2488</v>
      </c>
      <c r="G540" s="846" t="s">
        <v>4215</v>
      </c>
      <c r="H540" s="708" t="s">
        <v>483</v>
      </c>
      <c r="I540" s="861">
        <v>4320</v>
      </c>
      <c r="J540" s="708">
        <v>0</v>
      </c>
      <c r="K540" s="708">
        <v>120</v>
      </c>
      <c r="L540" s="708">
        <f t="shared" si="99"/>
        <v>36</v>
      </c>
      <c r="M540" s="879">
        <v>46227</v>
      </c>
      <c r="N540" s="879">
        <v>46234</v>
      </c>
      <c r="O540" s="860"/>
      <c r="P540" s="861"/>
      <c r="Q540" s="861"/>
      <c r="R540" s="864">
        <v>46155</v>
      </c>
      <c r="S540" s="829" t="s">
        <v>107</v>
      </c>
      <c r="T540" s="829" t="s">
        <v>95</v>
      </c>
      <c r="U540" s="829"/>
      <c r="V540" s="829"/>
      <c r="W540" s="829"/>
      <c r="X540" s="829" t="s">
        <v>937</v>
      </c>
      <c r="Y540" s="862" t="s">
        <v>488</v>
      </c>
      <c r="Z540" s="866">
        <v>642</v>
      </c>
      <c r="AA540" s="834">
        <f t="shared" si="105"/>
        <v>23112</v>
      </c>
      <c r="AB540" s="890" t="s">
        <v>5677</v>
      </c>
      <c r="AC540" s="867" t="s">
        <v>490</v>
      </c>
      <c r="AD540" s="708" t="s">
        <v>112</v>
      </c>
      <c r="AE540" s="708">
        <f t="shared" si="101"/>
        <v>4320</v>
      </c>
      <c r="AF540" s="708"/>
      <c r="AG540" s="821">
        <v>4320</v>
      </c>
      <c r="AH540" s="833">
        <f t="shared" si="104"/>
        <v>0</v>
      </c>
      <c r="AI540" s="861"/>
      <c r="AJ540" s="708" t="s">
        <v>3981</v>
      </c>
      <c r="AK540" s="834"/>
      <c r="AL540" s="834"/>
      <c r="AM540" s="834"/>
      <c r="AN540" s="834"/>
      <c r="AO540" s="834"/>
      <c r="AP540" s="834"/>
      <c r="AQ540" s="834">
        <f t="shared" ref="AQ540:AQ547" si="106">I540</f>
        <v>4320</v>
      </c>
      <c r="AR540" s="834">
        <f t="shared" ref="AR540:AR547" si="107">I540</f>
        <v>4320</v>
      </c>
      <c r="AS540" s="834">
        <f t="shared" ref="AS540:AS547" si="108">I540/6</f>
        <v>720</v>
      </c>
      <c r="AT540" s="834"/>
      <c r="AU540" s="834"/>
      <c r="AV540" s="834"/>
      <c r="AW540" s="834"/>
      <c r="AX540" s="834"/>
      <c r="AY540" s="834"/>
      <c r="AZ540" s="834"/>
      <c r="BA540" s="834"/>
      <c r="BB540" s="834"/>
      <c r="BC540" s="834"/>
      <c r="BD540" s="834"/>
      <c r="BE540" s="834"/>
      <c r="BF540" s="834"/>
      <c r="BG540" s="834"/>
      <c r="BH540" s="834"/>
      <c r="BI540" s="834"/>
      <c r="BJ540" s="659"/>
      <c r="BK540" s="659"/>
      <c r="BL540" s="659"/>
      <c r="BM540" s="659"/>
      <c r="BN540" s="659"/>
      <c r="BO540" s="659"/>
      <c r="BP540" s="659"/>
      <c r="BQ540" s="659"/>
      <c r="BR540" s="659"/>
      <c r="BS540" s="659"/>
      <c r="BT540" s="659"/>
      <c r="BU540" s="659"/>
      <c r="BV540" s="659"/>
      <c r="BW540" s="659"/>
      <c r="BX540" s="659"/>
      <c r="BY540" s="659"/>
      <c r="BZ540" s="659"/>
      <c r="CA540" s="659"/>
      <c r="CB540" s="659"/>
      <c r="CC540" s="659"/>
      <c r="CD540" s="659"/>
      <c r="CE540" s="659"/>
      <c r="CF540" s="659"/>
      <c r="CG540" s="659"/>
      <c r="CH540" s="659"/>
      <c r="CI540" s="659"/>
      <c r="CJ540" s="659"/>
      <c r="CK540" s="659"/>
      <c r="CL540" s="659"/>
      <c r="CM540" s="659"/>
      <c r="CN540" s="659"/>
      <c r="CO540" s="659"/>
      <c r="CP540" s="659"/>
      <c r="CQ540" s="659"/>
      <c r="CR540" s="659"/>
      <c r="CS540" s="659"/>
      <c r="CT540" s="659"/>
      <c r="CU540" s="659"/>
      <c r="CV540" s="659"/>
      <c r="CW540" s="659"/>
      <c r="CX540" s="659"/>
      <c r="CY540" s="659"/>
      <c r="CZ540" s="659"/>
      <c r="DA540" s="659"/>
      <c r="DB540" s="659"/>
      <c r="DC540" s="659"/>
      <c r="DD540" s="659"/>
    </row>
    <row r="541" s="650" customFormat="1" ht="31" customHeight="1" spans="1:108">
      <c r="A541" s="713">
        <v>46156</v>
      </c>
      <c r="B541" s="714" t="s">
        <v>935</v>
      </c>
      <c r="C541" s="715" t="s">
        <v>115</v>
      </c>
      <c r="D541" s="652" t="s">
        <v>5678</v>
      </c>
      <c r="E541" s="715" t="s">
        <v>5679</v>
      </c>
      <c r="F541" s="652" t="s">
        <v>2489</v>
      </c>
      <c r="G541" s="716" t="s">
        <v>4215</v>
      </c>
      <c r="H541" s="715" t="s">
        <v>483</v>
      </c>
      <c r="I541" s="717">
        <v>4320</v>
      </c>
      <c r="J541" s="715">
        <v>0</v>
      </c>
      <c r="K541" s="715">
        <v>120</v>
      </c>
      <c r="L541" s="715">
        <f t="shared" si="99"/>
        <v>36</v>
      </c>
      <c r="M541" s="738">
        <v>46227</v>
      </c>
      <c r="N541" s="738">
        <v>46234</v>
      </c>
      <c r="O541" s="714"/>
      <c r="P541" s="717" t="s">
        <v>1410</v>
      </c>
      <c r="Q541" s="717"/>
      <c r="R541" s="723">
        <v>46155</v>
      </c>
      <c r="S541" s="720" t="s">
        <v>107</v>
      </c>
      <c r="T541" s="720" t="s">
        <v>95</v>
      </c>
      <c r="U541" s="720"/>
      <c r="V541" s="720"/>
      <c r="W541" s="720"/>
      <c r="X541" s="720" t="s">
        <v>937</v>
      </c>
      <c r="Y541" s="719" t="s">
        <v>488</v>
      </c>
      <c r="Z541" s="730">
        <v>642</v>
      </c>
      <c r="AA541" s="652">
        <f t="shared" si="105"/>
        <v>23112</v>
      </c>
      <c r="AB541" s="729" t="s">
        <v>5680</v>
      </c>
      <c r="AC541" s="722" t="s">
        <v>490</v>
      </c>
      <c r="AD541" s="715" t="s">
        <v>112</v>
      </c>
      <c r="AE541" s="715">
        <f t="shared" si="101"/>
        <v>4320</v>
      </c>
      <c r="AF541" s="715"/>
      <c r="AG541" s="715">
        <f>2242+370+1708</f>
        <v>4320</v>
      </c>
      <c r="AH541" s="715">
        <f t="shared" si="104"/>
        <v>0</v>
      </c>
      <c r="AI541" s="717"/>
      <c r="AJ541" s="715" t="s">
        <v>3981</v>
      </c>
      <c r="AK541" s="652"/>
      <c r="AL541" s="652"/>
      <c r="AM541" s="652"/>
      <c r="AN541" s="652"/>
      <c r="AO541" s="652"/>
      <c r="AP541" s="652"/>
      <c r="AQ541" s="652">
        <f t="shared" si="106"/>
        <v>4320</v>
      </c>
      <c r="AR541" s="652">
        <f t="shared" si="107"/>
        <v>4320</v>
      </c>
      <c r="AS541" s="652">
        <f t="shared" si="108"/>
        <v>720</v>
      </c>
      <c r="AT541" s="652"/>
      <c r="AU541" s="652"/>
      <c r="AV541" s="652"/>
      <c r="AW541" s="652"/>
      <c r="AX541" s="652"/>
      <c r="AY541" s="652"/>
      <c r="AZ541" s="652"/>
      <c r="BA541" s="652"/>
      <c r="BB541" s="652"/>
      <c r="BC541" s="652"/>
      <c r="BD541" s="652"/>
      <c r="BE541" s="652"/>
      <c r="BF541" s="652"/>
      <c r="BG541" s="652"/>
      <c r="BH541" s="652"/>
      <c r="BI541" s="652"/>
    </row>
    <row r="542" s="654" customFormat="1" ht="31" customHeight="1" spans="1:108">
      <c r="A542" s="713">
        <v>46156</v>
      </c>
      <c r="B542" s="714" t="s">
        <v>935</v>
      </c>
      <c r="C542" s="715" t="s">
        <v>115</v>
      </c>
      <c r="D542" s="652" t="s">
        <v>5681</v>
      </c>
      <c r="E542" s="715" t="s">
        <v>5682</v>
      </c>
      <c r="F542" s="652" t="s">
        <v>2172</v>
      </c>
      <c r="G542" s="716" t="s">
        <v>4215</v>
      </c>
      <c r="H542" s="715" t="s">
        <v>483</v>
      </c>
      <c r="I542" s="717">
        <v>4320</v>
      </c>
      <c r="J542" s="715">
        <v>0</v>
      </c>
      <c r="K542" s="715">
        <v>120</v>
      </c>
      <c r="L542" s="715">
        <f t="shared" si="99"/>
        <v>36</v>
      </c>
      <c r="M542" s="738">
        <v>46227</v>
      </c>
      <c r="N542" s="738">
        <v>46234</v>
      </c>
      <c r="O542" s="714"/>
      <c r="P542" s="717" t="s">
        <v>1410</v>
      </c>
      <c r="Q542" s="717"/>
      <c r="R542" s="723">
        <v>46155</v>
      </c>
      <c r="S542" s="720" t="s">
        <v>107</v>
      </c>
      <c r="T542" s="720" t="s">
        <v>95</v>
      </c>
      <c r="U542" s="720"/>
      <c r="V542" s="720"/>
      <c r="W542" s="720"/>
      <c r="X542" s="720" t="s">
        <v>937</v>
      </c>
      <c r="Y542" s="719" t="s">
        <v>488</v>
      </c>
      <c r="Z542" s="730">
        <v>642</v>
      </c>
      <c r="AA542" s="652">
        <f t="shared" si="105"/>
        <v>23112</v>
      </c>
      <c r="AB542" s="729" t="s">
        <v>2174</v>
      </c>
      <c r="AC542" s="722" t="s">
        <v>490</v>
      </c>
      <c r="AD542" s="715" t="s">
        <v>112</v>
      </c>
      <c r="AE542" s="715">
        <f t="shared" si="101"/>
        <v>4320</v>
      </c>
      <c r="AF542" s="715"/>
      <c r="AG542" s="715">
        <f>1134+1296+194+1696</f>
        <v>4320</v>
      </c>
      <c r="AH542" s="715">
        <f t="shared" si="104"/>
        <v>0</v>
      </c>
      <c r="AI542" s="717"/>
      <c r="AJ542" s="715" t="s">
        <v>3981</v>
      </c>
      <c r="AK542" s="652"/>
      <c r="AL542" s="652"/>
      <c r="AM542" s="652"/>
      <c r="AN542" s="652"/>
      <c r="AO542" s="652"/>
      <c r="AP542" s="652"/>
      <c r="AQ542" s="652">
        <f t="shared" si="106"/>
        <v>4320</v>
      </c>
      <c r="AR542" s="652">
        <f t="shared" si="107"/>
        <v>4320</v>
      </c>
      <c r="AS542" s="652">
        <f t="shared" si="108"/>
        <v>720</v>
      </c>
      <c r="AT542" s="652"/>
      <c r="AU542" s="652"/>
      <c r="AV542" s="652"/>
      <c r="AW542" s="652"/>
      <c r="AX542" s="652"/>
      <c r="AY542" s="652"/>
      <c r="AZ542" s="652"/>
      <c r="BA542" s="652"/>
      <c r="BB542" s="652"/>
      <c r="BC542" s="652"/>
      <c r="BD542" s="652"/>
      <c r="BE542" s="652"/>
      <c r="BF542" s="652"/>
      <c r="BG542" s="652"/>
      <c r="BH542" s="652"/>
      <c r="BI542" s="652"/>
      <c r="BJ542" s="731"/>
      <c r="BK542" s="731"/>
      <c r="BL542" s="731"/>
      <c r="BM542" s="731"/>
      <c r="BN542" s="731"/>
      <c r="BO542" s="731"/>
      <c r="BP542" s="731"/>
      <c r="BQ542" s="731"/>
      <c r="BR542" s="731"/>
      <c r="BS542" s="731"/>
      <c r="BT542" s="731"/>
      <c r="BU542" s="731"/>
      <c r="BV542" s="731"/>
      <c r="BW542" s="731"/>
      <c r="BX542" s="731"/>
      <c r="BY542" s="731"/>
      <c r="BZ542" s="731"/>
      <c r="CA542" s="731"/>
      <c r="CB542" s="731"/>
      <c r="CC542" s="731"/>
      <c r="CD542" s="731"/>
      <c r="CE542" s="731"/>
      <c r="CF542" s="731"/>
      <c r="CG542" s="731"/>
      <c r="CH542" s="731"/>
      <c r="CI542" s="731"/>
      <c r="CJ542" s="731"/>
      <c r="CK542" s="731"/>
      <c r="CL542" s="731"/>
      <c r="CM542" s="731"/>
      <c r="CN542" s="731"/>
      <c r="CO542" s="731"/>
      <c r="CP542" s="731"/>
      <c r="CQ542" s="731"/>
      <c r="CR542" s="731"/>
      <c r="CS542" s="650"/>
      <c r="CT542" s="650"/>
      <c r="CU542" s="650"/>
      <c r="CV542" s="650"/>
      <c r="CW542" s="650"/>
      <c r="CX542" s="650"/>
      <c r="CY542" s="650"/>
      <c r="CZ542" s="650"/>
      <c r="DA542" s="650"/>
      <c r="DB542" s="650"/>
      <c r="DC542" s="650"/>
      <c r="DD542" s="650"/>
    </row>
    <row r="543" s="654" customFormat="1" ht="31" customHeight="1" spans="1:108">
      <c r="A543" s="713">
        <v>46156</v>
      </c>
      <c r="B543" s="714" t="s">
        <v>935</v>
      </c>
      <c r="C543" s="715" t="s">
        <v>115</v>
      </c>
      <c r="D543" s="652" t="s">
        <v>5683</v>
      </c>
      <c r="E543" s="715" t="s">
        <v>5684</v>
      </c>
      <c r="F543" s="652" t="s">
        <v>2185</v>
      </c>
      <c r="G543" s="716" t="s">
        <v>4215</v>
      </c>
      <c r="H543" s="715" t="s">
        <v>483</v>
      </c>
      <c r="I543" s="717">
        <v>4320</v>
      </c>
      <c r="J543" s="715">
        <v>0</v>
      </c>
      <c r="K543" s="715">
        <v>120</v>
      </c>
      <c r="L543" s="715">
        <f t="shared" si="99"/>
        <v>36</v>
      </c>
      <c r="M543" s="738">
        <v>46227</v>
      </c>
      <c r="N543" s="738">
        <v>46234</v>
      </c>
      <c r="O543" s="714"/>
      <c r="P543" s="717" t="s">
        <v>1410</v>
      </c>
      <c r="Q543" s="717"/>
      <c r="R543" s="723">
        <v>46155</v>
      </c>
      <c r="S543" s="720" t="s">
        <v>107</v>
      </c>
      <c r="T543" s="720" t="s">
        <v>95</v>
      </c>
      <c r="U543" s="720"/>
      <c r="V543" s="720"/>
      <c r="W543" s="720"/>
      <c r="X543" s="720" t="s">
        <v>937</v>
      </c>
      <c r="Y543" s="719" t="s">
        <v>488</v>
      </c>
      <c r="Z543" s="730">
        <v>642</v>
      </c>
      <c r="AA543" s="652">
        <f t="shared" si="105"/>
        <v>23112</v>
      </c>
      <c r="AB543" s="729" t="s">
        <v>5685</v>
      </c>
      <c r="AC543" s="722" t="s">
        <v>490</v>
      </c>
      <c r="AD543" s="715" t="s">
        <v>112</v>
      </c>
      <c r="AE543" s="715">
        <f t="shared" si="101"/>
        <v>4320</v>
      </c>
      <c r="AF543" s="715"/>
      <c r="AG543" s="715">
        <f>1676+1890+754</f>
        <v>4320</v>
      </c>
      <c r="AH543" s="715">
        <f t="shared" si="104"/>
        <v>0</v>
      </c>
      <c r="AI543" s="717"/>
      <c r="AJ543" s="715" t="s">
        <v>3981</v>
      </c>
      <c r="AK543" s="652"/>
      <c r="AL543" s="652"/>
      <c r="AM543" s="652"/>
      <c r="AN543" s="652"/>
      <c r="AO543" s="652"/>
      <c r="AP543" s="652"/>
      <c r="AQ543" s="652">
        <f t="shared" si="106"/>
        <v>4320</v>
      </c>
      <c r="AR543" s="652">
        <f t="shared" si="107"/>
        <v>4320</v>
      </c>
      <c r="AS543" s="652">
        <f t="shared" si="108"/>
        <v>720</v>
      </c>
      <c r="AT543" s="652"/>
      <c r="AU543" s="652"/>
      <c r="AV543" s="652"/>
      <c r="AW543" s="652"/>
      <c r="AX543" s="652"/>
      <c r="AY543" s="652"/>
      <c r="AZ543" s="652"/>
      <c r="BA543" s="652"/>
      <c r="BB543" s="652"/>
      <c r="BC543" s="652"/>
      <c r="BD543" s="652"/>
      <c r="BE543" s="652"/>
      <c r="BF543" s="652"/>
      <c r="BG543" s="652"/>
      <c r="BH543" s="652"/>
      <c r="BI543" s="652"/>
      <c r="BJ543" s="650"/>
      <c r="BK543" s="650"/>
      <c r="BL543" s="650"/>
      <c r="BM543" s="650"/>
      <c r="BN543" s="650"/>
      <c r="BO543" s="650"/>
      <c r="BP543" s="650"/>
      <c r="BQ543" s="650"/>
      <c r="BR543" s="650"/>
      <c r="BS543" s="650"/>
      <c r="BT543" s="650"/>
      <c r="BU543" s="650"/>
      <c r="BV543" s="650"/>
      <c r="BW543" s="650"/>
      <c r="BX543" s="650"/>
      <c r="BY543" s="650"/>
      <c r="BZ543" s="650"/>
      <c r="CA543" s="650"/>
      <c r="CB543" s="650"/>
      <c r="CC543" s="650"/>
      <c r="CD543" s="650"/>
      <c r="CE543" s="650"/>
      <c r="CF543" s="650"/>
      <c r="CG543" s="650"/>
      <c r="CH543" s="650"/>
      <c r="CI543" s="650"/>
      <c r="CJ543" s="650"/>
      <c r="CK543" s="650"/>
      <c r="CL543" s="650"/>
      <c r="CM543" s="650"/>
      <c r="CN543" s="650"/>
      <c r="CO543" s="650"/>
      <c r="CP543" s="650"/>
      <c r="CQ543" s="650"/>
      <c r="CR543" s="650"/>
      <c r="CS543" s="650"/>
      <c r="CT543" s="650"/>
      <c r="CU543" s="650"/>
      <c r="CV543" s="650"/>
      <c r="CW543" s="650"/>
      <c r="CX543" s="650"/>
      <c r="CY543" s="650"/>
      <c r="CZ543" s="650"/>
      <c r="DA543" s="650"/>
      <c r="DB543" s="650"/>
      <c r="DC543" s="650"/>
      <c r="DD543" s="650"/>
    </row>
    <row r="544" s="650" customFormat="1" ht="31" customHeight="1" spans="1:108">
      <c r="A544" s="713">
        <v>46156</v>
      </c>
      <c r="B544" s="714" t="s">
        <v>935</v>
      </c>
      <c r="C544" s="715" t="s">
        <v>115</v>
      </c>
      <c r="D544" s="652" t="s">
        <v>5686</v>
      </c>
      <c r="E544" s="715" t="s">
        <v>5687</v>
      </c>
      <c r="F544" s="652" t="s">
        <v>2175</v>
      </c>
      <c r="G544" s="716" t="s">
        <v>4215</v>
      </c>
      <c r="H544" s="715" t="s">
        <v>483</v>
      </c>
      <c r="I544" s="717">
        <v>4320</v>
      </c>
      <c r="J544" s="715">
        <v>0</v>
      </c>
      <c r="K544" s="715">
        <v>120</v>
      </c>
      <c r="L544" s="715">
        <f t="shared" si="99"/>
        <v>36</v>
      </c>
      <c r="M544" s="738">
        <v>46227</v>
      </c>
      <c r="N544" s="802">
        <v>46234</v>
      </c>
      <c r="O544" s="714"/>
      <c r="P544" s="717" t="s">
        <v>1410</v>
      </c>
      <c r="Q544" s="717"/>
      <c r="R544" s="723">
        <v>46155</v>
      </c>
      <c r="S544" s="720" t="s">
        <v>107</v>
      </c>
      <c r="T544" s="720" t="s">
        <v>95</v>
      </c>
      <c r="U544" s="720"/>
      <c r="V544" s="720"/>
      <c r="W544" s="720"/>
      <c r="X544" s="720" t="s">
        <v>937</v>
      </c>
      <c r="Y544" s="719" t="s">
        <v>488</v>
      </c>
      <c r="Z544" s="730">
        <v>642</v>
      </c>
      <c r="AA544" s="652">
        <f t="shared" si="105"/>
        <v>23112</v>
      </c>
      <c r="AB544" s="729" t="s">
        <v>5688</v>
      </c>
      <c r="AC544" s="722" t="s">
        <v>490</v>
      </c>
      <c r="AD544" s="715" t="s">
        <v>112</v>
      </c>
      <c r="AE544" s="715">
        <f t="shared" si="101"/>
        <v>4320</v>
      </c>
      <c r="AF544" s="715"/>
      <c r="AG544" s="715">
        <v>4320</v>
      </c>
      <c r="AH544" s="715">
        <f t="shared" si="104"/>
        <v>0</v>
      </c>
      <c r="AI544" s="717"/>
      <c r="AJ544" s="715" t="s">
        <v>3981</v>
      </c>
      <c r="AK544" s="652"/>
      <c r="AL544" s="652"/>
      <c r="AM544" s="652"/>
      <c r="AN544" s="652"/>
      <c r="AO544" s="652"/>
      <c r="AP544" s="652"/>
      <c r="AQ544" s="652">
        <f t="shared" si="106"/>
        <v>4320</v>
      </c>
      <c r="AR544" s="652">
        <f t="shared" si="107"/>
        <v>4320</v>
      </c>
      <c r="AS544" s="652">
        <f t="shared" si="108"/>
        <v>720</v>
      </c>
      <c r="AT544" s="652"/>
      <c r="AU544" s="652"/>
      <c r="AV544" s="652"/>
      <c r="AW544" s="652"/>
      <c r="AX544" s="652"/>
      <c r="AY544" s="652"/>
      <c r="AZ544" s="652"/>
      <c r="BA544" s="652"/>
      <c r="BB544" s="652"/>
      <c r="BC544" s="652"/>
      <c r="BD544" s="652"/>
      <c r="BE544" s="652"/>
      <c r="BF544" s="652"/>
      <c r="BG544" s="652"/>
      <c r="BH544" s="652"/>
      <c r="BI544" s="652"/>
    </row>
    <row r="545" s="659" customFormat="1" ht="31" customHeight="1" spans="1:108">
      <c r="A545" s="819">
        <v>46156</v>
      </c>
      <c r="B545" s="860" t="s">
        <v>935</v>
      </c>
      <c r="C545" s="708" t="s">
        <v>115</v>
      </c>
      <c r="D545" s="834" t="s">
        <v>5689</v>
      </c>
      <c r="E545" s="708" t="s">
        <v>5690</v>
      </c>
      <c r="F545" s="834" t="s">
        <v>2176</v>
      </c>
      <c r="G545" s="846" t="s">
        <v>4215</v>
      </c>
      <c r="H545" s="708" t="s">
        <v>483</v>
      </c>
      <c r="I545" s="861">
        <v>4320</v>
      </c>
      <c r="J545" s="708">
        <v>0</v>
      </c>
      <c r="K545" s="708">
        <v>120</v>
      </c>
      <c r="L545" s="708">
        <f t="shared" si="99"/>
        <v>36</v>
      </c>
      <c r="M545" s="879">
        <v>46227</v>
      </c>
      <c r="N545" s="891">
        <v>46234</v>
      </c>
      <c r="O545" s="860"/>
      <c r="P545" s="861"/>
      <c r="Q545" s="861"/>
      <c r="R545" s="864">
        <v>46155</v>
      </c>
      <c r="S545" s="829" t="s">
        <v>107</v>
      </c>
      <c r="T545" s="829" t="s">
        <v>95</v>
      </c>
      <c r="U545" s="829"/>
      <c r="V545" s="829"/>
      <c r="W545" s="829"/>
      <c r="X545" s="829" t="s">
        <v>937</v>
      </c>
      <c r="Y545" s="862" t="s">
        <v>488</v>
      </c>
      <c r="Z545" s="866">
        <v>642</v>
      </c>
      <c r="AA545" s="834">
        <f t="shared" si="105"/>
        <v>23112</v>
      </c>
      <c r="AB545" s="890" t="s">
        <v>2178</v>
      </c>
      <c r="AC545" s="867" t="s">
        <v>490</v>
      </c>
      <c r="AD545" s="708" t="s">
        <v>112</v>
      </c>
      <c r="AE545" s="708">
        <f t="shared" si="101"/>
        <v>4320</v>
      </c>
      <c r="AF545" s="708"/>
      <c r="AG545" s="708">
        <f>556+2036+594+1134</f>
        <v>4320</v>
      </c>
      <c r="AH545" s="833">
        <f t="shared" si="104"/>
        <v>0</v>
      </c>
      <c r="AI545" s="861"/>
      <c r="AJ545" s="708" t="s">
        <v>3981</v>
      </c>
      <c r="AK545" s="834"/>
      <c r="AL545" s="834"/>
      <c r="AM545" s="834"/>
      <c r="AN545" s="834"/>
      <c r="AO545" s="834"/>
      <c r="AP545" s="834"/>
      <c r="AQ545" s="834">
        <f t="shared" si="106"/>
        <v>4320</v>
      </c>
      <c r="AR545" s="834">
        <f t="shared" si="107"/>
        <v>4320</v>
      </c>
      <c r="AS545" s="834">
        <f t="shared" si="108"/>
        <v>720</v>
      </c>
      <c r="AT545" s="834"/>
      <c r="AU545" s="834"/>
      <c r="AV545" s="834"/>
      <c r="AW545" s="834"/>
      <c r="AX545" s="834"/>
      <c r="AY545" s="834"/>
      <c r="AZ545" s="834"/>
      <c r="BA545" s="834"/>
      <c r="BB545" s="834"/>
      <c r="BC545" s="834"/>
      <c r="BD545" s="834"/>
      <c r="BE545" s="834"/>
      <c r="BF545" s="834"/>
      <c r="BG545" s="834"/>
      <c r="BH545" s="834"/>
      <c r="BI545" s="834"/>
    </row>
    <row r="546" s="650" customFormat="1" ht="31" customHeight="1" spans="1:108">
      <c r="A546" s="713">
        <v>46156</v>
      </c>
      <c r="B546" s="714" t="s">
        <v>935</v>
      </c>
      <c r="C546" s="715" t="s">
        <v>115</v>
      </c>
      <c r="D546" s="652" t="s">
        <v>5691</v>
      </c>
      <c r="E546" s="715" t="s">
        <v>5692</v>
      </c>
      <c r="F546" s="652" t="s">
        <v>2479</v>
      </c>
      <c r="G546" s="716" t="s">
        <v>4215</v>
      </c>
      <c r="H546" s="715" t="s">
        <v>483</v>
      </c>
      <c r="I546" s="717">
        <v>4320</v>
      </c>
      <c r="J546" s="715">
        <v>0</v>
      </c>
      <c r="K546" s="715">
        <v>120</v>
      </c>
      <c r="L546" s="715">
        <f t="shared" si="99"/>
        <v>36</v>
      </c>
      <c r="M546" s="738">
        <v>46227</v>
      </c>
      <c r="N546" s="738">
        <v>46234</v>
      </c>
      <c r="O546" s="714"/>
      <c r="P546" s="717" t="s">
        <v>1410</v>
      </c>
      <c r="Q546" s="717"/>
      <c r="R546" s="723">
        <v>46155</v>
      </c>
      <c r="S546" s="720" t="s">
        <v>107</v>
      </c>
      <c r="T546" s="720" t="s">
        <v>95</v>
      </c>
      <c r="U546" s="720"/>
      <c r="V546" s="720"/>
      <c r="W546" s="720"/>
      <c r="X546" s="720" t="s">
        <v>937</v>
      </c>
      <c r="Y546" s="719" t="s">
        <v>488</v>
      </c>
      <c r="Z546" s="730">
        <v>642</v>
      </c>
      <c r="AA546" s="652">
        <f t="shared" si="105"/>
        <v>23112</v>
      </c>
      <c r="AB546" s="729" t="s">
        <v>5693</v>
      </c>
      <c r="AC546" s="722" t="s">
        <v>490</v>
      </c>
      <c r="AD546" s="715" t="s">
        <v>112</v>
      </c>
      <c r="AE546" s="715">
        <f t="shared" si="101"/>
        <v>4320</v>
      </c>
      <c r="AF546" s="715"/>
      <c r="AG546" s="715">
        <f>1296+594+1296+1134</f>
        <v>4320</v>
      </c>
      <c r="AH546" s="715">
        <f t="shared" si="104"/>
        <v>0</v>
      </c>
      <c r="AI546" s="717"/>
      <c r="AJ546" s="715" t="s">
        <v>3981</v>
      </c>
      <c r="AK546" s="652"/>
      <c r="AL546" s="652"/>
      <c r="AM546" s="652"/>
      <c r="AN546" s="652"/>
      <c r="AO546" s="652"/>
      <c r="AP546" s="652"/>
      <c r="AQ546" s="652">
        <f t="shared" si="106"/>
        <v>4320</v>
      </c>
      <c r="AR546" s="652">
        <f t="shared" si="107"/>
        <v>4320</v>
      </c>
      <c r="AS546" s="652">
        <f t="shared" si="108"/>
        <v>720</v>
      </c>
      <c r="AT546" s="652"/>
      <c r="AU546" s="652"/>
      <c r="AV546" s="652"/>
      <c r="AW546" s="652"/>
      <c r="AX546" s="652"/>
      <c r="AY546" s="652"/>
      <c r="AZ546" s="652"/>
      <c r="BA546" s="652"/>
      <c r="BB546" s="652"/>
      <c r="BC546" s="652"/>
      <c r="BD546" s="652"/>
      <c r="BE546" s="652"/>
      <c r="BF546" s="652"/>
      <c r="BG546" s="652"/>
      <c r="BH546" s="652"/>
      <c r="BI546" s="652"/>
    </row>
    <row r="547" s="659" customFormat="1" ht="31" customHeight="1" spans="1:108">
      <c r="A547" s="819">
        <v>46156</v>
      </c>
      <c r="B547" s="860" t="s">
        <v>935</v>
      </c>
      <c r="C547" s="708" t="s">
        <v>115</v>
      </c>
      <c r="D547" s="834" t="s">
        <v>5694</v>
      </c>
      <c r="E547" s="708" t="s">
        <v>5695</v>
      </c>
      <c r="F547" s="834" t="s">
        <v>2496</v>
      </c>
      <c r="G547" s="846" t="s">
        <v>4215</v>
      </c>
      <c r="H547" s="708" t="s">
        <v>483</v>
      </c>
      <c r="I547" s="861">
        <v>4320</v>
      </c>
      <c r="J547" s="708">
        <v>0</v>
      </c>
      <c r="K547" s="708">
        <v>120</v>
      </c>
      <c r="L547" s="708">
        <f t="shared" si="99"/>
        <v>36</v>
      </c>
      <c r="M547" s="862">
        <v>46227</v>
      </c>
      <c r="N547" s="879">
        <v>46234</v>
      </c>
      <c r="O547" s="860"/>
      <c r="P547" s="861"/>
      <c r="Q547" s="861"/>
      <c r="R547" s="864">
        <v>46155</v>
      </c>
      <c r="S547" s="829" t="s">
        <v>107</v>
      </c>
      <c r="T547" s="829" t="s">
        <v>95</v>
      </c>
      <c r="U547" s="829"/>
      <c r="V547" s="829"/>
      <c r="W547" s="829"/>
      <c r="X547" s="829" t="s">
        <v>937</v>
      </c>
      <c r="Y547" s="862" t="s">
        <v>488</v>
      </c>
      <c r="Z547" s="866">
        <v>642</v>
      </c>
      <c r="AA547" s="834">
        <f t="shared" si="105"/>
        <v>23112</v>
      </c>
      <c r="AB547" s="890" t="s">
        <v>5696</v>
      </c>
      <c r="AC547" s="867" t="s">
        <v>490</v>
      </c>
      <c r="AD547" s="708" t="s">
        <v>112</v>
      </c>
      <c r="AE547" s="708">
        <f t="shared" si="101"/>
        <v>4320</v>
      </c>
      <c r="AF547" s="708"/>
      <c r="AG547" s="708">
        <f>925+965+1296+760+190+184</f>
        <v>4320</v>
      </c>
      <c r="AH547" s="833">
        <f t="shared" si="104"/>
        <v>0</v>
      </c>
      <c r="AI547" s="861"/>
      <c r="AJ547" s="708" t="s">
        <v>3981</v>
      </c>
      <c r="AK547" s="834"/>
      <c r="AL547" s="834"/>
      <c r="AM547" s="834"/>
      <c r="AN547" s="834"/>
      <c r="AO547" s="834"/>
      <c r="AP547" s="834"/>
      <c r="AQ547" s="834">
        <f t="shared" si="106"/>
        <v>4320</v>
      </c>
      <c r="AR547" s="834">
        <f t="shared" si="107"/>
        <v>4320</v>
      </c>
      <c r="AS547" s="834">
        <f t="shared" si="108"/>
        <v>720</v>
      </c>
      <c r="AT547" s="834"/>
      <c r="AU547" s="834"/>
      <c r="AV547" s="834"/>
      <c r="AW547" s="834"/>
      <c r="AX547" s="834"/>
      <c r="AY547" s="834"/>
      <c r="AZ547" s="834"/>
      <c r="BA547" s="834"/>
      <c r="BB547" s="834"/>
      <c r="BC547" s="834"/>
      <c r="BD547" s="834"/>
      <c r="BE547" s="834"/>
      <c r="BF547" s="834"/>
      <c r="BG547" s="834"/>
      <c r="BH547" s="834"/>
      <c r="BI547" s="834"/>
    </row>
    <row r="548" s="650" customFormat="1" ht="31" customHeight="1" spans="1:108">
      <c r="A548" s="713">
        <v>46185</v>
      </c>
      <c r="B548" s="714" t="s">
        <v>2568</v>
      </c>
      <c r="C548" s="715" t="s">
        <v>1822</v>
      </c>
      <c r="D548" s="652">
        <v>4500212151</v>
      </c>
      <c r="E548" s="715"/>
      <c r="F548" s="652" t="s">
        <v>5697</v>
      </c>
      <c r="G548" s="716" t="s">
        <v>3973</v>
      </c>
      <c r="H548" s="715" t="s">
        <v>3995</v>
      </c>
      <c r="I548" s="717">
        <v>480</v>
      </c>
      <c r="J548" s="715">
        <v>0</v>
      </c>
      <c r="K548" s="715">
        <v>16</v>
      </c>
      <c r="L548" s="715">
        <f t="shared" si="99"/>
        <v>30</v>
      </c>
      <c r="M548" s="719">
        <v>46233</v>
      </c>
      <c r="N548" s="719">
        <v>46230</v>
      </c>
      <c r="O548" s="714"/>
      <c r="P548" s="717" t="s">
        <v>1410</v>
      </c>
      <c r="Q548" s="717" t="s">
        <v>4976</v>
      </c>
      <c r="R548" s="723" t="s">
        <v>5698</v>
      </c>
      <c r="S548" s="720" t="s">
        <v>107</v>
      </c>
      <c r="T548" s="720" t="s">
        <v>2571</v>
      </c>
      <c r="U548" s="720"/>
      <c r="V548" s="720"/>
      <c r="W548" s="720"/>
      <c r="X548" s="720" t="s">
        <v>5699</v>
      </c>
      <c r="Y548" s="719" t="s">
        <v>1252</v>
      </c>
      <c r="Z548" s="730">
        <v>4.8331</v>
      </c>
      <c r="AA548" s="652">
        <f>I548*Z548</f>
        <v>2319.888</v>
      </c>
      <c r="AB548" s="721"/>
      <c r="AC548" s="652" t="s">
        <v>4108</v>
      </c>
      <c r="AD548" s="715" t="s">
        <v>112</v>
      </c>
      <c r="AE548" s="715">
        <f t="shared" si="101"/>
        <v>480</v>
      </c>
      <c r="AF548" s="715"/>
      <c r="AG548" s="715">
        <v>480</v>
      </c>
      <c r="AH548" s="715">
        <f t="shared" si="104"/>
        <v>0</v>
      </c>
      <c r="AI548" s="717"/>
      <c r="AJ548" s="715" t="s">
        <v>3981</v>
      </c>
      <c r="AK548" s="652"/>
      <c r="AL548" s="652">
        <f>I548</f>
        <v>480</v>
      </c>
      <c r="AM548" s="652"/>
      <c r="AN548" s="652">
        <f>I548</f>
        <v>480</v>
      </c>
      <c r="AO548" s="652"/>
      <c r="AP548" s="652"/>
      <c r="AQ548" s="652"/>
      <c r="AR548" s="652"/>
      <c r="AS548" s="652"/>
      <c r="AT548" s="652"/>
      <c r="AU548" s="652">
        <f>I548/8</f>
        <v>60</v>
      </c>
      <c r="AV548" s="652"/>
      <c r="AW548" s="652"/>
      <c r="AX548" s="652"/>
      <c r="AY548" s="652"/>
      <c r="AZ548" s="652"/>
      <c r="BA548" s="652"/>
      <c r="BB548" s="652"/>
      <c r="BC548" s="652"/>
      <c r="BD548" s="652"/>
      <c r="BE548" s="652"/>
      <c r="BF548" s="652"/>
      <c r="BG548" s="652"/>
      <c r="BH548" s="652"/>
      <c r="BI548" s="652"/>
      <c r="BJ548" s="650"/>
      <c r="BK548" s="650"/>
      <c r="BL548" s="650"/>
      <c r="BM548" s="650"/>
      <c r="BN548" s="650"/>
      <c r="BO548" s="650"/>
      <c r="BP548" s="650"/>
      <c r="BQ548" s="650"/>
      <c r="BR548" s="650"/>
      <c r="BS548" s="650"/>
      <c r="BT548" s="650"/>
      <c r="BU548" s="650"/>
      <c r="BV548" s="650"/>
      <c r="BW548" s="650"/>
      <c r="BX548" s="650"/>
      <c r="BY548" s="650"/>
      <c r="BZ548" s="650"/>
      <c r="CA548" s="650"/>
      <c r="CB548" s="650"/>
      <c r="CC548" s="650"/>
      <c r="CD548" s="650"/>
      <c r="CE548" s="650"/>
      <c r="CF548" s="650"/>
      <c r="CG548" s="650"/>
      <c r="CH548" s="650"/>
      <c r="CI548" s="650"/>
      <c r="CJ548" s="650"/>
      <c r="CK548" s="650"/>
      <c r="CL548" s="650"/>
      <c r="CM548" s="650"/>
      <c r="CN548" s="650"/>
      <c r="CO548" s="650"/>
      <c r="CP548" s="650"/>
      <c r="CQ548" s="650"/>
      <c r="CR548" s="650"/>
      <c r="CS548" s="651"/>
      <c r="CT548" s="651"/>
      <c r="CU548" s="651"/>
      <c r="CV548" s="651"/>
      <c r="CW548" s="651"/>
      <c r="CX548" s="651"/>
      <c r="CY548" s="651"/>
      <c r="CZ548" s="651"/>
      <c r="DA548" s="651"/>
      <c r="DB548" s="651"/>
      <c r="DC548" s="651"/>
      <c r="DD548" s="651"/>
    </row>
    <row r="549" s="651" customFormat="1" ht="31" customHeight="1" spans="1:108">
      <c r="A549" s="713">
        <v>46178</v>
      </c>
      <c r="B549" s="714" t="s">
        <v>2480</v>
      </c>
      <c r="C549" s="715" t="s">
        <v>164</v>
      </c>
      <c r="D549" s="837">
        <v>4500210819</v>
      </c>
      <c r="E549" s="715" t="s">
        <v>2566</v>
      </c>
      <c r="F549" s="652" t="s">
        <v>5700</v>
      </c>
      <c r="G549" s="716" t="s">
        <v>3968</v>
      </c>
      <c r="H549" s="715" t="s">
        <v>3969</v>
      </c>
      <c r="I549" s="717">
        <v>3024</v>
      </c>
      <c r="J549" s="715">
        <v>0</v>
      </c>
      <c r="K549" s="715">
        <v>16</v>
      </c>
      <c r="L549" s="715">
        <f t="shared" si="99"/>
        <v>189</v>
      </c>
      <c r="M549" s="719">
        <v>46233</v>
      </c>
      <c r="N549" s="719">
        <v>46230</v>
      </c>
      <c r="O549" s="714"/>
      <c r="P549" s="717" t="s">
        <v>1410</v>
      </c>
      <c r="Q549" s="717"/>
      <c r="R549" s="723" t="s">
        <v>541</v>
      </c>
      <c r="S549" s="720" t="s">
        <v>107</v>
      </c>
      <c r="T549" s="720" t="s">
        <v>5502</v>
      </c>
      <c r="U549" s="723"/>
      <c r="V549" s="720"/>
      <c r="W549" s="720"/>
      <c r="X549" s="720" t="s">
        <v>5503</v>
      </c>
      <c r="Y549" s="719" t="s">
        <v>2505</v>
      </c>
      <c r="Z549" s="730">
        <v>4.7154</v>
      </c>
      <c r="AA549" s="652">
        <f>I549*Z549</f>
        <v>14259.3696</v>
      </c>
      <c r="AB549" s="721"/>
      <c r="AC549" s="652" t="s">
        <v>4426</v>
      </c>
      <c r="AD549" s="715" t="s">
        <v>112</v>
      </c>
      <c r="AE549" s="715">
        <f t="shared" si="101"/>
        <v>3024</v>
      </c>
      <c r="AF549" s="715"/>
      <c r="AG549" s="715">
        <v>3024</v>
      </c>
      <c r="AH549" s="715">
        <f t="shared" si="104"/>
        <v>0</v>
      </c>
      <c r="AI549" s="717"/>
      <c r="AJ549" s="715" t="s">
        <v>3981</v>
      </c>
      <c r="AK549" s="652"/>
      <c r="AL549" s="652"/>
      <c r="AM549" s="652"/>
      <c r="AN549" s="652"/>
      <c r="AO549" s="652"/>
      <c r="AP549" s="652"/>
      <c r="AQ549" s="652"/>
      <c r="AR549" s="652"/>
      <c r="AS549" s="652"/>
      <c r="AT549" s="652"/>
      <c r="AU549" s="652"/>
      <c r="AV549" s="652"/>
      <c r="AW549" s="652"/>
      <c r="AX549" s="652"/>
      <c r="AY549" s="652"/>
      <c r="AZ549" s="652"/>
      <c r="BA549" s="652"/>
      <c r="BB549" s="652"/>
      <c r="BC549" s="652"/>
      <c r="BD549" s="652"/>
      <c r="BE549" s="652"/>
      <c r="BF549" s="652"/>
      <c r="BG549" s="652"/>
      <c r="BH549" s="652"/>
      <c r="BI549" s="652"/>
      <c r="BJ549" s="650"/>
      <c r="BK549" s="650"/>
      <c r="BL549" s="650"/>
      <c r="BM549" s="650"/>
      <c r="BN549" s="650"/>
      <c r="BO549" s="650"/>
      <c r="BP549" s="650"/>
      <c r="BQ549" s="650"/>
      <c r="BR549" s="650"/>
      <c r="BS549" s="650"/>
      <c r="BT549" s="650"/>
      <c r="BU549" s="650"/>
      <c r="BV549" s="650"/>
      <c r="BW549" s="650"/>
      <c r="BX549" s="650"/>
      <c r="BY549" s="650"/>
      <c r="BZ549" s="650"/>
      <c r="CA549" s="650"/>
      <c r="CB549" s="650"/>
      <c r="CC549" s="650"/>
      <c r="CD549" s="650"/>
      <c r="CE549" s="650"/>
      <c r="CF549" s="650"/>
      <c r="CG549" s="650"/>
      <c r="CH549" s="650"/>
      <c r="CI549" s="650"/>
      <c r="CJ549" s="650"/>
      <c r="CK549" s="650"/>
      <c r="CL549" s="650"/>
      <c r="CM549" s="650"/>
      <c r="CN549" s="650"/>
      <c r="CO549" s="650"/>
      <c r="CP549" s="650"/>
      <c r="CQ549" s="650"/>
      <c r="CR549" s="650"/>
      <c r="CS549" s="650"/>
      <c r="CT549" s="650"/>
      <c r="CU549" s="650"/>
      <c r="CV549" s="650"/>
      <c r="CW549" s="650"/>
      <c r="CX549" s="650"/>
      <c r="CY549" s="650"/>
      <c r="CZ549" s="650"/>
      <c r="DA549" s="650"/>
      <c r="DB549" s="650"/>
      <c r="DC549" s="650"/>
      <c r="DD549" s="650"/>
    </row>
    <row r="550" s="651" customFormat="1" ht="31" customHeight="1" spans="1:108">
      <c r="A550" s="713">
        <v>46113</v>
      </c>
      <c r="B550" s="714" t="s">
        <v>257</v>
      </c>
      <c r="C550" s="715" t="s">
        <v>148</v>
      </c>
      <c r="D550" s="652" t="s">
        <v>5701</v>
      </c>
      <c r="E550" s="715" t="s">
        <v>5702</v>
      </c>
      <c r="F550" s="652" t="s">
        <v>5703</v>
      </c>
      <c r="G550" s="716" t="s">
        <v>3973</v>
      </c>
      <c r="H550" s="715" t="s">
        <v>3995</v>
      </c>
      <c r="I550" s="717">
        <v>1600</v>
      </c>
      <c r="J550" s="715">
        <v>0</v>
      </c>
      <c r="K550" s="715">
        <v>16</v>
      </c>
      <c r="L550" s="715">
        <f t="shared" si="99"/>
        <v>100</v>
      </c>
      <c r="M550" s="719">
        <v>46233</v>
      </c>
      <c r="N550" s="719">
        <v>46230</v>
      </c>
      <c r="O550" s="714" t="s">
        <v>5704</v>
      </c>
      <c r="P550" s="717" t="s">
        <v>1410</v>
      </c>
      <c r="Q550" s="717"/>
      <c r="R550" s="723">
        <v>46113</v>
      </c>
      <c r="S550" s="720" t="s">
        <v>107</v>
      </c>
      <c r="T550" s="720" t="s">
        <v>95</v>
      </c>
      <c r="U550" s="720"/>
      <c r="V550" s="720" t="s">
        <v>5705</v>
      </c>
      <c r="W550" s="720"/>
      <c r="X550" s="720" t="s">
        <v>5706</v>
      </c>
      <c r="Y550" s="719" t="s">
        <v>263</v>
      </c>
      <c r="Z550" s="730">
        <v>4.355</v>
      </c>
      <c r="AA550" s="652">
        <f>I550*Z550</f>
        <v>6968</v>
      </c>
      <c r="AB550" s="721"/>
      <c r="AC550" s="652" t="s">
        <v>4108</v>
      </c>
      <c r="AD550" s="715" t="s">
        <v>112</v>
      </c>
      <c r="AE550" s="715">
        <f t="shared" si="101"/>
        <v>1600</v>
      </c>
      <c r="AF550" s="715"/>
      <c r="AG550" s="715">
        <v>1600</v>
      </c>
      <c r="AH550" s="715">
        <f t="shared" si="104"/>
        <v>0</v>
      </c>
      <c r="AI550" s="717"/>
      <c r="AJ550" s="715" t="s">
        <v>3981</v>
      </c>
      <c r="AK550" s="652"/>
      <c r="AL550" s="652">
        <f>I550</f>
        <v>1600</v>
      </c>
      <c r="AM550" s="652"/>
      <c r="AN550" s="652">
        <f>I550</f>
        <v>1600</v>
      </c>
      <c r="AO550" s="652"/>
      <c r="AP550" s="652"/>
      <c r="AQ550" s="652"/>
      <c r="AR550" s="652"/>
      <c r="AS550" s="652"/>
      <c r="AT550" s="652"/>
      <c r="AU550" s="652">
        <f>I550/8</f>
        <v>200</v>
      </c>
      <c r="AV550" s="652"/>
      <c r="AW550" s="652"/>
      <c r="AX550" s="652"/>
      <c r="AY550" s="652"/>
      <c r="AZ550" s="652"/>
      <c r="BA550" s="652"/>
      <c r="BB550" s="652"/>
      <c r="BC550" s="652"/>
      <c r="BD550" s="652"/>
      <c r="BE550" s="652"/>
      <c r="BF550" s="652"/>
      <c r="BG550" s="652"/>
      <c r="BH550" s="652"/>
      <c r="BI550" s="652"/>
      <c r="BJ550" s="650"/>
      <c r="BK550" s="650"/>
      <c r="BL550" s="650"/>
      <c r="BM550" s="650"/>
      <c r="BN550" s="650"/>
      <c r="BO550" s="650"/>
      <c r="BP550" s="650"/>
      <c r="BQ550" s="650"/>
      <c r="BR550" s="650"/>
      <c r="BS550" s="650"/>
      <c r="BT550" s="650"/>
      <c r="BU550" s="650"/>
      <c r="BV550" s="650"/>
      <c r="BW550" s="650"/>
      <c r="BX550" s="650"/>
      <c r="BY550" s="650"/>
      <c r="BZ550" s="650"/>
      <c r="CA550" s="650"/>
      <c r="CB550" s="650"/>
      <c r="CC550" s="650"/>
      <c r="CD550" s="650"/>
      <c r="CE550" s="650"/>
      <c r="CF550" s="650"/>
      <c r="CG550" s="650"/>
      <c r="CH550" s="650"/>
      <c r="CI550" s="650"/>
      <c r="CJ550" s="650"/>
      <c r="CK550" s="650"/>
      <c r="CL550" s="650"/>
      <c r="CM550" s="650"/>
      <c r="CN550" s="650"/>
      <c r="CO550" s="650"/>
      <c r="CP550" s="650"/>
      <c r="CQ550" s="650"/>
      <c r="CR550" s="650"/>
      <c r="CS550" s="650"/>
      <c r="CT550" s="650"/>
      <c r="CU550" s="650"/>
      <c r="CV550" s="650"/>
      <c r="CW550" s="650"/>
      <c r="CX550" s="650"/>
      <c r="CY550" s="650"/>
      <c r="CZ550" s="650"/>
      <c r="DA550" s="650"/>
      <c r="DB550" s="650"/>
      <c r="DC550" s="650"/>
      <c r="DD550" s="650"/>
    </row>
    <row r="551" s="650" customFormat="1" ht="31" customHeight="1" spans="1:108">
      <c r="A551" s="819">
        <v>46212</v>
      </c>
      <c r="B551" s="820"/>
      <c r="C551" s="821" t="s">
        <v>597</v>
      </c>
      <c r="D551" s="822" t="s">
        <v>2558</v>
      </c>
      <c r="E551" s="821"/>
      <c r="F551" s="822" t="s">
        <v>5707</v>
      </c>
      <c r="G551" s="823" t="s">
        <v>3968</v>
      </c>
      <c r="H551" s="821" t="s">
        <v>3969</v>
      </c>
      <c r="I551" s="824" t="s">
        <v>2560</v>
      </c>
      <c r="J551" s="821">
        <v>0</v>
      </c>
      <c r="K551" s="821"/>
      <c r="L551" s="821"/>
      <c r="M551" s="825">
        <v>46233</v>
      </c>
      <c r="N551" s="825">
        <v>46228</v>
      </c>
      <c r="O551" s="820"/>
      <c r="P551" s="824"/>
      <c r="Q551" s="824"/>
      <c r="R551" s="827" t="s">
        <v>94</v>
      </c>
      <c r="S551" s="828" t="s">
        <v>95</v>
      </c>
      <c r="T551" s="828" t="s">
        <v>95</v>
      </c>
      <c r="U551" s="828"/>
      <c r="V551" s="828"/>
      <c r="W551" s="828"/>
      <c r="X551" s="820" t="s">
        <v>5708</v>
      </c>
      <c r="Y551" s="825" t="s">
        <v>272</v>
      </c>
      <c r="Z551" s="830"/>
      <c r="AA551" s="822"/>
      <c r="AB551" s="831"/>
      <c r="AC551" s="820"/>
      <c r="AD551" s="833" t="s">
        <v>99</v>
      </c>
      <c r="AE551" s="821">
        <v>60</v>
      </c>
      <c r="AF551" s="821"/>
      <c r="AG551" s="821"/>
      <c r="AH551" s="833" t="e">
        <f t="shared" si="104"/>
        <v>#VALUE!</v>
      </c>
      <c r="AI551" s="824"/>
      <c r="AJ551" s="821"/>
      <c r="AK551" s="822"/>
      <c r="AL551" s="822"/>
      <c r="AM551" s="822"/>
      <c r="AN551" s="822"/>
      <c r="AO551" s="822"/>
      <c r="AP551" s="822"/>
      <c r="AQ551" s="822"/>
      <c r="AR551" s="822"/>
      <c r="AS551" s="822"/>
      <c r="AT551" s="822"/>
      <c r="AU551" s="822"/>
      <c r="AV551" s="822"/>
      <c r="AW551" s="822"/>
      <c r="AX551" s="822"/>
      <c r="AY551" s="822"/>
      <c r="AZ551" s="822"/>
      <c r="BA551" s="822"/>
      <c r="BB551" s="822"/>
      <c r="BC551" s="822"/>
      <c r="BD551" s="822"/>
      <c r="BE551" s="822"/>
      <c r="BF551" s="822"/>
      <c r="BG551" s="822"/>
      <c r="BH551" s="822"/>
      <c r="BI551" s="822"/>
      <c r="BJ551" s="892"/>
      <c r="BK551" s="892"/>
      <c r="BL551" s="892"/>
      <c r="BM551" s="892"/>
      <c r="BN551" s="892"/>
      <c r="BO551" s="892"/>
      <c r="BP551" s="892"/>
      <c r="BQ551" s="892"/>
      <c r="BR551" s="892"/>
      <c r="BS551" s="892"/>
      <c r="BT551" s="892"/>
      <c r="BU551" s="892"/>
      <c r="BV551" s="892"/>
      <c r="BW551" s="892"/>
      <c r="BX551" s="892"/>
      <c r="BY551" s="892"/>
      <c r="BZ551" s="892"/>
      <c r="CA551" s="892"/>
      <c r="CB551" s="892"/>
      <c r="CC551" s="892"/>
      <c r="CD551" s="892"/>
      <c r="CE551" s="892"/>
      <c r="CF551" s="892"/>
      <c r="CG551" s="892"/>
      <c r="CH551" s="892"/>
      <c r="CI551" s="892"/>
      <c r="CJ551" s="892"/>
      <c r="CK551" s="892"/>
      <c r="CL551" s="892"/>
      <c r="CM551" s="892"/>
      <c r="CN551" s="892"/>
      <c r="CO551" s="892"/>
      <c r="CP551" s="892"/>
      <c r="CQ551" s="892"/>
      <c r="CR551" s="892"/>
      <c r="CS551" s="892"/>
      <c r="CT551" s="892"/>
      <c r="CU551" s="892"/>
      <c r="CV551" s="892"/>
      <c r="CW551" s="892"/>
      <c r="CX551" s="892"/>
      <c r="CY551" s="892"/>
      <c r="CZ551" s="892"/>
      <c r="DA551" s="892"/>
      <c r="DB551" s="892"/>
      <c r="DC551" s="892"/>
      <c r="DD551" s="892"/>
    </row>
    <row r="552" s="650" customFormat="1" ht="31" customHeight="1" spans="1:108">
      <c r="A552" s="713">
        <v>46178</v>
      </c>
      <c r="B552" s="714" t="s">
        <v>2480</v>
      </c>
      <c r="C552" s="715" t="s">
        <v>164</v>
      </c>
      <c r="D552" s="837">
        <v>4500210819</v>
      </c>
      <c r="E552" s="715" t="s">
        <v>2562</v>
      </c>
      <c r="F552" s="652" t="s">
        <v>5709</v>
      </c>
      <c r="G552" s="716" t="s">
        <v>3968</v>
      </c>
      <c r="H552" s="715" t="s">
        <v>3969</v>
      </c>
      <c r="I552" s="717">
        <v>3088</v>
      </c>
      <c r="J552" s="715">
        <v>0</v>
      </c>
      <c r="K552" s="715">
        <v>16</v>
      </c>
      <c r="L552" s="715">
        <f t="shared" ref="L552:L615" si="109">I552/K552</f>
        <v>193</v>
      </c>
      <c r="M552" s="719">
        <v>46233</v>
      </c>
      <c r="N552" s="719">
        <v>46230</v>
      </c>
      <c r="O552" s="714"/>
      <c r="P552" s="717" t="s">
        <v>1410</v>
      </c>
      <c r="Q552" s="717"/>
      <c r="R552" s="723" t="s">
        <v>541</v>
      </c>
      <c r="S552" s="720" t="s">
        <v>107</v>
      </c>
      <c r="T552" s="720" t="s">
        <v>5502</v>
      </c>
      <c r="U552" s="723"/>
      <c r="V552" s="720"/>
      <c r="W552" s="720"/>
      <c r="X552" s="720" t="s">
        <v>5503</v>
      </c>
      <c r="Y552" s="719" t="s">
        <v>2505</v>
      </c>
      <c r="Z552" s="730">
        <v>4.6846</v>
      </c>
      <c r="AA552" s="652">
        <f>I552*Z552</f>
        <v>14466.0448</v>
      </c>
      <c r="AB552" s="721"/>
      <c r="AC552" s="652" t="s">
        <v>4426</v>
      </c>
      <c r="AD552" s="715" t="s">
        <v>112</v>
      </c>
      <c r="AE552" s="715">
        <f t="shared" ref="AE552:AE615" si="110">I552</f>
        <v>3088</v>
      </c>
      <c r="AF552" s="715"/>
      <c r="AG552" s="715">
        <v>3088</v>
      </c>
      <c r="AH552" s="715">
        <f t="shared" si="104"/>
        <v>0</v>
      </c>
      <c r="AI552" s="717"/>
      <c r="AJ552" s="715" t="s">
        <v>3981</v>
      </c>
      <c r="AK552" s="652"/>
      <c r="AL552" s="652"/>
      <c r="AM552" s="652"/>
      <c r="AN552" s="652"/>
      <c r="AO552" s="652"/>
      <c r="AP552" s="652"/>
      <c r="AQ552" s="652"/>
      <c r="AR552" s="652"/>
      <c r="AS552" s="652"/>
      <c r="AT552" s="652"/>
      <c r="AU552" s="652"/>
      <c r="AV552" s="652"/>
      <c r="AW552" s="652"/>
      <c r="AX552" s="652"/>
      <c r="AY552" s="652"/>
      <c r="AZ552" s="652"/>
      <c r="BA552" s="652"/>
      <c r="BB552" s="652"/>
      <c r="BC552" s="652"/>
      <c r="BD552" s="652"/>
      <c r="BE552" s="652"/>
      <c r="BF552" s="652"/>
      <c r="BG552" s="652"/>
      <c r="BH552" s="652"/>
      <c r="BI552" s="652"/>
    </row>
    <row r="553" s="650" customFormat="1" ht="31" customHeight="1" spans="1:108">
      <c r="A553" s="713">
        <v>46156</v>
      </c>
      <c r="B553" s="714" t="s">
        <v>935</v>
      </c>
      <c r="C553" s="715" t="s">
        <v>115</v>
      </c>
      <c r="D553" s="652" t="s">
        <v>5710</v>
      </c>
      <c r="E553" s="715" t="s">
        <v>5711</v>
      </c>
      <c r="F553" s="652" t="s">
        <v>2446</v>
      </c>
      <c r="G553" s="716" t="s">
        <v>4215</v>
      </c>
      <c r="H553" s="715" t="s">
        <v>483</v>
      </c>
      <c r="I553" s="717">
        <v>4320</v>
      </c>
      <c r="J553" s="715">
        <v>0</v>
      </c>
      <c r="K553" s="715">
        <v>120</v>
      </c>
      <c r="L553" s="715">
        <f t="shared" si="109"/>
        <v>36</v>
      </c>
      <c r="M553" s="738">
        <v>46224</v>
      </c>
      <c r="N553" s="738">
        <v>46233</v>
      </c>
      <c r="O553" s="714"/>
      <c r="P553" s="717"/>
      <c r="Q553" s="717"/>
      <c r="R553" s="723">
        <v>46155</v>
      </c>
      <c r="S553" s="720" t="s">
        <v>107</v>
      </c>
      <c r="T553" s="720" t="s">
        <v>95</v>
      </c>
      <c r="U553" s="720"/>
      <c r="V553" s="720"/>
      <c r="W553" s="720"/>
      <c r="X553" s="720" t="s">
        <v>937</v>
      </c>
      <c r="Y553" s="719" t="s">
        <v>488</v>
      </c>
      <c r="Z553" s="730">
        <v>642</v>
      </c>
      <c r="AA553" s="652">
        <f t="shared" ref="AA553:AA558" si="111">L553*Z553</f>
        <v>23112</v>
      </c>
      <c r="AB553" s="729" t="s">
        <v>5712</v>
      </c>
      <c r="AC553" s="722" t="s">
        <v>490</v>
      </c>
      <c r="AD553" s="715" t="s">
        <v>112</v>
      </c>
      <c r="AE553" s="715">
        <f t="shared" si="110"/>
        <v>4320</v>
      </c>
      <c r="AF553" s="715"/>
      <c r="AG553" s="715">
        <f>4096+224</f>
        <v>4320</v>
      </c>
      <c r="AH553" s="715">
        <f t="shared" si="104"/>
        <v>0</v>
      </c>
      <c r="AI553" s="717"/>
      <c r="AJ553" s="715" t="s">
        <v>3981</v>
      </c>
      <c r="AK553" s="652"/>
      <c r="AL553" s="652"/>
      <c r="AM553" s="652"/>
      <c r="AN553" s="652"/>
      <c r="AO553" s="652"/>
      <c r="AP553" s="652"/>
      <c r="AQ553" s="652">
        <f>I553</f>
        <v>4320</v>
      </c>
      <c r="AR553" s="652">
        <f>I553</f>
        <v>4320</v>
      </c>
      <c r="AS553" s="652">
        <f>I553/6</f>
        <v>720</v>
      </c>
      <c r="AT553" s="652"/>
      <c r="AU553" s="652"/>
      <c r="AV553" s="652"/>
      <c r="AW553" s="652"/>
      <c r="AX553" s="652"/>
      <c r="AY553" s="652"/>
      <c r="AZ553" s="652"/>
      <c r="BA553" s="652"/>
      <c r="BB553" s="652"/>
      <c r="BC553" s="652"/>
      <c r="BD553" s="652"/>
      <c r="BE553" s="652"/>
      <c r="BF553" s="652"/>
      <c r="BG553" s="652"/>
      <c r="BH553" s="652"/>
      <c r="BI553" s="652"/>
      <c r="BJ553" s="650"/>
      <c r="BK553" s="650"/>
      <c r="BL553" s="650"/>
      <c r="BM553" s="650"/>
      <c r="BN553" s="650"/>
      <c r="BO553" s="650"/>
      <c r="BP553" s="650"/>
      <c r="BQ553" s="650"/>
      <c r="BR553" s="650"/>
      <c r="BS553" s="650"/>
      <c r="BT553" s="650"/>
      <c r="BU553" s="650"/>
      <c r="BV553" s="650"/>
      <c r="BW553" s="650"/>
      <c r="BX553" s="650"/>
      <c r="BY553" s="650"/>
      <c r="BZ553" s="650"/>
      <c r="CA553" s="650"/>
      <c r="CB553" s="650"/>
      <c r="CC553" s="650"/>
      <c r="CD553" s="650"/>
      <c r="CE553" s="650"/>
      <c r="CF553" s="650"/>
      <c r="CG553" s="650"/>
      <c r="CH553" s="650"/>
      <c r="CI553" s="650"/>
      <c r="CJ553" s="650"/>
      <c r="CK553" s="650"/>
      <c r="CL553" s="650"/>
      <c r="CM553" s="650"/>
      <c r="CN553" s="650"/>
      <c r="CO553" s="650"/>
      <c r="CP553" s="650"/>
      <c r="CQ553" s="650"/>
      <c r="CR553" s="650"/>
      <c r="CS553" s="651"/>
      <c r="CT553" s="651"/>
      <c r="CU553" s="651"/>
      <c r="CV553" s="651"/>
      <c r="CW553" s="651"/>
      <c r="CX553" s="651"/>
      <c r="CY553" s="651"/>
      <c r="CZ553" s="651"/>
      <c r="DA553" s="651"/>
      <c r="DB553" s="651"/>
      <c r="DC553" s="651"/>
      <c r="DD553" s="651"/>
    </row>
    <row r="554" s="654" customFormat="1" ht="31" customHeight="1" spans="1:108">
      <c r="A554" s="713">
        <v>46156</v>
      </c>
      <c r="B554" s="714" t="s">
        <v>935</v>
      </c>
      <c r="C554" s="715" t="s">
        <v>115</v>
      </c>
      <c r="D554" s="652" t="s">
        <v>5713</v>
      </c>
      <c r="E554" s="715" t="s">
        <v>5714</v>
      </c>
      <c r="F554" s="652">
        <f>740+1689+1260+631</f>
        <v>4320</v>
      </c>
      <c r="G554" s="716" t="s">
        <v>4215</v>
      </c>
      <c r="H554" s="715" t="s">
        <v>483</v>
      </c>
      <c r="I554" s="717">
        <v>4320</v>
      </c>
      <c r="J554" s="715">
        <v>0</v>
      </c>
      <c r="K554" s="715">
        <v>120</v>
      </c>
      <c r="L554" s="715">
        <f t="shared" si="109"/>
        <v>36</v>
      </c>
      <c r="M554" s="719">
        <v>46233</v>
      </c>
      <c r="N554" s="738">
        <v>46238</v>
      </c>
      <c r="O554" s="714"/>
      <c r="P554" s="717" t="s">
        <v>1410</v>
      </c>
      <c r="Q554" s="717"/>
      <c r="R554" s="723">
        <v>46155</v>
      </c>
      <c r="S554" s="720" t="s">
        <v>107</v>
      </c>
      <c r="T554" s="720" t="s">
        <v>95</v>
      </c>
      <c r="U554" s="720"/>
      <c r="V554" s="720"/>
      <c r="W554" s="720"/>
      <c r="X554" s="720" t="s">
        <v>937</v>
      </c>
      <c r="Y554" s="719" t="s">
        <v>488</v>
      </c>
      <c r="Z554" s="730">
        <v>642</v>
      </c>
      <c r="AA554" s="652">
        <f t="shared" si="111"/>
        <v>23112</v>
      </c>
      <c r="AB554" s="729" t="s">
        <v>5715</v>
      </c>
      <c r="AC554" s="722" t="s">
        <v>490</v>
      </c>
      <c r="AD554" s="715" t="s">
        <v>112</v>
      </c>
      <c r="AE554" s="715">
        <f t="shared" si="110"/>
        <v>4320</v>
      </c>
      <c r="AF554" s="715"/>
      <c r="AG554" s="715">
        <f>740+1689+1260+631</f>
        <v>4320</v>
      </c>
      <c r="AH554" s="715">
        <f t="shared" si="104"/>
        <v>0</v>
      </c>
      <c r="AI554" s="717"/>
      <c r="AJ554" s="715" t="s">
        <v>3981</v>
      </c>
      <c r="AK554" s="652"/>
      <c r="AL554" s="652"/>
      <c r="AM554" s="652"/>
      <c r="AN554" s="652"/>
      <c r="AO554" s="652"/>
      <c r="AP554" s="652"/>
      <c r="AQ554" s="652">
        <f>I554</f>
        <v>4320</v>
      </c>
      <c r="AR554" s="652">
        <f>I554</f>
        <v>4320</v>
      </c>
      <c r="AS554" s="652">
        <f>I554/6</f>
        <v>720</v>
      </c>
      <c r="AT554" s="652"/>
      <c r="AU554" s="652"/>
      <c r="AV554" s="652"/>
      <c r="AW554" s="652"/>
      <c r="AX554" s="652"/>
      <c r="AY554" s="652"/>
      <c r="AZ554" s="652"/>
      <c r="BA554" s="652"/>
      <c r="BB554" s="652"/>
      <c r="BC554" s="652"/>
      <c r="BD554" s="652"/>
      <c r="BE554" s="652"/>
      <c r="BF554" s="652"/>
      <c r="BG554" s="652"/>
      <c r="BH554" s="652"/>
      <c r="BI554" s="652"/>
      <c r="BJ554" s="650"/>
      <c r="BK554" s="650"/>
      <c r="BL554" s="650"/>
      <c r="BM554" s="650"/>
      <c r="BN554" s="650"/>
      <c r="BO554" s="650"/>
      <c r="BP554" s="650"/>
      <c r="BQ554" s="650"/>
      <c r="BR554" s="650"/>
      <c r="BS554" s="650"/>
      <c r="BT554" s="650"/>
      <c r="BU554" s="650"/>
      <c r="BV554" s="650"/>
      <c r="BW554" s="650"/>
      <c r="BX554" s="650"/>
      <c r="BY554" s="650"/>
      <c r="BZ554" s="650"/>
      <c r="CA554" s="650"/>
      <c r="CB554" s="650"/>
      <c r="CC554" s="650"/>
      <c r="CD554" s="650"/>
      <c r="CE554" s="650"/>
      <c r="CF554" s="650"/>
      <c r="CG554" s="650"/>
      <c r="CH554" s="650"/>
      <c r="CI554" s="650"/>
      <c r="CJ554" s="650"/>
      <c r="CK554" s="650"/>
      <c r="CL554" s="650"/>
      <c r="CM554" s="650"/>
      <c r="CN554" s="650"/>
      <c r="CO554" s="650"/>
      <c r="CP554" s="650"/>
      <c r="CQ554" s="650"/>
      <c r="CR554" s="650"/>
      <c r="CS554" s="650"/>
      <c r="CT554" s="650"/>
      <c r="CU554" s="650"/>
      <c r="CV554" s="650"/>
      <c r="CW554" s="650"/>
      <c r="CX554" s="650"/>
      <c r="CY554" s="650"/>
      <c r="CZ554" s="650"/>
      <c r="DA554" s="650"/>
      <c r="DB554" s="650"/>
      <c r="DC554" s="650"/>
      <c r="DD554" s="650"/>
    </row>
    <row r="555" s="654" customFormat="1" ht="31" customHeight="1" spans="1:108">
      <c r="A555" s="713">
        <v>46156</v>
      </c>
      <c r="B555" s="714" t="s">
        <v>935</v>
      </c>
      <c r="C555" s="715" t="s">
        <v>115</v>
      </c>
      <c r="D555" s="652">
        <v>4500206891</v>
      </c>
      <c r="E555" s="715" t="s">
        <v>5716</v>
      </c>
      <c r="F555" s="652" t="s">
        <v>2589</v>
      </c>
      <c r="G555" s="716" t="s">
        <v>4215</v>
      </c>
      <c r="H555" s="715" t="s">
        <v>483</v>
      </c>
      <c r="I555" s="717">
        <v>4320</v>
      </c>
      <c r="J555" s="715">
        <v>0</v>
      </c>
      <c r="K555" s="715">
        <v>120</v>
      </c>
      <c r="L555" s="715">
        <f t="shared" si="109"/>
        <v>36</v>
      </c>
      <c r="M555" s="738">
        <v>46233</v>
      </c>
      <c r="N555" s="738">
        <v>46243</v>
      </c>
      <c r="O555" s="714"/>
      <c r="P555" s="717"/>
      <c r="Q555" s="717"/>
      <c r="R555" s="723">
        <v>46155</v>
      </c>
      <c r="S555" s="720" t="s">
        <v>107</v>
      </c>
      <c r="T555" s="720" t="s">
        <v>95</v>
      </c>
      <c r="U555" s="720"/>
      <c r="V555" s="720"/>
      <c r="W555" s="720"/>
      <c r="X555" s="720" t="s">
        <v>937</v>
      </c>
      <c r="Y555" s="719" t="s">
        <v>488</v>
      </c>
      <c r="Z555" s="730">
        <v>642</v>
      </c>
      <c r="AA555" s="652">
        <f t="shared" si="111"/>
        <v>23112</v>
      </c>
      <c r="AB555" s="721"/>
      <c r="AC555" s="722" t="s">
        <v>490</v>
      </c>
      <c r="AD555" s="715" t="s">
        <v>112</v>
      </c>
      <c r="AE555" s="715">
        <f t="shared" si="110"/>
        <v>4320</v>
      </c>
      <c r="AF555" s="715"/>
      <c r="AG555" s="715">
        <v>4320</v>
      </c>
      <c r="AH555" s="715">
        <f t="shared" si="104"/>
        <v>0</v>
      </c>
      <c r="AI555" s="717"/>
      <c r="AJ555" s="715"/>
      <c r="AK555" s="652"/>
      <c r="AL555" s="652"/>
      <c r="AM555" s="652"/>
      <c r="AN555" s="652"/>
      <c r="AO555" s="652"/>
      <c r="AP555" s="652"/>
      <c r="AQ555" s="652">
        <f>I555</f>
        <v>4320</v>
      </c>
      <c r="AR555" s="652">
        <f>I555</f>
        <v>4320</v>
      </c>
      <c r="AS555" s="652">
        <f>I555/6</f>
        <v>720</v>
      </c>
      <c r="AT555" s="652"/>
      <c r="AU555" s="652"/>
      <c r="AV555" s="652"/>
      <c r="AW555" s="652"/>
      <c r="AX555" s="652"/>
      <c r="AY555" s="652"/>
      <c r="AZ555" s="652"/>
      <c r="BA555" s="652"/>
      <c r="BB555" s="652"/>
      <c r="BC555" s="652"/>
      <c r="BD555" s="652"/>
      <c r="BE555" s="652"/>
      <c r="BF555" s="652"/>
      <c r="BG555" s="652"/>
      <c r="BH555" s="652"/>
      <c r="BI555" s="652"/>
      <c r="BJ555" s="650"/>
      <c r="BK555" s="650"/>
      <c r="BL555" s="650"/>
      <c r="BM555" s="650"/>
      <c r="BN555" s="650"/>
      <c r="BO555" s="650"/>
      <c r="BP555" s="650"/>
      <c r="BQ555" s="650"/>
      <c r="BR555" s="650"/>
      <c r="BS555" s="650"/>
      <c r="BT555" s="650"/>
      <c r="BU555" s="650"/>
      <c r="BV555" s="650"/>
      <c r="BW555" s="650"/>
      <c r="BX555" s="650"/>
      <c r="BY555" s="650"/>
      <c r="BZ555" s="650"/>
      <c r="CA555" s="650"/>
      <c r="CB555" s="650"/>
      <c r="CC555" s="650"/>
      <c r="CD555" s="650"/>
      <c r="CE555" s="650"/>
      <c r="CF555" s="650"/>
      <c r="CG555" s="650"/>
      <c r="CH555" s="650"/>
      <c r="CI555" s="650"/>
      <c r="CJ555" s="650"/>
      <c r="CK555" s="650"/>
      <c r="CL555" s="650"/>
      <c r="CM555" s="650"/>
      <c r="CN555" s="650"/>
      <c r="CO555" s="650"/>
      <c r="CP555" s="650"/>
      <c r="CQ555" s="650"/>
      <c r="CR555" s="650"/>
      <c r="CS555" s="650"/>
      <c r="CT555" s="650"/>
      <c r="CU555" s="650"/>
      <c r="CV555" s="650"/>
      <c r="CW555" s="650"/>
      <c r="CX555" s="650"/>
      <c r="CY555" s="650"/>
      <c r="CZ555" s="650"/>
      <c r="DA555" s="650"/>
      <c r="DB555" s="650"/>
      <c r="DC555" s="650"/>
      <c r="DD555" s="650"/>
    </row>
    <row r="556" s="654" customFormat="1" ht="31" customHeight="1" spans="1:108">
      <c r="A556" s="713">
        <v>46126</v>
      </c>
      <c r="B556" s="714" t="s">
        <v>2578</v>
      </c>
      <c r="C556" s="715" t="s">
        <v>115</v>
      </c>
      <c r="D556" s="652">
        <v>4500201833</v>
      </c>
      <c r="E556" s="1908" t="s">
        <v>5717</v>
      </c>
      <c r="F556" s="652" t="s">
        <v>2579</v>
      </c>
      <c r="G556" s="716" t="s">
        <v>4337</v>
      </c>
      <c r="H556" s="715" t="s">
        <v>151</v>
      </c>
      <c r="I556" s="717">
        <v>264</v>
      </c>
      <c r="J556" s="715">
        <v>0</v>
      </c>
      <c r="K556" s="715">
        <v>24</v>
      </c>
      <c r="L556" s="715">
        <f t="shared" si="109"/>
        <v>11</v>
      </c>
      <c r="M556" s="719">
        <v>46233</v>
      </c>
      <c r="N556" s="738">
        <v>46240</v>
      </c>
      <c r="O556" s="714"/>
      <c r="P556" s="717" t="s">
        <v>1410</v>
      </c>
      <c r="Q556" s="717"/>
      <c r="R556" s="723" t="s">
        <v>2244</v>
      </c>
      <c r="S556" s="720" t="s">
        <v>107</v>
      </c>
      <c r="T556" s="720" t="s">
        <v>2580</v>
      </c>
      <c r="U556" s="720"/>
      <c r="V556" s="720"/>
      <c r="W556" s="720"/>
      <c r="X556" s="720" t="s">
        <v>2582</v>
      </c>
      <c r="Y556" s="719" t="s">
        <v>421</v>
      </c>
      <c r="Z556" s="730">
        <v>126.3364</v>
      </c>
      <c r="AA556" s="652">
        <f t="shared" si="111"/>
        <v>1389.7004</v>
      </c>
      <c r="AB556" s="729" t="s">
        <v>2583</v>
      </c>
      <c r="AC556" s="722" t="s">
        <v>4337</v>
      </c>
      <c r="AD556" s="715" t="s">
        <v>112</v>
      </c>
      <c r="AE556" s="715">
        <f t="shared" si="110"/>
        <v>264</v>
      </c>
      <c r="AF556" s="715"/>
      <c r="AG556" s="715"/>
      <c r="AH556" s="715">
        <f t="shared" si="104"/>
        <v>-264</v>
      </c>
      <c r="AI556" s="717"/>
      <c r="AJ556" s="715" t="s">
        <v>3981</v>
      </c>
      <c r="AK556" s="652">
        <f>I556</f>
        <v>264</v>
      </c>
      <c r="AL556" s="652"/>
      <c r="AM556" s="652"/>
      <c r="AN556" s="652">
        <f>I556</f>
        <v>264</v>
      </c>
      <c r="AO556" s="652"/>
      <c r="AP556" s="652"/>
      <c r="AQ556" s="652"/>
      <c r="AR556" s="652"/>
      <c r="AS556" s="652"/>
      <c r="AT556" s="652"/>
      <c r="AU556" s="652"/>
      <c r="AV556" s="652"/>
      <c r="AW556" s="652"/>
      <c r="AX556" s="652"/>
      <c r="AY556" s="652"/>
      <c r="AZ556" s="652"/>
      <c r="BA556" s="652"/>
      <c r="BB556" s="652"/>
      <c r="BC556" s="652"/>
      <c r="BD556" s="652"/>
      <c r="BE556" s="652"/>
      <c r="BF556" s="652"/>
      <c r="BG556" s="652"/>
      <c r="BH556" s="652"/>
      <c r="BI556" s="652"/>
      <c r="BJ556" s="650"/>
      <c r="BK556" s="650"/>
      <c r="BL556" s="650"/>
      <c r="BM556" s="650"/>
      <c r="BN556" s="650"/>
      <c r="BO556" s="650"/>
      <c r="BP556" s="650"/>
      <c r="BQ556" s="650"/>
      <c r="BR556" s="650"/>
      <c r="BS556" s="650"/>
      <c r="BT556" s="650"/>
      <c r="BU556" s="650"/>
      <c r="BV556" s="650"/>
      <c r="BW556" s="650"/>
      <c r="BX556" s="650"/>
      <c r="BY556" s="650"/>
      <c r="BZ556" s="650"/>
      <c r="CA556" s="650"/>
      <c r="CB556" s="650"/>
      <c r="CC556" s="650"/>
      <c r="CD556" s="650"/>
      <c r="CE556" s="650"/>
      <c r="CF556" s="650"/>
      <c r="CG556" s="650"/>
      <c r="CH556" s="650"/>
      <c r="CI556" s="650"/>
      <c r="CJ556" s="650"/>
      <c r="CK556" s="650"/>
      <c r="CL556" s="650"/>
      <c r="CM556" s="650"/>
      <c r="CN556" s="650"/>
      <c r="CO556" s="650"/>
      <c r="CP556" s="650"/>
      <c r="CQ556" s="650"/>
      <c r="CR556" s="650"/>
    </row>
    <row r="557" s="650" customFormat="1" ht="31" customHeight="1" spans="1:108">
      <c r="A557" s="713">
        <v>46126</v>
      </c>
      <c r="B557" s="714" t="s">
        <v>2578</v>
      </c>
      <c r="C557" s="715" t="s">
        <v>115</v>
      </c>
      <c r="D557" s="652">
        <v>4500201833</v>
      </c>
      <c r="E557" s="1908" t="s">
        <v>5718</v>
      </c>
      <c r="F557" s="652" t="s">
        <v>2584</v>
      </c>
      <c r="G557" s="716" t="s">
        <v>4337</v>
      </c>
      <c r="H557" s="715" t="s">
        <v>151</v>
      </c>
      <c r="I557" s="717">
        <v>192</v>
      </c>
      <c r="J557" s="715">
        <v>0</v>
      </c>
      <c r="K557" s="715">
        <v>24</v>
      </c>
      <c r="L557" s="715">
        <f t="shared" si="109"/>
        <v>8</v>
      </c>
      <c r="M557" s="719">
        <v>46233</v>
      </c>
      <c r="N557" s="738">
        <v>46240</v>
      </c>
      <c r="O557" s="714"/>
      <c r="P557" s="717" t="s">
        <v>1410</v>
      </c>
      <c r="Q557" s="717"/>
      <c r="R557" s="723" t="s">
        <v>2244</v>
      </c>
      <c r="S557" s="720" t="s">
        <v>107</v>
      </c>
      <c r="T557" s="720" t="s">
        <v>2580</v>
      </c>
      <c r="U557" s="720"/>
      <c r="V557" s="720"/>
      <c r="W557" s="720"/>
      <c r="X557" s="720" t="s">
        <v>2582</v>
      </c>
      <c r="Y557" s="719" t="s">
        <v>421</v>
      </c>
      <c r="Z557" s="730">
        <v>126.3363</v>
      </c>
      <c r="AA557" s="652">
        <f t="shared" si="111"/>
        <v>1010.6904</v>
      </c>
      <c r="AB557" s="729" t="s">
        <v>2583</v>
      </c>
      <c r="AC557" s="722" t="s">
        <v>4337</v>
      </c>
      <c r="AD557" s="715" t="s">
        <v>112</v>
      </c>
      <c r="AE557" s="715">
        <f t="shared" si="110"/>
        <v>192</v>
      </c>
      <c r="AF557" s="715"/>
      <c r="AG557" s="715"/>
      <c r="AH557" s="715">
        <f t="shared" si="104"/>
        <v>-192</v>
      </c>
      <c r="AI557" s="717"/>
      <c r="AJ557" s="715" t="s">
        <v>3981</v>
      </c>
      <c r="AK557" s="652">
        <f>I557</f>
        <v>192</v>
      </c>
      <c r="AL557" s="652"/>
      <c r="AM557" s="652"/>
      <c r="AN557" s="652">
        <f>I557</f>
        <v>192</v>
      </c>
      <c r="AO557" s="652"/>
      <c r="AP557" s="652"/>
      <c r="AQ557" s="652"/>
      <c r="AR557" s="652"/>
      <c r="AS557" s="652"/>
      <c r="AT557" s="652"/>
      <c r="AU557" s="652"/>
      <c r="AV557" s="652"/>
      <c r="AW557" s="652"/>
      <c r="AX557" s="652"/>
      <c r="AY557" s="652"/>
      <c r="AZ557" s="652"/>
      <c r="BA557" s="652"/>
      <c r="BB557" s="652"/>
      <c r="BC557" s="652"/>
      <c r="BD557" s="652"/>
      <c r="BE557" s="652"/>
      <c r="BF557" s="652"/>
      <c r="BG557" s="652"/>
      <c r="BH557" s="652"/>
      <c r="BI557" s="652"/>
      <c r="BJ557" s="650"/>
      <c r="BK557" s="650"/>
      <c r="BL557" s="650"/>
      <c r="BM557" s="650"/>
      <c r="BN557" s="650"/>
      <c r="BO557" s="650"/>
      <c r="BP557" s="650"/>
      <c r="BQ557" s="650"/>
      <c r="BR557" s="650"/>
      <c r="BS557" s="650"/>
      <c r="BT557" s="650"/>
      <c r="BU557" s="650"/>
      <c r="BV557" s="650"/>
      <c r="BW557" s="650"/>
      <c r="BX557" s="650"/>
      <c r="BY557" s="650"/>
      <c r="BZ557" s="650"/>
      <c r="CA557" s="650"/>
      <c r="CB557" s="650"/>
      <c r="CC557" s="650"/>
      <c r="CD557" s="650"/>
      <c r="CE557" s="650"/>
      <c r="CF557" s="650"/>
      <c r="CG557" s="650"/>
      <c r="CH557" s="650"/>
      <c r="CI557" s="650"/>
      <c r="CJ557" s="650"/>
      <c r="CK557" s="650"/>
      <c r="CL557" s="650"/>
      <c r="CM557" s="650"/>
      <c r="CN557" s="650"/>
      <c r="CO557" s="650"/>
      <c r="CP557" s="650"/>
      <c r="CQ557" s="650"/>
      <c r="CR557" s="650"/>
      <c r="CS557" s="654"/>
      <c r="CT557" s="654"/>
      <c r="CU557" s="654"/>
      <c r="CV557" s="654"/>
      <c r="CW557" s="654"/>
      <c r="CX557" s="654"/>
      <c r="CY557" s="654"/>
      <c r="CZ557" s="654"/>
      <c r="DA557" s="654"/>
      <c r="DB557" s="654"/>
      <c r="DC557" s="654"/>
      <c r="DD557" s="654"/>
    </row>
    <row r="558" s="651" customFormat="1" ht="31" customHeight="1" spans="1:108">
      <c r="A558" s="713">
        <v>46169</v>
      </c>
      <c r="B558" s="714" t="s">
        <v>935</v>
      </c>
      <c r="C558" s="715" t="s">
        <v>115</v>
      </c>
      <c r="D558" s="652" t="s">
        <v>5719</v>
      </c>
      <c r="E558" s="1908" t="s">
        <v>5720</v>
      </c>
      <c r="F558" s="652" t="s">
        <v>5721</v>
      </c>
      <c r="G558" s="716" t="s">
        <v>4215</v>
      </c>
      <c r="H558" s="715" t="s">
        <v>483</v>
      </c>
      <c r="I558" s="717">
        <v>4320</v>
      </c>
      <c r="J558" s="715">
        <v>0</v>
      </c>
      <c r="K558" s="715">
        <v>120</v>
      </c>
      <c r="L558" s="715">
        <f t="shared" si="109"/>
        <v>36</v>
      </c>
      <c r="M558" s="719">
        <v>46233</v>
      </c>
      <c r="N558" s="738">
        <v>46242</v>
      </c>
      <c r="O558" s="714"/>
      <c r="P558" s="717"/>
      <c r="Q558" s="717"/>
      <c r="R558" s="723">
        <v>46178</v>
      </c>
      <c r="S558" s="720" t="s">
        <v>107</v>
      </c>
      <c r="T558" s="720" t="s">
        <v>95</v>
      </c>
      <c r="U558" s="720"/>
      <c r="V558" s="720"/>
      <c r="W558" s="720"/>
      <c r="X558" s="720" t="s">
        <v>937</v>
      </c>
      <c r="Y558" s="719" t="s">
        <v>488</v>
      </c>
      <c r="Z558" s="730">
        <v>642</v>
      </c>
      <c r="AA558" s="652">
        <f t="shared" si="111"/>
        <v>23112</v>
      </c>
      <c r="AB558" s="721"/>
      <c r="AC558" s="722" t="s">
        <v>490</v>
      </c>
      <c r="AD558" s="715" t="s">
        <v>112</v>
      </c>
      <c r="AE558" s="715">
        <f t="shared" si="110"/>
        <v>4320</v>
      </c>
      <c r="AF558" s="715"/>
      <c r="AG558" s="715">
        <f>3330+54+936</f>
        <v>4320</v>
      </c>
      <c r="AH558" s="715">
        <f t="shared" si="104"/>
        <v>0</v>
      </c>
      <c r="AI558" s="717"/>
      <c r="AJ558" s="715" t="s">
        <v>3981</v>
      </c>
      <c r="AK558" s="652"/>
      <c r="AL558" s="652"/>
      <c r="AM558" s="652"/>
      <c r="AN558" s="652"/>
      <c r="AO558" s="652"/>
      <c r="AP558" s="652"/>
      <c r="AQ558" s="652">
        <f>I558</f>
        <v>4320</v>
      </c>
      <c r="AR558" s="652">
        <f>I558</f>
        <v>4320</v>
      </c>
      <c r="AS558" s="652">
        <f>I558/6</f>
        <v>720</v>
      </c>
      <c r="AT558" s="652"/>
      <c r="AU558" s="652"/>
      <c r="AV558" s="652"/>
      <c r="AW558" s="652"/>
      <c r="AX558" s="652"/>
      <c r="AY558" s="652"/>
      <c r="AZ558" s="652"/>
      <c r="BA558" s="652"/>
      <c r="BB558" s="652"/>
      <c r="BC558" s="652"/>
      <c r="BD558" s="652"/>
      <c r="BE558" s="652"/>
      <c r="BF558" s="652"/>
      <c r="BG558" s="652"/>
      <c r="BH558" s="652"/>
      <c r="BI558" s="652"/>
      <c r="BJ558" s="650"/>
      <c r="BK558" s="650"/>
      <c r="BL558" s="650"/>
      <c r="BM558" s="650"/>
      <c r="BN558" s="650"/>
      <c r="BO558" s="650"/>
      <c r="BP558" s="650"/>
      <c r="BQ558" s="650"/>
      <c r="BR558" s="650"/>
      <c r="BS558" s="650"/>
      <c r="BT558" s="650"/>
      <c r="BU558" s="650"/>
      <c r="BV558" s="650"/>
      <c r="BW558" s="650"/>
      <c r="BX558" s="650"/>
      <c r="BY558" s="650"/>
      <c r="BZ558" s="650"/>
      <c r="CA558" s="650"/>
      <c r="CB558" s="650"/>
      <c r="CC558" s="650"/>
      <c r="CD558" s="650"/>
      <c r="CE558" s="650"/>
      <c r="CF558" s="650"/>
      <c r="CG558" s="650"/>
      <c r="CH558" s="650"/>
      <c r="CI558" s="650"/>
      <c r="CJ558" s="650"/>
      <c r="CK558" s="650"/>
      <c r="CL558" s="650"/>
      <c r="CM558" s="650"/>
      <c r="CN558" s="650"/>
      <c r="CO558" s="650"/>
      <c r="CP558" s="650"/>
      <c r="CQ558" s="650"/>
      <c r="CR558" s="650"/>
      <c r="CS558" s="650"/>
      <c r="CT558" s="650"/>
      <c r="CU558" s="650"/>
      <c r="CV558" s="650"/>
      <c r="CW558" s="650"/>
      <c r="CX558" s="650"/>
      <c r="CY558" s="650"/>
      <c r="CZ558" s="650"/>
      <c r="DA558" s="650"/>
      <c r="DB558" s="650"/>
      <c r="DC558" s="650"/>
      <c r="DD558" s="650"/>
    </row>
    <row r="559" s="650" customFormat="1" ht="31" customHeight="1" spans="1:108">
      <c r="A559" s="713">
        <v>46171</v>
      </c>
      <c r="B559" s="714" t="s">
        <v>706</v>
      </c>
      <c r="C559" s="715" t="s">
        <v>201</v>
      </c>
      <c r="D559" s="652">
        <v>4500209975</v>
      </c>
      <c r="E559" s="1907" t="s">
        <v>5722</v>
      </c>
      <c r="F559" s="652" t="s">
        <v>5723</v>
      </c>
      <c r="G559" s="716" t="s">
        <v>3980</v>
      </c>
      <c r="H559" s="715" t="s">
        <v>3978</v>
      </c>
      <c r="I559" s="717">
        <v>2144</v>
      </c>
      <c r="J559" s="715">
        <v>0</v>
      </c>
      <c r="K559" s="715">
        <v>8</v>
      </c>
      <c r="L559" s="715">
        <f t="shared" si="109"/>
        <v>268</v>
      </c>
      <c r="M559" s="719">
        <v>46234</v>
      </c>
      <c r="N559" s="719">
        <v>46230</v>
      </c>
      <c r="O559" s="714"/>
      <c r="P559" s="717" t="s">
        <v>1410</v>
      </c>
      <c r="Q559" s="761"/>
      <c r="R559" s="723">
        <v>46171</v>
      </c>
      <c r="S559" s="720" t="s">
        <v>107</v>
      </c>
      <c r="T559" s="720" t="s">
        <v>2668</v>
      </c>
      <c r="U559" s="720"/>
      <c r="V559" s="720"/>
      <c r="W559" s="720"/>
      <c r="X559" s="720" t="s">
        <v>4307</v>
      </c>
      <c r="Y559" s="719" t="s">
        <v>711</v>
      </c>
      <c r="Z559" s="730">
        <v>4.659</v>
      </c>
      <c r="AA559" s="652">
        <f>I559*Z559</f>
        <v>9988.896</v>
      </c>
      <c r="AB559" s="721"/>
      <c r="AC559" s="722" t="s">
        <v>4031</v>
      </c>
      <c r="AD559" s="715" t="s">
        <v>112</v>
      </c>
      <c r="AE559" s="715">
        <f t="shared" si="110"/>
        <v>2144</v>
      </c>
      <c r="AF559" s="715"/>
      <c r="AG559" s="715">
        <v>2144</v>
      </c>
      <c r="AH559" s="715">
        <f t="shared" si="104"/>
        <v>0</v>
      </c>
      <c r="AI559" s="717" t="s">
        <v>120</v>
      </c>
      <c r="AJ559" s="715" t="s">
        <v>3981</v>
      </c>
      <c r="AK559" s="652"/>
      <c r="AL559" s="652">
        <f>I559</f>
        <v>2144</v>
      </c>
      <c r="AM559" s="652"/>
      <c r="AN559" s="652">
        <f t="shared" ref="AN559:AN585" si="112">I559</f>
        <v>2144</v>
      </c>
      <c r="AO559" s="652"/>
      <c r="AP559" s="652"/>
      <c r="AQ559" s="652"/>
      <c r="AR559" s="652"/>
      <c r="AS559" s="652"/>
      <c r="AT559" s="652"/>
      <c r="AU559" s="652">
        <f>I559/8</f>
        <v>268</v>
      </c>
      <c r="AV559" s="652"/>
      <c r="AW559" s="652"/>
      <c r="AX559" s="652"/>
      <c r="AY559" s="652"/>
      <c r="AZ559" s="652"/>
      <c r="BA559" s="652"/>
      <c r="BB559" s="652"/>
      <c r="BC559" s="652"/>
      <c r="BD559" s="652"/>
      <c r="BE559" s="652"/>
      <c r="BF559" s="652"/>
      <c r="BG559" s="652"/>
      <c r="BH559" s="652"/>
      <c r="BI559" s="652"/>
    </row>
    <row r="560" s="650" customFormat="1" ht="31" customHeight="1" spans="1:108">
      <c r="A560" s="713">
        <v>46157</v>
      </c>
      <c r="B560" s="714" t="s">
        <v>2202</v>
      </c>
      <c r="C560" s="715" t="s">
        <v>201</v>
      </c>
      <c r="D560" s="652" t="s">
        <v>5724</v>
      </c>
      <c r="E560" s="715" t="s">
        <v>5725</v>
      </c>
      <c r="F560" s="652" t="s">
        <v>5726</v>
      </c>
      <c r="G560" s="716" t="s">
        <v>4141</v>
      </c>
      <c r="H560" s="715" t="s">
        <v>3969</v>
      </c>
      <c r="I560" s="717">
        <v>288</v>
      </c>
      <c r="J560" s="715">
        <v>0</v>
      </c>
      <c r="K560" s="715">
        <v>16</v>
      </c>
      <c r="L560" s="715">
        <f t="shared" si="109"/>
        <v>18</v>
      </c>
      <c r="M560" s="719">
        <v>46234</v>
      </c>
      <c r="N560" s="719">
        <v>46230</v>
      </c>
      <c r="O560" s="714"/>
      <c r="P560" s="717" t="s">
        <v>1410</v>
      </c>
      <c r="Q560" s="717"/>
      <c r="R560" s="723" t="s">
        <v>5727</v>
      </c>
      <c r="S560" s="720" t="s">
        <v>107</v>
      </c>
      <c r="T560" s="720" t="s">
        <v>5571</v>
      </c>
      <c r="U560" s="720"/>
      <c r="V560" s="720"/>
      <c r="W560" s="720"/>
      <c r="X560" s="720" t="s">
        <v>5728</v>
      </c>
      <c r="Y560" s="719" t="s">
        <v>2207</v>
      </c>
      <c r="Z560" s="730">
        <v>4.5967</v>
      </c>
      <c r="AA560" s="652">
        <f>L560*Z560</f>
        <v>82.7406</v>
      </c>
      <c r="AB560" s="721"/>
      <c r="AC560" s="722" t="s">
        <v>5573</v>
      </c>
      <c r="AD560" s="715" t="s">
        <v>112</v>
      </c>
      <c r="AE560" s="715">
        <f t="shared" si="110"/>
        <v>288</v>
      </c>
      <c r="AF560" s="715"/>
      <c r="AG560" s="715">
        <v>288</v>
      </c>
      <c r="AH560" s="715">
        <f t="shared" si="104"/>
        <v>0</v>
      </c>
      <c r="AI560" s="717"/>
      <c r="AJ560" s="715" t="s">
        <v>3981</v>
      </c>
      <c r="AK560" s="652"/>
      <c r="AL560" s="652">
        <f>I560</f>
        <v>288</v>
      </c>
      <c r="AM560" s="652"/>
      <c r="AN560" s="652">
        <f t="shared" si="112"/>
        <v>288</v>
      </c>
      <c r="AO560" s="652"/>
      <c r="AP560" s="652"/>
      <c r="AQ560" s="652"/>
      <c r="AR560" s="652"/>
      <c r="AS560" s="652"/>
      <c r="AT560" s="652"/>
      <c r="AU560" s="652"/>
      <c r="AV560" s="652"/>
      <c r="AW560" s="652"/>
      <c r="AX560" s="652"/>
      <c r="AY560" s="652"/>
      <c r="AZ560" s="652"/>
      <c r="BA560" s="652"/>
      <c r="BB560" s="652"/>
      <c r="BC560" s="652"/>
      <c r="BD560" s="652"/>
      <c r="BE560" s="652"/>
      <c r="BF560" s="652"/>
      <c r="BG560" s="652"/>
      <c r="BH560" s="652"/>
      <c r="BI560" s="652"/>
      <c r="CS560" s="651"/>
      <c r="CT560" s="651"/>
      <c r="CU560" s="651"/>
      <c r="CV560" s="651"/>
      <c r="CW560" s="651"/>
      <c r="CX560" s="651"/>
      <c r="CY560" s="651"/>
      <c r="CZ560" s="651"/>
      <c r="DA560" s="651"/>
      <c r="DB560" s="651"/>
      <c r="DC560" s="651"/>
      <c r="DD560" s="651"/>
    </row>
    <row r="561" s="650" customFormat="1" ht="31" customHeight="1" spans="1:108">
      <c r="A561" s="713">
        <v>46136</v>
      </c>
      <c r="B561" s="714" t="s">
        <v>280</v>
      </c>
      <c r="C561" s="715" t="s">
        <v>135</v>
      </c>
      <c r="D561" s="652" t="s">
        <v>5607</v>
      </c>
      <c r="E561" s="715" t="s">
        <v>2601</v>
      </c>
      <c r="F561" s="652" t="s">
        <v>5729</v>
      </c>
      <c r="G561" s="716" t="s">
        <v>3980</v>
      </c>
      <c r="H561" s="715" t="s">
        <v>3978</v>
      </c>
      <c r="I561" s="717">
        <v>2504</v>
      </c>
      <c r="J561" s="715">
        <v>0</v>
      </c>
      <c r="K561" s="715">
        <v>8</v>
      </c>
      <c r="L561" s="715">
        <f t="shared" si="109"/>
        <v>313</v>
      </c>
      <c r="M561" s="719">
        <v>46234</v>
      </c>
      <c r="N561" s="778">
        <v>46230</v>
      </c>
      <c r="O561" s="714"/>
      <c r="P561" s="717" t="s">
        <v>1410</v>
      </c>
      <c r="Q561" s="717" t="s">
        <v>2603</v>
      </c>
      <c r="R561" s="723">
        <v>46151</v>
      </c>
      <c r="S561" s="720" t="s">
        <v>107</v>
      </c>
      <c r="T561" s="720" t="s">
        <v>5609</v>
      </c>
      <c r="U561" s="720"/>
      <c r="V561" s="720" t="s">
        <v>4056</v>
      </c>
      <c r="W561" s="720"/>
      <c r="X561" s="798" t="s">
        <v>5610</v>
      </c>
      <c r="Y561" s="719" t="s">
        <v>1207</v>
      </c>
      <c r="Z561" s="730">
        <v>4.5779</v>
      </c>
      <c r="AA561" s="652">
        <f>Z561*I561</f>
        <v>11463.0616</v>
      </c>
      <c r="AB561" s="721"/>
      <c r="AC561" s="722" t="s">
        <v>3980</v>
      </c>
      <c r="AD561" s="715" t="s">
        <v>112</v>
      </c>
      <c r="AE561" s="715">
        <f t="shared" si="110"/>
        <v>2504</v>
      </c>
      <c r="AF561" s="715" t="s">
        <v>5125</v>
      </c>
      <c r="AG561" s="715" t="s">
        <v>120</v>
      </c>
      <c r="AH561" s="715" t="e">
        <f t="shared" si="104"/>
        <v>#VALUE!</v>
      </c>
      <c r="AI561" s="717" t="s">
        <v>95</v>
      </c>
      <c r="AJ561" s="715" t="s">
        <v>3981</v>
      </c>
      <c r="AK561" s="652">
        <f>I561</f>
        <v>2504</v>
      </c>
      <c r="AL561" s="652"/>
      <c r="AM561" s="652"/>
      <c r="AN561" s="652">
        <f t="shared" si="112"/>
        <v>2504</v>
      </c>
      <c r="AO561" s="652"/>
      <c r="AP561" s="652"/>
      <c r="AQ561" s="652"/>
      <c r="AR561" s="652"/>
      <c r="AS561" s="652"/>
      <c r="AT561" s="652">
        <f>I561/8</f>
        <v>313</v>
      </c>
      <c r="AU561" s="652"/>
      <c r="AV561" s="652"/>
      <c r="AW561" s="652"/>
      <c r="AX561" s="652"/>
      <c r="AY561" s="652"/>
      <c r="AZ561" s="652"/>
      <c r="BA561" s="652"/>
      <c r="BB561" s="652"/>
      <c r="BC561" s="652"/>
      <c r="BD561" s="652"/>
      <c r="BE561" s="652"/>
      <c r="BF561" s="652"/>
      <c r="BG561" s="652"/>
      <c r="BH561" s="652"/>
      <c r="BI561" s="652"/>
      <c r="BJ561" s="724"/>
      <c r="BK561" s="724"/>
      <c r="BL561" s="724"/>
      <c r="BM561" s="724"/>
      <c r="BN561" s="724"/>
      <c r="BO561" s="724"/>
      <c r="BP561" s="724"/>
      <c r="BQ561" s="724"/>
      <c r="BR561" s="724"/>
      <c r="BS561" s="724"/>
      <c r="BT561" s="724"/>
      <c r="BU561" s="724"/>
      <c r="BV561" s="724"/>
      <c r="BW561" s="724"/>
      <c r="BX561" s="724"/>
      <c r="BY561" s="724"/>
      <c r="BZ561" s="724"/>
      <c r="CA561" s="724"/>
      <c r="CB561" s="724"/>
      <c r="CC561" s="724"/>
      <c r="CD561" s="724"/>
      <c r="CE561" s="724"/>
      <c r="CF561" s="724"/>
      <c r="CG561" s="724"/>
      <c r="CH561" s="724"/>
      <c r="CI561" s="724"/>
      <c r="CJ561" s="724"/>
      <c r="CK561" s="724"/>
      <c r="CL561" s="724"/>
      <c r="CM561" s="724"/>
      <c r="CN561" s="724"/>
      <c r="CO561" s="724"/>
      <c r="CP561" s="724"/>
      <c r="CQ561" s="724"/>
      <c r="CR561" s="724"/>
    </row>
    <row r="562" s="650" customFormat="1" ht="31" customHeight="1" spans="1:108">
      <c r="A562" s="713">
        <v>46185</v>
      </c>
      <c r="B562" s="714" t="s">
        <v>2622</v>
      </c>
      <c r="C562" s="715" t="s">
        <v>135</v>
      </c>
      <c r="D562" s="837">
        <v>4500212042</v>
      </c>
      <c r="E562" s="715" t="s">
        <v>2623</v>
      </c>
      <c r="F562" s="652" t="s">
        <v>5730</v>
      </c>
      <c r="G562" s="716" t="s">
        <v>3973</v>
      </c>
      <c r="H562" s="715" t="s">
        <v>3995</v>
      </c>
      <c r="I562" s="717">
        <v>2400</v>
      </c>
      <c r="J562" s="715">
        <v>0</v>
      </c>
      <c r="K562" s="715">
        <v>16</v>
      </c>
      <c r="L562" s="715">
        <f t="shared" si="109"/>
        <v>150</v>
      </c>
      <c r="M562" s="719">
        <v>46234</v>
      </c>
      <c r="N562" s="778">
        <v>46230</v>
      </c>
      <c r="O562" s="714"/>
      <c r="P562" s="717" t="s">
        <v>1410</v>
      </c>
      <c r="Q562" s="717" t="s">
        <v>2528</v>
      </c>
      <c r="R562" s="723">
        <v>46185</v>
      </c>
      <c r="S562" s="720" t="s">
        <v>107</v>
      </c>
      <c r="T562" s="720" t="s">
        <v>5731</v>
      </c>
      <c r="U562" s="720"/>
      <c r="V562" s="720"/>
      <c r="W562" s="720"/>
      <c r="X562" s="798" t="s">
        <v>5732</v>
      </c>
      <c r="Y562" s="719" t="s">
        <v>2626</v>
      </c>
      <c r="Z562" s="730">
        <v>4.784</v>
      </c>
      <c r="AA562" s="652">
        <f t="shared" ref="AA562:AA571" si="113">I562*Z562</f>
        <v>11481.6</v>
      </c>
      <c r="AB562" s="721"/>
      <c r="AC562" s="714" t="s">
        <v>3973</v>
      </c>
      <c r="AD562" s="715" t="s">
        <v>112</v>
      </c>
      <c r="AE562" s="715">
        <f t="shared" si="110"/>
        <v>2400</v>
      </c>
      <c r="AF562" s="715"/>
      <c r="AG562" s="715">
        <v>2400</v>
      </c>
      <c r="AH562" s="715">
        <f t="shared" si="104"/>
        <v>0</v>
      </c>
      <c r="AI562" s="717"/>
      <c r="AJ562" s="715" t="s">
        <v>3981</v>
      </c>
      <c r="AK562" s="652">
        <f>I562</f>
        <v>2400</v>
      </c>
      <c r="AL562" s="652"/>
      <c r="AM562" s="652"/>
      <c r="AN562" s="652">
        <f t="shared" si="112"/>
        <v>2400</v>
      </c>
      <c r="AO562" s="652"/>
      <c r="AP562" s="652"/>
      <c r="AQ562" s="652"/>
      <c r="AR562" s="652"/>
      <c r="AS562" s="652"/>
      <c r="AT562" s="652">
        <f>I562/8</f>
        <v>300</v>
      </c>
      <c r="AU562" s="652"/>
      <c r="AV562" s="652"/>
      <c r="AW562" s="652"/>
      <c r="AX562" s="652"/>
      <c r="AY562" s="652"/>
      <c r="AZ562" s="652"/>
      <c r="BA562" s="652"/>
      <c r="BB562" s="652"/>
      <c r="BC562" s="652"/>
      <c r="BD562" s="652"/>
      <c r="BE562" s="652"/>
      <c r="BF562" s="652"/>
      <c r="BG562" s="652"/>
      <c r="BH562" s="652"/>
      <c r="BI562" s="652"/>
    </row>
    <row r="563" s="659" customFormat="1" ht="31" customHeight="1" spans="1:108">
      <c r="A563" s="819">
        <v>46184</v>
      </c>
      <c r="B563" s="820" t="s">
        <v>2294</v>
      </c>
      <c r="C563" s="821" t="s">
        <v>115</v>
      </c>
      <c r="D563" s="822">
        <v>4500206279</v>
      </c>
      <c r="E563" s="821">
        <v>4500057664</v>
      </c>
      <c r="F563" s="822" t="s">
        <v>5733</v>
      </c>
      <c r="G563" s="823" t="s">
        <v>3973</v>
      </c>
      <c r="H563" s="708" t="s">
        <v>3995</v>
      </c>
      <c r="I563" s="824">
        <v>9200</v>
      </c>
      <c r="J563" s="821">
        <v>0</v>
      </c>
      <c r="K563" s="821">
        <v>16</v>
      </c>
      <c r="L563" s="821">
        <f t="shared" si="109"/>
        <v>575</v>
      </c>
      <c r="M563" s="825">
        <v>46234</v>
      </c>
      <c r="N563" s="826">
        <v>46230</v>
      </c>
      <c r="O563" s="820"/>
      <c r="P563" s="824"/>
      <c r="Q563" s="824"/>
      <c r="R563" s="827">
        <v>46184</v>
      </c>
      <c r="S563" s="828" t="s">
        <v>107</v>
      </c>
      <c r="T563" s="828" t="s">
        <v>95</v>
      </c>
      <c r="U563" s="828"/>
      <c r="V563" s="829"/>
      <c r="W563" s="828"/>
      <c r="X563" s="828" t="s">
        <v>5734</v>
      </c>
      <c r="Y563" s="825" t="s">
        <v>2297</v>
      </c>
      <c r="Z563" s="830">
        <v>2.8873</v>
      </c>
      <c r="AA563" s="822">
        <f t="shared" si="113"/>
        <v>26563.16</v>
      </c>
      <c r="AB563" s="831"/>
      <c r="AC563" s="820" t="s">
        <v>3973</v>
      </c>
      <c r="AD563" s="821" t="s">
        <v>112</v>
      </c>
      <c r="AE563" s="821">
        <f t="shared" si="110"/>
        <v>9200</v>
      </c>
      <c r="AF563" s="821"/>
      <c r="AG563" s="708">
        <f>864+8336</f>
        <v>9200</v>
      </c>
      <c r="AH563" s="833">
        <f t="shared" si="104"/>
        <v>0</v>
      </c>
      <c r="AI563" s="824"/>
      <c r="AJ563" s="708" t="s">
        <v>3981</v>
      </c>
      <c r="AK563" s="834">
        <f>I563</f>
        <v>9200</v>
      </c>
      <c r="AL563" s="834"/>
      <c r="AM563" s="822"/>
      <c r="AN563" s="834">
        <f t="shared" si="112"/>
        <v>9200</v>
      </c>
      <c r="AO563" s="822"/>
      <c r="AP563" s="822"/>
      <c r="AQ563" s="822"/>
      <c r="AR563" s="822"/>
      <c r="AS563" s="822"/>
      <c r="AT563" s="822">
        <f>I563/8</f>
        <v>1150</v>
      </c>
      <c r="AU563" s="834"/>
      <c r="AV563" s="834"/>
      <c r="AW563" s="834"/>
      <c r="AX563" s="822"/>
      <c r="AY563" s="822"/>
      <c r="AZ563" s="822"/>
      <c r="BA563" s="822"/>
      <c r="BB563" s="822"/>
      <c r="BC563" s="822"/>
      <c r="BD563" s="822"/>
      <c r="BE563" s="822"/>
      <c r="BF563" s="822"/>
      <c r="BG563" s="822"/>
      <c r="BH563" s="822"/>
      <c r="BI563" s="822"/>
      <c r="CS563" s="662"/>
      <c r="CT563" s="662"/>
      <c r="CU563" s="662"/>
      <c r="CV563" s="662"/>
      <c r="CW563" s="662"/>
      <c r="CX563" s="662"/>
      <c r="CY563" s="662"/>
      <c r="CZ563" s="662"/>
      <c r="DA563" s="662"/>
      <c r="DB563" s="662"/>
      <c r="DC563" s="662"/>
      <c r="DD563" s="662"/>
    </row>
    <row r="564" s="650" customFormat="1" ht="31" customHeight="1" spans="1:108">
      <c r="A564" s="713">
        <v>46185</v>
      </c>
      <c r="B564" s="714" t="s">
        <v>743</v>
      </c>
      <c r="C564" s="715" t="s">
        <v>164</v>
      </c>
      <c r="D564" s="837">
        <v>4500211827</v>
      </c>
      <c r="E564" s="715" t="s">
        <v>2607</v>
      </c>
      <c r="F564" s="652" t="s">
        <v>5735</v>
      </c>
      <c r="G564" s="716" t="s">
        <v>3968</v>
      </c>
      <c r="H564" s="715" t="s">
        <v>3969</v>
      </c>
      <c r="I564" s="717">
        <v>2960</v>
      </c>
      <c r="J564" s="715">
        <v>0</v>
      </c>
      <c r="K564" s="715">
        <v>16</v>
      </c>
      <c r="L564" s="715">
        <f t="shared" si="109"/>
        <v>185</v>
      </c>
      <c r="M564" s="719">
        <v>46234</v>
      </c>
      <c r="N564" s="778">
        <v>46230</v>
      </c>
      <c r="O564" s="714"/>
      <c r="P564" s="717" t="s">
        <v>1410</v>
      </c>
      <c r="Q564" s="717"/>
      <c r="R564" s="734" t="s">
        <v>541</v>
      </c>
      <c r="S564" s="735" t="s">
        <v>107</v>
      </c>
      <c r="T564" s="720" t="s">
        <v>5736</v>
      </c>
      <c r="U564" s="720"/>
      <c r="V564" s="720"/>
      <c r="W564" s="720"/>
      <c r="X564" s="720" t="s">
        <v>5737</v>
      </c>
      <c r="Y564" s="719" t="s">
        <v>2610</v>
      </c>
      <c r="Z564" s="730">
        <v>4.7049</v>
      </c>
      <c r="AA564" s="652">
        <f t="shared" si="113"/>
        <v>13926.504</v>
      </c>
      <c r="AB564" s="721"/>
      <c r="AC564" s="652" t="s">
        <v>4426</v>
      </c>
      <c r="AD564" s="715" t="s">
        <v>112</v>
      </c>
      <c r="AE564" s="715">
        <f t="shared" si="110"/>
        <v>2960</v>
      </c>
      <c r="AF564" s="715"/>
      <c r="AG564" s="715">
        <v>2960</v>
      </c>
      <c r="AH564" s="715">
        <f t="shared" si="104"/>
        <v>0</v>
      </c>
      <c r="AI564" s="717"/>
      <c r="AJ564" s="715" t="s">
        <v>3981</v>
      </c>
      <c r="AK564" s="652"/>
      <c r="AL564" s="652">
        <f t="shared" ref="AL564:AL572" si="114">I564</f>
        <v>2960</v>
      </c>
      <c r="AM564" s="652"/>
      <c r="AN564" s="652">
        <f t="shared" si="112"/>
        <v>2960</v>
      </c>
      <c r="AO564" s="652"/>
      <c r="AP564" s="652"/>
      <c r="AQ564" s="652"/>
      <c r="AR564" s="652"/>
      <c r="AS564" s="652"/>
      <c r="AT564" s="652"/>
      <c r="AU564" s="652"/>
      <c r="AV564" s="652"/>
      <c r="AW564" s="652"/>
      <c r="AX564" s="652"/>
      <c r="AY564" s="652"/>
      <c r="AZ564" s="652"/>
      <c r="BA564" s="652"/>
      <c r="BB564" s="652"/>
      <c r="BC564" s="652"/>
      <c r="BD564" s="652"/>
      <c r="BE564" s="652"/>
      <c r="BF564" s="652"/>
      <c r="BG564" s="652"/>
      <c r="BH564" s="652"/>
      <c r="BI564" s="652"/>
      <c r="CS564" s="651"/>
      <c r="CT564" s="651"/>
      <c r="CU564" s="651"/>
      <c r="CV564" s="651"/>
      <c r="CW564" s="651"/>
      <c r="CX564" s="651"/>
      <c r="CY564" s="651"/>
      <c r="CZ564" s="651"/>
      <c r="DA564" s="651"/>
      <c r="DB564" s="651"/>
      <c r="DC564" s="651"/>
      <c r="DD564" s="651"/>
    </row>
    <row r="565" s="650" customFormat="1" ht="31" customHeight="1" spans="1:108">
      <c r="A565" s="713">
        <v>46185</v>
      </c>
      <c r="B565" s="714" t="s">
        <v>743</v>
      </c>
      <c r="C565" s="715" t="s">
        <v>164</v>
      </c>
      <c r="D565" s="837">
        <v>4500211827</v>
      </c>
      <c r="E565" s="715" t="s">
        <v>2611</v>
      </c>
      <c r="F565" s="652" t="s">
        <v>5738</v>
      </c>
      <c r="G565" s="716" t="s">
        <v>3968</v>
      </c>
      <c r="H565" s="715" t="s">
        <v>3969</v>
      </c>
      <c r="I565" s="717">
        <v>2960</v>
      </c>
      <c r="J565" s="715">
        <v>0</v>
      </c>
      <c r="K565" s="715">
        <v>16</v>
      </c>
      <c r="L565" s="715">
        <f t="shared" si="109"/>
        <v>185</v>
      </c>
      <c r="M565" s="719">
        <v>46234</v>
      </c>
      <c r="N565" s="719">
        <v>46230</v>
      </c>
      <c r="O565" s="714"/>
      <c r="P565" s="717" t="s">
        <v>1410</v>
      </c>
      <c r="Q565" s="717"/>
      <c r="R565" s="723" t="s">
        <v>541</v>
      </c>
      <c r="S565" s="720" t="s">
        <v>107</v>
      </c>
      <c r="T565" s="720" t="s">
        <v>5736</v>
      </c>
      <c r="U565" s="720"/>
      <c r="V565" s="720"/>
      <c r="W565" s="720"/>
      <c r="X565" s="720" t="s">
        <v>5737</v>
      </c>
      <c r="Y565" s="719" t="s">
        <v>2610</v>
      </c>
      <c r="Z565" s="730">
        <v>4.7049</v>
      </c>
      <c r="AA565" s="652">
        <f t="shared" si="113"/>
        <v>13926.504</v>
      </c>
      <c r="AB565" s="721"/>
      <c r="AC565" s="652" t="s">
        <v>4426</v>
      </c>
      <c r="AD565" s="715" t="s">
        <v>112</v>
      </c>
      <c r="AE565" s="715">
        <f t="shared" si="110"/>
        <v>2960</v>
      </c>
      <c r="AF565" s="715"/>
      <c r="AG565" s="715">
        <f>1072+1888</f>
        <v>2960</v>
      </c>
      <c r="AH565" s="715">
        <f t="shared" si="104"/>
        <v>0</v>
      </c>
      <c r="AI565" s="717"/>
      <c r="AJ565" s="715" t="s">
        <v>3981</v>
      </c>
      <c r="AK565" s="652"/>
      <c r="AL565" s="652">
        <f t="shared" si="114"/>
        <v>2960</v>
      </c>
      <c r="AM565" s="652"/>
      <c r="AN565" s="652">
        <f t="shared" si="112"/>
        <v>2960</v>
      </c>
      <c r="AO565" s="652"/>
      <c r="AP565" s="652"/>
      <c r="AQ565" s="652"/>
      <c r="AR565" s="652"/>
      <c r="AS565" s="652"/>
      <c r="AT565" s="652"/>
      <c r="AU565" s="652"/>
      <c r="AV565" s="652"/>
      <c r="AW565" s="652"/>
      <c r="AX565" s="652"/>
      <c r="AY565" s="652"/>
      <c r="AZ565" s="652"/>
      <c r="BA565" s="652"/>
      <c r="BB565" s="652"/>
      <c r="BC565" s="652"/>
      <c r="BD565" s="652"/>
      <c r="BE565" s="652"/>
      <c r="BF565" s="652"/>
      <c r="BG565" s="652"/>
      <c r="BH565" s="652"/>
      <c r="BI565" s="652"/>
      <c r="CS565" s="651"/>
      <c r="CT565" s="651"/>
      <c r="CU565" s="651"/>
      <c r="CV565" s="651"/>
      <c r="CW565" s="651"/>
      <c r="CX565" s="651"/>
      <c r="CY565" s="651"/>
      <c r="CZ565" s="651"/>
      <c r="DA565" s="651"/>
      <c r="DB565" s="651"/>
      <c r="DC565" s="651"/>
      <c r="DD565" s="651"/>
    </row>
    <row r="566" s="660" customFormat="1" ht="31" customHeight="1" spans="1:108">
      <c r="A566" s="869">
        <v>46185</v>
      </c>
      <c r="B566" s="870" t="s">
        <v>743</v>
      </c>
      <c r="C566" s="871" t="s">
        <v>1439</v>
      </c>
      <c r="D566" s="893">
        <v>4500211827</v>
      </c>
      <c r="E566" s="871" t="s">
        <v>2613</v>
      </c>
      <c r="F566" s="872" t="s">
        <v>5739</v>
      </c>
      <c r="G566" s="873" t="s">
        <v>3968</v>
      </c>
      <c r="H566" s="871" t="s">
        <v>3969</v>
      </c>
      <c r="I566" s="874">
        <v>3008</v>
      </c>
      <c r="J566" s="871">
        <v>0</v>
      </c>
      <c r="K566" s="871">
        <v>16</v>
      </c>
      <c r="L566" s="871">
        <f t="shared" si="109"/>
        <v>188</v>
      </c>
      <c r="M566" s="875">
        <v>46234</v>
      </c>
      <c r="N566" s="875">
        <v>46230</v>
      </c>
      <c r="O566" s="870"/>
      <c r="P566" s="717" t="s">
        <v>1410</v>
      </c>
      <c r="Q566" s="874"/>
      <c r="R566" s="876" t="s">
        <v>541</v>
      </c>
      <c r="S566" s="877" t="s">
        <v>107</v>
      </c>
      <c r="T566" s="877" t="s">
        <v>5736</v>
      </c>
      <c r="U566" s="877"/>
      <c r="V566" s="877"/>
      <c r="W566" s="877"/>
      <c r="X566" s="877" t="s">
        <v>5740</v>
      </c>
      <c r="Y566" s="875" t="s">
        <v>2610</v>
      </c>
      <c r="Z566" s="878">
        <v>4.7154</v>
      </c>
      <c r="AA566" s="872">
        <f t="shared" si="113"/>
        <v>14183.9232</v>
      </c>
      <c r="AB566" s="831"/>
      <c r="AC566" s="872" t="s">
        <v>4426</v>
      </c>
      <c r="AD566" s="871" t="s">
        <v>112</v>
      </c>
      <c r="AE566" s="871">
        <f t="shared" si="110"/>
        <v>3008</v>
      </c>
      <c r="AF566" s="871"/>
      <c r="AG566" s="871">
        <v>3008</v>
      </c>
      <c r="AH566" s="871">
        <f t="shared" si="104"/>
        <v>0</v>
      </c>
      <c r="AI566" s="874"/>
      <c r="AJ566" s="871" t="s">
        <v>3981</v>
      </c>
      <c r="AK566" s="872"/>
      <c r="AL566" s="872">
        <f t="shared" si="114"/>
        <v>3008</v>
      </c>
      <c r="AM566" s="872"/>
      <c r="AN566" s="872">
        <f t="shared" si="112"/>
        <v>3008</v>
      </c>
      <c r="AO566" s="872"/>
      <c r="AP566" s="872"/>
      <c r="AQ566" s="872"/>
      <c r="AR566" s="872"/>
      <c r="AS566" s="872"/>
      <c r="AT566" s="872"/>
      <c r="AU566" s="872"/>
      <c r="AV566" s="872"/>
      <c r="AW566" s="872"/>
      <c r="AX566" s="872"/>
      <c r="AY566" s="872"/>
      <c r="AZ566" s="872"/>
      <c r="BA566" s="872"/>
      <c r="BB566" s="872"/>
      <c r="BC566" s="872"/>
      <c r="BD566" s="872"/>
      <c r="BE566" s="872"/>
      <c r="BF566" s="872"/>
      <c r="BG566" s="872"/>
      <c r="BH566" s="872"/>
      <c r="BI566" s="872"/>
      <c r="CS566" s="665"/>
      <c r="CT566" s="665"/>
      <c r="CU566" s="665"/>
      <c r="CV566" s="665"/>
      <c r="CW566" s="665"/>
      <c r="CX566" s="665"/>
      <c r="CY566" s="665"/>
      <c r="CZ566" s="665"/>
      <c r="DA566" s="665"/>
      <c r="DB566" s="665"/>
      <c r="DC566" s="665"/>
      <c r="DD566" s="665"/>
    </row>
    <row r="567" s="650" customFormat="1" ht="31" customHeight="1" spans="1:108">
      <c r="A567" s="713">
        <v>46185</v>
      </c>
      <c r="B567" s="714" t="s">
        <v>743</v>
      </c>
      <c r="C567" s="715" t="s">
        <v>148</v>
      </c>
      <c r="D567" s="837">
        <v>4500211827</v>
      </c>
      <c r="E567" s="715" t="s">
        <v>2671</v>
      </c>
      <c r="F567" s="652" t="s">
        <v>5741</v>
      </c>
      <c r="G567" s="716" t="s">
        <v>3968</v>
      </c>
      <c r="H567" s="715" t="s">
        <v>3969</v>
      </c>
      <c r="I567" s="717">
        <v>1872</v>
      </c>
      <c r="J567" s="715">
        <v>0</v>
      </c>
      <c r="K567" s="715">
        <v>16</v>
      </c>
      <c r="L567" s="715">
        <f t="shared" si="109"/>
        <v>117</v>
      </c>
      <c r="M567" s="719">
        <v>46234</v>
      </c>
      <c r="N567" s="719">
        <v>46230</v>
      </c>
      <c r="O567" s="714"/>
      <c r="P567" s="717" t="s">
        <v>1410</v>
      </c>
      <c r="Q567" s="717"/>
      <c r="R567" s="723" t="s">
        <v>541</v>
      </c>
      <c r="S567" s="720" t="s">
        <v>107</v>
      </c>
      <c r="T567" s="720" t="s">
        <v>5736</v>
      </c>
      <c r="U567" s="720"/>
      <c r="V567" s="720"/>
      <c r="W567" s="720"/>
      <c r="X567" s="720" t="s">
        <v>5742</v>
      </c>
      <c r="Y567" s="719" t="s">
        <v>2610</v>
      </c>
      <c r="Z567" s="730">
        <v>4.7154</v>
      </c>
      <c r="AA567" s="652">
        <f t="shared" si="113"/>
        <v>8827.2288</v>
      </c>
      <c r="AB567" s="721"/>
      <c r="AC567" s="652" t="s">
        <v>4426</v>
      </c>
      <c r="AD567" s="715" t="s">
        <v>112</v>
      </c>
      <c r="AE567" s="715">
        <f t="shared" si="110"/>
        <v>1872</v>
      </c>
      <c r="AF567" s="715" t="s">
        <v>4109</v>
      </c>
      <c r="AG567" s="715">
        <v>1872</v>
      </c>
      <c r="AH567" s="715">
        <f t="shared" si="104"/>
        <v>0</v>
      </c>
      <c r="AI567" s="717"/>
      <c r="AJ567" s="715" t="s">
        <v>3981</v>
      </c>
      <c r="AK567" s="652"/>
      <c r="AL567" s="652">
        <f t="shared" si="114"/>
        <v>1872</v>
      </c>
      <c r="AM567" s="652"/>
      <c r="AN567" s="652">
        <f t="shared" si="112"/>
        <v>1872</v>
      </c>
      <c r="AO567" s="652"/>
      <c r="AP567" s="652"/>
      <c r="AQ567" s="652"/>
      <c r="AR567" s="652"/>
      <c r="AS567" s="652"/>
      <c r="AT567" s="652"/>
      <c r="AU567" s="652"/>
      <c r="AV567" s="652"/>
      <c r="AW567" s="652"/>
      <c r="AX567" s="652"/>
      <c r="AY567" s="652"/>
      <c r="AZ567" s="652"/>
      <c r="BA567" s="652"/>
      <c r="BB567" s="652"/>
      <c r="BC567" s="652"/>
      <c r="BD567" s="652"/>
      <c r="BE567" s="652"/>
      <c r="BF567" s="652"/>
      <c r="BG567" s="652"/>
      <c r="BH567" s="652"/>
      <c r="BI567" s="652"/>
    </row>
    <row r="568" s="650" customFormat="1" ht="31" customHeight="1" spans="1:108">
      <c r="A568" s="713">
        <v>46185</v>
      </c>
      <c r="B568" s="714" t="s">
        <v>743</v>
      </c>
      <c r="C568" s="715" t="s">
        <v>148</v>
      </c>
      <c r="D568" s="837">
        <v>4500211827</v>
      </c>
      <c r="E568" s="715" t="s">
        <v>2615</v>
      </c>
      <c r="F568" s="652" t="s">
        <v>5743</v>
      </c>
      <c r="G568" s="716" t="s">
        <v>3968</v>
      </c>
      <c r="H568" s="715" t="s">
        <v>3969</v>
      </c>
      <c r="I568" s="717">
        <v>1872</v>
      </c>
      <c r="J568" s="715">
        <v>0</v>
      </c>
      <c r="K568" s="715">
        <v>16</v>
      </c>
      <c r="L568" s="715">
        <f t="shared" si="109"/>
        <v>117</v>
      </c>
      <c r="M568" s="719">
        <v>46234</v>
      </c>
      <c r="N568" s="719">
        <v>46230</v>
      </c>
      <c r="O568" s="714"/>
      <c r="P568" s="717" t="s">
        <v>1410</v>
      </c>
      <c r="Q568" s="717"/>
      <c r="R568" s="723" t="s">
        <v>541</v>
      </c>
      <c r="S568" s="720" t="s">
        <v>107</v>
      </c>
      <c r="T568" s="720" t="s">
        <v>5736</v>
      </c>
      <c r="U568" s="720"/>
      <c r="V568" s="720"/>
      <c r="W568" s="720"/>
      <c r="X568" s="720" t="s">
        <v>5737</v>
      </c>
      <c r="Y568" s="719" t="s">
        <v>2610</v>
      </c>
      <c r="Z568" s="730">
        <v>4.7154</v>
      </c>
      <c r="AA568" s="652">
        <f t="shared" si="113"/>
        <v>8827.2288</v>
      </c>
      <c r="AB568" s="721"/>
      <c r="AC568" s="652" t="s">
        <v>4426</v>
      </c>
      <c r="AD568" s="715" t="s">
        <v>112</v>
      </c>
      <c r="AE568" s="715">
        <f t="shared" si="110"/>
        <v>1872</v>
      </c>
      <c r="AF568" s="715" t="s">
        <v>4109</v>
      </c>
      <c r="AG568" s="715">
        <v>1872</v>
      </c>
      <c r="AH568" s="715">
        <f t="shared" si="104"/>
        <v>0</v>
      </c>
      <c r="AI568" s="717"/>
      <c r="AJ568" s="715" t="s">
        <v>3981</v>
      </c>
      <c r="AK568" s="652"/>
      <c r="AL568" s="652">
        <f t="shared" si="114"/>
        <v>1872</v>
      </c>
      <c r="AM568" s="652"/>
      <c r="AN568" s="652">
        <f t="shared" si="112"/>
        <v>1872</v>
      </c>
      <c r="AO568" s="652"/>
      <c r="AP568" s="652"/>
      <c r="AQ568" s="652"/>
      <c r="AR568" s="652"/>
      <c r="AS568" s="652"/>
      <c r="AT568" s="652"/>
      <c r="AU568" s="652"/>
      <c r="AV568" s="652"/>
      <c r="AW568" s="652"/>
      <c r="AX568" s="652"/>
      <c r="AY568" s="652"/>
      <c r="AZ568" s="652"/>
      <c r="BA568" s="652"/>
      <c r="BB568" s="652"/>
      <c r="BC568" s="652"/>
      <c r="BD568" s="652"/>
      <c r="BE568" s="652"/>
      <c r="BF568" s="652"/>
      <c r="BG568" s="652"/>
      <c r="BH568" s="652"/>
      <c r="BI568" s="652"/>
    </row>
    <row r="569" s="650" customFormat="1" ht="31" customHeight="1" spans="1:108">
      <c r="A569" s="713">
        <v>46185</v>
      </c>
      <c r="B569" s="714" t="s">
        <v>743</v>
      </c>
      <c r="C569" s="715" t="s">
        <v>135</v>
      </c>
      <c r="D569" s="837">
        <v>4500211827</v>
      </c>
      <c r="E569" s="715" t="s">
        <v>5744</v>
      </c>
      <c r="F569" s="652" t="s">
        <v>5745</v>
      </c>
      <c r="G569" s="716" t="s">
        <v>3968</v>
      </c>
      <c r="H569" s="715" t="s">
        <v>3969</v>
      </c>
      <c r="I569" s="717">
        <v>5600</v>
      </c>
      <c r="J569" s="715">
        <v>0</v>
      </c>
      <c r="K569" s="715">
        <v>16</v>
      </c>
      <c r="L569" s="715">
        <f t="shared" si="109"/>
        <v>350</v>
      </c>
      <c r="M569" s="719">
        <v>46234</v>
      </c>
      <c r="N569" s="719">
        <v>46230</v>
      </c>
      <c r="O569" s="714"/>
      <c r="P569" s="717" t="s">
        <v>1410</v>
      </c>
      <c r="Q569" s="717"/>
      <c r="R569" s="723" t="s">
        <v>541</v>
      </c>
      <c r="S569" s="720" t="s">
        <v>107</v>
      </c>
      <c r="T569" s="720" t="s">
        <v>5736</v>
      </c>
      <c r="U569" s="720"/>
      <c r="V569" s="720"/>
      <c r="W569" s="720"/>
      <c r="X569" s="720" t="s">
        <v>5737</v>
      </c>
      <c r="Y569" s="719" t="s">
        <v>2610</v>
      </c>
      <c r="Z569" s="730">
        <v>4.7049</v>
      </c>
      <c r="AA569" s="652">
        <f t="shared" si="113"/>
        <v>26347.44</v>
      </c>
      <c r="AB569" s="721"/>
      <c r="AC569" s="652" t="s">
        <v>4426</v>
      </c>
      <c r="AD569" s="715" t="s">
        <v>112</v>
      </c>
      <c r="AE569" s="715">
        <f t="shared" si="110"/>
        <v>5600</v>
      </c>
      <c r="AF569" s="715" t="s">
        <v>4109</v>
      </c>
      <c r="AG569" s="715">
        <f>1296+4304</f>
        <v>5600</v>
      </c>
      <c r="AH569" s="715">
        <f t="shared" si="104"/>
        <v>0</v>
      </c>
      <c r="AI569" s="717"/>
      <c r="AJ569" s="715" t="s">
        <v>3981</v>
      </c>
      <c r="AK569" s="652"/>
      <c r="AL569" s="652">
        <f t="shared" si="114"/>
        <v>5600</v>
      </c>
      <c r="AM569" s="652"/>
      <c r="AN569" s="652">
        <f t="shared" si="112"/>
        <v>5600</v>
      </c>
      <c r="AO569" s="652"/>
      <c r="AP569" s="652"/>
      <c r="AQ569" s="652"/>
      <c r="AR569" s="652"/>
      <c r="AS569" s="652"/>
      <c r="AT569" s="652"/>
      <c r="AU569" s="652"/>
      <c r="AV569" s="652"/>
      <c r="AW569" s="652"/>
      <c r="AX569" s="652"/>
      <c r="AY569" s="652"/>
      <c r="AZ569" s="652"/>
      <c r="BA569" s="652"/>
      <c r="BB569" s="652"/>
      <c r="BC569" s="652"/>
      <c r="BD569" s="652"/>
      <c r="BE569" s="652"/>
      <c r="BF569" s="652"/>
      <c r="BG569" s="652"/>
      <c r="BH569" s="652"/>
      <c r="BI569" s="652"/>
      <c r="BJ569" s="650"/>
      <c r="BK569" s="650"/>
      <c r="BL569" s="650"/>
      <c r="BM569" s="650"/>
      <c r="BN569" s="650"/>
      <c r="BO569" s="650"/>
      <c r="BP569" s="650"/>
      <c r="BQ569" s="650"/>
      <c r="BR569" s="650"/>
      <c r="BS569" s="650"/>
      <c r="BT569" s="650"/>
      <c r="BU569" s="650"/>
      <c r="BV569" s="650"/>
      <c r="BW569" s="650"/>
      <c r="BX569" s="650"/>
      <c r="BY569" s="650"/>
      <c r="BZ569" s="650"/>
      <c r="CA569" s="650"/>
      <c r="CB569" s="650"/>
      <c r="CC569" s="650"/>
      <c r="CD569" s="650"/>
      <c r="CE569" s="650"/>
      <c r="CF569" s="650"/>
      <c r="CG569" s="650"/>
      <c r="CH569" s="650"/>
      <c r="CI569" s="650"/>
      <c r="CJ569" s="650"/>
      <c r="CK569" s="650"/>
      <c r="CL569" s="650"/>
      <c r="CM569" s="650"/>
      <c r="CN569" s="650"/>
      <c r="CO569" s="650"/>
      <c r="CP569" s="650"/>
      <c r="CQ569" s="650"/>
      <c r="CR569" s="650"/>
      <c r="CS569" s="654"/>
      <c r="CT569" s="654"/>
      <c r="CU569" s="654"/>
      <c r="CV569" s="654"/>
      <c r="CW569" s="654"/>
      <c r="CX569" s="654"/>
      <c r="CY569" s="654"/>
      <c r="CZ569" s="654"/>
      <c r="DA569" s="654"/>
      <c r="DB569" s="654"/>
      <c r="DC569" s="654"/>
      <c r="DD569" s="654"/>
    </row>
    <row r="570" s="650" customFormat="1" ht="31" customHeight="1" spans="1:108">
      <c r="A570" s="713">
        <v>46185</v>
      </c>
      <c r="B570" s="714" t="s">
        <v>743</v>
      </c>
      <c r="C570" s="715" t="s">
        <v>810</v>
      </c>
      <c r="D570" s="837">
        <v>4500211827</v>
      </c>
      <c r="E570" s="715" t="s">
        <v>2617</v>
      </c>
      <c r="F570" s="652" t="s">
        <v>5746</v>
      </c>
      <c r="G570" s="716" t="s">
        <v>3968</v>
      </c>
      <c r="H570" s="715" t="s">
        <v>3969</v>
      </c>
      <c r="I570" s="717">
        <v>944</v>
      </c>
      <c r="J570" s="715">
        <v>0</v>
      </c>
      <c r="K570" s="715">
        <v>16</v>
      </c>
      <c r="L570" s="715">
        <f t="shared" si="109"/>
        <v>59</v>
      </c>
      <c r="M570" s="719">
        <v>46234</v>
      </c>
      <c r="N570" s="719">
        <v>46230</v>
      </c>
      <c r="O570" s="714"/>
      <c r="P570" s="717" t="s">
        <v>1410</v>
      </c>
      <c r="Q570" s="717"/>
      <c r="R570" s="723" t="s">
        <v>541</v>
      </c>
      <c r="S570" s="720" t="s">
        <v>107</v>
      </c>
      <c r="T570" s="720" t="s">
        <v>5736</v>
      </c>
      <c r="U570" s="720"/>
      <c r="V570" s="720"/>
      <c r="W570" s="720"/>
      <c r="X570" s="720" t="s">
        <v>5737</v>
      </c>
      <c r="Y570" s="719" t="s">
        <v>2610</v>
      </c>
      <c r="Z570" s="730">
        <v>4.7154</v>
      </c>
      <c r="AA570" s="652">
        <f t="shared" si="113"/>
        <v>4451.3376</v>
      </c>
      <c r="AB570" s="721"/>
      <c r="AC570" s="652" t="s">
        <v>4426</v>
      </c>
      <c r="AD570" s="715" t="s">
        <v>112</v>
      </c>
      <c r="AE570" s="715">
        <f t="shared" si="110"/>
        <v>944</v>
      </c>
      <c r="AF570" s="715" t="s">
        <v>4109</v>
      </c>
      <c r="AG570" s="715">
        <v>944</v>
      </c>
      <c r="AH570" s="715">
        <f t="shared" si="104"/>
        <v>0</v>
      </c>
      <c r="AI570" s="717"/>
      <c r="AJ570" s="715" t="s">
        <v>3981</v>
      </c>
      <c r="AK570" s="652"/>
      <c r="AL570" s="652">
        <f t="shared" si="114"/>
        <v>944</v>
      </c>
      <c r="AM570" s="652"/>
      <c r="AN570" s="652">
        <f t="shared" si="112"/>
        <v>944</v>
      </c>
      <c r="AO570" s="652"/>
      <c r="AP570" s="652"/>
      <c r="AQ570" s="652"/>
      <c r="AR570" s="652"/>
      <c r="AS570" s="652"/>
      <c r="AT570" s="652"/>
      <c r="AU570" s="652"/>
      <c r="AV570" s="652"/>
      <c r="AW570" s="652"/>
      <c r="AX570" s="652"/>
      <c r="AY570" s="652"/>
      <c r="AZ570" s="652"/>
      <c r="BA570" s="652"/>
      <c r="BB570" s="652"/>
      <c r="BC570" s="652"/>
      <c r="BD570" s="652"/>
      <c r="BE570" s="652"/>
      <c r="BF570" s="652"/>
      <c r="BG570" s="652"/>
      <c r="BH570" s="652"/>
      <c r="BI570" s="652"/>
    </row>
    <row r="571" s="650" customFormat="1" ht="31" customHeight="1" spans="1:108">
      <c r="A571" s="713">
        <v>46185</v>
      </c>
      <c r="B571" s="714" t="s">
        <v>743</v>
      </c>
      <c r="C571" s="715" t="s">
        <v>810</v>
      </c>
      <c r="D571" s="837">
        <v>4500211827</v>
      </c>
      <c r="E571" s="715" t="s">
        <v>2619</v>
      </c>
      <c r="F571" s="652" t="s">
        <v>5747</v>
      </c>
      <c r="G571" s="716" t="s">
        <v>3968</v>
      </c>
      <c r="H571" s="715" t="s">
        <v>3969</v>
      </c>
      <c r="I571" s="717">
        <v>944</v>
      </c>
      <c r="J571" s="715">
        <v>0</v>
      </c>
      <c r="K571" s="715">
        <v>16</v>
      </c>
      <c r="L571" s="715">
        <f t="shared" si="109"/>
        <v>59</v>
      </c>
      <c r="M571" s="719">
        <v>46234</v>
      </c>
      <c r="N571" s="719">
        <v>46230</v>
      </c>
      <c r="O571" s="714"/>
      <c r="P571" s="717" t="s">
        <v>1410</v>
      </c>
      <c r="Q571" s="717"/>
      <c r="R571" s="723" t="s">
        <v>541</v>
      </c>
      <c r="S571" s="720" t="s">
        <v>107</v>
      </c>
      <c r="T571" s="720" t="s">
        <v>5736</v>
      </c>
      <c r="U571" s="720"/>
      <c r="V571" s="720"/>
      <c r="W571" s="720"/>
      <c r="X571" s="720" t="s">
        <v>5737</v>
      </c>
      <c r="Y571" s="719" t="s">
        <v>2610</v>
      </c>
      <c r="Z571" s="730">
        <v>4.7154</v>
      </c>
      <c r="AA571" s="652">
        <f t="shared" si="113"/>
        <v>4451.3376</v>
      </c>
      <c r="AB571" s="721"/>
      <c r="AC571" s="652" t="s">
        <v>4426</v>
      </c>
      <c r="AD571" s="715" t="s">
        <v>112</v>
      </c>
      <c r="AE571" s="715">
        <f t="shared" si="110"/>
        <v>944</v>
      </c>
      <c r="AF571" s="715" t="s">
        <v>4109</v>
      </c>
      <c r="AG571" s="715">
        <v>944</v>
      </c>
      <c r="AH571" s="715">
        <f t="shared" si="104"/>
        <v>0</v>
      </c>
      <c r="AI571" s="717"/>
      <c r="AJ571" s="715" t="s">
        <v>3981</v>
      </c>
      <c r="AK571" s="652"/>
      <c r="AL571" s="652">
        <f t="shared" si="114"/>
        <v>944</v>
      </c>
      <c r="AM571" s="652"/>
      <c r="AN571" s="652">
        <f t="shared" si="112"/>
        <v>944</v>
      </c>
      <c r="AO571" s="652"/>
      <c r="AP571" s="652"/>
      <c r="AQ571" s="652"/>
      <c r="AR571" s="652"/>
      <c r="AS571" s="652"/>
      <c r="AT571" s="652"/>
      <c r="AU571" s="652"/>
      <c r="AV571" s="652"/>
      <c r="AW571" s="652"/>
      <c r="AX571" s="652"/>
      <c r="AY571" s="652"/>
      <c r="AZ571" s="652"/>
      <c r="BA571" s="652"/>
      <c r="BB571" s="652"/>
      <c r="BC571" s="652"/>
      <c r="BD571" s="652"/>
      <c r="BE571" s="652"/>
      <c r="BF571" s="652"/>
      <c r="BG571" s="652"/>
      <c r="BH571" s="652"/>
      <c r="BI571" s="652"/>
      <c r="BJ571" s="650"/>
      <c r="BK571" s="650"/>
      <c r="BL571" s="650"/>
      <c r="BM571" s="650"/>
      <c r="BN571" s="650"/>
      <c r="BO571" s="650"/>
      <c r="BP571" s="650"/>
      <c r="BQ571" s="650"/>
      <c r="BR571" s="650"/>
      <c r="BS571" s="650"/>
      <c r="BT571" s="650"/>
      <c r="BU571" s="650"/>
      <c r="BV571" s="650"/>
      <c r="BW571" s="650"/>
      <c r="BX571" s="650"/>
      <c r="BY571" s="650"/>
      <c r="BZ571" s="650"/>
      <c r="CA571" s="650"/>
      <c r="CB571" s="650"/>
      <c r="CC571" s="650"/>
      <c r="CD571" s="650"/>
      <c r="CE571" s="650"/>
      <c r="CF571" s="650"/>
      <c r="CG571" s="650"/>
      <c r="CH571" s="650"/>
      <c r="CI571" s="650"/>
      <c r="CJ571" s="650"/>
      <c r="CK571" s="650"/>
      <c r="CL571" s="650"/>
      <c r="CM571" s="650"/>
      <c r="CN571" s="650"/>
      <c r="CO571" s="650"/>
      <c r="CP571" s="650"/>
      <c r="CQ571" s="650"/>
      <c r="CR571" s="650"/>
      <c r="CS571" s="654"/>
      <c r="CT571" s="654"/>
      <c r="CU571" s="654"/>
      <c r="CV571" s="654"/>
      <c r="CW571" s="654"/>
      <c r="CX571" s="654"/>
      <c r="CY571" s="654"/>
      <c r="CZ571" s="654"/>
      <c r="DA571" s="654"/>
      <c r="DB571" s="654"/>
      <c r="DC571" s="654"/>
      <c r="DD571" s="654"/>
    </row>
    <row r="572" s="659" customFormat="1" ht="31" customHeight="1" spans="1:108">
      <c r="A572" s="819">
        <v>46189</v>
      </c>
      <c r="B572" s="820" t="s">
        <v>2137</v>
      </c>
      <c r="C572" s="821" t="s">
        <v>2138</v>
      </c>
      <c r="D572" s="822" t="s">
        <v>5427</v>
      </c>
      <c r="E572" s="821" t="s">
        <v>628</v>
      </c>
      <c r="F572" s="822" t="s">
        <v>2139</v>
      </c>
      <c r="G572" s="823" t="s">
        <v>4337</v>
      </c>
      <c r="H572" s="708" t="s">
        <v>151</v>
      </c>
      <c r="I572" s="824">
        <v>480</v>
      </c>
      <c r="J572" s="821">
        <v>0</v>
      </c>
      <c r="K572" s="821">
        <v>24</v>
      </c>
      <c r="L572" s="821">
        <f t="shared" si="109"/>
        <v>20</v>
      </c>
      <c r="M572" s="825">
        <v>46227</v>
      </c>
      <c r="N572" s="863">
        <v>46235</v>
      </c>
      <c r="O572" s="820" t="s">
        <v>2140</v>
      </c>
      <c r="P572" s="824"/>
      <c r="Q572" s="824"/>
      <c r="R572" s="827">
        <v>46199</v>
      </c>
      <c r="S572" s="828" t="s">
        <v>107</v>
      </c>
      <c r="T572" s="828" t="s">
        <v>5429</v>
      </c>
      <c r="U572" s="828"/>
      <c r="V572" s="829"/>
      <c r="W572" s="828"/>
      <c r="X572" s="894" t="s">
        <v>5748</v>
      </c>
      <c r="Y572" s="825" t="s">
        <v>1477</v>
      </c>
      <c r="Z572" s="830">
        <v>218.0972</v>
      </c>
      <c r="AA572" s="822">
        <f>L572*Z572</f>
        <v>4361.944</v>
      </c>
      <c r="AB572" s="831"/>
      <c r="AC572" s="836" t="s">
        <v>5064</v>
      </c>
      <c r="AD572" s="821" t="s">
        <v>112</v>
      </c>
      <c r="AE572" s="821">
        <f t="shared" si="110"/>
        <v>480</v>
      </c>
      <c r="AF572" s="821"/>
      <c r="AG572" s="708"/>
      <c r="AH572" s="833">
        <f t="shared" si="104"/>
        <v>-480</v>
      </c>
      <c r="AI572" s="824"/>
      <c r="AJ572" s="708" t="s">
        <v>3981</v>
      </c>
      <c r="AK572" s="822"/>
      <c r="AL572" s="834">
        <f t="shared" si="114"/>
        <v>480</v>
      </c>
      <c r="AM572" s="822"/>
      <c r="AN572" s="834">
        <f t="shared" si="112"/>
        <v>480</v>
      </c>
      <c r="AO572" s="822"/>
      <c r="AP572" s="822"/>
      <c r="AQ572" s="822"/>
      <c r="AR572" s="822"/>
      <c r="AS572" s="822"/>
      <c r="AT572" s="822"/>
      <c r="AU572" s="834"/>
      <c r="AV572" s="834"/>
      <c r="AW572" s="834"/>
      <c r="AX572" s="822"/>
      <c r="AY572" s="822"/>
      <c r="AZ572" s="822"/>
      <c r="BA572" s="822">
        <f>I572/24</f>
        <v>20</v>
      </c>
      <c r="BB572" s="822"/>
      <c r="BC572" s="822"/>
      <c r="BD572" s="822"/>
      <c r="BE572" s="822"/>
      <c r="BF572" s="822"/>
      <c r="BG572" s="822"/>
      <c r="BH572" s="822"/>
      <c r="BI572" s="822"/>
    </row>
    <row r="573" s="654" customFormat="1" ht="31" customHeight="1" spans="1:108">
      <c r="A573" s="819">
        <v>46195</v>
      </c>
      <c r="B573" s="820" t="s">
        <v>827</v>
      </c>
      <c r="C573" s="821" t="s">
        <v>101</v>
      </c>
      <c r="D573" s="822">
        <v>4500213229</v>
      </c>
      <c r="E573" s="821">
        <v>3116</v>
      </c>
      <c r="F573" s="822" t="s">
        <v>5749</v>
      </c>
      <c r="G573" s="823" t="s">
        <v>3980</v>
      </c>
      <c r="H573" s="821" t="s">
        <v>3978</v>
      </c>
      <c r="I573" s="824">
        <v>1000</v>
      </c>
      <c r="J573" s="821">
        <v>0</v>
      </c>
      <c r="K573" s="821">
        <v>8</v>
      </c>
      <c r="L573" s="821">
        <f t="shared" si="109"/>
        <v>125</v>
      </c>
      <c r="M573" s="863">
        <v>46237</v>
      </c>
      <c r="N573" s="863">
        <v>46233</v>
      </c>
      <c r="O573" s="820"/>
      <c r="P573" s="824"/>
      <c r="Q573" s="821" t="s">
        <v>2603</v>
      </c>
      <c r="R573" s="827" t="s">
        <v>3096</v>
      </c>
      <c r="S573" s="828" t="s">
        <v>95</v>
      </c>
      <c r="T573" s="828" t="s">
        <v>95</v>
      </c>
      <c r="U573" s="828"/>
      <c r="V573" s="828"/>
      <c r="W573" s="828"/>
      <c r="X573" s="828" t="s">
        <v>5750</v>
      </c>
      <c r="Y573" s="825" t="s">
        <v>673</v>
      </c>
      <c r="Z573" s="830">
        <v>4.8266</v>
      </c>
      <c r="AA573" s="822">
        <f t="shared" ref="AA573:AA583" si="115">I573*Z573</f>
        <v>4826.6</v>
      </c>
      <c r="AB573" s="831"/>
      <c r="AC573" s="895" t="s">
        <v>3980</v>
      </c>
      <c r="AD573" s="821" t="s">
        <v>112</v>
      </c>
      <c r="AE573" s="821">
        <f t="shared" si="110"/>
        <v>1000</v>
      </c>
      <c r="AF573" s="821"/>
      <c r="AG573" s="821">
        <v>1000</v>
      </c>
      <c r="AH573" s="833">
        <f t="shared" si="104"/>
        <v>0</v>
      </c>
      <c r="AI573" s="824"/>
      <c r="AJ573" s="708" t="s">
        <v>3981</v>
      </c>
      <c r="AK573" s="834">
        <f t="shared" ref="AK573:AK580" si="116">I573</f>
        <v>1000</v>
      </c>
      <c r="AL573" s="822"/>
      <c r="AM573" s="822"/>
      <c r="AN573" s="834">
        <f t="shared" si="112"/>
        <v>1000</v>
      </c>
      <c r="AO573" s="822"/>
      <c r="AP573" s="822"/>
      <c r="AQ573" s="822"/>
      <c r="AR573" s="822"/>
      <c r="AS573" s="822"/>
      <c r="AT573" s="822"/>
      <c r="AU573" s="822"/>
      <c r="AV573" s="822"/>
      <c r="AW573" s="822"/>
      <c r="AX573" s="822">
        <f>I573/8</f>
        <v>125</v>
      </c>
      <c r="AY573" s="822"/>
      <c r="AZ573" s="822"/>
      <c r="BA573" s="822"/>
      <c r="BB573" s="822"/>
      <c r="BC573" s="822"/>
      <c r="BD573" s="822"/>
      <c r="BE573" s="822"/>
      <c r="BF573" s="822"/>
      <c r="BG573" s="822"/>
      <c r="BH573" s="822"/>
      <c r="BI573" s="822"/>
      <c r="BJ573" s="667"/>
      <c r="BK573" s="667"/>
      <c r="BL573" s="667"/>
      <c r="BM573" s="667"/>
      <c r="BN573" s="667"/>
      <c r="BO573" s="667"/>
      <c r="BP573" s="667"/>
      <c r="BQ573" s="667"/>
      <c r="BR573" s="667"/>
      <c r="BS573" s="667"/>
      <c r="BT573" s="667"/>
      <c r="BU573" s="667"/>
      <c r="BV573" s="667"/>
      <c r="BW573" s="667"/>
      <c r="BX573" s="667"/>
      <c r="BY573" s="667"/>
      <c r="BZ573" s="667"/>
      <c r="CA573" s="667"/>
      <c r="CB573" s="667"/>
      <c r="CC573" s="667"/>
      <c r="CD573" s="667"/>
      <c r="CE573" s="667"/>
      <c r="CF573" s="667"/>
      <c r="CG573" s="667"/>
      <c r="CH573" s="667"/>
      <c r="CI573" s="667"/>
      <c r="CJ573" s="667"/>
      <c r="CK573" s="667"/>
      <c r="CL573" s="667"/>
      <c r="CM573" s="667"/>
      <c r="CN573" s="667"/>
      <c r="CO573" s="667"/>
      <c r="CP573" s="667"/>
      <c r="CQ573" s="667"/>
      <c r="CR573" s="667"/>
      <c r="CS573" s="667"/>
      <c r="CT573" s="667"/>
      <c r="CU573" s="667"/>
      <c r="CV573" s="667"/>
      <c r="CW573" s="667"/>
      <c r="CX573" s="667"/>
      <c r="CY573" s="667"/>
      <c r="CZ573" s="667"/>
      <c r="DA573" s="667"/>
      <c r="DB573" s="667"/>
      <c r="DC573" s="667"/>
      <c r="DD573" s="667"/>
    </row>
    <row r="574" s="654" customFormat="1" ht="31" customHeight="1" spans="1:108">
      <c r="A574" s="819">
        <v>46163</v>
      </c>
      <c r="B574" s="820" t="s">
        <v>2333</v>
      </c>
      <c r="C574" s="821" t="s">
        <v>115</v>
      </c>
      <c r="D574" s="822" t="s">
        <v>5751</v>
      </c>
      <c r="E574" s="821" t="s">
        <v>5752</v>
      </c>
      <c r="F574" s="896" t="s">
        <v>5753</v>
      </c>
      <c r="G574" s="823" t="s">
        <v>3980</v>
      </c>
      <c r="H574" s="708" t="s">
        <v>3978</v>
      </c>
      <c r="I574" s="824">
        <v>304</v>
      </c>
      <c r="J574" s="821">
        <v>0</v>
      </c>
      <c r="K574" s="821">
        <v>8</v>
      </c>
      <c r="L574" s="821">
        <f t="shared" si="109"/>
        <v>38</v>
      </c>
      <c r="M574" s="825">
        <v>46237</v>
      </c>
      <c r="N574" s="825">
        <v>46233</v>
      </c>
      <c r="O574" s="824" t="s">
        <v>2337</v>
      </c>
      <c r="P574" s="824"/>
      <c r="Q574" s="824" t="s">
        <v>2338</v>
      </c>
      <c r="R574" s="827" t="s">
        <v>2339</v>
      </c>
      <c r="S574" s="829" t="s">
        <v>107</v>
      </c>
      <c r="T574" s="828" t="s">
        <v>5754</v>
      </c>
      <c r="U574" s="828"/>
      <c r="V574" s="829"/>
      <c r="W574" s="828"/>
      <c r="X574" s="828" t="s">
        <v>2341</v>
      </c>
      <c r="Y574" s="825" t="s">
        <v>2342</v>
      </c>
      <c r="Z574" s="830">
        <v>2.9023</v>
      </c>
      <c r="AA574" s="822">
        <f t="shared" si="115"/>
        <v>882.2992</v>
      </c>
      <c r="AB574" s="831"/>
      <c r="AC574" s="895" t="s">
        <v>3980</v>
      </c>
      <c r="AD574" s="821" t="s">
        <v>112</v>
      </c>
      <c r="AE574" s="821">
        <f t="shared" si="110"/>
        <v>304</v>
      </c>
      <c r="AF574" s="821" t="s">
        <v>5125</v>
      </c>
      <c r="AG574" s="708"/>
      <c r="AH574" s="833">
        <f t="shared" si="104"/>
        <v>-304</v>
      </c>
      <c r="AI574" s="824"/>
      <c r="AJ574" s="708" t="s">
        <v>3981</v>
      </c>
      <c r="AK574" s="834">
        <f t="shared" si="116"/>
        <v>304</v>
      </c>
      <c r="AL574" s="834"/>
      <c r="AM574" s="822"/>
      <c r="AN574" s="834">
        <f t="shared" si="112"/>
        <v>304</v>
      </c>
      <c r="AO574" s="822"/>
      <c r="AP574" s="822"/>
      <c r="AQ574" s="822"/>
      <c r="AR574" s="822"/>
      <c r="AS574" s="822"/>
      <c r="AT574" s="834">
        <f>I574/8</f>
        <v>38</v>
      </c>
      <c r="AU574" s="834"/>
      <c r="AV574" s="834"/>
      <c r="AW574" s="834"/>
      <c r="AX574" s="822"/>
      <c r="AY574" s="822"/>
      <c r="AZ574" s="822"/>
      <c r="BA574" s="822"/>
      <c r="BB574" s="822"/>
      <c r="BC574" s="822"/>
      <c r="BD574" s="822"/>
      <c r="BE574" s="822"/>
      <c r="BF574" s="822"/>
      <c r="BG574" s="822"/>
      <c r="BH574" s="822"/>
      <c r="BI574" s="822"/>
      <c r="BJ574" s="662"/>
      <c r="BK574" s="662"/>
      <c r="BL574" s="662"/>
      <c r="BM574" s="662"/>
      <c r="BN574" s="662"/>
      <c r="BO574" s="662"/>
      <c r="BP574" s="662"/>
      <c r="BQ574" s="662"/>
      <c r="BR574" s="662"/>
      <c r="BS574" s="662"/>
      <c r="BT574" s="662"/>
      <c r="BU574" s="662"/>
      <c r="BV574" s="662"/>
      <c r="BW574" s="662"/>
      <c r="BX574" s="662"/>
      <c r="BY574" s="662"/>
      <c r="BZ574" s="662"/>
      <c r="CA574" s="662"/>
      <c r="CB574" s="662"/>
      <c r="CC574" s="662"/>
      <c r="CD574" s="662"/>
      <c r="CE574" s="662"/>
      <c r="CF574" s="662"/>
      <c r="CG574" s="662"/>
      <c r="CH574" s="662"/>
      <c r="CI574" s="662"/>
      <c r="CJ574" s="662"/>
      <c r="CK574" s="662"/>
      <c r="CL574" s="662"/>
      <c r="CM574" s="662"/>
      <c r="CN574" s="662"/>
      <c r="CO574" s="662"/>
      <c r="CP574" s="662"/>
      <c r="CQ574" s="662"/>
      <c r="CR574" s="662"/>
      <c r="CS574" s="666"/>
      <c r="CT574" s="666"/>
      <c r="CU574" s="666"/>
      <c r="CV574" s="666"/>
      <c r="CW574" s="666"/>
      <c r="CX574" s="666"/>
      <c r="CY574" s="666"/>
      <c r="CZ574" s="666"/>
      <c r="DA574" s="666"/>
      <c r="DB574" s="666"/>
      <c r="DC574" s="666"/>
      <c r="DD574" s="666"/>
    </row>
    <row r="575" s="656" customFormat="1" ht="31" customHeight="1" spans="1:108">
      <c r="A575" s="897">
        <v>46155</v>
      </c>
      <c r="B575" s="898" t="s">
        <v>2637</v>
      </c>
      <c r="C575" s="899" t="s">
        <v>2638</v>
      </c>
      <c r="D575" s="672" t="s">
        <v>5755</v>
      </c>
      <c r="E575" s="899" t="s">
        <v>2639</v>
      </c>
      <c r="F575" s="672" t="s">
        <v>5756</v>
      </c>
      <c r="G575" s="900" t="s">
        <v>3973</v>
      </c>
      <c r="H575" s="708" t="s">
        <v>3995</v>
      </c>
      <c r="I575" s="901">
        <v>2000</v>
      </c>
      <c r="J575" s="899">
        <v>0</v>
      </c>
      <c r="K575" s="899">
        <v>16</v>
      </c>
      <c r="L575" s="899">
        <f t="shared" si="109"/>
        <v>125</v>
      </c>
      <c r="M575" s="902">
        <v>46237</v>
      </c>
      <c r="N575" s="903">
        <v>46235</v>
      </c>
      <c r="O575" s="898" t="s">
        <v>5757</v>
      </c>
      <c r="P575" s="901"/>
      <c r="Q575" s="904" t="s">
        <v>5758</v>
      </c>
      <c r="R575" s="905">
        <v>46157</v>
      </c>
      <c r="S575" s="847" t="s">
        <v>107</v>
      </c>
      <c r="T575" s="848" t="s">
        <v>5759</v>
      </c>
      <c r="U575" s="847"/>
      <c r="V575" s="906"/>
      <c r="W575" s="906"/>
      <c r="X575" s="907" t="s">
        <v>5760</v>
      </c>
      <c r="Y575" s="908" t="s">
        <v>2646</v>
      </c>
      <c r="Z575" s="909">
        <v>4.7752</v>
      </c>
      <c r="AA575" s="672">
        <f t="shared" si="115"/>
        <v>9550.4</v>
      </c>
      <c r="AB575" s="910"/>
      <c r="AC575" s="911" t="s">
        <v>3973</v>
      </c>
      <c r="AD575" s="912" t="s">
        <v>112</v>
      </c>
      <c r="AE575" s="899">
        <f t="shared" si="110"/>
        <v>2000</v>
      </c>
      <c r="AF575" s="913" t="s">
        <v>5125</v>
      </c>
      <c r="AG575" s="899">
        <v>2000</v>
      </c>
      <c r="AH575" s="833">
        <f t="shared" si="104"/>
        <v>0</v>
      </c>
      <c r="AI575" s="901"/>
      <c r="AJ575" s="708" t="s">
        <v>3981</v>
      </c>
      <c r="AK575" s="914">
        <f t="shared" si="116"/>
        <v>2000</v>
      </c>
      <c r="AL575" s="834"/>
      <c r="AM575" s="822"/>
      <c r="AN575" s="834">
        <f t="shared" si="112"/>
        <v>2000</v>
      </c>
      <c r="AO575" s="672"/>
      <c r="AP575" s="914"/>
      <c r="AQ575" s="672"/>
      <c r="AR575" s="672"/>
      <c r="AS575" s="672"/>
      <c r="AT575" s="672">
        <f>I575/8</f>
        <v>250</v>
      </c>
      <c r="AU575" s="834"/>
      <c r="AV575" s="914"/>
      <c r="AW575" s="914"/>
      <c r="AX575" s="672"/>
      <c r="AY575" s="672"/>
      <c r="AZ575" s="672"/>
      <c r="BA575" s="672"/>
      <c r="BB575" s="672"/>
      <c r="BC575" s="672"/>
      <c r="BD575" s="672"/>
      <c r="BE575" s="672"/>
      <c r="BF575" s="672"/>
      <c r="BG575" s="672"/>
      <c r="BH575" s="672"/>
      <c r="BI575" s="914"/>
      <c r="BJ575" s="672"/>
      <c r="BK575" s="672"/>
      <c r="BL575" s="672"/>
      <c r="BM575" s="672"/>
      <c r="BN575" s="672"/>
      <c r="BO575" s="672"/>
      <c r="BP575" s="672"/>
      <c r="BQ575" s="672"/>
      <c r="BR575" s="672"/>
      <c r="BS575" s="672"/>
      <c r="BT575" s="672"/>
      <c r="BU575" s="672"/>
      <c r="BV575" s="672"/>
      <c r="BW575" s="672"/>
      <c r="BX575" s="672"/>
      <c r="BY575" s="672"/>
      <c r="BZ575" s="672"/>
      <c r="CA575" s="672"/>
      <c r="CB575" s="672"/>
      <c r="CC575" s="672"/>
      <c r="CD575" s="672"/>
      <c r="CE575" s="672"/>
      <c r="CF575" s="672"/>
      <c r="CG575" s="672"/>
      <c r="CH575" s="672"/>
      <c r="CI575" s="672"/>
      <c r="CJ575" s="672"/>
      <c r="CK575" s="672"/>
      <c r="CL575" s="672"/>
      <c r="CM575" s="672"/>
      <c r="CN575" s="672"/>
      <c r="CO575" s="672"/>
      <c r="CP575" s="672"/>
      <c r="CQ575" s="672"/>
      <c r="CR575" s="672"/>
      <c r="CS575" s="672"/>
      <c r="CT575" s="672"/>
      <c r="CU575" s="672"/>
      <c r="CV575" s="672"/>
      <c r="CW575" s="672"/>
      <c r="CX575" s="672"/>
      <c r="CY575" s="672"/>
      <c r="CZ575" s="672"/>
      <c r="DA575" s="672"/>
      <c r="DB575" s="672"/>
      <c r="DC575" s="672"/>
      <c r="DD575" s="672"/>
    </row>
    <row r="576" s="650" customFormat="1" ht="31" customHeight="1" spans="1:108">
      <c r="A576" s="713">
        <v>46168</v>
      </c>
      <c r="B576" s="714" t="s">
        <v>602</v>
      </c>
      <c r="C576" s="715" t="s">
        <v>508</v>
      </c>
      <c r="D576" s="652" t="s">
        <v>5761</v>
      </c>
      <c r="E576" s="715" t="s">
        <v>5762</v>
      </c>
      <c r="F576" s="652" t="s">
        <v>5763</v>
      </c>
      <c r="G576" s="716" t="s">
        <v>3980</v>
      </c>
      <c r="H576" s="715" t="s">
        <v>3978</v>
      </c>
      <c r="I576" s="717">
        <v>3600</v>
      </c>
      <c r="J576" s="715">
        <v>0</v>
      </c>
      <c r="K576" s="715">
        <v>8</v>
      </c>
      <c r="L576" s="715">
        <f t="shared" si="109"/>
        <v>450</v>
      </c>
      <c r="M576" s="719">
        <v>46237</v>
      </c>
      <c r="N576" s="738">
        <v>46235</v>
      </c>
      <c r="O576" s="714"/>
      <c r="P576" s="717" t="s">
        <v>1410</v>
      </c>
      <c r="Q576" s="717"/>
      <c r="R576" s="723">
        <v>46168</v>
      </c>
      <c r="S576" s="720" t="s">
        <v>107</v>
      </c>
      <c r="T576" s="720" t="s">
        <v>4346</v>
      </c>
      <c r="U576" s="720"/>
      <c r="V576" s="720"/>
      <c r="W576" s="720"/>
      <c r="X576" s="798" t="s">
        <v>5764</v>
      </c>
      <c r="Y576" s="719" t="s">
        <v>362</v>
      </c>
      <c r="Z576" s="730">
        <v>4.7788</v>
      </c>
      <c r="AA576" s="652">
        <f t="shared" si="115"/>
        <v>17203.68</v>
      </c>
      <c r="AB576" s="721"/>
      <c r="AC576" s="722" t="s">
        <v>3980</v>
      </c>
      <c r="AD576" s="715" t="s">
        <v>112</v>
      </c>
      <c r="AE576" s="715">
        <f t="shared" si="110"/>
        <v>3600</v>
      </c>
      <c r="AF576" s="715" t="s">
        <v>5125</v>
      </c>
      <c r="AG576" s="715">
        <v>3600</v>
      </c>
      <c r="AH576" s="715">
        <f t="shared" si="104"/>
        <v>0</v>
      </c>
      <c r="AI576" s="717" t="s">
        <v>120</v>
      </c>
      <c r="AJ576" s="715" t="s">
        <v>3981</v>
      </c>
      <c r="AK576" s="652">
        <f t="shared" si="116"/>
        <v>3600</v>
      </c>
      <c r="AL576" s="652"/>
      <c r="AM576" s="652"/>
      <c r="AN576" s="652">
        <f t="shared" si="112"/>
        <v>3600</v>
      </c>
      <c r="AO576" s="652"/>
      <c r="AP576" s="652"/>
      <c r="AQ576" s="652"/>
      <c r="AR576" s="652"/>
      <c r="AS576" s="652"/>
      <c r="AT576" s="652"/>
      <c r="AU576" s="652"/>
      <c r="AV576" s="652"/>
      <c r="AW576" s="652"/>
      <c r="AX576" s="652">
        <f>I576/8</f>
        <v>450</v>
      </c>
      <c r="AY576" s="652"/>
      <c r="AZ576" s="652"/>
      <c r="BA576" s="652"/>
      <c r="BB576" s="652"/>
      <c r="BC576" s="652"/>
      <c r="BD576" s="652"/>
      <c r="BE576" s="652"/>
      <c r="BF576" s="652"/>
      <c r="BG576" s="652"/>
      <c r="BH576" s="652"/>
      <c r="BI576" s="652"/>
      <c r="BJ576" s="650"/>
      <c r="BK576" s="650"/>
      <c r="BL576" s="650"/>
      <c r="BM576" s="650"/>
      <c r="BN576" s="650"/>
      <c r="BO576" s="650"/>
      <c r="BP576" s="650"/>
      <c r="BQ576" s="650"/>
      <c r="BR576" s="650"/>
      <c r="BS576" s="650"/>
      <c r="BT576" s="650"/>
      <c r="BU576" s="650"/>
      <c r="BV576" s="650"/>
      <c r="BW576" s="650"/>
      <c r="BX576" s="650"/>
      <c r="BY576" s="650"/>
      <c r="BZ576" s="650"/>
      <c r="CA576" s="650"/>
      <c r="CB576" s="650"/>
      <c r="CC576" s="650"/>
      <c r="CD576" s="650"/>
      <c r="CE576" s="650"/>
      <c r="CF576" s="650"/>
      <c r="CG576" s="650"/>
      <c r="CH576" s="650"/>
      <c r="CI576" s="650"/>
      <c r="CJ576" s="650"/>
      <c r="CK576" s="650"/>
      <c r="CL576" s="650"/>
      <c r="CM576" s="650"/>
      <c r="CN576" s="650"/>
      <c r="CO576" s="650"/>
      <c r="CP576" s="650"/>
      <c r="CQ576" s="650"/>
      <c r="CR576" s="650"/>
      <c r="CS576" s="654"/>
      <c r="CT576" s="654"/>
      <c r="CU576" s="654"/>
      <c r="CV576" s="654"/>
      <c r="CW576" s="654"/>
      <c r="CX576" s="654"/>
      <c r="CY576" s="654"/>
      <c r="CZ576" s="654"/>
      <c r="DA576" s="654"/>
      <c r="DB576" s="654"/>
      <c r="DC576" s="654"/>
      <c r="DD576" s="654"/>
    </row>
    <row r="577" s="650" customFormat="1" ht="31" customHeight="1" spans="1:108">
      <c r="A577" s="713">
        <v>46163</v>
      </c>
      <c r="B577" s="714" t="s">
        <v>2333</v>
      </c>
      <c r="C577" s="715" t="s">
        <v>115</v>
      </c>
      <c r="D577" s="652" t="s">
        <v>5765</v>
      </c>
      <c r="E577" s="715" t="s">
        <v>5766</v>
      </c>
      <c r="F577" s="915" t="s">
        <v>5767</v>
      </c>
      <c r="G577" s="716" t="s">
        <v>3980</v>
      </c>
      <c r="H577" s="715" t="s">
        <v>3978</v>
      </c>
      <c r="I577" s="717">
        <v>9208</v>
      </c>
      <c r="J577" s="715">
        <v>0</v>
      </c>
      <c r="K577" s="715">
        <v>8</v>
      </c>
      <c r="L577" s="715">
        <f t="shared" si="109"/>
        <v>1151</v>
      </c>
      <c r="M577" s="719">
        <v>46237</v>
      </c>
      <c r="N577" s="738">
        <v>46235</v>
      </c>
      <c r="O577" s="717" t="s">
        <v>2337</v>
      </c>
      <c r="P577" s="717" t="s">
        <v>1410</v>
      </c>
      <c r="Q577" s="717" t="s">
        <v>2338</v>
      </c>
      <c r="R577" s="723" t="s">
        <v>2339</v>
      </c>
      <c r="S577" s="720" t="s">
        <v>107</v>
      </c>
      <c r="T577" s="720" t="s">
        <v>5768</v>
      </c>
      <c r="U577" s="720"/>
      <c r="V577" s="720"/>
      <c r="W577" s="720"/>
      <c r="X577" s="720" t="s">
        <v>2345</v>
      </c>
      <c r="Y577" s="719" t="s">
        <v>2342</v>
      </c>
      <c r="Z577" s="730">
        <v>2.8897</v>
      </c>
      <c r="AA577" s="652">
        <f t="shared" si="115"/>
        <v>26608.3576</v>
      </c>
      <c r="AB577" s="721"/>
      <c r="AC577" s="766" t="s">
        <v>3980</v>
      </c>
      <c r="AD577" s="715" t="s">
        <v>112</v>
      </c>
      <c r="AE577" s="715">
        <f t="shared" si="110"/>
        <v>9208</v>
      </c>
      <c r="AF577" s="715" t="s">
        <v>5125</v>
      </c>
      <c r="AG577" s="715" t="s">
        <v>120</v>
      </c>
      <c r="AH577" s="715" t="e">
        <f t="shared" si="104"/>
        <v>#VALUE!</v>
      </c>
      <c r="AI577" s="717"/>
      <c r="AJ577" s="715" t="s">
        <v>3981</v>
      </c>
      <c r="AK577" s="652">
        <f t="shared" si="116"/>
        <v>9208</v>
      </c>
      <c r="AL577" s="652"/>
      <c r="AM577" s="652"/>
      <c r="AN577" s="652">
        <f t="shared" si="112"/>
        <v>9208</v>
      </c>
      <c r="AO577" s="652"/>
      <c r="AP577" s="652"/>
      <c r="AQ577" s="652"/>
      <c r="AR577" s="652"/>
      <c r="AS577" s="652"/>
      <c r="AT577" s="652">
        <f>I577/8</f>
        <v>1151</v>
      </c>
      <c r="AU577" s="652"/>
      <c r="AV577" s="652"/>
      <c r="AW577" s="652"/>
      <c r="AX577" s="652"/>
      <c r="AY577" s="652"/>
      <c r="AZ577" s="652"/>
      <c r="BA577" s="652"/>
      <c r="BB577" s="652"/>
      <c r="BC577" s="652"/>
      <c r="BD577" s="652"/>
      <c r="BE577" s="652"/>
      <c r="BF577" s="652"/>
      <c r="BG577" s="652"/>
      <c r="BH577" s="652"/>
      <c r="BI577" s="652"/>
      <c r="BJ577" s="651"/>
      <c r="BK577" s="651"/>
      <c r="BL577" s="651"/>
      <c r="BM577" s="651"/>
      <c r="BN577" s="651"/>
      <c r="BO577" s="651"/>
      <c r="BP577" s="651"/>
      <c r="BQ577" s="651"/>
      <c r="BR577" s="651"/>
      <c r="BS577" s="651"/>
      <c r="BT577" s="651"/>
      <c r="BU577" s="651"/>
      <c r="BV577" s="651"/>
      <c r="BW577" s="651"/>
      <c r="BX577" s="651"/>
      <c r="BY577" s="651"/>
      <c r="BZ577" s="651"/>
      <c r="CA577" s="651"/>
      <c r="CB577" s="651"/>
      <c r="CC577" s="651"/>
      <c r="CD577" s="651"/>
      <c r="CE577" s="651"/>
      <c r="CF577" s="651"/>
      <c r="CG577" s="651"/>
      <c r="CH577" s="651"/>
      <c r="CI577" s="651"/>
      <c r="CJ577" s="651"/>
      <c r="CK577" s="651"/>
      <c r="CL577" s="651"/>
      <c r="CM577" s="651"/>
      <c r="CN577" s="651"/>
      <c r="CO577" s="651"/>
      <c r="CP577" s="651"/>
      <c r="CQ577" s="651"/>
      <c r="CR577" s="651"/>
      <c r="CS577" s="654"/>
      <c r="CT577" s="654"/>
      <c r="CU577" s="654"/>
      <c r="CV577" s="654"/>
      <c r="CW577" s="654"/>
      <c r="CX577" s="654"/>
      <c r="CY577" s="654"/>
      <c r="CZ577" s="654"/>
      <c r="DA577" s="654"/>
      <c r="DB577" s="654"/>
      <c r="DC577" s="654"/>
      <c r="DD577" s="654"/>
    </row>
    <row r="578" s="659" customFormat="1" ht="31" customHeight="1" spans="1:108">
      <c r="A578" s="819">
        <v>46189</v>
      </c>
      <c r="B578" s="820" t="s">
        <v>386</v>
      </c>
      <c r="C578" s="821" t="s">
        <v>115</v>
      </c>
      <c r="D578" s="822" t="s">
        <v>5541</v>
      </c>
      <c r="E578" s="821" t="s">
        <v>5769</v>
      </c>
      <c r="F578" s="822" t="s">
        <v>5770</v>
      </c>
      <c r="G578" s="823" t="s">
        <v>3968</v>
      </c>
      <c r="H578" s="708" t="s">
        <v>3969</v>
      </c>
      <c r="I578" s="824">
        <v>2672</v>
      </c>
      <c r="J578" s="821">
        <v>0</v>
      </c>
      <c r="K578" s="821">
        <v>16</v>
      </c>
      <c r="L578" s="821">
        <f t="shared" si="109"/>
        <v>167</v>
      </c>
      <c r="M578" s="825">
        <v>46237</v>
      </c>
      <c r="N578" s="863">
        <v>46236</v>
      </c>
      <c r="O578" s="820"/>
      <c r="P578" s="824"/>
      <c r="Q578" s="824" t="s">
        <v>1241</v>
      </c>
      <c r="R578" s="827">
        <v>46189</v>
      </c>
      <c r="S578" s="828" t="s">
        <v>107</v>
      </c>
      <c r="T578" s="828" t="s">
        <v>5544</v>
      </c>
      <c r="U578" s="828"/>
      <c r="V578" s="829"/>
      <c r="W578" s="828"/>
      <c r="X578" s="828" t="s">
        <v>5545</v>
      </c>
      <c r="Y578" s="825" t="s">
        <v>557</v>
      </c>
      <c r="Z578" s="830">
        <v>2.8229</v>
      </c>
      <c r="AA578" s="822">
        <f t="shared" si="115"/>
        <v>7542.7888</v>
      </c>
      <c r="AB578" s="890" t="s">
        <v>5546</v>
      </c>
      <c r="AC578" s="916" t="s">
        <v>3968</v>
      </c>
      <c r="AD578" s="821" t="s">
        <v>112</v>
      </c>
      <c r="AE578" s="821">
        <f t="shared" si="110"/>
        <v>2672</v>
      </c>
      <c r="AF578" s="821"/>
      <c r="AG578" s="708">
        <v>2672</v>
      </c>
      <c r="AH578" s="833">
        <f t="shared" si="104"/>
        <v>0</v>
      </c>
      <c r="AI578" s="824"/>
      <c r="AJ578" s="708" t="s">
        <v>3981</v>
      </c>
      <c r="AK578" s="834">
        <f t="shared" si="116"/>
        <v>2672</v>
      </c>
      <c r="AL578" s="822"/>
      <c r="AM578" s="822"/>
      <c r="AN578" s="834">
        <f t="shared" si="112"/>
        <v>2672</v>
      </c>
      <c r="AO578" s="822"/>
      <c r="AP578" s="822"/>
      <c r="AQ578" s="822"/>
      <c r="AR578" s="822"/>
      <c r="AS578" s="822"/>
      <c r="AT578" s="822"/>
      <c r="AU578" s="834"/>
      <c r="AV578" s="834"/>
      <c r="AW578" s="834"/>
      <c r="AX578" s="822"/>
      <c r="AY578" s="822"/>
      <c r="AZ578" s="822"/>
      <c r="BA578" s="822"/>
      <c r="BB578" s="822"/>
      <c r="BC578" s="822"/>
      <c r="BD578" s="822"/>
      <c r="BE578" s="822"/>
      <c r="BF578" s="822"/>
      <c r="BG578" s="822"/>
      <c r="BH578" s="822"/>
      <c r="BI578" s="822"/>
    </row>
    <row r="579" s="650" customFormat="1" ht="31" customHeight="1" spans="1:108">
      <c r="A579" s="819">
        <v>46189</v>
      </c>
      <c r="B579" s="820" t="s">
        <v>386</v>
      </c>
      <c r="C579" s="821" t="s">
        <v>115</v>
      </c>
      <c r="D579" s="822" t="s">
        <v>5541</v>
      </c>
      <c r="E579" s="821" t="s">
        <v>5771</v>
      </c>
      <c r="F579" s="822" t="s">
        <v>5772</v>
      </c>
      <c r="G579" s="823" t="s">
        <v>3968</v>
      </c>
      <c r="H579" s="708" t="s">
        <v>3969</v>
      </c>
      <c r="I579" s="824">
        <v>3584</v>
      </c>
      <c r="J579" s="821">
        <v>0</v>
      </c>
      <c r="K579" s="821">
        <v>16</v>
      </c>
      <c r="L579" s="821">
        <f t="shared" si="109"/>
        <v>224</v>
      </c>
      <c r="M579" s="825">
        <v>46237</v>
      </c>
      <c r="N579" s="863">
        <v>46236</v>
      </c>
      <c r="O579" s="820"/>
      <c r="P579" s="824"/>
      <c r="Q579" s="824" t="s">
        <v>1241</v>
      </c>
      <c r="R579" s="827">
        <v>46189</v>
      </c>
      <c r="S579" s="828" t="s">
        <v>107</v>
      </c>
      <c r="T579" s="828" t="s">
        <v>5544</v>
      </c>
      <c r="U579" s="828"/>
      <c r="V579" s="829"/>
      <c r="W579" s="828"/>
      <c r="X579" s="828" t="s">
        <v>5545</v>
      </c>
      <c r="Y579" s="825" t="s">
        <v>557</v>
      </c>
      <c r="Z579" s="830">
        <v>2.8229</v>
      </c>
      <c r="AA579" s="822">
        <f t="shared" si="115"/>
        <v>10117.2736</v>
      </c>
      <c r="AB579" s="890" t="s">
        <v>5546</v>
      </c>
      <c r="AC579" s="916" t="s">
        <v>3968</v>
      </c>
      <c r="AD579" s="821" t="s">
        <v>112</v>
      </c>
      <c r="AE579" s="821">
        <f t="shared" si="110"/>
        <v>3584</v>
      </c>
      <c r="AF579" s="821"/>
      <c r="AG579" s="708">
        <v>3584</v>
      </c>
      <c r="AH579" s="833">
        <f t="shared" si="104"/>
        <v>0</v>
      </c>
      <c r="AI579" s="824"/>
      <c r="AJ579" s="708" t="s">
        <v>3981</v>
      </c>
      <c r="AK579" s="834">
        <f t="shared" si="116"/>
        <v>3584</v>
      </c>
      <c r="AL579" s="822"/>
      <c r="AM579" s="822"/>
      <c r="AN579" s="834">
        <f t="shared" si="112"/>
        <v>3584</v>
      </c>
      <c r="AO579" s="822"/>
      <c r="AP579" s="822"/>
      <c r="AQ579" s="822"/>
      <c r="AR579" s="822"/>
      <c r="AS579" s="822"/>
      <c r="AT579" s="822"/>
      <c r="AU579" s="834"/>
      <c r="AV579" s="834"/>
      <c r="AW579" s="834"/>
      <c r="AX579" s="822"/>
      <c r="AY579" s="822"/>
      <c r="AZ579" s="822"/>
      <c r="BA579" s="822"/>
      <c r="BB579" s="822"/>
      <c r="BC579" s="822"/>
      <c r="BD579" s="822"/>
      <c r="BE579" s="822"/>
      <c r="BF579" s="822"/>
      <c r="BG579" s="822"/>
      <c r="BH579" s="822"/>
      <c r="BI579" s="822"/>
      <c r="BJ579" s="659"/>
      <c r="BK579" s="659"/>
      <c r="BL579" s="659"/>
      <c r="BM579" s="659"/>
      <c r="BN579" s="659"/>
      <c r="BO579" s="659"/>
      <c r="BP579" s="659"/>
      <c r="BQ579" s="659"/>
      <c r="BR579" s="659"/>
      <c r="BS579" s="659"/>
      <c r="BT579" s="659"/>
      <c r="BU579" s="659"/>
      <c r="BV579" s="659"/>
      <c r="BW579" s="659"/>
      <c r="BX579" s="659"/>
      <c r="BY579" s="659"/>
      <c r="BZ579" s="659"/>
      <c r="CA579" s="659"/>
      <c r="CB579" s="659"/>
      <c r="CC579" s="659"/>
      <c r="CD579" s="659"/>
      <c r="CE579" s="659"/>
      <c r="CF579" s="659"/>
      <c r="CG579" s="659"/>
      <c r="CH579" s="659"/>
      <c r="CI579" s="659"/>
      <c r="CJ579" s="659"/>
      <c r="CK579" s="659"/>
      <c r="CL579" s="659"/>
      <c r="CM579" s="659"/>
      <c r="CN579" s="659"/>
      <c r="CO579" s="659"/>
      <c r="CP579" s="659"/>
      <c r="CQ579" s="659"/>
      <c r="CR579" s="659"/>
      <c r="CS579" s="659"/>
      <c r="CT579" s="659"/>
      <c r="CU579" s="659"/>
      <c r="CV579" s="659"/>
      <c r="CW579" s="659"/>
      <c r="CX579" s="659"/>
      <c r="CY579" s="659"/>
      <c r="CZ579" s="659"/>
      <c r="DA579" s="659"/>
      <c r="DB579" s="659"/>
      <c r="DC579" s="659"/>
      <c r="DD579" s="659"/>
    </row>
    <row r="580" s="662" customFormat="1" ht="31" customHeight="1" spans="1:108">
      <c r="A580" s="819">
        <v>46189</v>
      </c>
      <c r="B580" s="820" t="s">
        <v>386</v>
      </c>
      <c r="C580" s="821" t="s">
        <v>115</v>
      </c>
      <c r="D580" s="822" t="s">
        <v>5541</v>
      </c>
      <c r="E580" s="821" t="s">
        <v>5773</v>
      </c>
      <c r="F580" s="822" t="s">
        <v>5774</v>
      </c>
      <c r="G580" s="823" t="s">
        <v>3968</v>
      </c>
      <c r="H580" s="708" t="s">
        <v>3969</v>
      </c>
      <c r="I580" s="824">
        <v>3936</v>
      </c>
      <c r="J580" s="821">
        <v>0</v>
      </c>
      <c r="K580" s="821">
        <v>16</v>
      </c>
      <c r="L580" s="821">
        <f t="shared" si="109"/>
        <v>246</v>
      </c>
      <c r="M580" s="825">
        <v>46237</v>
      </c>
      <c r="N580" s="863">
        <v>46236</v>
      </c>
      <c r="O580" s="820"/>
      <c r="P580" s="824"/>
      <c r="Q580" s="824" t="s">
        <v>1241</v>
      </c>
      <c r="R580" s="827">
        <v>46189</v>
      </c>
      <c r="S580" s="828" t="s">
        <v>107</v>
      </c>
      <c r="T580" s="828" t="s">
        <v>5544</v>
      </c>
      <c r="U580" s="828"/>
      <c r="V580" s="829"/>
      <c r="W580" s="828"/>
      <c r="X580" s="828" t="s">
        <v>5545</v>
      </c>
      <c r="Y580" s="825" t="s">
        <v>557</v>
      </c>
      <c r="Z580" s="830">
        <v>2.8292</v>
      </c>
      <c r="AA580" s="822">
        <f t="shared" si="115"/>
        <v>11135.7312</v>
      </c>
      <c r="AB580" s="890" t="s">
        <v>5546</v>
      </c>
      <c r="AC580" s="820" t="s">
        <v>3968</v>
      </c>
      <c r="AD580" s="821" t="s">
        <v>112</v>
      </c>
      <c r="AE580" s="821">
        <f t="shared" si="110"/>
        <v>3936</v>
      </c>
      <c r="AF580" s="821"/>
      <c r="AG580" s="708">
        <v>3936</v>
      </c>
      <c r="AH580" s="833">
        <f t="shared" si="104"/>
        <v>0</v>
      </c>
      <c r="AI580" s="824"/>
      <c r="AJ580" s="708" t="s">
        <v>3981</v>
      </c>
      <c r="AK580" s="834">
        <f t="shared" si="116"/>
        <v>3936</v>
      </c>
      <c r="AL580" s="822"/>
      <c r="AM580" s="822"/>
      <c r="AN580" s="834">
        <f t="shared" si="112"/>
        <v>3936</v>
      </c>
      <c r="AO580" s="822"/>
      <c r="AP580" s="822"/>
      <c r="AQ580" s="822"/>
      <c r="AR580" s="822"/>
      <c r="AS580" s="822"/>
      <c r="AT580" s="822"/>
      <c r="AU580" s="834"/>
      <c r="AV580" s="834"/>
      <c r="AW580" s="834"/>
      <c r="AX580" s="822"/>
      <c r="AY580" s="822"/>
      <c r="AZ580" s="822"/>
      <c r="BA580" s="822"/>
      <c r="BB580" s="822"/>
      <c r="BC580" s="822"/>
      <c r="BD580" s="822"/>
      <c r="BE580" s="822"/>
      <c r="BF580" s="822"/>
      <c r="BG580" s="822"/>
      <c r="BH580" s="822"/>
      <c r="BI580" s="822"/>
      <c r="BJ580" s="659"/>
      <c r="BK580" s="659"/>
      <c r="BL580" s="659"/>
      <c r="BM580" s="659"/>
      <c r="BN580" s="659"/>
      <c r="BO580" s="659"/>
      <c r="BP580" s="659"/>
      <c r="BQ580" s="659"/>
      <c r="BR580" s="659"/>
      <c r="BS580" s="659"/>
      <c r="BT580" s="659"/>
      <c r="BU580" s="659"/>
      <c r="BV580" s="659"/>
      <c r="BW580" s="659"/>
      <c r="BX580" s="659"/>
      <c r="BY580" s="659"/>
      <c r="BZ580" s="659"/>
      <c r="CA580" s="659"/>
      <c r="CB580" s="659"/>
      <c r="CC580" s="659"/>
      <c r="CD580" s="659"/>
      <c r="CE580" s="659"/>
      <c r="CF580" s="659"/>
      <c r="CG580" s="659"/>
      <c r="CH580" s="659"/>
      <c r="CI580" s="659"/>
      <c r="CJ580" s="659"/>
      <c r="CK580" s="659"/>
      <c r="CL580" s="659"/>
      <c r="CM580" s="659"/>
      <c r="CN580" s="659"/>
      <c r="CO580" s="659"/>
      <c r="CP580" s="659"/>
      <c r="CQ580" s="659"/>
      <c r="CR580" s="659"/>
      <c r="CS580" s="659"/>
      <c r="CT580" s="659"/>
      <c r="CU580" s="659"/>
      <c r="CV580" s="659"/>
      <c r="CW580" s="659"/>
      <c r="CX580" s="659"/>
      <c r="CY580" s="659"/>
      <c r="CZ580" s="659"/>
      <c r="DA580" s="659"/>
      <c r="DB580" s="659"/>
      <c r="DC580" s="659"/>
      <c r="DD580" s="659"/>
    </row>
    <row r="581" s="650" customFormat="1" ht="31" customHeight="1" spans="1:108">
      <c r="A581" s="713">
        <v>46183</v>
      </c>
      <c r="B581" s="714" t="s">
        <v>706</v>
      </c>
      <c r="C581" s="715" t="s">
        <v>201</v>
      </c>
      <c r="D581" s="652" t="s">
        <v>5775</v>
      </c>
      <c r="E581" s="1907" t="s">
        <v>5776</v>
      </c>
      <c r="F581" s="652" t="s">
        <v>5777</v>
      </c>
      <c r="G581" s="716" t="s">
        <v>3980</v>
      </c>
      <c r="H581" s="715" t="s">
        <v>3978</v>
      </c>
      <c r="I581" s="717">
        <v>3216</v>
      </c>
      <c r="J581" s="715">
        <v>0</v>
      </c>
      <c r="K581" s="715">
        <v>8</v>
      </c>
      <c r="L581" s="715">
        <f t="shared" si="109"/>
        <v>402</v>
      </c>
      <c r="M581" s="719">
        <v>46237</v>
      </c>
      <c r="N581" s="738">
        <v>46237</v>
      </c>
      <c r="O581" s="714"/>
      <c r="P581" s="717" t="s">
        <v>1410</v>
      </c>
      <c r="Q581" s="717" t="s">
        <v>1195</v>
      </c>
      <c r="R581" s="734">
        <v>46183</v>
      </c>
      <c r="S581" s="720" t="s">
        <v>107</v>
      </c>
      <c r="T581" s="720" t="s">
        <v>5778</v>
      </c>
      <c r="U581" s="720"/>
      <c r="V581" s="720"/>
      <c r="W581" s="720"/>
      <c r="X581" s="720" t="s">
        <v>5779</v>
      </c>
      <c r="Y581" s="719" t="s">
        <v>711</v>
      </c>
      <c r="Z581" s="730">
        <v>4.659</v>
      </c>
      <c r="AA581" s="652">
        <f t="shared" si="115"/>
        <v>14983.344</v>
      </c>
      <c r="AB581" s="721"/>
      <c r="AC581" s="722" t="s">
        <v>4031</v>
      </c>
      <c r="AD581" s="715" t="s">
        <v>112</v>
      </c>
      <c r="AE581" s="715">
        <f t="shared" si="110"/>
        <v>3216</v>
      </c>
      <c r="AF581" s="715"/>
      <c r="AG581" s="715">
        <v>3216</v>
      </c>
      <c r="AH581" s="715">
        <f t="shared" si="104"/>
        <v>0</v>
      </c>
      <c r="AI581" s="717"/>
      <c r="AJ581" s="715" t="s">
        <v>3981</v>
      </c>
      <c r="AK581" s="652"/>
      <c r="AL581" s="652">
        <f>I581</f>
        <v>3216</v>
      </c>
      <c r="AM581" s="652"/>
      <c r="AN581" s="652">
        <f t="shared" si="112"/>
        <v>3216</v>
      </c>
      <c r="AO581" s="652"/>
      <c r="AP581" s="652"/>
      <c r="AQ581" s="652"/>
      <c r="AR581" s="652"/>
      <c r="AS581" s="652"/>
      <c r="AT581" s="652"/>
      <c r="AU581" s="652">
        <f>I581/8</f>
        <v>402</v>
      </c>
      <c r="AV581" s="652"/>
      <c r="AW581" s="652"/>
      <c r="AX581" s="652"/>
      <c r="AY581" s="652"/>
      <c r="AZ581" s="652"/>
      <c r="BA581" s="652"/>
      <c r="BB581" s="652"/>
      <c r="BC581" s="652"/>
      <c r="BD581" s="652"/>
      <c r="BE581" s="652"/>
      <c r="BF581" s="652"/>
      <c r="BG581" s="652"/>
      <c r="BH581" s="652"/>
      <c r="BI581" s="652"/>
      <c r="CS581" s="651"/>
      <c r="CT581" s="651"/>
      <c r="CU581" s="651"/>
      <c r="CV581" s="651"/>
      <c r="CW581" s="651"/>
      <c r="CX581" s="651"/>
      <c r="CY581" s="651"/>
      <c r="CZ581" s="651"/>
      <c r="DA581" s="651"/>
      <c r="DB581" s="651"/>
      <c r="DC581" s="651"/>
      <c r="DD581" s="651"/>
    </row>
    <row r="582" s="656" customFormat="1" ht="31" customHeight="1" spans="1:108">
      <c r="A582" s="806">
        <v>46182</v>
      </c>
      <c r="B582" s="807" t="s">
        <v>521</v>
      </c>
      <c r="C582" s="808" t="s">
        <v>101</v>
      </c>
      <c r="D582" s="656">
        <v>4500209731</v>
      </c>
      <c r="E582" s="808">
        <v>21738303</v>
      </c>
      <c r="F582" s="656" t="s">
        <v>5780</v>
      </c>
      <c r="G582" s="809" t="s">
        <v>3980</v>
      </c>
      <c r="H582" s="808" t="s">
        <v>3978</v>
      </c>
      <c r="I582" s="810">
        <v>104</v>
      </c>
      <c r="J582" s="808">
        <v>0</v>
      </c>
      <c r="K582" s="808">
        <v>8</v>
      </c>
      <c r="L582" s="808">
        <f t="shared" si="109"/>
        <v>13</v>
      </c>
      <c r="M582" s="811">
        <v>46237</v>
      </c>
      <c r="N582" s="738">
        <v>46238</v>
      </c>
      <c r="O582" s="714"/>
      <c r="P582" s="717" t="s">
        <v>1410</v>
      </c>
      <c r="Q582" s="810"/>
      <c r="R582" s="734">
        <v>46204</v>
      </c>
      <c r="S582" s="720" t="s">
        <v>107</v>
      </c>
      <c r="T582" s="720" t="s">
        <v>5781</v>
      </c>
      <c r="U582" s="735"/>
      <c r="V582" s="813" t="s">
        <v>4764</v>
      </c>
      <c r="W582" s="813"/>
      <c r="X582" s="720" t="s">
        <v>5782</v>
      </c>
      <c r="Y582" s="811" t="s">
        <v>362</v>
      </c>
      <c r="Z582" s="814">
        <v>4.7893</v>
      </c>
      <c r="AA582" s="656">
        <f t="shared" si="115"/>
        <v>498.0872</v>
      </c>
      <c r="AB582" s="780"/>
      <c r="AC582" s="815" t="s">
        <v>3980</v>
      </c>
      <c r="AD582" s="771" t="s">
        <v>112</v>
      </c>
      <c r="AE582" s="808">
        <f t="shared" si="110"/>
        <v>104</v>
      </c>
      <c r="AF582" s="808" t="s">
        <v>5125</v>
      </c>
      <c r="AG582" s="808">
        <v>104</v>
      </c>
      <c r="AH582" s="715">
        <f t="shared" si="104"/>
        <v>0</v>
      </c>
      <c r="AI582" s="810"/>
      <c r="AJ582" s="715" t="s">
        <v>3981</v>
      </c>
      <c r="AK582" s="774">
        <f>I582</f>
        <v>104</v>
      </c>
      <c r="AL582" s="774"/>
      <c r="AM582" s="774"/>
      <c r="AN582" s="774">
        <f t="shared" si="112"/>
        <v>104</v>
      </c>
      <c r="AP582" s="774"/>
      <c r="AQ582" s="652"/>
      <c r="AR582" s="652"/>
      <c r="AS582" s="652"/>
      <c r="AT582" s="656"/>
      <c r="AU582" s="656"/>
      <c r="AV582" s="656"/>
      <c r="AW582" s="656"/>
      <c r="AX582" s="656">
        <f>I582/8</f>
        <v>13</v>
      </c>
      <c r="BI582" s="774"/>
    </row>
    <row r="583" s="650" customFormat="1" ht="31" customHeight="1" spans="1:108">
      <c r="A583" s="713">
        <v>46182</v>
      </c>
      <c r="B583" s="714" t="s">
        <v>525</v>
      </c>
      <c r="C583" s="715" t="s">
        <v>508</v>
      </c>
      <c r="D583" s="652">
        <v>4500209728</v>
      </c>
      <c r="E583" s="715">
        <v>21738300</v>
      </c>
      <c r="F583" s="652" t="s">
        <v>5783</v>
      </c>
      <c r="G583" s="716" t="s">
        <v>3980</v>
      </c>
      <c r="H583" s="715" t="s">
        <v>3978</v>
      </c>
      <c r="I583" s="717">
        <v>1400</v>
      </c>
      <c r="J583" s="715">
        <v>0</v>
      </c>
      <c r="K583" s="715">
        <v>8</v>
      </c>
      <c r="L583" s="715">
        <f t="shared" si="109"/>
        <v>175</v>
      </c>
      <c r="M583" s="719">
        <v>46237</v>
      </c>
      <c r="N583" s="738">
        <v>46238</v>
      </c>
      <c r="O583" s="714"/>
      <c r="P583" s="717" t="s">
        <v>1410</v>
      </c>
      <c r="Q583" s="717"/>
      <c r="R583" s="723">
        <v>46204</v>
      </c>
      <c r="S583" s="720" t="s">
        <v>107</v>
      </c>
      <c r="T583" s="720" t="s">
        <v>5781</v>
      </c>
      <c r="U583" s="720"/>
      <c r="V583" s="720" t="s">
        <v>4764</v>
      </c>
      <c r="W583" s="720"/>
      <c r="X583" s="720" t="s">
        <v>5784</v>
      </c>
      <c r="Y583" s="719" t="s">
        <v>362</v>
      </c>
      <c r="Z583" s="730">
        <v>4.7788</v>
      </c>
      <c r="AA583" s="652">
        <f t="shared" si="115"/>
        <v>6690.32</v>
      </c>
      <c r="AB583" s="721"/>
      <c r="AC583" s="747" t="s">
        <v>3980</v>
      </c>
      <c r="AD583" s="715" t="s">
        <v>112</v>
      </c>
      <c r="AE583" s="715">
        <f t="shared" si="110"/>
        <v>1400</v>
      </c>
      <c r="AF583" s="715" t="s">
        <v>5125</v>
      </c>
      <c r="AG583" s="715">
        <v>1400</v>
      </c>
      <c r="AH583" s="715">
        <f t="shared" si="104"/>
        <v>0</v>
      </c>
      <c r="AI583" s="717"/>
      <c r="AJ583" s="715" t="s">
        <v>3981</v>
      </c>
      <c r="AK583" s="652">
        <f>I583</f>
        <v>1400</v>
      </c>
      <c r="AL583" s="652"/>
      <c r="AM583" s="652"/>
      <c r="AN583" s="652">
        <f t="shared" si="112"/>
        <v>1400</v>
      </c>
      <c r="AO583" s="652"/>
      <c r="AP583" s="652"/>
      <c r="AQ583" s="652"/>
      <c r="AR583" s="652"/>
      <c r="AS583" s="652"/>
      <c r="AT583" s="652"/>
      <c r="AU583" s="652"/>
      <c r="AV583" s="652"/>
      <c r="AW583" s="652"/>
      <c r="AX583" s="652">
        <f>I583/8</f>
        <v>175</v>
      </c>
      <c r="AY583" s="652"/>
      <c r="AZ583" s="652"/>
      <c r="BA583" s="652"/>
      <c r="BB583" s="652"/>
      <c r="BC583" s="652"/>
      <c r="BD583" s="652"/>
      <c r="BE583" s="652"/>
      <c r="BF583" s="652"/>
      <c r="BG583" s="652"/>
      <c r="BH583" s="652"/>
      <c r="BI583" s="652"/>
    </row>
    <row r="584" s="654" customFormat="1" ht="31" customHeight="1" spans="1:108">
      <c r="A584" s="713">
        <v>46157</v>
      </c>
      <c r="B584" s="714" t="s">
        <v>2373</v>
      </c>
      <c r="C584" s="715" t="s">
        <v>101</v>
      </c>
      <c r="D584" s="652" t="s">
        <v>5592</v>
      </c>
      <c r="E584" s="715" t="s">
        <v>5785</v>
      </c>
      <c r="F584" s="652" t="s">
        <v>2723</v>
      </c>
      <c r="G584" s="716" t="s">
        <v>5786</v>
      </c>
      <c r="H584" s="715" t="s">
        <v>804</v>
      </c>
      <c r="I584" s="717">
        <v>378</v>
      </c>
      <c r="J584" s="715">
        <v>0</v>
      </c>
      <c r="K584" s="715">
        <v>6</v>
      </c>
      <c r="L584" s="715">
        <f t="shared" si="109"/>
        <v>63</v>
      </c>
      <c r="M584" s="719">
        <v>46237</v>
      </c>
      <c r="N584" s="738">
        <v>46238</v>
      </c>
      <c r="O584" s="714"/>
      <c r="P584" s="717" t="s">
        <v>1410</v>
      </c>
      <c r="Q584" s="717"/>
      <c r="R584" s="723">
        <v>46195</v>
      </c>
      <c r="S584" s="720" t="s">
        <v>107</v>
      </c>
      <c r="T584" s="720" t="s">
        <v>5787</v>
      </c>
      <c r="U584" s="720"/>
      <c r="V584" s="720" t="s">
        <v>4764</v>
      </c>
      <c r="W584" s="720"/>
      <c r="X584" s="798" t="s">
        <v>2726</v>
      </c>
      <c r="Y584" s="719" t="s">
        <v>2378</v>
      </c>
      <c r="Z584" s="730">
        <v>8.5</v>
      </c>
      <c r="AA584" s="652">
        <f>L584*Z584</f>
        <v>535.5</v>
      </c>
      <c r="AB584" s="721"/>
      <c r="AC584" s="716" t="s">
        <v>2727</v>
      </c>
      <c r="AD584" s="715" t="s">
        <v>112</v>
      </c>
      <c r="AE584" s="715">
        <f t="shared" si="110"/>
        <v>378</v>
      </c>
      <c r="AF584" s="715"/>
      <c r="AG584" s="715">
        <v>378</v>
      </c>
      <c r="AH584" s="715">
        <f t="shared" si="104"/>
        <v>0</v>
      </c>
      <c r="AI584" s="717"/>
      <c r="AJ584" s="715" t="s">
        <v>3981</v>
      </c>
      <c r="AK584" s="652"/>
      <c r="AL584" s="652"/>
      <c r="AM584" s="652"/>
      <c r="AN584" s="652">
        <f t="shared" si="112"/>
        <v>378</v>
      </c>
      <c r="AO584" s="652"/>
      <c r="AP584" s="652"/>
      <c r="AQ584" s="652"/>
      <c r="AR584" s="652"/>
      <c r="AS584" s="652"/>
      <c r="AT584" s="652"/>
      <c r="AU584" s="652"/>
      <c r="AV584" s="652"/>
      <c r="AW584" s="652"/>
      <c r="AX584" s="652"/>
      <c r="AY584" s="652"/>
      <c r="AZ584" s="652"/>
      <c r="BA584" s="652"/>
      <c r="BB584" s="652"/>
      <c r="BC584" s="652"/>
      <c r="BD584" s="652"/>
      <c r="BE584" s="652"/>
      <c r="BF584" s="652"/>
      <c r="BG584" s="652"/>
      <c r="BH584" s="652"/>
      <c r="BI584" s="652">
        <f>I584</f>
        <v>378</v>
      </c>
      <c r="BJ584" s="650"/>
      <c r="BK584" s="650"/>
      <c r="BL584" s="650"/>
      <c r="BM584" s="650"/>
      <c r="BN584" s="650"/>
      <c r="BO584" s="650"/>
      <c r="BP584" s="650"/>
      <c r="BQ584" s="650"/>
      <c r="BR584" s="650"/>
      <c r="BS584" s="650"/>
      <c r="BT584" s="650"/>
      <c r="BU584" s="650"/>
      <c r="BV584" s="650"/>
      <c r="BW584" s="650"/>
      <c r="BX584" s="650"/>
      <c r="BY584" s="650"/>
      <c r="BZ584" s="650"/>
      <c r="CA584" s="650"/>
      <c r="CB584" s="650"/>
      <c r="CC584" s="650"/>
      <c r="CD584" s="650"/>
      <c r="CE584" s="650"/>
      <c r="CF584" s="650"/>
      <c r="CG584" s="650"/>
      <c r="CH584" s="650"/>
      <c r="CI584" s="650"/>
      <c r="CJ584" s="650"/>
      <c r="CK584" s="650"/>
      <c r="CL584" s="650"/>
      <c r="CM584" s="650"/>
      <c r="CN584" s="650"/>
      <c r="CO584" s="650"/>
      <c r="CP584" s="650"/>
      <c r="CQ584" s="650"/>
      <c r="CR584" s="650"/>
      <c r="CS584" s="650"/>
      <c r="CT584" s="650"/>
      <c r="CU584" s="650"/>
      <c r="CV584" s="650"/>
      <c r="CW584" s="650"/>
      <c r="CX584" s="650"/>
      <c r="CY584" s="650"/>
      <c r="CZ584" s="650"/>
      <c r="DA584" s="650"/>
      <c r="DB584" s="650"/>
      <c r="DC584" s="650"/>
      <c r="DD584" s="650"/>
    </row>
    <row r="585" s="650" customFormat="1" ht="31" customHeight="1" spans="1:108">
      <c r="A585" s="713">
        <v>46157</v>
      </c>
      <c r="B585" s="714" t="s">
        <v>2379</v>
      </c>
      <c r="C585" s="715" t="s">
        <v>508</v>
      </c>
      <c r="D585" s="652" t="s">
        <v>5597</v>
      </c>
      <c r="E585" s="715" t="s">
        <v>5788</v>
      </c>
      <c r="F585" s="652" t="s">
        <v>2728</v>
      </c>
      <c r="G585" s="716" t="s">
        <v>5786</v>
      </c>
      <c r="H585" s="715" t="s">
        <v>804</v>
      </c>
      <c r="I585" s="717">
        <v>4626</v>
      </c>
      <c r="J585" s="715">
        <v>0</v>
      </c>
      <c r="K585" s="715">
        <v>6</v>
      </c>
      <c r="L585" s="715">
        <f t="shared" si="109"/>
        <v>771</v>
      </c>
      <c r="M585" s="719">
        <v>46237</v>
      </c>
      <c r="N585" s="738">
        <v>46238</v>
      </c>
      <c r="O585" s="714"/>
      <c r="P585" s="717" t="s">
        <v>1410</v>
      </c>
      <c r="Q585" s="717"/>
      <c r="R585" s="723">
        <v>46195</v>
      </c>
      <c r="S585" s="720" t="s">
        <v>107</v>
      </c>
      <c r="T585" s="720" t="s">
        <v>5787</v>
      </c>
      <c r="U585" s="720"/>
      <c r="V585" s="720" t="s">
        <v>4764</v>
      </c>
      <c r="W585" s="720"/>
      <c r="X585" s="732" t="s">
        <v>2730</v>
      </c>
      <c r="Y585" s="719" t="s">
        <v>2378</v>
      </c>
      <c r="Z585" s="730">
        <v>8.5</v>
      </c>
      <c r="AA585" s="652">
        <f>L585*Z585</f>
        <v>6553.5</v>
      </c>
      <c r="AB585" s="721"/>
      <c r="AC585" s="716" t="s">
        <v>2727</v>
      </c>
      <c r="AD585" s="715" t="s">
        <v>112</v>
      </c>
      <c r="AE585" s="715">
        <f t="shared" si="110"/>
        <v>4626</v>
      </c>
      <c r="AF585" s="715"/>
      <c r="AG585" s="715">
        <v>4626</v>
      </c>
      <c r="AH585" s="715">
        <f t="shared" si="104"/>
        <v>0</v>
      </c>
      <c r="AI585" s="717"/>
      <c r="AJ585" s="715" t="s">
        <v>3981</v>
      </c>
      <c r="AK585" s="652"/>
      <c r="AL585" s="652"/>
      <c r="AM585" s="652"/>
      <c r="AN585" s="652">
        <f t="shared" si="112"/>
        <v>4626</v>
      </c>
      <c r="AO585" s="652"/>
      <c r="AP585" s="652"/>
      <c r="AQ585" s="652"/>
      <c r="AR585" s="652"/>
      <c r="AS585" s="652"/>
      <c r="AT585" s="652"/>
      <c r="AU585" s="652"/>
      <c r="AV585" s="652"/>
      <c r="AW585" s="652"/>
      <c r="AX585" s="652"/>
      <c r="AY585" s="652"/>
      <c r="AZ585" s="652"/>
      <c r="BA585" s="652"/>
      <c r="BB585" s="652"/>
      <c r="BC585" s="652"/>
      <c r="BD585" s="652"/>
      <c r="BE585" s="652"/>
      <c r="BF585" s="652"/>
      <c r="BG585" s="652"/>
      <c r="BH585" s="652"/>
      <c r="BI585" s="652">
        <f>I585</f>
        <v>4626</v>
      </c>
    </row>
    <row r="586" s="650" customFormat="1" ht="31" customHeight="1" spans="1:108">
      <c r="A586" s="859">
        <v>46115</v>
      </c>
      <c r="B586" s="860" t="s">
        <v>2382</v>
      </c>
      <c r="C586" s="708" t="s">
        <v>201</v>
      </c>
      <c r="D586" s="834">
        <v>4500200043</v>
      </c>
      <c r="E586" s="1911" t="s">
        <v>5789</v>
      </c>
      <c r="F586" s="834" t="s">
        <v>2383</v>
      </c>
      <c r="G586" s="846" t="s">
        <v>4215</v>
      </c>
      <c r="H586" s="708" t="s">
        <v>483</v>
      </c>
      <c r="I586" s="861">
        <v>4320</v>
      </c>
      <c r="J586" s="708">
        <v>0</v>
      </c>
      <c r="K586" s="708">
        <v>120</v>
      </c>
      <c r="L586" s="708">
        <f t="shared" si="109"/>
        <v>36</v>
      </c>
      <c r="M586" s="862">
        <v>46238</v>
      </c>
      <c r="N586" s="862">
        <v>46234</v>
      </c>
      <c r="O586" s="824" t="s">
        <v>5790</v>
      </c>
      <c r="P586" s="861"/>
      <c r="Q586" s="824" t="s">
        <v>2893</v>
      </c>
      <c r="R586" s="827" t="s">
        <v>5791</v>
      </c>
      <c r="S586" s="829" t="s">
        <v>107</v>
      </c>
      <c r="T586" s="829" t="s">
        <v>95</v>
      </c>
      <c r="U586" s="829"/>
      <c r="V586" s="829"/>
      <c r="W586" s="829"/>
      <c r="X586" s="894" t="s">
        <v>5792</v>
      </c>
      <c r="Y586" s="862" t="s">
        <v>488</v>
      </c>
      <c r="Z586" s="866">
        <v>1070</v>
      </c>
      <c r="AA586" s="834">
        <f>L586*Z586</f>
        <v>38520</v>
      </c>
      <c r="AB586" s="831"/>
      <c r="AC586" s="887" t="s">
        <v>490</v>
      </c>
      <c r="AD586" s="708" t="s">
        <v>112</v>
      </c>
      <c r="AE586" s="708">
        <f t="shared" si="110"/>
        <v>4320</v>
      </c>
      <c r="AF586" s="708"/>
      <c r="AG586" s="708">
        <f>950+1495+734+951+190</f>
        <v>4320</v>
      </c>
      <c r="AH586" s="833">
        <f t="shared" si="104"/>
        <v>0</v>
      </c>
      <c r="AI586" s="861"/>
      <c r="AJ586" s="708" t="s">
        <v>3981</v>
      </c>
      <c r="AK586" s="834"/>
      <c r="AL586" s="834"/>
      <c r="AM586" s="834"/>
      <c r="AN586" s="834"/>
      <c r="AO586" s="834"/>
      <c r="AP586" s="834"/>
      <c r="AQ586" s="834">
        <f>I586</f>
        <v>4320</v>
      </c>
      <c r="AR586" s="834">
        <f>I586</f>
        <v>4320</v>
      </c>
      <c r="AS586" s="834">
        <f>I586/6</f>
        <v>720</v>
      </c>
      <c r="AT586" s="834"/>
      <c r="AU586" s="834"/>
      <c r="AV586" s="834"/>
      <c r="AW586" s="834"/>
      <c r="AX586" s="834"/>
      <c r="AY586" s="834"/>
      <c r="AZ586" s="834"/>
      <c r="BA586" s="834"/>
      <c r="BB586" s="834"/>
      <c r="BC586" s="834"/>
      <c r="BD586" s="834"/>
      <c r="BE586" s="834"/>
      <c r="BF586" s="834"/>
      <c r="BG586" s="834"/>
      <c r="BH586" s="834"/>
      <c r="BI586" s="834"/>
      <c r="BJ586" s="659"/>
      <c r="BK586" s="659"/>
      <c r="BL586" s="659"/>
      <c r="BM586" s="659"/>
      <c r="BN586" s="659"/>
      <c r="BO586" s="659"/>
      <c r="BP586" s="659"/>
      <c r="BQ586" s="659"/>
      <c r="BR586" s="659"/>
      <c r="BS586" s="659"/>
      <c r="BT586" s="659"/>
      <c r="BU586" s="659"/>
      <c r="BV586" s="659"/>
      <c r="BW586" s="659"/>
      <c r="BX586" s="659"/>
      <c r="BY586" s="659"/>
      <c r="BZ586" s="659"/>
      <c r="CA586" s="659"/>
      <c r="CB586" s="659"/>
      <c r="CC586" s="659"/>
      <c r="CD586" s="659"/>
      <c r="CE586" s="659"/>
      <c r="CF586" s="659"/>
      <c r="CG586" s="659"/>
      <c r="CH586" s="659"/>
      <c r="CI586" s="659"/>
      <c r="CJ586" s="659"/>
      <c r="CK586" s="659"/>
      <c r="CL586" s="659"/>
      <c r="CM586" s="659"/>
      <c r="CN586" s="659"/>
      <c r="CO586" s="659"/>
      <c r="CP586" s="659"/>
      <c r="CQ586" s="659"/>
      <c r="CR586" s="659"/>
      <c r="CS586" s="659"/>
      <c r="CT586" s="659"/>
      <c r="CU586" s="659"/>
      <c r="CV586" s="659"/>
      <c r="CW586" s="659"/>
      <c r="CX586" s="659"/>
      <c r="CY586" s="659"/>
      <c r="CZ586" s="659"/>
      <c r="DA586" s="659"/>
      <c r="DB586" s="659"/>
      <c r="DC586" s="659"/>
      <c r="DD586" s="659"/>
    </row>
    <row r="587" s="654" customFormat="1" ht="31" customHeight="1" spans="1:108">
      <c r="A587" s="713">
        <v>46164</v>
      </c>
      <c r="B587" s="714" t="s">
        <v>3760</v>
      </c>
      <c r="C587" s="715" t="s">
        <v>115</v>
      </c>
      <c r="D587" s="652" t="s">
        <v>5793</v>
      </c>
      <c r="E587" s="715" t="s">
        <v>5794</v>
      </c>
      <c r="F587" s="652" t="s">
        <v>5795</v>
      </c>
      <c r="G587" s="716" t="s">
        <v>3980</v>
      </c>
      <c r="H587" s="715" t="s">
        <v>3978</v>
      </c>
      <c r="I587" s="717">
        <v>10400</v>
      </c>
      <c r="J587" s="715">
        <v>0</v>
      </c>
      <c r="K587" s="715">
        <v>8</v>
      </c>
      <c r="L587" s="715">
        <f t="shared" si="109"/>
        <v>1300</v>
      </c>
      <c r="M587" s="719">
        <v>46238</v>
      </c>
      <c r="N587" s="738">
        <v>46235</v>
      </c>
      <c r="O587" s="714"/>
      <c r="P587" s="717" t="s">
        <v>1410</v>
      </c>
      <c r="Q587" s="717"/>
      <c r="R587" s="723">
        <v>46197</v>
      </c>
      <c r="S587" s="720" t="s">
        <v>107</v>
      </c>
      <c r="T587" s="720" t="s">
        <v>95</v>
      </c>
      <c r="U587" s="720"/>
      <c r="V587" s="720"/>
      <c r="W587" s="720"/>
      <c r="X587" s="720" t="s">
        <v>5796</v>
      </c>
      <c r="Y587" s="719" t="s">
        <v>5797</v>
      </c>
      <c r="Z587" s="730">
        <v>2.7799</v>
      </c>
      <c r="AA587" s="652">
        <f>I587*Z587</f>
        <v>28910.96</v>
      </c>
      <c r="AB587" s="729" t="s">
        <v>5798</v>
      </c>
      <c r="AC587" s="722" t="s">
        <v>3980</v>
      </c>
      <c r="AD587" s="715" t="s">
        <v>112</v>
      </c>
      <c r="AE587" s="715">
        <f t="shared" si="110"/>
        <v>10400</v>
      </c>
      <c r="AF587" s="715" t="s">
        <v>5125</v>
      </c>
      <c r="AG587" s="715" t="s">
        <v>120</v>
      </c>
      <c r="AH587" s="715" t="e">
        <f t="shared" si="104"/>
        <v>#VALUE!</v>
      </c>
      <c r="AI587" s="717" t="s">
        <v>95</v>
      </c>
      <c r="AJ587" s="715" t="s">
        <v>3981</v>
      </c>
      <c r="AK587" s="652">
        <f>I587</f>
        <v>10400</v>
      </c>
      <c r="AL587" s="652"/>
      <c r="AM587" s="652"/>
      <c r="AN587" s="652">
        <f>I587</f>
        <v>10400</v>
      </c>
      <c r="AO587" s="652"/>
      <c r="AP587" s="652"/>
      <c r="AQ587" s="652"/>
      <c r="AR587" s="652"/>
      <c r="AS587" s="652"/>
      <c r="AT587" s="652">
        <f>I587/8</f>
        <v>1300</v>
      </c>
      <c r="AU587" s="652"/>
      <c r="AV587" s="652"/>
      <c r="AW587" s="652"/>
      <c r="AX587" s="652"/>
      <c r="AY587" s="652"/>
      <c r="AZ587" s="652"/>
      <c r="BA587" s="652"/>
      <c r="BB587" s="652"/>
      <c r="BC587" s="652"/>
      <c r="BD587" s="652"/>
      <c r="BE587" s="652"/>
      <c r="BF587" s="652"/>
      <c r="BG587" s="652"/>
      <c r="BH587" s="652"/>
      <c r="BI587" s="652"/>
      <c r="BJ587" s="651"/>
      <c r="BK587" s="651"/>
      <c r="BL587" s="651"/>
      <c r="BM587" s="651"/>
      <c r="BN587" s="651"/>
      <c r="BO587" s="651"/>
      <c r="BP587" s="651"/>
      <c r="BQ587" s="651"/>
      <c r="BR587" s="651"/>
      <c r="BS587" s="651"/>
      <c r="BT587" s="651"/>
      <c r="BU587" s="651"/>
      <c r="BV587" s="651"/>
      <c r="BW587" s="651"/>
      <c r="BX587" s="651"/>
      <c r="BY587" s="651"/>
      <c r="BZ587" s="651"/>
      <c r="CA587" s="651"/>
      <c r="CB587" s="651"/>
      <c r="CC587" s="651"/>
      <c r="CD587" s="651"/>
      <c r="CE587" s="651"/>
      <c r="CF587" s="651"/>
      <c r="CG587" s="651"/>
      <c r="CH587" s="651"/>
      <c r="CI587" s="651"/>
      <c r="CJ587" s="651"/>
      <c r="CK587" s="651"/>
      <c r="CL587" s="651"/>
      <c r="CM587" s="651"/>
      <c r="CN587" s="651"/>
      <c r="CO587" s="651"/>
      <c r="CP587" s="651"/>
      <c r="CQ587" s="651"/>
      <c r="CR587" s="651"/>
      <c r="CS587" s="650"/>
      <c r="CT587" s="650"/>
      <c r="CU587" s="650"/>
      <c r="CV587" s="650"/>
      <c r="CW587" s="650"/>
      <c r="CX587" s="650"/>
      <c r="CY587" s="650"/>
      <c r="CZ587" s="650"/>
      <c r="DA587" s="650"/>
      <c r="DB587" s="650"/>
      <c r="DC587" s="650"/>
      <c r="DD587" s="650"/>
    </row>
    <row r="588" s="651" customFormat="1" ht="31" customHeight="1" spans="1:108">
      <c r="A588" s="713">
        <v>46164</v>
      </c>
      <c r="B588" s="714" t="s">
        <v>3760</v>
      </c>
      <c r="C588" s="715" t="s">
        <v>115</v>
      </c>
      <c r="D588" s="652" t="s">
        <v>5793</v>
      </c>
      <c r="E588" s="715" t="s">
        <v>5799</v>
      </c>
      <c r="F588" s="652" t="s">
        <v>5800</v>
      </c>
      <c r="G588" s="716" t="s">
        <v>3980</v>
      </c>
      <c r="H588" s="715" t="s">
        <v>3978</v>
      </c>
      <c r="I588" s="717">
        <v>5600</v>
      </c>
      <c r="J588" s="715">
        <v>0</v>
      </c>
      <c r="K588" s="715">
        <v>8</v>
      </c>
      <c r="L588" s="715">
        <f t="shared" si="109"/>
        <v>700</v>
      </c>
      <c r="M588" s="719">
        <v>46238</v>
      </c>
      <c r="N588" s="738">
        <v>46235</v>
      </c>
      <c r="O588" s="714"/>
      <c r="P588" s="717" t="s">
        <v>1410</v>
      </c>
      <c r="Q588" s="717"/>
      <c r="R588" s="723">
        <v>46197</v>
      </c>
      <c r="S588" s="720" t="s">
        <v>107</v>
      </c>
      <c r="T588" s="720" t="s">
        <v>95</v>
      </c>
      <c r="U588" s="720"/>
      <c r="V588" s="720"/>
      <c r="W588" s="720"/>
      <c r="X588" s="720" t="s">
        <v>5796</v>
      </c>
      <c r="Y588" s="719" t="s">
        <v>5797</v>
      </c>
      <c r="Z588" s="730">
        <v>2.8121</v>
      </c>
      <c r="AA588" s="652">
        <f>I588*Z588</f>
        <v>15747.76</v>
      </c>
      <c r="AB588" s="729" t="s">
        <v>5798</v>
      </c>
      <c r="AC588" s="722" t="s">
        <v>3980</v>
      </c>
      <c r="AD588" s="715" t="s">
        <v>112</v>
      </c>
      <c r="AE588" s="715">
        <f t="shared" si="110"/>
        <v>5600</v>
      </c>
      <c r="AF588" s="715" t="s">
        <v>5125</v>
      </c>
      <c r="AG588" s="715">
        <v>5600</v>
      </c>
      <c r="AH588" s="715">
        <f t="shared" si="104"/>
        <v>0</v>
      </c>
      <c r="AI588" s="717" t="s">
        <v>95</v>
      </c>
      <c r="AJ588" s="715" t="s">
        <v>3981</v>
      </c>
      <c r="AK588" s="652">
        <f>I588</f>
        <v>5600</v>
      </c>
      <c r="AL588" s="652"/>
      <c r="AM588" s="652"/>
      <c r="AN588" s="652">
        <f>I588</f>
        <v>5600</v>
      </c>
      <c r="AO588" s="652"/>
      <c r="AP588" s="652"/>
      <c r="AQ588" s="652"/>
      <c r="AR588" s="652"/>
      <c r="AS588" s="652"/>
      <c r="AT588" s="652">
        <f>I588/8</f>
        <v>700</v>
      </c>
      <c r="AU588" s="652"/>
      <c r="AV588" s="652"/>
      <c r="AW588" s="652"/>
      <c r="AX588" s="652"/>
      <c r="AY588" s="652"/>
      <c r="AZ588" s="652"/>
      <c r="BA588" s="652"/>
      <c r="BB588" s="652"/>
      <c r="BC588" s="652"/>
      <c r="BD588" s="652"/>
      <c r="BE588" s="652"/>
      <c r="BF588" s="652"/>
      <c r="BG588" s="652"/>
      <c r="BH588" s="652"/>
      <c r="BI588" s="652"/>
      <c r="BJ588" s="651"/>
      <c r="BK588" s="651"/>
      <c r="BL588" s="651"/>
      <c r="BM588" s="651"/>
      <c r="BN588" s="651"/>
      <c r="BO588" s="651"/>
      <c r="BP588" s="651"/>
      <c r="BQ588" s="651"/>
      <c r="BR588" s="651"/>
      <c r="BS588" s="651"/>
      <c r="BT588" s="651"/>
      <c r="BU588" s="651"/>
      <c r="BV588" s="651"/>
      <c r="BW588" s="651"/>
      <c r="BX588" s="651"/>
      <c r="BY588" s="651"/>
      <c r="BZ588" s="651"/>
      <c r="CA588" s="651"/>
      <c r="CB588" s="651"/>
      <c r="CC588" s="651"/>
      <c r="CD588" s="651"/>
      <c r="CE588" s="651"/>
      <c r="CF588" s="651"/>
      <c r="CG588" s="651"/>
      <c r="CH588" s="651"/>
      <c r="CI588" s="651"/>
      <c r="CJ588" s="651"/>
      <c r="CK588" s="651"/>
      <c r="CL588" s="651"/>
      <c r="CM588" s="651"/>
      <c r="CN588" s="651"/>
      <c r="CO588" s="651"/>
      <c r="CP588" s="651"/>
      <c r="CQ588" s="651"/>
      <c r="CR588" s="651"/>
      <c r="CS588" s="650"/>
      <c r="CT588" s="650"/>
      <c r="CU588" s="650"/>
      <c r="CV588" s="650"/>
      <c r="CW588" s="650"/>
      <c r="CX588" s="650"/>
      <c r="CY588" s="650"/>
      <c r="CZ588" s="650"/>
      <c r="DA588" s="650"/>
      <c r="DB588" s="650"/>
      <c r="DC588" s="650"/>
      <c r="DD588" s="650"/>
    </row>
    <row r="589" s="651" customFormat="1" ht="31" customHeight="1" spans="1:108">
      <c r="A589" s="713">
        <v>46176</v>
      </c>
      <c r="B589" s="714" t="s">
        <v>1950</v>
      </c>
      <c r="C589" s="715" t="s">
        <v>115</v>
      </c>
      <c r="D589" s="652">
        <v>4500210450</v>
      </c>
      <c r="E589" s="1907" t="s">
        <v>5801</v>
      </c>
      <c r="F589" s="652" t="s">
        <v>5802</v>
      </c>
      <c r="G589" s="716" t="s">
        <v>3980</v>
      </c>
      <c r="H589" s="715" t="s">
        <v>3978</v>
      </c>
      <c r="I589" s="717">
        <v>1752</v>
      </c>
      <c r="J589" s="715">
        <v>0</v>
      </c>
      <c r="K589" s="715">
        <v>8</v>
      </c>
      <c r="L589" s="715">
        <f t="shared" si="109"/>
        <v>219</v>
      </c>
      <c r="M589" s="719">
        <v>46238</v>
      </c>
      <c r="N589" s="738">
        <v>46235</v>
      </c>
      <c r="O589" s="714"/>
      <c r="P589" s="717" t="s">
        <v>1410</v>
      </c>
      <c r="Q589" s="717"/>
      <c r="R589" s="723">
        <v>46176</v>
      </c>
      <c r="S589" s="720" t="s">
        <v>107</v>
      </c>
      <c r="T589" s="720" t="s">
        <v>95</v>
      </c>
      <c r="U589" s="720"/>
      <c r="V589" s="720"/>
      <c r="W589" s="720"/>
      <c r="X589" s="720" t="s">
        <v>5803</v>
      </c>
      <c r="Y589" s="719" t="s">
        <v>1955</v>
      </c>
      <c r="Z589" s="730">
        <v>2.7954</v>
      </c>
      <c r="AA589" s="652">
        <f>I589*Z589</f>
        <v>4897.5408</v>
      </c>
      <c r="AB589" s="729" t="s">
        <v>5804</v>
      </c>
      <c r="AC589" s="722" t="s">
        <v>3980</v>
      </c>
      <c r="AD589" s="715" t="s">
        <v>112</v>
      </c>
      <c r="AE589" s="715">
        <f t="shared" si="110"/>
        <v>1752</v>
      </c>
      <c r="AF589" s="715" t="s">
        <v>5125</v>
      </c>
      <c r="AG589" s="715" t="s">
        <v>120</v>
      </c>
      <c r="AH589" s="715" t="e">
        <f t="shared" si="104"/>
        <v>#VALUE!</v>
      </c>
      <c r="AI589" s="717" t="s">
        <v>95</v>
      </c>
      <c r="AJ589" s="715" t="s">
        <v>3981</v>
      </c>
      <c r="AK589" s="652">
        <f>I589</f>
        <v>1752</v>
      </c>
      <c r="AL589" s="652"/>
      <c r="AM589" s="652"/>
      <c r="AN589" s="652">
        <f>I589</f>
        <v>1752</v>
      </c>
      <c r="AO589" s="652"/>
      <c r="AP589" s="652"/>
      <c r="AQ589" s="652"/>
      <c r="AR589" s="652"/>
      <c r="AS589" s="652"/>
      <c r="AT589" s="652">
        <f>I589/8</f>
        <v>219</v>
      </c>
      <c r="AU589" s="652"/>
      <c r="AV589" s="652"/>
      <c r="AW589" s="652"/>
      <c r="AX589" s="652"/>
      <c r="AY589" s="652"/>
      <c r="AZ589" s="652"/>
      <c r="BA589" s="652"/>
      <c r="BB589" s="652"/>
      <c r="BC589" s="652"/>
      <c r="BD589" s="652"/>
      <c r="BE589" s="652"/>
      <c r="BF589" s="652"/>
      <c r="BG589" s="652"/>
      <c r="BH589" s="652"/>
      <c r="BI589" s="652"/>
      <c r="BJ589" s="650"/>
      <c r="BK589" s="650"/>
      <c r="BL589" s="650"/>
      <c r="BM589" s="650"/>
      <c r="BN589" s="650"/>
      <c r="BO589" s="650"/>
      <c r="BP589" s="650"/>
      <c r="BQ589" s="650"/>
      <c r="BR589" s="650"/>
      <c r="BS589" s="650"/>
      <c r="BT589" s="650"/>
      <c r="BU589" s="650"/>
      <c r="BV589" s="650"/>
      <c r="BW589" s="650"/>
      <c r="BX589" s="650"/>
      <c r="BY589" s="650"/>
      <c r="BZ589" s="650"/>
      <c r="CA589" s="650"/>
      <c r="CB589" s="650"/>
      <c r="CC589" s="650"/>
      <c r="CD589" s="650"/>
      <c r="CE589" s="650"/>
      <c r="CF589" s="650"/>
      <c r="CG589" s="650"/>
      <c r="CH589" s="650"/>
      <c r="CI589" s="650"/>
      <c r="CJ589" s="650"/>
      <c r="CK589" s="650"/>
      <c r="CL589" s="650"/>
      <c r="CM589" s="650"/>
      <c r="CN589" s="650"/>
      <c r="CO589" s="650"/>
      <c r="CP589" s="650"/>
      <c r="CQ589" s="650"/>
      <c r="CR589" s="650"/>
      <c r="CS589" s="650"/>
      <c r="CT589" s="650"/>
      <c r="CU589" s="650"/>
      <c r="CV589" s="650"/>
      <c r="CW589" s="650"/>
      <c r="CX589" s="650"/>
      <c r="CY589" s="650"/>
      <c r="CZ589" s="650"/>
      <c r="DA589" s="650"/>
      <c r="DB589" s="650"/>
      <c r="DC589" s="650"/>
      <c r="DD589" s="650"/>
    </row>
    <row r="590" s="662" customFormat="1" ht="31" customHeight="1" spans="1:108">
      <c r="A590" s="819">
        <v>46181</v>
      </c>
      <c r="B590" s="820" t="s">
        <v>2083</v>
      </c>
      <c r="C590" s="821" t="s">
        <v>891</v>
      </c>
      <c r="D590" s="917" t="s">
        <v>5805</v>
      </c>
      <c r="E590" s="821" t="s">
        <v>5806</v>
      </c>
      <c r="F590" s="822" t="s">
        <v>5807</v>
      </c>
      <c r="G590" s="823" t="s">
        <v>3980</v>
      </c>
      <c r="H590" s="708" t="s">
        <v>3978</v>
      </c>
      <c r="I590" s="824">
        <v>800</v>
      </c>
      <c r="J590" s="821">
        <v>0</v>
      </c>
      <c r="K590" s="821">
        <v>8</v>
      </c>
      <c r="L590" s="821">
        <f t="shared" si="109"/>
        <v>100</v>
      </c>
      <c r="M590" s="825">
        <v>46238</v>
      </c>
      <c r="N590" s="863">
        <v>46238</v>
      </c>
      <c r="O590" s="820"/>
      <c r="P590" s="824"/>
      <c r="Q590" s="824"/>
      <c r="R590" s="827" t="s">
        <v>5343</v>
      </c>
      <c r="S590" s="828" t="s">
        <v>107</v>
      </c>
      <c r="T590" s="828" t="s">
        <v>4972</v>
      </c>
      <c r="U590" s="828"/>
      <c r="V590" s="829"/>
      <c r="W590" s="828"/>
      <c r="X590" s="828" t="s">
        <v>5808</v>
      </c>
      <c r="Y590" s="825" t="s">
        <v>775</v>
      </c>
      <c r="Z590" s="830">
        <v>4.7079</v>
      </c>
      <c r="AA590" s="822">
        <f>I590*Z590</f>
        <v>3766.32</v>
      </c>
      <c r="AB590" s="831"/>
      <c r="AC590" s="867" t="s">
        <v>4031</v>
      </c>
      <c r="AD590" s="821" t="s">
        <v>112</v>
      </c>
      <c r="AE590" s="821">
        <f t="shared" si="110"/>
        <v>800</v>
      </c>
      <c r="AF590" s="821" t="s">
        <v>4109</v>
      </c>
      <c r="AG590" s="708">
        <v>800</v>
      </c>
      <c r="AH590" s="833">
        <f t="shared" si="104"/>
        <v>0</v>
      </c>
      <c r="AI590" s="824"/>
      <c r="AJ590" s="708" t="s">
        <v>3981</v>
      </c>
      <c r="AK590" s="822"/>
      <c r="AL590" s="868">
        <f>I590</f>
        <v>800</v>
      </c>
      <c r="AM590" s="822"/>
      <c r="AN590" s="834">
        <f>I590</f>
        <v>800</v>
      </c>
      <c r="AO590" s="822"/>
      <c r="AP590" s="822"/>
      <c r="AQ590" s="822"/>
      <c r="AR590" s="822"/>
      <c r="AS590" s="822"/>
      <c r="AT590" s="822"/>
      <c r="AU590" s="868">
        <f>I590/8</f>
        <v>100</v>
      </c>
      <c r="AV590" s="834"/>
      <c r="AW590" s="834"/>
      <c r="AX590" s="822"/>
      <c r="AY590" s="822"/>
      <c r="AZ590" s="822"/>
      <c r="BA590" s="822"/>
      <c r="BB590" s="822"/>
      <c r="BC590" s="822"/>
      <c r="BD590" s="822"/>
      <c r="BE590" s="822"/>
      <c r="BF590" s="822"/>
      <c r="BG590" s="822"/>
      <c r="BH590" s="822"/>
      <c r="BI590" s="822"/>
      <c r="BJ590" s="659"/>
      <c r="BK590" s="659"/>
      <c r="BL590" s="659"/>
      <c r="BM590" s="659"/>
      <c r="BN590" s="659"/>
      <c r="BO590" s="659"/>
      <c r="BP590" s="659"/>
      <c r="BQ590" s="659"/>
      <c r="BR590" s="659"/>
      <c r="BS590" s="659"/>
      <c r="BT590" s="659"/>
      <c r="BU590" s="659"/>
      <c r="BV590" s="659"/>
      <c r="BW590" s="659"/>
      <c r="BX590" s="659"/>
      <c r="BY590" s="659"/>
      <c r="BZ590" s="659"/>
      <c r="CA590" s="659"/>
      <c r="CB590" s="659"/>
      <c r="CC590" s="659"/>
      <c r="CD590" s="659"/>
      <c r="CE590" s="659"/>
      <c r="CF590" s="659"/>
      <c r="CG590" s="659"/>
      <c r="CH590" s="659"/>
      <c r="CI590" s="659"/>
      <c r="CJ590" s="659"/>
      <c r="CK590" s="659"/>
      <c r="CL590" s="659"/>
      <c r="CM590" s="659"/>
      <c r="CN590" s="659"/>
      <c r="CO590" s="659"/>
      <c r="CP590" s="659"/>
      <c r="CQ590" s="659"/>
      <c r="CR590" s="659"/>
    </row>
    <row r="591" s="650" customFormat="1" ht="31" customHeight="1" spans="1:108">
      <c r="A591" s="713">
        <v>46146</v>
      </c>
      <c r="B591" s="714" t="s">
        <v>2666</v>
      </c>
      <c r="C591" s="715" t="s">
        <v>201</v>
      </c>
      <c r="D591" s="652" t="s">
        <v>5809</v>
      </c>
      <c r="E591" s="715" t="s">
        <v>5810</v>
      </c>
      <c r="F591" s="652" t="s">
        <v>5811</v>
      </c>
      <c r="G591" s="716" t="s">
        <v>3980</v>
      </c>
      <c r="H591" s="715" t="s">
        <v>3978</v>
      </c>
      <c r="I591" s="717">
        <v>200</v>
      </c>
      <c r="J591" s="715">
        <v>0</v>
      </c>
      <c r="K591" s="715">
        <v>8</v>
      </c>
      <c r="L591" s="715">
        <f t="shared" si="109"/>
        <v>25</v>
      </c>
      <c r="M591" s="719">
        <v>46238</v>
      </c>
      <c r="N591" s="738">
        <v>46238</v>
      </c>
      <c r="O591" s="714"/>
      <c r="P591" s="717" t="s">
        <v>1410</v>
      </c>
      <c r="Q591" s="717" t="s">
        <v>1663</v>
      </c>
      <c r="R591" s="723">
        <v>46148</v>
      </c>
      <c r="S591" s="720" t="s">
        <v>95</v>
      </c>
      <c r="T591" s="720" t="s">
        <v>5778</v>
      </c>
      <c r="U591" s="720"/>
      <c r="V591" s="720"/>
      <c r="W591" s="720"/>
      <c r="X591" s="720" t="s">
        <v>5812</v>
      </c>
      <c r="Y591" s="719" t="s">
        <v>2670</v>
      </c>
      <c r="Z591" s="730">
        <v>4.5882</v>
      </c>
      <c r="AA591" s="652">
        <f>Z591*I591</f>
        <v>917.64</v>
      </c>
      <c r="AB591" s="721"/>
      <c r="AC591" s="722" t="s">
        <v>4031</v>
      </c>
      <c r="AD591" s="715" t="s">
        <v>112</v>
      </c>
      <c r="AE591" s="715">
        <f t="shared" si="110"/>
        <v>200</v>
      </c>
      <c r="AF591" s="715"/>
      <c r="AG591" s="715">
        <v>200</v>
      </c>
      <c r="AH591" s="715">
        <f t="shared" si="104"/>
        <v>0</v>
      </c>
      <c r="AI591" s="717"/>
      <c r="AJ591" s="715" t="s">
        <v>3981</v>
      </c>
      <c r="AK591" s="652"/>
      <c r="AL591" s="652">
        <f>I591</f>
        <v>200</v>
      </c>
      <c r="AM591" s="652"/>
      <c r="AN591" s="652">
        <f>I591</f>
        <v>200</v>
      </c>
      <c r="AO591" s="652"/>
      <c r="AP591" s="652"/>
      <c r="AQ591" s="652"/>
      <c r="AR591" s="652"/>
      <c r="AS591" s="652"/>
      <c r="AT591" s="652"/>
      <c r="AU591" s="652">
        <f>I591/8</f>
        <v>25</v>
      </c>
      <c r="AV591" s="652"/>
      <c r="AW591" s="652"/>
      <c r="AX591" s="652"/>
      <c r="AY591" s="652"/>
      <c r="AZ591" s="652"/>
      <c r="BA591" s="652"/>
      <c r="BB591" s="652"/>
      <c r="BC591" s="652"/>
      <c r="BD591" s="652"/>
      <c r="BE591" s="652"/>
      <c r="BF591" s="652"/>
      <c r="BG591" s="652"/>
      <c r="BH591" s="652"/>
      <c r="BI591" s="652"/>
      <c r="BJ591" s="740"/>
      <c r="BK591" s="740"/>
      <c r="BL591" s="740"/>
      <c r="BM591" s="740"/>
      <c r="BN591" s="740"/>
      <c r="BO591" s="740"/>
      <c r="BP591" s="740"/>
      <c r="BQ591" s="740"/>
      <c r="BR591" s="740"/>
      <c r="BS591" s="740"/>
      <c r="BT591" s="740"/>
      <c r="BU591" s="740"/>
      <c r="BV591" s="740"/>
      <c r="BW591" s="740"/>
      <c r="BX591" s="740"/>
      <c r="BY591" s="740"/>
      <c r="BZ591" s="740"/>
      <c r="CA591" s="740"/>
      <c r="CB591" s="740"/>
      <c r="CC591" s="740"/>
      <c r="CD591" s="740"/>
      <c r="CE591" s="740"/>
      <c r="CF591" s="740"/>
      <c r="CG591" s="740"/>
      <c r="CH591" s="740"/>
      <c r="CI591" s="740"/>
      <c r="CJ591" s="740"/>
      <c r="CK591" s="740"/>
      <c r="CL591" s="740"/>
      <c r="CM591" s="740"/>
      <c r="CN591" s="740"/>
      <c r="CO591" s="740"/>
      <c r="CP591" s="740"/>
      <c r="CQ591" s="740"/>
      <c r="CR591" s="740"/>
    </row>
    <row r="592" s="650" customFormat="1" ht="31" customHeight="1" spans="1:108">
      <c r="A592" s="859">
        <v>46169</v>
      </c>
      <c r="B592" s="860" t="s">
        <v>2680</v>
      </c>
      <c r="C592" s="708" t="s">
        <v>2638</v>
      </c>
      <c r="D592" s="834" t="s">
        <v>5813</v>
      </c>
      <c r="E592" s="708" t="s">
        <v>628</v>
      </c>
      <c r="F592" s="834" t="s">
        <v>2681</v>
      </c>
      <c r="G592" s="846" t="s">
        <v>4215</v>
      </c>
      <c r="H592" s="708" t="s">
        <v>483</v>
      </c>
      <c r="I592" s="881">
        <v>4320</v>
      </c>
      <c r="J592" s="708">
        <v>0</v>
      </c>
      <c r="K592" s="708">
        <v>120</v>
      </c>
      <c r="L592" s="708">
        <f t="shared" si="109"/>
        <v>36</v>
      </c>
      <c r="M592" s="862">
        <v>46239</v>
      </c>
      <c r="N592" s="863">
        <v>46237</v>
      </c>
      <c r="O592" s="820" t="s">
        <v>5814</v>
      </c>
      <c r="P592" s="861"/>
      <c r="Q592" s="861"/>
      <c r="R592" s="827" t="s">
        <v>5815</v>
      </c>
      <c r="S592" s="828" t="s">
        <v>107</v>
      </c>
      <c r="T592" s="829" t="s">
        <v>95</v>
      </c>
      <c r="U592" s="829"/>
      <c r="V592" s="829"/>
      <c r="W592" s="829"/>
      <c r="X592" s="894" t="s">
        <v>5816</v>
      </c>
      <c r="Y592" s="862" t="s">
        <v>2685</v>
      </c>
      <c r="Z592" s="918">
        <v>1058.7359</v>
      </c>
      <c r="AA592" s="834">
        <f>L592*Z592</f>
        <v>38114.4924</v>
      </c>
      <c r="AB592" s="831"/>
      <c r="AC592" s="887" t="s">
        <v>490</v>
      </c>
      <c r="AD592" s="821" t="s">
        <v>112</v>
      </c>
      <c r="AE592" s="708">
        <f t="shared" si="110"/>
        <v>4320</v>
      </c>
      <c r="AF592" s="708"/>
      <c r="AG592" s="708">
        <f>1440+1980+540+360</f>
        <v>4320</v>
      </c>
      <c r="AH592" s="833">
        <f t="shared" si="104"/>
        <v>0</v>
      </c>
      <c r="AI592" s="861"/>
      <c r="AJ592" s="708" t="s">
        <v>3981</v>
      </c>
      <c r="AK592" s="834"/>
      <c r="AL592" s="834"/>
      <c r="AM592" s="834"/>
      <c r="AN592" s="834"/>
      <c r="AO592" s="834"/>
      <c r="AP592" s="834"/>
      <c r="AQ592" s="834">
        <f>I592</f>
        <v>4320</v>
      </c>
      <c r="AR592" s="834">
        <f>I592</f>
        <v>4320</v>
      </c>
      <c r="AS592" s="834">
        <f>I592/6</f>
        <v>720</v>
      </c>
      <c r="AT592" s="834"/>
      <c r="AU592" s="834"/>
      <c r="AV592" s="834"/>
      <c r="AW592" s="834"/>
      <c r="AX592" s="834"/>
      <c r="AY592" s="834"/>
      <c r="AZ592" s="834"/>
      <c r="BA592" s="834"/>
      <c r="BB592" s="834"/>
      <c r="BC592" s="834"/>
      <c r="BD592" s="834"/>
      <c r="BE592" s="834"/>
      <c r="BF592" s="834"/>
      <c r="BG592" s="834"/>
      <c r="BH592" s="834"/>
      <c r="BI592" s="834"/>
      <c r="BJ592" s="659"/>
      <c r="BK592" s="659"/>
      <c r="BL592" s="659"/>
      <c r="BM592" s="659"/>
      <c r="BN592" s="659"/>
      <c r="BO592" s="659"/>
      <c r="BP592" s="659"/>
      <c r="BQ592" s="659"/>
      <c r="BR592" s="659"/>
      <c r="BS592" s="659"/>
      <c r="BT592" s="659"/>
      <c r="BU592" s="659"/>
      <c r="BV592" s="659"/>
      <c r="BW592" s="659"/>
      <c r="BX592" s="659"/>
      <c r="BY592" s="659"/>
      <c r="BZ592" s="659"/>
      <c r="CA592" s="659"/>
      <c r="CB592" s="659"/>
      <c r="CC592" s="659"/>
      <c r="CD592" s="659"/>
      <c r="CE592" s="659"/>
      <c r="CF592" s="659"/>
      <c r="CG592" s="659"/>
      <c r="CH592" s="659"/>
      <c r="CI592" s="659"/>
      <c r="CJ592" s="659"/>
      <c r="CK592" s="659"/>
      <c r="CL592" s="659"/>
      <c r="CM592" s="659"/>
      <c r="CN592" s="659"/>
      <c r="CO592" s="659"/>
      <c r="CP592" s="659"/>
      <c r="CQ592" s="659"/>
      <c r="CR592" s="659"/>
      <c r="CS592" s="659"/>
      <c r="CT592" s="659"/>
      <c r="CU592" s="659"/>
      <c r="CV592" s="659"/>
      <c r="CW592" s="659"/>
      <c r="CX592" s="659"/>
      <c r="CY592" s="659"/>
      <c r="CZ592" s="659"/>
      <c r="DA592" s="659"/>
      <c r="DB592" s="659"/>
      <c r="DC592" s="659"/>
      <c r="DD592" s="659"/>
    </row>
    <row r="593" s="659" customFormat="1" ht="31" customHeight="1" spans="1:108">
      <c r="A593" s="819">
        <v>46216</v>
      </c>
      <c r="B593" s="820" t="s">
        <v>2680</v>
      </c>
      <c r="C593" s="821" t="s">
        <v>2638</v>
      </c>
      <c r="D593" s="822">
        <v>4500209374</v>
      </c>
      <c r="E593" s="821"/>
      <c r="F593" s="822" t="s">
        <v>2686</v>
      </c>
      <c r="G593" s="823" t="s">
        <v>4215</v>
      </c>
      <c r="H593" s="708" t="s">
        <v>483</v>
      </c>
      <c r="I593" s="824">
        <v>4320</v>
      </c>
      <c r="J593" s="821">
        <v>0</v>
      </c>
      <c r="K593" s="821">
        <v>120</v>
      </c>
      <c r="L593" s="821">
        <f t="shared" si="109"/>
        <v>36</v>
      </c>
      <c r="M593" s="825">
        <v>46239</v>
      </c>
      <c r="N593" s="863">
        <v>46237</v>
      </c>
      <c r="O593" s="820" t="s">
        <v>5814</v>
      </c>
      <c r="P593" s="824"/>
      <c r="Q593" s="824"/>
      <c r="R593" s="886" t="s">
        <v>5815</v>
      </c>
      <c r="S593" s="848" t="s">
        <v>107</v>
      </c>
      <c r="T593" s="847" t="s">
        <v>95</v>
      </c>
      <c r="U593" s="848"/>
      <c r="V593" s="829"/>
      <c r="W593" s="828"/>
      <c r="X593" s="894" t="s">
        <v>5816</v>
      </c>
      <c r="Y593" s="825" t="s">
        <v>2685</v>
      </c>
      <c r="Z593" s="830">
        <v>1058.7359</v>
      </c>
      <c r="AA593" s="822">
        <f>L593*Z593</f>
        <v>38114.4924</v>
      </c>
      <c r="AB593" s="831"/>
      <c r="AC593" s="832" t="s">
        <v>490</v>
      </c>
      <c r="AD593" s="821" t="s">
        <v>112</v>
      </c>
      <c r="AE593" s="821">
        <f t="shared" si="110"/>
        <v>4320</v>
      </c>
      <c r="AF593" s="821"/>
      <c r="AG593" s="708">
        <v>4320</v>
      </c>
      <c r="AH593" s="833">
        <f t="shared" si="104"/>
        <v>0</v>
      </c>
      <c r="AI593" s="824"/>
      <c r="AJ593" s="708" t="s">
        <v>3981</v>
      </c>
      <c r="AK593" s="822"/>
      <c r="AL593" s="822"/>
      <c r="AM593" s="822"/>
      <c r="AN593" s="822"/>
      <c r="AO593" s="822"/>
      <c r="AP593" s="822"/>
      <c r="AQ593" s="834">
        <f>I593</f>
        <v>4320</v>
      </c>
      <c r="AR593" s="834">
        <f>I593</f>
        <v>4320</v>
      </c>
      <c r="AS593" s="834">
        <f>I593/6</f>
        <v>720</v>
      </c>
      <c r="AT593" s="822"/>
      <c r="AU593" s="834"/>
      <c r="AV593" s="834"/>
      <c r="AW593" s="834"/>
      <c r="AX593" s="822"/>
      <c r="AY593" s="822"/>
      <c r="AZ593" s="822"/>
      <c r="BA593" s="822"/>
      <c r="BB593" s="822"/>
      <c r="BC593" s="822"/>
      <c r="BD593" s="822"/>
      <c r="BE593" s="822"/>
      <c r="BF593" s="822"/>
      <c r="BG593" s="822"/>
      <c r="BH593" s="822"/>
      <c r="BI593" s="822"/>
      <c r="BJ593" s="835"/>
      <c r="BK593" s="835"/>
      <c r="BL593" s="835"/>
      <c r="BM593" s="835"/>
      <c r="BN593" s="835"/>
      <c r="BO593" s="835"/>
      <c r="BP593" s="835"/>
      <c r="BQ593" s="835"/>
      <c r="BR593" s="835"/>
      <c r="BS593" s="835"/>
      <c r="BT593" s="835"/>
      <c r="BU593" s="835"/>
      <c r="BV593" s="835"/>
      <c r="BW593" s="835"/>
      <c r="BX593" s="835"/>
      <c r="BY593" s="835"/>
      <c r="BZ593" s="835"/>
      <c r="CA593" s="835"/>
      <c r="CB593" s="835"/>
      <c r="CC593" s="835"/>
      <c r="CD593" s="835"/>
      <c r="CE593" s="835"/>
      <c r="CF593" s="835"/>
      <c r="CG593" s="835"/>
      <c r="CH593" s="835"/>
      <c r="CI593" s="835"/>
      <c r="CJ593" s="835"/>
      <c r="CK593" s="835"/>
      <c r="CL593" s="835"/>
      <c r="CM593" s="835"/>
      <c r="CN593" s="835"/>
      <c r="CO593" s="835"/>
      <c r="CP593" s="835"/>
      <c r="CQ593" s="835"/>
      <c r="CR593" s="835"/>
      <c r="CS593" s="835"/>
      <c r="CT593" s="835"/>
      <c r="CU593" s="835"/>
      <c r="CV593" s="835"/>
      <c r="CW593" s="835"/>
      <c r="CX593" s="835"/>
      <c r="CY593" s="835"/>
      <c r="CZ593" s="835"/>
      <c r="DA593" s="835"/>
      <c r="DB593" s="835"/>
      <c r="DC593" s="835"/>
      <c r="DD593" s="835"/>
    </row>
    <row r="594" s="650" customFormat="1" ht="31" customHeight="1" spans="1:108">
      <c r="A594" s="713">
        <v>46185</v>
      </c>
      <c r="B594" s="714" t="s">
        <v>499</v>
      </c>
      <c r="C594" s="715" t="s">
        <v>115</v>
      </c>
      <c r="D594" s="652">
        <v>4500211875</v>
      </c>
      <c r="E594" s="1907" t="s">
        <v>5817</v>
      </c>
      <c r="F594" s="652" t="s">
        <v>5818</v>
      </c>
      <c r="G594" s="716" t="s">
        <v>4414</v>
      </c>
      <c r="H594" s="715" t="s">
        <v>3978</v>
      </c>
      <c r="I594" s="717">
        <v>5120</v>
      </c>
      <c r="J594" s="715">
        <v>0</v>
      </c>
      <c r="K594" s="715">
        <v>512</v>
      </c>
      <c r="L594" s="715">
        <f t="shared" si="109"/>
        <v>10</v>
      </c>
      <c r="M594" s="738">
        <v>46239</v>
      </c>
      <c r="N594" s="738">
        <v>46237</v>
      </c>
      <c r="O594" s="714" t="s">
        <v>2411</v>
      </c>
      <c r="P594" s="717" t="s">
        <v>1410</v>
      </c>
      <c r="Q594" s="717" t="s">
        <v>2406</v>
      </c>
      <c r="R594" s="723" t="s">
        <v>4201</v>
      </c>
      <c r="S594" s="720" t="s">
        <v>107</v>
      </c>
      <c r="T594" s="720" t="s">
        <v>5819</v>
      </c>
      <c r="U594" s="720"/>
      <c r="V594" s="720" t="s">
        <v>4706</v>
      </c>
      <c r="W594" s="720"/>
      <c r="X594" s="720" t="s">
        <v>5820</v>
      </c>
      <c r="Y594" s="719" t="s">
        <v>503</v>
      </c>
      <c r="Z594" s="730">
        <v>1468.138</v>
      </c>
      <c r="AA594" s="652">
        <f t="shared" ref="AA594:AA614" si="117">I594*Z594</f>
        <v>7516866.56</v>
      </c>
      <c r="AB594" s="721"/>
      <c r="AC594" s="652" t="s">
        <v>4194</v>
      </c>
      <c r="AD594" s="715" t="s">
        <v>112</v>
      </c>
      <c r="AE594" s="715">
        <f t="shared" si="110"/>
        <v>5120</v>
      </c>
      <c r="AF594" s="715" t="s">
        <v>5125</v>
      </c>
      <c r="AG594" s="715" t="s">
        <v>120</v>
      </c>
      <c r="AH594" s="715" t="e">
        <f t="shared" si="104"/>
        <v>#VALUE!</v>
      </c>
      <c r="AI594" s="717" t="s">
        <v>120</v>
      </c>
      <c r="AJ594" s="715" t="s">
        <v>3981</v>
      </c>
      <c r="AK594" s="652">
        <f>I594</f>
        <v>5120</v>
      </c>
      <c r="AL594" s="652"/>
      <c r="AM594" s="652"/>
      <c r="AN594" s="652">
        <f t="shared" ref="AN594:AN609" si="118">I594</f>
        <v>5120</v>
      </c>
      <c r="AO594" s="652"/>
      <c r="AP594" s="652"/>
      <c r="AQ594" s="652"/>
      <c r="AR594" s="652"/>
      <c r="AS594" s="652"/>
      <c r="AT594" s="652">
        <f>I594/8</f>
        <v>640</v>
      </c>
      <c r="AU594" s="652"/>
      <c r="AV594" s="652"/>
      <c r="AW594" s="652"/>
      <c r="AX594" s="652"/>
      <c r="AY594" s="652"/>
      <c r="AZ594" s="652"/>
      <c r="BA594" s="652"/>
      <c r="BB594" s="652"/>
      <c r="BC594" s="652"/>
      <c r="BD594" s="652"/>
      <c r="BE594" s="652"/>
      <c r="BF594" s="652"/>
      <c r="BG594" s="652"/>
      <c r="BH594" s="652"/>
      <c r="BI594" s="652"/>
    </row>
    <row r="595" s="650" customFormat="1" ht="31" customHeight="1" spans="1:108">
      <c r="A595" s="713">
        <v>46185</v>
      </c>
      <c r="B595" s="714" t="s">
        <v>499</v>
      </c>
      <c r="C595" s="715" t="s">
        <v>115</v>
      </c>
      <c r="D595" s="652">
        <v>4500211875</v>
      </c>
      <c r="E595" s="1907" t="s">
        <v>5821</v>
      </c>
      <c r="F595" s="652" t="s">
        <v>5822</v>
      </c>
      <c r="G595" s="716" t="s">
        <v>4414</v>
      </c>
      <c r="H595" s="715" t="s">
        <v>3978</v>
      </c>
      <c r="I595" s="717">
        <v>10752</v>
      </c>
      <c r="J595" s="715">
        <v>0</v>
      </c>
      <c r="K595" s="715">
        <v>512</v>
      </c>
      <c r="L595" s="715">
        <f t="shared" si="109"/>
        <v>21</v>
      </c>
      <c r="M595" s="738">
        <v>46239</v>
      </c>
      <c r="N595" s="738">
        <v>46239</v>
      </c>
      <c r="O595" s="714" t="s">
        <v>5823</v>
      </c>
      <c r="P595" s="717" t="s">
        <v>1410</v>
      </c>
      <c r="Q595" s="717"/>
      <c r="R595" s="723" t="s">
        <v>4201</v>
      </c>
      <c r="S595" s="720" t="s">
        <v>107</v>
      </c>
      <c r="T595" s="720" t="s">
        <v>5819</v>
      </c>
      <c r="U595" s="720"/>
      <c r="V595" s="720" t="s">
        <v>4706</v>
      </c>
      <c r="W595" s="720"/>
      <c r="X595" s="720" t="s">
        <v>5820</v>
      </c>
      <c r="Y595" s="719" t="s">
        <v>503</v>
      </c>
      <c r="Z595" s="730">
        <v>1463.181</v>
      </c>
      <c r="AA595" s="652">
        <f t="shared" si="117"/>
        <v>15732122.112</v>
      </c>
      <c r="AB595" s="721"/>
      <c r="AC595" s="652" t="s">
        <v>4194</v>
      </c>
      <c r="AD595" s="715" t="s">
        <v>112</v>
      </c>
      <c r="AE595" s="715">
        <f t="shared" si="110"/>
        <v>10752</v>
      </c>
      <c r="AF595" s="715" t="s">
        <v>5125</v>
      </c>
      <c r="AG595" s="715" t="s">
        <v>5824</v>
      </c>
      <c r="AH595" s="715" t="e">
        <f t="shared" si="104"/>
        <v>#VALUE!</v>
      </c>
      <c r="AI595" s="717" t="s">
        <v>120</v>
      </c>
      <c r="AJ595" s="715" t="s">
        <v>3981</v>
      </c>
      <c r="AK595" s="652">
        <f>I595</f>
        <v>10752</v>
      </c>
      <c r="AL595" s="652"/>
      <c r="AM595" s="652"/>
      <c r="AN595" s="652">
        <f t="shared" si="118"/>
        <v>10752</v>
      </c>
      <c r="AO595" s="652"/>
      <c r="AP595" s="652"/>
      <c r="AQ595" s="652"/>
      <c r="AR595" s="652"/>
      <c r="AS595" s="652"/>
      <c r="AT595" s="652">
        <f>I595/8</f>
        <v>1344</v>
      </c>
      <c r="AU595" s="652"/>
      <c r="AV595" s="652"/>
      <c r="AW595" s="652"/>
      <c r="AX595" s="652"/>
      <c r="AY595" s="652"/>
      <c r="AZ595" s="652"/>
      <c r="BA595" s="652"/>
      <c r="BB595" s="652"/>
      <c r="BC595" s="652"/>
      <c r="BD595" s="652"/>
      <c r="BE595" s="652"/>
      <c r="BF595" s="652"/>
      <c r="BG595" s="652"/>
      <c r="BH595" s="652"/>
      <c r="BI595" s="652"/>
      <c r="BJ595" s="650"/>
      <c r="BK595" s="650"/>
      <c r="BL595" s="650"/>
      <c r="BM595" s="650"/>
      <c r="BN595" s="650"/>
      <c r="BO595" s="650"/>
      <c r="BP595" s="650"/>
      <c r="BQ595" s="650"/>
      <c r="BR595" s="650"/>
      <c r="BS595" s="650"/>
      <c r="BT595" s="650"/>
      <c r="BU595" s="650"/>
      <c r="BV595" s="650"/>
      <c r="BW595" s="650"/>
      <c r="BX595" s="650"/>
      <c r="BY595" s="650"/>
      <c r="BZ595" s="650"/>
      <c r="CA595" s="650"/>
      <c r="CB595" s="650"/>
      <c r="CC595" s="650"/>
      <c r="CD595" s="650"/>
      <c r="CE595" s="650"/>
      <c r="CF595" s="650"/>
      <c r="CG595" s="650"/>
      <c r="CH595" s="650"/>
      <c r="CI595" s="650"/>
      <c r="CJ595" s="650"/>
      <c r="CK595" s="650"/>
      <c r="CL595" s="650"/>
      <c r="CM595" s="650"/>
      <c r="CN595" s="650"/>
      <c r="CO595" s="650"/>
      <c r="CP595" s="650"/>
      <c r="CQ595" s="650"/>
      <c r="CR595" s="650"/>
      <c r="CS595" s="654"/>
      <c r="CT595" s="654"/>
      <c r="CU595" s="654"/>
      <c r="CV595" s="654"/>
      <c r="CW595" s="654"/>
      <c r="CX595" s="654"/>
      <c r="CY595" s="654"/>
      <c r="CZ595" s="654"/>
      <c r="DA595" s="654"/>
      <c r="DB595" s="654"/>
      <c r="DC595" s="654"/>
      <c r="DD595" s="654"/>
    </row>
    <row r="596" s="650" customFormat="1" ht="31" customHeight="1" spans="1:108">
      <c r="A596" s="713">
        <v>46185</v>
      </c>
      <c r="B596" s="714" t="s">
        <v>499</v>
      </c>
      <c r="C596" s="715" t="s">
        <v>115</v>
      </c>
      <c r="D596" s="652">
        <v>4500211875</v>
      </c>
      <c r="E596" s="1907" t="s">
        <v>5825</v>
      </c>
      <c r="F596" s="652" t="s">
        <v>5822</v>
      </c>
      <c r="G596" s="716" t="s">
        <v>4414</v>
      </c>
      <c r="H596" s="715" t="s">
        <v>3978</v>
      </c>
      <c r="I596" s="717">
        <v>7168</v>
      </c>
      <c r="J596" s="715">
        <v>0</v>
      </c>
      <c r="K596" s="715">
        <v>512</v>
      </c>
      <c r="L596" s="715">
        <f t="shared" si="109"/>
        <v>14</v>
      </c>
      <c r="M596" s="738">
        <v>46239</v>
      </c>
      <c r="N596" s="738">
        <v>46239</v>
      </c>
      <c r="O596" s="714" t="s">
        <v>5826</v>
      </c>
      <c r="P596" s="717" t="s">
        <v>1410</v>
      </c>
      <c r="Q596" s="717" t="s">
        <v>1241</v>
      </c>
      <c r="R596" s="723" t="s">
        <v>4201</v>
      </c>
      <c r="S596" s="720" t="s">
        <v>107</v>
      </c>
      <c r="T596" s="720" t="s">
        <v>5819</v>
      </c>
      <c r="U596" s="720"/>
      <c r="V596" s="720" t="s">
        <v>4706</v>
      </c>
      <c r="W596" s="720"/>
      <c r="X596" s="720" t="s">
        <v>5820</v>
      </c>
      <c r="Y596" s="719" t="s">
        <v>503</v>
      </c>
      <c r="Z596" s="730">
        <v>1480.4557</v>
      </c>
      <c r="AA596" s="652">
        <f t="shared" si="117"/>
        <v>10611906.4576</v>
      </c>
      <c r="AB596" s="721"/>
      <c r="AC596" s="652" t="s">
        <v>4194</v>
      </c>
      <c r="AD596" s="715" t="s">
        <v>112</v>
      </c>
      <c r="AE596" s="715">
        <f t="shared" si="110"/>
        <v>7168</v>
      </c>
      <c r="AF596" s="715" t="s">
        <v>5125</v>
      </c>
      <c r="AG596" s="715">
        <v>7168</v>
      </c>
      <c r="AH596" s="715">
        <f t="shared" si="104"/>
        <v>0</v>
      </c>
      <c r="AI596" s="717" t="s">
        <v>120</v>
      </c>
      <c r="AJ596" s="715" t="s">
        <v>3981</v>
      </c>
      <c r="AK596" s="652">
        <f>I596</f>
        <v>7168</v>
      </c>
      <c r="AL596" s="652"/>
      <c r="AM596" s="652"/>
      <c r="AN596" s="652">
        <f t="shared" si="118"/>
        <v>7168</v>
      </c>
      <c r="AO596" s="652"/>
      <c r="AP596" s="652"/>
      <c r="AQ596" s="652"/>
      <c r="AR596" s="652"/>
      <c r="AS596" s="652"/>
      <c r="AT596" s="652">
        <f>I596/8</f>
        <v>896</v>
      </c>
      <c r="AU596" s="652"/>
      <c r="AV596" s="652"/>
      <c r="AW596" s="652"/>
      <c r="AX596" s="652"/>
      <c r="AY596" s="652"/>
      <c r="AZ596" s="652"/>
      <c r="BA596" s="652"/>
      <c r="BB596" s="652"/>
      <c r="BC596" s="652"/>
      <c r="BD596" s="652"/>
      <c r="BE596" s="652"/>
      <c r="BF596" s="652"/>
      <c r="BG596" s="652"/>
      <c r="BH596" s="652"/>
      <c r="BI596" s="652"/>
      <c r="BJ596" s="650"/>
      <c r="BK596" s="650"/>
      <c r="BL596" s="650"/>
      <c r="BM596" s="650"/>
      <c r="BN596" s="650"/>
      <c r="BO596" s="650"/>
      <c r="BP596" s="650"/>
      <c r="BQ596" s="650"/>
      <c r="BR596" s="650"/>
      <c r="BS596" s="650"/>
      <c r="BT596" s="650"/>
      <c r="BU596" s="650"/>
      <c r="BV596" s="650"/>
      <c r="BW596" s="650"/>
      <c r="BX596" s="650"/>
      <c r="BY596" s="650"/>
      <c r="BZ596" s="650"/>
      <c r="CA596" s="650"/>
      <c r="CB596" s="650"/>
      <c r="CC596" s="650"/>
      <c r="CD596" s="650"/>
      <c r="CE596" s="650"/>
      <c r="CF596" s="650"/>
      <c r="CG596" s="650"/>
      <c r="CH596" s="650"/>
      <c r="CI596" s="650"/>
      <c r="CJ596" s="650"/>
      <c r="CK596" s="650"/>
      <c r="CL596" s="650"/>
      <c r="CM596" s="650"/>
      <c r="CN596" s="650"/>
      <c r="CO596" s="650"/>
      <c r="CP596" s="650"/>
      <c r="CQ596" s="650"/>
      <c r="CR596" s="650"/>
      <c r="CS596" s="654"/>
      <c r="CT596" s="654"/>
      <c r="CU596" s="654"/>
      <c r="CV596" s="654"/>
      <c r="CW596" s="654"/>
      <c r="CX596" s="654"/>
      <c r="CY596" s="654"/>
      <c r="CZ596" s="654"/>
      <c r="DA596" s="654"/>
      <c r="DB596" s="654"/>
      <c r="DC596" s="654"/>
      <c r="DD596" s="654"/>
    </row>
    <row r="597" s="650" customFormat="1" ht="31" customHeight="1" spans="1:108">
      <c r="A597" s="713">
        <v>46170</v>
      </c>
      <c r="B597" s="714" t="s">
        <v>2701</v>
      </c>
      <c r="C597" s="715" t="s">
        <v>608</v>
      </c>
      <c r="D597" s="652" t="s">
        <v>5827</v>
      </c>
      <c r="E597" s="715" t="s">
        <v>628</v>
      </c>
      <c r="F597" s="652" t="s">
        <v>5828</v>
      </c>
      <c r="G597" s="716" t="s">
        <v>3980</v>
      </c>
      <c r="H597" s="715" t="s">
        <v>3978</v>
      </c>
      <c r="I597" s="717">
        <v>512</v>
      </c>
      <c r="J597" s="715">
        <v>0</v>
      </c>
      <c r="K597" s="715">
        <v>8</v>
      </c>
      <c r="L597" s="715">
        <f t="shared" si="109"/>
        <v>64</v>
      </c>
      <c r="M597" s="719">
        <v>46239</v>
      </c>
      <c r="N597" s="738">
        <v>46241</v>
      </c>
      <c r="O597" s="714"/>
      <c r="P597" s="717" t="s">
        <v>1410</v>
      </c>
      <c r="Q597" s="717" t="s">
        <v>1195</v>
      </c>
      <c r="R597" s="734" t="s">
        <v>5829</v>
      </c>
      <c r="S597" s="720" t="s">
        <v>107</v>
      </c>
      <c r="T597" s="735" t="s">
        <v>5830</v>
      </c>
      <c r="U597" s="735"/>
      <c r="V597" s="720"/>
      <c r="W597" s="720"/>
      <c r="X597" s="798" t="s">
        <v>5831</v>
      </c>
      <c r="Y597" s="719" t="s">
        <v>2037</v>
      </c>
      <c r="Z597" s="730">
        <v>4.6695</v>
      </c>
      <c r="AA597" s="652">
        <f t="shared" si="117"/>
        <v>2390.784</v>
      </c>
      <c r="AB597" s="721"/>
      <c r="AC597" s="722" t="s">
        <v>4031</v>
      </c>
      <c r="AD597" s="715" t="s">
        <v>112</v>
      </c>
      <c r="AE597" s="715">
        <f t="shared" si="110"/>
        <v>512</v>
      </c>
      <c r="AF597" s="715"/>
      <c r="AG597" s="715">
        <v>512</v>
      </c>
      <c r="AH597" s="715">
        <f t="shared" si="104"/>
        <v>0</v>
      </c>
      <c r="AI597" s="717"/>
      <c r="AJ597" s="715" t="s">
        <v>3981</v>
      </c>
      <c r="AK597" s="652"/>
      <c r="AL597" s="652">
        <f>I597</f>
        <v>512</v>
      </c>
      <c r="AM597" s="652"/>
      <c r="AN597" s="652">
        <f t="shared" si="118"/>
        <v>512</v>
      </c>
      <c r="AO597" s="652"/>
      <c r="AP597" s="652"/>
      <c r="AQ597" s="652"/>
      <c r="AR597" s="652"/>
      <c r="AS597" s="652"/>
      <c r="AT597" s="652"/>
      <c r="AU597" s="652">
        <f>I597/8</f>
        <v>64</v>
      </c>
      <c r="AV597" s="652"/>
      <c r="AW597" s="652"/>
      <c r="AX597" s="652"/>
      <c r="AY597" s="652"/>
      <c r="AZ597" s="652"/>
      <c r="BA597" s="652"/>
      <c r="BB597" s="652"/>
      <c r="BC597" s="652"/>
      <c r="BD597" s="652"/>
      <c r="BE597" s="652"/>
      <c r="BF597" s="652"/>
      <c r="BG597" s="652"/>
      <c r="BH597" s="652"/>
      <c r="BI597" s="652"/>
    </row>
    <row r="598" s="650" customFormat="1" ht="31" customHeight="1" spans="1:108">
      <c r="A598" s="713">
        <v>46183</v>
      </c>
      <c r="B598" s="714" t="s">
        <v>2711</v>
      </c>
      <c r="C598" s="715" t="s">
        <v>2712</v>
      </c>
      <c r="D598" s="652" t="s">
        <v>5832</v>
      </c>
      <c r="E598" s="715"/>
      <c r="F598" s="652" t="s">
        <v>5833</v>
      </c>
      <c r="G598" s="716" t="s">
        <v>3973</v>
      </c>
      <c r="H598" s="715" t="s">
        <v>3995</v>
      </c>
      <c r="I598" s="717">
        <v>512</v>
      </c>
      <c r="J598" s="715">
        <v>0</v>
      </c>
      <c r="K598" s="715">
        <v>16</v>
      </c>
      <c r="L598" s="715">
        <f t="shared" si="109"/>
        <v>32</v>
      </c>
      <c r="M598" s="719">
        <v>46239</v>
      </c>
      <c r="N598" s="738">
        <v>46242</v>
      </c>
      <c r="O598" s="717"/>
      <c r="P598" s="717"/>
      <c r="Q598" s="717"/>
      <c r="R598" s="734">
        <v>46183</v>
      </c>
      <c r="S598" s="720" t="s">
        <v>107</v>
      </c>
      <c r="T598" s="735" t="s">
        <v>5834</v>
      </c>
      <c r="U598" s="735"/>
      <c r="V598" s="720"/>
      <c r="W598" s="720"/>
      <c r="X598" s="798" t="s">
        <v>5835</v>
      </c>
      <c r="Y598" s="719" t="s">
        <v>722</v>
      </c>
      <c r="Z598" s="730">
        <v>4.7945</v>
      </c>
      <c r="AA598" s="652">
        <f t="shared" si="117"/>
        <v>2454.784</v>
      </c>
      <c r="AB598" s="721"/>
      <c r="AC598" s="652" t="s">
        <v>4108</v>
      </c>
      <c r="AD598" s="715" t="s">
        <v>112</v>
      </c>
      <c r="AE598" s="715">
        <f t="shared" si="110"/>
        <v>512</v>
      </c>
      <c r="AF598" s="715"/>
      <c r="AG598" s="715">
        <v>512</v>
      </c>
      <c r="AH598" s="715">
        <f t="shared" si="104"/>
        <v>0</v>
      </c>
      <c r="AI598" s="717" t="s">
        <v>120</v>
      </c>
      <c r="AJ598" s="715" t="s">
        <v>3981</v>
      </c>
      <c r="AK598" s="652"/>
      <c r="AL598" s="652">
        <f>I598</f>
        <v>512</v>
      </c>
      <c r="AM598" s="652"/>
      <c r="AN598" s="652">
        <f t="shared" si="118"/>
        <v>512</v>
      </c>
      <c r="AO598" s="652"/>
      <c r="AP598" s="652"/>
      <c r="AQ598" s="652"/>
      <c r="AR598" s="652"/>
      <c r="AS598" s="652"/>
      <c r="AT598" s="652"/>
      <c r="AU598" s="652">
        <f>I598/8</f>
        <v>64</v>
      </c>
      <c r="AV598" s="652"/>
      <c r="AW598" s="652"/>
      <c r="AX598" s="652"/>
      <c r="AY598" s="652"/>
      <c r="AZ598" s="652"/>
      <c r="BA598" s="652"/>
      <c r="BB598" s="652"/>
      <c r="BC598" s="652"/>
      <c r="BD598" s="652"/>
      <c r="BE598" s="652"/>
      <c r="BF598" s="652"/>
      <c r="BG598" s="652"/>
      <c r="BH598" s="652"/>
      <c r="BI598" s="652"/>
    </row>
    <row r="599" s="650" customFormat="1" ht="31" customHeight="1" spans="1:108">
      <c r="A599" s="713">
        <v>46174</v>
      </c>
      <c r="B599" s="714" t="s">
        <v>1676</v>
      </c>
      <c r="C599" s="715" t="s">
        <v>1439</v>
      </c>
      <c r="D599" s="652">
        <v>4500210043</v>
      </c>
      <c r="E599" s="739">
        <v>2000010382</v>
      </c>
      <c r="F599" s="652" t="s">
        <v>5836</v>
      </c>
      <c r="G599" s="716" t="s">
        <v>3980</v>
      </c>
      <c r="H599" s="715" t="s">
        <v>3978</v>
      </c>
      <c r="I599" s="717">
        <v>400</v>
      </c>
      <c r="J599" s="715">
        <v>0</v>
      </c>
      <c r="K599" s="715">
        <v>8</v>
      </c>
      <c r="L599" s="715">
        <f t="shared" si="109"/>
        <v>50</v>
      </c>
      <c r="M599" s="719">
        <v>46239</v>
      </c>
      <c r="N599" s="738">
        <v>46242</v>
      </c>
      <c r="O599" s="717" t="s">
        <v>2706</v>
      </c>
      <c r="P599" s="717" t="s">
        <v>1410</v>
      </c>
      <c r="Q599" s="717" t="s">
        <v>2406</v>
      </c>
      <c r="R599" s="723">
        <v>46174</v>
      </c>
      <c r="S599" s="720" t="s">
        <v>107</v>
      </c>
      <c r="T599" s="720" t="s">
        <v>5837</v>
      </c>
      <c r="U599" s="720"/>
      <c r="V599" s="720" t="s">
        <v>2708</v>
      </c>
      <c r="W599" s="720"/>
      <c r="X599" s="798" t="s">
        <v>5838</v>
      </c>
      <c r="Y599" s="719" t="s">
        <v>722</v>
      </c>
      <c r="Z599" s="730">
        <v>4.7079</v>
      </c>
      <c r="AA599" s="652">
        <f t="shared" si="117"/>
        <v>1883.16</v>
      </c>
      <c r="AB599" s="721"/>
      <c r="AC599" s="722" t="s">
        <v>4031</v>
      </c>
      <c r="AD599" s="715" t="s">
        <v>112</v>
      </c>
      <c r="AE599" s="715">
        <f t="shared" si="110"/>
        <v>400</v>
      </c>
      <c r="AF599" s="715"/>
      <c r="AG599" s="715">
        <v>400</v>
      </c>
      <c r="AH599" s="715">
        <f t="shared" si="104"/>
        <v>0</v>
      </c>
      <c r="AI599" s="717" t="s">
        <v>120</v>
      </c>
      <c r="AJ599" s="715" t="s">
        <v>3981</v>
      </c>
      <c r="AK599" s="652"/>
      <c r="AL599" s="652">
        <f>I599</f>
        <v>400</v>
      </c>
      <c r="AM599" s="652"/>
      <c r="AN599" s="652">
        <f t="shared" si="118"/>
        <v>400</v>
      </c>
      <c r="AO599" s="652"/>
      <c r="AP599" s="652"/>
      <c r="AQ599" s="652"/>
      <c r="AR599" s="652"/>
      <c r="AS599" s="652"/>
      <c r="AT599" s="652"/>
      <c r="AU599" s="652">
        <f>I599/8</f>
        <v>50</v>
      </c>
      <c r="AV599" s="652"/>
      <c r="AW599" s="652"/>
      <c r="AX599" s="652"/>
      <c r="AY599" s="652"/>
      <c r="AZ599" s="652"/>
      <c r="BA599" s="652"/>
      <c r="BB599" s="652"/>
      <c r="BC599" s="652"/>
      <c r="BD599" s="652"/>
      <c r="BE599" s="652"/>
      <c r="BF599" s="652"/>
      <c r="BG599" s="652"/>
      <c r="BH599" s="652"/>
      <c r="BI599" s="652"/>
    </row>
    <row r="600" s="663" customFormat="1" ht="31" customHeight="1" spans="1:108">
      <c r="A600" s="869">
        <v>46185</v>
      </c>
      <c r="B600" s="870" t="s">
        <v>499</v>
      </c>
      <c r="C600" s="871" t="s">
        <v>115</v>
      </c>
      <c r="D600" s="872">
        <v>4500211875</v>
      </c>
      <c r="E600" s="1912" t="s">
        <v>5839</v>
      </c>
      <c r="F600" s="872" t="s">
        <v>5840</v>
      </c>
      <c r="G600" s="873" t="s">
        <v>4414</v>
      </c>
      <c r="H600" s="871" t="s">
        <v>3978</v>
      </c>
      <c r="I600" s="874">
        <v>9728</v>
      </c>
      <c r="J600" s="871">
        <v>0</v>
      </c>
      <c r="K600" s="871">
        <v>512</v>
      </c>
      <c r="L600" s="871">
        <f t="shared" si="109"/>
        <v>19</v>
      </c>
      <c r="M600" s="919">
        <v>46239</v>
      </c>
      <c r="N600" s="919">
        <v>46244</v>
      </c>
      <c r="O600" s="870"/>
      <c r="P600" s="874" t="s">
        <v>1410</v>
      </c>
      <c r="Q600" s="874"/>
      <c r="R600" s="876" t="s">
        <v>4201</v>
      </c>
      <c r="S600" s="877" t="s">
        <v>107</v>
      </c>
      <c r="T600" s="877" t="s">
        <v>5819</v>
      </c>
      <c r="U600" s="877"/>
      <c r="V600" s="877" t="s">
        <v>4706</v>
      </c>
      <c r="W600" s="877"/>
      <c r="X600" s="877" t="s">
        <v>5841</v>
      </c>
      <c r="Y600" s="875" t="s">
        <v>503</v>
      </c>
      <c r="Z600" s="878">
        <v>1468.1379</v>
      </c>
      <c r="AA600" s="872">
        <f t="shared" si="117"/>
        <v>14282045.4912</v>
      </c>
      <c r="AB600" s="831"/>
      <c r="AC600" s="872" t="s">
        <v>4194</v>
      </c>
      <c r="AD600" s="871" t="s">
        <v>112</v>
      </c>
      <c r="AE600" s="871">
        <f t="shared" si="110"/>
        <v>9728</v>
      </c>
      <c r="AF600" s="871" t="s">
        <v>5125</v>
      </c>
      <c r="AG600" s="871">
        <v>9728</v>
      </c>
      <c r="AH600" s="871">
        <f t="shared" si="104"/>
        <v>0</v>
      </c>
      <c r="AI600" s="874" t="s">
        <v>120</v>
      </c>
      <c r="AJ600" s="871" t="s">
        <v>3981</v>
      </c>
      <c r="AK600" s="872">
        <f>I600</f>
        <v>9728</v>
      </c>
      <c r="AL600" s="872"/>
      <c r="AM600" s="872"/>
      <c r="AN600" s="872">
        <f t="shared" si="118"/>
        <v>9728</v>
      </c>
      <c r="AO600" s="872"/>
      <c r="AP600" s="872"/>
      <c r="AQ600" s="872"/>
      <c r="AR600" s="872"/>
      <c r="AS600" s="872"/>
      <c r="AT600" s="872">
        <f>I600/8</f>
        <v>1216</v>
      </c>
      <c r="AU600" s="872"/>
      <c r="AV600" s="872"/>
      <c r="AW600" s="872"/>
      <c r="AX600" s="872"/>
      <c r="AY600" s="872"/>
      <c r="AZ600" s="872"/>
      <c r="BA600" s="872"/>
      <c r="BB600" s="872"/>
      <c r="BC600" s="872"/>
      <c r="BD600" s="872"/>
      <c r="BE600" s="872"/>
      <c r="BF600" s="872"/>
      <c r="BG600" s="872"/>
      <c r="BH600" s="872"/>
      <c r="BI600" s="872"/>
      <c r="BJ600" s="660"/>
      <c r="BK600" s="660"/>
      <c r="BL600" s="660"/>
      <c r="BM600" s="660"/>
      <c r="BN600" s="660"/>
      <c r="BO600" s="660"/>
      <c r="BP600" s="660"/>
      <c r="BQ600" s="660"/>
      <c r="BR600" s="660"/>
      <c r="BS600" s="660"/>
      <c r="BT600" s="660"/>
      <c r="BU600" s="660"/>
      <c r="BV600" s="660"/>
      <c r="BW600" s="660"/>
      <c r="BX600" s="660"/>
      <c r="BY600" s="660"/>
      <c r="BZ600" s="660"/>
      <c r="CA600" s="660"/>
      <c r="CB600" s="660"/>
      <c r="CC600" s="660"/>
      <c r="CD600" s="660"/>
      <c r="CE600" s="660"/>
      <c r="CF600" s="660"/>
      <c r="CG600" s="660"/>
      <c r="CH600" s="660"/>
      <c r="CI600" s="660"/>
      <c r="CJ600" s="660"/>
      <c r="CK600" s="660"/>
      <c r="CL600" s="660"/>
      <c r="CM600" s="660"/>
      <c r="CN600" s="660"/>
      <c r="CO600" s="660"/>
      <c r="CP600" s="660"/>
      <c r="CQ600" s="660"/>
      <c r="CR600" s="660"/>
      <c r="CS600" s="660"/>
      <c r="CT600" s="660"/>
      <c r="CU600" s="660"/>
      <c r="CV600" s="660"/>
      <c r="CW600" s="660"/>
      <c r="CX600" s="660"/>
      <c r="CY600" s="660"/>
      <c r="CZ600" s="660"/>
      <c r="DA600" s="660"/>
      <c r="DB600" s="660"/>
      <c r="DC600" s="660"/>
      <c r="DD600" s="660"/>
    </row>
    <row r="601" s="654" customFormat="1" ht="31" customHeight="1" spans="1:108">
      <c r="A601" s="713">
        <v>46151</v>
      </c>
      <c r="B601" s="714" t="s">
        <v>761</v>
      </c>
      <c r="C601" s="715" t="s">
        <v>115</v>
      </c>
      <c r="D601" s="652" t="s">
        <v>5842</v>
      </c>
      <c r="E601" s="715" t="s">
        <v>5843</v>
      </c>
      <c r="F601" s="652" t="s">
        <v>5844</v>
      </c>
      <c r="G601" s="716" t="s">
        <v>3973</v>
      </c>
      <c r="H601" s="715" t="s">
        <v>3995</v>
      </c>
      <c r="I601" s="717">
        <v>1824</v>
      </c>
      <c r="J601" s="715">
        <v>0</v>
      </c>
      <c r="K601" s="715">
        <v>16</v>
      </c>
      <c r="L601" s="715">
        <f t="shared" si="109"/>
        <v>114</v>
      </c>
      <c r="M601" s="719">
        <v>46239</v>
      </c>
      <c r="N601" s="738">
        <v>46246</v>
      </c>
      <c r="O601" s="714"/>
      <c r="P601" s="717" t="s">
        <v>1410</v>
      </c>
      <c r="Q601" s="717"/>
      <c r="R601" s="723" t="s">
        <v>3096</v>
      </c>
      <c r="S601" s="720" t="s">
        <v>107</v>
      </c>
      <c r="T601" s="720" t="s">
        <v>95</v>
      </c>
      <c r="U601" s="720"/>
      <c r="V601" s="720"/>
      <c r="W601" s="720"/>
      <c r="X601" s="720" t="s">
        <v>5845</v>
      </c>
      <c r="Y601" s="719" t="s">
        <v>767</v>
      </c>
      <c r="Z601" s="730">
        <v>2.7446</v>
      </c>
      <c r="AA601" s="652">
        <f t="shared" si="117"/>
        <v>5006.1504</v>
      </c>
      <c r="AB601" s="721"/>
      <c r="AC601" s="714" t="s">
        <v>3973</v>
      </c>
      <c r="AD601" s="715" t="s">
        <v>112</v>
      </c>
      <c r="AE601" s="715">
        <f t="shared" si="110"/>
        <v>1824</v>
      </c>
      <c r="AF601" s="715" t="s">
        <v>5125</v>
      </c>
      <c r="AG601" s="715">
        <v>1824</v>
      </c>
      <c r="AH601" s="715">
        <f t="shared" si="104"/>
        <v>0</v>
      </c>
      <c r="AI601" s="717" t="s">
        <v>95</v>
      </c>
      <c r="AJ601" s="715" t="s">
        <v>3981</v>
      </c>
      <c r="AK601" s="652">
        <f>I601</f>
        <v>1824</v>
      </c>
      <c r="AL601" s="652"/>
      <c r="AM601" s="652"/>
      <c r="AN601" s="652">
        <f t="shared" si="118"/>
        <v>1824</v>
      </c>
      <c r="AO601" s="652"/>
      <c r="AP601" s="652"/>
      <c r="AQ601" s="652"/>
      <c r="AR601" s="652"/>
      <c r="AS601" s="652"/>
      <c r="AT601" s="652">
        <f>I601/8</f>
        <v>228</v>
      </c>
      <c r="AU601" s="652"/>
      <c r="AV601" s="652"/>
      <c r="AW601" s="652"/>
      <c r="AX601" s="652"/>
      <c r="AY601" s="652"/>
      <c r="AZ601" s="652"/>
      <c r="BA601" s="652"/>
      <c r="BB601" s="652"/>
      <c r="BC601" s="652"/>
      <c r="BD601" s="652"/>
      <c r="BE601" s="652"/>
      <c r="BF601" s="652"/>
      <c r="BG601" s="652"/>
      <c r="BH601" s="652"/>
      <c r="BI601" s="652"/>
      <c r="BJ601" s="650"/>
      <c r="BK601" s="650"/>
      <c r="BL601" s="650"/>
      <c r="BM601" s="650"/>
      <c r="BN601" s="650"/>
      <c r="BO601" s="650"/>
      <c r="BP601" s="650"/>
      <c r="BQ601" s="650"/>
      <c r="BR601" s="650"/>
      <c r="BS601" s="650"/>
      <c r="BT601" s="650"/>
      <c r="BU601" s="650"/>
      <c r="BV601" s="650"/>
      <c r="BW601" s="650"/>
      <c r="BX601" s="650"/>
      <c r="BY601" s="650"/>
      <c r="BZ601" s="650"/>
      <c r="CA601" s="650"/>
      <c r="CB601" s="650"/>
      <c r="CC601" s="650"/>
      <c r="CD601" s="650"/>
      <c r="CE601" s="650"/>
      <c r="CF601" s="650"/>
      <c r="CG601" s="650"/>
      <c r="CH601" s="650"/>
      <c r="CI601" s="650"/>
      <c r="CJ601" s="650"/>
      <c r="CK601" s="650"/>
      <c r="CL601" s="650"/>
      <c r="CM601" s="650"/>
      <c r="CN601" s="650"/>
      <c r="CO601" s="650"/>
      <c r="CP601" s="650"/>
      <c r="CQ601" s="650"/>
      <c r="CR601" s="650"/>
      <c r="CS601" s="650"/>
      <c r="CT601" s="650"/>
      <c r="CU601" s="650"/>
      <c r="CV601" s="650"/>
      <c r="CW601" s="650"/>
      <c r="CX601" s="650"/>
      <c r="CY601" s="650"/>
      <c r="CZ601" s="650"/>
      <c r="DA601" s="650"/>
      <c r="DB601" s="650"/>
      <c r="DC601" s="650"/>
      <c r="DD601" s="650"/>
    </row>
    <row r="602" s="664" customFormat="1" ht="31" customHeight="1" spans="1:108">
      <c r="A602" s="819">
        <v>46168</v>
      </c>
      <c r="B602" s="820" t="s">
        <v>1332</v>
      </c>
      <c r="C602" s="821" t="s">
        <v>1333</v>
      </c>
      <c r="D602" s="822" t="s">
        <v>5846</v>
      </c>
      <c r="E602" s="912" t="s">
        <v>5847</v>
      </c>
      <c r="F602" s="920" t="s">
        <v>5848</v>
      </c>
      <c r="G602" s="823" t="s">
        <v>3973</v>
      </c>
      <c r="H602" s="708" t="s">
        <v>3995</v>
      </c>
      <c r="I602" s="824">
        <v>1200</v>
      </c>
      <c r="J602" s="821">
        <v>0</v>
      </c>
      <c r="K602" s="821">
        <v>16</v>
      </c>
      <c r="L602" s="821">
        <f t="shared" si="109"/>
        <v>75</v>
      </c>
      <c r="M602" s="825">
        <v>46240</v>
      </c>
      <c r="N602" s="825">
        <v>46237</v>
      </c>
      <c r="O602" s="824" t="s">
        <v>2718</v>
      </c>
      <c r="P602" s="824"/>
      <c r="Q602" s="824"/>
      <c r="R602" s="827" t="s">
        <v>2719</v>
      </c>
      <c r="S602" s="828" t="s">
        <v>107</v>
      </c>
      <c r="T602" s="828" t="s">
        <v>2720</v>
      </c>
      <c r="U602" s="828"/>
      <c r="V602" s="829"/>
      <c r="W602" s="828"/>
      <c r="X602" s="848" t="s">
        <v>5849</v>
      </c>
      <c r="Y602" s="825" t="s">
        <v>295</v>
      </c>
      <c r="Z602" s="830">
        <v>4.6933</v>
      </c>
      <c r="AA602" s="822">
        <f t="shared" si="117"/>
        <v>5631.96</v>
      </c>
      <c r="AB602" s="831"/>
      <c r="AC602" s="887" t="s">
        <v>4108</v>
      </c>
      <c r="AD602" s="821" t="s">
        <v>112</v>
      </c>
      <c r="AE602" s="821">
        <f t="shared" si="110"/>
        <v>1200</v>
      </c>
      <c r="AF602" s="821" t="s">
        <v>4109</v>
      </c>
      <c r="AG602" s="708">
        <v>1200</v>
      </c>
      <c r="AH602" s="833">
        <f t="shared" ref="AH602:AH643" si="119">AG602-I602</f>
        <v>0</v>
      </c>
      <c r="AI602" s="824"/>
      <c r="AJ602" s="708" t="s">
        <v>3981</v>
      </c>
      <c r="AK602" s="822"/>
      <c r="AL602" s="868">
        <f>I602</f>
        <v>1200</v>
      </c>
      <c r="AM602" s="822"/>
      <c r="AN602" s="834">
        <f t="shared" si="118"/>
        <v>1200</v>
      </c>
      <c r="AO602" s="822"/>
      <c r="AP602" s="822"/>
      <c r="AQ602" s="822"/>
      <c r="AR602" s="822"/>
      <c r="AS602" s="822"/>
      <c r="AT602" s="822"/>
      <c r="AU602" s="868">
        <f>I602/8</f>
        <v>150</v>
      </c>
      <c r="AV602" s="834"/>
      <c r="AW602" s="834"/>
      <c r="AX602" s="822"/>
      <c r="AY602" s="822"/>
      <c r="AZ602" s="822"/>
      <c r="BA602" s="822"/>
      <c r="BB602" s="822"/>
      <c r="BC602" s="822"/>
      <c r="BD602" s="822"/>
      <c r="BE602" s="822"/>
      <c r="BF602" s="822"/>
      <c r="BG602" s="822"/>
      <c r="BH602" s="822"/>
      <c r="BI602" s="822"/>
      <c r="BJ602" s="659"/>
      <c r="BK602" s="659"/>
      <c r="BL602" s="659"/>
      <c r="BM602" s="659"/>
      <c r="BN602" s="659"/>
      <c r="BO602" s="659"/>
      <c r="BP602" s="659"/>
      <c r="BQ602" s="659"/>
      <c r="BR602" s="659"/>
      <c r="BS602" s="659"/>
      <c r="BT602" s="659"/>
      <c r="BU602" s="659"/>
      <c r="BV602" s="659"/>
      <c r="BW602" s="659"/>
      <c r="BX602" s="659"/>
      <c r="BY602" s="659"/>
      <c r="BZ602" s="659"/>
      <c r="CA602" s="659"/>
      <c r="CB602" s="659"/>
      <c r="CC602" s="659"/>
      <c r="CD602" s="659"/>
      <c r="CE602" s="659"/>
      <c r="CF602" s="659"/>
      <c r="CG602" s="659"/>
      <c r="CH602" s="659"/>
      <c r="CI602" s="659"/>
      <c r="CJ602" s="659"/>
      <c r="CK602" s="659"/>
      <c r="CL602" s="659"/>
      <c r="CM602" s="659"/>
      <c r="CN602" s="659"/>
      <c r="CO602" s="659"/>
      <c r="CP602" s="659"/>
      <c r="CQ602" s="659"/>
      <c r="CR602" s="659"/>
      <c r="CS602" s="666"/>
      <c r="CT602" s="666"/>
      <c r="CU602" s="666"/>
      <c r="CV602" s="666"/>
      <c r="CW602" s="666"/>
      <c r="CX602" s="666"/>
      <c r="CY602" s="666"/>
      <c r="CZ602" s="666"/>
      <c r="DA602" s="666"/>
      <c r="DB602" s="666"/>
      <c r="DC602" s="666"/>
      <c r="DD602" s="666"/>
    </row>
    <row r="603" s="665" customFormat="1" ht="31" customHeight="1" spans="1:108">
      <c r="A603" s="819">
        <v>46171</v>
      </c>
      <c r="B603" s="820" t="s">
        <v>2097</v>
      </c>
      <c r="C603" s="821" t="s">
        <v>115</v>
      </c>
      <c r="D603" s="822" t="s">
        <v>5850</v>
      </c>
      <c r="E603" s="912" t="s">
        <v>628</v>
      </c>
      <c r="F603" s="920" t="s">
        <v>5851</v>
      </c>
      <c r="G603" s="823" t="s">
        <v>3968</v>
      </c>
      <c r="H603" s="708" t="s">
        <v>3969</v>
      </c>
      <c r="I603" s="824">
        <v>3232</v>
      </c>
      <c r="J603" s="821">
        <v>0</v>
      </c>
      <c r="K603" s="821">
        <v>16</v>
      </c>
      <c r="L603" s="821">
        <f t="shared" si="109"/>
        <v>202</v>
      </c>
      <c r="M603" s="825">
        <v>46240</v>
      </c>
      <c r="N603" s="863">
        <v>46238</v>
      </c>
      <c r="O603" s="820"/>
      <c r="P603" s="824"/>
      <c r="Q603" s="627" t="s">
        <v>1195</v>
      </c>
      <c r="R603" s="827">
        <v>46205</v>
      </c>
      <c r="S603" s="828" t="s">
        <v>107</v>
      </c>
      <c r="T603" s="828" t="s">
        <v>5852</v>
      </c>
      <c r="U603" s="828"/>
      <c r="V603" s="829"/>
      <c r="W603" s="828"/>
      <c r="X603" s="921" t="s">
        <v>4083</v>
      </c>
      <c r="Y603" s="825" t="s">
        <v>2102</v>
      </c>
      <c r="Z603" s="830">
        <v>2.7517</v>
      </c>
      <c r="AA603" s="822">
        <f t="shared" si="117"/>
        <v>8893.4944</v>
      </c>
      <c r="AB603" s="831"/>
      <c r="AC603" s="846" t="s">
        <v>3968</v>
      </c>
      <c r="AD603" s="821" t="s">
        <v>112</v>
      </c>
      <c r="AE603" s="821">
        <f t="shared" si="110"/>
        <v>3232</v>
      </c>
      <c r="AF603" s="821" t="s">
        <v>5125</v>
      </c>
      <c r="AG603" s="821" t="s">
        <v>120</v>
      </c>
      <c r="AH603" s="833" t="e">
        <f t="shared" si="119"/>
        <v>#VALUE!</v>
      </c>
      <c r="AI603" s="824"/>
      <c r="AJ603" s="708" t="s">
        <v>3981</v>
      </c>
      <c r="AK603" s="834">
        <f>I603</f>
        <v>3232</v>
      </c>
      <c r="AL603" s="834"/>
      <c r="AM603" s="822"/>
      <c r="AN603" s="834">
        <f t="shared" si="118"/>
        <v>3232</v>
      </c>
      <c r="AO603" s="822"/>
      <c r="AP603" s="822"/>
      <c r="AQ603" s="822"/>
      <c r="AR603" s="822"/>
      <c r="AS603" s="822"/>
      <c r="AT603" s="822"/>
      <c r="AU603" s="834"/>
      <c r="AV603" s="834"/>
      <c r="AW603" s="834"/>
      <c r="AX603" s="822"/>
      <c r="AY603" s="822"/>
      <c r="AZ603" s="822"/>
      <c r="BA603" s="822"/>
      <c r="BB603" s="822"/>
      <c r="BC603" s="822"/>
      <c r="BD603" s="822"/>
      <c r="BE603" s="822"/>
      <c r="BF603" s="822"/>
      <c r="BG603" s="822"/>
      <c r="BH603" s="822"/>
      <c r="BI603" s="822"/>
      <c r="BJ603" s="659"/>
      <c r="BK603" s="659"/>
      <c r="BL603" s="659"/>
      <c r="BM603" s="659"/>
      <c r="BN603" s="659"/>
      <c r="BO603" s="659"/>
      <c r="BP603" s="659"/>
      <c r="BQ603" s="659"/>
      <c r="BR603" s="659"/>
      <c r="BS603" s="659"/>
      <c r="BT603" s="659"/>
      <c r="BU603" s="659"/>
      <c r="BV603" s="659"/>
      <c r="BW603" s="659"/>
      <c r="BX603" s="659"/>
      <c r="BY603" s="659"/>
      <c r="BZ603" s="659"/>
      <c r="CA603" s="659"/>
      <c r="CB603" s="659"/>
      <c r="CC603" s="659"/>
      <c r="CD603" s="659"/>
      <c r="CE603" s="659"/>
      <c r="CF603" s="659"/>
      <c r="CG603" s="659"/>
      <c r="CH603" s="659"/>
      <c r="CI603" s="659"/>
      <c r="CJ603" s="659"/>
      <c r="CK603" s="659"/>
      <c r="CL603" s="659"/>
      <c r="CM603" s="659"/>
      <c r="CN603" s="659"/>
      <c r="CO603" s="659"/>
      <c r="CP603" s="659"/>
      <c r="CQ603" s="659"/>
      <c r="CR603" s="659"/>
      <c r="CS603" s="659"/>
      <c r="CT603" s="659"/>
      <c r="CU603" s="659"/>
      <c r="CV603" s="659"/>
      <c r="CW603" s="659"/>
      <c r="CX603" s="659"/>
      <c r="CY603" s="659"/>
      <c r="CZ603" s="659"/>
      <c r="DA603" s="659"/>
      <c r="DB603" s="659"/>
      <c r="DC603" s="659"/>
      <c r="DD603" s="659"/>
    </row>
    <row r="604" s="659" customFormat="1" ht="31" customHeight="1" spans="1:108">
      <c r="A604" s="819">
        <v>46171</v>
      </c>
      <c r="B604" s="820" t="s">
        <v>2097</v>
      </c>
      <c r="C604" s="821" t="s">
        <v>115</v>
      </c>
      <c r="D604" s="822" t="s">
        <v>5853</v>
      </c>
      <c r="E604" s="821" t="s">
        <v>628</v>
      </c>
      <c r="F604" s="822" t="s">
        <v>5854</v>
      </c>
      <c r="G604" s="823" t="s">
        <v>3968</v>
      </c>
      <c r="H604" s="708" t="s">
        <v>3969</v>
      </c>
      <c r="I604" s="824">
        <v>4272</v>
      </c>
      <c r="J604" s="821">
        <v>0</v>
      </c>
      <c r="K604" s="821">
        <v>16</v>
      </c>
      <c r="L604" s="821">
        <f t="shared" si="109"/>
        <v>267</v>
      </c>
      <c r="M604" s="825">
        <v>46240</v>
      </c>
      <c r="N604" s="863">
        <v>46238</v>
      </c>
      <c r="O604" s="820"/>
      <c r="P604" s="824"/>
      <c r="Q604" s="627" t="s">
        <v>2758</v>
      </c>
      <c r="R604" s="827">
        <v>46205</v>
      </c>
      <c r="S604" s="828" t="s">
        <v>107</v>
      </c>
      <c r="T604" s="828" t="s">
        <v>5852</v>
      </c>
      <c r="U604" s="828"/>
      <c r="V604" s="829"/>
      <c r="W604" s="828"/>
      <c r="X604" s="894" t="s">
        <v>5855</v>
      </c>
      <c r="Y604" s="825" t="s">
        <v>2102</v>
      </c>
      <c r="Z604" s="830">
        <v>2.7517</v>
      </c>
      <c r="AA604" s="822">
        <f t="shared" si="117"/>
        <v>11755.2624</v>
      </c>
      <c r="AB604" s="831"/>
      <c r="AC604" s="846" t="s">
        <v>3968</v>
      </c>
      <c r="AD604" s="821" t="s">
        <v>112</v>
      </c>
      <c r="AE604" s="821">
        <f t="shared" si="110"/>
        <v>4272</v>
      </c>
      <c r="AF604" s="821" t="s">
        <v>5125</v>
      </c>
      <c r="AG604" s="821">
        <v>4272</v>
      </c>
      <c r="AH604" s="833">
        <f t="shared" si="119"/>
        <v>0</v>
      </c>
      <c r="AI604" s="824"/>
      <c r="AJ604" s="708" t="s">
        <v>3981</v>
      </c>
      <c r="AK604" s="834">
        <f>I604</f>
        <v>4272</v>
      </c>
      <c r="AL604" s="834"/>
      <c r="AM604" s="822"/>
      <c r="AN604" s="834">
        <f t="shared" si="118"/>
        <v>4272</v>
      </c>
      <c r="AO604" s="822"/>
      <c r="AP604" s="822"/>
      <c r="AQ604" s="822"/>
      <c r="AR604" s="822"/>
      <c r="AS604" s="822"/>
      <c r="AT604" s="822"/>
      <c r="AU604" s="834"/>
      <c r="AV604" s="834"/>
      <c r="AW604" s="834"/>
      <c r="AX604" s="822"/>
      <c r="AY604" s="822"/>
      <c r="AZ604" s="822"/>
      <c r="BA604" s="822"/>
      <c r="BB604" s="822"/>
      <c r="BC604" s="822"/>
      <c r="BD604" s="822"/>
      <c r="BE604" s="822"/>
      <c r="BF604" s="822"/>
      <c r="BG604" s="822"/>
      <c r="BH604" s="822"/>
      <c r="BI604" s="822"/>
    </row>
    <row r="605" s="659" customFormat="1" ht="31" customHeight="1" spans="1:108">
      <c r="A605" s="819">
        <v>46149</v>
      </c>
      <c r="B605" s="820" t="s">
        <v>538</v>
      </c>
      <c r="C605" s="821" t="s">
        <v>135</v>
      </c>
      <c r="D605" s="917" t="s">
        <v>5856</v>
      </c>
      <c r="E605" s="821" t="s">
        <v>5857</v>
      </c>
      <c r="F605" s="822" t="s">
        <v>5858</v>
      </c>
      <c r="G605" s="823" t="s">
        <v>3968</v>
      </c>
      <c r="H605" s="821" t="s">
        <v>3969</v>
      </c>
      <c r="I605" s="824">
        <v>960</v>
      </c>
      <c r="J605" s="821">
        <v>0</v>
      </c>
      <c r="K605" s="821">
        <v>16</v>
      </c>
      <c r="L605" s="821">
        <f t="shared" si="109"/>
        <v>60</v>
      </c>
      <c r="M605" s="825">
        <v>46240</v>
      </c>
      <c r="N605" s="863">
        <v>46241</v>
      </c>
      <c r="O605" s="820"/>
      <c r="P605" s="824"/>
      <c r="Q605" s="824"/>
      <c r="R605" s="827" t="s">
        <v>747</v>
      </c>
      <c r="S605" s="829" t="s">
        <v>107</v>
      </c>
      <c r="T605" s="828" t="s">
        <v>5859</v>
      </c>
      <c r="U605" s="828"/>
      <c r="V605" s="829"/>
      <c r="W605" s="828"/>
      <c r="X605" s="894" t="s">
        <v>5860</v>
      </c>
      <c r="Y605" s="825" t="s">
        <v>545</v>
      </c>
      <c r="Z605" s="830">
        <v>4.4798</v>
      </c>
      <c r="AA605" s="822">
        <f t="shared" si="117"/>
        <v>4300.608</v>
      </c>
      <c r="AB605" s="831"/>
      <c r="AC605" s="887" t="s">
        <v>4426</v>
      </c>
      <c r="AD605" s="821" t="s">
        <v>112</v>
      </c>
      <c r="AE605" s="821">
        <f t="shared" si="110"/>
        <v>960</v>
      </c>
      <c r="AF605" s="821"/>
      <c r="AG605" s="708">
        <v>960</v>
      </c>
      <c r="AH605" s="833">
        <f t="shared" si="119"/>
        <v>0</v>
      </c>
      <c r="AI605" s="824"/>
      <c r="AJ605" s="708" t="s">
        <v>3981</v>
      </c>
      <c r="AK605" s="822"/>
      <c r="AL605" s="834">
        <f>I605</f>
        <v>960</v>
      </c>
      <c r="AM605" s="822"/>
      <c r="AN605" s="834">
        <f t="shared" si="118"/>
        <v>960</v>
      </c>
      <c r="AO605" s="822"/>
      <c r="AP605" s="822"/>
      <c r="AQ605" s="822"/>
      <c r="AR605" s="822"/>
      <c r="AS605" s="822"/>
      <c r="AT605" s="822"/>
      <c r="AU605" s="834"/>
      <c r="AV605" s="834"/>
      <c r="AW605" s="834"/>
      <c r="AX605" s="822"/>
      <c r="AY605" s="822"/>
      <c r="AZ605" s="822"/>
      <c r="BA605" s="822"/>
      <c r="BB605" s="822"/>
      <c r="BC605" s="822"/>
      <c r="BD605" s="822"/>
      <c r="BE605" s="822"/>
      <c r="BF605" s="822"/>
      <c r="BG605" s="822"/>
      <c r="BH605" s="822"/>
      <c r="BI605" s="822"/>
      <c r="CS605" s="666"/>
      <c r="CT605" s="666"/>
      <c r="CU605" s="666"/>
      <c r="CV605" s="666"/>
      <c r="CW605" s="666"/>
      <c r="CX605" s="666"/>
      <c r="CY605" s="666"/>
      <c r="CZ605" s="666"/>
      <c r="DA605" s="666"/>
      <c r="DB605" s="666"/>
      <c r="DC605" s="666"/>
      <c r="DD605" s="666"/>
    </row>
    <row r="606" s="654" customFormat="1" ht="31" customHeight="1" spans="1:108">
      <c r="A606" s="713">
        <v>46195</v>
      </c>
      <c r="B606" s="714" t="s">
        <v>743</v>
      </c>
      <c r="C606" s="715" t="s">
        <v>164</v>
      </c>
      <c r="D606" s="837">
        <v>4500213130</v>
      </c>
      <c r="E606" s="715" t="s">
        <v>2737</v>
      </c>
      <c r="F606" s="652" t="s">
        <v>5861</v>
      </c>
      <c r="G606" s="716" t="s">
        <v>3968</v>
      </c>
      <c r="H606" s="715" t="s">
        <v>3969</v>
      </c>
      <c r="I606" s="717">
        <v>1024</v>
      </c>
      <c r="J606" s="715">
        <v>0</v>
      </c>
      <c r="K606" s="715">
        <v>16</v>
      </c>
      <c r="L606" s="715">
        <f t="shared" si="109"/>
        <v>64</v>
      </c>
      <c r="M606" s="719">
        <v>46240</v>
      </c>
      <c r="N606" s="738">
        <v>46242</v>
      </c>
      <c r="O606" s="714"/>
      <c r="P606" s="717" t="s">
        <v>1410</v>
      </c>
      <c r="Q606" s="717" t="s">
        <v>5613</v>
      </c>
      <c r="R606" s="723" t="s">
        <v>747</v>
      </c>
      <c r="S606" s="720" t="s">
        <v>107</v>
      </c>
      <c r="T606" s="720" t="s">
        <v>5862</v>
      </c>
      <c r="U606" s="720"/>
      <c r="V606" s="720"/>
      <c r="W606" s="720"/>
      <c r="X606" s="720" t="s">
        <v>5863</v>
      </c>
      <c r="Y606" s="719" t="s">
        <v>2610</v>
      </c>
      <c r="Z606" s="730">
        <v>4.7154</v>
      </c>
      <c r="AA606" s="652">
        <f t="shared" si="117"/>
        <v>4828.5696</v>
      </c>
      <c r="AB606" s="721"/>
      <c r="AC606" s="652" t="s">
        <v>4426</v>
      </c>
      <c r="AD606" s="715" t="s">
        <v>112</v>
      </c>
      <c r="AE606" s="715">
        <f t="shared" si="110"/>
        <v>1024</v>
      </c>
      <c r="AF606" s="715"/>
      <c r="AG606" s="715">
        <v>1024</v>
      </c>
      <c r="AH606" s="715">
        <f t="shared" si="119"/>
        <v>0</v>
      </c>
      <c r="AI606" s="717" t="s">
        <v>120</v>
      </c>
      <c r="AJ606" s="715" t="s">
        <v>3981</v>
      </c>
      <c r="AK606" s="652"/>
      <c r="AL606" s="652">
        <f>I606</f>
        <v>1024</v>
      </c>
      <c r="AM606" s="652"/>
      <c r="AN606" s="652">
        <f t="shared" si="118"/>
        <v>1024</v>
      </c>
      <c r="AO606" s="652"/>
      <c r="AP606" s="652"/>
      <c r="AQ606" s="652"/>
      <c r="AR606" s="652"/>
      <c r="AS606" s="652"/>
      <c r="AT606" s="652"/>
      <c r="AU606" s="652"/>
      <c r="AV606" s="652"/>
      <c r="AW606" s="652"/>
      <c r="AX606" s="652"/>
      <c r="AY606" s="652"/>
      <c r="AZ606" s="652"/>
      <c r="BA606" s="652"/>
      <c r="BB606" s="652"/>
      <c r="BC606" s="652"/>
      <c r="BD606" s="652"/>
      <c r="BE606" s="652"/>
      <c r="BF606" s="652"/>
      <c r="BG606" s="652"/>
      <c r="BH606" s="652"/>
      <c r="BI606" s="652"/>
      <c r="BJ606" s="650"/>
      <c r="BK606" s="650"/>
      <c r="BL606" s="650"/>
      <c r="BM606" s="650"/>
      <c r="BN606" s="650"/>
      <c r="BO606" s="650"/>
      <c r="BP606" s="650"/>
      <c r="BQ606" s="650"/>
      <c r="BR606" s="650"/>
      <c r="BS606" s="650"/>
      <c r="BT606" s="650"/>
      <c r="BU606" s="650"/>
      <c r="BV606" s="650"/>
      <c r="BW606" s="650"/>
      <c r="BX606" s="650"/>
      <c r="BY606" s="650"/>
      <c r="BZ606" s="650"/>
      <c r="CA606" s="650"/>
      <c r="CB606" s="650"/>
      <c r="CC606" s="650"/>
      <c r="CD606" s="650"/>
      <c r="CE606" s="650"/>
      <c r="CF606" s="650"/>
      <c r="CG606" s="650"/>
      <c r="CH606" s="650"/>
      <c r="CI606" s="650"/>
      <c r="CJ606" s="650"/>
      <c r="CK606" s="650"/>
      <c r="CL606" s="650"/>
      <c r="CM606" s="650"/>
      <c r="CN606" s="650"/>
      <c r="CO606" s="650"/>
      <c r="CP606" s="650"/>
      <c r="CQ606" s="650"/>
      <c r="CR606" s="650"/>
      <c r="CS606" s="650"/>
      <c r="CT606" s="650"/>
      <c r="CU606" s="650"/>
      <c r="CV606" s="650"/>
      <c r="CW606" s="650"/>
      <c r="CX606" s="650"/>
      <c r="CY606" s="650"/>
      <c r="CZ606" s="650"/>
      <c r="DA606" s="650"/>
      <c r="DB606" s="650"/>
      <c r="DC606" s="650"/>
      <c r="DD606" s="650"/>
    </row>
    <row r="607" s="654" customFormat="1" ht="31" customHeight="1" spans="1:108">
      <c r="A607" s="713">
        <v>46195</v>
      </c>
      <c r="B607" s="714" t="s">
        <v>743</v>
      </c>
      <c r="C607" s="715" t="s">
        <v>164</v>
      </c>
      <c r="D607" s="837">
        <v>4500213130</v>
      </c>
      <c r="E607" s="715" t="s">
        <v>2741</v>
      </c>
      <c r="F607" s="652" t="s">
        <v>5864</v>
      </c>
      <c r="G607" s="716" t="s">
        <v>3968</v>
      </c>
      <c r="H607" s="715" t="s">
        <v>3969</v>
      </c>
      <c r="I607" s="717">
        <v>1024</v>
      </c>
      <c r="J607" s="715">
        <v>0</v>
      </c>
      <c r="K607" s="715">
        <v>16</v>
      </c>
      <c r="L607" s="715">
        <f t="shared" si="109"/>
        <v>64</v>
      </c>
      <c r="M607" s="719">
        <v>46240</v>
      </c>
      <c r="N607" s="738">
        <v>46242</v>
      </c>
      <c r="O607" s="714"/>
      <c r="P607" s="717" t="s">
        <v>1410</v>
      </c>
      <c r="Q607" s="717" t="s">
        <v>5613</v>
      </c>
      <c r="R607" s="723" t="s">
        <v>747</v>
      </c>
      <c r="S607" s="720" t="s">
        <v>107</v>
      </c>
      <c r="T607" s="720" t="s">
        <v>5862</v>
      </c>
      <c r="U607" s="720"/>
      <c r="V607" s="720"/>
      <c r="W607" s="720"/>
      <c r="X607" s="720" t="s">
        <v>5863</v>
      </c>
      <c r="Y607" s="719" t="s">
        <v>2610</v>
      </c>
      <c r="Z607" s="730">
        <v>4.7154</v>
      </c>
      <c r="AA607" s="652">
        <f t="shared" si="117"/>
        <v>4828.5696</v>
      </c>
      <c r="AB607" s="721"/>
      <c r="AC607" s="652" t="s">
        <v>4426</v>
      </c>
      <c r="AD607" s="715" t="s">
        <v>112</v>
      </c>
      <c r="AE607" s="715">
        <f t="shared" si="110"/>
        <v>1024</v>
      </c>
      <c r="AF607" s="715"/>
      <c r="AG607" s="715">
        <v>1024</v>
      </c>
      <c r="AH607" s="715">
        <f t="shared" si="119"/>
        <v>0</v>
      </c>
      <c r="AI607" s="717" t="s">
        <v>120</v>
      </c>
      <c r="AJ607" s="715" t="s">
        <v>3981</v>
      </c>
      <c r="AK607" s="652"/>
      <c r="AL607" s="652">
        <f>I607</f>
        <v>1024</v>
      </c>
      <c r="AM607" s="652"/>
      <c r="AN607" s="652">
        <f t="shared" si="118"/>
        <v>1024</v>
      </c>
      <c r="AO607" s="652"/>
      <c r="AP607" s="652"/>
      <c r="AQ607" s="652"/>
      <c r="AR607" s="652"/>
      <c r="AS607" s="652"/>
      <c r="AT607" s="652"/>
      <c r="AU607" s="652"/>
      <c r="AV607" s="652"/>
      <c r="AW607" s="652"/>
      <c r="AX607" s="652"/>
      <c r="AY607" s="652"/>
      <c r="AZ607" s="652"/>
      <c r="BA607" s="652"/>
      <c r="BB607" s="652"/>
      <c r="BC607" s="652"/>
      <c r="BD607" s="652"/>
      <c r="BE607" s="652"/>
      <c r="BF607" s="652"/>
      <c r="BG607" s="652"/>
      <c r="BH607" s="652"/>
      <c r="BI607" s="652"/>
      <c r="BJ607" s="650"/>
      <c r="BK607" s="650"/>
      <c r="BL607" s="650"/>
      <c r="BM607" s="650"/>
      <c r="BN607" s="650"/>
      <c r="BO607" s="650"/>
      <c r="BP607" s="650"/>
      <c r="BQ607" s="650"/>
      <c r="BR607" s="650"/>
      <c r="BS607" s="650"/>
      <c r="BT607" s="650"/>
      <c r="BU607" s="650"/>
      <c r="BV607" s="650"/>
      <c r="BW607" s="650"/>
      <c r="BX607" s="650"/>
      <c r="BY607" s="650"/>
      <c r="BZ607" s="650"/>
      <c r="CA607" s="650"/>
      <c r="CB607" s="650"/>
      <c r="CC607" s="650"/>
      <c r="CD607" s="650"/>
      <c r="CE607" s="650"/>
      <c r="CF607" s="650"/>
      <c r="CG607" s="650"/>
      <c r="CH607" s="650"/>
      <c r="CI607" s="650"/>
      <c r="CJ607" s="650"/>
      <c r="CK607" s="650"/>
      <c r="CL607" s="650"/>
      <c r="CM607" s="650"/>
      <c r="CN607" s="650"/>
      <c r="CO607" s="650"/>
      <c r="CP607" s="650"/>
      <c r="CQ607" s="650"/>
      <c r="CR607" s="650"/>
      <c r="CS607" s="650"/>
      <c r="CT607" s="650"/>
      <c r="CU607" s="650"/>
      <c r="CV607" s="650"/>
      <c r="CW607" s="650"/>
      <c r="CX607" s="650"/>
      <c r="CY607" s="650"/>
      <c r="CZ607" s="650"/>
      <c r="DA607" s="650"/>
      <c r="DB607" s="650"/>
      <c r="DC607" s="650"/>
      <c r="DD607" s="650"/>
    </row>
    <row r="608" s="665" customFormat="1" ht="31" customHeight="1" spans="1:108">
      <c r="A608" s="819">
        <v>46167</v>
      </c>
      <c r="B608" s="820" t="s">
        <v>2687</v>
      </c>
      <c r="C608" s="821" t="s">
        <v>201</v>
      </c>
      <c r="D608" s="822" t="s">
        <v>5865</v>
      </c>
      <c r="E608" s="821" t="s">
        <v>5866</v>
      </c>
      <c r="F608" s="822" t="s">
        <v>5867</v>
      </c>
      <c r="G608" s="823" t="s">
        <v>3980</v>
      </c>
      <c r="H608" s="708" t="s">
        <v>3978</v>
      </c>
      <c r="I608" s="824">
        <v>120</v>
      </c>
      <c r="J608" s="821">
        <v>0</v>
      </c>
      <c r="K608" s="821">
        <v>8</v>
      </c>
      <c r="L608" s="821">
        <f t="shared" si="109"/>
        <v>15</v>
      </c>
      <c r="M608" s="825">
        <v>46241</v>
      </c>
      <c r="N608" s="826">
        <v>46237</v>
      </c>
      <c r="O608" s="820"/>
      <c r="P608" s="824"/>
      <c r="Q608" s="824"/>
      <c r="R608" s="827">
        <v>46174</v>
      </c>
      <c r="S608" s="829" t="s">
        <v>95</v>
      </c>
      <c r="T608" s="828" t="s">
        <v>5564</v>
      </c>
      <c r="U608" s="828"/>
      <c r="V608" s="829"/>
      <c r="W608" s="828"/>
      <c r="X608" s="828" t="s">
        <v>5868</v>
      </c>
      <c r="Y608" s="825" t="s">
        <v>2692</v>
      </c>
      <c r="Z608" s="830">
        <v>4.7079</v>
      </c>
      <c r="AA608" s="822">
        <f t="shared" si="117"/>
        <v>564.948</v>
      </c>
      <c r="AB608" s="831"/>
      <c r="AC608" s="867" t="s">
        <v>4031</v>
      </c>
      <c r="AD608" s="821" t="s">
        <v>112</v>
      </c>
      <c r="AE608" s="821">
        <f t="shared" si="110"/>
        <v>120</v>
      </c>
      <c r="AF608" s="821"/>
      <c r="AG608" s="708">
        <v>120</v>
      </c>
      <c r="AH608" s="833">
        <f t="shared" si="119"/>
        <v>0</v>
      </c>
      <c r="AI608" s="824"/>
      <c r="AJ608" s="708" t="s">
        <v>3981</v>
      </c>
      <c r="AK608" s="822"/>
      <c r="AL608" s="868">
        <f>I608</f>
        <v>120</v>
      </c>
      <c r="AM608" s="822"/>
      <c r="AN608" s="834">
        <f t="shared" si="118"/>
        <v>120</v>
      </c>
      <c r="AO608" s="822"/>
      <c r="AP608" s="822"/>
      <c r="AQ608" s="822"/>
      <c r="AR608" s="822"/>
      <c r="AS608" s="822"/>
      <c r="AT608" s="822"/>
      <c r="AU608" s="868">
        <f>I608/8</f>
        <v>15</v>
      </c>
      <c r="AV608" s="834"/>
      <c r="AW608" s="834"/>
      <c r="AX608" s="822"/>
      <c r="AY608" s="822"/>
      <c r="AZ608" s="822"/>
      <c r="BA608" s="822"/>
      <c r="BB608" s="822"/>
      <c r="BC608" s="822"/>
      <c r="BD608" s="822"/>
      <c r="BE608" s="822"/>
      <c r="BF608" s="822"/>
      <c r="BG608" s="822"/>
      <c r="BH608" s="822"/>
      <c r="BI608" s="822"/>
      <c r="BJ608" s="659"/>
      <c r="BK608" s="659"/>
      <c r="BL608" s="659"/>
      <c r="BM608" s="659"/>
      <c r="BN608" s="659"/>
      <c r="BO608" s="659"/>
      <c r="BP608" s="659"/>
      <c r="BQ608" s="659"/>
      <c r="BR608" s="659"/>
      <c r="BS608" s="659"/>
      <c r="BT608" s="659"/>
      <c r="BU608" s="659"/>
      <c r="BV608" s="659"/>
      <c r="BW608" s="659"/>
      <c r="BX608" s="659"/>
      <c r="BY608" s="659"/>
      <c r="BZ608" s="659"/>
      <c r="CA608" s="659"/>
      <c r="CB608" s="659"/>
      <c r="CC608" s="659"/>
      <c r="CD608" s="659"/>
      <c r="CE608" s="659"/>
      <c r="CF608" s="659"/>
      <c r="CG608" s="659"/>
      <c r="CH608" s="659"/>
      <c r="CI608" s="659"/>
      <c r="CJ608" s="659"/>
      <c r="CK608" s="659"/>
      <c r="CL608" s="659"/>
      <c r="CM608" s="659"/>
      <c r="CN608" s="659"/>
      <c r="CO608" s="659"/>
      <c r="CP608" s="659"/>
      <c r="CQ608" s="659"/>
      <c r="CR608" s="659"/>
      <c r="CS608" s="659"/>
      <c r="CT608" s="659"/>
      <c r="CU608" s="659"/>
      <c r="CV608" s="659"/>
      <c r="CW608" s="659"/>
      <c r="CX608" s="659"/>
      <c r="CY608" s="659"/>
      <c r="CZ608" s="659"/>
      <c r="DA608" s="659"/>
      <c r="DB608" s="659"/>
      <c r="DC608" s="659"/>
      <c r="DD608" s="659"/>
    </row>
    <row r="609" s="650" customFormat="1" ht="31" customHeight="1" spans="1:108">
      <c r="A609" s="713">
        <v>46162</v>
      </c>
      <c r="B609" s="714" t="s">
        <v>2751</v>
      </c>
      <c r="C609" s="715" t="s">
        <v>115</v>
      </c>
      <c r="D609" s="652" t="s">
        <v>5869</v>
      </c>
      <c r="E609" s="715" t="s">
        <v>628</v>
      </c>
      <c r="F609" s="652" t="s">
        <v>5870</v>
      </c>
      <c r="G609" s="716" t="s">
        <v>3973</v>
      </c>
      <c r="H609" s="715" t="s">
        <v>3995</v>
      </c>
      <c r="I609" s="717">
        <v>880</v>
      </c>
      <c r="J609" s="715">
        <v>0</v>
      </c>
      <c r="K609" s="715">
        <v>16</v>
      </c>
      <c r="L609" s="715">
        <f t="shared" si="109"/>
        <v>55</v>
      </c>
      <c r="M609" s="719">
        <v>46241</v>
      </c>
      <c r="N609" s="719">
        <v>46237</v>
      </c>
      <c r="O609" s="714"/>
      <c r="P609" s="717" t="s">
        <v>1410</v>
      </c>
      <c r="Q609" s="717" t="s">
        <v>5871</v>
      </c>
      <c r="R609" s="723" t="s">
        <v>2658</v>
      </c>
      <c r="S609" s="720" t="s">
        <v>107</v>
      </c>
      <c r="T609" s="720" t="s">
        <v>95</v>
      </c>
      <c r="U609" s="720"/>
      <c r="V609" s="720"/>
      <c r="W609" s="720"/>
      <c r="X609" s="720" t="s">
        <v>2753</v>
      </c>
      <c r="Y609" s="719" t="s">
        <v>2754</v>
      </c>
      <c r="Z609" s="730">
        <v>2.8715</v>
      </c>
      <c r="AA609" s="652">
        <f t="shared" si="117"/>
        <v>2526.92</v>
      </c>
      <c r="AB609" s="721"/>
      <c r="AC609" s="714" t="s">
        <v>3973</v>
      </c>
      <c r="AD609" s="715" t="s">
        <v>112</v>
      </c>
      <c r="AE609" s="715">
        <f t="shared" si="110"/>
        <v>880</v>
      </c>
      <c r="AF609" s="715" t="s">
        <v>5125</v>
      </c>
      <c r="AG609" s="715">
        <v>880</v>
      </c>
      <c r="AH609" s="715">
        <f t="shared" si="119"/>
        <v>0</v>
      </c>
      <c r="AI609" s="717" t="s">
        <v>95</v>
      </c>
      <c r="AJ609" s="715" t="s">
        <v>3981</v>
      </c>
      <c r="AK609" s="652">
        <f>I609</f>
        <v>880</v>
      </c>
      <c r="AL609" s="652"/>
      <c r="AM609" s="652"/>
      <c r="AN609" s="652">
        <f t="shared" si="118"/>
        <v>880</v>
      </c>
      <c r="AO609" s="652"/>
      <c r="AP609" s="652"/>
      <c r="AQ609" s="652"/>
      <c r="AR609" s="652"/>
      <c r="AS609" s="652"/>
      <c r="AT609" s="652">
        <f>I609/8</f>
        <v>110</v>
      </c>
      <c r="AU609" s="652"/>
      <c r="AV609" s="652"/>
      <c r="AW609" s="652"/>
      <c r="AX609" s="652"/>
      <c r="AY609" s="652"/>
      <c r="AZ609" s="652"/>
      <c r="BA609" s="652"/>
      <c r="BB609" s="652"/>
      <c r="BC609" s="652"/>
      <c r="BD609" s="652"/>
      <c r="BE609" s="652"/>
      <c r="BF609" s="652"/>
      <c r="BG609" s="652"/>
      <c r="BH609" s="652"/>
      <c r="BI609" s="652"/>
      <c r="BJ609" s="651"/>
      <c r="BK609" s="651"/>
      <c r="BL609" s="651"/>
      <c r="BM609" s="651"/>
      <c r="BN609" s="651"/>
      <c r="BO609" s="651"/>
      <c r="BP609" s="651"/>
      <c r="BQ609" s="651"/>
      <c r="BR609" s="651"/>
      <c r="BS609" s="651"/>
      <c r="BT609" s="651"/>
      <c r="BU609" s="651"/>
      <c r="BV609" s="651"/>
      <c r="BW609" s="651"/>
      <c r="BX609" s="651"/>
      <c r="BY609" s="651"/>
      <c r="BZ609" s="651"/>
      <c r="CA609" s="651"/>
      <c r="CB609" s="651"/>
      <c r="CC609" s="651"/>
      <c r="CD609" s="651"/>
      <c r="CE609" s="651"/>
      <c r="CF609" s="651"/>
      <c r="CG609" s="651"/>
      <c r="CH609" s="651"/>
      <c r="CI609" s="651"/>
      <c r="CJ609" s="651"/>
      <c r="CK609" s="651"/>
      <c r="CL609" s="651"/>
      <c r="CM609" s="651"/>
      <c r="CN609" s="651"/>
      <c r="CO609" s="651"/>
      <c r="CP609" s="651"/>
      <c r="CQ609" s="651"/>
      <c r="CR609" s="651"/>
      <c r="CS609" s="654"/>
      <c r="CT609" s="654"/>
      <c r="CU609" s="654"/>
      <c r="CV609" s="654"/>
      <c r="CW609" s="654"/>
      <c r="CX609" s="654"/>
      <c r="CY609" s="654"/>
      <c r="CZ609" s="654"/>
      <c r="DA609" s="654"/>
      <c r="DB609" s="654"/>
      <c r="DC609" s="654"/>
      <c r="DD609" s="654"/>
    </row>
    <row r="610" s="666" customFormat="1" ht="31" customHeight="1" spans="1:108">
      <c r="A610" s="859">
        <v>46142</v>
      </c>
      <c r="B610" s="860" t="s">
        <v>3527</v>
      </c>
      <c r="C610" s="708" t="s">
        <v>2458</v>
      </c>
      <c r="D610" s="834">
        <v>4500204935</v>
      </c>
      <c r="E610" s="708" t="s">
        <v>5872</v>
      </c>
      <c r="F610" s="834" t="s">
        <v>5873</v>
      </c>
      <c r="G610" s="846" t="s">
        <v>5874</v>
      </c>
      <c r="H610" s="708" t="s">
        <v>3978</v>
      </c>
      <c r="I610" s="861">
        <v>800</v>
      </c>
      <c r="J610" s="708">
        <v>0</v>
      </c>
      <c r="K610" s="708">
        <v>8</v>
      </c>
      <c r="L610" s="708">
        <f t="shared" si="109"/>
        <v>100</v>
      </c>
      <c r="M610" s="862">
        <v>46241</v>
      </c>
      <c r="N610" s="862">
        <v>46237</v>
      </c>
      <c r="O610" s="922" t="s">
        <v>2463</v>
      </c>
      <c r="P610" s="861"/>
      <c r="Q610" s="861"/>
      <c r="R610" s="827" t="s">
        <v>5875</v>
      </c>
      <c r="S610" s="829" t="s">
        <v>107</v>
      </c>
      <c r="T610" s="829" t="s">
        <v>5876</v>
      </c>
      <c r="U610" s="829"/>
      <c r="V610" s="829" t="s">
        <v>4056</v>
      </c>
      <c r="W610" s="829"/>
      <c r="X610" s="829" t="s">
        <v>5877</v>
      </c>
      <c r="Y610" s="862" t="s">
        <v>3531</v>
      </c>
      <c r="Z610" s="866">
        <v>4.4941</v>
      </c>
      <c r="AA610" s="834">
        <f t="shared" si="117"/>
        <v>3595.28</v>
      </c>
      <c r="AB610" s="831"/>
      <c r="AC610" s="846" t="s">
        <v>5874</v>
      </c>
      <c r="AD610" s="821" t="s">
        <v>112</v>
      </c>
      <c r="AE610" s="708">
        <f t="shared" si="110"/>
        <v>800</v>
      </c>
      <c r="AF610" s="821"/>
      <c r="AG610" s="708"/>
      <c r="AH610" s="833">
        <f t="shared" si="119"/>
        <v>-800</v>
      </c>
      <c r="AI610" s="861"/>
      <c r="AJ610" s="708" t="s">
        <v>3981</v>
      </c>
      <c r="AK610" s="834">
        <f>I610</f>
        <v>800</v>
      </c>
      <c r="AL610" s="834"/>
      <c r="AM610" s="834"/>
      <c r="AN610" s="834"/>
      <c r="AO610" s="834"/>
      <c r="AP610" s="834">
        <f>I610</f>
        <v>800</v>
      </c>
      <c r="AQ610" s="834"/>
      <c r="AR610" s="834"/>
      <c r="AS610" s="834"/>
      <c r="AT610" s="822">
        <f>I610/8</f>
        <v>100</v>
      </c>
      <c r="AU610" s="834"/>
      <c r="AV610" s="834"/>
      <c r="AW610" s="834"/>
      <c r="AX610" s="834"/>
      <c r="AY610" s="834"/>
      <c r="AZ610" s="834"/>
      <c r="BA610" s="834"/>
      <c r="BB610" s="834"/>
      <c r="BC610" s="834"/>
      <c r="BD610" s="834"/>
      <c r="BE610" s="834"/>
      <c r="BF610" s="834"/>
      <c r="BG610" s="834"/>
      <c r="BH610" s="834"/>
      <c r="BI610" s="834"/>
      <c r="BJ610" s="835"/>
      <c r="BK610" s="835"/>
      <c r="BL610" s="835"/>
      <c r="BM610" s="835"/>
      <c r="BN610" s="835"/>
      <c r="BO610" s="835"/>
      <c r="BP610" s="835"/>
      <c r="BQ610" s="835"/>
      <c r="BR610" s="835"/>
      <c r="BS610" s="835"/>
      <c r="BT610" s="835"/>
      <c r="BU610" s="835"/>
      <c r="BV610" s="835"/>
      <c r="BW610" s="835"/>
      <c r="BX610" s="835"/>
      <c r="BY610" s="835"/>
      <c r="BZ610" s="835"/>
      <c r="CA610" s="835"/>
      <c r="CB610" s="835"/>
      <c r="CC610" s="835"/>
      <c r="CD610" s="835"/>
      <c r="CE610" s="835"/>
      <c r="CF610" s="835"/>
      <c r="CG610" s="835"/>
      <c r="CH610" s="835"/>
      <c r="CI610" s="835"/>
      <c r="CJ610" s="835"/>
      <c r="CK610" s="835"/>
      <c r="CL610" s="835"/>
      <c r="CM610" s="835"/>
      <c r="CN610" s="835"/>
      <c r="CO610" s="835"/>
      <c r="CP610" s="835"/>
      <c r="CQ610" s="835"/>
      <c r="CR610" s="835"/>
      <c r="CS610" s="662"/>
      <c r="CT610" s="662"/>
      <c r="CU610" s="662"/>
      <c r="CV610" s="662"/>
      <c r="CW610" s="662"/>
      <c r="CX610" s="662"/>
      <c r="CY610" s="662"/>
      <c r="CZ610" s="662"/>
      <c r="DA610" s="662"/>
      <c r="DB610" s="662"/>
      <c r="DC610" s="662"/>
      <c r="DD610" s="662"/>
    </row>
    <row r="611" s="654" customFormat="1" ht="31" customHeight="1" spans="1:108">
      <c r="A611" s="713">
        <v>46185</v>
      </c>
      <c r="B611" s="714" t="s">
        <v>438</v>
      </c>
      <c r="C611" s="715" t="s">
        <v>115</v>
      </c>
      <c r="D611" s="652">
        <v>4500212076</v>
      </c>
      <c r="E611" s="715" t="s">
        <v>5878</v>
      </c>
      <c r="F611" s="652" t="s">
        <v>5879</v>
      </c>
      <c r="G611" s="716" t="s">
        <v>3980</v>
      </c>
      <c r="H611" s="715" t="s">
        <v>3978</v>
      </c>
      <c r="I611" s="717">
        <v>36712</v>
      </c>
      <c r="J611" s="715">
        <v>0</v>
      </c>
      <c r="K611" s="715">
        <v>8</v>
      </c>
      <c r="L611" s="715">
        <f t="shared" si="109"/>
        <v>4589</v>
      </c>
      <c r="M611" s="719">
        <v>46241</v>
      </c>
      <c r="N611" s="719">
        <v>46237</v>
      </c>
      <c r="O611" s="714"/>
      <c r="P611" s="717" t="s">
        <v>1410</v>
      </c>
      <c r="Q611" s="717" t="s">
        <v>1241</v>
      </c>
      <c r="R611" s="723" t="s">
        <v>5880</v>
      </c>
      <c r="S611" s="720" t="s">
        <v>107</v>
      </c>
      <c r="T611" s="720" t="s">
        <v>5881</v>
      </c>
      <c r="U611" s="720"/>
      <c r="V611" s="720"/>
      <c r="W611" s="720"/>
      <c r="X611" s="720" t="s">
        <v>5882</v>
      </c>
      <c r="Y611" s="719" t="s">
        <v>443</v>
      </c>
      <c r="Z611" s="730">
        <v>2.7651</v>
      </c>
      <c r="AA611" s="652">
        <f t="shared" si="117"/>
        <v>101512.3512</v>
      </c>
      <c r="AB611" s="721"/>
      <c r="AC611" s="722" t="s">
        <v>3980</v>
      </c>
      <c r="AD611" s="715" t="s">
        <v>112</v>
      </c>
      <c r="AE611" s="715">
        <f t="shared" si="110"/>
        <v>36712</v>
      </c>
      <c r="AF611" s="715"/>
      <c r="AG611" s="715">
        <f>3840+32872</f>
        <v>36712</v>
      </c>
      <c r="AH611" s="715">
        <f t="shared" si="119"/>
        <v>0</v>
      </c>
      <c r="AI611" s="717" t="s">
        <v>120</v>
      </c>
      <c r="AJ611" s="715" t="s">
        <v>3981</v>
      </c>
      <c r="AK611" s="652">
        <f>I611</f>
        <v>36712</v>
      </c>
      <c r="AL611" s="652"/>
      <c r="AM611" s="652"/>
      <c r="AN611" s="652">
        <f>I611</f>
        <v>36712</v>
      </c>
      <c r="AO611" s="652"/>
      <c r="AP611" s="652"/>
      <c r="AQ611" s="652"/>
      <c r="AR611" s="652"/>
      <c r="AS611" s="652"/>
      <c r="AT611" s="652">
        <f>I611/8</f>
        <v>4589</v>
      </c>
      <c r="AU611" s="652"/>
      <c r="AV611" s="652"/>
      <c r="AW611" s="652"/>
      <c r="AX611" s="652"/>
      <c r="AY611" s="652"/>
      <c r="AZ611" s="652"/>
      <c r="BA611" s="652"/>
      <c r="BB611" s="652"/>
      <c r="BC611" s="652"/>
      <c r="BD611" s="652"/>
      <c r="BE611" s="652"/>
      <c r="BF611" s="652"/>
      <c r="BG611" s="652"/>
      <c r="BH611" s="652"/>
      <c r="BI611" s="652"/>
      <c r="BJ611" s="650"/>
      <c r="BK611" s="650"/>
      <c r="BL611" s="650"/>
      <c r="BM611" s="650"/>
      <c r="BN611" s="650"/>
      <c r="BO611" s="650"/>
      <c r="BP611" s="650"/>
      <c r="BQ611" s="650"/>
      <c r="BR611" s="650"/>
      <c r="BS611" s="650"/>
      <c r="BT611" s="650"/>
      <c r="BU611" s="650"/>
      <c r="BV611" s="650"/>
      <c r="BW611" s="650"/>
      <c r="BX611" s="650"/>
      <c r="BY611" s="650"/>
      <c r="BZ611" s="650"/>
      <c r="CA611" s="650"/>
      <c r="CB611" s="650"/>
      <c r="CC611" s="650"/>
      <c r="CD611" s="650"/>
      <c r="CE611" s="650"/>
      <c r="CF611" s="650"/>
      <c r="CG611" s="650"/>
      <c r="CH611" s="650"/>
      <c r="CI611" s="650"/>
      <c r="CJ611" s="650"/>
      <c r="CK611" s="650"/>
      <c r="CL611" s="650"/>
      <c r="CM611" s="650"/>
      <c r="CN611" s="650"/>
      <c r="CO611" s="650"/>
      <c r="CP611" s="650"/>
      <c r="CQ611" s="650"/>
      <c r="CR611" s="650"/>
      <c r="CS611" s="651"/>
      <c r="CT611" s="651"/>
      <c r="CU611" s="651"/>
      <c r="CV611" s="651"/>
      <c r="CW611" s="651"/>
      <c r="CX611" s="651"/>
      <c r="CY611" s="651"/>
      <c r="CZ611" s="651"/>
      <c r="DA611" s="651"/>
      <c r="DB611" s="651"/>
      <c r="DC611" s="651"/>
      <c r="DD611" s="651"/>
    </row>
    <row r="612" s="650" customFormat="1" ht="31" customHeight="1" spans="1:108">
      <c r="A612" s="713">
        <v>46182</v>
      </c>
      <c r="B612" s="714" t="s">
        <v>432</v>
      </c>
      <c r="C612" s="715" t="s">
        <v>433</v>
      </c>
      <c r="D612" s="652">
        <v>4500210963</v>
      </c>
      <c r="E612" s="715"/>
      <c r="F612" s="652" t="s">
        <v>5883</v>
      </c>
      <c r="G612" s="716" t="s">
        <v>3973</v>
      </c>
      <c r="H612" s="715" t="s">
        <v>3995</v>
      </c>
      <c r="I612" s="717">
        <v>3424</v>
      </c>
      <c r="J612" s="715">
        <v>0</v>
      </c>
      <c r="K612" s="715">
        <v>16</v>
      </c>
      <c r="L612" s="715">
        <f t="shared" si="109"/>
        <v>214</v>
      </c>
      <c r="M612" s="719">
        <v>46241</v>
      </c>
      <c r="N612" s="738">
        <v>46239</v>
      </c>
      <c r="O612" s="714"/>
      <c r="P612" s="717" t="s">
        <v>1410</v>
      </c>
      <c r="Q612" s="717"/>
      <c r="R612" s="723" t="s">
        <v>1416</v>
      </c>
      <c r="S612" s="720" t="s">
        <v>107</v>
      </c>
      <c r="T612" s="720" t="s">
        <v>5884</v>
      </c>
      <c r="U612" s="720"/>
      <c r="V612" s="720"/>
      <c r="W612" s="720"/>
      <c r="X612" s="720" t="s">
        <v>5885</v>
      </c>
      <c r="Y612" s="719" t="s">
        <v>437</v>
      </c>
      <c r="Z612" s="730">
        <v>4.8226</v>
      </c>
      <c r="AA612" s="652">
        <f t="shared" si="117"/>
        <v>16512.5824</v>
      </c>
      <c r="AB612" s="721"/>
      <c r="AC612" s="714" t="s">
        <v>3973</v>
      </c>
      <c r="AD612" s="715" t="s">
        <v>112</v>
      </c>
      <c r="AE612" s="715">
        <f t="shared" si="110"/>
        <v>3424</v>
      </c>
      <c r="AF612" s="715"/>
      <c r="AG612" s="715">
        <v>3424</v>
      </c>
      <c r="AH612" s="715">
        <f t="shared" si="119"/>
        <v>0</v>
      </c>
      <c r="AI612" s="717"/>
      <c r="AJ612" s="715" t="s">
        <v>3981</v>
      </c>
      <c r="AK612" s="652">
        <f>I612</f>
        <v>3424</v>
      </c>
      <c r="AL612" s="652"/>
      <c r="AM612" s="652"/>
      <c r="AN612" s="652">
        <f>I612</f>
        <v>3424</v>
      </c>
      <c r="AO612" s="652"/>
      <c r="AP612" s="652"/>
      <c r="AQ612" s="652"/>
      <c r="AR612" s="652"/>
      <c r="AS612" s="652"/>
      <c r="AT612" s="652"/>
      <c r="AU612" s="652">
        <f>I612/8</f>
        <v>428</v>
      </c>
      <c r="AV612" s="652"/>
      <c r="AW612" s="652"/>
      <c r="AX612" s="652"/>
      <c r="AY612" s="652"/>
      <c r="AZ612" s="652"/>
      <c r="BA612" s="652"/>
      <c r="BB612" s="652"/>
      <c r="BC612" s="652"/>
      <c r="BD612" s="652"/>
      <c r="BE612" s="652"/>
      <c r="BF612" s="652"/>
      <c r="BG612" s="652"/>
      <c r="BH612" s="652"/>
      <c r="BI612" s="652"/>
    </row>
    <row r="613" s="654" customFormat="1" ht="31" customHeight="1" spans="1:108">
      <c r="A613" s="713">
        <v>46182</v>
      </c>
      <c r="B613" s="714" t="s">
        <v>2772</v>
      </c>
      <c r="C613" s="715" t="s">
        <v>810</v>
      </c>
      <c r="D613" s="652">
        <v>4500211395</v>
      </c>
      <c r="E613" s="715"/>
      <c r="F613" s="652" t="s">
        <v>5886</v>
      </c>
      <c r="G613" s="716" t="s">
        <v>3980</v>
      </c>
      <c r="H613" s="715" t="s">
        <v>3978</v>
      </c>
      <c r="I613" s="717">
        <v>320</v>
      </c>
      <c r="J613" s="715">
        <v>0</v>
      </c>
      <c r="K613" s="715">
        <v>8</v>
      </c>
      <c r="L613" s="715">
        <f t="shared" si="109"/>
        <v>40</v>
      </c>
      <c r="M613" s="719">
        <v>46241</v>
      </c>
      <c r="N613" s="738">
        <v>46239</v>
      </c>
      <c r="O613" s="714"/>
      <c r="P613" s="717" t="s">
        <v>1410</v>
      </c>
      <c r="Q613" s="717" t="s">
        <v>2406</v>
      </c>
      <c r="R613" s="723" t="s">
        <v>5887</v>
      </c>
      <c r="S613" s="720" t="s">
        <v>107</v>
      </c>
      <c r="T613" s="720" t="s">
        <v>5888</v>
      </c>
      <c r="U613" s="720"/>
      <c r="V613" s="720"/>
      <c r="W613" s="720"/>
      <c r="X613" s="720" t="s">
        <v>5889</v>
      </c>
      <c r="Y613" s="719" t="s">
        <v>722</v>
      </c>
      <c r="Z613" s="730">
        <v>4.7079</v>
      </c>
      <c r="AA613" s="652">
        <f t="shared" si="117"/>
        <v>1506.528</v>
      </c>
      <c r="AB613" s="721"/>
      <c r="AC613" s="722" t="s">
        <v>4031</v>
      </c>
      <c r="AD613" s="715" t="s">
        <v>112</v>
      </c>
      <c r="AE613" s="715">
        <f t="shared" si="110"/>
        <v>320</v>
      </c>
      <c r="AF613" s="715" t="s">
        <v>4109</v>
      </c>
      <c r="AG613" s="715">
        <v>320</v>
      </c>
      <c r="AH613" s="715">
        <f t="shared" si="119"/>
        <v>0</v>
      </c>
      <c r="AI613" s="717"/>
      <c r="AJ613" s="715" t="s">
        <v>3981</v>
      </c>
      <c r="AK613" s="652"/>
      <c r="AL613" s="652">
        <f>I613</f>
        <v>320</v>
      </c>
      <c r="AM613" s="652"/>
      <c r="AN613" s="652">
        <f>I613</f>
        <v>320</v>
      </c>
      <c r="AO613" s="652"/>
      <c r="AP613" s="652"/>
      <c r="AQ613" s="652"/>
      <c r="AR613" s="652"/>
      <c r="AS613" s="652"/>
      <c r="AT613" s="652"/>
      <c r="AU613" s="652">
        <f>I613/8</f>
        <v>40</v>
      </c>
      <c r="AV613" s="652"/>
      <c r="AW613" s="652"/>
      <c r="AX613" s="652"/>
      <c r="AY613" s="652"/>
      <c r="AZ613" s="652"/>
      <c r="BA613" s="652"/>
      <c r="BB613" s="652"/>
      <c r="BC613" s="652"/>
      <c r="BD613" s="652"/>
      <c r="BE613" s="652"/>
      <c r="BF613" s="652"/>
      <c r="BG613" s="652"/>
      <c r="BH613" s="652"/>
      <c r="BI613" s="652"/>
      <c r="BJ613" s="650"/>
      <c r="BK613" s="650"/>
      <c r="BL613" s="650"/>
      <c r="BM613" s="650"/>
      <c r="BN613" s="650"/>
      <c r="BO613" s="650"/>
      <c r="BP613" s="650"/>
      <c r="BQ613" s="650"/>
      <c r="BR613" s="650"/>
      <c r="BS613" s="650"/>
      <c r="BT613" s="650"/>
      <c r="BU613" s="650"/>
      <c r="BV613" s="650"/>
      <c r="BW613" s="650"/>
      <c r="BX613" s="650"/>
      <c r="BY613" s="650"/>
      <c r="BZ613" s="650"/>
      <c r="CA613" s="650"/>
      <c r="CB613" s="650"/>
      <c r="CC613" s="650"/>
      <c r="CD613" s="650"/>
      <c r="CE613" s="650"/>
      <c r="CF613" s="650"/>
      <c r="CG613" s="650"/>
      <c r="CH613" s="650"/>
      <c r="CI613" s="650"/>
      <c r="CJ613" s="650"/>
      <c r="CK613" s="650"/>
      <c r="CL613" s="650"/>
      <c r="CM613" s="650"/>
      <c r="CN613" s="650"/>
      <c r="CO613" s="650"/>
      <c r="CP613" s="650"/>
      <c r="CQ613" s="650"/>
      <c r="CR613" s="650"/>
      <c r="CS613" s="650"/>
      <c r="CT613" s="650"/>
      <c r="CU613" s="650"/>
      <c r="CV613" s="650"/>
      <c r="CW613" s="650"/>
      <c r="CX613" s="650"/>
      <c r="CY613" s="650"/>
      <c r="CZ613" s="650"/>
      <c r="DA613" s="650"/>
      <c r="DB613" s="650"/>
      <c r="DC613" s="650"/>
      <c r="DD613" s="650"/>
    </row>
    <row r="614" s="650" customFormat="1" ht="31" customHeight="1" spans="1:108">
      <c r="A614" s="713">
        <v>46183</v>
      </c>
      <c r="B614" s="714" t="s">
        <v>163</v>
      </c>
      <c r="C614" s="715" t="s">
        <v>164</v>
      </c>
      <c r="D614" s="652" t="s">
        <v>5493</v>
      </c>
      <c r="E614" s="715" t="s">
        <v>5890</v>
      </c>
      <c r="F614" s="652" t="s">
        <v>5891</v>
      </c>
      <c r="G614" s="716" t="s">
        <v>3973</v>
      </c>
      <c r="H614" s="715" t="s">
        <v>3995</v>
      </c>
      <c r="I614" s="717">
        <v>2400</v>
      </c>
      <c r="J614" s="715">
        <v>0</v>
      </c>
      <c r="K614" s="715">
        <v>16</v>
      </c>
      <c r="L614" s="715">
        <f t="shared" si="109"/>
        <v>150</v>
      </c>
      <c r="M614" s="719">
        <v>46241</v>
      </c>
      <c r="N614" s="738">
        <v>46239</v>
      </c>
      <c r="O614" s="714"/>
      <c r="P614" s="717" t="s">
        <v>106</v>
      </c>
      <c r="Q614" s="717" t="s">
        <v>1195</v>
      </c>
      <c r="R614" s="723" t="s">
        <v>2869</v>
      </c>
      <c r="S614" s="720" t="s">
        <v>107</v>
      </c>
      <c r="T614" s="720" t="s">
        <v>3997</v>
      </c>
      <c r="U614" s="720"/>
      <c r="V614" s="720" t="s">
        <v>5199</v>
      </c>
      <c r="W614" s="720"/>
      <c r="X614" s="720" t="s">
        <v>5892</v>
      </c>
      <c r="Y614" s="719" t="s">
        <v>142</v>
      </c>
      <c r="Z614" s="754">
        <v>4.9045</v>
      </c>
      <c r="AA614" s="652">
        <f t="shared" si="117"/>
        <v>11770.8</v>
      </c>
      <c r="AB614" s="721"/>
      <c r="AC614" s="652" t="s">
        <v>4108</v>
      </c>
      <c r="AD614" s="715" t="s">
        <v>112</v>
      </c>
      <c r="AE614" s="715">
        <f t="shared" si="110"/>
        <v>2400</v>
      </c>
      <c r="AF614" s="715"/>
      <c r="AG614" s="715">
        <v>2400</v>
      </c>
      <c r="AH614" s="715">
        <f t="shared" si="119"/>
        <v>0</v>
      </c>
      <c r="AI614" s="717"/>
      <c r="AJ614" s="715" t="s">
        <v>3981</v>
      </c>
      <c r="AK614" s="652"/>
      <c r="AL614" s="652"/>
      <c r="AM614" s="652">
        <f>I614</f>
        <v>2400</v>
      </c>
      <c r="AN614" s="652">
        <f>I614</f>
        <v>2400</v>
      </c>
      <c r="AO614" s="652"/>
      <c r="AP614" s="652"/>
      <c r="AQ614" s="652"/>
      <c r="AR614" s="652"/>
      <c r="AS614" s="652"/>
      <c r="AT614" s="652"/>
      <c r="AU614" s="652">
        <f>I614/8</f>
        <v>300</v>
      </c>
      <c r="AV614" s="652"/>
      <c r="AW614" s="652"/>
      <c r="AX614" s="652"/>
      <c r="AY614" s="652"/>
      <c r="AZ614" s="652"/>
      <c r="BA614" s="652"/>
      <c r="BB614" s="652"/>
      <c r="BC614" s="652"/>
      <c r="BD614" s="652"/>
      <c r="BE614" s="652"/>
      <c r="BF614" s="652"/>
      <c r="BG614" s="652"/>
      <c r="BH614" s="652"/>
      <c r="BI614" s="652"/>
      <c r="BJ614" s="650"/>
      <c r="BK614" s="650"/>
      <c r="BL614" s="650"/>
      <c r="BM614" s="650"/>
      <c r="BN614" s="650"/>
      <c r="BO614" s="650"/>
      <c r="BP614" s="650"/>
      <c r="BQ614" s="650"/>
      <c r="BR614" s="650"/>
      <c r="BS614" s="650"/>
      <c r="BT614" s="650"/>
      <c r="BU614" s="650"/>
      <c r="BV614" s="650"/>
      <c r="BW614" s="650"/>
      <c r="BX614" s="650"/>
      <c r="BY614" s="650"/>
      <c r="BZ614" s="650"/>
      <c r="CA614" s="650"/>
      <c r="CB614" s="650"/>
      <c r="CC614" s="650"/>
      <c r="CD614" s="650"/>
      <c r="CE614" s="650"/>
      <c r="CF614" s="650"/>
      <c r="CG614" s="650"/>
      <c r="CH614" s="650"/>
      <c r="CI614" s="650"/>
      <c r="CJ614" s="650"/>
      <c r="CK614" s="650"/>
      <c r="CL614" s="650"/>
      <c r="CM614" s="650"/>
      <c r="CN614" s="650"/>
      <c r="CO614" s="650"/>
      <c r="CP614" s="650"/>
      <c r="CQ614" s="650"/>
      <c r="CR614" s="650"/>
      <c r="CS614" s="654"/>
      <c r="CT614" s="654"/>
      <c r="CU614" s="654"/>
      <c r="CV614" s="654"/>
      <c r="CW614" s="654"/>
      <c r="CX614" s="654"/>
      <c r="CY614" s="654"/>
      <c r="CZ614" s="654"/>
      <c r="DA614" s="654"/>
      <c r="DB614" s="654"/>
      <c r="DC614" s="654"/>
      <c r="DD614" s="654"/>
    </row>
    <row r="615" s="659" customFormat="1" ht="31" customHeight="1" spans="1:108">
      <c r="A615" s="859">
        <v>46115</v>
      </c>
      <c r="B615" s="860" t="s">
        <v>2382</v>
      </c>
      <c r="C615" s="708" t="s">
        <v>201</v>
      </c>
      <c r="D615" s="834">
        <v>4500200090</v>
      </c>
      <c r="E615" s="1911" t="s">
        <v>5893</v>
      </c>
      <c r="F615" s="834" t="s">
        <v>2403</v>
      </c>
      <c r="G615" s="846" t="s">
        <v>4215</v>
      </c>
      <c r="H615" s="708" t="s">
        <v>483</v>
      </c>
      <c r="I615" s="861">
        <v>4320</v>
      </c>
      <c r="J615" s="708">
        <v>0</v>
      </c>
      <c r="K615" s="708">
        <v>120</v>
      </c>
      <c r="L615" s="708">
        <f t="shared" si="109"/>
        <v>36</v>
      </c>
      <c r="M615" s="879">
        <v>46241</v>
      </c>
      <c r="N615" s="863">
        <v>46239</v>
      </c>
      <c r="O615" s="860"/>
      <c r="P615" s="861"/>
      <c r="Q615" s="824" t="s">
        <v>2893</v>
      </c>
      <c r="R615" s="864">
        <v>46197</v>
      </c>
      <c r="S615" s="829" t="s">
        <v>107</v>
      </c>
      <c r="T615" s="829" t="s">
        <v>95</v>
      </c>
      <c r="U615" s="829"/>
      <c r="V615" s="829"/>
      <c r="W615" s="829"/>
      <c r="X615" s="829" t="s">
        <v>636</v>
      </c>
      <c r="Y615" s="862" t="s">
        <v>488</v>
      </c>
      <c r="Z615" s="866">
        <v>1070</v>
      </c>
      <c r="AA615" s="834">
        <f>L615*Z615</f>
        <v>38520</v>
      </c>
      <c r="AB615" s="831"/>
      <c r="AC615" s="887" t="s">
        <v>490</v>
      </c>
      <c r="AD615" s="708" t="s">
        <v>112</v>
      </c>
      <c r="AE615" s="708">
        <f t="shared" si="110"/>
        <v>4320</v>
      </c>
      <c r="AF615" s="708" t="s">
        <v>4109</v>
      </c>
      <c r="AG615" s="708">
        <f>570+3750</f>
        <v>4320</v>
      </c>
      <c r="AH615" s="833">
        <f t="shared" si="119"/>
        <v>0</v>
      </c>
      <c r="AI615" s="861"/>
      <c r="AJ615" s="708" t="s">
        <v>3981</v>
      </c>
      <c r="AK615" s="834"/>
      <c r="AL615" s="834"/>
      <c r="AM615" s="834"/>
      <c r="AN615" s="834"/>
      <c r="AO615" s="834"/>
      <c r="AP615" s="834"/>
      <c r="AQ615" s="834">
        <f>I615</f>
        <v>4320</v>
      </c>
      <c r="AR615" s="834">
        <f>I615</f>
        <v>4320</v>
      </c>
      <c r="AS615" s="834">
        <f>I615/6</f>
        <v>720</v>
      </c>
      <c r="AT615" s="834"/>
      <c r="AU615" s="834"/>
      <c r="AV615" s="834"/>
      <c r="AW615" s="834"/>
      <c r="AX615" s="834"/>
      <c r="AY615" s="834"/>
      <c r="AZ615" s="834"/>
      <c r="BA615" s="834"/>
      <c r="BB615" s="834"/>
      <c r="BC615" s="834"/>
      <c r="BD615" s="834"/>
      <c r="BE615" s="834"/>
      <c r="BF615" s="834"/>
      <c r="BG615" s="834"/>
      <c r="BH615" s="834"/>
      <c r="BI615" s="834"/>
      <c r="BJ615" s="659"/>
      <c r="BK615" s="659"/>
      <c r="BL615" s="659"/>
      <c r="BM615" s="659"/>
      <c r="BN615" s="659"/>
      <c r="BO615" s="659"/>
      <c r="BP615" s="659"/>
      <c r="BQ615" s="659"/>
      <c r="BR615" s="659"/>
      <c r="BS615" s="659"/>
      <c r="BT615" s="659"/>
      <c r="BU615" s="659"/>
      <c r="BV615" s="659"/>
      <c r="BW615" s="659"/>
      <c r="BX615" s="659"/>
      <c r="BY615" s="659"/>
      <c r="BZ615" s="659"/>
      <c r="CA615" s="659"/>
      <c r="CB615" s="659"/>
      <c r="CC615" s="659"/>
      <c r="CD615" s="659"/>
      <c r="CE615" s="659"/>
      <c r="CF615" s="659"/>
      <c r="CG615" s="659"/>
      <c r="CH615" s="659"/>
      <c r="CI615" s="659"/>
      <c r="CJ615" s="659"/>
      <c r="CK615" s="659"/>
      <c r="CL615" s="659"/>
      <c r="CM615" s="659"/>
      <c r="CN615" s="659"/>
      <c r="CO615" s="659"/>
      <c r="CP615" s="659"/>
      <c r="CQ615" s="659"/>
      <c r="CR615" s="659"/>
      <c r="CS615" s="664"/>
      <c r="CT615" s="664"/>
      <c r="CU615" s="664"/>
      <c r="CV615" s="664"/>
      <c r="CW615" s="664"/>
      <c r="CX615" s="664"/>
      <c r="CY615" s="664"/>
      <c r="CZ615" s="664"/>
      <c r="DA615" s="664"/>
      <c r="DB615" s="664"/>
      <c r="DC615" s="664"/>
      <c r="DD615" s="664"/>
    </row>
    <row r="616" s="667" customFormat="1" ht="31" customHeight="1" spans="1:108">
      <c r="A616" s="819">
        <v>46164</v>
      </c>
      <c r="B616" s="820" t="s">
        <v>296</v>
      </c>
      <c r="C616" s="821" t="s">
        <v>115</v>
      </c>
      <c r="D616" s="822" t="s">
        <v>5568</v>
      </c>
      <c r="E616" s="888">
        <v>219602801</v>
      </c>
      <c r="F616" s="896" t="s">
        <v>2404</v>
      </c>
      <c r="G616" s="823" t="s">
        <v>4353</v>
      </c>
      <c r="H616" s="821" t="s">
        <v>2405</v>
      </c>
      <c r="I616" s="824">
        <v>1200</v>
      </c>
      <c r="J616" s="821">
        <v>0</v>
      </c>
      <c r="K616" s="821">
        <v>12</v>
      </c>
      <c r="L616" s="821">
        <f t="shared" ref="L616:L643" si="120">I616/K616</f>
        <v>100</v>
      </c>
      <c r="M616" s="825">
        <v>46241</v>
      </c>
      <c r="N616" s="863">
        <v>46239</v>
      </c>
      <c r="O616" s="820"/>
      <c r="P616" s="824"/>
      <c r="Q616" s="627" t="s">
        <v>2406</v>
      </c>
      <c r="R616" s="827">
        <v>46205</v>
      </c>
      <c r="S616" s="828" t="s">
        <v>107</v>
      </c>
      <c r="T616" s="828" t="s">
        <v>5569</v>
      </c>
      <c r="U616" s="828"/>
      <c r="V616" s="828"/>
      <c r="W616" s="828"/>
      <c r="X616" s="894" t="s">
        <v>2408</v>
      </c>
      <c r="Y616" s="825" t="s">
        <v>299</v>
      </c>
      <c r="Z616" s="923">
        <v>65.566</v>
      </c>
      <c r="AA616" s="822">
        <f>L616*Z616</f>
        <v>6556.6</v>
      </c>
      <c r="AB616" s="831"/>
      <c r="AC616" s="916" t="s">
        <v>4353</v>
      </c>
      <c r="AD616" s="821" t="s">
        <v>112</v>
      </c>
      <c r="AE616" s="821">
        <f t="shared" ref="AE616:AE643" si="121">I616</f>
        <v>1200</v>
      </c>
      <c r="AF616" s="821"/>
      <c r="AG616" s="821"/>
      <c r="AH616" s="821">
        <f t="shared" si="119"/>
        <v>-1200</v>
      </c>
      <c r="AI616" s="824"/>
      <c r="AJ616" s="821" t="s">
        <v>3981</v>
      </c>
      <c r="AK616" s="822">
        <f>I616</f>
        <v>1200</v>
      </c>
      <c r="AL616" s="822"/>
      <c r="AM616" s="822"/>
      <c r="AN616" s="822">
        <f t="shared" ref="AN616:AN640" si="122">I616</f>
        <v>1200</v>
      </c>
      <c r="AO616" s="822"/>
      <c r="AP616" s="822"/>
      <c r="AQ616" s="822"/>
      <c r="AR616" s="822"/>
      <c r="AS616" s="822"/>
      <c r="AT616" s="822"/>
      <c r="AU616" s="822"/>
      <c r="AV616" s="822"/>
      <c r="AW616" s="822"/>
      <c r="AX616" s="822"/>
      <c r="AY616" s="822"/>
      <c r="AZ616" s="822"/>
      <c r="BA616" s="822"/>
      <c r="BB616" s="822"/>
      <c r="BC616" s="822"/>
      <c r="BD616" s="822">
        <f>L616</f>
        <v>100</v>
      </c>
      <c r="BE616" s="822"/>
      <c r="BF616" s="822"/>
      <c r="BG616" s="822"/>
      <c r="BH616" s="822"/>
      <c r="BI616" s="822"/>
      <c r="CS616" s="664"/>
      <c r="CT616" s="664"/>
      <c r="CU616" s="664"/>
      <c r="CV616" s="664"/>
      <c r="CW616" s="664"/>
      <c r="CX616" s="664"/>
      <c r="CY616" s="664"/>
      <c r="CZ616" s="664"/>
      <c r="DA616" s="664"/>
      <c r="DB616" s="664"/>
      <c r="DC616" s="664"/>
      <c r="DD616" s="664"/>
    </row>
    <row r="617" s="651" customFormat="1" ht="31" customHeight="1" spans="1:108">
      <c r="A617" s="713">
        <v>46185</v>
      </c>
      <c r="B617" s="714" t="s">
        <v>2813</v>
      </c>
      <c r="C617" s="715" t="s">
        <v>1439</v>
      </c>
      <c r="D617" s="837">
        <v>4500211830</v>
      </c>
      <c r="E617" s="715" t="s">
        <v>2814</v>
      </c>
      <c r="F617" s="652" t="s">
        <v>5894</v>
      </c>
      <c r="G617" s="716" t="s">
        <v>3968</v>
      </c>
      <c r="H617" s="715" t="s">
        <v>3969</v>
      </c>
      <c r="I617" s="717">
        <v>3008</v>
      </c>
      <c r="J617" s="715">
        <v>0</v>
      </c>
      <c r="K617" s="715">
        <v>16</v>
      </c>
      <c r="L617" s="715">
        <f t="shared" si="120"/>
        <v>188</v>
      </c>
      <c r="M617" s="719">
        <v>46241</v>
      </c>
      <c r="N617" s="738">
        <f>M617-2</f>
        <v>46239</v>
      </c>
      <c r="O617" s="714"/>
      <c r="P617" s="717" t="s">
        <v>1410</v>
      </c>
      <c r="Q617" s="717"/>
      <c r="R617" s="723" t="s">
        <v>541</v>
      </c>
      <c r="S617" s="720" t="s">
        <v>107</v>
      </c>
      <c r="T617" s="720" t="s">
        <v>5859</v>
      </c>
      <c r="U617" s="720"/>
      <c r="V617" s="720"/>
      <c r="W617" s="720"/>
      <c r="X617" s="720" t="s">
        <v>5895</v>
      </c>
      <c r="Y617" s="719" t="s">
        <v>2610</v>
      </c>
      <c r="Z617" s="730">
        <v>4.6846</v>
      </c>
      <c r="AA617" s="652">
        <f t="shared" ref="AA617:AA625" si="123">I617*Z617</f>
        <v>14091.2768</v>
      </c>
      <c r="AB617" s="721"/>
      <c r="AC617" s="652" t="s">
        <v>4426</v>
      </c>
      <c r="AD617" s="715" t="s">
        <v>112</v>
      </c>
      <c r="AE617" s="715">
        <f t="shared" si="121"/>
        <v>3008</v>
      </c>
      <c r="AF617" s="715"/>
      <c r="AG617" s="715">
        <v>3008</v>
      </c>
      <c r="AH617" s="715">
        <f t="shared" si="119"/>
        <v>0</v>
      </c>
      <c r="AI617" s="717" t="s">
        <v>120</v>
      </c>
      <c r="AJ617" s="715" t="s">
        <v>3981</v>
      </c>
      <c r="AK617" s="652"/>
      <c r="AL617" s="652">
        <f>I617</f>
        <v>3008</v>
      </c>
      <c r="AM617" s="652"/>
      <c r="AN617" s="652">
        <f t="shared" si="122"/>
        <v>3008</v>
      </c>
      <c r="AO617" s="652"/>
      <c r="AP617" s="652"/>
      <c r="AQ617" s="652"/>
      <c r="AR617" s="652"/>
      <c r="AS617" s="652"/>
      <c r="AT617" s="652"/>
      <c r="AU617" s="652"/>
      <c r="AV617" s="652"/>
      <c r="AW617" s="652"/>
      <c r="AX617" s="652"/>
      <c r="AY617" s="652"/>
      <c r="AZ617" s="652"/>
      <c r="BA617" s="652"/>
      <c r="BB617" s="652"/>
      <c r="BC617" s="652"/>
      <c r="BD617" s="652"/>
      <c r="BE617" s="652"/>
      <c r="BF617" s="652"/>
      <c r="BG617" s="652"/>
      <c r="BH617" s="652"/>
      <c r="BI617" s="652"/>
      <c r="BJ617" s="650"/>
      <c r="BK617" s="650"/>
      <c r="BL617" s="650"/>
      <c r="BM617" s="650"/>
      <c r="BN617" s="650"/>
      <c r="BO617" s="650"/>
      <c r="BP617" s="650"/>
      <c r="BQ617" s="650"/>
      <c r="BR617" s="650"/>
      <c r="BS617" s="650"/>
      <c r="BT617" s="650"/>
      <c r="BU617" s="650"/>
      <c r="BV617" s="650"/>
      <c r="BW617" s="650"/>
      <c r="BX617" s="650"/>
      <c r="BY617" s="650"/>
      <c r="BZ617" s="650"/>
      <c r="CA617" s="650"/>
      <c r="CB617" s="650"/>
      <c r="CC617" s="650"/>
      <c r="CD617" s="650"/>
      <c r="CE617" s="650"/>
      <c r="CF617" s="650"/>
      <c r="CG617" s="650"/>
      <c r="CH617" s="650"/>
      <c r="CI617" s="650"/>
      <c r="CJ617" s="650"/>
      <c r="CK617" s="650"/>
      <c r="CL617" s="650"/>
      <c r="CM617" s="650"/>
      <c r="CN617" s="650"/>
      <c r="CO617" s="650"/>
      <c r="CP617" s="650"/>
      <c r="CQ617" s="650"/>
      <c r="CR617" s="650"/>
      <c r="CS617" s="650"/>
      <c r="CT617" s="650"/>
      <c r="CU617" s="650"/>
      <c r="CV617" s="650"/>
      <c r="CW617" s="650"/>
      <c r="CX617" s="650"/>
      <c r="CY617" s="650"/>
      <c r="CZ617" s="650"/>
      <c r="DA617" s="650"/>
      <c r="DB617" s="650"/>
      <c r="DC617" s="650"/>
      <c r="DD617" s="650"/>
    </row>
    <row r="618" s="656" customFormat="1" ht="31" customHeight="1" spans="1:108">
      <c r="A618" s="806">
        <v>46185</v>
      </c>
      <c r="B618" s="807" t="s">
        <v>2813</v>
      </c>
      <c r="C618" s="808" t="s">
        <v>135</v>
      </c>
      <c r="D618" s="924">
        <v>4500211830</v>
      </c>
      <c r="E618" s="808" t="s">
        <v>5896</v>
      </c>
      <c r="F618" s="656" t="s">
        <v>5897</v>
      </c>
      <c r="G618" s="809" t="s">
        <v>3968</v>
      </c>
      <c r="H618" s="715" t="s">
        <v>3969</v>
      </c>
      <c r="I618" s="810">
        <v>5600</v>
      </c>
      <c r="J618" s="808">
        <v>0</v>
      </c>
      <c r="K618" s="808">
        <v>16</v>
      </c>
      <c r="L618" s="808">
        <f t="shared" si="120"/>
        <v>350</v>
      </c>
      <c r="M618" s="811">
        <v>46241</v>
      </c>
      <c r="N618" s="812">
        <f>M618-2</f>
        <v>46239</v>
      </c>
      <c r="O618" s="807"/>
      <c r="P618" s="717" t="s">
        <v>1410</v>
      </c>
      <c r="Q618" s="810"/>
      <c r="R618" s="734" t="s">
        <v>541</v>
      </c>
      <c r="S618" s="720" t="s">
        <v>107</v>
      </c>
      <c r="T618" s="720" t="s">
        <v>5859</v>
      </c>
      <c r="U618" s="735"/>
      <c r="V618" s="813"/>
      <c r="W618" s="813"/>
      <c r="X618" s="813" t="s">
        <v>5895</v>
      </c>
      <c r="Y618" s="811" t="s">
        <v>2610</v>
      </c>
      <c r="Z618" s="814">
        <v>4.7049</v>
      </c>
      <c r="AA618" s="656">
        <f t="shared" si="123"/>
        <v>26347.44</v>
      </c>
      <c r="AB618" s="780"/>
      <c r="AC618" s="652" t="s">
        <v>4426</v>
      </c>
      <c r="AD618" s="771" t="s">
        <v>112</v>
      </c>
      <c r="AE618" s="808">
        <f t="shared" si="121"/>
        <v>5600</v>
      </c>
      <c r="AF618" s="808"/>
      <c r="AG618" s="808">
        <v>5600</v>
      </c>
      <c r="AH618" s="715">
        <f t="shared" si="119"/>
        <v>0</v>
      </c>
      <c r="AI618" s="810" t="s">
        <v>120</v>
      </c>
      <c r="AJ618" s="715" t="s">
        <v>3981</v>
      </c>
      <c r="AK618" s="774"/>
      <c r="AL618" s="652">
        <f>I618</f>
        <v>5600</v>
      </c>
      <c r="AM618" s="652"/>
      <c r="AN618" s="652">
        <f t="shared" si="122"/>
        <v>5600</v>
      </c>
      <c r="AP618" s="774"/>
      <c r="AQ618" s="656"/>
      <c r="AR618" s="656"/>
      <c r="AS618" s="656"/>
      <c r="AT618" s="656"/>
      <c r="AU618" s="652"/>
      <c r="AV618" s="774"/>
      <c r="AW618" s="774"/>
      <c r="BI618" s="774"/>
    </row>
    <row r="619" s="651" customFormat="1" ht="31" customHeight="1" spans="1:108">
      <c r="A619" s="713">
        <v>46178</v>
      </c>
      <c r="B619" s="714" t="s">
        <v>5898</v>
      </c>
      <c r="C619" s="715" t="s">
        <v>135</v>
      </c>
      <c r="D619" s="853">
        <v>4500210913</v>
      </c>
      <c r="E619" s="715"/>
      <c r="F619" s="652" t="s">
        <v>5899</v>
      </c>
      <c r="G619" s="716" t="s">
        <v>3968</v>
      </c>
      <c r="H619" s="715" t="s">
        <v>3969</v>
      </c>
      <c r="I619" s="717">
        <v>1504</v>
      </c>
      <c r="J619" s="715">
        <v>0</v>
      </c>
      <c r="K619" s="715">
        <v>16</v>
      </c>
      <c r="L619" s="715">
        <f t="shared" si="120"/>
        <v>94</v>
      </c>
      <c r="M619" s="719">
        <v>46241</v>
      </c>
      <c r="N619" s="738">
        <v>46240</v>
      </c>
      <c r="O619" s="714"/>
      <c r="P619" s="717" t="s">
        <v>1410</v>
      </c>
      <c r="Q619" s="717" t="s">
        <v>2406</v>
      </c>
      <c r="R619" s="723" t="s">
        <v>5900</v>
      </c>
      <c r="S619" s="720" t="s">
        <v>107</v>
      </c>
      <c r="T619" s="723" t="s">
        <v>5901</v>
      </c>
      <c r="U619" s="723"/>
      <c r="V619" s="720"/>
      <c r="W619" s="720"/>
      <c r="X619" s="720" t="s">
        <v>5902</v>
      </c>
      <c r="Y619" s="719" t="s">
        <v>2171</v>
      </c>
      <c r="Z619" s="730">
        <v>4.7154</v>
      </c>
      <c r="AA619" s="652">
        <f t="shared" si="123"/>
        <v>7091.9616</v>
      </c>
      <c r="AB619" s="721"/>
      <c r="AC619" s="716" t="s">
        <v>3968</v>
      </c>
      <c r="AD619" s="715" t="s">
        <v>112</v>
      </c>
      <c r="AE619" s="715">
        <f t="shared" si="121"/>
        <v>1504</v>
      </c>
      <c r="AF619" s="715" t="s">
        <v>5125</v>
      </c>
      <c r="AG619" s="715" t="s">
        <v>120</v>
      </c>
      <c r="AH619" s="715" t="e">
        <f t="shared" si="119"/>
        <v>#VALUE!</v>
      </c>
      <c r="AI619" s="717"/>
      <c r="AJ619" s="715" t="s">
        <v>3981</v>
      </c>
      <c r="AK619" s="652">
        <f>I619</f>
        <v>1504</v>
      </c>
      <c r="AL619" s="652"/>
      <c r="AM619" s="652"/>
      <c r="AN619" s="652">
        <f t="shared" si="122"/>
        <v>1504</v>
      </c>
      <c r="AO619" s="652"/>
      <c r="AP619" s="652"/>
      <c r="AQ619" s="652"/>
      <c r="AR619" s="652"/>
      <c r="AS619" s="652"/>
      <c r="AT619" s="652"/>
      <c r="AU619" s="652"/>
      <c r="AV619" s="652"/>
      <c r="AW619" s="652"/>
      <c r="AX619" s="652"/>
      <c r="AY619" s="652"/>
      <c r="AZ619" s="652"/>
      <c r="BA619" s="652"/>
      <c r="BB619" s="652"/>
      <c r="BC619" s="652"/>
      <c r="BD619" s="652"/>
      <c r="BE619" s="652"/>
      <c r="BF619" s="652"/>
      <c r="BG619" s="652"/>
      <c r="BH619" s="652"/>
      <c r="BI619" s="652"/>
      <c r="BJ619" s="650"/>
      <c r="BK619" s="650"/>
      <c r="BL619" s="650"/>
      <c r="BM619" s="650"/>
      <c r="BN619" s="650"/>
      <c r="BO619" s="650"/>
      <c r="BP619" s="650"/>
      <c r="BQ619" s="650"/>
      <c r="BR619" s="650"/>
      <c r="BS619" s="650"/>
      <c r="BT619" s="650"/>
      <c r="BU619" s="650"/>
      <c r="BV619" s="650"/>
      <c r="BW619" s="650"/>
      <c r="BX619" s="650"/>
      <c r="BY619" s="650"/>
      <c r="BZ619" s="650"/>
      <c r="CA619" s="650"/>
      <c r="CB619" s="650"/>
      <c r="CC619" s="650"/>
      <c r="CD619" s="650"/>
      <c r="CE619" s="650"/>
      <c r="CF619" s="650"/>
      <c r="CG619" s="650"/>
      <c r="CH619" s="650"/>
      <c r="CI619" s="650"/>
      <c r="CJ619" s="650"/>
      <c r="CK619" s="650"/>
      <c r="CL619" s="650"/>
      <c r="CM619" s="650"/>
      <c r="CN619" s="650"/>
      <c r="CO619" s="650"/>
      <c r="CP619" s="650"/>
      <c r="CQ619" s="650"/>
      <c r="CR619" s="650"/>
      <c r="CS619" s="650"/>
      <c r="CT619" s="650"/>
      <c r="CU619" s="650"/>
      <c r="CV619" s="650"/>
      <c r="CW619" s="650"/>
      <c r="CX619" s="650"/>
      <c r="CY619" s="650"/>
      <c r="CZ619" s="650"/>
      <c r="DA619" s="650"/>
      <c r="DB619" s="650"/>
      <c r="DC619" s="650"/>
      <c r="DD619" s="650"/>
    </row>
    <row r="620" s="650" customFormat="1" ht="31" customHeight="1" spans="1:108">
      <c r="A620" s="713">
        <v>46183</v>
      </c>
      <c r="B620" s="714" t="s">
        <v>1493</v>
      </c>
      <c r="C620" s="715" t="s">
        <v>810</v>
      </c>
      <c r="D620" s="652" t="s">
        <v>5903</v>
      </c>
      <c r="E620" s="715"/>
      <c r="F620" s="652" t="s">
        <v>5904</v>
      </c>
      <c r="G620" s="716" t="s">
        <v>3980</v>
      </c>
      <c r="H620" s="715" t="s">
        <v>3978</v>
      </c>
      <c r="I620" s="717">
        <v>2880</v>
      </c>
      <c r="J620" s="715">
        <v>0</v>
      </c>
      <c r="K620" s="715">
        <v>8</v>
      </c>
      <c r="L620" s="715">
        <f t="shared" si="120"/>
        <v>360</v>
      </c>
      <c r="M620" s="719">
        <v>46241</v>
      </c>
      <c r="N620" s="738">
        <v>46242</v>
      </c>
      <c r="O620" s="714"/>
      <c r="P620" s="717" t="s">
        <v>1410</v>
      </c>
      <c r="Q620" s="717" t="s">
        <v>2809</v>
      </c>
      <c r="R620" s="723">
        <v>46183</v>
      </c>
      <c r="S620" s="720" t="s">
        <v>107</v>
      </c>
      <c r="T620" s="720" t="s">
        <v>5905</v>
      </c>
      <c r="U620" s="720"/>
      <c r="V620" s="720"/>
      <c r="W620" s="720"/>
      <c r="X620" s="720" t="s">
        <v>5906</v>
      </c>
      <c r="Y620" s="719" t="s">
        <v>722</v>
      </c>
      <c r="Z620" s="730">
        <v>4.6974</v>
      </c>
      <c r="AA620" s="652">
        <f t="shared" si="123"/>
        <v>13528.512</v>
      </c>
      <c r="AB620" s="721"/>
      <c r="AC620" s="722" t="s">
        <v>4031</v>
      </c>
      <c r="AD620" s="715" t="s">
        <v>112</v>
      </c>
      <c r="AE620" s="715">
        <f t="shared" si="121"/>
        <v>2880</v>
      </c>
      <c r="AF620" s="715"/>
      <c r="AG620" s="715">
        <v>2880</v>
      </c>
      <c r="AH620" s="715">
        <f t="shared" si="119"/>
        <v>0</v>
      </c>
      <c r="AI620" s="717"/>
      <c r="AJ620" s="715" t="s">
        <v>3981</v>
      </c>
      <c r="AK620" s="652"/>
      <c r="AL620" s="652">
        <f t="shared" ref="AL620:AL625" si="124">I620</f>
        <v>2880</v>
      </c>
      <c r="AM620" s="652"/>
      <c r="AN620" s="652">
        <f t="shared" si="122"/>
        <v>2880</v>
      </c>
      <c r="AO620" s="652"/>
      <c r="AP620" s="652"/>
      <c r="AQ620" s="652"/>
      <c r="AR620" s="652"/>
      <c r="AS620" s="652"/>
      <c r="AT620" s="652"/>
      <c r="AU620" s="652">
        <f>I620/8</f>
        <v>360</v>
      </c>
      <c r="AV620" s="652"/>
      <c r="AW620" s="652"/>
      <c r="AX620" s="652"/>
      <c r="AY620" s="652"/>
      <c r="AZ620" s="652"/>
      <c r="BA620" s="652"/>
      <c r="BB620" s="652"/>
      <c r="BC620" s="652"/>
      <c r="BD620" s="652"/>
      <c r="BE620" s="652"/>
      <c r="BF620" s="652"/>
      <c r="BG620" s="652"/>
      <c r="BH620" s="652"/>
      <c r="BI620" s="652"/>
      <c r="BJ620" s="650"/>
      <c r="BK620" s="650"/>
      <c r="BL620" s="650"/>
      <c r="BM620" s="650"/>
      <c r="BN620" s="650"/>
      <c r="BO620" s="650"/>
      <c r="BP620" s="650"/>
      <c r="BQ620" s="650"/>
      <c r="BR620" s="650"/>
      <c r="BS620" s="650"/>
      <c r="BT620" s="650"/>
      <c r="BU620" s="650"/>
      <c r="BV620" s="650"/>
      <c r="BW620" s="650"/>
      <c r="BX620" s="650"/>
      <c r="BY620" s="650"/>
      <c r="BZ620" s="650"/>
      <c r="CA620" s="650"/>
      <c r="CB620" s="650"/>
      <c r="CC620" s="650"/>
      <c r="CD620" s="650"/>
      <c r="CE620" s="650"/>
      <c r="CF620" s="650"/>
      <c r="CG620" s="650"/>
      <c r="CH620" s="650"/>
      <c r="CI620" s="650"/>
      <c r="CJ620" s="650"/>
      <c r="CK620" s="650"/>
      <c r="CL620" s="650"/>
      <c r="CM620" s="650"/>
      <c r="CN620" s="650"/>
      <c r="CO620" s="650"/>
      <c r="CP620" s="650"/>
      <c r="CQ620" s="650"/>
      <c r="CR620" s="650"/>
      <c r="CS620" s="651"/>
      <c r="CT620" s="651"/>
      <c r="CU620" s="651"/>
      <c r="CV620" s="651"/>
      <c r="CW620" s="651"/>
      <c r="CX620" s="651"/>
      <c r="CY620" s="651"/>
      <c r="CZ620" s="651"/>
      <c r="DA620" s="651"/>
      <c r="DB620" s="651"/>
      <c r="DC620" s="651"/>
      <c r="DD620" s="651"/>
    </row>
    <row r="621" s="650" customFormat="1" ht="31" customHeight="1" spans="1:108">
      <c r="A621" s="713">
        <v>46157</v>
      </c>
      <c r="B621" s="714" t="s">
        <v>5524</v>
      </c>
      <c r="C621" s="715" t="s">
        <v>810</v>
      </c>
      <c r="D621" s="837" t="s">
        <v>5907</v>
      </c>
      <c r="E621" s="715" t="s">
        <v>5908</v>
      </c>
      <c r="F621" s="652" t="s">
        <v>5909</v>
      </c>
      <c r="G621" s="716" t="s">
        <v>3968</v>
      </c>
      <c r="H621" s="715" t="s">
        <v>3969</v>
      </c>
      <c r="I621" s="717">
        <v>1488</v>
      </c>
      <c r="J621" s="715">
        <v>0</v>
      </c>
      <c r="K621" s="715">
        <v>16</v>
      </c>
      <c r="L621" s="715">
        <f t="shared" si="120"/>
        <v>93</v>
      </c>
      <c r="M621" s="719">
        <v>46241</v>
      </c>
      <c r="N621" s="738">
        <v>46242</v>
      </c>
      <c r="O621" s="714"/>
      <c r="P621" s="717" t="s">
        <v>1410</v>
      </c>
      <c r="Q621" s="717"/>
      <c r="R621" s="734" t="s">
        <v>747</v>
      </c>
      <c r="S621" s="720" t="s">
        <v>107</v>
      </c>
      <c r="T621" s="720" t="s">
        <v>5859</v>
      </c>
      <c r="U621" s="720"/>
      <c r="V621" s="720"/>
      <c r="W621" s="720"/>
      <c r="X621" s="798" t="s">
        <v>5910</v>
      </c>
      <c r="Y621" s="719" t="s">
        <v>2505</v>
      </c>
      <c r="Z621" s="730">
        <v>4.5553</v>
      </c>
      <c r="AA621" s="652">
        <f t="shared" si="123"/>
        <v>6778.2864</v>
      </c>
      <c r="AB621" s="721"/>
      <c r="AC621" s="652" t="s">
        <v>4426</v>
      </c>
      <c r="AD621" s="715" t="s">
        <v>112</v>
      </c>
      <c r="AE621" s="715">
        <f t="shared" si="121"/>
        <v>1488</v>
      </c>
      <c r="AF621" s="715"/>
      <c r="AG621" s="715">
        <v>1488</v>
      </c>
      <c r="AH621" s="715">
        <f t="shared" si="119"/>
        <v>0</v>
      </c>
      <c r="AI621" s="717"/>
      <c r="AJ621" s="715" t="s">
        <v>3981</v>
      </c>
      <c r="AK621" s="652"/>
      <c r="AL621" s="652">
        <f t="shared" si="124"/>
        <v>1488</v>
      </c>
      <c r="AM621" s="652"/>
      <c r="AN621" s="652">
        <f t="shared" si="122"/>
        <v>1488</v>
      </c>
      <c r="AO621" s="652"/>
      <c r="AP621" s="652"/>
      <c r="AQ621" s="652"/>
      <c r="AR621" s="652"/>
      <c r="AS621" s="652"/>
      <c r="AT621" s="652"/>
      <c r="AU621" s="652"/>
      <c r="AV621" s="652"/>
      <c r="AW621" s="652"/>
      <c r="AX621" s="652"/>
      <c r="AY621" s="652"/>
      <c r="AZ621" s="652"/>
      <c r="BA621" s="652"/>
      <c r="BB621" s="652"/>
      <c r="BC621" s="652"/>
      <c r="BD621" s="652"/>
      <c r="BE621" s="652"/>
      <c r="BF621" s="652"/>
      <c r="BG621" s="652"/>
      <c r="BH621" s="652"/>
      <c r="BI621" s="652"/>
    </row>
    <row r="622" s="650" customFormat="1" ht="31" customHeight="1" spans="1:108">
      <c r="A622" s="713">
        <v>46157</v>
      </c>
      <c r="B622" s="714" t="s">
        <v>5524</v>
      </c>
      <c r="C622" s="715" t="s">
        <v>810</v>
      </c>
      <c r="D622" s="837" t="s">
        <v>5907</v>
      </c>
      <c r="E622" s="715" t="s">
        <v>5911</v>
      </c>
      <c r="F622" s="652" t="s">
        <v>5912</v>
      </c>
      <c r="G622" s="716" t="s">
        <v>3968</v>
      </c>
      <c r="H622" s="715" t="s">
        <v>3969</v>
      </c>
      <c r="I622" s="717">
        <v>1936</v>
      </c>
      <c r="J622" s="715">
        <v>0</v>
      </c>
      <c r="K622" s="715">
        <v>16</v>
      </c>
      <c r="L622" s="715">
        <f t="shared" si="120"/>
        <v>121</v>
      </c>
      <c r="M622" s="719">
        <v>46241</v>
      </c>
      <c r="N622" s="738">
        <v>46242</v>
      </c>
      <c r="O622" s="714"/>
      <c r="P622" s="717" t="s">
        <v>1410</v>
      </c>
      <c r="Q622" s="717"/>
      <c r="R622" s="723" t="s">
        <v>747</v>
      </c>
      <c r="S622" s="720" t="s">
        <v>107</v>
      </c>
      <c r="T622" s="720" t="s">
        <v>5859</v>
      </c>
      <c r="U622" s="720"/>
      <c r="V622" s="720"/>
      <c r="W622" s="720"/>
      <c r="X622" s="798" t="s">
        <v>5910</v>
      </c>
      <c r="Y622" s="719" t="s">
        <v>2505</v>
      </c>
      <c r="Z622" s="730">
        <v>4.5862</v>
      </c>
      <c r="AA622" s="652">
        <f t="shared" si="123"/>
        <v>8878.8832</v>
      </c>
      <c r="AB622" s="721"/>
      <c r="AC622" s="652" t="s">
        <v>4426</v>
      </c>
      <c r="AD622" s="715" t="s">
        <v>112</v>
      </c>
      <c r="AE622" s="715">
        <f t="shared" si="121"/>
        <v>1936</v>
      </c>
      <c r="AF622" s="715"/>
      <c r="AG622" s="715">
        <v>1936</v>
      </c>
      <c r="AH622" s="715">
        <f t="shared" si="119"/>
        <v>0</v>
      </c>
      <c r="AI622" s="717"/>
      <c r="AJ622" s="715" t="s">
        <v>3981</v>
      </c>
      <c r="AK622" s="652"/>
      <c r="AL622" s="652">
        <f t="shared" si="124"/>
        <v>1936</v>
      </c>
      <c r="AM622" s="652"/>
      <c r="AN622" s="652">
        <f t="shared" si="122"/>
        <v>1936</v>
      </c>
      <c r="AO622" s="652"/>
      <c r="AP622" s="652"/>
      <c r="AQ622" s="652"/>
      <c r="AR622" s="652"/>
      <c r="AS622" s="652"/>
      <c r="AT622" s="652"/>
      <c r="AU622" s="652"/>
      <c r="AV622" s="652"/>
      <c r="AW622" s="652"/>
      <c r="AX622" s="652"/>
      <c r="AY622" s="652"/>
      <c r="AZ622" s="652"/>
      <c r="BA622" s="652"/>
      <c r="BB622" s="652"/>
      <c r="BC622" s="652"/>
      <c r="BD622" s="652"/>
      <c r="BE622" s="652"/>
      <c r="BF622" s="652"/>
      <c r="BG622" s="652"/>
      <c r="BH622" s="652"/>
      <c r="BI622" s="652"/>
    </row>
    <row r="623" s="650" customFormat="1" ht="31" customHeight="1" spans="1:108">
      <c r="A623" s="713">
        <v>46185</v>
      </c>
      <c r="B623" s="714" t="s">
        <v>147</v>
      </c>
      <c r="C623" s="715" t="s">
        <v>148</v>
      </c>
      <c r="D623" s="652">
        <v>4500211944</v>
      </c>
      <c r="E623" s="715">
        <v>4400577317</v>
      </c>
      <c r="F623" s="652" t="s">
        <v>5913</v>
      </c>
      <c r="G623" s="716" t="s">
        <v>3973</v>
      </c>
      <c r="H623" s="715" t="s">
        <v>3995</v>
      </c>
      <c r="I623" s="717">
        <v>6032</v>
      </c>
      <c r="J623" s="715">
        <v>0</v>
      </c>
      <c r="K623" s="715">
        <v>16</v>
      </c>
      <c r="L623" s="715">
        <f t="shared" si="120"/>
        <v>377</v>
      </c>
      <c r="M623" s="719">
        <v>46244</v>
      </c>
      <c r="N623" s="738">
        <v>46242</v>
      </c>
      <c r="O623" s="714"/>
      <c r="P623" s="717" t="s">
        <v>1410</v>
      </c>
      <c r="Q623" s="717"/>
      <c r="R623" s="723">
        <v>46185</v>
      </c>
      <c r="S623" s="720" t="s">
        <v>107</v>
      </c>
      <c r="T623" s="720" t="s">
        <v>1794</v>
      </c>
      <c r="U623" s="720"/>
      <c r="V623" s="720"/>
      <c r="W623" s="720"/>
      <c r="X623" s="720" t="s">
        <v>5914</v>
      </c>
      <c r="Y623" s="719" t="s">
        <v>1142</v>
      </c>
      <c r="Z623" s="730">
        <v>4.8121</v>
      </c>
      <c r="AA623" s="652">
        <f t="shared" si="123"/>
        <v>29026.5872</v>
      </c>
      <c r="AB623" s="721"/>
      <c r="AC623" s="652" t="s">
        <v>4108</v>
      </c>
      <c r="AD623" s="715" t="s">
        <v>112</v>
      </c>
      <c r="AE623" s="715">
        <f t="shared" si="121"/>
        <v>6032</v>
      </c>
      <c r="AF623" s="715"/>
      <c r="AG623" s="715">
        <v>6032</v>
      </c>
      <c r="AH623" s="715">
        <f t="shared" si="119"/>
        <v>0</v>
      </c>
      <c r="AI623" s="717"/>
      <c r="AJ623" s="715" t="s">
        <v>3981</v>
      </c>
      <c r="AK623" s="652"/>
      <c r="AL623" s="652">
        <f t="shared" si="124"/>
        <v>6032</v>
      </c>
      <c r="AM623" s="652"/>
      <c r="AN623" s="652">
        <f t="shared" si="122"/>
        <v>6032</v>
      </c>
      <c r="AO623" s="652"/>
      <c r="AP623" s="652"/>
      <c r="AQ623" s="652"/>
      <c r="AR623" s="652"/>
      <c r="AS623" s="652"/>
      <c r="AT623" s="652"/>
      <c r="AU623" s="652">
        <f>I623/8</f>
        <v>754</v>
      </c>
      <c r="AV623" s="652"/>
      <c r="AW623" s="652"/>
      <c r="AX623" s="652"/>
      <c r="AY623" s="652"/>
      <c r="AZ623" s="652"/>
      <c r="BA623" s="652"/>
      <c r="BB623" s="652"/>
      <c r="BC623" s="652"/>
      <c r="BD623" s="652"/>
      <c r="BE623" s="652"/>
      <c r="BF623" s="652"/>
      <c r="BG623" s="652"/>
      <c r="BH623" s="652"/>
      <c r="BI623" s="652"/>
      <c r="BJ623" s="650"/>
      <c r="BK623" s="650"/>
      <c r="BL623" s="650"/>
      <c r="BM623" s="650"/>
      <c r="BN623" s="650"/>
      <c r="BO623" s="650"/>
      <c r="BP623" s="650"/>
      <c r="BQ623" s="650"/>
      <c r="BR623" s="650"/>
      <c r="BS623" s="650"/>
      <c r="BT623" s="650"/>
      <c r="BU623" s="650"/>
      <c r="BV623" s="650"/>
      <c r="BW623" s="650"/>
      <c r="BX623" s="650"/>
      <c r="BY623" s="650"/>
      <c r="BZ623" s="650"/>
      <c r="CA623" s="650"/>
      <c r="CB623" s="650"/>
      <c r="CC623" s="650"/>
      <c r="CD623" s="650"/>
      <c r="CE623" s="650"/>
      <c r="CF623" s="650"/>
      <c r="CG623" s="650"/>
      <c r="CH623" s="650"/>
      <c r="CI623" s="650"/>
      <c r="CJ623" s="650"/>
      <c r="CK623" s="650"/>
      <c r="CL623" s="650"/>
      <c r="CM623" s="650"/>
      <c r="CN623" s="650"/>
      <c r="CO623" s="650"/>
      <c r="CP623" s="650"/>
      <c r="CQ623" s="650"/>
      <c r="CR623" s="650"/>
      <c r="CS623" s="654"/>
      <c r="CT623" s="654"/>
      <c r="CU623" s="654"/>
      <c r="CV623" s="654"/>
      <c r="CW623" s="654"/>
      <c r="CX623" s="654"/>
      <c r="CY623" s="654"/>
      <c r="CZ623" s="654"/>
      <c r="DA623" s="654"/>
      <c r="DB623" s="654"/>
      <c r="DC623" s="654"/>
      <c r="DD623" s="654"/>
    </row>
    <row r="624" s="650" customFormat="1" ht="31" customHeight="1" spans="1:108">
      <c r="A624" s="713">
        <v>46185</v>
      </c>
      <c r="B624" s="714" t="s">
        <v>147</v>
      </c>
      <c r="C624" s="715" t="s">
        <v>148</v>
      </c>
      <c r="D624" s="652">
        <v>4500211944</v>
      </c>
      <c r="E624" s="715">
        <v>4400577318</v>
      </c>
      <c r="F624" s="652" t="s">
        <v>5915</v>
      </c>
      <c r="G624" s="716" t="s">
        <v>3973</v>
      </c>
      <c r="H624" s="715" t="s">
        <v>3995</v>
      </c>
      <c r="I624" s="717">
        <v>2576</v>
      </c>
      <c r="J624" s="715">
        <v>0</v>
      </c>
      <c r="K624" s="715">
        <v>16</v>
      </c>
      <c r="L624" s="715">
        <f t="shared" si="120"/>
        <v>161</v>
      </c>
      <c r="M624" s="719">
        <v>46244</v>
      </c>
      <c r="N624" s="738">
        <v>46242</v>
      </c>
      <c r="O624" s="714"/>
      <c r="P624" s="717" t="s">
        <v>1410</v>
      </c>
      <c r="Q624" s="717"/>
      <c r="R624" s="723">
        <v>46185</v>
      </c>
      <c r="S624" s="720" t="s">
        <v>107</v>
      </c>
      <c r="T624" s="720" t="s">
        <v>1794</v>
      </c>
      <c r="U624" s="720"/>
      <c r="V624" s="720"/>
      <c r="W624" s="720"/>
      <c r="X624" s="720" t="s">
        <v>5914</v>
      </c>
      <c r="Y624" s="719" t="s">
        <v>1142</v>
      </c>
      <c r="Z624" s="730">
        <v>4.8226</v>
      </c>
      <c r="AA624" s="652">
        <f t="shared" si="123"/>
        <v>12423.0176</v>
      </c>
      <c r="AB624" s="721"/>
      <c r="AC624" s="652" t="s">
        <v>4108</v>
      </c>
      <c r="AD624" s="715" t="s">
        <v>112</v>
      </c>
      <c r="AE624" s="715">
        <f t="shared" si="121"/>
        <v>2576</v>
      </c>
      <c r="AF624" s="715"/>
      <c r="AG624" s="715">
        <v>2576</v>
      </c>
      <c r="AH624" s="715">
        <f t="shared" si="119"/>
        <v>0</v>
      </c>
      <c r="AI624" s="717"/>
      <c r="AJ624" s="715" t="s">
        <v>3981</v>
      </c>
      <c r="AK624" s="652"/>
      <c r="AL624" s="652">
        <f t="shared" si="124"/>
        <v>2576</v>
      </c>
      <c r="AM624" s="652"/>
      <c r="AN624" s="652">
        <f t="shared" si="122"/>
        <v>2576</v>
      </c>
      <c r="AO624" s="652"/>
      <c r="AP624" s="652"/>
      <c r="AQ624" s="652"/>
      <c r="AR624" s="652"/>
      <c r="AS624" s="652"/>
      <c r="AT624" s="652"/>
      <c r="AU624" s="652">
        <f>I624/8</f>
        <v>322</v>
      </c>
      <c r="AV624" s="652"/>
      <c r="AW624" s="652"/>
      <c r="AX624" s="652"/>
      <c r="AY624" s="652"/>
      <c r="AZ624" s="652"/>
      <c r="BA624" s="652"/>
      <c r="BB624" s="652"/>
      <c r="BC624" s="652"/>
      <c r="BD624" s="652"/>
      <c r="BE624" s="652"/>
      <c r="BF624" s="652"/>
      <c r="BG624" s="652"/>
      <c r="BH624" s="652"/>
      <c r="BI624" s="652"/>
      <c r="BJ624" s="650"/>
      <c r="BK624" s="650"/>
      <c r="BL624" s="650"/>
      <c r="BM624" s="650"/>
      <c r="BN624" s="650"/>
      <c r="BO624" s="650"/>
      <c r="BP624" s="650"/>
      <c r="BQ624" s="650"/>
      <c r="BR624" s="650"/>
      <c r="BS624" s="650"/>
      <c r="BT624" s="650"/>
      <c r="BU624" s="650"/>
      <c r="BV624" s="650"/>
      <c r="BW624" s="650"/>
      <c r="BX624" s="650"/>
      <c r="BY624" s="650"/>
      <c r="BZ624" s="650"/>
      <c r="CA624" s="650"/>
      <c r="CB624" s="650"/>
      <c r="CC624" s="650"/>
      <c r="CD624" s="650"/>
      <c r="CE624" s="650"/>
      <c r="CF624" s="650"/>
      <c r="CG624" s="650"/>
      <c r="CH624" s="650"/>
      <c r="CI624" s="650"/>
      <c r="CJ624" s="650"/>
      <c r="CK624" s="650"/>
      <c r="CL624" s="650"/>
      <c r="CM624" s="650"/>
      <c r="CN624" s="650"/>
      <c r="CO624" s="650"/>
      <c r="CP624" s="650"/>
      <c r="CQ624" s="650"/>
      <c r="CR624" s="650"/>
      <c r="CS624" s="651"/>
      <c r="CT624" s="651"/>
      <c r="CU624" s="651"/>
      <c r="CV624" s="651"/>
      <c r="CW624" s="651"/>
      <c r="CX624" s="651"/>
      <c r="CY624" s="651"/>
      <c r="CZ624" s="651"/>
      <c r="DA624" s="651"/>
      <c r="DB624" s="651"/>
      <c r="DC624" s="651"/>
      <c r="DD624" s="651"/>
    </row>
    <row r="625" s="650" customFormat="1" ht="31" customHeight="1" spans="1:108">
      <c r="A625" s="819">
        <v>46217</v>
      </c>
      <c r="B625" s="820" t="s">
        <v>134</v>
      </c>
      <c r="C625" s="821" t="s">
        <v>135</v>
      </c>
      <c r="D625" s="822">
        <v>4500216477</v>
      </c>
      <c r="E625" s="821">
        <v>4400561416</v>
      </c>
      <c r="F625" s="822" t="s">
        <v>5916</v>
      </c>
      <c r="G625" s="716" t="s">
        <v>3973</v>
      </c>
      <c r="H625" s="708" t="s">
        <v>3995</v>
      </c>
      <c r="I625" s="824">
        <v>5008</v>
      </c>
      <c r="J625" s="821">
        <v>0</v>
      </c>
      <c r="K625" s="821">
        <v>16</v>
      </c>
      <c r="L625" s="821">
        <f t="shared" si="120"/>
        <v>313</v>
      </c>
      <c r="M625" s="825">
        <v>46244</v>
      </c>
      <c r="N625" s="863">
        <v>46242</v>
      </c>
      <c r="O625" s="828" t="s">
        <v>2833</v>
      </c>
      <c r="P625" s="824"/>
      <c r="Q625" s="824"/>
      <c r="R625" s="827">
        <v>46183</v>
      </c>
      <c r="S625" s="828" t="s">
        <v>107</v>
      </c>
      <c r="T625" s="848" t="s">
        <v>3997</v>
      </c>
      <c r="U625" s="848"/>
      <c r="V625" s="828"/>
      <c r="W625" s="828"/>
      <c r="X625" s="828" t="s">
        <v>5591</v>
      </c>
      <c r="Y625" s="825" t="s">
        <v>142</v>
      </c>
      <c r="Z625" s="830">
        <v>4.7735</v>
      </c>
      <c r="AA625" s="822">
        <f t="shared" si="123"/>
        <v>23905.688</v>
      </c>
      <c r="AB625" s="831"/>
      <c r="AC625" s="822" t="s">
        <v>4108</v>
      </c>
      <c r="AD625" s="821" t="s">
        <v>112</v>
      </c>
      <c r="AE625" s="821">
        <f t="shared" si="121"/>
        <v>5008</v>
      </c>
      <c r="AF625" s="821" t="s">
        <v>4109</v>
      </c>
      <c r="AG625" s="821">
        <f>1856+3152</f>
        <v>5008</v>
      </c>
      <c r="AH625" s="833">
        <f t="shared" si="119"/>
        <v>0</v>
      </c>
      <c r="AI625" s="824"/>
      <c r="AJ625" s="708" t="s">
        <v>3981</v>
      </c>
      <c r="AK625" s="822"/>
      <c r="AL625" s="925">
        <f t="shared" si="124"/>
        <v>5008</v>
      </c>
      <c r="AM625" s="822"/>
      <c r="AN625" s="822">
        <f t="shared" si="122"/>
        <v>5008</v>
      </c>
      <c r="AO625" s="822"/>
      <c r="AP625" s="822"/>
      <c r="AQ625" s="822"/>
      <c r="AR625" s="822"/>
      <c r="AS625" s="822"/>
      <c r="AT625" s="822"/>
      <c r="AU625" s="925">
        <f>I625/8</f>
        <v>626</v>
      </c>
      <c r="AV625" s="822"/>
      <c r="AW625" s="822"/>
      <c r="AX625" s="822"/>
      <c r="AY625" s="822"/>
      <c r="AZ625" s="822"/>
      <c r="BA625" s="822"/>
      <c r="BB625" s="822"/>
      <c r="BC625" s="822"/>
      <c r="BD625" s="822"/>
      <c r="BE625" s="822"/>
      <c r="BF625" s="822"/>
      <c r="BG625" s="822"/>
      <c r="BH625" s="822"/>
      <c r="BI625" s="822"/>
      <c r="BJ625" s="892"/>
      <c r="BK625" s="892"/>
      <c r="BL625" s="892"/>
      <c r="BM625" s="892"/>
      <c r="BN625" s="892"/>
      <c r="BO625" s="892"/>
      <c r="BP625" s="892"/>
      <c r="BQ625" s="892"/>
      <c r="BR625" s="892"/>
      <c r="BS625" s="892"/>
      <c r="BT625" s="892"/>
      <c r="BU625" s="892"/>
      <c r="BV625" s="892"/>
      <c r="BW625" s="892"/>
      <c r="BX625" s="892"/>
      <c r="BY625" s="892"/>
      <c r="BZ625" s="892"/>
      <c r="CA625" s="892"/>
      <c r="CB625" s="892"/>
      <c r="CC625" s="892"/>
      <c r="CD625" s="892"/>
      <c r="CE625" s="892"/>
      <c r="CF625" s="892"/>
      <c r="CG625" s="892"/>
      <c r="CH625" s="892"/>
      <c r="CI625" s="892"/>
      <c r="CJ625" s="892"/>
      <c r="CK625" s="892"/>
      <c r="CL625" s="892"/>
      <c r="CM625" s="892"/>
      <c r="CN625" s="892"/>
      <c r="CO625" s="892"/>
      <c r="CP625" s="892"/>
      <c r="CQ625" s="892"/>
      <c r="CR625" s="892"/>
      <c r="CS625" s="892"/>
      <c r="CT625" s="892"/>
      <c r="CU625" s="892"/>
      <c r="CV625" s="892"/>
      <c r="CW625" s="892"/>
      <c r="CX625" s="892"/>
      <c r="CY625" s="892"/>
      <c r="CZ625" s="892"/>
      <c r="DA625" s="892"/>
      <c r="DB625" s="892"/>
      <c r="DC625" s="892"/>
      <c r="DD625" s="892"/>
    </row>
    <row r="626" s="650" customFormat="1" ht="31" customHeight="1" spans="1:108">
      <c r="A626" s="713">
        <v>46188</v>
      </c>
      <c r="B626" s="714" t="s">
        <v>5917</v>
      </c>
      <c r="C626" s="715" t="s">
        <v>115</v>
      </c>
      <c r="D626" s="652" t="s">
        <v>5918</v>
      </c>
      <c r="E626" s="715" t="s">
        <v>5919</v>
      </c>
      <c r="F626" s="652" t="s">
        <v>5920</v>
      </c>
      <c r="G626" s="716" t="s">
        <v>5921</v>
      </c>
      <c r="H626" s="715" t="s">
        <v>3969</v>
      </c>
      <c r="I626" s="717">
        <v>4168</v>
      </c>
      <c r="J626" s="715">
        <v>0</v>
      </c>
      <c r="K626" s="715">
        <v>8</v>
      </c>
      <c r="L626" s="715">
        <f t="shared" si="120"/>
        <v>521</v>
      </c>
      <c r="M626" s="719">
        <v>46244</v>
      </c>
      <c r="N626" s="738">
        <v>46242</v>
      </c>
      <c r="O626" s="732" t="s">
        <v>5922</v>
      </c>
      <c r="P626" s="717" t="s">
        <v>1410</v>
      </c>
      <c r="Q626" s="717"/>
      <c r="R626" s="723" t="s">
        <v>4201</v>
      </c>
      <c r="S626" s="720" t="s">
        <v>107</v>
      </c>
      <c r="T626" s="720" t="s">
        <v>4197</v>
      </c>
      <c r="U626" s="720"/>
      <c r="V626" s="720"/>
      <c r="W626" s="720"/>
      <c r="X626" s="720" t="s">
        <v>5923</v>
      </c>
      <c r="Y626" s="719" t="s">
        <v>354</v>
      </c>
      <c r="Z626" s="730">
        <v>2.8292</v>
      </c>
      <c r="AA626" s="652">
        <f>Z626*I626</f>
        <v>11792.1056</v>
      </c>
      <c r="AB626" s="721"/>
      <c r="AC626" s="760" t="s">
        <v>5921</v>
      </c>
      <c r="AD626" s="715" t="s">
        <v>3804</v>
      </c>
      <c r="AE626" s="715">
        <f t="shared" si="121"/>
        <v>4168</v>
      </c>
      <c r="AF626" s="715" t="s">
        <v>5125</v>
      </c>
      <c r="AG626" s="715">
        <v>4168</v>
      </c>
      <c r="AH626" s="715">
        <f t="shared" si="119"/>
        <v>0</v>
      </c>
      <c r="AI626" s="717"/>
      <c r="AJ626" s="715"/>
      <c r="AK626" s="652">
        <f>I626</f>
        <v>4168</v>
      </c>
      <c r="AL626" s="652"/>
      <c r="AM626" s="652"/>
      <c r="AN626" s="652">
        <f t="shared" si="122"/>
        <v>4168</v>
      </c>
      <c r="AO626" s="652"/>
      <c r="AP626" s="652"/>
      <c r="AQ626" s="652"/>
      <c r="AR626" s="652"/>
      <c r="AS626" s="652"/>
      <c r="AT626" s="652"/>
      <c r="AU626" s="652"/>
      <c r="AV626" s="652"/>
      <c r="AW626" s="652"/>
      <c r="AX626" s="652"/>
      <c r="AY626" s="652"/>
      <c r="AZ626" s="652"/>
      <c r="BA626" s="652"/>
      <c r="BB626" s="652"/>
      <c r="BC626" s="652"/>
      <c r="BD626" s="652"/>
      <c r="BE626" s="652"/>
      <c r="BF626" s="652"/>
      <c r="BG626" s="652"/>
      <c r="BH626" s="652"/>
      <c r="BI626" s="652"/>
    </row>
    <row r="627" s="650" customFormat="1" ht="31" customHeight="1" spans="1:108">
      <c r="A627" s="713">
        <v>46188</v>
      </c>
      <c r="B627" s="714" t="s">
        <v>521</v>
      </c>
      <c r="C627" s="715" t="s">
        <v>101</v>
      </c>
      <c r="D627" s="652" t="s">
        <v>5924</v>
      </c>
      <c r="E627" s="715" t="s">
        <v>5925</v>
      </c>
      <c r="F627" s="652" t="s">
        <v>5926</v>
      </c>
      <c r="G627" s="716" t="s">
        <v>3980</v>
      </c>
      <c r="H627" s="715" t="s">
        <v>3978</v>
      </c>
      <c r="I627" s="717">
        <v>424</v>
      </c>
      <c r="J627" s="715">
        <v>0</v>
      </c>
      <c r="K627" s="715">
        <v>8</v>
      </c>
      <c r="L627" s="715">
        <f t="shared" si="120"/>
        <v>53</v>
      </c>
      <c r="M627" s="719">
        <v>46244</v>
      </c>
      <c r="N627" s="738">
        <v>46245</v>
      </c>
      <c r="O627" s="714"/>
      <c r="P627" s="717" t="s">
        <v>1410</v>
      </c>
      <c r="Q627" s="717"/>
      <c r="R627" s="734" t="s">
        <v>2658</v>
      </c>
      <c r="S627" s="735" t="s">
        <v>107</v>
      </c>
      <c r="T627" s="720" t="s">
        <v>5927</v>
      </c>
      <c r="U627" s="735"/>
      <c r="V627" s="720"/>
      <c r="W627" s="720"/>
      <c r="X627" s="720" t="s">
        <v>5928</v>
      </c>
      <c r="Y627" s="719" t="s">
        <v>362</v>
      </c>
      <c r="Z627" s="730">
        <v>4.7893</v>
      </c>
      <c r="AA627" s="652">
        <f>I627*Z627</f>
        <v>2030.6632</v>
      </c>
      <c r="AB627" s="721"/>
      <c r="AC627" s="766" t="s">
        <v>3980</v>
      </c>
      <c r="AD627" s="715" t="s">
        <v>112</v>
      </c>
      <c r="AE627" s="715">
        <f t="shared" si="121"/>
        <v>424</v>
      </c>
      <c r="AF627" s="715"/>
      <c r="AG627" s="715">
        <v>424</v>
      </c>
      <c r="AH627" s="715">
        <f t="shared" si="119"/>
        <v>0</v>
      </c>
      <c r="AI627" s="717"/>
      <c r="AJ627" s="715" t="s">
        <v>3981</v>
      </c>
      <c r="AK627" s="652">
        <f>I627</f>
        <v>424</v>
      </c>
      <c r="AL627" s="652"/>
      <c r="AM627" s="652"/>
      <c r="AN627" s="652">
        <f t="shared" si="122"/>
        <v>424</v>
      </c>
      <c r="AO627" s="652"/>
      <c r="AP627" s="652"/>
      <c r="AQ627" s="652"/>
      <c r="AR627" s="652"/>
      <c r="AS627" s="652"/>
      <c r="AT627" s="652"/>
      <c r="AU627" s="652"/>
      <c r="AV627" s="652"/>
      <c r="AW627" s="652"/>
      <c r="AX627" s="652">
        <f>I627/8</f>
        <v>53</v>
      </c>
      <c r="AY627" s="652"/>
      <c r="AZ627" s="652"/>
      <c r="BA627" s="652"/>
      <c r="BB627" s="652"/>
      <c r="BC627" s="652"/>
      <c r="BD627" s="652"/>
      <c r="BE627" s="652"/>
      <c r="BF627" s="652"/>
      <c r="BG627" s="652"/>
      <c r="BH627" s="652"/>
      <c r="BI627" s="652"/>
    </row>
    <row r="628" s="650" customFormat="1" ht="31" customHeight="1" spans="1:108">
      <c r="A628" s="713">
        <v>46171</v>
      </c>
      <c r="B628" s="714" t="s">
        <v>2373</v>
      </c>
      <c r="C628" s="715" t="s">
        <v>101</v>
      </c>
      <c r="D628" s="652" t="s">
        <v>5924</v>
      </c>
      <c r="E628" s="715" t="s">
        <v>5929</v>
      </c>
      <c r="F628" s="652" t="s">
        <v>5930</v>
      </c>
      <c r="G628" s="716" t="s">
        <v>3980</v>
      </c>
      <c r="H628" s="715" t="s">
        <v>3978</v>
      </c>
      <c r="I628" s="717">
        <v>216</v>
      </c>
      <c r="J628" s="715">
        <v>0</v>
      </c>
      <c r="K628" s="715">
        <v>8</v>
      </c>
      <c r="L628" s="715">
        <f t="shared" si="120"/>
        <v>27</v>
      </c>
      <c r="M628" s="719">
        <v>46244</v>
      </c>
      <c r="N628" s="738">
        <v>46245</v>
      </c>
      <c r="O628" s="714"/>
      <c r="P628" s="717" t="s">
        <v>1410</v>
      </c>
      <c r="Q628" s="717"/>
      <c r="R628" s="734" t="s">
        <v>2658</v>
      </c>
      <c r="S628" s="735" t="s">
        <v>107</v>
      </c>
      <c r="T628" s="720" t="s">
        <v>5927</v>
      </c>
      <c r="U628" s="735"/>
      <c r="V628" s="720" t="s">
        <v>5931</v>
      </c>
      <c r="W628" s="720"/>
      <c r="X628" s="720" t="s">
        <v>5932</v>
      </c>
      <c r="Y628" s="719" t="s">
        <v>2378</v>
      </c>
      <c r="Z628" s="730">
        <v>4.7893</v>
      </c>
      <c r="AA628" s="652">
        <f>I628*Z628</f>
        <v>1034.4888</v>
      </c>
      <c r="AB628" s="721"/>
      <c r="AC628" s="766" t="s">
        <v>3980</v>
      </c>
      <c r="AD628" s="715" t="s">
        <v>112</v>
      </c>
      <c r="AE628" s="715">
        <f t="shared" si="121"/>
        <v>216</v>
      </c>
      <c r="AF628" s="715" t="s">
        <v>5125</v>
      </c>
      <c r="AG628" s="715">
        <v>216</v>
      </c>
      <c r="AH628" s="715">
        <f t="shared" si="119"/>
        <v>0</v>
      </c>
      <c r="AI628" s="717"/>
      <c r="AJ628" s="715" t="s">
        <v>3981</v>
      </c>
      <c r="AK628" s="652">
        <f>I628</f>
        <v>216</v>
      </c>
      <c r="AL628" s="652"/>
      <c r="AM628" s="652"/>
      <c r="AN628" s="652">
        <f t="shared" si="122"/>
        <v>216</v>
      </c>
      <c r="AO628" s="652"/>
      <c r="AP628" s="652"/>
      <c r="AQ628" s="652"/>
      <c r="AR628" s="652"/>
      <c r="AS628" s="652"/>
      <c r="AT628" s="652"/>
      <c r="AU628" s="652"/>
      <c r="AV628" s="652"/>
      <c r="AW628" s="652"/>
      <c r="AX628" s="652">
        <f>I628/8</f>
        <v>27</v>
      </c>
      <c r="AY628" s="652"/>
      <c r="AZ628" s="652"/>
      <c r="BA628" s="652"/>
      <c r="BB628" s="652"/>
      <c r="BC628" s="652"/>
      <c r="BD628" s="652"/>
      <c r="BE628" s="652"/>
      <c r="BF628" s="652"/>
      <c r="BG628" s="652"/>
      <c r="BH628" s="652"/>
      <c r="BI628" s="652"/>
      <c r="CS628" s="654"/>
      <c r="CT628" s="654"/>
      <c r="CU628" s="654"/>
      <c r="CV628" s="654"/>
      <c r="CW628" s="654"/>
      <c r="CX628" s="654"/>
      <c r="CY628" s="654"/>
      <c r="CZ628" s="654"/>
      <c r="DA628" s="654"/>
      <c r="DB628" s="654"/>
      <c r="DC628" s="654"/>
      <c r="DD628" s="654"/>
    </row>
    <row r="629" s="650" customFormat="1" ht="31" customHeight="1" spans="1:108">
      <c r="A629" s="713">
        <v>46188</v>
      </c>
      <c r="B629" s="714" t="s">
        <v>525</v>
      </c>
      <c r="C629" s="715" t="s">
        <v>508</v>
      </c>
      <c r="D629" s="652" t="s">
        <v>5933</v>
      </c>
      <c r="E629" s="715" t="s">
        <v>5934</v>
      </c>
      <c r="F629" s="652" t="s">
        <v>5935</v>
      </c>
      <c r="G629" s="716" t="s">
        <v>3980</v>
      </c>
      <c r="H629" s="715" t="s">
        <v>3978</v>
      </c>
      <c r="I629" s="717">
        <v>4576</v>
      </c>
      <c r="J629" s="715">
        <v>0</v>
      </c>
      <c r="K629" s="715">
        <v>8</v>
      </c>
      <c r="L629" s="715">
        <f t="shared" si="120"/>
        <v>572</v>
      </c>
      <c r="M629" s="719">
        <v>46244</v>
      </c>
      <c r="N629" s="738">
        <v>46245</v>
      </c>
      <c r="O629" s="714"/>
      <c r="P629" s="717" t="s">
        <v>1410</v>
      </c>
      <c r="Q629" s="717"/>
      <c r="R629" s="723" t="s">
        <v>2658</v>
      </c>
      <c r="S629" s="720" t="s">
        <v>107</v>
      </c>
      <c r="T629" s="720" t="s">
        <v>5927</v>
      </c>
      <c r="U629" s="720"/>
      <c r="V629" s="720"/>
      <c r="W629" s="720"/>
      <c r="X629" s="720" t="s">
        <v>5936</v>
      </c>
      <c r="Y629" s="719" t="s">
        <v>362</v>
      </c>
      <c r="Z629" s="730">
        <v>4.7683</v>
      </c>
      <c r="AA629" s="652">
        <f>I629*Z629</f>
        <v>21819.7408</v>
      </c>
      <c r="AB629" s="721"/>
      <c r="AC629" s="722" t="s">
        <v>3980</v>
      </c>
      <c r="AD629" s="715" t="s">
        <v>112</v>
      </c>
      <c r="AE629" s="715">
        <f t="shared" si="121"/>
        <v>4576</v>
      </c>
      <c r="AF629" s="715"/>
      <c r="AG629" s="715">
        <v>4576</v>
      </c>
      <c r="AH629" s="715">
        <f t="shared" si="119"/>
        <v>0</v>
      </c>
      <c r="AI629" s="717"/>
      <c r="AJ629" s="715" t="s">
        <v>3981</v>
      </c>
      <c r="AK629" s="652">
        <f>I629</f>
        <v>4576</v>
      </c>
      <c r="AL629" s="652"/>
      <c r="AM629" s="652"/>
      <c r="AN629" s="652">
        <f t="shared" si="122"/>
        <v>4576</v>
      </c>
      <c r="AO629" s="652"/>
      <c r="AP629" s="652"/>
      <c r="AQ629" s="652"/>
      <c r="AR629" s="652"/>
      <c r="AS629" s="652"/>
      <c r="AT629" s="652"/>
      <c r="AU629" s="652"/>
      <c r="AV629" s="652"/>
      <c r="AW629" s="652"/>
      <c r="AX629" s="652">
        <f>I629/8</f>
        <v>572</v>
      </c>
      <c r="AY629" s="652"/>
      <c r="AZ629" s="652"/>
      <c r="BA629" s="652"/>
      <c r="BB629" s="652"/>
      <c r="BC629" s="652"/>
      <c r="BD629" s="652"/>
      <c r="BE629" s="652"/>
      <c r="BF629" s="652"/>
      <c r="BG629" s="652"/>
      <c r="BH629" s="652"/>
      <c r="BI629" s="652"/>
    </row>
    <row r="630" s="650" customFormat="1" ht="31" customHeight="1" spans="1:108">
      <c r="A630" s="713">
        <v>46171</v>
      </c>
      <c r="B630" s="714" t="s">
        <v>2379</v>
      </c>
      <c r="C630" s="715" t="s">
        <v>508</v>
      </c>
      <c r="D630" s="652" t="s">
        <v>5933</v>
      </c>
      <c r="E630" s="715" t="s">
        <v>5937</v>
      </c>
      <c r="F630" s="652" t="s">
        <v>5938</v>
      </c>
      <c r="G630" s="716" t="s">
        <v>3980</v>
      </c>
      <c r="H630" s="715" t="s">
        <v>3978</v>
      </c>
      <c r="I630" s="717">
        <v>2784</v>
      </c>
      <c r="J630" s="715">
        <v>0</v>
      </c>
      <c r="K630" s="715">
        <v>8</v>
      </c>
      <c r="L630" s="715">
        <f t="shared" si="120"/>
        <v>348</v>
      </c>
      <c r="M630" s="719">
        <v>46244</v>
      </c>
      <c r="N630" s="738">
        <v>46245</v>
      </c>
      <c r="O630" s="714"/>
      <c r="P630" s="717" t="s">
        <v>1410</v>
      </c>
      <c r="Q630" s="717"/>
      <c r="R630" s="723" t="s">
        <v>2658</v>
      </c>
      <c r="S630" s="720" t="s">
        <v>107</v>
      </c>
      <c r="T630" s="720" t="s">
        <v>5927</v>
      </c>
      <c r="U630" s="720"/>
      <c r="V630" s="720" t="s">
        <v>5931</v>
      </c>
      <c r="W630" s="720"/>
      <c r="X630" s="720" t="s">
        <v>5939</v>
      </c>
      <c r="Y630" s="719" t="s">
        <v>2378</v>
      </c>
      <c r="Z630" s="730">
        <v>4.7788</v>
      </c>
      <c r="AA630" s="652">
        <f>I630*Z630</f>
        <v>13304.1792</v>
      </c>
      <c r="AB630" s="721"/>
      <c r="AC630" s="722" t="s">
        <v>3980</v>
      </c>
      <c r="AD630" s="715" t="s">
        <v>112</v>
      </c>
      <c r="AE630" s="715">
        <f t="shared" si="121"/>
        <v>2784</v>
      </c>
      <c r="AF630" s="715" t="s">
        <v>5125</v>
      </c>
      <c r="AG630" s="715">
        <v>2784</v>
      </c>
      <c r="AH630" s="715">
        <f t="shared" si="119"/>
        <v>0</v>
      </c>
      <c r="AI630" s="717"/>
      <c r="AJ630" s="715" t="s">
        <v>3981</v>
      </c>
      <c r="AK630" s="652">
        <f>I630</f>
        <v>2784</v>
      </c>
      <c r="AL630" s="652"/>
      <c r="AM630" s="652"/>
      <c r="AN630" s="652">
        <f t="shared" si="122"/>
        <v>2784</v>
      </c>
      <c r="AO630" s="652"/>
      <c r="AP630" s="652"/>
      <c r="AQ630" s="652"/>
      <c r="AR630" s="652"/>
      <c r="AS630" s="652"/>
      <c r="AT630" s="652"/>
      <c r="AU630" s="652"/>
      <c r="AV630" s="652"/>
      <c r="AW630" s="652"/>
      <c r="AX630" s="652">
        <f>I630/8</f>
        <v>348</v>
      </c>
      <c r="AY630" s="652"/>
      <c r="AZ630" s="652"/>
      <c r="BA630" s="652"/>
      <c r="BB630" s="652"/>
      <c r="BC630" s="652"/>
      <c r="BD630" s="652"/>
      <c r="BE630" s="652"/>
      <c r="BF630" s="652"/>
      <c r="BG630" s="652"/>
      <c r="BH630" s="652"/>
      <c r="BI630" s="652"/>
    </row>
    <row r="631" s="650" customFormat="1" ht="31" customHeight="1" spans="1:108">
      <c r="A631" s="713">
        <v>46157</v>
      </c>
      <c r="B631" s="714" t="s">
        <v>2373</v>
      </c>
      <c r="C631" s="715" t="s">
        <v>101</v>
      </c>
      <c r="D631" s="652" t="s">
        <v>5924</v>
      </c>
      <c r="E631" s="715" t="s">
        <v>5940</v>
      </c>
      <c r="F631" s="652" t="s">
        <v>2927</v>
      </c>
      <c r="G631" s="716" t="s">
        <v>5786</v>
      </c>
      <c r="H631" s="715" t="s">
        <v>804</v>
      </c>
      <c r="I631" s="717">
        <v>114</v>
      </c>
      <c r="J631" s="715">
        <v>0</v>
      </c>
      <c r="K631" s="715">
        <v>6</v>
      </c>
      <c r="L631" s="715">
        <f t="shared" si="120"/>
        <v>19</v>
      </c>
      <c r="M631" s="719">
        <v>46244</v>
      </c>
      <c r="N631" s="738">
        <v>46245</v>
      </c>
      <c r="O631" s="714"/>
      <c r="P631" s="717" t="s">
        <v>1410</v>
      </c>
      <c r="Q631" s="717"/>
      <c r="R631" s="723" t="s">
        <v>2658</v>
      </c>
      <c r="S631" s="720" t="s">
        <v>107</v>
      </c>
      <c r="T631" s="720" t="s">
        <v>5927</v>
      </c>
      <c r="U631" s="720"/>
      <c r="V631" s="720" t="s">
        <v>4764</v>
      </c>
      <c r="W631" s="720"/>
      <c r="X631" s="926" t="s">
        <v>2926</v>
      </c>
      <c r="Y631" s="719" t="s">
        <v>2378</v>
      </c>
      <c r="Z631" s="730">
        <v>8.5</v>
      </c>
      <c r="AA631" s="652">
        <f>L631*Z631</f>
        <v>161.5</v>
      </c>
      <c r="AB631" s="721"/>
      <c r="AC631" s="716" t="s">
        <v>2727</v>
      </c>
      <c r="AD631" s="715" t="s">
        <v>112</v>
      </c>
      <c r="AE631" s="715">
        <f t="shared" si="121"/>
        <v>114</v>
      </c>
      <c r="AF631" s="715"/>
      <c r="AG631" s="715">
        <v>114</v>
      </c>
      <c r="AH631" s="715">
        <f t="shared" si="119"/>
        <v>0</v>
      </c>
      <c r="AI631" s="717"/>
      <c r="AJ631" s="715" t="s">
        <v>3981</v>
      </c>
      <c r="AK631" s="652"/>
      <c r="AL631" s="652"/>
      <c r="AM631" s="652"/>
      <c r="AN631" s="652">
        <f t="shared" si="122"/>
        <v>114</v>
      </c>
      <c r="AO631" s="652"/>
      <c r="AP631" s="652"/>
      <c r="AQ631" s="652"/>
      <c r="AR631" s="652"/>
      <c r="AS631" s="652"/>
      <c r="AT631" s="652"/>
      <c r="AU631" s="652"/>
      <c r="AV631" s="652"/>
      <c r="AW631" s="652"/>
      <c r="AX631" s="652"/>
      <c r="AY631" s="652"/>
      <c r="AZ631" s="652"/>
      <c r="BA631" s="652"/>
      <c r="BB631" s="652"/>
      <c r="BC631" s="652"/>
      <c r="BD631" s="652"/>
      <c r="BE631" s="652"/>
      <c r="BF631" s="652"/>
      <c r="BG631" s="652"/>
      <c r="BH631" s="652"/>
      <c r="BI631" s="652">
        <f>I631</f>
        <v>114</v>
      </c>
      <c r="CS631" s="654"/>
      <c r="CT631" s="654"/>
      <c r="CU631" s="654"/>
      <c r="CV631" s="654"/>
      <c r="CW631" s="654"/>
      <c r="CX631" s="654"/>
      <c r="CY631" s="654"/>
      <c r="CZ631" s="654"/>
      <c r="DA631" s="654"/>
      <c r="DB631" s="654"/>
      <c r="DC631" s="654"/>
      <c r="DD631" s="654"/>
    </row>
    <row r="632" s="650" customFormat="1" ht="31" customHeight="1" spans="1:108">
      <c r="A632" s="713">
        <v>46157</v>
      </c>
      <c r="B632" s="714" t="s">
        <v>2373</v>
      </c>
      <c r="C632" s="715" t="s">
        <v>101</v>
      </c>
      <c r="D632" s="652" t="s">
        <v>5924</v>
      </c>
      <c r="E632" s="715" t="s">
        <v>5941</v>
      </c>
      <c r="F632" s="652" t="s">
        <v>2925</v>
      </c>
      <c r="G632" s="716" t="s">
        <v>5786</v>
      </c>
      <c r="H632" s="715" t="s">
        <v>804</v>
      </c>
      <c r="I632" s="717">
        <v>186</v>
      </c>
      <c r="J632" s="715">
        <v>0</v>
      </c>
      <c r="K632" s="715">
        <v>6</v>
      </c>
      <c r="L632" s="715">
        <f t="shared" si="120"/>
        <v>31</v>
      </c>
      <c r="M632" s="719">
        <v>46244</v>
      </c>
      <c r="N632" s="738">
        <v>46245</v>
      </c>
      <c r="O632" s="714"/>
      <c r="P632" s="717" t="s">
        <v>1410</v>
      </c>
      <c r="Q632" s="717"/>
      <c r="R632" s="723" t="s">
        <v>2658</v>
      </c>
      <c r="S632" s="720" t="s">
        <v>107</v>
      </c>
      <c r="T632" s="720" t="s">
        <v>5927</v>
      </c>
      <c r="U632" s="720"/>
      <c r="V632" s="720" t="s">
        <v>4764</v>
      </c>
      <c r="W632" s="720"/>
      <c r="X632" s="926" t="s">
        <v>2926</v>
      </c>
      <c r="Y632" s="719" t="s">
        <v>2378</v>
      </c>
      <c r="Z632" s="730">
        <v>8.5</v>
      </c>
      <c r="AA632" s="652">
        <f>L632*Z632</f>
        <v>263.5</v>
      </c>
      <c r="AB632" s="721"/>
      <c r="AC632" s="716" t="s">
        <v>2727</v>
      </c>
      <c r="AD632" s="715" t="s">
        <v>112</v>
      </c>
      <c r="AE632" s="715">
        <f t="shared" si="121"/>
        <v>186</v>
      </c>
      <c r="AF632" s="715"/>
      <c r="AG632" s="715">
        <v>186</v>
      </c>
      <c r="AH632" s="715">
        <f t="shared" si="119"/>
        <v>0</v>
      </c>
      <c r="AI632" s="717"/>
      <c r="AJ632" s="715" t="s">
        <v>3981</v>
      </c>
      <c r="AK632" s="652"/>
      <c r="AL632" s="652"/>
      <c r="AM632" s="652"/>
      <c r="AN632" s="652">
        <f t="shared" si="122"/>
        <v>186</v>
      </c>
      <c r="AO632" s="652"/>
      <c r="AP632" s="652"/>
      <c r="AQ632" s="652"/>
      <c r="AR632" s="652"/>
      <c r="AS632" s="652"/>
      <c r="AT632" s="652"/>
      <c r="AU632" s="652"/>
      <c r="AV632" s="652"/>
      <c r="AW632" s="652"/>
      <c r="AX632" s="652"/>
      <c r="AY632" s="652"/>
      <c r="AZ632" s="652"/>
      <c r="BA632" s="652"/>
      <c r="BB632" s="652"/>
      <c r="BC632" s="652"/>
      <c r="BD632" s="652"/>
      <c r="BE632" s="652"/>
      <c r="BF632" s="652"/>
      <c r="BG632" s="652"/>
      <c r="BH632" s="652"/>
      <c r="BI632" s="652">
        <f>I632</f>
        <v>186</v>
      </c>
    </row>
    <row r="633" s="650" customFormat="1" ht="31" customHeight="1" spans="1:108">
      <c r="A633" s="713">
        <v>46157</v>
      </c>
      <c r="B633" s="714" t="s">
        <v>2379</v>
      </c>
      <c r="C633" s="715" t="s">
        <v>508</v>
      </c>
      <c r="D633" s="652" t="s">
        <v>5933</v>
      </c>
      <c r="E633" s="715" t="s">
        <v>5942</v>
      </c>
      <c r="F633" s="652" t="s">
        <v>2828</v>
      </c>
      <c r="G633" s="716" t="s">
        <v>5786</v>
      </c>
      <c r="H633" s="715" t="s">
        <v>804</v>
      </c>
      <c r="I633" s="717">
        <v>1386</v>
      </c>
      <c r="J633" s="715">
        <v>0</v>
      </c>
      <c r="K633" s="715">
        <v>6</v>
      </c>
      <c r="L633" s="715">
        <f t="shared" si="120"/>
        <v>231</v>
      </c>
      <c r="M633" s="719">
        <v>46244</v>
      </c>
      <c r="N633" s="738">
        <v>46245</v>
      </c>
      <c r="O633" s="714"/>
      <c r="P633" s="717" t="s">
        <v>1410</v>
      </c>
      <c r="Q633" s="717"/>
      <c r="R633" s="723" t="s">
        <v>2658</v>
      </c>
      <c r="S633" s="720" t="s">
        <v>107</v>
      </c>
      <c r="T633" s="720" t="s">
        <v>5927</v>
      </c>
      <c r="U633" s="720"/>
      <c r="V633" s="720" t="s">
        <v>4764</v>
      </c>
      <c r="W633" s="720"/>
      <c r="X633" s="926" t="s">
        <v>2830</v>
      </c>
      <c r="Y633" s="719" t="s">
        <v>2378</v>
      </c>
      <c r="Z633" s="730">
        <v>8.5</v>
      </c>
      <c r="AA633" s="652">
        <f>L633*Z633</f>
        <v>1963.5</v>
      </c>
      <c r="AB633" s="721"/>
      <c r="AC633" s="716" t="s">
        <v>2727</v>
      </c>
      <c r="AD633" s="715" t="s">
        <v>112</v>
      </c>
      <c r="AE633" s="715">
        <f t="shared" si="121"/>
        <v>1386</v>
      </c>
      <c r="AF633" s="715"/>
      <c r="AG633" s="715">
        <v>1386</v>
      </c>
      <c r="AH633" s="715">
        <f t="shared" si="119"/>
        <v>0</v>
      </c>
      <c r="AI633" s="717"/>
      <c r="AJ633" s="715" t="s">
        <v>3981</v>
      </c>
      <c r="AK633" s="652"/>
      <c r="AL633" s="652"/>
      <c r="AM633" s="652"/>
      <c r="AN633" s="652">
        <f t="shared" si="122"/>
        <v>1386</v>
      </c>
      <c r="AO633" s="652"/>
      <c r="AP633" s="652"/>
      <c r="AQ633" s="652"/>
      <c r="AR633" s="652"/>
      <c r="AS633" s="652"/>
      <c r="AT633" s="652"/>
      <c r="AU633" s="652"/>
      <c r="AV633" s="652"/>
      <c r="AW633" s="652"/>
      <c r="AX633" s="652"/>
      <c r="AY633" s="652"/>
      <c r="AZ633" s="652"/>
      <c r="BA633" s="652"/>
      <c r="BB633" s="652"/>
      <c r="BC633" s="652"/>
      <c r="BD633" s="652"/>
      <c r="BE633" s="652"/>
      <c r="BF633" s="652"/>
      <c r="BG633" s="652"/>
      <c r="BH633" s="652"/>
      <c r="BI633" s="652">
        <f>I633</f>
        <v>1386</v>
      </c>
      <c r="CS633" s="654"/>
      <c r="CT633" s="654"/>
      <c r="CU633" s="654"/>
      <c r="CV633" s="654"/>
      <c r="CW633" s="654"/>
      <c r="CX633" s="654"/>
      <c r="CY633" s="654"/>
      <c r="CZ633" s="654"/>
      <c r="DA633" s="654"/>
      <c r="DB633" s="654"/>
      <c r="DC633" s="654"/>
      <c r="DD633" s="654"/>
    </row>
    <row r="634" s="651" customFormat="1" ht="31" customHeight="1" spans="1:108">
      <c r="A634" s="713">
        <v>46157</v>
      </c>
      <c r="B634" s="714" t="s">
        <v>2379</v>
      </c>
      <c r="C634" s="715" t="s">
        <v>508</v>
      </c>
      <c r="D634" s="652" t="s">
        <v>5933</v>
      </c>
      <c r="E634" s="715" t="s">
        <v>5943</v>
      </c>
      <c r="F634" s="652" t="s">
        <v>2831</v>
      </c>
      <c r="G634" s="716" t="s">
        <v>5786</v>
      </c>
      <c r="H634" s="715" t="s">
        <v>804</v>
      </c>
      <c r="I634" s="717">
        <v>2316</v>
      </c>
      <c r="J634" s="715">
        <v>0</v>
      </c>
      <c r="K634" s="715">
        <v>6</v>
      </c>
      <c r="L634" s="715">
        <f t="shared" si="120"/>
        <v>386</v>
      </c>
      <c r="M634" s="719">
        <v>46244</v>
      </c>
      <c r="N634" s="738">
        <v>46245</v>
      </c>
      <c r="O634" s="714"/>
      <c r="P634" s="717" t="s">
        <v>1410</v>
      </c>
      <c r="Q634" s="717"/>
      <c r="R634" s="723" t="s">
        <v>2658</v>
      </c>
      <c r="S634" s="720" t="s">
        <v>107</v>
      </c>
      <c r="T634" s="720" t="s">
        <v>5927</v>
      </c>
      <c r="U634" s="720"/>
      <c r="V634" s="720" t="s">
        <v>4764</v>
      </c>
      <c r="W634" s="720"/>
      <c r="X634" s="926" t="s">
        <v>2830</v>
      </c>
      <c r="Y634" s="719" t="s">
        <v>2378</v>
      </c>
      <c r="Z634" s="730">
        <v>8.5</v>
      </c>
      <c r="AA634" s="652">
        <f>L634*Z634</f>
        <v>3281</v>
      </c>
      <c r="AB634" s="721"/>
      <c r="AC634" s="716" t="s">
        <v>2727</v>
      </c>
      <c r="AD634" s="715" t="s">
        <v>112</v>
      </c>
      <c r="AE634" s="715">
        <f t="shared" si="121"/>
        <v>2316</v>
      </c>
      <c r="AF634" s="715"/>
      <c r="AG634" s="715">
        <v>2316</v>
      </c>
      <c r="AH634" s="715">
        <f t="shared" si="119"/>
        <v>0</v>
      </c>
      <c r="AI634" s="717"/>
      <c r="AJ634" s="715" t="s">
        <v>3981</v>
      </c>
      <c r="AK634" s="652"/>
      <c r="AL634" s="652"/>
      <c r="AM634" s="652"/>
      <c r="AN634" s="652">
        <f t="shared" si="122"/>
        <v>2316</v>
      </c>
      <c r="AO634" s="652"/>
      <c r="AP634" s="652"/>
      <c r="AQ634" s="652"/>
      <c r="AR634" s="652"/>
      <c r="AS634" s="652"/>
      <c r="AT634" s="652"/>
      <c r="AU634" s="652"/>
      <c r="AV634" s="652"/>
      <c r="AW634" s="652"/>
      <c r="AX634" s="652"/>
      <c r="AY634" s="652"/>
      <c r="AZ634" s="652"/>
      <c r="BA634" s="652"/>
      <c r="BB634" s="652"/>
      <c r="BC634" s="652"/>
      <c r="BD634" s="652"/>
      <c r="BE634" s="652"/>
      <c r="BF634" s="652"/>
      <c r="BG634" s="652"/>
      <c r="BH634" s="652"/>
      <c r="BI634" s="652">
        <f>I634</f>
        <v>2316</v>
      </c>
      <c r="BJ634" s="650"/>
      <c r="BK634" s="650"/>
      <c r="BL634" s="650"/>
      <c r="BM634" s="650"/>
      <c r="BN634" s="650"/>
      <c r="BO634" s="650"/>
      <c r="BP634" s="650"/>
      <c r="BQ634" s="650"/>
      <c r="BR634" s="650"/>
      <c r="BS634" s="650"/>
      <c r="BT634" s="650"/>
      <c r="BU634" s="650"/>
      <c r="BV634" s="650"/>
      <c r="BW634" s="650"/>
      <c r="BX634" s="650"/>
      <c r="BY634" s="650"/>
      <c r="BZ634" s="650"/>
      <c r="CA634" s="650"/>
      <c r="CB634" s="650"/>
      <c r="CC634" s="650"/>
      <c r="CD634" s="650"/>
      <c r="CE634" s="650"/>
      <c r="CF634" s="650"/>
      <c r="CG634" s="650"/>
      <c r="CH634" s="650"/>
      <c r="CI634" s="650"/>
      <c r="CJ634" s="650"/>
      <c r="CK634" s="650"/>
      <c r="CL634" s="650"/>
      <c r="CM634" s="650"/>
      <c r="CN634" s="650"/>
      <c r="CO634" s="650"/>
      <c r="CP634" s="650"/>
      <c r="CQ634" s="650"/>
      <c r="CR634" s="650"/>
      <c r="CS634" s="650"/>
      <c r="CT634" s="650"/>
      <c r="CU634" s="650"/>
      <c r="CV634" s="650"/>
      <c r="CW634" s="650"/>
      <c r="CX634" s="650"/>
      <c r="CY634" s="650"/>
      <c r="CZ634" s="650"/>
      <c r="DA634" s="650"/>
      <c r="DB634" s="650"/>
      <c r="DC634" s="650"/>
      <c r="DD634" s="650"/>
    </row>
    <row r="635" s="650" customFormat="1" ht="31" customHeight="1" spans="1:108">
      <c r="A635" s="713">
        <v>46181</v>
      </c>
      <c r="B635" s="714" t="s">
        <v>2863</v>
      </c>
      <c r="C635" s="715" t="s">
        <v>115</v>
      </c>
      <c r="D635" s="652" t="s">
        <v>5944</v>
      </c>
      <c r="E635" s="715" t="s">
        <v>5945</v>
      </c>
      <c r="F635" s="652" t="s">
        <v>5946</v>
      </c>
      <c r="G635" s="716" t="s">
        <v>3973</v>
      </c>
      <c r="H635" s="715" t="s">
        <v>3995</v>
      </c>
      <c r="I635" s="717">
        <v>256</v>
      </c>
      <c r="J635" s="715">
        <v>0</v>
      </c>
      <c r="K635" s="715">
        <v>16</v>
      </c>
      <c r="L635" s="715">
        <f t="shared" si="120"/>
        <v>16</v>
      </c>
      <c r="M635" s="719">
        <v>46245</v>
      </c>
      <c r="N635" s="719">
        <v>46241</v>
      </c>
      <c r="O635" s="714"/>
      <c r="P635" s="717" t="s">
        <v>1410</v>
      </c>
      <c r="Q635" s="717" t="s">
        <v>1322</v>
      </c>
      <c r="R635" s="734" t="s">
        <v>1551</v>
      </c>
      <c r="S635" s="720" t="s">
        <v>107</v>
      </c>
      <c r="T635" s="735" t="s">
        <v>95</v>
      </c>
      <c r="U635" s="735"/>
      <c r="V635" s="720"/>
      <c r="W635" s="720"/>
      <c r="X635" s="720" t="s">
        <v>5947</v>
      </c>
      <c r="Y635" s="719" t="s">
        <v>2754</v>
      </c>
      <c r="Z635" s="730">
        <v>2.8998</v>
      </c>
      <c r="AA635" s="652">
        <f>I635*Z635</f>
        <v>742.3488</v>
      </c>
      <c r="AB635" s="729" t="s">
        <v>2867</v>
      </c>
      <c r="AC635" s="714" t="s">
        <v>3973</v>
      </c>
      <c r="AD635" s="715" t="s">
        <v>112</v>
      </c>
      <c r="AE635" s="715">
        <f t="shared" si="121"/>
        <v>256</v>
      </c>
      <c r="AF635" s="715" t="s">
        <v>5125</v>
      </c>
      <c r="AG635" s="715" t="s">
        <v>120</v>
      </c>
      <c r="AH635" s="715" t="e">
        <f t="shared" si="119"/>
        <v>#VALUE!</v>
      </c>
      <c r="AI635" s="717"/>
      <c r="AJ635" s="715" t="s">
        <v>3981</v>
      </c>
      <c r="AK635" s="652">
        <f>I635</f>
        <v>256</v>
      </c>
      <c r="AL635" s="652"/>
      <c r="AM635" s="652"/>
      <c r="AN635" s="652">
        <f t="shared" si="122"/>
        <v>256</v>
      </c>
      <c r="AO635" s="652"/>
      <c r="AP635" s="652"/>
      <c r="AQ635" s="652"/>
      <c r="AR635" s="652"/>
      <c r="AS635" s="652"/>
      <c r="AT635" s="652">
        <f>I635/8</f>
        <v>32</v>
      </c>
      <c r="AU635" s="652"/>
      <c r="AV635" s="652"/>
      <c r="AW635" s="652"/>
      <c r="AX635" s="652"/>
      <c r="AY635" s="652"/>
      <c r="AZ635" s="652"/>
      <c r="BA635" s="652"/>
      <c r="BB635" s="652"/>
      <c r="BC635" s="652"/>
      <c r="BD635" s="652"/>
      <c r="BE635" s="652"/>
      <c r="BF635" s="652"/>
      <c r="BG635" s="652"/>
      <c r="BH635" s="652"/>
      <c r="BI635" s="652"/>
    </row>
    <row r="636" s="650" customFormat="1" ht="31" customHeight="1" spans="1:108">
      <c r="A636" s="713">
        <v>46177</v>
      </c>
      <c r="B636" s="714" t="s">
        <v>2879</v>
      </c>
      <c r="C636" s="715" t="s">
        <v>1439</v>
      </c>
      <c r="D636" s="652">
        <v>4500210497</v>
      </c>
      <c r="E636" s="715">
        <v>5200009895</v>
      </c>
      <c r="F636" s="652" t="s">
        <v>5948</v>
      </c>
      <c r="G636" s="716" t="s">
        <v>4028</v>
      </c>
      <c r="H636" s="746" t="s">
        <v>3978</v>
      </c>
      <c r="I636" s="717">
        <v>800</v>
      </c>
      <c r="J636" s="715">
        <v>0</v>
      </c>
      <c r="K636" s="715">
        <v>8</v>
      </c>
      <c r="L636" s="715">
        <f t="shared" si="120"/>
        <v>100</v>
      </c>
      <c r="M636" s="719">
        <v>46245</v>
      </c>
      <c r="N636" s="719">
        <v>46241</v>
      </c>
      <c r="O636" s="714"/>
      <c r="P636" s="717" t="s">
        <v>1410</v>
      </c>
      <c r="Q636" s="717" t="s">
        <v>1241</v>
      </c>
      <c r="R636" s="723" t="s">
        <v>2719</v>
      </c>
      <c r="S636" s="720" t="s">
        <v>107</v>
      </c>
      <c r="T636" s="720" t="s">
        <v>5228</v>
      </c>
      <c r="U636" s="720"/>
      <c r="V636" s="720"/>
      <c r="W636" s="720"/>
      <c r="X636" s="720" t="s">
        <v>5949</v>
      </c>
      <c r="Y636" s="719" t="s">
        <v>1945</v>
      </c>
      <c r="Z636" s="730">
        <v>4.7079</v>
      </c>
      <c r="AA636" s="652">
        <f>Z636*I636</f>
        <v>3766.32</v>
      </c>
      <c r="AB636" s="721"/>
      <c r="AC636" s="722" t="s">
        <v>4031</v>
      </c>
      <c r="AD636" s="715" t="s">
        <v>112</v>
      </c>
      <c r="AE636" s="715">
        <f t="shared" si="121"/>
        <v>800</v>
      </c>
      <c r="AF636" s="715"/>
      <c r="AG636" s="715">
        <v>800</v>
      </c>
      <c r="AH636" s="715">
        <f t="shared" si="119"/>
        <v>0</v>
      </c>
      <c r="AI636" s="717"/>
      <c r="AJ636" s="715" t="s">
        <v>3981</v>
      </c>
      <c r="AK636" s="652"/>
      <c r="AL636" s="652">
        <f>I636</f>
        <v>800</v>
      </c>
      <c r="AM636" s="652"/>
      <c r="AN636" s="652">
        <f t="shared" si="122"/>
        <v>800</v>
      </c>
      <c r="AO636" s="652"/>
      <c r="AP636" s="652"/>
      <c r="AQ636" s="652"/>
      <c r="AR636" s="652"/>
      <c r="AS636" s="652"/>
      <c r="AT636" s="652"/>
      <c r="AU636" s="652">
        <f>I636/8</f>
        <v>100</v>
      </c>
      <c r="AV636" s="652"/>
      <c r="AW636" s="652"/>
      <c r="AX636" s="652"/>
      <c r="AY636" s="652"/>
      <c r="AZ636" s="652"/>
      <c r="BA636" s="652"/>
      <c r="BB636" s="652"/>
      <c r="BC636" s="652"/>
      <c r="BD636" s="652"/>
      <c r="BE636" s="652"/>
      <c r="BF636" s="652"/>
      <c r="BG636" s="652"/>
      <c r="BH636" s="652"/>
      <c r="BI636" s="652"/>
      <c r="BJ636" s="740"/>
      <c r="BK636" s="740"/>
      <c r="BL636" s="740"/>
      <c r="BM636" s="740"/>
      <c r="BN636" s="740"/>
      <c r="BO636" s="740"/>
      <c r="BP636" s="740"/>
      <c r="BQ636" s="740"/>
      <c r="BR636" s="740"/>
      <c r="BS636" s="740"/>
      <c r="BT636" s="740"/>
      <c r="BU636" s="740"/>
      <c r="BV636" s="740"/>
      <c r="BW636" s="740"/>
      <c r="BX636" s="740"/>
      <c r="BY636" s="740"/>
      <c r="BZ636" s="740"/>
      <c r="CA636" s="740"/>
      <c r="CB636" s="740"/>
      <c r="CC636" s="740"/>
      <c r="CD636" s="740"/>
      <c r="CE636" s="740"/>
      <c r="CF636" s="740"/>
      <c r="CG636" s="740"/>
      <c r="CH636" s="740"/>
      <c r="CI636" s="740"/>
      <c r="CJ636" s="740"/>
      <c r="CK636" s="740"/>
      <c r="CL636" s="740"/>
      <c r="CM636" s="740"/>
      <c r="CN636" s="740"/>
      <c r="CO636" s="740"/>
      <c r="CP636" s="740"/>
      <c r="CQ636" s="740"/>
      <c r="CR636" s="740"/>
    </row>
    <row r="637" s="659" customFormat="1" ht="31" customHeight="1" spans="1:108">
      <c r="A637" s="819">
        <v>46232</v>
      </c>
      <c r="B637" s="820"/>
      <c r="C637" s="821" t="s">
        <v>3157</v>
      </c>
      <c r="D637" s="822" t="s">
        <v>5950</v>
      </c>
      <c r="E637" s="821"/>
      <c r="F637" s="822" t="s">
        <v>5951</v>
      </c>
      <c r="G637" s="823" t="s">
        <v>3968</v>
      </c>
      <c r="H637" s="821" t="s">
        <v>3969</v>
      </c>
      <c r="I637" s="824">
        <v>60</v>
      </c>
      <c r="J637" s="821">
        <v>0</v>
      </c>
      <c r="K637" s="821">
        <v>16</v>
      </c>
      <c r="L637" s="821">
        <f t="shared" si="120"/>
        <v>3.75</v>
      </c>
      <c r="M637" s="825">
        <v>46245</v>
      </c>
      <c r="N637" s="825">
        <v>46241</v>
      </c>
      <c r="O637" s="820"/>
      <c r="P637" s="824"/>
      <c r="Q637" s="824"/>
      <c r="R637" s="827" t="s">
        <v>94</v>
      </c>
      <c r="S637" s="828" t="s">
        <v>95</v>
      </c>
      <c r="T637" s="828" t="s">
        <v>95</v>
      </c>
      <c r="U637" s="828"/>
      <c r="V637" s="828"/>
      <c r="W637" s="828"/>
      <c r="X637" s="828" t="s">
        <v>5952</v>
      </c>
      <c r="Y637" s="825" t="s">
        <v>272</v>
      </c>
      <c r="Z637" s="830"/>
      <c r="AA637" s="822"/>
      <c r="AB637" s="927"/>
      <c r="AC637" s="846" t="s">
        <v>3968</v>
      </c>
      <c r="AD637" s="821" t="s">
        <v>112</v>
      </c>
      <c r="AE637" s="821">
        <f t="shared" si="121"/>
        <v>60</v>
      </c>
      <c r="AF637" s="821"/>
      <c r="AG637" s="821"/>
      <c r="AH637" s="833">
        <f t="shared" si="119"/>
        <v>-60</v>
      </c>
      <c r="AI637" s="824"/>
      <c r="AJ637" s="708" t="s">
        <v>3981</v>
      </c>
      <c r="AK637" s="822">
        <f>I637</f>
        <v>60</v>
      </c>
      <c r="AL637" s="822"/>
      <c r="AM637" s="822"/>
      <c r="AN637" s="822">
        <f t="shared" si="122"/>
        <v>60</v>
      </c>
      <c r="AO637" s="822"/>
      <c r="AP637" s="822"/>
      <c r="AQ637" s="822"/>
      <c r="AR637" s="822"/>
      <c r="AS637" s="822"/>
      <c r="AT637" s="822"/>
      <c r="AU637" s="822"/>
      <c r="AV637" s="822"/>
      <c r="AW637" s="822"/>
      <c r="AX637" s="822"/>
      <c r="AY637" s="822"/>
      <c r="AZ637" s="822"/>
      <c r="BA637" s="822"/>
      <c r="BB637" s="822"/>
      <c r="BC637" s="822"/>
      <c r="BD637" s="822"/>
      <c r="BE637" s="822"/>
      <c r="BF637" s="822"/>
      <c r="BG637" s="822"/>
      <c r="BH637" s="822"/>
      <c r="BI637" s="822"/>
      <c r="BJ637" s="667"/>
      <c r="BK637" s="667"/>
      <c r="BL637" s="667"/>
      <c r="BM637" s="667"/>
      <c r="BN637" s="667"/>
      <c r="BO637" s="667"/>
      <c r="BP637" s="667"/>
      <c r="BQ637" s="667"/>
      <c r="BR637" s="667"/>
      <c r="BS637" s="667"/>
      <c r="BT637" s="667"/>
      <c r="BU637" s="667"/>
      <c r="BV637" s="667"/>
      <c r="BW637" s="667"/>
      <c r="BX637" s="667"/>
      <c r="BY637" s="667"/>
      <c r="BZ637" s="667"/>
      <c r="CA637" s="667"/>
      <c r="CB637" s="667"/>
      <c r="CC637" s="667"/>
      <c r="CD637" s="667"/>
      <c r="CE637" s="667"/>
      <c r="CF637" s="667"/>
      <c r="CG637" s="667"/>
      <c r="CH637" s="667"/>
      <c r="CI637" s="667"/>
      <c r="CJ637" s="667"/>
      <c r="CK637" s="667"/>
      <c r="CL637" s="667"/>
      <c r="CM637" s="667"/>
      <c r="CN637" s="667"/>
      <c r="CO637" s="667"/>
      <c r="CP637" s="667"/>
      <c r="CQ637" s="667"/>
      <c r="CR637" s="667"/>
      <c r="CS637" s="667"/>
      <c r="CT637" s="667"/>
      <c r="CU637" s="667"/>
      <c r="CV637" s="667"/>
      <c r="CW637" s="667"/>
      <c r="CX637" s="667"/>
      <c r="CY637" s="667"/>
      <c r="CZ637" s="667"/>
      <c r="DA637" s="667"/>
      <c r="DB637" s="667"/>
      <c r="DC637" s="667"/>
      <c r="DD637" s="667"/>
    </row>
    <row r="638" s="650" customFormat="1" ht="31" customHeight="1" spans="1:108">
      <c r="A638" s="713">
        <v>46178</v>
      </c>
      <c r="B638" s="714" t="s">
        <v>2031</v>
      </c>
      <c r="C638" s="715" t="s">
        <v>608</v>
      </c>
      <c r="D638" s="652">
        <v>4500210831</v>
      </c>
      <c r="E638" s="715" t="s">
        <v>2858</v>
      </c>
      <c r="F638" s="652" t="s">
        <v>5953</v>
      </c>
      <c r="G638" s="716" t="s">
        <v>3980</v>
      </c>
      <c r="H638" s="715" t="s">
        <v>3978</v>
      </c>
      <c r="I638" s="717">
        <v>1488</v>
      </c>
      <c r="J638" s="715">
        <v>0</v>
      </c>
      <c r="K638" s="715">
        <v>8</v>
      </c>
      <c r="L638" s="715">
        <f t="shared" si="120"/>
        <v>186</v>
      </c>
      <c r="M638" s="719">
        <v>46245</v>
      </c>
      <c r="N638" s="738">
        <v>46242</v>
      </c>
      <c r="O638" s="714"/>
      <c r="P638" s="717" t="s">
        <v>1410</v>
      </c>
      <c r="Q638" s="717" t="s">
        <v>2758</v>
      </c>
      <c r="R638" s="723">
        <v>46183</v>
      </c>
      <c r="S638" s="720" t="s">
        <v>107</v>
      </c>
      <c r="T638" s="720" t="s">
        <v>2860</v>
      </c>
      <c r="U638" s="720"/>
      <c r="V638" s="720"/>
      <c r="W638" s="720"/>
      <c r="X638" s="720" t="s">
        <v>5954</v>
      </c>
      <c r="Y638" s="719" t="s">
        <v>2037</v>
      </c>
      <c r="Z638" s="730">
        <v>4.6974</v>
      </c>
      <c r="AA638" s="652">
        <f>Z638*I638</f>
        <v>6989.7312</v>
      </c>
      <c r="AB638" s="721"/>
      <c r="AC638" s="722" t="s">
        <v>3980</v>
      </c>
      <c r="AD638" s="715" t="s">
        <v>112</v>
      </c>
      <c r="AE638" s="715">
        <f t="shared" si="121"/>
        <v>1488</v>
      </c>
      <c r="AF638" s="715" t="s">
        <v>5125</v>
      </c>
      <c r="AG638" s="715" t="s">
        <v>120</v>
      </c>
      <c r="AH638" s="715" t="e">
        <f t="shared" si="119"/>
        <v>#VALUE!</v>
      </c>
      <c r="AI638" s="717"/>
      <c r="AJ638" s="715" t="s">
        <v>3981</v>
      </c>
      <c r="AK638" s="652">
        <f>I638</f>
        <v>1488</v>
      </c>
      <c r="AL638" s="652"/>
      <c r="AM638" s="652"/>
      <c r="AN638" s="652">
        <f t="shared" si="122"/>
        <v>1488</v>
      </c>
      <c r="AO638" s="652"/>
      <c r="AP638" s="652"/>
      <c r="AQ638" s="652"/>
      <c r="AR638" s="652"/>
      <c r="AS638" s="652"/>
      <c r="AT638" s="652">
        <f>I638/8</f>
        <v>186</v>
      </c>
      <c r="AU638" s="652"/>
      <c r="AV638" s="652"/>
      <c r="AW638" s="652"/>
      <c r="AX638" s="652"/>
      <c r="AY638" s="652"/>
      <c r="AZ638" s="652"/>
      <c r="BA638" s="652"/>
      <c r="BB638" s="652"/>
      <c r="BC638" s="652"/>
      <c r="BD638" s="652"/>
      <c r="BE638" s="652"/>
      <c r="BF638" s="652"/>
      <c r="BG638" s="652"/>
      <c r="BH638" s="652"/>
      <c r="BI638" s="652"/>
      <c r="BJ638" s="650"/>
      <c r="BK638" s="650"/>
      <c r="BL638" s="650"/>
      <c r="BM638" s="650"/>
      <c r="BN638" s="650"/>
      <c r="BO638" s="650"/>
      <c r="BP638" s="650"/>
      <c r="BQ638" s="650"/>
      <c r="BR638" s="650"/>
      <c r="BS638" s="650"/>
      <c r="BT638" s="650"/>
      <c r="BU638" s="650"/>
      <c r="BV638" s="650"/>
      <c r="BW638" s="650"/>
      <c r="BX638" s="650"/>
      <c r="BY638" s="650"/>
      <c r="BZ638" s="650"/>
      <c r="CA638" s="650"/>
      <c r="CB638" s="650"/>
      <c r="CC638" s="650"/>
      <c r="CD638" s="650"/>
      <c r="CE638" s="650"/>
      <c r="CF638" s="650"/>
      <c r="CG638" s="650"/>
      <c r="CH638" s="650"/>
      <c r="CI638" s="650"/>
      <c r="CJ638" s="650"/>
      <c r="CK638" s="650"/>
      <c r="CL638" s="650"/>
      <c r="CM638" s="650"/>
      <c r="CN638" s="650"/>
      <c r="CO638" s="650"/>
      <c r="CP638" s="650"/>
      <c r="CQ638" s="650"/>
      <c r="CR638" s="650"/>
      <c r="CS638" s="651"/>
      <c r="CT638" s="651"/>
      <c r="CU638" s="651"/>
      <c r="CV638" s="651"/>
      <c r="CW638" s="651"/>
      <c r="CX638" s="651"/>
      <c r="CY638" s="651"/>
      <c r="CZ638" s="651"/>
      <c r="DA638" s="651"/>
      <c r="DB638" s="651"/>
      <c r="DC638" s="651"/>
      <c r="DD638" s="651"/>
    </row>
    <row r="639" s="650" customFormat="1" ht="31" customHeight="1" spans="1:108">
      <c r="A639" s="713">
        <v>46196</v>
      </c>
      <c r="B639" s="714" t="s">
        <v>2872</v>
      </c>
      <c r="C639" s="715" t="s">
        <v>291</v>
      </c>
      <c r="D639" s="652">
        <v>4500213351</v>
      </c>
      <c r="E639" s="715">
        <v>26243</v>
      </c>
      <c r="F639" s="652" t="s">
        <v>5955</v>
      </c>
      <c r="G639" s="716" t="s">
        <v>3973</v>
      </c>
      <c r="H639" s="715" t="s">
        <v>3995</v>
      </c>
      <c r="I639" s="717">
        <v>2160</v>
      </c>
      <c r="J639" s="715">
        <v>0</v>
      </c>
      <c r="K639" s="715">
        <v>16</v>
      </c>
      <c r="L639" s="715">
        <f t="shared" si="120"/>
        <v>135</v>
      </c>
      <c r="M639" s="719">
        <v>46245</v>
      </c>
      <c r="N639" s="738">
        <v>46242</v>
      </c>
      <c r="O639" s="714"/>
      <c r="P639" s="717" t="s">
        <v>1410</v>
      </c>
      <c r="Q639" s="717"/>
      <c r="R639" s="723">
        <v>46213</v>
      </c>
      <c r="S639" s="720" t="s">
        <v>107</v>
      </c>
      <c r="T639" s="720" t="s">
        <v>5956</v>
      </c>
      <c r="U639" s="720" t="s">
        <v>5957</v>
      </c>
      <c r="V639" s="720"/>
      <c r="W639" s="720"/>
      <c r="X639" s="720" t="s">
        <v>5958</v>
      </c>
      <c r="Y639" s="719" t="s">
        <v>1169</v>
      </c>
      <c r="Z639" s="730">
        <v>4.784</v>
      </c>
      <c r="AA639" s="652">
        <f>I639*Z639</f>
        <v>10333.44</v>
      </c>
      <c r="AB639" s="721"/>
      <c r="AC639" s="652" t="s">
        <v>4108</v>
      </c>
      <c r="AD639" s="715" t="s">
        <v>112</v>
      </c>
      <c r="AE639" s="715">
        <f t="shared" si="121"/>
        <v>2160</v>
      </c>
      <c r="AF639" s="715"/>
      <c r="AG639" s="715">
        <v>2160</v>
      </c>
      <c r="AH639" s="715">
        <f t="shared" si="119"/>
        <v>0</v>
      </c>
      <c r="AI639" s="717"/>
      <c r="AJ639" s="715" t="s">
        <v>3981</v>
      </c>
      <c r="AK639" s="652"/>
      <c r="AL639" s="652">
        <f>I639</f>
        <v>2160</v>
      </c>
      <c r="AM639" s="652"/>
      <c r="AN639" s="652">
        <f t="shared" si="122"/>
        <v>2160</v>
      </c>
      <c r="AO639" s="652"/>
      <c r="AP639" s="652"/>
      <c r="AQ639" s="652"/>
      <c r="AR639" s="652"/>
      <c r="AS639" s="652"/>
      <c r="AT639" s="652"/>
      <c r="AU639" s="652">
        <f>I639/8</f>
        <v>270</v>
      </c>
      <c r="AV639" s="652"/>
      <c r="AW639" s="652"/>
      <c r="AX639" s="652"/>
      <c r="AY639" s="652"/>
      <c r="AZ639" s="652"/>
      <c r="BA639" s="652"/>
      <c r="BB639" s="652"/>
      <c r="BC639" s="652"/>
      <c r="BD639" s="652"/>
      <c r="BE639" s="652"/>
      <c r="BF639" s="652"/>
      <c r="BG639" s="652"/>
      <c r="BH639" s="652"/>
      <c r="BI639" s="652"/>
    </row>
    <row r="640" s="650" customFormat="1" ht="31" customHeight="1" spans="1:108">
      <c r="A640" s="713">
        <v>46183</v>
      </c>
      <c r="B640" s="714" t="s">
        <v>163</v>
      </c>
      <c r="C640" s="715" t="s">
        <v>164</v>
      </c>
      <c r="D640" s="652" t="s">
        <v>5493</v>
      </c>
      <c r="E640" s="715" t="s">
        <v>5959</v>
      </c>
      <c r="F640" s="652" t="s">
        <v>5960</v>
      </c>
      <c r="G640" s="716" t="s">
        <v>3973</v>
      </c>
      <c r="H640" s="715" t="s">
        <v>3995</v>
      </c>
      <c r="I640" s="717">
        <v>3008</v>
      </c>
      <c r="J640" s="715">
        <v>0</v>
      </c>
      <c r="K640" s="715">
        <v>16</v>
      </c>
      <c r="L640" s="715">
        <f t="shared" si="120"/>
        <v>188</v>
      </c>
      <c r="M640" s="719">
        <v>46245</v>
      </c>
      <c r="N640" s="738">
        <v>46242</v>
      </c>
      <c r="O640" s="714"/>
      <c r="P640" s="717" t="s">
        <v>106</v>
      </c>
      <c r="Q640" s="717"/>
      <c r="R640" s="723" t="s">
        <v>2869</v>
      </c>
      <c r="S640" s="720" t="s">
        <v>107</v>
      </c>
      <c r="T640" s="720" t="s">
        <v>3997</v>
      </c>
      <c r="U640" s="720"/>
      <c r="V640" s="720" t="s">
        <v>5199</v>
      </c>
      <c r="W640" s="720"/>
      <c r="X640" s="720" t="s">
        <v>5961</v>
      </c>
      <c r="Y640" s="719" t="s">
        <v>142</v>
      </c>
      <c r="Z640" s="754">
        <v>4.9045</v>
      </c>
      <c r="AA640" s="652">
        <f>I640*Z640</f>
        <v>14752.736</v>
      </c>
      <c r="AB640" s="721"/>
      <c r="AC640" s="652" t="s">
        <v>4108</v>
      </c>
      <c r="AD640" s="715" t="s">
        <v>112</v>
      </c>
      <c r="AE640" s="715">
        <f t="shared" si="121"/>
        <v>3008</v>
      </c>
      <c r="AF640" s="715"/>
      <c r="AG640" s="715">
        <f>2976+32</f>
        <v>3008</v>
      </c>
      <c r="AH640" s="715">
        <f t="shared" si="119"/>
        <v>0</v>
      </c>
      <c r="AI640" s="717"/>
      <c r="AJ640" s="715" t="s">
        <v>3981</v>
      </c>
      <c r="AK640" s="652"/>
      <c r="AL640" s="652"/>
      <c r="AM640" s="652">
        <f>I640</f>
        <v>3008</v>
      </c>
      <c r="AN640" s="652">
        <f t="shared" si="122"/>
        <v>3008</v>
      </c>
      <c r="AO640" s="652"/>
      <c r="AP640" s="652"/>
      <c r="AQ640" s="652"/>
      <c r="AR640" s="652"/>
      <c r="AS640" s="652"/>
      <c r="AT640" s="652"/>
      <c r="AU640" s="652">
        <f>I640/8</f>
        <v>376</v>
      </c>
      <c r="AV640" s="652"/>
      <c r="AW640" s="652"/>
      <c r="AX640" s="652"/>
      <c r="AY640" s="652"/>
      <c r="AZ640" s="652"/>
      <c r="BA640" s="652"/>
      <c r="BB640" s="652"/>
      <c r="BC640" s="652"/>
      <c r="BD640" s="652"/>
      <c r="BE640" s="652"/>
      <c r="BF640" s="652"/>
      <c r="BG640" s="652"/>
      <c r="BH640" s="652"/>
      <c r="BI640" s="652"/>
    </row>
    <row r="641" s="656" customFormat="1" ht="31" customHeight="1" spans="1:108">
      <c r="A641" s="806">
        <v>46115</v>
      </c>
      <c r="B641" s="807" t="s">
        <v>2382</v>
      </c>
      <c r="C641" s="808" t="s">
        <v>201</v>
      </c>
      <c r="D641" s="656">
        <v>4500200092</v>
      </c>
      <c r="E641" s="1913" t="s">
        <v>5962</v>
      </c>
      <c r="F641" s="656" t="s">
        <v>2885</v>
      </c>
      <c r="G641" s="809" t="s">
        <v>4215</v>
      </c>
      <c r="H641" s="715" t="s">
        <v>483</v>
      </c>
      <c r="I641" s="810">
        <v>4320</v>
      </c>
      <c r="J641" s="808">
        <v>0</v>
      </c>
      <c r="K641" s="808">
        <v>120</v>
      </c>
      <c r="L641" s="808">
        <f t="shared" si="120"/>
        <v>36</v>
      </c>
      <c r="M641" s="812">
        <v>46245</v>
      </c>
      <c r="N641" s="812">
        <v>46243</v>
      </c>
      <c r="O641" s="807"/>
      <c r="P641" s="810"/>
      <c r="Q641" s="810"/>
      <c r="R641" s="734">
        <v>46197</v>
      </c>
      <c r="S641" s="720" t="s">
        <v>107</v>
      </c>
      <c r="T641" s="720" t="s">
        <v>95</v>
      </c>
      <c r="U641" s="735"/>
      <c r="V641" s="813"/>
      <c r="W641" s="813"/>
      <c r="X641" s="813" t="s">
        <v>636</v>
      </c>
      <c r="Y641" s="811" t="s">
        <v>488</v>
      </c>
      <c r="Z641" s="814">
        <v>1070</v>
      </c>
      <c r="AA641" s="656">
        <f>L641*Z641</f>
        <v>38520</v>
      </c>
      <c r="AB641" s="780"/>
      <c r="AC641" s="652" t="s">
        <v>490</v>
      </c>
      <c r="AD641" s="771" t="s">
        <v>112</v>
      </c>
      <c r="AE641" s="808">
        <f t="shared" si="121"/>
        <v>4320</v>
      </c>
      <c r="AF641" s="808"/>
      <c r="AG641" s="808">
        <f>1296+594+741+555+1134</f>
        <v>4320</v>
      </c>
      <c r="AH641" s="715">
        <f t="shared" si="119"/>
        <v>0</v>
      </c>
      <c r="AI641" s="810"/>
      <c r="AJ641" s="715" t="s">
        <v>3981</v>
      </c>
      <c r="AK641" s="774"/>
      <c r="AL641" s="652"/>
      <c r="AM641" s="652"/>
      <c r="AN641" s="652"/>
      <c r="AO641" s="656"/>
      <c r="AP641" s="774"/>
      <c r="AQ641" s="656">
        <f>I641</f>
        <v>4320</v>
      </c>
      <c r="AR641" s="656">
        <f>I641</f>
        <v>4320</v>
      </c>
      <c r="AS641" s="656">
        <f>I641/6</f>
        <v>720</v>
      </c>
      <c r="AU641" s="652"/>
      <c r="AV641" s="774"/>
      <c r="AW641" s="774"/>
      <c r="AX641" s="656"/>
      <c r="BI641" s="774"/>
    </row>
    <row r="642" s="650" customFormat="1" ht="31" customHeight="1" spans="1:108">
      <c r="A642" s="713">
        <v>46115</v>
      </c>
      <c r="B642" s="714" t="s">
        <v>2382</v>
      </c>
      <c r="C642" s="715" t="s">
        <v>201</v>
      </c>
      <c r="D642" s="652">
        <v>4500200094</v>
      </c>
      <c r="E642" s="1907" t="s">
        <v>5963</v>
      </c>
      <c r="F642" s="652" t="s">
        <v>2884</v>
      </c>
      <c r="G642" s="716" t="s">
        <v>4215</v>
      </c>
      <c r="H642" s="715" t="s">
        <v>483</v>
      </c>
      <c r="I642" s="717">
        <v>4320</v>
      </c>
      <c r="J642" s="715">
        <v>0</v>
      </c>
      <c r="K642" s="715">
        <v>120</v>
      </c>
      <c r="L642" s="715">
        <f t="shared" si="120"/>
        <v>36</v>
      </c>
      <c r="M642" s="738">
        <v>46245</v>
      </c>
      <c r="N642" s="738">
        <v>46243</v>
      </c>
      <c r="O642" s="714"/>
      <c r="P642" s="717"/>
      <c r="Q642" s="717"/>
      <c r="R642" s="723">
        <v>46197</v>
      </c>
      <c r="S642" s="720" t="s">
        <v>107</v>
      </c>
      <c r="T642" s="720" t="s">
        <v>95</v>
      </c>
      <c r="U642" s="720"/>
      <c r="V642" s="720"/>
      <c r="W642" s="720"/>
      <c r="X642" s="720" t="s">
        <v>636</v>
      </c>
      <c r="Y642" s="719" t="s">
        <v>488</v>
      </c>
      <c r="Z642" s="730">
        <v>1070</v>
      </c>
      <c r="AA642" s="652">
        <f>L642*Z642</f>
        <v>38520</v>
      </c>
      <c r="AB642" s="721"/>
      <c r="AC642" s="652" t="s">
        <v>490</v>
      </c>
      <c r="AD642" s="715" t="s">
        <v>112</v>
      </c>
      <c r="AE642" s="715">
        <f t="shared" si="121"/>
        <v>4320</v>
      </c>
      <c r="AF642" s="715"/>
      <c r="AG642" s="715">
        <f>594+1102+1296+1134+194</f>
        <v>4320</v>
      </c>
      <c r="AH642" s="715">
        <f t="shared" si="119"/>
        <v>0</v>
      </c>
      <c r="AI642" s="717"/>
      <c r="AJ642" s="715" t="s">
        <v>3981</v>
      </c>
      <c r="AK642" s="652"/>
      <c r="AL642" s="652"/>
      <c r="AM642" s="652"/>
      <c r="AN642" s="652"/>
      <c r="AO642" s="652"/>
      <c r="AP642" s="652"/>
      <c r="AQ642" s="652">
        <f>I642</f>
        <v>4320</v>
      </c>
      <c r="AR642" s="652">
        <f>I642</f>
        <v>4320</v>
      </c>
      <c r="AS642" s="652">
        <f>I642/6</f>
        <v>720</v>
      </c>
      <c r="AT642" s="652"/>
      <c r="AU642" s="652"/>
      <c r="AV642" s="652"/>
      <c r="AW642" s="652"/>
      <c r="AX642" s="652"/>
      <c r="AY642" s="652"/>
      <c r="AZ642" s="652"/>
      <c r="BA642" s="652"/>
      <c r="BB642" s="652"/>
      <c r="BC642" s="652"/>
      <c r="BD642" s="652"/>
      <c r="BE642" s="652"/>
      <c r="BF642" s="652"/>
      <c r="BG642" s="652"/>
      <c r="BH642" s="652"/>
      <c r="BI642" s="652"/>
    </row>
    <row r="643" s="654" customFormat="1" ht="31" customHeight="1" spans="1:108">
      <c r="A643" s="713">
        <v>46169</v>
      </c>
      <c r="B643" s="714" t="s">
        <v>2889</v>
      </c>
      <c r="C643" s="715" t="s">
        <v>2890</v>
      </c>
      <c r="D643" s="652" t="s">
        <v>5964</v>
      </c>
      <c r="E643" s="715" t="s">
        <v>2891</v>
      </c>
      <c r="F643" s="652" t="s">
        <v>5965</v>
      </c>
      <c r="G643" s="716" t="s">
        <v>3973</v>
      </c>
      <c r="H643" s="715" t="s">
        <v>3995</v>
      </c>
      <c r="I643" s="717">
        <v>5008</v>
      </c>
      <c r="J643" s="715">
        <v>0</v>
      </c>
      <c r="K643" s="715">
        <v>16</v>
      </c>
      <c r="L643" s="715">
        <f t="shared" si="120"/>
        <v>313</v>
      </c>
      <c r="M643" s="719">
        <v>46246</v>
      </c>
      <c r="N643" s="738">
        <v>46247</v>
      </c>
      <c r="O643" s="714"/>
      <c r="P643" s="717" t="s">
        <v>1410</v>
      </c>
      <c r="Q643" s="717" t="s">
        <v>2893</v>
      </c>
      <c r="R643" s="723">
        <v>46184</v>
      </c>
      <c r="S643" s="720" t="s">
        <v>107</v>
      </c>
      <c r="T643" s="720" t="s">
        <v>5966</v>
      </c>
      <c r="U643" s="720"/>
      <c r="V643" s="720"/>
      <c r="W643" s="720"/>
      <c r="X643" s="720" t="s">
        <v>5967</v>
      </c>
      <c r="Y643" s="719" t="s">
        <v>1169</v>
      </c>
      <c r="Z643" s="730">
        <v>4.6442</v>
      </c>
      <c r="AA643" s="652">
        <f>I643*Z643</f>
        <v>23258.1536</v>
      </c>
      <c r="AB643" s="721"/>
      <c r="AC643" s="652" t="s">
        <v>4108</v>
      </c>
      <c r="AD643" s="715" t="s">
        <v>112</v>
      </c>
      <c r="AE643" s="715">
        <f t="shared" si="121"/>
        <v>5008</v>
      </c>
      <c r="AF643" s="715"/>
      <c r="AG643" s="715">
        <v>5008</v>
      </c>
      <c r="AH643" s="715">
        <f t="shared" si="119"/>
        <v>0</v>
      </c>
      <c r="AI643" s="717"/>
      <c r="AJ643" s="739" t="s">
        <v>3981</v>
      </c>
      <c r="AK643" s="652"/>
      <c r="AL643" s="652">
        <f>I643</f>
        <v>5008</v>
      </c>
      <c r="AM643" s="652"/>
      <c r="AN643" s="652">
        <f>I643</f>
        <v>5008</v>
      </c>
      <c r="AO643" s="652"/>
      <c r="AP643" s="652"/>
      <c r="AQ643" s="652"/>
      <c r="AR643" s="652"/>
      <c r="AS643" s="652"/>
      <c r="AT643" s="652"/>
      <c r="AU643" s="652">
        <f>I643/8</f>
        <v>626</v>
      </c>
      <c r="AV643" s="652"/>
      <c r="AW643" s="652"/>
      <c r="AX643" s="652"/>
      <c r="AY643" s="652"/>
      <c r="AZ643" s="652"/>
      <c r="BA643" s="652"/>
      <c r="BB643" s="652"/>
      <c r="BC643" s="652"/>
      <c r="BD643" s="652"/>
      <c r="BE643" s="652"/>
      <c r="BF643" s="652"/>
      <c r="BG643" s="652"/>
      <c r="BH643" s="652"/>
      <c r="BI643" s="652"/>
      <c r="BJ643" s="650"/>
      <c r="BK643" s="650"/>
      <c r="BL643" s="650"/>
      <c r="BM643" s="650"/>
      <c r="BN643" s="650"/>
      <c r="BO643" s="650"/>
      <c r="BP643" s="650"/>
      <c r="BQ643" s="650"/>
      <c r="BR643" s="650"/>
      <c r="BS643" s="650"/>
      <c r="BT643" s="650"/>
      <c r="BU643" s="650"/>
      <c r="BV643" s="650"/>
      <c r="BW643" s="650"/>
      <c r="BX643" s="650"/>
      <c r="BY643" s="650"/>
      <c r="BZ643" s="650"/>
      <c r="CA643" s="650"/>
      <c r="CB643" s="650"/>
      <c r="CC643" s="650"/>
      <c r="CD643" s="650"/>
      <c r="CE643" s="650"/>
      <c r="CF643" s="650"/>
      <c r="CG643" s="650"/>
      <c r="CH643" s="650"/>
      <c r="CI643" s="650"/>
      <c r="CJ643" s="650"/>
      <c r="CK643" s="650"/>
      <c r="CL643" s="650"/>
      <c r="CM643" s="650"/>
      <c r="CN643" s="650"/>
      <c r="CO643" s="650"/>
      <c r="CP643" s="650"/>
      <c r="CQ643" s="650"/>
      <c r="CR643" s="650"/>
      <c r="CS643" s="651"/>
      <c r="CT643" s="651"/>
      <c r="CU643" s="651"/>
      <c r="CV643" s="651"/>
      <c r="CW643" s="651"/>
      <c r="CX643" s="651"/>
      <c r="CY643" s="651"/>
      <c r="CZ643" s="651"/>
      <c r="DA643" s="651"/>
      <c r="DB643" s="651"/>
      <c r="DC643" s="651"/>
      <c r="DD643" s="651"/>
    </row>
    <row r="644" s="659" customFormat="1" ht="31" customHeight="1" spans="1:108">
      <c r="A644" s="819">
        <v>46237</v>
      </c>
      <c r="B644" s="820"/>
      <c r="C644" s="821" t="s">
        <v>597</v>
      </c>
      <c r="D644" s="822" t="s">
        <v>2902</v>
      </c>
      <c r="E644" s="821"/>
      <c r="F644" s="822" t="s">
        <v>2903</v>
      </c>
      <c r="G644" s="823" t="s">
        <v>4337</v>
      </c>
      <c r="H644" s="708" t="s">
        <v>151</v>
      </c>
      <c r="I644" s="824" t="s">
        <v>2904</v>
      </c>
      <c r="J644" s="821"/>
      <c r="K644" s="821"/>
      <c r="L644" s="821"/>
      <c r="M644" s="825">
        <v>46246</v>
      </c>
      <c r="N644" s="825">
        <v>46242</v>
      </c>
      <c r="O644" s="820"/>
      <c r="P644" s="824"/>
      <c r="Q644" s="824"/>
      <c r="R644" s="827"/>
      <c r="S644" s="828"/>
      <c r="T644" s="828"/>
      <c r="U644" s="828"/>
      <c r="V644" s="828"/>
      <c r="W644" s="828"/>
      <c r="X644" s="928" t="s">
        <v>2905</v>
      </c>
      <c r="Y644" s="825" t="s">
        <v>5968</v>
      </c>
      <c r="Z644" s="830"/>
      <c r="AA644" s="822"/>
      <c r="AB644" s="831"/>
      <c r="AC644" s="822"/>
      <c r="AD644" s="821" t="s">
        <v>99</v>
      </c>
      <c r="AE644" s="821"/>
      <c r="AF644" s="821"/>
      <c r="AG644" s="821"/>
      <c r="AH644" s="821"/>
      <c r="AI644" s="824"/>
      <c r="AJ644" s="821"/>
      <c r="AK644" s="834" t="str">
        <f>I644</f>
        <v>3套Demo</v>
      </c>
      <c r="AL644" s="822"/>
      <c r="AM644" s="822"/>
      <c r="AN644" s="834" t="str">
        <f>I644</f>
        <v>3套Demo</v>
      </c>
      <c r="AO644" s="822"/>
      <c r="AP644" s="822"/>
      <c r="AQ644" s="822"/>
      <c r="AR644" s="822"/>
      <c r="AS644" s="822"/>
      <c r="AT644" s="822"/>
      <c r="AU644" s="822"/>
      <c r="AV644" s="822"/>
      <c r="AW644" s="822"/>
      <c r="AX644" s="822"/>
      <c r="AY644" s="822"/>
      <c r="AZ644" s="822"/>
      <c r="BA644" s="669">
        <f>L644</f>
        <v>0</v>
      </c>
      <c r="BB644" s="822"/>
      <c r="BC644" s="822"/>
      <c r="BD644" s="822"/>
      <c r="BE644" s="822"/>
      <c r="BF644" s="822"/>
      <c r="BG644" s="822"/>
      <c r="BH644" s="822"/>
      <c r="BI644" s="822"/>
      <c r="BJ644" s="667"/>
      <c r="BK644" s="667"/>
      <c r="BL644" s="667"/>
      <c r="BM644" s="667"/>
      <c r="BN644" s="667"/>
      <c r="BO644" s="667"/>
      <c r="BP644" s="667"/>
      <c r="BQ644" s="667"/>
      <c r="BR644" s="667"/>
      <c r="BS644" s="667"/>
      <c r="BT644" s="667"/>
      <c r="BU644" s="667"/>
      <c r="BV644" s="667"/>
      <c r="BW644" s="667"/>
      <c r="BX644" s="667"/>
      <c r="BY644" s="667"/>
      <c r="BZ644" s="667"/>
      <c r="CA644" s="667"/>
      <c r="CB644" s="667"/>
      <c r="CC644" s="667"/>
      <c r="CD644" s="667"/>
      <c r="CE644" s="667"/>
      <c r="CF644" s="667"/>
      <c r="CG644" s="667"/>
      <c r="CH644" s="667"/>
      <c r="CI644" s="667"/>
      <c r="CJ644" s="667"/>
      <c r="CK644" s="667"/>
      <c r="CL644" s="667"/>
      <c r="CM644" s="667"/>
      <c r="CN644" s="667"/>
      <c r="CO644" s="667"/>
      <c r="CP644" s="667"/>
      <c r="CQ644" s="667"/>
      <c r="CR644" s="667"/>
      <c r="CS644" s="667"/>
      <c r="CT644" s="667"/>
      <c r="CU644" s="667"/>
      <c r="CV644" s="667"/>
      <c r="CW644" s="667"/>
      <c r="CX644" s="667"/>
      <c r="CY644" s="667"/>
      <c r="CZ644" s="667"/>
      <c r="DA644" s="667"/>
      <c r="DB644" s="667"/>
      <c r="DC644" s="667"/>
      <c r="DD644" s="667"/>
    </row>
    <row r="645" s="650" customFormat="1" ht="31" customHeight="1" spans="1:108">
      <c r="A645" s="819">
        <v>46237</v>
      </c>
      <c r="B645" s="820"/>
      <c r="C645" s="821" t="s">
        <v>597</v>
      </c>
      <c r="D645" s="822" t="s">
        <v>2902</v>
      </c>
      <c r="E645" s="821"/>
      <c r="F645" s="822" t="s">
        <v>5969</v>
      </c>
      <c r="G645" s="823" t="s">
        <v>3965</v>
      </c>
      <c r="H645" s="821" t="s">
        <v>4038</v>
      </c>
      <c r="I645" s="824">
        <v>11</v>
      </c>
      <c r="J645" s="715">
        <v>0</v>
      </c>
      <c r="K645" s="821">
        <v>1</v>
      </c>
      <c r="L645" s="718">
        <f>I645/K645</f>
        <v>11</v>
      </c>
      <c r="M645" s="825">
        <v>46246</v>
      </c>
      <c r="N645" s="825">
        <v>46245</v>
      </c>
      <c r="O645" s="820"/>
      <c r="P645" s="824"/>
      <c r="Q645" s="824"/>
      <c r="R645" s="827" t="s">
        <v>94</v>
      </c>
      <c r="S645" s="828" t="s">
        <v>95</v>
      </c>
      <c r="T645" s="828" t="s">
        <v>95</v>
      </c>
      <c r="U645" s="828"/>
      <c r="V645" s="828"/>
      <c r="W645" s="828"/>
      <c r="X645" s="928" t="s">
        <v>5970</v>
      </c>
      <c r="Y645" s="825" t="s">
        <v>272</v>
      </c>
      <c r="Z645" s="830"/>
      <c r="AA645" s="822"/>
      <c r="AB645" s="831"/>
      <c r="AC645" s="822"/>
      <c r="AD645" s="821" t="s">
        <v>99</v>
      </c>
      <c r="AE645" s="833">
        <f t="shared" ref="AE645:AE708" si="125">I645</f>
        <v>11</v>
      </c>
      <c r="AF645" s="821"/>
      <c r="AG645" s="821"/>
      <c r="AH645" s="821"/>
      <c r="AI645" s="824"/>
      <c r="AJ645" s="821"/>
      <c r="AK645" s="822"/>
      <c r="AL645" s="822"/>
      <c r="AM645" s="822"/>
      <c r="AN645" s="822"/>
      <c r="AO645" s="822"/>
      <c r="AP645" s="822"/>
      <c r="AQ645" s="822"/>
      <c r="AR645" s="822"/>
      <c r="AS645" s="822"/>
      <c r="AT645" s="822"/>
      <c r="AU645" s="822"/>
      <c r="AV645" s="822"/>
      <c r="AW645" s="822"/>
      <c r="AX645" s="822"/>
      <c r="AY645" s="822"/>
      <c r="AZ645" s="822"/>
      <c r="BA645" s="822"/>
      <c r="BB645" s="822"/>
      <c r="BC645" s="822"/>
      <c r="BD645" s="822"/>
      <c r="BE645" s="822"/>
      <c r="BF645" s="822"/>
      <c r="BG645" s="822"/>
      <c r="BH645" s="929">
        <f>I645</f>
        <v>11</v>
      </c>
      <c r="BI645" s="822"/>
      <c r="BJ645" s="667"/>
      <c r="BK645" s="667"/>
      <c r="BL645" s="667"/>
      <c r="BM645" s="667"/>
      <c r="BN645" s="667"/>
      <c r="BO645" s="667"/>
      <c r="BP645" s="667"/>
      <c r="BQ645" s="667"/>
      <c r="BR645" s="667"/>
      <c r="BS645" s="667"/>
      <c r="BT645" s="667"/>
      <c r="BU645" s="667"/>
      <c r="BV645" s="667"/>
      <c r="BW645" s="667"/>
      <c r="BX645" s="667"/>
      <c r="BY645" s="667"/>
      <c r="BZ645" s="667"/>
      <c r="CA645" s="667"/>
      <c r="CB645" s="667"/>
      <c r="CC645" s="667"/>
      <c r="CD645" s="667"/>
      <c r="CE645" s="667"/>
      <c r="CF645" s="667"/>
      <c r="CG645" s="667"/>
      <c r="CH645" s="667"/>
      <c r="CI645" s="667"/>
      <c r="CJ645" s="667"/>
      <c r="CK645" s="667"/>
      <c r="CL645" s="667"/>
      <c r="CM645" s="667"/>
      <c r="CN645" s="667"/>
      <c r="CO645" s="667"/>
      <c r="CP645" s="667"/>
      <c r="CQ645" s="667"/>
      <c r="CR645" s="667"/>
      <c r="CS645" s="667"/>
      <c r="CT645" s="667"/>
      <c r="CU645" s="667"/>
      <c r="CV645" s="667"/>
      <c r="CW645" s="667"/>
      <c r="CX645" s="667"/>
      <c r="CY645" s="667"/>
      <c r="CZ645" s="667"/>
      <c r="DA645" s="667"/>
      <c r="DB645" s="667"/>
      <c r="DC645" s="667"/>
      <c r="DD645" s="667"/>
    </row>
    <row r="646" s="654" customFormat="1" ht="31" customHeight="1" spans="1:108">
      <c r="A646" s="713">
        <v>46177</v>
      </c>
      <c r="B646" s="714" t="s">
        <v>378</v>
      </c>
      <c r="C646" s="715" t="s">
        <v>201</v>
      </c>
      <c r="D646" s="652">
        <v>4500210722</v>
      </c>
      <c r="E646" s="715">
        <v>7000992553</v>
      </c>
      <c r="F646" s="652" t="s">
        <v>5971</v>
      </c>
      <c r="G646" s="716" t="s">
        <v>3980</v>
      </c>
      <c r="H646" s="715" t="s">
        <v>3978</v>
      </c>
      <c r="I646" s="717">
        <v>2000</v>
      </c>
      <c r="J646" s="715">
        <v>0</v>
      </c>
      <c r="K646" s="715">
        <v>8</v>
      </c>
      <c r="L646" s="715">
        <f t="shared" ref="L646:L709" si="126">I646/K646</f>
        <v>250</v>
      </c>
      <c r="M646" s="719">
        <v>46247</v>
      </c>
      <c r="N646" s="719">
        <v>46244</v>
      </c>
      <c r="O646" s="752" t="s">
        <v>2912</v>
      </c>
      <c r="P646" s="717" t="s">
        <v>1410</v>
      </c>
      <c r="Q646" s="717" t="s">
        <v>2913</v>
      </c>
      <c r="R646" s="723" t="s">
        <v>2658</v>
      </c>
      <c r="S646" s="720" t="s">
        <v>107</v>
      </c>
      <c r="T646" s="720" t="s">
        <v>5972</v>
      </c>
      <c r="U646" s="720"/>
      <c r="V646" s="720"/>
      <c r="W646" s="720"/>
      <c r="X646" s="720" t="s">
        <v>5973</v>
      </c>
      <c r="Y646" s="719" t="s">
        <v>384</v>
      </c>
      <c r="Z646" s="730">
        <v>4.659</v>
      </c>
      <c r="AA646" s="652">
        <f>I646*Z646</f>
        <v>9318</v>
      </c>
      <c r="AB646" s="721"/>
      <c r="AC646" s="722" t="s">
        <v>4031</v>
      </c>
      <c r="AD646" s="715" t="s">
        <v>112</v>
      </c>
      <c r="AE646" s="715">
        <f t="shared" si="125"/>
        <v>2000</v>
      </c>
      <c r="AF646" s="715"/>
      <c r="AG646" s="715">
        <v>2000</v>
      </c>
      <c r="AH646" s="715">
        <f t="shared" ref="AH646:AH709" si="127">AG646-I646</f>
        <v>0</v>
      </c>
      <c r="AI646" s="717" t="s">
        <v>4064</v>
      </c>
      <c r="AJ646" s="715" t="s">
        <v>3981</v>
      </c>
      <c r="AK646" s="652"/>
      <c r="AL646" s="652">
        <f>I646</f>
        <v>2000</v>
      </c>
      <c r="AM646" s="652"/>
      <c r="AN646" s="652">
        <f t="shared" ref="AN646:AN659" si="128">I646</f>
        <v>2000</v>
      </c>
      <c r="AO646" s="652"/>
      <c r="AP646" s="652"/>
      <c r="AQ646" s="652"/>
      <c r="AR646" s="652"/>
      <c r="AS646" s="652"/>
      <c r="AT646" s="652"/>
      <c r="AU646" s="652">
        <f>I646/8</f>
        <v>250</v>
      </c>
      <c r="AV646" s="652"/>
      <c r="AW646" s="652"/>
      <c r="AX646" s="652"/>
      <c r="AY646" s="652"/>
      <c r="AZ646" s="652"/>
      <c r="BA646" s="652"/>
      <c r="BB646" s="652"/>
      <c r="BC646" s="652"/>
      <c r="BD646" s="652"/>
      <c r="BE646" s="652"/>
      <c r="BF646" s="652"/>
      <c r="BG646" s="652"/>
      <c r="BH646" s="652"/>
      <c r="BI646" s="652"/>
      <c r="BJ646" s="650"/>
      <c r="BK646" s="650"/>
      <c r="BL646" s="650"/>
      <c r="BM646" s="650"/>
      <c r="BN646" s="650"/>
      <c r="BO646" s="650"/>
      <c r="BP646" s="650"/>
      <c r="BQ646" s="650"/>
      <c r="BR646" s="650"/>
      <c r="BS646" s="650"/>
      <c r="BT646" s="650"/>
      <c r="BU646" s="650"/>
      <c r="BV646" s="650"/>
      <c r="BW646" s="650"/>
      <c r="BX646" s="650"/>
      <c r="BY646" s="650"/>
      <c r="BZ646" s="650"/>
      <c r="CA646" s="650"/>
      <c r="CB646" s="650"/>
      <c r="CC646" s="650"/>
      <c r="CD646" s="650"/>
      <c r="CE646" s="650"/>
      <c r="CF646" s="650"/>
      <c r="CG646" s="650"/>
      <c r="CH646" s="650"/>
      <c r="CI646" s="650"/>
      <c r="CJ646" s="650"/>
      <c r="CK646" s="650"/>
      <c r="CL646" s="650"/>
      <c r="CM646" s="650"/>
      <c r="CN646" s="650"/>
      <c r="CO646" s="650"/>
      <c r="CP646" s="650"/>
      <c r="CQ646" s="650"/>
      <c r="CR646" s="650"/>
      <c r="CS646" s="651"/>
      <c r="CT646" s="651"/>
      <c r="CU646" s="651"/>
      <c r="CV646" s="651"/>
      <c r="CW646" s="651"/>
      <c r="CX646" s="651"/>
      <c r="CY646" s="651"/>
      <c r="CZ646" s="651"/>
      <c r="DA646" s="651"/>
      <c r="DB646" s="651"/>
      <c r="DC646" s="651"/>
      <c r="DD646" s="651"/>
    </row>
    <row r="647" s="660" customFormat="1" ht="31" customHeight="1" spans="1:108">
      <c r="A647" s="869">
        <v>46129</v>
      </c>
      <c r="B647" s="870" t="s">
        <v>257</v>
      </c>
      <c r="C647" s="871" t="s">
        <v>148</v>
      </c>
      <c r="D647" s="872" t="s">
        <v>5974</v>
      </c>
      <c r="E647" s="930" t="s">
        <v>5975</v>
      </c>
      <c r="F647" s="872" t="s">
        <v>5976</v>
      </c>
      <c r="G647" s="873" t="s">
        <v>3973</v>
      </c>
      <c r="H647" s="871" t="s">
        <v>3995</v>
      </c>
      <c r="I647" s="874">
        <v>3200</v>
      </c>
      <c r="J647" s="871">
        <v>0</v>
      </c>
      <c r="K647" s="871">
        <v>16</v>
      </c>
      <c r="L647" s="871">
        <f t="shared" si="126"/>
        <v>200</v>
      </c>
      <c r="M647" s="919">
        <v>46247</v>
      </c>
      <c r="N647" s="919">
        <v>46244</v>
      </c>
      <c r="O647" s="870" t="s">
        <v>4109</v>
      </c>
      <c r="P647" s="874" t="s">
        <v>1410</v>
      </c>
      <c r="Q647" s="874"/>
      <c r="R647" s="876" t="s">
        <v>5977</v>
      </c>
      <c r="S647" s="877" t="s">
        <v>107</v>
      </c>
      <c r="T647" s="877" t="s">
        <v>5978</v>
      </c>
      <c r="U647" s="877"/>
      <c r="V647" s="877" t="s">
        <v>5979</v>
      </c>
      <c r="W647" s="877"/>
      <c r="X647" s="931" t="s">
        <v>5980</v>
      </c>
      <c r="Y647" s="875" t="s">
        <v>263</v>
      </c>
      <c r="Z647" s="878">
        <v>4.5744</v>
      </c>
      <c r="AA647" s="872">
        <f>L647*Z647</f>
        <v>914.88</v>
      </c>
      <c r="AB647" s="831"/>
      <c r="AC647" s="872" t="s">
        <v>4108</v>
      </c>
      <c r="AD647" s="871" t="s">
        <v>112</v>
      </c>
      <c r="AE647" s="871">
        <f t="shared" si="125"/>
        <v>3200</v>
      </c>
      <c r="AF647" s="871"/>
      <c r="AG647" s="871">
        <v>3200</v>
      </c>
      <c r="AH647" s="871">
        <f t="shared" si="127"/>
        <v>0</v>
      </c>
      <c r="AI647" s="874"/>
      <c r="AJ647" s="871" t="s">
        <v>3981</v>
      </c>
      <c r="AK647" s="872"/>
      <c r="AL647" s="872">
        <f>I647</f>
        <v>3200</v>
      </c>
      <c r="AM647" s="872"/>
      <c r="AN647" s="872">
        <f t="shared" si="128"/>
        <v>3200</v>
      </c>
      <c r="AO647" s="872"/>
      <c r="AP647" s="872"/>
      <c r="AQ647" s="872"/>
      <c r="AR647" s="872"/>
      <c r="AS647" s="872"/>
      <c r="AT647" s="872"/>
      <c r="AU647" s="872">
        <f>I647/8</f>
        <v>400</v>
      </c>
      <c r="AV647" s="872"/>
      <c r="AW647" s="872"/>
      <c r="AX647" s="872"/>
      <c r="AY647" s="872"/>
      <c r="AZ647" s="872"/>
      <c r="BA647" s="872"/>
      <c r="BB647" s="872"/>
      <c r="BC647" s="872"/>
      <c r="BD647" s="872"/>
      <c r="BE647" s="872"/>
      <c r="BF647" s="872"/>
      <c r="BG647" s="872"/>
      <c r="BH647" s="872"/>
      <c r="BI647" s="872"/>
    </row>
    <row r="648" s="654" customFormat="1" ht="31" customHeight="1" spans="1:108">
      <c r="A648" s="713">
        <v>46185</v>
      </c>
      <c r="B648" s="714" t="s">
        <v>438</v>
      </c>
      <c r="C648" s="715" t="s">
        <v>115</v>
      </c>
      <c r="D648" s="652">
        <v>4500212072</v>
      </c>
      <c r="E648" s="715" t="s">
        <v>5981</v>
      </c>
      <c r="F648" s="652" t="s">
        <v>5982</v>
      </c>
      <c r="G648" s="716" t="s">
        <v>3980</v>
      </c>
      <c r="H648" s="715" t="s">
        <v>3978</v>
      </c>
      <c r="I648" s="717">
        <v>5192</v>
      </c>
      <c r="J648" s="715">
        <v>0</v>
      </c>
      <c r="K648" s="715">
        <v>8</v>
      </c>
      <c r="L648" s="715">
        <f t="shared" si="126"/>
        <v>649</v>
      </c>
      <c r="M648" s="719">
        <v>46247</v>
      </c>
      <c r="N648" s="719">
        <v>46244</v>
      </c>
      <c r="O648" s="714"/>
      <c r="P648" s="717" t="s">
        <v>1410</v>
      </c>
      <c r="Q648" s="717"/>
      <c r="R648" s="723" t="s">
        <v>2683</v>
      </c>
      <c r="S648" s="720" t="s">
        <v>107</v>
      </c>
      <c r="T648" s="720" t="s">
        <v>5983</v>
      </c>
      <c r="U648" s="720"/>
      <c r="V648" s="720"/>
      <c r="W648" s="720"/>
      <c r="X648" s="798" t="s">
        <v>5984</v>
      </c>
      <c r="Y648" s="719" t="s">
        <v>443</v>
      </c>
      <c r="Z648" s="730">
        <v>2.7891</v>
      </c>
      <c r="AA648" s="652">
        <f>I648*Z648</f>
        <v>14481.0072</v>
      </c>
      <c r="AB648" s="721"/>
      <c r="AC648" s="722" t="s">
        <v>3980</v>
      </c>
      <c r="AD648" s="715" t="s">
        <v>112</v>
      </c>
      <c r="AE648" s="715">
        <f t="shared" si="125"/>
        <v>5192</v>
      </c>
      <c r="AF648" s="715"/>
      <c r="AG648" s="715">
        <v>5192</v>
      </c>
      <c r="AH648" s="715">
        <f t="shared" si="127"/>
        <v>0</v>
      </c>
      <c r="AI648" s="717"/>
      <c r="AJ648" s="715" t="s">
        <v>3981</v>
      </c>
      <c r="AK648" s="652">
        <f>I648</f>
        <v>5192</v>
      </c>
      <c r="AL648" s="652"/>
      <c r="AM648" s="652"/>
      <c r="AN648" s="652">
        <f t="shared" si="128"/>
        <v>5192</v>
      </c>
      <c r="AO648" s="652"/>
      <c r="AP648" s="652"/>
      <c r="AQ648" s="652"/>
      <c r="AR648" s="652"/>
      <c r="AS648" s="652"/>
      <c r="AT648" s="652">
        <f>I648/8</f>
        <v>649</v>
      </c>
      <c r="AU648" s="652"/>
      <c r="AV648" s="652"/>
      <c r="AW648" s="652"/>
      <c r="AX648" s="652"/>
      <c r="AY648" s="652"/>
      <c r="AZ648" s="652"/>
      <c r="BA648" s="652"/>
      <c r="BB648" s="652"/>
      <c r="BC648" s="652"/>
      <c r="BD648" s="652"/>
      <c r="BE648" s="652"/>
      <c r="BF648" s="652"/>
      <c r="BG648" s="652"/>
      <c r="BH648" s="652"/>
      <c r="BI648" s="652"/>
      <c r="BJ648" s="650"/>
      <c r="BK648" s="650"/>
      <c r="BL648" s="650"/>
      <c r="BM648" s="650"/>
      <c r="BN648" s="650"/>
      <c r="BO648" s="650"/>
      <c r="BP648" s="650"/>
      <c r="BQ648" s="650"/>
      <c r="BR648" s="650"/>
      <c r="BS648" s="650"/>
      <c r="BT648" s="650"/>
      <c r="BU648" s="650"/>
      <c r="BV648" s="650"/>
      <c r="BW648" s="650"/>
      <c r="BX648" s="650"/>
      <c r="BY648" s="650"/>
      <c r="BZ648" s="650"/>
      <c r="CA648" s="650"/>
      <c r="CB648" s="650"/>
      <c r="CC648" s="650"/>
      <c r="CD648" s="650"/>
      <c r="CE648" s="650"/>
      <c r="CF648" s="650"/>
      <c r="CG648" s="650"/>
      <c r="CH648" s="650"/>
      <c r="CI648" s="650"/>
      <c r="CJ648" s="650"/>
      <c r="CK648" s="650"/>
      <c r="CL648" s="650"/>
      <c r="CM648" s="650"/>
      <c r="CN648" s="650"/>
      <c r="CO648" s="650"/>
      <c r="CP648" s="650"/>
      <c r="CQ648" s="650"/>
      <c r="CR648" s="650"/>
      <c r="CS648" s="650"/>
      <c r="CT648" s="650"/>
      <c r="CU648" s="650"/>
      <c r="CV648" s="650"/>
      <c r="CW648" s="650"/>
      <c r="CX648" s="650"/>
      <c r="CY648" s="650"/>
      <c r="CZ648" s="650"/>
      <c r="DA648" s="650"/>
      <c r="DB648" s="650"/>
      <c r="DC648" s="650"/>
      <c r="DD648" s="650"/>
    </row>
    <row r="649" s="650" customFormat="1" ht="31" customHeight="1" spans="1:108">
      <c r="A649" s="713">
        <v>46217</v>
      </c>
      <c r="B649" s="714" t="s">
        <v>134</v>
      </c>
      <c r="C649" s="715" t="s">
        <v>135</v>
      </c>
      <c r="D649" s="652">
        <v>4500216477</v>
      </c>
      <c r="E649" s="715">
        <v>4400583620</v>
      </c>
      <c r="F649" s="652" t="s">
        <v>5985</v>
      </c>
      <c r="G649" s="716" t="s">
        <v>3973</v>
      </c>
      <c r="H649" s="715" t="s">
        <v>3995</v>
      </c>
      <c r="I649" s="717">
        <v>8000</v>
      </c>
      <c r="J649" s="715">
        <v>0</v>
      </c>
      <c r="K649" s="715">
        <v>16</v>
      </c>
      <c r="L649" s="715">
        <f t="shared" si="126"/>
        <v>500</v>
      </c>
      <c r="M649" s="719">
        <v>46247</v>
      </c>
      <c r="N649" s="738">
        <v>46245</v>
      </c>
      <c r="O649" s="720" t="s">
        <v>2833</v>
      </c>
      <c r="P649" s="717" t="s">
        <v>1410</v>
      </c>
      <c r="Q649" s="717"/>
      <c r="R649" s="723">
        <v>46183</v>
      </c>
      <c r="S649" s="720" t="s">
        <v>107</v>
      </c>
      <c r="T649" s="720" t="s">
        <v>3997</v>
      </c>
      <c r="U649" s="720"/>
      <c r="V649" s="720"/>
      <c r="W649" s="720"/>
      <c r="X649" s="720" t="s">
        <v>5591</v>
      </c>
      <c r="Y649" s="719" t="s">
        <v>142</v>
      </c>
      <c r="Z649" s="730">
        <v>4.8121</v>
      </c>
      <c r="AA649" s="652">
        <f>I649*Z649</f>
        <v>38496.8</v>
      </c>
      <c r="AB649" s="721"/>
      <c r="AC649" s="652" t="s">
        <v>4108</v>
      </c>
      <c r="AD649" s="715" t="s">
        <v>112</v>
      </c>
      <c r="AE649" s="715">
        <f t="shared" si="125"/>
        <v>8000</v>
      </c>
      <c r="AF649" s="715"/>
      <c r="AG649" s="715">
        <v>8000</v>
      </c>
      <c r="AH649" s="715">
        <f t="shared" si="127"/>
        <v>0</v>
      </c>
      <c r="AI649" s="717"/>
      <c r="AJ649" s="715" t="s">
        <v>3981</v>
      </c>
      <c r="AK649" s="652"/>
      <c r="AL649" s="652">
        <f>I649</f>
        <v>8000</v>
      </c>
      <c r="AM649" s="652"/>
      <c r="AN649" s="652">
        <f t="shared" si="128"/>
        <v>8000</v>
      </c>
      <c r="AO649" s="652"/>
      <c r="AP649" s="652"/>
      <c r="AQ649" s="652"/>
      <c r="AR649" s="652"/>
      <c r="AS649" s="652"/>
      <c r="AT649" s="652"/>
      <c r="AU649" s="652">
        <f>I649/8</f>
        <v>1000</v>
      </c>
      <c r="AV649" s="652"/>
      <c r="AW649" s="652"/>
      <c r="AX649" s="652"/>
      <c r="AY649" s="652"/>
      <c r="AZ649" s="652"/>
      <c r="BA649" s="652"/>
      <c r="BB649" s="652"/>
      <c r="BC649" s="652"/>
      <c r="BD649" s="652"/>
      <c r="BE649" s="652"/>
      <c r="BF649" s="652"/>
      <c r="BG649" s="652"/>
      <c r="BH649" s="652"/>
      <c r="BI649" s="652"/>
      <c r="BJ649" s="724"/>
      <c r="BK649" s="724"/>
      <c r="BL649" s="724"/>
      <c r="BM649" s="724"/>
      <c r="BN649" s="724"/>
      <c r="BO649" s="724"/>
      <c r="BP649" s="724"/>
      <c r="BQ649" s="724"/>
      <c r="BR649" s="724"/>
      <c r="BS649" s="724"/>
      <c r="BT649" s="724"/>
      <c r="BU649" s="724"/>
      <c r="BV649" s="724"/>
      <c r="BW649" s="724"/>
      <c r="BX649" s="724"/>
      <c r="BY649" s="724"/>
      <c r="BZ649" s="724"/>
      <c r="CA649" s="724"/>
      <c r="CB649" s="724"/>
      <c r="CC649" s="724"/>
      <c r="CD649" s="724"/>
      <c r="CE649" s="724"/>
      <c r="CF649" s="724"/>
      <c r="CG649" s="724"/>
      <c r="CH649" s="724"/>
      <c r="CI649" s="724"/>
      <c r="CJ649" s="724"/>
      <c r="CK649" s="724"/>
      <c r="CL649" s="724"/>
      <c r="CM649" s="724"/>
      <c r="CN649" s="724"/>
      <c r="CO649" s="724"/>
      <c r="CP649" s="724"/>
      <c r="CQ649" s="724"/>
      <c r="CR649" s="724"/>
      <c r="CS649" s="724"/>
      <c r="CT649" s="724"/>
      <c r="CU649" s="724"/>
      <c r="CV649" s="724"/>
      <c r="CW649" s="724"/>
      <c r="CX649" s="724"/>
      <c r="CY649" s="724"/>
      <c r="CZ649" s="724"/>
      <c r="DA649" s="724"/>
      <c r="DB649" s="724"/>
      <c r="DC649" s="724"/>
      <c r="DD649" s="724"/>
    </row>
    <row r="650" s="653" customFormat="1" ht="31" customHeight="1" spans="1:108">
      <c r="A650" s="756">
        <v>46185</v>
      </c>
      <c r="B650" s="757" t="s">
        <v>499</v>
      </c>
      <c r="C650" s="758" t="s">
        <v>115</v>
      </c>
      <c r="D650" s="653">
        <v>4500211883</v>
      </c>
      <c r="E650" s="1914" t="s">
        <v>5986</v>
      </c>
      <c r="F650" s="653" t="s">
        <v>5987</v>
      </c>
      <c r="G650" s="760" t="s">
        <v>4414</v>
      </c>
      <c r="H650" s="758" t="s">
        <v>3978</v>
      </c>
      <c r="I650" s="761">
        <v>9728</v>
      </c>
      <c r="J650" s="758">
        <v>0</v>
      </c>
      <c r="K650" s="758">
        <v>512</v>
      </c>
      <c r="L650" s="758">
        <f t="shared" si="126"/>
        <v>19</v>
      </c>
      <c r="M650" s="851">
        <v>46247</v>
      </c>
      <c r="N650" s="851">
        <v>46246</v>
      </c>
      <c r="O650" s="757" t="s">
        <v>5988</v>
      </c>
      <c r="P650" s="717" t="s">
        <v>1410</v>
      </c>
      <c r="Q650" s="761"/>
      <c r="R650" s="723" t="s">
        <v>4201</v>
      </c>
      <c r="S650" s="720" t="s">
        <v>107</v>
      </c>
      <c r="T650" s="765" t="s">
        <v>5989</v>
      </c>
      <c r="U650" s="765"/>
      <c r="V650" s="765" t="s">
        <v>4706</v>
      </c>
      <c r="W650" s="765"/>
      <c r="X650" s="765" t="s">
        <v>5990</v>
      </c>
      <c r="Y650" s="763" t="s">
        <v>503</v>
      </c>
      <c r="Z650" s="800">
        <v>1468.1379</v>
      </c>
      <c r="AA650" s="653">
        <f>Z650*L650</f>
        <v>27894.6201</v>
      </c>
      <c r="AB650" s="721"/>
      <c r="AC650" s="652" t="s">
        <v>4194</v>
      </c>
      <c r="AD650" s="758" t="s">
        <v>112</v>
      </c>
      <c r="AE650" s="758">
        <f t="shared" si="125"/>
        <v>9728</v>
      </c>
      <c r="AF650" s="758" t="s">
        <v>5125</v>
      </c>
      <c r="AG650" s="758"/>
      <c r="AH650" s="715">
        <f t="shared" si="127"/>
        <v>-9728</v>
      </c>
      <c r="AI650" s="761" t="s">
        <v>120</v>
      </c>
      <c r="AJ650" s="715" t="s">
        <v>3981</v>
      </c>
      <c r="AK650" s="653">
        <f>I650</f>
        <v>9728</v>
      </c>
      <c r="AL650" s="652"/>
      <c r="AM650" s="652"/>
      <c r="AN650" s="652">
        <f t="shared" si="128"/>
        <v>9728</v>
      </c>
      <c r="AT650" s="653">
        <f>I650/8</f>
        <v>1216</v>
      </c>
      <c r="AU650" s="652"/>
      <c r="AV650" s="652"/>
      <c r="AW650" s="652"/>
    </row>
    <row r="651" s="650" customFormat="1" ht="31" customHeight="1" spans="1:108">
      <c r="A651" s="713">
        <v>46185</v>
      </c>
      <c r="B651" s="714" t="s">
        <v>499</v>
      </c>
      <c r="C651" s="715" t="s">
        <v>115</v>
      </c>
      <c r="D651" s="652">
        <v>4500211883</v>
      </c>
      <c r="E651" s="1907" t="s">
        <v>5991</v>
      </c>
      <c r="F651" s="652" t="s">
        <v>5992</v>
      </c>
      <c r="G651" s="716" t="s">
        <v>4414</v>
      </c>
      <c r="H651" s="715" t="s">
        <v>3978</v>
      </c>
      <c r="I651" s="717">
        <v>8192</v>
      </c>
      <c r="J651" s="715">
        <v>0</v>
      </c>
      <c r="K651" s="715">
        <v>512</v>
      </c>
      <c r="L651" s="715">
        <f t="shared" si="126"/>
        <v>16</v>
      </c>
      <c r="M651" s="738">
        <v>46247</v>
      </c>
      <c r="N651" s="738">
        <v>46246</v>
      </c>
      <c r="O651" s="714" t="s">
        <v>5988</v>
      </c>
      <c r="P651" s="717" t="s">
        <v>1410</v>
      </c>
      <c r="Q651" s="717"/>
      <c r="R651" s="723" t="s">
        <v>4201</v>
      </c>
      <c r="S651" s="735" t="s">
        <v>107</v>
      </c>
      <c r="T651" s="720" t="s">
        <v>5989</v>
      </c>
      <c r="U651" s="720"/>
      <c r="V651" s="720" t="s">
        <v>4706</v>
      </c>
      <c r="W651" s="720"/>
      <c r="X651" s="720" t="s">
        <v>5990</v>
      </c>
      <c r="Y651" s="719" t="s">
        <v>503</v>
      </c>
      <c r="Z651" s="730">
        <v>1468.1381</v>
      </c>
      <c r="AA651" s="652">
        <f>Z651*L651</f>
        <v>23490.2096</v>
      </c>
      <c r="AB651" s="721"/>
      <c r="AC651" s="652" t="s">
        <v>4194</v>
      </c>
      <c r="AD651" s="715" t="s">
        <v>112</v>
      </c>
      <c r="AE651" s="715">
        <f t="shared" si="125"/>
        <v>8192</v>
      </c>
      <c r="AF651" s="715" t="s">
        <v>5125</v>
      </c>
      <c r="AG651" s="715"/>
      <c r="AH651" s="715">
        <f t="shared" si="127"/>
        <v>-8192</v>
      </c>
      <c r="AI651" s="717" t="s">
        <v>120</v>
      </c>
      <c r="AJ651" s="715" t="s">
        <v>3981</v>
      </c>
      <c r="AK651" s="652">
        <f>I651</f>
        <v>8192</v>
      </c>
      <c r="AL651" s="652"/>
      <c r="AM651" s="652"/>
      <c r="AN651" s="652">
        <f t="shared" si="128"/>
        <v>8192</v>
      </c>
      <c r="AO651" s="652"/>
      <c r="AP651" s="652"/>
      <c r="AQ651" s="652"/>
      <c r="AR651" s="652"/>
      <c r="AS651" s="652"/>
      <c r="AT651" s="652">
        <f>I651/8</f>
        <v>1024</v>
      </c>
      <c r="AU651" s="652"/>
      <c r="AV651" s="652"/>
      <c r="AW651" s="652"/>
      <c r="AX651" s="652"/>
      <c r="AY651" s="652"/>
      <c r="AZ651" s="652"/>
      <c r="BA651" s="652"/>
      <c r="BB651" s="652"/>
      <c r="BC651" s="652"/>
      <c r="BD651" s="652"/>
      <c r="BE651" s="652"/>
      <c r="BF651" s="652"/>
      <c r="BG651" s="652"/>
      <c r="BH651" s="652"/>
      <c r="BI651" s="652"/>
    </row>
    <row r="652" s="650" customFormat="1" ht="31" customHeight="1" spans="1:108">
      <c r="A652" s="713">
        <v>46185</v>
      </c>
      <c r="B652" s="714" t="s">
        <v>499</v>
      </c>
      <c r="C652" s="715" t="s">
        <v>115</v>
      </c>
      <c r="D652" s="652">
        <v>4500211883</v>
      </c>
      <c r="E652" s="1907" t="s">
        <v>5993</v>
      </c>
      <c r="F652" s="652" t="s">
        <v>5994</v>
      </c>
      <c r="G652" s="716" t="s">
        <v>4414</v>
      </c>
      <c r="H652" s="715" t="s">
        <v>3978</v>
      </c>
      <c r="I652" s="717">
        <v>4608</v>
      </c>
      <c r="J652" s="715">
        <v>0</v>
      </c>
      <c r="K652" s="715">
        <v>512</v>
      </c>
      <c r="L652" s="715">
        <f t="shared" si="126"/>
        <v>9</v>
      </c>
      <c r="M652" s="738">
        <v>46247</v>
      </c>
      <c r="N652" s="738">
        <v>46246</v>
      </c>
      <c r="O652" s="714" t="s">
        <v>5988</v>
      </c>
      <c r="P652" s="717" t="s">
        <v>1410</v>
      </c>
      <c r="Q652" s="717"/>
      <c r="R652" s="734" t="s">
        <v>4201</v>
      </c>
      <c r="S652" s="720" t="s">
        <v>107</v>
      </c>
      <c r="T652" s="735" t="s">
        <v>5989</v>
      </c>
      <c r="U652" s="735"/>
      <c r="V652" s="720" t="s">
        <v>4706</v>
      </c>
      <c r="W652" s="720"/>
      <c r="X652" s="720" t="s">
        <v>5990</v>
      </c>
      <c r="Y652" s="719" t="s">
        <v>503</v>
      </c>
      <c r="Z652" s="730">
        <v>1485.1244</v>
      </c>
      <c r="AA652" s="652">
        <f>Z652*L652</f>
        <v>13366.1196</v>
      </c>
      <c r="AB652" s="721"/>
      <c r="AC652" s="652" t="s">
        <v>4194</v>
      </c>
      <c r="AD652" s="715" t="s">
        <v>112</v>
      </c>
      <c r="AE652" s="715">
        <f t="shared" si="125"/>
        <v>4608</v>
      </c>
      <c r="AF652" s="715" t="s">
        <v>5125</v>
      </c>
      <c r="AG652" s="715"/>
      <c r="AH652" s="715">
        <f t="shared" si="127"/>
        <v>-4608</v>
      </c>
      <c r="AI652" s="717" t="s">
        <v>120</v>
      </c>
      <c r="AJ652" s="715" t="s">
        <v>3981</v>
      </c>
      <c r="AK652" s="652">
        <f>I652</f>
        <v>4608</v>
      </c>
      <c r="AL652" s="652"/>
      <c r="AM652" s="652"/>
      <c r="AN652" s="652">
        <f t="shared" si="128"/>
        <v>4608</v>
      </c>
      <c r="AO652" s="652"/>
      <c r="AP652" s="652"/>
      <c r="AQ652" s="652"/>
      <c r="AR652" s="652"/>
      <c r="AS652" s="652"/>
      <c r="AT652" s="652">
        <f>I652/8</f>
        <v>576</v>
      </c>
      <c r="AU652" s="652"/>
      <c r="AV652" s="652"/>
      <c r="AW652" s="652"/>
      <c r="AX652" s="652"/>
      <c r="AY652" s="652"/>
      <c r="AZ652" s="652"/>
      <c r="BA652" s="652"/>
      <c r="BB652" s="652"/>
      <c r="BC652" s="652"/>
      <c r="BD652" s="652"/>
      <c r="BE652" s="652"/>
      <c r="BF652" s="652"/>
      <c r="BG652" s="652"/>
      <c r="BH652" s="652"/>
      <c r="BI652" s="652"/>
    </row>
    <row r="653" s="650" customFormat="1" ht="31" customHeight="1" spans="1:108">
      <c r="A653" s="713">
        <v>46185</v>
      </c>
      <c r="B653" s="714" t="s">
        <v>499</v>
      </c>
      <c r="C653" s="715" t="s">
        <v>115</v>
      </c>
      <c r="D653" s="652">
        <v>4500211883</v>
      </c>
      <c r="E653" s="1907" t="s">
        <v>5995</v>
      </c>
      <c r="F653" s="652" t="s">
        <v>5996</v>
      </c>
      <c r="G653" s="716" t="s">
        <v>4414</v>
      </c>
      <c r="H653" s="715" t="s">
        <v>3978</v>
      </c>
      <c r="I653" s="717">
        <v>4096</v>
      </c>
      <c r="J653" s="715">
        <v>0</v>
      </c>
      <c r="K653" s="715">
        <v>512</v>
      </c>
      <c r="L653" s="715">
        <f t="shared" si="126"/>
        <v>8</v>
      </c>
      <c r="M653" s="738">
        <v>46247</v>
      </c>
      <c r="N653" s="738">
        <v>46246</v>
      </c>
      <c r="O653" s="714" t="s">
        <v>5988</v>
      </c>
      <c r="P653" s="717" t="s">
        <v>1410</v>
      </c>
      <c r="Q653" s="717"/>
      <c r="R653" s="734" t="s">
        <v>4201</v>
      </c>
      <c r="S653" s="720" t="s">
        <v>107</v>
      </c>
      <c r="T653" s="720" t="s">
        <v>5989</v>
      </c>
      <c r="U653" s="720"/>
      <c r="V653" s="720" t="s">
        <v>4706</v>
      </c>
      <c r="W653" s="720"/>
      <c r="X653" s="720" t="s">
        <v>5990</v>
      </c>
      <c r="Y653" s="719" t="s">
        <v>503</v>
      </c>
      <c r="Z653" s="730">
        <v>1485.125</v>
      </c>
      <c r="AA653" s="652">
        <f>Z653*L653</f>
        <v>11881</v>
      </c>
      <c r="AB653" s="721"/>
      <c r="AC653" s="652" t="s">
        <v>4194</v>
      </c>
      <c r="AD653" s="715" t="s">
        <v>112</v>
      </c>
      <c r="AE653" s="715">
        <f t="shared" si="125"/>
        <v>4096</v>
      </c>
      <c r="AF653" s="715" t="s">
        <v>5125</v>
      </c>
      <c r="AG653" s="715"/>
      <c r="AH653" s="715">
        <f t="shared" si="127"/>
        <v>-4096</v>
      </c>
      <c r="AI653" s="717" t="s">
        <v>120</v>
      </c>
      <c r="AJ653" s="715" t="s">
        <v>3981</v>
      </c>
      <c r="AK653" s="652">
        <f>I653</f>
        <v>4096</v>
      </c>
      <c r="AL653" s="652"/>
      <c r="AM653" s="652"/>
      <c r="AN653" s="652">
        <f t="shared" si="128"/>
        <v>4096</v>
      </c>
      <c r="AO653" s="652"/>
      <c r="AP653" s="652"/>
      <c r="AQ653" s="652"/>
      <c r="AR653" s="652"/>
      <c r="AS653" s="652"/>
      <c r="AT653" s="652">
        <f>I653/8</f>
        <v>512</v>
      </c>
      <c r="AU653" s="652"/>
      <c r="AV653" s="652"/>
      <c r="AW653" s="652"/>
      <c r="AX653" s="652"/>
      <c r="AY653" s="652"/>
      <c r="AZ653" s="652"/>
      <c r="BA653" s="652"/>
      <c r="BB653" s="652"/>
      <c r="BC653" s="652"/>
      <c r="BD653" s="652"/>
      <c r="BE653" s="652"/>
      <c r="BF653" s="652"/>
      <c r="BG653" s="652"/>
      <c r="BH653" s="652"/>
      <c r="BI653" s="652"/>
    </row>
    <row r="654" s="659" customFormat="1" ht="31" customHeight="1" spans="1:108">
      <c r="A654" s="819">
        <v>46185</v>
      </c>
      <c r="B654" s="820" t="s">
        <v>743</v>
      </c>
      <c r="C654" s="821" t="s">
        <v>1439</v>
      </c>
      <c r="D654" s="917">
        <v>4500211856</v>
      </c>
      <c r="E654" s="821" t="s">
        <v>2933</v>
      </c>
      <c r="F654" s="822" t="s">
        <v>5997</v>
      </c>
      <c r="G654" s="823" t="s">
        <v>3968</v>
      </c>
      <c r="H654" s="708" t="s">
        <v>3969</v>
      </c>
      <c r="I654" s="824">
        <v>6032</v>
      </c>
      <c r="J654" s="821">
        <v>0</v>
      </c>
      <c r="K654" s="821">
        <v>16</v>
      </c>
      <c r="L654" s="821">
        <f t="shared" si="126"/>
        <v>377</v>
      </c>
      <c r="M654" s="825">
        <v>46247</v>
      </c>
      <c r="N654" s="863">
        <v>46248</v>
      </c>
      <c r="O654" s="820"/>
      <c r="P654" s="824"/>
      <c r="Q654" s="824"/>
      <c r="R654" s="886" t="s">
        <v>541</v>
      </c>
      <c r="S654" s="828" t="s">
        <v>107</v>
      </c>
      <c r="T654" s="828" t="s">
        <v>5998</v>
      </c>
      <c r="U654" s="828"/>
      <c r="V654" s="829"/>
      <c r="W654" s="828"/>
      <c r="X654" s="828" t="s">
        <v>5999</v>
      </c>
      <c r="Y654" s="825" t="s">
        <v>2610</v>
      </c>
      <c r="Z654" s="830">
        <v>4.7049</v>
      </c>
      <c r="AA654" s="822">
        <f>I654*Z654</f>
        <v>28379.9568</v>
      </c>
      <c r="AB654" s="831"/>
      <c r="AC654" s="822" t="s">
        <v>4426</v>
      </c>
      <c r="AD654" s="821" t="s">
        <v>112</v>
      </c>
      <c r="AE654" s="821">
        <f t="shared" si="125"/>
        <v>6032</v>
      </c>
      <c r="AF654" s="821" t="s">
        <v>4109</v>
      </c>
      <c r="AG654" s="708">
        <v>6032</v>
      </c>
      <c r="AH654" s="833">
        <f t="shared" si="127"/>
        <v>0</v>
      </c>
      <c r="AI654" s="824"/>
      <c r="AJ654" s="932" t="s">
        <v>3981</v>
      </c>
      <c r="AK654" s="822"/>
      <c r="AL654" s="834">
        <f>I654</f>
        <v>6032</v>
      </c>
      <c r="AM654" s="822"/>
      <c r="AN654" s="834">
        <f t="shared" si="128"/>
        <v>6032</v>
      </c>
      <c r="AO654" s="822"/>
      <c r="AP654" s="822"/>
      <c r="AQ654" s="822"/>
      <c r="AR654" s="822"/>
      <c r="AS654" s="822"/>
      <c r="AT654" s="822"/>
      <c r="AU654" s="834"/>
      <c r="AV654" s="834"/>
      <c r="AW654" s="834"/>
      <c r="AX654" s="822"/>
      <c r="AY654" s="822"/>
      <c r="AZ654" s="822"/>
      <c r="BA654" s="822"/>
      <c r="BB654" s="822"/>
      <c r="BC654" s="822"/>
      <c r="BD654" s="822"/>
      <c r="BE654" s="822"/>
      <c r="BF654" s="822"/>
      <c r="BG654" s="822"/>
      <c r="BH654" s="822"/>
      <c r="BI654" s="822"/>
    </row>
    <row r="655" s="650" customFormat="1" ht="31" customHeight="1" spans="1:108">
      <c r="A655" s="819">
        <v>46185</v>
      </c>
      <c r="B655" s="820" t="s">
        <v>743</v>
      </c>
      <c r="C655" s="821" t="s">
        <v>135</v>
      </c>
      <c r="D655" s="917">
        <v>4500211856</v>
      </c>
      <c r="E655" s="821" t="s">
        <v>6000</v>
      </c>
      <c r="F655" s="822" t="s">
        <v>6001</v>
      </c>
      <c r="G655" s="823" t="s">
        <v>3968</v>
      </c>
      <c r="H655" s="708" t="s">
        <v>3969</v>
      </c>
      <c r="I655" s="824">
        <v>11248</v>
      </c>
      <c r="J655" s="821">
        <v>0</v>
      </c>
      <c r="K655" s="821">
        <v>16</v>
      </c>
      <c r="L655" s="821">
        <f t="shared" si="126"/>
        <v>703</v>
      </c>
      <c r="M655" s="825">
        <v>46247</v>
      </c>
      <c r="N655" s="863">
        <v>46248</v>
      </c>
      <c r="O655" s="820"/>
      <c r="P655" s="824"/>
      <c r="Q655" s="824"/>
      <c r="R655" s="827" t="s">
        <v>541</v>
      </c>
      <c r="S655" s="848" t="s">
        <v>107</v>
      </c>
      <c r="T655" s="828" t="s">
        <v>5998</v>
      </c>
      <c r="U655" s="828"/>
      <c r="V655" s="829"/>
      <c r="W655" s="828"/>
      <c r="X655" s="828" t="s">
        <v>5999</v>
      </c>
      <c r="Y655" s="825" t="s">
        <v>2610</v>
      </c>
      <c r="Z655" s="830">
        <v>4.6944</v>
      </c>
      <c r="AA655" s="822">
        <f>I655*Z655</f>
        <v>52802.6112</v>
      </c>
      <c r="AB655" s="831"/>
      <c r="AC655" s="822" t="s">
        <v>4426</v>
      </c>
      <c r="AD655" s="821" t="s">
        <v>112</v>
      </c>
      <c r="AE655" s="821">
        <f t="shared" si="125"/>
        <v>11248</v>
      </c>
      <c r="AF655" s="821"/>
      <c r="AG655" s="708">
        <v>11248</v>
      </c>
      <c r="AH655" s="833">
        <f t="shared" si="127"/>
        <v>0</v>
      </c>
      <c r="AI655" s="824"/>
      <c r="AJ655" s="932" t="s">
        <v>3981</v>
      </c>
      <c r="AK655" s="822"/>
      <c r="AL655" s="834">
        <f>I655</f>
        <v>11248</v>
      </c>
      <c r="AM655" s="822"/>
      <c r="AN655" s="834">
        <f t="shared" si="128"/>
        <v>11248</v>
      </c>
      <c r="AO655" s="822"/>
      <c r="AP655" s="822"/>
      <c r="AQ655" s="822"/>
      <c r="AR655" s="822"/>
      <c r="AS655" s="822"/>
      <c r="AT655" s="822"/>
      <c r="AU655" s="834"/>
      <c r="AV655" s="834"/>
      <c r="AW655" s="834"/>
      <c r="AX655" s="822"/>
      <c r="AY655" s="822"/>
      <c r="AZ655" s="822"/>
      <c r="BA655" s="822"/>
      <c r="BB655" s="822"/>
      <c r="BC655" s="822"/>
      <c r="BD655" s="822"/>
      <c r="BE655" s="822"/>
      <c r="BF655" s="822"/>
      <c r="BG655" s="822"/>
      <c r="BH655" s="822"/>
      <c r="BI655" s="822"/>
      <c r="BJ655" s="659"/>
      <c r="BK655" s="659"/>
      <c r="BL655" s="659"/>
      <c r="BM655" s="659"/>
      <c r="BN655" s="659"/>
      <c r="BO655" s="659"/>
      <c r="BP655" s="659"/>
      <c r="BQ655" s="659"/>
      <c r="BR655" s="659"/>
      <c r="BS655" s="659"/>
      <c r="BT655" s="659"/>
      <c r="BU655" s="659"/>
      <c r="BV655" s="659"/>
      <c r="BW655" s="659"/>
      <c r="BX655" s="659"/>
      <c r="BY655" s="659"/>
      <c r="BZ655" s="659"/>
      <c r="CA655" s="659"/>
      <c r="CB655" s="659"/>
      <c r="CC655" s="659"/>
      <c r="CD655" s="659"/>
      <c r="CE655" s="659"/>
      <c r="CF655" s="659"/>
      <c r="CG655" s="659"/>
      <c r="CH655" s="659"/>
      <c r="CI655" s="659"/>
      <c r="CJ655" s="659"/>
      <c r="CK655" s="659"/>
      <c r="CL655" s="659"/>
      <c r="CM655" s="659"/>
      <c r="CN655" s="659"/>
      <c r="CO655" s="659"/>
      <c r="CP655" s="659"/>
      <c r="CQ655" s="659"/>
      <c r="CR655" s="659"/>
      <c r="CS655" s="659"/>
      <c r="CT655" s="659"/>
      <c r="CU655" s="659"/>
      <c r="CV655" s="659"/>
      <c r="CW655" s="659"/>
      <c r="CX655" s="659"/>
      <c r="CY655" s="659"/>
      <c r="CZ655" s="659"/>
      <c r="DA655" s="659"/>
      <c r="DB655" s="659"/>
      <c r="DC655" s="659"/>
      <c r="DD655" s="659"/>
    </row>
    <row r="656" s="650" customFormat="1" ht="31" customHeight="1" spans="1:108">
      <c r="A656" s="713">
        <v>46149</v>
      </c>
      <c r="B656" s="714" t="s">
        <v>538</v>
      </c>
      <c r="C656" s="715" t="s">
        <v>135</v>
      </c>
      <c r="D656" s="837" t="s">
        <v>6002</v>
      </c>
      <c r="E656" s="715" t="s">
        <v>6003</v>
      </c>
      <c r="F656" s="652" t="s">
        <v>6004</v>
      </c>
      <c r="G656" s="716" t="s">
        <v>3968</v>
      </c>
      <c r="H656" s="715" t="s">
        <v>3969</v>
      </c>
      <c r="I656" s="717">
        <v>640</v>
      </c>
      <c r="J656" s="715">
        <v>0</v>
      </c>
      <c r="K656" s="715">
        <v>16</v>
      </c>
      <c r="L656" s="715">
        <f t="shared" si="126"/>
        <v>40</v>
      </c>
      <c r="M656" s="719">
        <v>46247</v>
      </c>
      <c r="N656" s="738">
        <v>46248</v>
      </c>
      <c r="O656" s="714"/>
      <c r="P656" s="717" t="s">
        <v>1410</v>
      </c>
      <c r="Q656" s="717"/>
      <c r="R656" s="723" t="s">
        <v>747</v>
      </c>
      <c r="S656" s="720" t="s">
        <v>107</v>
      </c>
      <c r="T656" s="720" t="s">
        <v>5859</v>
      </c>
      <c r="U656" s="720"/>
      <c r="V656" s="720"/>
      <c r="W656" s="720"/>
      <c r="X656" s="798" t="s">
        <v>6005</v>
      </c>
      <c r="Y656" s="719" t="s">
        <v>545</v>
      </c>
      <c r="Z656" s="730">
        <v>4.4798</v>
      </c>
      <c r="AA656" s="652">
        <f>I656*Z656</f>
        <v>2867.072</v>
      </c>
      <c r="AB656" s="721"/>
      <c r="AC656" s="652" t="s">
        <v>4426</v>
      </c>
      <c r="AD656" s="715" t="s">
        <v>112</v>
      </c>
      <c r="AE656" s="715">
        <f t="shared" si="125"/>
        <v>640</v>
      </c>
      <c r="AF656" s="715"/>
      <c r="AG656" s="715">
        <v>640</v>
      </c>
      <c r="AH656" s="715">
        <f t="shared" si="127"/>
        <v>0</v>
      </c>
      <c r="AI656" s="717"/>
      <c r="AJ656" s="739" t="s">
        <v>3981</v>
      </c>
      <c r="AK656" s="652"/>
      <c r="AL656" s="652">
        <f>I656</f>
        <v>640</v>
      </c>
      <c r="AM656" s="652"/>
      <c r="AN656" s="652">
        <f t="shared" si="128"/>
        <v>640</v>
      </c>
      <c r="AO656" s="652"/>
      <c r="AP656" s="652"/>
      <c r="AQ656" s="652"/>
      <c r="AR656" s="652"/>
      <c r="AS656" s="652"/>
      <c r="AT656" s="652"/>
      <c r="AU656" s="652"/>
      <c r="AV656" s="652"/>
      <c r="AW656" s="652"/>
      <c r="AX656" s="652"/>
      <c r="AY656" s="652"/>
      <c r="AZ656" s="652"/>
      <c r="BA656" s="652"/>
      <c r="BB656" s="652"/>
      <c r="BC656" s="652"/>
      <c r="BD656" s="652"/>
      <c r="BE656" s="652"/>
      <c r="BF656" s="652"/>
      <c r="BG656" s="652"/>
      <c r="BH656" s="652"/>
      <c r="BI656" s="652"/>
      <c r="BJ656" s="650"/>
      <c r="BK656" s="650"/>
      <c r="BL656" s="650"/>
      <c r="BM656" s="650"/>
      <c r="BN656" s="650"/>
      <c r="BO656" s="650"/>
      <c r="BP656" s="650"/>
      <c r="BQ656" s="650"/>
      <c r="BR656" s="650"/>
      <c r="BS656" s="650"/>
      <c r="BT656" s="650"/>
      <c r="BU656" s="650"/>
      <c r="BV656" s="650"/>
      <c r="BW656" s="650"/>
      <c r="BX656" s="650"/>
      <c r="BY656" s="650"/>
      <c r="BZ656" s="650"/>
      <c r="CA656" s="650"/>
      <c r="CB656" s="650"/>
      <c r="CC656" s="650"/>
      <c r="CD656" s="650"/>
      <c r="CE656" s="650"/>
      <c r="CF656" s="650"/>
      <c r="CG656" s="650"/>
      <c r="CH656" s="650"/>
      <c r="CI656" s="650"/>
      <c r="CJ656" s="650"/>
      <c r="CK656" s="650"/>
      <c r="CL656" s="650"/>
      <c r="CM656" s="650"/>
      <c r="CN656" s="650"/>
      <c r="CO656" s="650"/>
      <c r="CP656" s="650"/>
      <c r="CQ656" s="650"/>
      <c r="CR656" s="650"/>
      <c r="CS656" s="651"/>
      <c r="CT656" s="651"/>
      <c r="CU656" s="651"/>
      <c r="CV656" s="651"/>
      <c r="CW656" s="651"/>
      <c r="CX656" s="651"/>
      <c r="CY656" s="651"/>
      <c r="CZ656" s="651"/>
      <c r="DA656" s="651"/>
      <c r="DB656" s="651"/>
      <c r="DC656" s="651"/>
      <c r="DD656" s="651"/>
    </row>
    <row r="657" s="650" customFormat="1" ht="31" customHeight="1" spans="1:108">
      <c r="A657" s="713">
        <v>46190</v>
      </c>
      <c r="B657" s="714" t="s">
        <v>602</v>
      </c>
      <c r="C657" s="715" t="s">
        <v>508</v>
      </c>
      <c r="D657" s="652" t="s">
        <v>6006</v>
      </c>
      <c r="E657" s="715" t="s">
        <v>6007</v>
      </c>
      <c r="F657" s="652" t="s">
        <v>6008</v>
      </c>
      <c r="G657" s="716" t="s">
        <v>3980</v>
      </c>
      <c r="H657" s="715" t="s">
        <v>3978</v>
      </c>
      <c r="I657" s="717">
        <v>960</v>
      </c>
      <c r="J657" s="715">
        <v>0</v>
      </c>
      <c r="K657" s="715">
        <v>8</v>
      </c>
      <c r="L657" s="715">
        <f t="shared" si="126"/>
        <v>120</v>
      </c>
      <c r="M657" s="719">
        <v>46247</v>
      </c>
      <c r="N657" s="738">
        <v>46249</v>
      </c>
      <c r="O657" s="714"/>
      <c r="P657" s="717" t="s">
        <v>1410</v>
      </c>
      <c r="Q657" s="717"/>
      <c r="R657" s="723">
        <v>46210</v>
      </c>
      <c r="S657" s="720" t="s">
        <v>107</v>
      </c>
      <c r="T657" s="720" t="s">
        <v>6009</v>
      </c>
      <c r="U657" s="720"/>
      <c r="V657" s="720"/>
      <c r="W657" s="720"/>
      <c r="X657" s="720" t="s">
        <v>6010</v>
      </c>
      <c r="Y657" s="719" t="s">
        <v>362</v>
      </c>
      <c r="Z657" s="730">
        <v>4.8371</v>
      </c>
      <c r="AA657" s="652">
        <f>I657*Z657</f>
        <v>4643.616</v>
      </c>
      <c r="AB657" s="721"/>
      <c r="AC657" s="722" t="s">
        <v>3980</v>
      </c>
      <c r="AD657" s="715" t="s">
        <v>112</v>
      </c>
      <c r="AE657" s="715">
        <f t="shared" si="125"/>
        <v>960</v>
      </c>
      <c r="AF657" s="715" t="s">
        <v>5125</v>
      </c>
      <c r="AG657" s="715"/>
      <c r="AH657" s="715">
        <f t="shared" si="127"/>
        <v>-960</v>
      </c>
      <c r="AI657" s="717"/>
      <c r="AJ657" s="739" t="s">
        <v>3981</v>
      </c>
      <c r="AK657" s="652">
        <f t="shared" ref="AK657:AK663" si="129">I657</f>
        <v>960</v>
      </c>
      <c r="AL657" s="652"/>
      <c r="AM657" s="652"/>
      <c r="AN657" s="652">
        <f t="shared" si="128"/>
        <v>960</v>
      </c>
      <c r="AO657" s="652"/>
      <c r="AP657" s="652"/>
      <c r="AQ657" s="652"/>
      <c r="AR657" s="652"/>
      <c r="AS657" s="652"/>
      <c r="AT657" s="652"/>
      <c r="AU657" s="652"/>
      <c r="AV657" s="652"/>
      <c r="AW657" s="652"/>
      <c r="AX657" s="652">
        <f>I657/8</f>
        <v>120</v>
      </c>
      <c r="AY657" s="652"/>
      <c r="AZ657" s="652"/>
      <c r="BA657" s="652"/>
      <c r="BB657" s="652"/>
      <c r="BC657" s="652"/>
      <c r="BD657" s="652"/>
      <c r="BE657" s="652"/>
      <c r="BF657" s="652"/>
      <c r="BG657" s="652"/>
      <c r="BH657" s="652"/>
      <c r="BI657" s="652"/>
    </row>
    <row r="658" s="650" customFormat="1" ht="31" customHeight="1" spans="1:108">
      <c r="A658" s="713">
        <v>46185</v>
      </c>
      <c r="B658" s="714" t="s">
        <v>499</v>
      </c>
      <c r="C658" s="715" t="s">
        <v>115</v>
      </c>
      <c r="D658" s="652">
        <v>4500211883</v>
      </c>
      <c r="E658" s="1907" t="s">
        <v>6011</v>
      </c>
      <c r="F658" s="652" t="s">
        <v>6012</v>
      </c>
      <c r="G658" s="716" t="s">
        <v>4414</v>
      </c>
      <c r="H658" s="715" t="s">
        <v>3978</v>
      </c>
      <c r="I658" s="717">
        <v>9728</v>
      </c>
      <c r="J658" s="715">
        <v>0</v>
      </c>
      <c r="K658" s="715">
        <v>512</v>
      </c>
      <c r="L658" s="715">
        <f t="shared" si="126"/>
        <v>19</v>
      </c>
      <c r="M658" s="738">
        <v>46247</v>
      </c>
      <c r="N658" s="738">
        <v>46256</v>
      </c>
      <c r="O658" s="714" t="s">
        <v>3226</v>
      </c>
      <c r="P658" s="717" t="s">
        <v>1410</v>
      </c>
      <c r="Q658" s="717"/>
      <c r="R658" s="723" t="s">
        <v>4201</v>
      </c>
      <c r="S658" s="720" t="s">
        <v>107</v>
      </c>
      <c r="T658" s="720" t="s">
        <v>5989</v>
      </c>
      <c r="U658" s="720"/>
      <c r="V658" s="720" t="s">
        <v>4706</v>
      </c>
      <c r="W658" s="720"/>
      <c r="X658" s="720" t="s">
        <v>5990</v>
      </c>
      <c r="Y658" s="719" t="s">
        <v>503</v>
      </c>
      <c r="Z658" s="730">
        <v>1468.1379</v>
      </c>
      <c r="AA658" s="652">
        <f>Z658*L658</f>
        <v>27894.6201</v>
      </c>
      <c r="AB658" s="721"/>
      <c r="AC658" s="652" t="s">
        <v>4194</v>
      </c>
      <c r="AD658" s="715" t="s">
        <v>112</v>
      </c>
      <c r="AE658" s="715">
        <f t="shared" si="125"/>
        <v>9728</v>
      </c>
      <c r="AF658" s="715" t="s">
        <v>5125</v>
      </c>
      <c r="AG658" s="715" t="s">
        <v>4064</v>
      </c>
      <c r="AH658" s="715" t="e">
        <f t="shared" si="127"/>
        <v>#VALUE!</v>
      </c>
      <c r="AI658" s="717" t="s">
        <v>120</v>
      </c>
      <c r="AJ658" s="715" t="s">
        <v>3981</v>
      </c>
      <c r="AK658" s="652">
        <f t="shared" si="129"/>
        <v>9728</v>
      </c>
      <c r="AL658" s="652"/>
      <c r="AM658" s="652"/>
      <c r="AN658" s="652">
        <f t="shared" si="128"/>
        <v>9728</v>
      </c>
      <c r="AO658" s="652"/>
      <c r="AP658" s="652"/>
      <c r="AQ658" s="652"/>
      <c r="AR658" s="652"/>
      <c r="AS658" s="652"/>
      <c r="AT658" s="652">
        <f t="shared" ref="AT658:AT663" si="130">I658/8</f>
        <v>1216</v>
      </c>
      <c r="AU658" s="652"/>
      <c r="AV658" s="652"/>
      <c r="AW658" s="652"/>
      <c r="AX658" s="652"/>
      <c r="AY658" s="652"/>
      <c r="AZ658" s="652"/>
      <c r="BA658" s="652"/>
      <c r="BB658" s="652"/>
      <c r="BC658" s="652"/>
      <c r="BD658" s="652"/>
      <c r="BE658" s="652"/>
      <c r="BF658" s="652"/>
      <c r="BG658" s="652"/>
      <c r="BH658" s="652"/>
      <c r="BI658" s="652"/>
    </row>
    <row r="659" s="650" customFormat="1" ht="31" customHeight="1" spans="1:108">
      <c r="A659" s="713">
        <v>46185</v>
      </c>
      <c r="B659" s="714" t="s">
        <v>499</v>
      </c>
      <c r="C659" s="715" t="s">
        <v>115</v>
      </c>
      <c r="D659" s="652">
        <v>4500211883</v>
      </c>
      <c r="E659" s="1907" t="s">
        <v>6013</v>
      </c>
      <c r="F659" s="652" t="s">
        <v>6014</v>
      </c>
      <c r="G659" s="716" t="s">
        <v>4414</v>
      </c>
      <c r="H659" s="715" t="s">
        <v>3978</v>
      </c>
      <c r="I659" s="717">
        <v>6656</v>
      </c>
      <c r="J659" s="715">
        <v>0</v>
      </c>
      <c r="K659" s="715">
        <v>512</v>
      </c>
      <c r="L659" s="715">
        <f t="shared" si="126"/>
        <v>13</v>
      </c>
      <c r="M659" s="738">
        <v>46247</v>
      </c>
      <c r="N659" s="738">
        <v>46256</v>
      </c>
      <c r="O659" s="714" t="s">
        <v>3226</v>
      </c>
      <c r="P659" s="717" t="s">
        <v>1410</v>
      </c>
      <c r="Q659" s="717"/>
      <c r="R659" s="723" t="s">
        <v>4201</v>
      </c>
      <c r="S659" s="720" t="s">
        <v>107</v>
      </c>
      <c r="T659" s="720" t="s">
        <v>5989</v>
      </c>
      <c r="U659" s="720"/>
      <c r="V659" s="720" t="s">
        <v>4706</v>
      </c>
      <c r="W659" s="720"/>
      <c r="X659" s="720" t="s">
        <v>5990</v>
      </c>
      <c r="Y659" s="719" t="s">
        <v>503</v>
      </c>
      <c r="Z659" s="730">
        <v>1468.1385</v>
      </c>
      <c r="AA659" s="652">
        <f>Z659*L659</f>
        <v>19085.8005</v>
      </c>
      <c r="AB659" s="721"/>
      <c r="AC659" s="652" t="s">
        <v>4194</v>
      </c>
      <c r="AD659" s="715" t="s">
        <v>112</v>
      </c>
      <c r="AE659" s="715">
        <f t="shared" si="125"/>
        <v>6656</v>
      </c>
      <c r="AF659" s="715" t="s">
        <v>5125</v>
      </c>
      <c r="AG659" s="715"/>
      <c r="AH659" s="715">
        <f t="shared" si="127"/>
        <v>-6656</v>
      </c>
      <c r="AI659" s="717" t="s">
        <v>120</v>
      </c>
      <c r="AJ659" s="715" t="s">
        <v>3981</v>
      </c>
      <c r="AK659" s="652">
        <f t="shared" si="129"/>
        <v>6656</v>
      </c>
      <c r="AL659" s="652"/>
      <c r="AM659" s="652"/>
      <c r="AN659" s="652">
        <f t="shared" si="128"/>
        <v>6656</v>
      </c>
      <c r="AO659" s="652"/>
      <c r="AP659" s="652"/>
      <c r="AQ659" s="652"/>
      <c r="AR659" s="652"/>
      <c r="AS659" s="652"/>
      <c r="AT659" s="652">
        <f t="shared" si="130"/>
        <v>832</v>
      </c>
      <c r="AU659" s="652"/>
      <c r="AV659" s="652"/>
      <c r="AW659" s="652"/>
      <c r="AX659" s="652"/>
      <c r="AY659" s="652"/>
      <c r="AZ659" s="652"/>
      <c r="BA659" s="652"/>
      <c r="BB659" s="652"/>
      <c r="BC659" s="652"/>
      <c r="BD659" s="652"/>
      <c r="BE659" s="652"/>
      <c r="BF659" s="652"/>
      <c r="BG659" s="652"/>
      <c r="BH659" s="652"/>
      <c r="BI659" s="652"/>
    </row>
    <row r="660" s="662" customFormat="1" ht="31" customHeight="1" spans="1:108">
      <c r="A660" s="859">
        <v>46142</v>
      </c>
      <c r="B660" s="860" t="s">
        <v>3527</v>
      </c>
      <c r="C660" s="708" t="s">
        <v>2458</v>
      </c>
      <c r="D660" s="834" t="s">
        <v>6015</v>
      </c>
      <c r="E660" s="708" t="s">
        <v>5872</v>
      </c>
      <c r="F660" s="834" t="s">
        <v>6016</v>
      </c>
      <c r="G660" s="846" t="s">
        <v>5874</v>
      </c>
      <c r="H660" s="708" t="s">
        <v>3978</v>
      </c>
      <c r="I660" s="861">
        <v>14000</v>
      </c>
      <c r="J660" s="708">
        <v>0</v>
      </c>
      <c r="K660" s="708">
        <v>8</v>
      </c>
      <c r="L660" s="708">
        <f t="shared" si="126"/>
        <v>1750</v>
      </c>
      <c r="M660" s="862">
        <v>46248</v>
      </c>
      <c r="N660" s="862">
        <v>46244</v>
      </c>
      <c r="O660" s="922" t="s">
        <v>2463</v>
      </c>
      <c r="P660" s="861"/>
      <c r="Q660" s="861"/>
      <c r="R660" s="827" t="s">
        <v>5875</v>
      </c>
      <c r="S660" s="829" t="s">
        <v>107</v>
      </c>
      <c r="T660" s="829" t="s">
        <v>5876</v>
      </c>
      <c r="U660" s="829"/>
      <c r="V660" s="829" t="s">
        <v>4056</v>
      </c>
      <c r="W660" s="829"/>
      <c r="X660" s="829" t="s">
        <v>5877</v>
      </c>
      <c r="Y660" s="862" t="s">
        <v>3531</v>
      </c>
      <c r="Z660" s="866">
        <v>4.4941</v>
      </c>
      <c r="AA660" s="834">
        <f>I660*Z660</f>
        <v>62917.4</v>
      </c>
      <c r="AB660" s="831"/>
      <c r="AC660" s="846" t="s">
        <v>5874</v>
      </c>
      <c r="AD660" s="821" t="s">
        <v>112</v>
      </c>
      <c r="AE660" s="708">
        <f t="shared" si="125"/>
        <v>14000</v>
      </c>
      <c r="AF660" s="821"/>
      <c r="AG660" s="708"/>
      <c r="AH660" s="833">
        <f t="shared" si="127"/>
        <v>-14000</v>
      </c>
      <c r="AI660" s="861"/>
      <c r="AJ660" s="708" t="s">
        <v>3981</v>
      </c>
      <c r="AK660" s="834">
        <f t="shared" si="129"/>
        <v>14000</v>
      </c>
      <c r="AL660" s="834"/>
      <c r="AM660" s="834"/>
      <c r="AN660" s="834"/>
      <c r="AO660" s="834"/>
      <c r="AP660" s="834">
        <f>I660</f>
        <v>14000</v>
      </c>
      <c r="AQ660" s="834"/>
      <c r="AR660" s="834"/>
      <c r="AS660" s="834"/>
      <c r="AT660" s="822">
        <f t="shared" si="130"/>
        <v>1750</v>
      </c>
      <c r="AU660" s="834"/>
      <c r="AV660" s="834"/>
      <c r="AW660" s="834"/>
      <c r="AX660" s="834"/>
      <c r="AY660" s="834"/>
      <c r="AZ660" s="834"/>
      <c r="BA660" s="834"/>
      <c r="BB660" s="834"/>
      <c r="BC660" s="834"/>
      <c r="BD660" s="834"/>
      <c r="BE660" s="834"/>
      <c r="BF660" s="834"/>
      <c r="BG660" s="834"/>
      <c r="BH660" s="834"/>
      <c r="BI660" s="834"/>
      <c r="BJ660" s="659"/>
      <c r="BK660" s="659"/>
      <c r="BL660" s="659"/>
      <c r="BM660" s="659"/>
      <c r="BN660" s="659"/>
      <c r="BO660" s="659"/>
      <c r="BP660" s="659"/>
      <c r="BQ660" s="659"/>
      <c r="BR660" s="659"/>
      <c r="BS660" s="659"/>
      <c r="BT660" s="659"/>
      <c r="BU660" s="659"/>
      <c r="BV660" s="659"/>
      <c r="BW660" s="659"/>
      <c r="BX660" s="659"/>
      <c r="BY660" s="659"/>
      <c r="BZ660" s="659"/>
      <c r="CA660" s="659"/>
      <c r="CB660" s="659"/>
      <c r="CC660" s="659"/>
      <c r="CD660" s="659"/>
      <c r="CE660" s="659"/>
      <c r="CF660" s="659"/>
      <c r="CG660" s="659"/>
      <c r="CH660" s="659"/>
      <c r="CI660" s="659"/>
      <c r="CJ660" s="659"/>
      <c r="CK660" s="659"/>
      <c r="CL660" s="659"/>
      <c r="CM660" s="659"/>
      <c r="CN660" s="659"/>
      <c r="CO660" s="659"/>
      <c r="CP660" s="659"/>
      <c r="CQ660" s="659"/>
      <c r="CR660" s="659"/>
      <c r="CS660" s="659"/>
      <c r="CT660" s="659"/>
      <c r="CU660" s="659"/>
      <c r="CV660" s="659"/>
      <c r="CW660" s="659"/>
      <c r="CX660" s="659"/>
      <c r="CY660" s="659"/>
      <c r="CZ660" s="659"/>
      <c r="DA660" s="659"/>
      <c r="DB660" s="659"/>
      <c r="DC660" s="659"/>
      <c r="DD660" s="659"/>
    </row>
    <row r="661" s="659" customFormat="1" ht="31" customHeight="1" spans="1:108">
      <c r="A661" s="859">
        <v>46151</v>
      </c>
      <c r="B661" s="860" t="s">
        <v>2457</v>
      </c>
      <c r="C661" s="708" t="s">
        <v>2458</v>
      </c>
      <c r="D661" s="834" t="s">
        <v>6017</v>
      </c>
      <c r="E661" s="708" t="s">
        <v>6018</v>
      </c>
      <c r="F661" s="834" t="s">
        <v>6019</v>
      </c>
      <c r="G661" s="846" t="s">
        <v>5874</v>
      </c>
      <c r="H661" s="708" t="s">
        <v>3978</v>
      </c>
      <c r="I661" s="861">
        <v>2400</v>
      </c>
      <c r="J661" s="708">
        <v>0</v>
      </c>
      <c r="K661" s="708">
        <v>8</v>
      </c>
      <c r="L661" s="708">
        <f t="shared" si="126"/>
        <v>300</v>
      </c>
      <c r="M661" s="862">
        <v>46248</v>
      </c>
      <c r="N661" s="862">
        <v>46244</v>
      </c>
      <c r="O661" s="922" t="s">
        <v>2463</v>
      </c>
      <c r="P661" s="861"/>
      <c r="Q661" s="861"/>
      <c r="R661" s="864" t="s">
        <v>6020</v>
      </c>
      <c r="S661" s="829" t="s">
        <v>107</v>
      </c>
      <c r="T661" s="847" t="s">
        <v>5876</v>
      </c>
      <c r="U661" s="847"/>
      <c r="V661" s="829" t="s">
        <v>4056</v>
      </c>
      <c r="W661" s="829"/>
      <c r="X661" s="882" t="s">
        <v>6021</v>
      </c>
      <c r="Y661" s="862" t="s">
        <v>2467</v>
      </c>
      <c r="Z661" s="866">
        <v>4.4754</v>
      </c>
      <c r="AA661" s="834">
        <f>I661*Z661</f>
        <v>10740.96</v>
      </c>
      <c r="AB661" s="831"/>
      <c r="AC661" s="846" t="s">
        <v>5874</v>
      </c>
      <c r="AD661" s="821" t="s">
        <v>112</v>
      </c>
      <c r="AE661" s="708">
        <f t="shared" si="125"/>
        <v>2400</v>
      </c>
      <c r="AF661" s="933" t="s">
        <v>5125</v>
      </c>
      <c r="AG661" s="708"/>
      <c r="AH661" s="833">
        <f t="shared" si="127"/>
        <v>-2400</v>
      </c>
      <c r="AI661" s="861"/>
      <c r="AJ661" s="708" t="s">
        <v>3981</v>
      </c>
      <c r="AK661" s="834">
        <f t="shared" si="129"/>
        <v>2400</v>
      </c>
      <c r="AL661" s="834"/>
      <c r="AM661" s="834"/>
      <c r="AN661" s="834"/>
      <c r="AO661" s="834"/>
      <c r="AP661" s="834">
        <f>I661</f>
        <v>2400</v>
      </c>
      <c r="AQ661" s="834"/>
      <c r="AR661" s="834"/>
      <c r="AS661" s="834"/>
      <c r="AT661" s="822">
        <f t="shared" si="130"/>
        <v>300</v>
      </c>
      <c r="AU661" s="834"/>
      <c r="AV661" s="834"/>
      <c r="AW661" s="834"/>
      <c r="AX661" s="834"/>
      <c r="AY661" s="834"/>
      <c r="AZ661" s="834"/>
      <c r="BA661" s="834"/>
      <c r="BB661" s="834"/>
      <c r="BC661" s="834"/>
      <c r="BD661" s="834"/>
      <c r="BE661" s="834"/>
      <c r="BF661" s="834"/>
      <c r="BG661" s="834"/>
      <c r="BH661" s="834"/>
      <c r="BI661" s="834"/>
      <c r="BJ661" s="835"/>
      <c r="BK661" s="835"/>
      <c r="BL661" s="835"/>
      <c r="BM661" s="835"/>
      <c r="BN661" s="835"/>
      <c r="BO661" s="835"/>
      <c r="BP661" s="835"/>
      <c r="BQ661" s="835"/>
      <c r="BR661" s="835"/>
      <c r="BS661" s="835"/>
      <c r="BT661" s="835"/>
      <c r="BU661" s="835"/>
      <c r="BV661" s="835"/>
      <c r="BW661" s="835"/>
      <c r="BX661" s="835"/>
      <c r="BY661" s="835"/>
      <c r="BZ661" s="835"/>
      <c r="CA661" s="835"/>
      <c r="CB661" s="835"/>
      <c r="CC661" s="835"/>
      <c r="CD661" s="835"/>
      <c r="CE661" s="835"/>
      <c r="CF661" s="835"/>
      <c r="CG661" s="835"/>
      <c r="CH661" s="835"/>
      <c r="CI661" s="835"/>
      <c r="CJ661" s="835"/>
      <c r="CK661" s="835"/>
      <c r="CL661" s="835"/>
      <c r="CM661" s="835"/>
      <c r="CN661" s="835"/>
      <c r="CO661" s="835"/>
      <c r="CP661" s="835"/>
      <c r="CQ661" s="835"/>
      <c r="CR661" s="835"/>
    </row>
    <row r="662" s="659" customFormat="1" ht="31" customHeight="1" spans="1:108">
      <c r="A662" s="859">
        <v>46151</v>
      </c>
      <c r="B662" s="860" t="s">
        <v>2457</v>
      </c>
      <c r="C662" s="708" t="s">
        <v>2458</v>
      </c>
      <c r="D662" s="834" t="s">
        <v>6017</v>
      </c>
      <c r="E662" s="708" t="s">
        <v>6018</v>
      </c>
      <c r="F662" s="834" t="s">
        <v>6022</v>
      </c>
      <c r="G662" s="846" t="s">
        <v>5874</v>
      </c>
      <c r="H662" s="708" t="s">
        <v>3978</v>
      </c>
      <c r="I662" s="861">
        <v>14000</v>
      </c>
      <c r="J662" s="708">
        <v>0</v>
      </c>
      <c r="K662" s="708">
        <v>8</v>
      </c>
      <c r="L662" s="708">
        <f t="shared" si="126"/>
        <v>1750</v>
      </c>
      <c r="M662" s="862">
        <v>46248</v>
      </c>
      <c r="N662" s="862">
        <v>46244</v>
      </c>
      <c r="O662" s="922" t="s">
        <v>2463</v>
      </c>
      <c r="P662" s="861"/>
      <c r="Q662" s="861"/>
      <c r="R662" s="864" t="s">
        <v>6020</v>
      </c>
      <c r="S662" s="829" t="s">
        <v>107</v>
      </c>
      <c r="T662" s="829" t="s">
        <v>5876</v>
      </c>
      <c r="U662" s="829"/>
      <c r="V662" s="829" t="s">
        <v>4056</v>
      </c>
      <c r="W662" s="829"/>
      <c r="X662" s="882" t="s">
        <v>6021</v>
      </c>
      <c r="Y662" s="862" t="s">
        <v>2467</v>
      </c>
      <c r="Z662" s="866">
        <v>4.4754</v>
      </c>
      <c r="AA662" s="834">
        <f>I662*Z662</f>
        <v>62655.6</v>
      </c>
      <c r="AB662" s="831"/>
      <c r="AC662" s="846" t="s">
        <v>5874</v>
      </c>
      <c r="AD662" s="821" t="s">
        <v>112</v>
      </c>
      <c r="AE662" s="708">
        <f t="shared" si="125"/>
        <v>14000</v>
      </c>
      <c r="AF662" s="933" t="s">
        <v>5125</v>
      </c>
      <c r="AG662" s="708"/>
      <c r="AH662" s="833">
        <f t="shared" si="127"/>
        <v>-14000</v>
      </c>
      <c r="AI662" s="861"/>
      <c r="AJ662" s="708" t="s">
        <v>3981</v>
      </c>
      <c r="AK662" s="834">
        <f t="shared" si="129"/>
        <v>14000</v>
      </c>
      <c r="AL662" s="834"/>
      <c r="AM662" s="834"/>
      <c r="AN662" s="834"/>
      <c r="AO662" s="834"/>
      <c r="AP662" s="834">
        <f>I662</f>
        <v>14000</v>
      </c>
      <c r="AQ662" s="834"/>
      <c r="AR662" s="834"/>
      <c r="AS662" s="834"/>
      <c r="AT662" s="822">
        <f t="shared" si="130"/>
        <v>1750</v>
      </c>
      <c r="AU662" s="834"/>
      <c r="AV662" s="834"/>
      <c r="AW662" s="834"/>
      <c r="AX662" s="834"/>
      <c r="AY662" s="834"/>
      <c r="AZ662" s="834"/>
      <c r="BA662" s="834"/>
      <c r="BB662" s="834"/>
      <c r="BC662" s="834"/>
      <c r="BD662" s="834"/>
      <c r="BE662" s="834"/>
      <c r="BF662" s="834"/>
      <c r="BG662" s="834"/>
      <c r="BH662" s="834"/>
      <c r="BI662" s="834"/>
      <c r="BJ662" s="835"/>
      <c r="BK662" s="835"/>
      <c r="BL662" s="835"/>
      <c r="BM662" s="835"/>
      <c r="BN662" s="835"/>
      <c r="BO662" s="835"/>
      <c r="BP662" s="835"/>
      <c r="BQ662" s="835"/>
      <c r="BR662" s="835"/>
      <c r="BS662" s="835"/>
      <c r="BT662" s="835"/>
      <c r="BU662" s="835"/>
      <c r="BV662" s="835"/>
      <c r="BW662" s="835"/>
      <c r="BX662" s="835"/>
      <c r="BY662" s="835"/>
      <c r="BZ662" s="835"/>
      <c r="CA662" s="835"/>
      <c r="CB662" s="835"/>
      <c r="CC662" s="835"/>
      <c r="CD662" s="835"/>
      <c r="CE662" s="835"/>
      <c r="CF662" s="835"/>
      <c r="CG662" s="835"/>
      <c r="CH662" s="835"/>
      <c r="CI662" s="835"/>
      <c r="CJ662" s="835"/>
      <c r="CK662" s="835"/>
      <c r="CL662" s="835"/>
      <c r="CM662" s="835"/>
      <c r="CN662" s="835"/>
      <c r="CO662" s="835"/>
      <c r="CP662" s="835"/>
      <c r="CQ662" s="835"/>
      <c r="CR662" s="835"/>
      <c r="CS662" s="667"/>
      <c r="CT662" s="667"/>
      <c r="CU662" s="667"/>
      <c r="CV662" s="667"/>
      <c r="CW662" s="667"/>
      <c r="CX662" s="667"/>
      <c r="CY662" s="667"/>
      <c r="CZ662" s="667"/>
      <c r="DA662" s="667"/>
      <c r="DB662" s="667"/>
      <c r="DC662" s="667"/>
      <c r="DD662" s="667"/>
    </row>
    <row r="663" s="650" customFormat="1" ht="31" customHeight="1" spans="1:108">
      <c r="A663" s="713">
        <v>46185</v>
      </c>
      <c r="B663" s="714" t="s">
        <v>438</v>
      </c>
      <c r="C663" s="715" t="s">
        <v>115</v>
      </c>
      <c r="D663" s="652">
        <v>4500212065</v>
      </c>
      <c r="E663" s="715" t="s">
        <v>6023</v>
      </c>
      <c r="F663" s="652" t="s">
        <v>6024</v>
      </c>
      <c r="G663" s="716" t="s">
        <v>3980</v>
      </c>
      <c r="H663" s="715" t="s">
        <v>3978</v>
      </c>
      <c r="I663" s="717">
        <v>33000</v>
      </c>
      <c r="J663" s="715">
        <v>0</v>
      </c>
      <c r="K663" s="715">
        <v>8</v>
      </c>
      <c r="L663" s="715">
        <f t="shared" si="126"/>
        <v>4125</v>
      </c>
      <c r="M663" s="719">
        <v>46248</v>
      </c>
      <c r="N663" s="719">
        <v>46244</v>
      </c>
      <c r="O663" s="714">
        <v>5943</v>
      </c>
      <c r="P663" s="717" t="s">
        <v>1410</v>
      </c>
      <c r="Q663" s="717"/>
      <c r="R663" s="723" t="s">
        <v>2683</v>
      </c>
      <c r="S663" s="720" t="s">
        <v>107</v>
      </c>
      <c r="T663" s="720" t="s">
        <v>5983</v>
      </c>
      <c r="U663" s="720"/>
      <c r="V663" s="720"/>
      <c r="W663" s="720"/>
      <c r="X663" s="720" t="s">
        <v>5882</v>
      </c>
      <c r="Y663" s="719" t="s">
        <v>443</v>
      </c>
      <c r="Z663" s="730">
        <v>2.7651</v>
      </c>
      <c r="AA663" s="652">
        <f>I663*Z663</f>
        <v>91248.3</v>
      </c>
      <c r="AB663" s="721"/>
      <c r="AC663" s="722" t="s">
        <v>3980</v>
      </c>
      <c r="AD663" s="715" t="s">
        <v>112</v>
      </c>
      <c r="AE663" s="715">
        <f t="shared" si="125"/>
        <v>33000</v>
      </c>
      <c r="AF663" s="715"/>
      <c r="AG663" s="715">
        <f>17280+15720</f>
        <v>33000</v>
      </c>
      <c r="AH663" s="715">
        <f t="shared" si="127"/>
        <v>0</v>
      </c>
      <c r="AI663" s="717"/>
      <c r="AJ663" s="715" t="s">
        <v>3981</v>
      </c>
      <c r="AK663" s="652">
        <f t="shared" si="129"/>
        <v>33000</v>
      </c>
      <c r="AL663" s="652"/>
      <c r="AM663" s="652"/>
      <c r="AN663" s="652">
        <f>I663</f>
        <v>33000</v>
      </c>
      <c r="AO663" s="652"/>
      <c r="AP663" s="652"/>
      <c r="AQ663" s="652"/>
      <c r="AR663" s="652"/>
      <c r="AS663" s="652"/>
      <c r="AT663" s="652">
        <f t="shared" si="130"/>
        <v>4125</v>
      </c>
      <c r="AU663" s="652"/>
      <c r="AV663" s="652"/>
      <c r="AW663" s="652"/>
      <c r="AX663" s="652"/>
      <c r="AY663" s="652"/>
      <c r="AZ663" s="652"/>
      <c r="BA663" s="652"/>
      <c r="BB663" s="652"/>
      <c r="BC663" s="652"/>
      <c r="BD663" s="652"/>
      <c r="BE663" s="652"/>
      <c r="BF663" s="652"/>
      <c r="BG663" s="652"/>
      <c r="BH663" s="652"/>
      <c r="BI663" s="652"/>
    </row>
    <row r="664" s="650" customFormat="1" ht="31" customHeight="1" spans="1:108">
      <c r="A664" s="713">
        <v>46198</v>
      </c>
      <c r="B664" s="714" t="s">
        <v>1039</v>
      </c>
      <c r="C664" s="715" t="s">
        <v>201</v>
      </c>
      <c r="D664" s="652" t="s">
        <v>6025</v>
      </c>
      <c r="E664" s="715" t="s">
        <v>6026</v>
      </c>
      <c r="F664" s="652" t="s">
        <v>6027</v>
      </c>
      <c r="G664" s="716" t="s">
        <v>3980</v>
      </c>
      <c r="H664" s="715" t="s">
        <v>3978</v>
      </c>
      <c r="I664" s="717">
        <v>704</v>
      </c>
      <c r="J664" s="715">
        <v>0</v>
      </c>
      <c r="K664" s="715">
        <v>8</v>
      </c>
      <c r="L664" s="715">
        <f t="shared" si="126"/>
        <v>88</v>
      </c>
      <c r="M664" s="719">
        <v>46248</v>
      </c>
      <c r="N664" s="738">
        <v>46246</v>
      </c>
      <c r="O664" s="714"/>
      <c r="P664" s="717" t="s">
        <v>1410</v>
      </c>
      <c r="Q664" s="717"/>
      <c r="R664" s="723" t="s">
        <v>1774</v>
      </c>
      <c r="S664" s="720" t="s">
        <v>107</v>
      </c>
      <c r="T664" s="720" t="s">
        <v>6028</v>
      </c>
      <c r="U664" s="720"/>
      <c r="V664" s="720"/>
      <c r="W664" s="720"/>
      <c r="X664" s="714" t="s">
        <v>5444</v>
      </c>
      <c r="Y664" s="719" t="s">
        <v>204</v>
      </c>
      <c r="Z664" s="730">
        <v>4.7988</v>
      </c>
      <c r="AA664" s="652">
        <f>I664*Z664</f>
        <v>3378.3552</v>
      </c>
      <c r="AB664" s="721"/>
      <c r="AC664" s="722" t="s">
        <v>4031</v>
      </c>
      <c r="AD664" s="715" t="s">
        <v>112</v>
      </c>
      <c r="AE664" s="715">
        <f t="shared" si="125"/>
        <v>704</v>
      </c>
      <c r="AF664" s="715"/>
      <c r="AG664" s="715">
        <v>704</v>
      </c>
      <c r="AH664" s="715">
        <f t="shared" si="127"/>
        <v>0</v>
      </c>
      <c r="AI664" s="717"/>
      <c r="AJ664" s="715" t="s">
        <v>3981</v>
      </c>
      <c r="AK664" s="652"/>
      <c r="AL664" s="652">
        <f>I664</f>
        <v>704</v>
      </c>
      <c r="AM664" s="652"/>
      <c r="AN664" s="652">
        <f>I664</f>
        <v>704</v>
      </c>
      <c r="AO664" s="652"/>
      <c r="AP664" s="652"/>
      <c r="AQ664" s="652"/>
      <c r="AR664" s="652"/>
      <c r="AS664" s="652"/>
      <c r="AT664" s="652"/>
      <c r="AU664" s="652">
        <f>I664/8</f>
        <v>88</v>
      </c>
      <c r="AV664" s="652"/>
      <c r="AW664" s="652"/>
      <c r="AX664" s="652"/>
      <c r="AY664" s="652"/>
      <c r="AZ664" s="652"/>
      <c r="BA664" s="652"/>
      <c r="BB664" s="652"/>
      <c r="BC664" s="652"/>
      <c r="BD664" s="652"/>
      <c r="BE664" s="652"/>
      <c r="BF664" s="652"/>
      <c r="BG664" s="652"/>
      <c r="BH664" s="652"/>
      <c r="BI664" s="652"/>
      <c r="BJ664" s="724"/>
      <c r="BK664" s="724"/>
      <c r="BL664" s="724"/>
      <c r="BM664" s="724"/>
      <c r="BN664" s="724"/>
      <c r="BO664" s="724"/>
      <c r="BP664" s="724"/>
      <c r="BQ664" s="724"/>
      <c r="BR664" s="724"/>
      <c r="BS664" s="724"/>
      <c r="BT664" s="724"/>
      <c r="BU664" s="724"/>
      <c r="BV664" s="724"/>
      <c r="BW664" s="724"/>
      <c r="BX664" s="724"/>
      <c r="BY664" s="724"/>
      <c r="BZ664" s="724"/>
      <c r="CA664" s="724"/>
      <c r="CB664" s="724"/>
      <c r="CC664" s="724"/>
      <c r="CD664" s="724"/>
      <c r="CE664" s="724"/>
      <c r="CF664" s="724"/>
      <c r="CG664" s="724"/>
      <c r="CH664" s="724"/>
      <c r="CI664" s="724"/>
      <c r="CJ664" s="724"/>
      <c r="CK664" s="724"/>
      <c r="CL664" s="724"/>
      <c r="CM664" s="724"/>
      <c r="CN664" s="724"/>
      <c r="CO664" s="724"/>
      <c r="CP664" s="724"/>
      <c r="CQ664" s="724"/>
      <c r="CR664" s="724"/>
      <c r="CS664" s="724"/>
      <c r="CT664" s="724"/>
      <c r="CU664" s="724"/>
      <c r="CV664" s="724"/>
      <c r="CW664" s="724"/>
      <c r="CX664" s="724"/>
      <c r="CY664" s="724"/>
      <c r="CZ664" s="724"/>
      <c r="DA664" s="724"/>
      <c r="DB664" s="724"/>
      <c r="DC664" s="724"/>
      <c r="DD664" s="724"/>
    </row>
    <row r="665" s="662" customFormat="1" ht="31" customHeight="1" spans="1:108">
      <c r="A665" s="859">
        <v>46115</v>
      </c>
      <c r="B665" s="860" t="s">
        <v>2382</v>
      </c>
      <c r="C665" s="708" t="s">
        <v>201</v>
      </c>
      <c r="D665" s="834">
        <v>4500200104</v>
      </c>
      <c r="E665" s="1911" t="s">
        <v>6029</v>
      </c>
      <c r="F665" s="834" t="s">
        <v>2968</v>
      </c>
      <c r="G665" s="846" t="s">
        <v>4215</v>
      </c>
      <c r="H665" s="708" t="s">
        <v>483</v>
      </c>
      <c r="I665" s="861">
        <v>4320</v>
      </c>
      <c r="J665" s="708">
        <v>0</v>
      </c>
      <c r="K665" s="708">
        <v>120</v>
      </c>
      <c r="L665" s="708">
        <f t="shared" si="126"/>
        <v>36</v>
      </c>
      <c r="M665" s="879">
        <v>46248</v>
      </c>
      <c r="N665" s="879">
        <v>46246</v>
      </c>
      <c r="O665" s="860"/>
      <c r="P665" s="861"/>
      <c r="Q665" s="861"/>
      <c r="R665" s="864">
        <v>46197</v>
      </c>
      <c r="S665" s="829" t="s">
        <v>107</v>
      </c>
      <c r="T665" s="829" t="s">
        <v>95</v>
      </c>
      <c r="U665" s="829"/>
      <c r="V665" s="829"/>
      <c r="W665" s="829"/>
      <c r="X665" s="829" t="s">
        <v>636</v>
      </c>
      <c r="Y665" s="862" t="s">
        <v>488</v>
      </c>
      <c r="Z665" s="866">
        <v>1070</v>
      </c>
      <c r="AA665" s="834">
        <f>L665*Z665</f>
        <v>38520</v>
      </c>
      <c r="AB665" s="831"/>
      <c r="AC665" s="887" t="s">
        <v>490</v>
      </c>
      <c r="AD665" s="708" t="s">
        <v>112</v>
      </c>
      <c r="AE665" s="708">
        <f t="shared" si="125"/>
        <v>4320</v>
      </c>
      <c r="AF665" s="708"/>
      <c r="AG665" s="708">
        <f>194+400+1296+740+556+1134</f>
        <v>4320</v>
      </c>
      <c r="AH665" s="833">
        <f t="shared" si="127"/>
        <v>0</v>
      </c>
      <c r="AI665" s="861"/>
      <c r="AJ665" s="708" t="s">
        <v>3981</v>
      </c>
      <c r="AK665" s="834"/>
      <c r="AL665" s="834"/>
      <c r="AM665" s="834"/>
      <c r="AN665" s="834"/>
      <c r="AO665" s="834"/>
      <c r="AP665" s="834"/>
      <c r="AQ665" s="834">
        <f>I665</f>
        <v>4320</v>
      </c>
      <c r="AR665" s="834">
        <f>I665</f>
        <v>4320</v>
      </c>
      <c r="AS665" s="834">
        <f>I665/6</f>
        <v>720</v>
      </c>
      <c r="AT665" s="834"/>
      <c r="AU665" s="834"/>
      <c r="AV665" s="834"/>
      <c r="AW665" s="834"/>
      <c r="AX665" s="834"/>
      <c r="AY665" s="834"/>
      <c r="AZ665" s="834"/>
      <c r="BA665" s="834"/>
      <c r="BB665" s="834"/>
      <c r="BC665" s="834"/>
      <c r="BD665" s="834"/>
      <c r="BE665" s="834"/>
      <c r="BF665" s="834"/>
      <c r="BG665" s="834"/>
      <c r="BH665" s="834"/>
      <c r="BI665" s="834"/>
      <c r="BJ665" s="659"/>
      <c r="BK665" s="659"/>
      <c r="BL665" s="659"/>
      <c r="BM665" s="659"/>
      <c r="BN665" s="659"/>
      <c r="BO665" s="659"/>
      <c r="BP665" s="659"/>
      <c r="BQ665" s="659"/>
      <c r="BR665" s="659"/>
      <c r="BS665" s="659"/>
      <c r="BT665" s="659"/>
      <c r="BU665" s="659"/>
      <c r="BV665" s="659"/>
      <c r="BW665" s="659"/>
      <c r="BX665" s="659"/>
      <c r="BY665" s="659"/>
      <c r="BZ665" s="659"/>
      <c r="CA665" s="659"/>
      <c r="CB665" s="659"/>
      <c r="CC665" s="659"/>
      <c r="CD665" s="659"/>
      <c r="CE665" s="659"/>
      <c r="CF665" s="659"/>
      <c r="CG665" s="659"/>
      <c r="CH665" s="659"/>
      <c r="CI665" s="659"/>
      <c r="CJ665" s="659"/>
      <c r="CK665" s="659"/>
      <c r="CL665" s="659"/>
      <c r="CM665" s="659"/>
      <c r="CN665" s="659"/>
      <c r="CO665" s="659"/>
      <c r="CP665" s="659"/>
      <c r="CQ665" s="659"/>
      <c r="CR665" s="659"/>
      <c r="CS665" s="659"/>
      <c r="CT665" s="659"/>
      <c r="CU665" s="659"/>
      <c r="CV665" s="659"/>
      <c r="CW665" s="659"/>
      <c r="CX665" s="659"/>
      <c r="CY665" s="659"/>
      <c r="CZ665" s="659"/>
      <c r="DA665" s="659"/>
      <c r="DB665" s="659"/>
      <c r="DC665" s="659"/>
      <c r="DD665" s="659"/>
    </row>
    <row r="666" s="659" customFormat="1" ht="31" customHeight="1" spans="1:108">
      <c r="A666" s="859">
        <v>46115</v>
      </c>
      <c r="B666" s="860" t="s">
        <v>2382</v>
      </c>
      <c r="C666" s="708" t="s">
        <v>201</v>
      </c>
      <c r="D666" s="834">
        <v>4500200103</v>
      </c>
      <c r="E666" s="1911" t="s">
        <v>6030</v>
      </c>
      <c r="F666" s="834" t="s">
        <v>2970</v>
      </c>
      <c r="G666" s="846" t="s">
        <v>4215</v>
      </c>
      <c r="H666" s="708" t="s">
        <v>483</v>
      </c>
      <c r="I666" s="861">
        <v>4320</v>
      </c>
      <c r="J666" s="708">
        <v>0</v>
      </c>
      <c r="K666" s="708">
        <v>120</v>
      </c>
      <c r="L666" s="708">
        <f t="shared" si="126"/>
        <v>36</v>
      </c>
      <c r="M666" s="879">
        <v>46248</v>
      </c>
      <c r="N666" s="879">
        <v>46246</v>
      </c>
      <c r="O666" s="860"/>
      <c r="P666" s="861"/>
      <c r="Q666" s="861"/>
      <c r="R666" s="864">
        <v>46197</v>
      </c>
      <c r="S666" s="829" t="s">
        <v>107</v>
      </c>
      <c r="T666" s="829" t="s">
        <v>95</v>
      </c>
      <c r="U666" s="829"/>
      <c r="V666" s="829"/>
      <c r="W666" s="829"/>
      <c r="X666" s="847" t="s">
        <v>636</v>
      </c>
      <c r="Y666" s="862" t="s">
        <v>488</v>
      </c>
      <c r="Z666" s="866">
        <v>1070</v>
      </c>
      <c r="AA666" s="834">
        <f>L666*Z666</f>
        <v>38520</v>
      </c>
      <c r="AB666" s="831"/>
      <c r="AC666" s="887" t="s">
        <v>490</v>
      </c>
      <c r="AD666" s="708" t="s">
        <v>112</v>
      </c>
      <c r="AE666" s="708">
        <f t="shared" si="125"/>
        <v>4320</v>
      </c>
      <c r="AF666" s="708"/>
      <c r="AG666" s="708">
        <f>594+542+555+393+1296+570+370</f>
        <v>4320</v>
      </c>
      <c r="AH666" s="833">
        <f t="shared" si="127"/>
        <v>0</v>
      </c>
      <c r="AI666" s="861"/>
      <c r="AJ666" s="708" t="s">
        <v>3981</v>
      </c>
      <c r="AK666" s="834"/>
      <c r="AL666" s="834"/>
      <c r="AM666" s="834"/>
      <c r="AN666" s="834"/>
      <c r="AO666" s="834"/>
      <c r="AP666" s="834"/>
      <c r="AQ666" s="834">
        <f>I666</f>
        <v>4320</v>
      </c>
      <c r="AR666" s="834">
        <f>I666</f>
        <v>4320</v>
      </c>
      <c r="AS666" s="834">
        <f>I666/6</f>
        <v>720</v>
      </c>
      <c r="AT666" s="834"/>
      <c r="AU666" s="834"/>
      <c r="AV666" s="834"/>
      <c r="AW666" s="834"/>
      <c r="AX666" s="834"/>
      <c r="AY666" s="834"/>
      <c r="AZ666" s="834"/>
      <c r="BA666" s="834"/>
      <c r="BB666" s="834"/>
      <c r="BC666" s="834"/>
      <c r="BD666" s="834"/>
      <c r="BE666" s="834"/>
      <c r="BF666" s="834"/>
      <c r="BG666" s="834"/>
      <c r="BH666" s="834"/>
      <c r="BI666" s="834"/>
      <c r="BJ666" s="889"/>
      <c r="BK666" s="889"/>
      <c r="BL666" s="889"/>
      <c r="BM666" s="889"/>
      <c r="BN666" s="889"/>
      <c r="BO666" s="889"/>
      <c r="BP666" s="889"/>
      <c r="BQ666" s="889"/>
      <c r="BR666" s="889"/>
      <c r="BS666" s="889"/>
      <c r="BT666" s="889"/>
      <c r="BU666" s="889"/>
      <c r="BV666" s="889"/>
      <c r="BW666" s="889"/>
      <c r="BX666" s="889"/>
      <c r="BY666" s="889"/>
      <c r="BZ666" s="889"/>
      <c r="CA666" s="889"/>
      <c r="CB666" s="889"/>
      <c r="CC666" s="889"/>
      <c r="CD666" s="889"/>
      <c r="CE666" s="889"/>
      <c r="CF666" s="889"/>
      <c r="CG666" s="889"/>
      <c r="CH666" s="889"/>
      <c r="CI666" s="889"/>
      <c r="CJ666" s="889"/>
      <c r="CK666" s="889"/>
      <c r="CL666" s="889"/>
      <c r="CM666" s="889"/>
      <c r="CN666" s="889"/>
      <c r="CO666" s="889"/>
      <c r="CP666" s="889"/>
      <c r="CQ666" s="889"/>
      <c r="CR666" s="889"/>
    </row>
    <row r="667" s="650" customFormat="1" ht="31" customHeight="1" spans="1:108">
      <c r="A667" s="859">
        <v>46115</v>
      </c>
      <c r="B667" s="860" t="s">
        <v>2382</v>
      </c>
      <c r="C667" s="708" t="s">
        <v>201</v>
      </c>
      <c r="D667" s="834">
        <v>4500200098</v>
      </c>
      <c r="E667" s="1911" t="s">
        <v>6031</v>
      </c>
      <c r="F667" s="834" t="s">
        <v>2969</v>
      </c>
      <c r="G667" s="846" t="s">
        <v>4215</v>
      </c>
      <c r="H667" s="708" t="s">
        <v>483</v>
      </c>
      <c r="I667" s="861">
        <v>4320</v>
      </c>
      <c r="J667" s="708">
        <v>0</v>
      </c>
      <c r="K667" s="708">
        <v>120</v>
      </c>
      <c r="L667" s="708">
        <f t="shared" si="126"/>
        <v>36</v>
      </c>
      <c r="M667" s="879">
        <v>46248</v>
      </c>
      <c r="N667" s="879">
        <v>46246</v>
      </c>
      <c r="O667" s="860"/>
      <c r="P667" s="861"/>
      <c r="Q667" s="861"/>
      <c r="R667" s="864">
        <v>46197</v>
      </c>
      <c r="S667" s="847" t="s">
        <v>107</v>
      </c>
      <c r="T667" s="829" t="s">
        <v>95</v>
      </c>
      <c r="U667" s="829"/>
      <c r="V667" s="829"/>
      <c r="W667" s="829"/>
      <c r="X667" s="829" t="s">
        <v>636</v>
      </c>
      <c r="Y667" s="862" t="s">
        <v>488</v>
      </c>
      <c r="Z667" s="866">
        <v>1070</v>
      </c>
      <c r="AA667" s="834">
        <f>L667*Z667</f>
        <v>38520</v>
      </c>
      <c r="AB667" s="831"/>
      <c r="AC667" s="887" t="s">
        <v>490</v>
      </c>
      <c r="AD667" s="708" t="s">
        <v>112</v>
      </c>
      <c r="AE667" s="708">
        <f t="shared" si="125"/>
        <v>4320</v>
      </c>
      <c r="AF667" s="708"/>
      <c r="AG667" s="708">
        <f>594+1296+1296+810+324</f>
        <v>4320</v>
      </c>
      <c r="AH667" s="833">
        <f t="shared" si="127"/>
        <v>0</v>
      </c>
      <c r="AI667" s="861"/>
      <c r="AJ667" s="708" t="s">
        <v>3981</v>
      </c>
      <c r="AK667" s="834"/>
      <c r="AL667" s="834"/>
      <c r="AM667" s="834"/>
      <c r="AN667" s="834"/>
      <c r="AO667" s="834"/>
      <c r="AP667" s="834"/>
      <c r="AQ667" s="834">
        <f>I667</f>
        <v>4320</v>
      </c>
      <c r="AR667" s="834">
        <f>I667</f>
        <v>4320</v>
      </c>
      <c r="AS667" s="834">
        <f>I667/6</f>
        <v>720</v>
      </c>
      <c r="AT667" s="834"/>
      <c r="AU667" s="834"/>
      <c r="AV667" s="834"/>
      <c r="AW667" s="834"/>
      <c r="AX667" s="834"/>
      <c r="AY667" s="834"/>
      <c r="AZ667" s="834"/>
      <c r="BA667" s="834"/>
      <c r="BB667" s="834"/>
      <c r="BC667" s="834"/>
      <c r="BD667" s="834"/>
      <c r="BE667" s="834"/>
      <c r="BF667" s="834"/>
      <c r="BG667" s="834"/>
      <c r="BH667" s="834"/>
      <c r="BI667" s="834"/>
      <c r="BJ667" s="889"/>
      <c r="BK667" s="889"/>
      <c r="BL667" s="889"/>
      <c r="BM667" s="889"/>
      <c r="BN667" s="889"/>
      <c r="BO667" s="889"/>
      <c r="BP667" s="889"/>
      <c r="BQ667" s="889"/>
      <c r="BR667" s="889"/>
      <c r="BS667" s="889"/>
      <c r="BT667" s="889"/>
      <c r="BU667" s="889"/>
      <c r="BV667" s="889"/>
      <c r="BW667" s="889"/>
      <c r="BX667" s="889"/>
      <c r="BY667" s="889"/>
      <c r="BZ667" s="889"/>
      <c r="CA667" s="889"/>
      <c r="CB667" s="889"/>
      <c r="CC667" s="889"/>
      <c r="CD667" s="889"/>
      <c r="CE667" s="889"/>
      <c r="CF667" s="889"/>
      <c r="CG667" s="889"/>
      <c r="CH667" s="889"/>
      <c r="CI667" s="889"/>
      <c r="CJ667" s="889"/>
      <c r="CK667" s="889"/>
      <c r="CL667" s="889"/>
      <c r="CM667" s="889"/>
      <c r="CN667" s="889"/>
      <c r="CO667" s="889"/>
      <c r="CP667" s="889"/>
      <c r="CQ667" s="889"/>
      <c r="CR667" s="889"/>
      <c r="CS667" s="659"/>
      <c r="CT667" s="659"/>
      <c r="CU667" s="659"/>
      <c r="CV667" s="659"/>
      <c r="CW667" s="659"/>
      <c r="CX667" s="659"/>
      <c r="CY667" s="659"/>
      <c r="CZ667" s="659"/>
      <c r="DA667" s="659"/>
      <c r="DB667" s="659"/>
      <c r="DC667" s="659"/>
      <c r="DD667" s="659"/>
    </row>
    <row r="668" s="659" customFormat="1" ht="31" customHeight="1" spans="1:108">
      <c r="A668" s="859">
        <v>46142</v>
      </c>
      <c r="B668" s="860" t="s">
        <v>386</v>
      </c>
      <c r="C668" s="708" t="s">
        <v>115</v>
      </c>
      <c r="D668" s="834" t="s">
        <v>6032</v>
      </c>
      <c r="E668" s="708" t="s">
        <v>6033</v>
      </c>
      <c r="F668" s="834" t="s">
        <v>6034</v>
      </c>
      <c r="G668" s="846" t="s">
        <v>3968</v>
      </c>
      <c r="H668" s="708" t="s">
        <v>3969</v>
      </c>
      <c r="I668" s="861">
        <v>32720</v>
      </c>
      <c r="J668" s="708">
        <v>0</v>
      </c>
      <c r="K668" s="708">
        <v>16</v>
      </c>
      <c r="L668" s="708">
        <f t="shared" si="126"/>
        <v>2045</v>
      </c>
      <c r="M668" s="862">
        <v>46248</v>
      </c>
      <c r="N668" s="879">
        <v>46248</v>
      </c>
      <c r="O668" s="860" t="s">
        <v>5191</v>
      </c>
      <c r="P668" s="861"/>
      <c r="Q668" s="861"/>
      <c r="R668" s="864">
        <v>46139</v>
      </c>
      <c r="S668" s="829" t="s">
        <v>107</v>
      </c>
      <c r="T668" s="828" t="s">
        <v>6035</v>
      </c>
      <c r="U668" s="829"/>
      <c r="V668" s="829"/>
      <c r="W668" s="829"/>
      <c r="X668" s="829" t="s">
        <v>5193</v>
      </c>
      <c r="Y668" s="862" t="s">
        <v>393</v>
      </c>
      <c r="Z668" s="866">
        <v>2.6599</v>
      </c>
      <c r="AA668" s="834">
        <f t="shared" ref="AA668:AA673" si="131">I668*Z668</f>
        <v>87031.928</v>
      </c>
      <c r="AB668" s="831"/>
      <c r="AC668" s="846" t="s">
        <v>3968</v>
      </c>
      <c r="AD668" s="708" t="s">
        <v>112</v>
      </c>
      <c r="AE668" s="708">
        <f t="shared" si="125"/>
        <v>32720</v>
      </c>
      <c r="AF668" s="821" t="s">
        <v>5125</v>
      </c>
      <c r="AG668" s="821" t="s">
        <v>6036</v>
      </c>
      <c r="AH668" s="833" t="e">
        <f t="shared" si="127"/>
        <v>#VALUE!</v>
      </c>
      <c r="AI668" s="861"/>
      <c r="AJ668" s="932" t="s">
        <v>3981</v>
      </c>
      <c r="AK668" s="834">
        <f>I668</f>
        <v>32720</v>
      </c>
      <c r="AL668" s="834"/>
      <c r="AM668" s="834"/>
      <c r="AN668" s="834">
        <f t="shared" ref="AN668:AN682" si="132">I668</f>
        <v>32720</v>
      </c>
      <c r="AO668" s="834"/>
      <c r="AP668" s="834"/>
      <c r="AQ668" s="834"/>
      <c r="AR668" s="834"/>
      <c r="AS668" s="834"/>
      <c r="AT668" s="834"/>
      <c r="AU668" s="834"/>
      <c r="AV668" s="834"/>
      <c r="AW668" s="834"/>
      <c r="AX668" s="834"/>
      <c r="AY668" s="834"/>
      <c r="AZ668" s="834"/>
      <c r="BA668" s="834"/>
      <c r="BB668" s="834"/>
      <c r="BC668" s="834"/>
      <c r="BD668" s="834"/>
      <c r="BE668" s="834"/>
      <c r="BF668" s="834"/>
      <c r="BG668" s="834"/>
      <c r="BH668" s="834"/>
      <c r="BI668" s="834"/>
    </row>
    <row r="669" s="660" customFormat="1" ht="31" customHeight="1" spans="1:108">
      <c r="A669" s="869">
        <v>46185</v>
      </c>
      <c r="B669" s="870" t="s">
        <v>1782</v>
      </c>
      <c r="C669" s="871" t="s">
        <v>115</v>
      </c>
      <c r="D669" s="872">
        <v>4500202450</v>
      </c>
      <c r="E669" s="1912" t="s">
        <v>5574</v>
      </c>
      <c r="F669" s="872" t="s">
        <v>6037</v>
      </c>
      <c r="G669" s="873" t="s">
        <v>3973</v>
      </c>
      <c r="H669" s="871" t="s">
        <v>3995</v>
      </c>
      <c r="I669" s="874">
        <v>640</v>
      </c>
      <c r="J669" s="871">
        <v>0</v>
      </c>
      <c r="K669" s="871">
        <v>16</v>
      </c>
      <c r="L669" s="871">
        <f t="shared" si="126"/>
        <v>40</v>
      </c>
      <c r="M669" s="875">
        <v>46248</v>
      </c>
      <c r="N669" s="919">
        <v>46249</v>
      </c>
      <c r="O669" s="870"/>
      <c r="P669" s="717" t="s">
        <v>106</v>
      </c>
      <c r="Q669" s="874" t="s">
        <v>1663</v>
      </c>
      <c r="R669" s="876" t="s">
        <v>2131</v>
      </c>
      <c r="S669" s="877" t="s">
        <v>107</v>
      </c>
      <c r="T669" s="877" t="s">
        <v>5092</v>
      </c>
      <c r="U669" s="877"/>
      <c r="V669" s="877"/>
      <c r="W669" s="877"/>
      <c r="X669" s="877" t="s">
        <v>6038</v>
      </c>
      <c r="Y669" s="875" t="s">
        <v>421</v>
      </c>
      <c r="Z669" s="878">
        <v>2.9427</v>
      </c>
      <c r="AA669" s="872">
        <f t="shared" si="131"/>
        <v>1883.328</v>
      </c>
      <c r="AB669" s="934" t="s">
        <v>2994</v>
      </c>
      <c r="AC669" s="870" t="s">
        <v>3973</v>
      </c>
      <c r="AD669" s="871" t="s">
        <v>112</v>
      </c>
      <c r="AE669" s="871">
        <f t="shared" si="125"/>
        <v>640</v>
      </c>
      <c r="AF669" s="871"/>
      <c r="AG669" s="871">
        <v>640</v>
      </c>
      <c r="AH669" s="871">
        <f t="shared" si="127"/>
        <v>0</v>
      </c>
      <c r="AI669" s="874" t="s">
        <v>120</v>
      </c>
      <c r="AJ669" s="930" t="s">
        <v>3981</v>
      </c>
      <c r="AK669" s="872">
        <f>I669</f>
        <v>640</v>
      </c>
      <c r="AL669" s="872"/>
      <c r="AM669" s="872"/>
      <c r="AN669" s="872">
        <f t="shared" si="132"/>
        <v>640</v>
      </c>
      <c r="AO669" s="872"/>
      <c r="AP669" s="872"/>
      <c r="AQ669" s="872"/>
      <c r="AR669" s="872"/>
      <c r="AS669" s="872"/>
      <c r="AT669" s="872">
        <f>I669/8</f>
        <v>80</v>
      </c>
      <c r="AU669" s="872"/>
      <c r="AV669" s="872"/>
      <c r="AW669" s="872"/>
      <c r="AX669" s="872"/>
      <c r="AY669" s="872"/>
      <c r="AZ669" s="872"/>
      <c r="BA669" s="872"/>
      <c r="BB669" s="872"/>
      <c r="BC669" s="872"/>
      <c r="BD669" s="872"/>
      <c r="BE669" s="872"/>
      <c r="BF669" s="872"/>
      <c r="BG669" s="872"/>
      <c r="BH669" s="872"/>
      <c r="BI669" s="872"/>
      <c r="CS669" s="663"/>
      <c r="CT669" s="663"/>
      <c r="CU669" s="663"/>
      <c r="CV669" s="663"/>
      <c r="CW669" s="663"/>
      <c r="CX669" s="663"/>
      <c r="CY669" s="663"/>
      <c r="CZ669" s="663"/>
      <c r="DA669" s="663"/>
      <c r="DB669" s="663"/>
      <c r="DC669" s="663"/>
      <c r="DD669" s="663"/>
    </row>
    <row r="670" s="660" customFormat="1" ht="31" customHeight="1" spans="1:108">
      <c r="A670" s="869">
        <v>46185</v>
      </c>
      <c r="B670" s="870" t="s">
        <v>1782</v>
      </c>
      <c r="C670" s="871" t="s">
        <v>115</v>
      </c>
      <c r="D670" s="872">
        <v>4500202450</v>
      </c>
      <c r="E670" s="1912" t="s">
        <v>5576</v>
      </c>
      <c r="F670" s="872" t="s">
        <v>6039</v>
      </c>
      <c r="G670" s="873" t="s">
        <v>3973</v>
      </c>
      <c r="H670" s="871" t="s">
        <v>3995</v>
      </c>
      <c r="I670" s="874">
        <v>272</v>
      </c>
      <c r="J670" s="871">
        <v>0</v>
      </c>
      <c r="K670" s="871">
        <v>16</v>
      </c>
      <c r="L670" s="871">
        <f t="shared" si="126"/>
        <v>17</v>
      </c>
      <c r="M670" s="875">
        <v>46248</v>
      </c>
      <c r="N670" s="919">
        <v>46249</v>
      </c>
      <c r="O670" s="870"/>
      <c r="P670" s="717" t="s">
        <v>106</v>
      </c>
      <c r="Q670" s="874"/>
      <c r="R670" s="876" t="s">
        <v>2131</v>
      </c>
      <c r="S670" s="877" t="s">
        <v>107</v>
      </c>
      <c r="T670" s="877" t="s">
        <v>5092</v>
      </c>
      <c r="U670" s="877"/>
      <c r="V670" s="877"/>
      <c r="W670" s="877"/>
      <c r="X670" s="877" t="s">
        <v>6040</v>
      </c>
      <c r="Y670" s="875" t="s">
        <v>421</v>
      </c>
      <c r="Z670" s="878">
        <v>2.9427</v>
      </c>
      <c r="AA670" s="872">
        <f t="shared" si="131"/>
        <v>800.4144</v>
      </c>
      <c r="AB670" s="934" t="s">
        <v>2994</v>
      </c>
      <c r="AC670" s="870" t="s">
        <v>3973</v>
      </c>
      <c r="AD670" s="871" t="s">
        <v>112</v>
      </c>
      <c r="AE670" s="871">
        <f t="shared" si="125"/>
        <v>272</v>
      </c>
      <c r="AF670" s="871"/>
      <c r="AG670" s="871">
        <v>272</v>
      </c>
      <c r="AH670" s="871">
        <f t="shared" si="127"/>
        <v>0</v>
      </c>
      <c r="AI670" s="874" t="s">
        <v>120</v>
      </c>
      <c r="AJ670" s="930" t="s">
        <v>3981</v>
      </c>
      <c r="AK670" s="872">
        <f>I670</f>
        <v>272</v>
      </c>
      <c r="AL670" s="872"/>
      <c r="AM670" s="872"/>
      <c r="AN670" s="872">
        <f t="shared" si="132"/>
        <v>272</v>
      </c>
      <c r="AO670" s="872"/>
      <c r="AP670" s="872"/>
      <c r="AQ670" s="872"/>
      <c r="AR670" s="872"/>
      <c r="AS670" s="872"/>
      <c r="AT670" s="872">
        <f>I670/8</f>
        <v>34</v>
      </c>
      <c r="AU670" s="872"/>
      <c r="AV670" s="872"/>
      <c r="AW670" s="872"/>
      <c r="AX670" s="872"/>
      <c r="AY670" s="872"/>
      <c r="AZ670" s="872"/>
      <c r="BA670" s="872"/>
      <c r="BB670" s="872"/>
      <c r="BC670" s="872"/>
      <c r="BD670" s="872"/>
      <c r="BE670" s="872"/>
      <c r="BF670" s="872"/>
      <c r="BG670" s="872"/>
      <c r="BH670" s="872"/>
      <c r="BI670" s="872"/>
      <c r="BJ670" s="660"/>
      <c r="BK670" s="660"/>
      <c r="BL670" s="660"/>
      <c r="BM670" s="660"/>
      <c r="BN670" s="660"/>
      <c r="BO670" s="660"/>
      <c r="BP670" s="660"/>
      <c r="BQ670" s="660"/>
      <c r="BR670" s="660"/>
      <c r="BS670" s="660"/>
      <c r="BT670" s="660"/>
      <c r="BU670" s="660"/>
      <c r="BV670" s="660"/>
      <c r="BW670" s="660"/>
      <c r="BX670" s="660"/>
      <c r="BY670" s="660"/>
      <c r="BZ670" s="660"/>
      <c r="CA670" s="660"/>
      <c r="CB670" s="660"/>
      <c r="CC670" s="660"/>
      <c r="CD670" s="660"/>
      <c r="CE670" s="660"/>
      <c r="CF670" s="660"/>
      <c r="CG670" s="660"/>
      <c r="CH670" s="660"/>
      <c r="CI670" s="660"/>
      <c r="CJ670" s="660"/>
      <c r="CK670" s="660"/>
      <c r="CL670" s="660"/>
      <c r="CM670" s="660"/>
      <c r="CN670" s="660"/>
      <c r="CO670" s="660"/>
      <c r="CP670" s="660"/>
      <c r="CQ670" s="660"/>
      <c r="CR670" s="660"/>
      <c r="CS670" s="663"/>
      <c r="CT670" s="663"/>
      <c r="CU670" s="663"/>
      <c r="CV670" s="663"/>
      <c r="CW670" s="663"/>
      <c r="CX670" s="663"/>
      <c r="CY670" s="663"/>
      <c r="CZ670" s="663"/>
      <c r="DA670" s="663"/>
      <c r="DB670" s="663"/>
      <c r="DC670" s="663"/>
      <c r="DD670" s="663"/>
    </row>
    <row r="671" s="659" customFormat="1" ht="31" customHeight="1" spans="1:108">
      <c r="A671" s="819">
        <v>46178</v>
      </c>
      <c r="B671" s="820" t="s">
        <v>1934</v>
      </c>
      <c r="C671" s="821" t="s">
        <v>291</v>
      </c>
      <c r="D671" s="822">
        <v>4500210803</v>
      </c>
      <c r="E671" s="888">
        <v>17409536</v>
      </c>
      <c r="F671" s="822" t="s">
        <v>6041</v>
      </c>
      <c r="G671" s="823" t="s">
        <v>3973</v>
      </c>
      <c r="H671" s="708" t="s">
        <v>3995</v>
      </c>
      <c r="I671" s="824">
        <v>720</v>
      </c>
      <c r="J671" s="821">
        <v>0</v>
      </c>
      <c r="K671" s="821">
        <v>16</v>
      </c>
      <c r="L671" s="821">
        <f t="shared" si="126"/>
        <v>45</v>
      </c>
      <c r="M671" s="825">
        <v>46248</v>
      </c>
      <c r="N671" s="863">
        <v>46249</v>
      </c>
      <c r="O671" s="820"/>
      <c r="P671" s="824"/>
      <c r="Q671" s="824"/>
      <c r="R671" s="827">
        <v>46217</v>
      </c>
      <c r="S671" s="828" t="s">
        <v>107</v>
      </c>
      <c r="T671" s="828" t="s">
        <v>6042</v>
      </c>
      <c r="U671" s="828"/>
      <c r="V671" s="829"/>
      <c r="W671" s="828"/>
      <c r="X671" s="894" t="s">
        <v>6043</v>
      </c>
      <c r="Y671" s="825" t="s">
        <v>450</v>
      </c>
      <c r="Z671" s="830">
        <v>4.8331</v>
      </c>
      <c r="AA671" s="822">
        <f t="shared" si="131"/>
        <v>3479.832</v>
      </c>
      <c r="AB671" s="831"/>
      <c r="AC671" s="887" t="s">
        <v>4108</v>
      </c>
      <c r="AD671" s="821" t="s">
        <v>112</v>
      </c>
      <c r="AE671" s="821">
        <f t="shared" si="125"/>
        <v>720</v>
      </c>
      <c r="AF671" s="715" t="s">
        <v>4109</v>
      </c>
      <c r="AG671" s="708">
        <v>720</v>
      </c>
      <c r="AH671" s="833">
        <f t="shared" si="127"/>
        <v>0</v>
      </c>
      <c r="AI671" s="824"/>
      <c r="AJ671" s="932" t="s">
        <v>3981</v>
      </c>
      <c r="AK671" s="822"/>
      <c r="AL671" s="868">
        <f>I671</f>
        <v>720</v>
      </c>
      <c r="AM671" s="822"/>
      <c r="AN671" s="834">
        <f t="shared" si="132"/>
        <v>720</v>
      </c>
      <c r="AO671" s="822"/>
      <c r="AP671" s="822"/>
      <c r="AQ671" s="822"/>
      <c r="AR671" s="822"/>
      <c r="AS671" s="822"/>
      <c r="AT671" s="822"/>
      <c r="AU671" s="868">
        <f>I671/8</f>
        <v>90</v>
      </c>
      <c r="AV671" s="834"/>
      <c r="AW671" s="834"/>
      <c r="AX671" s="822"/>
      <c r="AY671" s="822"/>
      <c r="AZ671" s="822"/>
      <c r="BA671" s="822"/>
      <c r="BB671" s="822"/>
      <c r="BC671" s="822"/>
      <c r="BD671" s="822"/>
      <c r="BE671" s="822"/>
      <c r="BF671" s="822"/>
      <c r="BG671" s="822"/>
      <c r="BH671" s="822"/>
      <c r="BI671" s="822"/>
    </row>
    <row r="672" s="659" customFormat="1" ht="31" customHeight="1" spans="1:108">
      <c r="A672" s="819">
        <v>46168</v>
      </c>
      <c r="B672" s="820" t="s">
        <v>418</v>
      </c>
      <c r="C672" s="821" t="s">
        <v>115</v>
      </c>
      <c r="D672" s="822" t="s">
        <v>6044</v>
      </c>
      <c r="E672" s="821" t="s">
        <v>6045</v>
      </c>
      <c r="F672" s="822" t="s">
        <v>6046</v>
      </c>
      <c r="G672" s="823" t="s">
        <v>3968</v>
      </c>
      <c r="H672" s="708" t="s">
        <v>3969</v>
      </c>
      <c r="I672" s="824">
        <v>2000</v>
      </c>
      <c r="J672" s="821">
        <v>0</v>
      </c>
      <c r="K672" s="821">
        <v>16</v>
      </c>
      <c r="L672" s="821">
        <f t="shared" si="126"/>
        <v>125</v>
      </c>
      <c r="M672" s="825">
        <v>46248</v>
      </c>
      <c r="N672" s="863">
        <v>46249</v>
      </c>
      <c r="O672" s="820"/>
      <c r="P672" s="824"/>
      <c r="Q672" s="824" t="s">
        <v>5613</v>
      </c>
      <c r="R672" s="886" t="s">
        <v>3418</v>
      </c>
      <c r="S672" s="828" t="s">
        <v>107</v>
      </c>
      <c r="T672" s="848" t="s">
        <v>95</v>
      </c>
      <c r="U672" s="847"/>
      <c r="V672" s="829"/>
      <c r="W672" s="828"/>
      <c r="X672" s="935" t="s">
        <v>6047</v>
      </c>
      <c r="Y672" s="825" t="s">
        <v>421</v>
      </c>
      <c r="Z672" s="830">
        <v>2.7517</v>
      </c>
      <c r="AA672" s="822">
        <f t="shared" si="131"/>
        <v>5503.4</v>
      </c>
      <c r="AB672" s="831"/>
      <c r="AC672" s="936" t="s">
        <v>3968</v>
      </c>
      <c r="AD672" s="821" t="s">
        <v>112</v>
      </c>
      <c r="AE672" s="821">
        <f t="shared" si="125"/>
        <v>2000</v>
      </c>
      <c r="AF672" s="821"/>
      <c r="AG672" s="708">
        <v>2000</v>
      </c>
      <c r="AH672" s="833">
        <f t="shared" si="127"/>
        <v>0</v>
      </c>
      <c r="AI672" s="824"/>
      <c r="AJ672" s="932" t="s">
        <v>3981</v>
      </c>
      <c r="AK672" s="822">
        <f t="shared" ref="AK672:AK679" si="133">I672</f>
        <v>2000</v>
      </c>
      <c r="AL672" s="822"/>
      <c r="AM672" s="822"/>
      <c r="AN672" s="822">
        <f t="shared" si="132"/>
        <v>2000</v>
      </c>
      <c r="AO672" s="822"/>
      <c r="AP672" s="822"/>
      <c r="AQ672" s="822"/>
      <c r="AR672" s="822"/>
      <c r="AS672" s="822"/>
      <c r="AT672" s="822"/>
      <c r="AU672" s="834"/>
      <c r="AV672" s="834"/>
      <c r="AW672" s="834"/>
      <c r="AX672" s="822"/>
      <c r="AY672" s="822"/>
      <c r="AZ672" s="822"/>
      <c r="BA672" s="822"/>
      <c r="BB672" s="822"/>
      <c r="BC672" s="822"/>
      <c r="BD672" s="822"/>
      <c r="BE672" s="822"/>
      <c r="BF672" s="822"/>
      <c r="BG672" s="822"/>
      <c r="BH672" s="822"/>
      <c r="BI672" s="822"/>
    </row>
    <row r="673" s="666" customFormat="1" ht="31" customHeight="1" spans="1:108">
      <c r="A673" s="819">
        <v>46168</v>
      </c>
      <c r="B673" s="820" t="s">
        <v>223</v>
      </c>
      <c r="C673" s="821" t="s">
        <v>319</v>
      </c>
      <c r="D673" s="822" t="s">
        <v>6048</v>
      </c>
      <c r="E673" s="821" t="s">
        <v>6049</v>
      </c>
      <c r="F673" s="822" t="s">
        <v>6050</v>
      </c>
      <c r="G673" s="823" t="s">
        <v>3973</v>
      </c>
      <c r="H673" s="708" t="s">
        <v>3995</v>
      </c>
      <c r="I673" s="824">
        <v>2400</v>
      </c>
      <c r="J673" s="821">
        <v>0</v>
      </c>
      <c r="K673" s="821">
        <v>16</v>
      </c>
      <c r="L673" s="821">
        <f t="shared" si="126"/>
        <v>150</v>
      </c>
      <c r="M673" s="825">
        <v>46249</v>
      </c>
      <c r="N673" s="863">
        <v>46247</v>
      </c>
      <c r="O673" s="820"/>
      <c r="P673" s="824"/>
      <c r="Q673" s="824" t="s">
        <v>5613</v>
      </c>
      <c r="R673" s="886">
        <v>46168</v>
      </c>
      <c r="S673" s="828" t="s">
        <v>107</v>
      </c>
      <c r="T673" s="828" t="s">
        <v>6051</v>
      </c>
      <c r="U673" s="828"/>
      <c r="V673" s="829"/>
      <c r="W673" s="828"/>
      <c r="X673" s="828" t="s">
        <v>4448</v>
      </c>
      <c r="Y673" s="825" t="s">
        <v>222</v>
      </c>
      <c r="Z673" s="830">
        <v>4.6548</v>
      </c>
      <c r="AA673" s="822">
        <f t="shared" si="131"/>
        <v>11171.52</v>
      </c>
      <c r="AB673" s="831"/>
      <c r="AC673" s="820" t="s">
        <v>3973</v>
      </c>
      <c r="AD673" s="821" t="s">
        <v>112</v>
      </c>
      <c r="AE673" s="821">
        <f t="shared" si="125"/>
        <v>2400</v>
      </c>
      <c r="AF673" s="821" t="s">
        <v>5125</v>
      </c>
      <c r="AG673" s="708"/>
      <c r="AH673" s="833">
        <f t="shared" si="127"/>
        <v>-2400</v>
      </c>
      <c r="AI673" s="824"/>
      <c r="AJ673" s="932" t="s">
        <v>3981</v>
      </c>
      <c r="AK673" s="834">
        <f t="shared" si="133"/>
        <v>2400</v>
      </c>
      <c r="AL673" s="834"/>
      <c r="AM673" s="822"/>
      <c r="AN673" s="834">
        <f t="shared" si="132"/>
        <v>2400</v>
      </c>
      <c r="AO673" s="822"/>
      <c r="AP673" s="822"/>
      <c r="AQ673" s="822"/>
      <c r="AR673" s="822"/>
      <c r="AS673" s="822"/>
      <c r="AT673" s="822">
        <f>I673/8</f>
        <v>300</v>
      </c>
      <c r="AU673" s="834"/>
      <c r="AV673" s="834"/>
      <c r="AW673" s="834"/>
      <c r="AX673" s="822"/>
      <c r="AY673" s="822"/>
      <c r="AZ673" s="822"/>
      <c r="BA673" s="822"/>
      <c r="BB673" s="822"/>
      <c r="BC673" s="822"/>
      <c r="BD673" s="822"/>
      <c r="BE673" s="822"/>
      <c r="BF673" s="822"/>
      <c r="BG673" s="822"/>
      <c r="BH673" s="822"/>
      <c r="BI673" s="822"/>
      <c r="BJ673" s="659"/>
      <c r="BK673" s="659"/>
      <c r="BL673" s="659"/>
      <c r="BM673" s="659"/>
      <c r="BN673" s="659"/>
      <c r="BO673" s="659"/>
      <c r="BP673" s="659"/>
      <c r="BQ673" s="659"/>
      <c r="BR673" s="659"/>
      <c r="BS673" s="659"/>
      <c r="BT673" s="659"/>
      <c r="BU673" s="659"/>
      <c r="BV673" s="659"/>
      <c r="BW673" s="659"/>
      <c r="BX673" s="659"/>
      <c r="BY673" s="659"/>
      <c r="BZ673" s="659"/>
      <c r="CA673" s="659"/>
      <c r="CB673" s="659"/>
      <c r="CC673" s="659"/>
      <c r="CD673" s="659"/>
      <c r="CE673" s="659"/>
      <c r="CF673" s="659"/>
      <c r="CG673" s="659"/>
      <c r="CH673" s="659"/>
      <c r="CI673" s="659"/>
      <c r="CJ673" s="659"/>
      <c r="CK673" s="659"/>
      <c r="CL673" s="659"/>
      <c r="CM673" s="659"/>
      <c r="CN673" s="659"/>
      <c r="CO673" s="659"/>
      <c r="CP673" s="659"/>
      <c r="CQ673" s="659"/>
      <c r="CR673" s="659"/>
      <c r="CS673" s="659"/>
      <c r="CT673" s="659"/>
      <c r="CU673" s="659"/>
      <c r="CV673" s="659"/>
      <c r="CW673" s="659"/>
      <c r="CX673" s="659"/>
      <c r="CY673" s="659"/>
      <c r="CZ673" s="659"/>
      <c r="DA673" s="659"/>
      <c r="DB673" s="659"/>
      <c r="DC673" s="659"/>
      <c r="DD673" s="659"/>
    </row>
    <row r="674" s="653" customFormat="1" ht="31" customHeight="1" spans="1:108">
      <c r="A674" s="756">
        <v>46188</v>
      </c>
      <c r="B674" s="757" t="s">
        <v>5917</v>
      </c>
      <c r="C674" s="758" t="s">
        <v>115</v>
      </c>
      <c r="D674" s="653" t="s">
        <v>6052</v>
      </c>
      <c r="E674" s="758" t="s">
        <v>6053</v>
      </c>
      <c r="F674" s="653" t="s">
        <v>6054</v>
      </c>
      <c r="G674" s="760" t="s">
        <v>5921</v>
      </c>
      <c r="H674" s="758" t="s">
        <v>3969</v>
      </c>
      <c r="I674" s="761">
        <v>1968</v>
      </c>
      <c r="J674" s="758">
        <v>0</v>
      </c>
      <c r="K674" s="758">
        <v>8</v>
      </c>
      <c r="L674" s="758">
        <f t="shared" si="126"/>
        <v>246</v>
      </c>
      <c r="M674" s="763">
        <v>46249</v>
      </c>
      <c r="N674" s="851">
        <v>46247</v>
      </c>
      <c r="O674" s="937" t="s">
        <v>5922</v>
      </c>
      <c r="P674" s="761" t="s">
        <v>5988</v>
      </c>
      <c r="Q674" s="761"/>
      <c r="R674" s="723" t="s">
        <v>4201</v>
      </c>
      <c r="S674" s="720" t="s">
        <v>107</v>
      </c>
      <c r="T674" s="720" t="s">
        <v>4197</v>
      </c>
      <c r="U674" s="735"/>
      <c r="V674" s="720"/>
      <c r="W674" s="765"/>
      <c r="X674" s="765" t="s">
        <v>5923</v>
      </c>
      <c r="Y674" s="763" t="s">
        <v>354</v>
      </c>
      <c r="Z674" s="800">
        <v>2.8292</v>
      </c>
      <c r="AA674" s="653">
        <f>Z674*I674</f>
        <v>5567.8656</v>
      </c>
      <c r="AB674" s="721"/>
      <c r="AC674" s="760" t="s">
        <v>5921</v>
      </c>
      <c r="AD674" s="715" t="s">
        <v>3804</v>
      </c>
      <c r="AE674" s="758">
        <f t="shared" si="125"/>
        <v>1968</v>
      </c>
      <c r="AF674" s="715" t="s">
        <v>5125</v>
      </c>
      <c r="AG674" s="758"/>
      <c r="AH674" s="715">
        <f t="shared" si="127"/>
        <v>-1968</v>
      </c>
      <c r="AI674" s="761"/>
      <c r="AJ674" s="715"/>
      <c r="AK674" s="652">
        <f t="shared" si="133"/>
        <v>1968</v>
      </c>
      <c r="AL674" s="652"/>
      <c r="AM674" s="652"/>
      <c r="AN674" s="652">
        <f t="shared" si="132"/>
        <v>1968</v>
      </c>
      <c r="AO674" s="652"/>
      <c r="AP674" s="652"/>
      <c r="AQ674" s="652"/>
      <c r="AR674" s="652"/>
      <c r="AS674" s="652"/>
      <c r="AT674" s="652"/>
      <c r="BI674" s="652"/>
    </row>
    <row r="675" s="659" customFormat="1" ht="31" customHeight="1" spans="1:108">
      <c r="A675" s="819">
        <v>46178</v>
      </c>
      <c r="B675" s="820" t="s">
        <v>2473</v>
      </c>
      <c r="C675" s="821" t="s">
        <v>1054</v>
      </c>
      <c r="D675" s="822">
        <v>4500210828</v>
      </c>
      <c r="E675" s="821" t="s">
        <v>3012</v>
      </c>
      <c r="F675" s="822" t="s">
        <v>6055</v>
      </c>
      <c r="G675" s="823" t="s">
        <v>3973</v>
      </c>
      <c r="H675" s="708" t="s">
        <v>3995</v>
      </c>
      <c r="I675" s="824">
        <v>4000</v>
      </c>
      <c r="J675" s="821">
        <v>0</v>
      </c>
      <c r="K675" s="821">
        <v>16</v>
      </c>
      <c r="L675" s="821">
        <f t="shared" si="126"/>
        <v>250</v>
      </c>
      <c r="M675" s="825">
        <v>46249</v>
      </c>
      <c r="N675" s="863">
        <v>46249</v>
      </c>
      <c r="O675" s="820"/>
      <c r="P675" s="824"/>
      <c r="Q675" s="824"/>
      <c r="R675" s="827">
        <v>46197</v>
      </c>
      <c r="S675" s="828" t="s">
        <v>107</v>
      </c>
      <c r="T675" s="828" t="s">
        <v>3014</v>
      </c>
      <c r="U675" s="828"/>
      <c r="V675" s="829"/>
      <c r="W675" s="828"/>
      <c r="X675" s="828" t="s">
        <v>3015</v>
      </c>
      <c r="Y675" s="825" t="s">
        <v>659</v>
      </c>
      <c r="Z675" s="830">
        <v>4.9045</v>
      </c>
      <c r="AA675" s="822">
        <f>I675*Z675</f>
        <v>19618</v>
      </c>
      <c r="AB675" s="831"/>
      <c r="AC675" s="820" t="s">
        <v>3973</v>
      </c>
      <c r="AD675" s="821" t="s">
        <v>112</v>
      </c>
      <c r="AE675" s="821">
        <f t="shared" si="125"/>
        <v>4000</v>
      </c>
      <c r="AF675" s="821" t="s">
        <v>5125</v>
      </c>
      <c r="AG675" s="708"/>
      <c r="AH675" s="833">
        <f t="shared" si="127"/>
        <v>-4000</v>
      </c>
      <c r="AI675" s="824"/>
      <c r="AJ675" s="932" t="s">
        <v>3981</v>
      </c>
      <c r="AK675" s="834">
        <f t="shared" si="133"/>
        <v>4000</v>
      </c>
      <c r="AL675" s="834"/>
      <c r="AM675" s="822"/>
      <c r="AN675" s="834">
        <f t="shared" si="132"/>
        <v>4000</v>
      </c>
      <c r="AO675" s="822"/>
      <c r="AP675" s="822"/>
      <c r="AQ675" s="822"/>
      <c r="AR675" s="822"/>
      <c r="AS675" s="822"/>
      <c r="AT675" s="822">
        <f>I675/8</f>
        <v>500</v>
      </c>
      <c r="AU675" s="834"/>
      <c r="AV675" s="834"/>
      <c r="AW675" s="834"/>
      <c r="AX675" s="822"/>
      <c r="AY675" s="822"/>
      <c r="AZ675" s="822"/>
      <c r="BA675" s="822"/>
      <c r="BB675" s="822"/>
      <c r="BC675" s="822"/>
      <c r="BD675" s="822"/>
      <c r="BE675" s="822"/>
      <c r="BF675" s="822"/>
      <c r="BG675" s="822"/>
      <c r="BH675" s="822"/>
      <c r="BI675" s="822"/>
    </row>
    <row r="676" s="659" customFormat="1" ht="31" customHeight="1" spans="1:108">
      <c r="A676" s="819">
        <v>46230</v>
      </c>
      <c r="B676" s="820"/>
      <c r="C676" s="821" t="s">
        <v>597</v>
      </c>
      <c r="D676" s="822" t="s">
        <v>3016</v>
      </c>
      <c r="E676" s="821"/>
      <c r="F676" s="822" t="s">
        <v>6056</v>
      </c>
      <c r="G676" s="823" t="s">
        <v>3968</v>
      </c>
      <c r="H676" s="821" t="s">
        <v>3969</v>
      </c>
      <c r="I676" s="824">
        <v>208</v>
      </c>
      <c r="J676" s="821">
        <v>0</v>
      </c>
      <c r="K676" s="821">
        <v>16</v>
      </c>
      <c r="L676" s="821">
        <f t="shared" si="126"/>
        <v>13</v>
      </c>
      <c r="M676" s="825">
        <v>46250</v>
      </c>
      <c r="N676" s="825">
        <v>46246</v>
      </c>
      <c r="O676" s="820"/>
      <c r="P676" s="824"/>
      <c r="Q676" s="824"/>
      <c r="R676" s="827">
        <v>46230</v>
      </c>
      <c r="S676" s="848" t="s">
        <v>95</v>
      </c>
      <c r="T676" s="848" t="s">
        <v>95</v>
      </c>
      <c r="U676" s="828"/>
      <c r="V676" s="828"/>
      <c r="W676" s="828"/>
      <c r="X676" s="828" t="s">
        <v>4100</v>
      </c>
      <c r="Y676" s="825" t="s">
        <v>1191</v>
      </c>
      <c r="Z676" s="830"/>
      <c r="AA676" s="822"/>
      <c r="AB676" s="927"/>
      <c r="AC676" s="846" t="s">
        <v>3968</v>
      </c>
      <c r="AD676" s="821" t="s">
        <v>112</v>
      </c>
      <c r="AE676" s="821">
        <f t="shared" si="125"/>
        <v>208</v>
      </c>
      <c r="AF676" s="821"/>
      <c r="AG676" s="821">
        <v>208</v>
      </c>
      <c r="AH676" s="833">
        <f t="shared" si="127"/>
        <v>0</v>
      </c>
      <c r="AI676" s="824"/>
      <c r="AJ676" s="708" t="s">
        <v>3981</v>
      </c>
      <c r="AK676" s="822">
        <f t="shared" si="133"/>
        <v>208</v>
      </c>
      <c r="AL676" s="822"/>
      <c r="AM676" s="822"/>
      <c r="AN676" s="822">
        <f t="shared" si="132"/>
        <v>208</v>
      </c>
      <c r="AO676" s="822"/>
      <c r="AP676" s="822"/>
      <c r="AQ676" s="822"/>
      <c r="AR676" s="822"/>
      <c r="AS676" s="822"/>
      <c r="AT676" s="822"/>
      <c r="AU676" s="822"/>
      <c r="AV676" s="822"/>
      <c r="AW676" s="822"/>
      <c r="AX676" s="822"/>
      <c r="AY676" s="822"/>
      <c r="AZ676" s="822"/>
      <c r="BA676" s="822"/>
      <c r="BB676" s="822"/>
      <c r="BC676" s="822"/>
      <c r="BD676" s="822"/>
      <c r="BE676" s="822"/>
      <c r="BF676" s="822"/>
      <c r="BG676" s="822"/>
      <c r="BH676" s="822"/>
      <c r="BI676" s="822"/>
      <c r="BJ676" s="667"/>
      <c r="BK676" s="667"/>
      <c r="BL676" s="667"/>
      <c r="BM676" s="667"/>
      <c r="BN676" s="667"/>
      <c r="BO676" s="667"/>
      <c r="BP676" s="667"/>
      <c r="BQ676" s="667"/>
      <c r="BR676" s="667"/>
      <c r="BS676" s="667"/>
      <c r="BT676" s="667"/>
      <c r="BU676" s="667"/>
      <c r="BV676" s="667"/>
      <c r="BW676" s="667"/>
      <c r="BX676" s="667"/>
      <c r="BY676" s="667"/>
      <c r="BZ676" s="667"/>
      <c r="CA676" s="667"/>
      <c r="CB676" s="667"/>
      <c r="CC676" s="667"/>
      <c r="CD676" s="667"/>
      <c r="CE676" s="667"/>
      <c r="CF676" s="667"/>
      <c r="CG676" s="667"/>
      <c r="CH676" s="667"/>
      <c r="CI676" s="667"/>
      <c r="CJ676" s="667"/>
      <c r="CK676" s="667"/>
      <c r="CL676" s="667"/>
      <c r="CM676" s="667"/>
      <c r="CN676" s="667"/>
      <c r="CO676" s="667"/>
      <c r="CP676" s="667"/>
      <c r="CQ676" s="667"/>
      <c r="CR676" s="667"/>
      <c r="CS676" s="667"/>
      <c r="CT676" s="667"/>
      <c r="CU676" s="667"/>
      <c r="CV676" s="667"/>
      <c r="CW676" s="667"/>
      <c r="CX676" s="667"/>
      <c r="CY676" s="667"/>
      <c r="CZ676" s="667"/>
      <c r="DA676" s="667"/>
      <c r="DB676" s="667"/>
      <c r="DC676" s="667"/>
      <c r="DD676" s="667"/>
    </row>
    <row r="677" s="666" customFormat="1" ht="31" customHeight="1" spans="1:108">
      <c r="A677" s="819">
        <v>46230</v>
      </c>
      <c r="B677" s="820"/>
      <c r="C677" s="821" t="s">
        <v>597</v>
      </c>
      <c r="D677" s="822" t="s">
        <v>3018</v>
      </c>
      <c r="E677" s="821"/>
      <c r="F677" s="822" t="s">
        <v>6057</v>
      </c>
      <c r="G677" s="823" t="s">
        <v>3968</v>
      </c>
      <c r="H677" s="821" t="s">
        <v>3969</v>
      </c>
      <c r="I677" s="824">
        <v>160</v>
      </c>
      <c r="J677" s="821">
        <v>0</v>
      </c>
      <c r="K677" s="821">
        <v>16</v>
      </c>
      <c r="L677" s="821">
        <f t="shared" si="126"/>
        <v>10</v>
      </c>
      <c r="M677" s="825">
        <v>46251</v>
      </c>
      <c r="N677" s="825">
        <v>46247</v>
      </c>
      <c r="O677" s="820"/>
      <c r="P677" s="824"/>
      <c r="Q677" s="824"/>
      <c r="R677" s="827">
        <v>46230</v>
      </c>
      <c r="S677" s="828" t="s">
        <v>95</v>
      </c>
      <c r="T677" s="848" t="s">
        <v>95</v>
      </c>
      <c r="U677" s="828"/>
      <c r="V677" s="828"/>
      <c r="W677" s="828"/>
      <c r="X677" s="828" t="s">
        <v>6058</v>
      </c>
      <c r="Y677" s="825" t="s">
        <v>1191</v>
      </c>
      <c r="Z677" s="830"/>
      <c r="AA677" s="822"/>
      <c r="AB677" s="927"/>
      <c r="AC677" s="846" t="s">
        <v>3968</v>
      </c>
      <c r="AD677" s="821" t="s">
        <v>112</v>
      </c>
      <c r="AE677" s="821">
        <f t="shared" si="125"/>
        <v>160</v>
      </c>
      <c r="AF677" s="821"/>
      <c r="AG677" s="821">
        <v>160</v>
      </c>
      <c r="AH677" s="833">
        <f t="shared" si="127"/>
        <v>0</v>
      </c>
      <c r="AI677" s="824"/>
      <c r="AJ677" s="708" t="s">
        <v>3981</v>
      </c>
      <c r="AK677" s="822">
        <f t="shared" si="133"/>
        <v>160</v>
      </c>
      <c r="AL677" s="822"/>
      <c r="AM677" s="822"/>
      <c r="AN677" s="822">
        <f t="shared" si="132"/>
        <v>160</v>
      </c>
      <c r="AO677" s="822"/>
      <c r="AP677" s="822"/>
      <c r="AQ677" s="822"/>
      <c r="AR677" s="822"/>
      <c r="AS677" s="822"/>
      <c r="AT677" s="822"/>
      <c r="AU677" s="822"/>
      <c r="AV677" s="822"/>
      <c r="AW677" s="822"/>
      <c r="AX677" s="822"/>
      <c r="AY677" s="822"/>
      <c r="AZ677" s="822"/>
      <c r="BA677" s="822"/>
      <c r="BB677" s="822"/>
      <c r="BC677" s="822"/>
      <c r="BD677" s="822"/>
      <c r="BE677" s="822"/>
      <c r="BF677" s="822"/>
      <c r="BG677" s="822"/>
      <c r="BH677" s="822"/>
      <c r="BI677" s="822"/>
      <c r="BJ677" s="667"/>
      <c r="BK677" s="667"/>
      <c r="BL677" s="667"/>
      <c r="BM677" s="667"/>
      <c r="BN677" s="667"/>
      <c r="BO677" s="667"/>
      <c r="BP677" s="667"/>
      <c r="BQ677" s="667"/>
      <c r="BR677" s="667"/>
      <c r="BS677" s="667"/>
      <c r="BT677" s="667"/>
      <c r="BU677" s="667"/>
      <c r="BV677" s="667"/>
      <c r="BW677" s="667"/>
      <c r="BX677" s="667"/>
      <c r="BY677" s="667"/>
      <c r="BZ677" s="667"/>
      <c r="CA677" s="667"/>
      <c r="CB677" s="667"/>
      <c r="CC677" s="667"/>
      <c r="CD677" s="667"/>
      <c r="CE677" s="667"/>
      <c r="CF677" s="667"/>
      <c r="CG677" s="667"/>
      <c r="CH677" s="667"/>
      <c r="CI677" s="667"/>
      <c r="CJ677" s="667"/>
      <c r="CK677" s="667"/>
      <c r="CL677" s="667"/>
      <c r="CM677" s="667"/>
      <c r="CN677" s="667"/>
      <c r="CO677" s="667"/>
      <c r="CP677" s="667"/>
      <c r="CQ677" s="667"/>
      <c r="CR677" s="667"/>
      <c r="CS677" s="667"/>
      <c r="CT677" s="667"/>
      <c r="CU677" s="667"/>
      <c r="CV677" s="667"/>
      <c r="CW677" s="667"/>
      <c r="CX677" s="667"/>
      <c r="CY677" s="667"/>
      <c r="CZ677" s="667"/>
      <c r="DA677" s="667"/>
      <c r="DB677" s="667"/>
      <c r="DC677" s="667"/>
      <c r="DD677" s="667"/>
    </row>
    <row r="678" s="654" customFormat="1" ht="31" customHeight="1" spans="1:108">
      <c r="A678" s="713">
        <v>46175</v>
      </c>
      <c r="B678" s="714" t="s">
        <v>280</v>
      </c>
      <c r="C678" s="715" t="s">
        <v>135</v>
      </c>
      <c r="D678" s="652" t="s">
        <v>6059</v>
      </c>
      <c r="E678" s="715" t="s">
        <v>2991</v>
      </c>
      <c r="F678" s="652" t="s">
        <v>6060</v>
      </c>
      <c r="G678" s="716" t="s">
        <v>3980</v>
      </c>
      <c r="H678" s="715" t="s">
        <v>3978</v>
      </c>
      <c r="I678" s="717">
        <v>3208</v>
      </c>
      <c r="J678" s="715">
        <v>0</v>
      </c>
      <c r="K678" s="715">
        <v>8</v>
      </c>
      <c r="L678" s="715">
        <f t="shared" si="126"/>
        <v>401</v>
      </c>
      <c r="M678" s="719">
        <v>46251</v>
      </c>
      <c r="N678" s="738">
        <v>46249</v>
      </c>
      <c r="O678" s="714" t="s">
        <v>2757</v>
      </c>
      <c r="P678" s="717" t="s">
        <v>1410</v>
      </c>
      <c r="Q678" s="717"/>
      <c r="R678" s="723">
        <v>46176</v>
      </c>
      <c r="S678" s="720" t="s">
        <v>107</v>
      </c>
      <c r="T678" s="735" t="s">
        <v>2493</v>
      </c>
      <c r="U678" s="720"/>
      <c r="V678" s="720"/>
      <c r="W678" s="720"/>
      <c r="X678" s="798" t="s">
        <v>6061</v>
      </c>
      <c r="Y678" s="719" t="s">
        <v>288</v>
      </c>
      <c r="Z678" s="730">
        <v>4.6974</v>
      </c>
      <c r="AA678" s="652">
        <f>I678*Z678</f>
        <v>15069.2592</v>
      </c>
      <c r="AB678" s="721"/>
      <c r="AC678" s="722" t="s">
        <v>3980</v>
      </c>
      <c r="AD678" s="715" t="s">
        <v>112</v>
      </c>
      <c r="AE678" s="715">
        <f t="shared" si="125"/>
        <v>3208</v>
      </c>
      <c r="AF678" s="715" t="s">
        <v>5125</v>
      </c>
      <c r="AG678" s="715"/>
      <c r="AH678" s="715">
        <f t="shared" si="127"/>
        <v>-3208</v>
      </c>
      <c r="AI678" s="717"/>
      <c r="AJ678" s="739" t="s">
        <v>3981</v>
      </c>
      <c r="AK678" s="652">
        <f t="shared" si="133"/>
        <v>3208</v>
      </c>
      <c r="AL678" s="652"/>
      <c r="AM678" s="652"/>
      <c r="AN678" s="652">
        <f t="shared" si="132"/>
        <v>3208</v>
      </c>
      <c r="AO678" s="652"/>
      <c r="AP678" s="652"/>
      <c r="AQ678" s="652"/>
      <c r="AR678" s="652"/>
      <c r="AS678" s="652"/>
      <c r="AT678" s="652">
        <f>I678/8</f>
        <v>401</v>
      </c>
      <c r="AU678" s="652"/>
      <c r="AV678" s="652"/>
      <c r="AW678" s="652"/>
      <c r="AX678" s="652"/>
      <c r="AY678" s="652"/>
      <c r="AZ678" s="652"/>
      <c r="BA678" s="652"/>
      <c r="BB678" s="652"/>
      <c r="BC678" s="652"/>
      <c r="BD678" s="652"/>
      <c r="BE678" s="652"/>
      <c r="BF678" s="652"/>
      <c r="BG678" s="652"/>
      <c r="BH678" s="652"/>
      <c r="BI678" s="652"/>
      <c r="BJ678" s="650"/>
      <c r="BK678" s="650"/>
      <c r="BL678" s="650"/>
      <c r="BM678" s="650"/>
      <c r="BN678" s="650"/>
      <c r="BO678" s="650"/>
      <c r="BP678" s="650"/>
      <c r="BQ678" s="650"/>
      <c r="BR678" s="650"/>
      <c r="BS678" s="650"/>
      <c r="BT678" s="650"/>
      <c r="BU678" s="650"/>
      <c r="BV678" s="650"/>
      <c r="BW678" s="650"/>
      <c r="BX678" s="650"/>
      <c r="BY678" s="650"/>
      <c r="BZ678" s="650"/>
      <c r="CA678" s="650"/>
      <c r="CB678" s="650"/>
      <c r="CC678" s="650"/>
      <c r="CD678" s="650"/>
      <c r="CE678" s="650"/>
      <c r="CF678" s="650"/>
      <c r="CG678" s="650"/>
      <c r="CH678" s="650"/>
      <c r="CI678" s="650"/>
      <c r="CJ678" s="650"/>
      <c r="CK678" s="650"/>
      <c r="CL678" s="650"/>
      <c r="CM678" s="650"/>
      <c r="CN678" s="650"/>
      <c r="CO678" s="650"/>
      <c r="CP678" s="650"/>
      <c r="CQ678" s="650"/>
      <c r="CR678" s="650"/>
      <c r="CS678" s="650"/>
      <c r="CT678" s="650"/>
      <c r="CU678" s="650"/>
      <c r="CV678" s="650"/>
      <c r="CW678" s="650"/>
      <c r="CX678" s="650"/>
      <c r="CY678" s="650"/>
      <c r="CZ678" s="650"/>
      <c r="DA678" s="650"/>
      <c r="DB678" s="650"/>
      <c r="DC678" s="650"/>
      <c r="DD678" s="650"/>
    </row>
    <row r="679" s="659" customFormat="1" ht="31" customHeight="1" spans="1:108">
      <c r="A679" s="819">
        <v>46176</v>
      </c>
      <c r="B679" s="820" t="s">
        <v>280</v>
      </c>
      <c r="C679" s="821" t="s">
        <v>135</v>
      </c>
      <c r="D679" s="822">
        <v>4500210400</v>
      </c>
      <c r="E679" s="821" t="s">
        <v>2987</v>
      </c>
      <c r="F679" s="822" t="s">
        <v>6062</v>
      </c>
      <c r="G679" s="823" t="s">
        <v>3980</v>
      </c>
      <c r="H679" s="708" t="s">
        <v>3978</v>
      </c>
      <c r="I679" s="824">
        <v>3208</v>
      </c>
      <c r="J679" s="821">
        <v>0</v>
      </c>
      <c r="K679" s="821">
        <v>8</v>
      </c>
      <c r="L679" s="821">
        <f t="shared" si="126"/>
        <v>401</v>
      </c>
      <c r="M679" s="825">
        <v>46251</v>
      </c>
      <c r="N679" s="863">
        <v>46249</v>
      </c>
      <c r="O679" s="820"/>
      <c r="P679" s="824"/>
      <c r="Q679" s="824"/>
      <c r="R679" s="864">
        <v>46176</v>
      </c>
      <c r="S679" s="828" t="s">
        <v>107</v>
      </c>
      <c r="T679" s="828" t="s">
        <v>2493</v>
      </c>
      <c r="U679" s="828"/>
      <c r="V679" s="829"/>
      <c r="W679" s="828"/>
      <c r="X679" s="894" t="s">
        <v>6063</v>
      </c>
      <c r="Y679" s="825" t="s">
        <v>288</v>
      </c>
      <c r="Z679" s="830">
        <v>4.6974</v>
      </c>
      <c r="AA679" s="822">
        <f>I679*Z679</f>
        <v>15069.2592</v>
      </c>
      <c r="AB679" s="831"/>
      <c r="AC679" s="895" t="s">
        <v>3980</v>
      </c>
      <c r="AD679" s="821" t="s">
        <v>112</v>
      </c>
      <c r="AE679" s="821">
        <f t="shared" si="125"/>
        <v>3208</v>
      </c>
      <c r="AF679" s="821" t="s">
        <v>5125</v>
      </c>
      <c r="AG679" s="708"/>
      <c r="AH679" s="833">
        <f t="shared" si="127"/>
        <v>-3208</v>
      </c>
      <c r="AI679" s="824"/>
      <c r="AJ679" s="932" t="s">
        <v>3981</v>
      </c>
      <c r="AK679" s="834">
        <f t="shared" si="133"/>
        <v>3208</v>
      </c>
      <c r="AL679" s="834"/>
      <c r="AM679" s="822"/>
      <c r="AN679" s="834">
        <f t="shared" si="132"/>
        <v>3208</v>
      </c>
      <c r="AO679" s="822"/>
      <c r="AP679" s="822"/>
      <c r="AQ679" s="822"/>
      <c r="AR679" s="822"/>
      <c r="AS679" s="822"/>
      <c r="AT679" s="822">
        <f>I679/8</f>
        <v>401</v>
      </c>
      <c r="AU679" s="834"/>
      <c r="AV679" s="834"/>
      <c r="AW679" s="834"/>
      <c r="AX679" s="822"/>
      <c r="AY679" s="822"/>
      <c r="AZ679" s="822"/>
      <c r="BA679" s="822"/>
      <c r="BB679" s="822"/>
      <c r="BC679" s="822"/>
      <c r="BD679" s="822"/>
      <c r="BE679" s="822"/>
      <c r="BF679" s="822"/>
      <c r="BG679" s="822"/>
      <c r="BH679" s="822"/>
      <c r="BI679" s="822"/>
    </row>
    <row r="680" s="660" customFormat="1" ht="31" customHeight="1" spans="1:108">
      <c r="A680" s="869">
        <v>46174</v>
      </c>
      <c r="B680" s="870" t="s">
        <v>3025</v>
      </c>
      <c r="C680" s="871" t="s">
        <v>291</v>
      </c>
      <c r="D680" s="872">
        <v>4500210231</v>
      </c>
      <c r="E680" s="871"/>
      <c r="F680" s="872" t="s">
        <v>6064</v>
      </c>
      <c r="G680" s="873" t="s">
        <v>3973</v>
      </c>
      <c r="H680" s="871" t="s">
        <v>3995</v>
      </c>
      <c r="I680" s="874">
        <v>3200</v>
      </c>
      <c r="J680" s="871">
        <v>0</v>
      </c>
      <c r="K680" s="871">
        <v>16</v>
      </c>
      <c r="L680" s="871">
        <f t="shared" si="126"/>
        <v>200</v>
      </c>
      <c r="M680" s="875">
        <v>46251</v>
      </c>
      <c r="N680" s="919">
        <v>46249</v>
      </c>
      <c r="O680" s="870"/>
      <c r="P680" s="874" t="s">
        <v>1410</v>
      </c>
      <c r="Q680" s="874"/>
      <c r="R680" s="876">
        <v>46220</v>
      </c>
      <c r="S680" s="877" t="s">
        <v>107</v>
      </c>
      <c r="T680" s="877" t="s">
        <v>6065</v>
      </c>
      <c r="U680" s="877"/>
      <c r="V680" s="877"/>
      <c r="W680" s="877"/>
      <c r="X680" s="938" t="s">
        <v>6066</v>
      </c>
      <c r="Y680" s="875" t="s">
        <v>450</v>
      </c>
      <c r="Z680" s="878">
        <v>4.6933</v>
      </c>
      <c r="AA680" s="872">
        <f>I680*Z680</f>
        <v>15018.56</v>
      </c>
      <c r="AB680" s="831"/>
      <c r="AC680" s="872" t="s">
        <v>4108</v>
      </c>
      <c r="AD680" s="871" t="s">
        <v>112</v>
      </c>
      <c r="AE680" s="871">
        <f t="shared" si="125"/>
        <v>3200</v>
      </c>
      <c r="AF680" s="871" t="s">
        <v>4109</v>
      </c>
      <c r="AG680" s="871">
        <f>1056+2144</f>
        <v>3200</v>
      </c>
      <c r="AH680" s="871">
        <f t="shared" si="127"/>
        <v>0</v>
      </c>
      <c r="AI680" s="874"/>
      <c r="AJ680" s="930" t="s">
        <v>3981</v>
      </c>
      <c r="AK680" s="872"/>
      <c r="AL680" s="872">
        <f>I680</f>
        <v>3200</v>
      </c>
      <c r="AM680" s="872"/>
      <c r="AN680" s="872">
        <f t="shared" si="132"/>
        <v>3200</v>
      </c>
      <c r="AO680" s="872"/>
      <c r="AP680" s="872"/>
      <c r="AQ680" s="872"/>
      <c r="AR680" s="872"/>
      <c r="AS680" s="872"/>
      <c r="AT680" s="872"/>
      <c r="AU680" s="872">
        <f>I680/8</f>
        <v>400</v>
      </c>
      <c r="AV680" s="872"/>
      <c r="AW680" s="872"/>
      <c r="AX680" s="872"/>
      <c r="AY680" s="872"/>
      <c r="AZ680" s="872"/>
      <c r="BA680" s="872"/>
      <c r="BB680" s="872"/>
      <c r="BC680" s="872"/>
      <c r="BD680" s="872"/>
      <c r="BE680" s="872"/>
      <c r="BF680" s="872"/>
      <c r="BG680" s="872"/>
      <c r="BH680" s="872"/>
      <c r="BI680" s="872"/>
    </row>
    <row r="681" s="668" customFormat="1" ht="31" customHeight="1" spans="1:108">
      <c r="A681" s="939">
        <v>46174</v>
      </c>
      <c r="B681" s="940" t="s">
        <v>3025</v>
      </c>
      <c r="C681" s="941" t="s">
        <v>291</v>
      </c>
      <c r="D681" s="668">
        <v>4500210225</v>
      </c>
      <c r="E681" s="941"/>
      <c r="F681" s="668" t="s">
        <v>6067</v>
      </c>
      <c r="G681" s="942" t="s">
        <v>3973</v>
      </c>
      <c r="H681" s="941" t="s">
        <v>3995</v>
      </c>
      <c r="I681" s="943">
        <v>1008</v>
      </c>
      <c r="J681" s="941">
        <v>0</v>
      </c>
      <c r="K681" s="941">
        <v>16</v>
      </c>
      <c r="L681" s="941">
        <f t="shared" si="126"/>
        <v>63</v>
      </c>
      <c r="M681" s="944">
        <v>46251</v>
      </c>
      <c r="N681" s="945">
        <v>46249</v>
      </c>
      <c r="O681" s="940"/>
      <c r="P681" s="943" t="s">
        <v>1410</v>
      </c>
      <c r="Q681" s="943"/>
      <c r="R681" s="876">
        <v>46220</v>
      </c>
      <c r="S681" s="877" t="s">
        <v>107</v>
      </c>
      <c r="T681" s="877" t="s">
        <v>6068</v>
      </c>
      <c r="U681" s="946"/>
      <c r="V681" s="877"/>
      <c r="W681" s="947"/>
      <c r="X681" s="947" t="s">
        <v>6069</v>
      </c>
      <c r="Y681" s="944" t="s">
        <v>450</v>
      </c>
      <c r="Z681" s="948">
        <v>4.6933</v>
      </c>
      <c r="AA681" s="668">
        <f>I681*Z681</f>
        <v>4730.8464</v>
      </c>
      <c r="AB681" s="831"/>
      <c r="AC681" s="872" t="s">
        <v>4108</v>
      </c>
      <c r="AD681" s="871" t="s">
        <v>112</v>
      </c>
      <c r="AE681" s="941">
        <f t="shared" si="125"/>
        <v>1008</v>
      </c>
      <c r="AF681" s="871" t="s">
        <v>4109</v>
      </c>
      <c r="AG681" s="941">
        <v>1008</v>
      </c>
      <c r="AH681" s="871">
        <f t="shared" si="127"/>
        <v>0</v>
      </c>
      <c r="AI681" s="943"/>
      <c r="AJ681" s="930" t="s">
        <v>3981</v>
      </c>
      <c r="AK681" s="872"/>
      <c r="AL681" s="872">
        <f>I681</f>
        <v>1008</v>
      </c>
      <c r="AM681" s="872"/>
      <c r="AN681" s="872">
        <f t="shared" si="132"/>
        <v>1008</v>
      </c>
      <c r="AO681" s="872"/>
      <c r="AP681" s="872"/>
      <c r="AQ681" s="872"/>
      <c r="AR681" s="872"/>
      <c r="AS681" s="872"/>
      <c r="AT681" s="872"/>
      <c r="AU681" s="668">
        <f>I681/8</f>
        <v>126</v>
      </c>
      <c r="BI681" s="872"/>
    </row>
    <row r="682" s="659" customFormat="1" ht="31" customHeight="1" spans="1:108">
      <c r="A682" s="819">
        <v>46176</v>
      </c>
      <c r="B682" s="820" t="s">
        <v>507</v>
      </c>
      <c r="C682" s="821" t="s">
        <v>508</v>
      </c>
      <c r="D682" s="822">
        <v>4500210568</v>
      </c>
      <c r="E682" s="821">
        <v>2635323</v>
      </c>
      <c r="F682" s="822" t="s">
        <v>6070</v>
      </c>
      <c r="G682" s="823" t="s">
        <v>3980</v>
      </c>
      <c r="H682" s="708" t="s">
        <v>3978</v>
      </c>
      <c r="I682" s="824">
        <v>1512</v>
      </c>
      <c r="J682" s="821">
        <v>0</v>
      </c>
      <c r="K682" s="821">
        <v>8</v>
      </c>
      <c r="L682" s="821">
        <f t="shared" si="126"/>
        <v>189</v>
      </c>
      <c r="M682" s="825">
        <v>46251</v>
      </c>
      <c r="N682" s="863">
        <v>46249</v>
      </c>
      <c r="O682" s="820"/>
      <c r="P682" s="824"/>
      <c r="Q682" s="824" t="s">
        <v>2406</v>
      </c>
      <c r="R682" s="864">
        <v>46176</v>
      </c>
      <c r="S682" s="828" t="s">
        <v>107</v>
      </c>
      <c r="T682" s="828" t="s">
        <v>6071</v>
      </c>
      <c r="U682" s="828"/>
      <c r="V682" s="829"/>
      <c r="W682" s="828"/>
      <c r="X682" s="828" t="s">
        <v>6072</v>
      </c>
      <c r="Y682" s="825" t="s">
        <v>513</v>
      </c>
      <c r="Z682" s="830">
        <v>4.7788</v>
      </c>
      <c r="AA682" s="822">
        <f>I682*Z682</f>
        <v>7225.5456</v>
      </c>
      <c r="AB682" s="831"/>
      <c r="AC682" s="895" t="s">
        <v>3980</v>
      </c>
      <c r="AD682" s="821" t="s">
        <v>112</v>
      </c>
      <c r="AE682" s="821">
        <f t="shared" si="125"/>
        <v>1512</v>
      </c>
      <c r="AF682" s="821" t="s">
        <v>5125</v>
      </c>
      <c r="AG682" s="708"/>
      <c r="AH682" s="833">
        <f t="shared" si="127"/>
        <v>-1512</v>
      </c>
      <c r="AI682" s="824"/>
      <c r="AJ682" s="932" t="s">
        <v>3981</v>
      </c>
      <c r="AK682" s="834">
        <f>I682</f>
        <v>1512</v>
      </c>
      <c r="AL682" s="834"/>
      <c r="AM682" s="822"/>
      <c r="AN682" s="834">
        <f t="shared" si="132"/>
        <v>1512</v>
      </c>
      <c r="AO682" s="822"/>
      <c r="AP682" s="822"/>
      <c r="AQ682" s="822"/>
      <c r="AR682" s="822"/>
      <c r="AS682" s="822"/>
      <c r="AT682" s="822">
        <f>I682/8</f>
        <v>189</v>
      </c>
      <c r="AU682" s="834"/>
      <c r="AV682" s="834"/>
      <c r="AW682" s="834"/>
      <c r="AX682" s="822">
        <f>I682/8</f>
        <v>189</v>
      </c>
      <c r="AY682" s="822"/>
      <c r="AZ682" s="822"/>
      <c r="BA682" s="822"/>
      <c r="BB682" s="822"/>
      <c r="BC682" s="822"/>
      <c r="BD682" s="822"/>
      <c r="BE682" s="822"/>
      <c r="BF682" s="822"/>
      <c r="BG682" s="822"/>
      <c r="BH682" s="822"/>
      <c r="BI682" s="822"/>
    </row>
    <row r="683" s="659" customFormat="1" ht="31" customHeight="1" spans="1:108">
      <c r="A683" s="859">
        <v>46115</v>
      </c>
      <c r="B683" s="860" t="s">
        <v>2382</v>
      </c>
      <c r="C683" s="708" t="s">
        <v>201</v>
      </c>
      <c r="D683" s="834">
        <v>4500200105</v>
      </c>
      <c r="E683" s="1911" t="s">
        <v>6073</v>
      </c>
      <c r="F683" s="834" t="s">
        <v>3045</v>
      </c>
      <c r="G683" s="846" t="s">
        <v>4215</v>
      </c>
      <c r="H683" s="708" t="s">
        <v>483</v>
      </c>
      <c r="I683" s="861">
        <v>4320</v>
      </c>
      <c r="J683" s="708">
        <v>0</v>
      </c>
      <c r="K683" s="708">
        <v>120</v>
      </c>
      <c r="L683" s="708">
        <f t="shared" si="126"/>
        <v>36</v>
      </c>
      <c r="M683" s="879">
        <v>46251</v>
      </c>
      <c r="N683" s="879">
        <v>46249</v>
      </c>
      <c r="O683" s="860"/>
      <c r="P683" s="861"/>
      <c r="Q683" s="861"/>
      <c r="R683" s="864">
        <v>46197</v>
      </c>
      <c r="S683" s="829" t="s">
        <v>107</v>
      </c>
      <c r="T683" s="829" t="s">
        <v>95</v>
      </c>
      <c r="U683" s="829"/>
      <c r="V683" s="829"/>
      <c r="W683" s="829"/>
      <c r="X683" s="829" t="s">
        <v>636</v>
      </c>
      <c r="Y683" s="862" t="s">
        <v>488</v>
      </c>
      <c r="Z683" s="866">
        <v>1070</v>
      </c>
      <c r="AA683" s="834">
        <f>L683*Z683</f>
        <v>38520</v>
      </c>
      <c r="AB683" s="831"/>
      <c r="AC683" s="887" t="s">
        <v>490</v>
      </c>
      <c r="AD683" s="708" t="s">
        <v>112</v>
      </c>
      <c r="AE683" s="708">
        <f t="shared" si="125"/>
        <v>4320</v>
      </c>
      <c r="AF683" s="708"/>
      <c r="AG683" s="708">
        <f>594+185+556+555+1110+186+1134</f>
        <v>4320</v>
      </c>
      <c r="AH683" s="833">
        <f t="shared" si="127"/>
        <v>0</v>
      </c>
      <c r="AI683" s="861"/>
      <c r="AJ683" s="932" t="s">
        <v>3981</v>
      </c>
      <c r="AK683" s="834"/>
      <c r="AL683" s="834"/>
      <c r="AM683" s="834"/>
      <c r="AN683" s="834"/>
      <c r="AO683" s="834"/>
      <c r="AP683" s="834"/>
      <c r="AQ683" s="834">
        <f>I683</f>
        <v>4320</v>
      </c>
      <c r="AR683" s="834">
        <f>I683</f>
        <v>4320</v>
      </c>
      <c r="AS683" s="834">
        <f>I683/6</f>
        <v>720</v>
      </c>
      <c r="AT683" s="834"/>
      <c r="AU683" s="834"/>
      <c r="AV683" s="834"/>
      <c r="AW683" s="834"/>
      <c r="AX683" s="834"/>
      <c r="AY683" s="834"/>
      <c r="AZ683" s="834"/>
      <c r="BA683" s="834"/>
      <c r="BB683" s="834"/>
      <c r="BC683" s="834"/>
      <c r="BD683" s="834"/>
      <c r="BE683" s="834"/>
      <c r="BF683" s="834"/>
      <c r="BG683" s="834"/>
      <c r="BH683" s="834"/>
      <c r="BI683" s="834"/>
      <c r="BJ683" s="835"/>
      <c r="BK683" s="835"/>
      <c r="BL683" s="835"/>
      <c r="BM683" s="835"/>
      <c r="BN683" s="835"/>
      <c r="BO683" s="835"/>
      <c r="BP683" s="835"/>
      <c r="BQ683" s="835"/>
      <c r="BR683" s="835"/>
      <c r="BS683" s="835"/>
      <c r="BT683" s="835"/>
      <c r="BU683" s="835"/>
      <c r="BV683" s="835"/>
      <c r="BW683" s="835"/>
      <c r="BX683" s="835"/>
      <c r="BY683" s="835"/>
      <c r="BZ683" s="835"/>
      <c r="CA683" s="835"/>
      <c r="CB683" s="835"/>
      <c r="CC683" s="835"/>
      <c r="CD683" s="835"/>
      <c r="CE683" s="835"/>
      <c r="CF683" s="835"/>
      <c r="CG683" s="835"/>
      <c r="CH683" s="835"/>
      <c r="CI683" s="835"/>
      <c r="CJ683" s="835"/>
      <c r="CK683" s="835"/>
      <c r="CL683" s="835"/>
      <c r="CM683" s="835"/>
      <c r="CN683" s="835"/>
      <c r="CO683" s="835"/>
      <c r="CP683" s="835"/>
      <c r="CQ683" s="835"/>
      <c r="CR683" s="835"/>
      <c r="CS683" s="666"/>
      <c r="CT683" s="666"/>
      <c r="CU683" s="666"/>
      <c r="CV683" s="666"/>
      <c r="CW683" s="666"/>
      <c r="CX683" s="666"/>
      <c r="CY683" s="666"/>
      <c r="CZ683" s="666"/>
      <c r="DA683" s="666"/>
      <c r="DB683" s="666"/>
      <c r="DC683" s="666"/>
      <c r="DD683" s="666"/>
    </row>
    <row r="684" s="666" customFormat="1" ht="31" customHeight="1" spans="1:108">
      <c r="A684" s="819">
        <v>46206</v>
      </c>
      <c r="B684" s="820" t="s">
        <v>499</v>
      </c>
      <c r="C684" s="821" t="s">
        <v>115</v>
      </c>
      <c r="D684" s="822" t="s">
        <v>6074</v>
      </c>
      <c r="E684" s="821" t="s">
        <v>6075</v>
      </c>
      <c r="F684" s="822" t="s">
        <v>6076</v>
      </c>
      <c r="G684" s="823" t="s">
        <v>4414</v>
      </c>
      <c r="H684" s="708" t="s">
        <v>3978</v>
      </c>
      <c r="I684" s="824">
        <v>2560</v>
      </c>
      <c r="J684" s="821">
        <v>0</v>
      </c>
      <c r="K684" s="821">
        <v>512</v>
      </c>
      <c r="L684" s="821">
        <f t="shared" si="126"/>
        <v>5</v>
      </c>
      <c r="M684" s="825">
        <v>46251</v>
      </c>
      <c r="N684" s="863">
        <v>46249</v>
      </c>
      <c r="O684" s="949" t="s">
        <v>6077</v>
      </c>
      <c r="P684" s="824"/>
      <c r="Q684" s="824" t="s">
        <v>1241</v>
      </c>
      <c r="R684" s="827" t="s">
        <v>4201</v>
      </c>
      <c r="S684" s="828" t="s">
        <v>107</v>
      </c>
      <c r="T684" s="828" t="s">
        <v>5989</v>
      </c>
      <c r="U684" s="828"/>
      <c r="V684" s="829" t="s">
        <v>4706</v>
      </c>
      <c r="W684" s="828"/>
      <c r="X684" s="828" t="s">
        <v>5586</v>
      </c>
      <c r="Y684" s="825" t="s">
        <v>503</v>
      </c>
      <c r="Z684" s="830">
        <v>1485.124</v>
      </c>
      <c r="AA684" s="822">
        <f>Z684*L684</f>
        <v>7425.62</v>
      </c>
      <c r="AB684" s="831"/>
      <c r="AC684" s="887" t="s">
        <v>4194</v>
      </c>
      <c r="AD684" s="821" t="s">
        <v>112</v>
      </c>
      <c r="AE684" s="821">
        <f t="shared" si="125"/>
        <v>2560</v>
      </c>
      <c r="AF684" s="821" t="s">
        <v>5125</v>
      </c>
      <c r="AG684" s="708"/>
      <c r="AH684" s="833">
        <f t="shared" si="127"/>
        <v>-2560</v>
      </c>
      <c r="AI684" s="824"/>
      <c r="AJ684" s="932" t="s">
        <v>3981</v>
      </c>
      <c r="AK684" s="834">
        <f>I684</f>
        <v>2560</v>
      </c>
      <c r="AL684" s="834"/>
      <c r="AM684" s="834"/>
      <c r="AN684" s="834">
        <f t="shared" ref="AN684:AN699" si="134">I684</f>
        <v>2560</v>
      </c>
      <c r="AO684" s="822"/>
      <c r="AP684" s="822"/>
      <c r="AQ684" s="822"/>
      <c r="AR684" s="822"/>
      <c r="AS684" s="822"/>
      <c r="AT684" s="822">
        <f>I684/8</f>
        <v>320</v>
      </c>
      <c r="AU684" s="834"/>
      <c r="AV684" s="834"/>
      <c r="AW684" s="834"/>
      <c r="AX684" s="822"/>
      <c r="AY684" s="822"/>
      <c r="AZ684" s="822"/>
      <c r="BA684" s="822"/>
      <c r="BB684" s="822"/>
      <c r="BC684" s="822"/>
      <c r="BD684" s="822"/>
      <c r="BE684" s="822"/>
      <c r="BF684" s="822"/>
      <c r="BG684" s="822"/>
      <c r="BH684" s="822"/>
      <c r="BI684" s="822"/>
      <c r="BJ684" s="835"/>
      <c r="BK684" s="835"/>
      <c r="BL684" s="835"/>
      <c r="BM684" s="835"/>
      <c r="BN684" s="835"/>
      <c r="BO684" s="835"/>
      <c r="BP684" s="835"/>
      <c r="BQ684" s="835"/>
      <c r="BR684" s="835"/>
      <c r="BS684" s="835"/>
      <c r="BT684" s="835"/>
      <c r="BU684" s="835"/>
      <c r="BV684" s="835"/>
      <c r="BW684" s="835"/>
      <c r="BX684" s="835"/>
      <c r="BY684" s="835"/>
      <c r="BZ684" s="835"/>
      <c r="CA684" s="835"/>
      <c r="CB684" s="835"/>
      <c r="CC684" s="835"/>
      <c r="CD684" s="835"/>
      <c r="CE684" s="835"/>
      <c r="CF684" s="835"/>
      <c r="CG684" s="835"/>
      <c r="CH684" s="835"/>
      <c r="CI684" s="835"/>
      <c r="CJ684" s="835"/>
      <c r="CK684" s="835"/>
      <c r="CL684" s="835"/>
      <c r="CM684" s="835"/>
      <c r="CN684" s="835"/>
      <c r="CO684" s="835"/>
      <c r="CP684" s="835"/>
      <c r="CQ684" s="835"/>
      <c r="CR684" s="835"/>
      <c r="CS684" s="835"/>
      <c r="CT684" s="835"/>
      <c r="CU684" s="835"/>
      <c r="CV684" s="835"/>
      <c r="CW684" s="835"/>
      <c r="CX684" s="835"/>
      <c r="CY684" s="835"/>
      <c r="CZ684" s="835"/>
      <c r="DA684" s="835"/>
      <c r="DB684" s="835"/>
      <c r="DC684" s="835"/>
      <c r="DD684" s="835"/>
    </row>
    <row r="685" s="660" customFormat="1" ht="31" customHeight="1" spans="1:108">
      <c r="A685" s="869">
        <v>46174</v>
      </c>
      <c r="B685" s="870" t="s">
        <v>3025</v>
      </c>
      <c r="C685" s="871" t="s">
        <v>291</v>
      </c>
      <c r="D685" s="872">
        <v>4500210228</v>
      </c>
      <c r="E685" s="871"/>
      <c r="F685" s="872" t="s">
        <v>6078</v>
      </c>
      <c r="G685" s="873" t="s">
        <v>3973</v>
      </c>
      <c r="H685" s="871" t="s">
        <v>3995</v>
      </c>
      <c r="I685" s="874">
        <v>1056</v>
      </c>
      <c r="J685" s="871">
        <v>0</v>
      </c>
      <c r="K685" s="871">
        <v>16</v>
      </c>
      <c r="L685" s="871">
        <f t="shared" si="126"/>
        <v>66</v>
      </c>
      <c r="M685" s="875">
        <v>46251</v>
      </c>
      <c r="N685" s="919">
        <v>46249</v>
      </c>
      <c r="O685" s="870"/>
      <c r="P685" s="874" t="s">
        <v>1410</v>
      </c>
      <c r="Q685" s="874"/>
      <c r="R685" s="876">
        <v>46220</v>
      </c>
      <c r="S685" s="877" t="s">
        <v>107</v>
      </c>
      <c r="T685" s="877" t="s">
        <v>6068</v>
      </c>
      <c r="U685" s="877"/>
      <c r="V685" s="877"/>
      <c r="W685" s="877"/>
      <c r="X685" s="931" t="s">
        <v>6079</v>
      </c>
      <c r="Y685" s="875" t="s">
        <v>450</v>
      </c>
      <c r="Z685" s="878">
        <v>4.6933</v>
      </c>
      <c r="AA685" s="872">
        <f t="shared" ref="AA685:AA694" si="135">I685*Z685</f>
        <v>4956.1248</v>
      </c>
      <c r="AB685" s="831"/>
      <c r="AC685" s="872" t="s">
        <v>4108</v>
      </c>
      <c r="AD685" s="871" t="s">
        <v>112</v>
      </c>
      <c r="AE685" s="871">
        <f t="shared" si="125"/>
        <v>1056</v>
      </c>
      <c r="AF685" s="871" t="s">
        <v>4109</v>
      </c>
      <c r="AG685" s="871">
        <v>1056</v>
      </c>
      <c r="AH685" s="871">
        <f t="shared" si="127"/>
        <v>0</v>
      </c>
      <c r="AI685" s="874"/>
      <c r="AJ685" s="930" t="s">
        <v>3981</v>
      </c>
      <c r="AK685" s="872"/>
      <c r="AL685" s="872">
        <f t="shared" ref="AL685:AL691" si="136">I685</f>
        <v>1056</v>
      </c>
      <c r="AM685" s="872"/>
      <c r="AN685" s="872">
        <f t="shared" si="134"/>
        <v>1056</v>
      </c>
      <c r="AO685" s="872"/>
      <c r="AP685" s="872"/>
      <c r="AQ685" s="872"/>
      <c r="AR685" s="872"/>
      <c r="AS685" s="872"/>
      <c r="AT685" s="872"/>
      <c r="AU685" s="872">
        <f>I685/8</f>
        <v>132</v>
      </c>
      <c r="AV685" s="872"/>
      <c r="AW685" s="872"/>
      <c r="AX685" s="872"/>
      <c r="AY685" s="872"/>
      <c r="AZ685" s="872"/>
      <c r="BA685" s="872"/>
      <c r="BB685" s="872"/>
      <c r="BC685" s="872"/>
      <c r="BD685" s="872"/>
      <c r="BE685" s="872"/>
      <c r="BF685" s="872"/>
      <c r="BG685" s="872"/>
      <c r="BH685" s="872"/>
      <c r="BI685" s="872"/>
    </row>
    <row r="686" s="666" customFormat="1" ht="31" customHeight="1" spans="1:108">
      <c r="A686" s="859">
        <v>46151</v>
      </c>
      <c r="B686" s="860" t="s">
        <v>2026</v>
      </c>
      <c r="C686" s="708" t="s">
        <v>2027</v>
      </c>
      <c r="D686" s="834" t="s">
        <v>6080</v>
      </c>
      <c r="E686" s="708" t="s">
        <v>628</v>
      </c>
      <c r="F686" s="834" t="s">
        <v>6081</v>
      </c>
      <c r="G686" s="846" t="s">
        <v>3973</v>
      </c>
      <c r="H686" s="708" t="s">
        <v>3995</v>
      </c>
      <c r="I686" s="861">
        <v>2752</v>
      </c>
      <c r="J686" s="708">
        <v>0</v>
      </c>
      <c r="K686" s="708">
        <v>16</v>
      </c>
      <c r="L686" s="708">
        <f t="shared" si="126"/>
        <v>172</v>
      </c>
      <c r="M686" s="862">
        <v>46251</v>
      </c>
      <c r="N686" s="879">
        <v>46249</v>
      </c>
      <c r="O686" s="860"/>
      <c r="P686" s="861"/>
      <c r="Q686" s="824" t="s">
        <v>2652</v>
      </c>
      <c r="R686" s="864">
        <v>46206</v>
      </c>
      <c r="S686" s="829" t="s">
        <v>107</v>
      </c>
      <c r="T686" s="828" t="s">
        <v>3035</v>
      </c>
      <c r="U686" s="829"/>
      <c r="V686" s="829"/>
      <c r="W686" s="829"/>
      <c r="X686" s="829" t="s">
        <v>3036</v>
      </c>
      <c r="Y686" s="862" t="s">
        <v>1252</v>
      </c>
      <c r="Z686" s="866">
        <v>4.5368</v>
      </c>
      <c r="AA686" s="834">
        <f t="shared" si="135"/>
        <v>12485.2736</v>
      </c>
      <c r="AB686" s="831"/>
      <c r="AC686" s="887" t="s">
        <v>4108</v>
      </c>
      <c r="AD686" s="821" t="s">
        <v>112</v>
      </c>
      <c r="AE686" s="708">
        <f t="shared" si="125"/>
        <v>2752</v>
      </c>
      <c r="AF686" s="715" t="s">
        <v>4109</v>
      </c>
      <c r="AG686" s="708">
        <v>2752</v>
      </c>
      <c r="AH686" s="833">
        <f t="shared" si="127"/>
        <v>0</v>
      </c>
      <c r="AI686" s="861"/>
      <c r="AJ686" s="932" t="s">
        <v>3981</v>
      </c>
      <c r="AK686" s="834"/>
      <c r="AL686" s="834">
        <f t="shared" si="136"/>
        <v>2752</v>
      </c>
      <c r="AM686" s="834"/>
      <c r="AN686" s="834">
        <f t="shared" si="134"/>
        <v>2752</v>
      </c>
      <c r="AO686" s="834"/>
      <c r="AP686" s="834"/>
      <c r="AQ686" s="834"/>
      <c r="AR686" s="834"/>
      <c r="AS686" s="834"/>
      <c r="AT686" s="822">
        <f>I686/8</f>
        <v>344</v>
      </c>
      <c r="AU686" s="834"/>
      <c r="AV686" s="834"/>
      <c r="AW686" s="834"/>
      <c r="AX686" s="834"/>
      <c r="AY686" s="834"/>
      <c r="AZ686" s="834"/>
      <c r="BA686" s="834"/>
      <c r="BB686" s="834"/>
      <c r="BC686" s="834"/>
      <c r="BD686" s="834"/>
      <c r="BE686" s="834"/>
      <c r="BF686" s="834"/>
      <c r="BG686" s="834"/>
      <c r="BH686" s="834"/>
      <c r="BI686" s="834"/>
      <c r="BJ686" s="659"/>
      <c r="BK686" s="659"/>
      <c r="BL686" s="659"/>
      <c r="BM686" s="659"/>
      <c r="BN686" s="659"/>
      <c r="BO686" s="659"/>
      <c r="BP686" s="659"/>
      <c r="BQ686" s="659"/>
      <c r="BR686" s="659"/>
      <c r="BS686" s="659"/>
      <c r="BT686" s="659"/>
      <c r="BU686" s="659"/>
      <c r="BV686" s="659"/>
      <c r="BW686" s="659"/>
      <c r="BX686" s="659"/>
      <c r="BY686" s="659"/>
      <c r="BZ686" s="659"/>
      <c r="CA686" s="659"/>
      <c r="CB686" s="659"/>
      <c r="CC686" s="659"/>
      <c r="CD686" s="659"/>
      <c r="CE686" s="659"/>
      <c r="CF686" s="659"/>
      <c r="CG686" s="659"/>
      <c r="CH686" s="659"/>
      <c r="CI686" s="659"/>
      <c r="CJ686" s="659"/>
      <c r="CK686" s="659"/>
      <c r="CL686" s="659"/>
      <c r="CM686" s="659"/>
      <c r="CN686" s="659"/>
      <c r="CO686" s="659"/>
      <c r="CP686" s="659"/>
      <c r="CQ686" s="659"/>
      <c r="CR686" s="659"/>
      <c r="CS686" s="659"/>
      <c r="CT686" s="659"/>
      <c r="CU686" s="659"/>
      <c r="CV686" s="659"/>
      <c r="CW686" s="659"/>
      <c r="CX686" s="659"/>
      <c r="CY686" s="659"/>
      <c r="CZ686" s="659"/>
      <c r="DA686" s="659"/>
      <c r="DB686" s="659"/>
      <c r="DC686" s="659"/>
      <c r="DD686" s="659"/>
    </row>
    <row r="687" s="666" customFormat="1" ht="31" customHeight="1" spans="1:108">
      <c r="A687" s="819">
        <v>46174</v>
      </c>
      <c r="B687" s="820" t="s">
        <v>3025</v>
      </c>
      <c r="C687" s="821" t="s">
        <v>291</v>
      </c>
      <c r="D687" s="822">
        <v>4500210229</v>
      </c>
      <c r="E687" s="821"/>
      <c r="F687" s="822" t="s">
        <v>6082</v>
      </c>
      <c r="G687" s="823" t="s">
        <v>3968</v>
      </c>
      <c r="H687" s="708" t="s">
        <v>3969</v>
      </c>
      <c r="I687" s="824">
        <v>2992</v>
      </c>
      <c r="J687" s="821">
        <v>0</v>
      </c>
      <c r="K687" s="821">
        <v>16</v>
      </c>
      <c r="L687" s="821">
        <f t="shared" si="126"/>
        <v>187</v>
      </c>
      <c r="M687" s="825">
        <v>46251</v>
      </c>
      <c r="N687" s="863">
        <v>46249</v>
      </c>
      <c r="O687" s="820"/>
      <c r="P687" s="824"/>
      <c r="Q687" s="824"/>
      <c r="R687" s="827">
        <v>46220</v>
      </c>
      <c r="S687" s="828" t="s">
        <v>107</v>
      </c>
      <c r="T687" s="828" t="s">
        <v>6068</v>
      </c>
      <c r="U687" s="828"/>
      <c r="V687" s="829"/>
      <c r="W687" s="828"/>
      <c r="X687" s="894" t="s">
        <v>6083</v>
      </c>
      <c r="Y687" s="825" t="s">
        <v>450</v>
      </c>
      <c r="Z687" s="830">
        <v>4.5862</v>
      </c>
      <c r="AA687" s="822">
        <f t="shared" si="135"/>
        <v>13721.9104</v>
      </c>
      <c r="AB687" s="831"/>
      <c r="AC687" s="887" t="s">
        <v>4426</v>
      </c>
      <c r="AD687" s="821" t="s">
        <v>112</v>
      </c>
      <c r="AE687" s="821">
        <f t="shared" si="125"/>
        <v>2992</v>
      </c>
      <c r="AF687" s="950"/>
      <c r="AG687" s="708"/>
      <c r="AH687" s="833">
        <f t="shared" si="127"/>
        <v>-2992</v>
      </c>
      <c r="AI687" s="824"/>
      <c r="AJ687" s="932" t="s">
        <v>3981</v>
      </c>
      <c r="AK687" s="822"/>
      <c r="AL687" s="834">
        <f t="shared" si="136"/>
        <v>2992</v>
      </c>
      <c r="AM687" s="822"/>
      <c r="AN687" s="834">
        <f t="shared" si="134"/>
        <v>2992</v>
      </c>
      <c r="AO687" s="822"/>
      <c r="AP687" s="822"/>
      <c r="AQ687" s="822"/>
      <c r="AR687" s="822"/>
      <c r="AS687" s="822"/>
      <c r="AT687" s="822"/>
      <c r="AU687" s="834"/>
      <c r="AV687" s="834"/>
      <c r="AW687" s="834"/>
      <c r="AX687" s="822"/>
      <c r="AY687" s="822"/>
      <c r="AZ687" s="822"/>
      <c r="BA687" s="822"/>
      <c r="BB687" s="822"/>
      <c r="BC687" s="822"/>
      <c r="BD687" s="822"/>
      <c r="BE687" s="822"/>
      <c r="BF687" s="822"/>
      <c r="BG687" s="822"/>
      <c r="BH687" s="822"/>
      <c r="BI687" s="822"/>
      <c r="BJ687" s="659"/>
      <c r="BK687" s="659"/>
      <c r="BL687" s="659"/>
      <c r="BM687" s="659"/>
      <c r="BN687" s="659"/>
      <c r="BO687" s="659"/>
      <c r="BP687" s="659"/>
      <c r="BQ687" s="659"/>
      <c r="BR687" s="659"/>
      <c r="BS687" s="659"/>
      <c r="BT687" s="659"/>
      <c r="BU687" s="659"/>
      <c r="BV687" s="659"/>
      <c r="BW687" s="659"/>
      <c r="BX687" s="659"/>
      <c r="BY687" s="659"/>
      <c r="BZ687" s="659"/>
      <c r="CA687" s="659"/>
      <c r="CB687" s="659"/>
      <c r="CC687" s="659"/>
      <c r="CD687" s="659"/>
      <c r="CE687" s="659"/>
      <c r="CF687" s="659"/>
      <c r="CG687" s="659"/>
      <c r="CH687" s="659"/>
      <c r="CI687" s="659"/>
      <c r="CJ687" s="659"/>
      <c r="CK687" s="659"/>
      <c r="CL687" s="659"/>
      <c r="CM687" s="659"/>
      <c r="CN687" s="659"/>
      <c r="CO687" s="659"/>
      <c r="CP687" s="659"/>
      <c r="CQ687" s="659"/>
      <c r="CR687" s="659"/>
      <c r="CS687" s="659"/>
      <c r="CT687" s="659"/>
      <c r="CU687" s="659"/>
      <c r="CV687" s="659"/>
      <c r="CW687" s="659"/>
      <c r="CX687" s="659"/>
      <c r="CY687" s="659"/>
      <c r="CZ687" s="659"/>
      <c r="DA687" s="659"/>
      <c r="DB687" s="659"/>
      <c r="DC687" s="659"/>
      <c r="DD687" s="659"/>
    </row>
    <row r="688" s="669" customFormat="1" ht="31" customHeight="1" spans="1:108">
      <c r="A688" s="951">
        <v>46185</v>
      </c>
      <c r="B688" s="952" t="s">
        <v>743</v>
      </c>
      <c r="C688" s="953" t="s">
        <v>148</v>
      </c>
      <c r="D688" s="954">
        <v>4500211858</v>
      </c>
      <c r="E688" s="953" t="s">
        <v>2935</v>
      </c>
      <c r="F688" s="669" t="s">
        <v>6084</v>
      </c>
      <c r="G688" s="955" t="s">
        <v>3968</v>
      </c>
      <c r="H688" s="956" t="s">
        <v>3969</v>
      </c>
      <c r="I688" s="957">
        <v>3760</v>
      </c>
      <c r="J688" s="953">
        <v>0</v>
      </c>
      <c r="K688" s="953">
        <v>16</v>
      </c>
      <c r="L688" s="953">
        <f t="shared" si="126"/>
        <v>235</v>
      </c>
      <c r="M688" s="958">
        <v>46251</v>
      </c>
      <c r="N688" s="959">
        <v>46249</v>
      </c>
      <c r="O688" s="952"/>
      <c r="P688" s="957"/>
      <c r="Q688" s="957"/>
      <c r="R688" s="827" t="s">
        <v>541</v>
      </c>
      <c r="S688" s="828" t="s">
        <v>107</v>
      </c>
      <c r="T688" s="828" t="s">
        <v>6085</v>
      </c>
      <c r="U688" s="848"/>
      <c r="V688" s="960"/>
      <c r="W688" s="961"/>
      <c r="X688" s="961" t="s">
        <v>6086</v>
      </c>
      <c r="Y688" s="958" t="s">
        <v>2610</v>
      </c>
      <c r="Z688" s="962">
        <v>4.6846</v>
      </c>
      <c r="AA688" s="669">
        <f t="shared" si="135"/>
        <v>17614.096</v>
      </c>
      <c r="AB688" s="831"/>
      <c r="AC688" s="822" t="s">
        <v>4426</v>
      </c>
      <c r="AD688" s="953" t="s">
        <v>112</v>
      </c>
      <c r="AE688" s="953">
        <f t="shared" si="125"/>
        <v>3760</v>
      </c>
      <c r="AF688" s="963"/>
      <c r="AG688" s="956">
        <v>3760</v>
      </c>
      <c r="AH688" s="833">
        <f t="shared" si="127"/>
        <v>0</v>
      </c>
      <c r="AI688" s="957"/>
      <c r="AJ688" s="932" t="s">
        <v>3981</v>
      </c>
      <c r="AK688" s="822"/>
      <c r="AL688" s="834">
        <f t="shared" si="136"/>
        <v>3760</v>
      </c>
      <c r="AM688" s="822"/>
      <c r="AN688" s="834">
        <f t="shared" si="134"/>
        <v>3760</v>
      </c>
      <c r="AP688" s="822"/>
      <c r="AQ688" s="669"/>
      <c r="AR688" s="669"/>
      <c r="AS688" s="669"/>
      <c r="AT688" s="669"/>
      <c r="AU688" s="834"/>
      <c r="AV688" s="834"/>
      <c r="AW688" s="834"/>
      <c r="AX688" s="669"/>
      <c r="BI688" s="822"/>
      <c r="BJ688" s="670"/>
      <c r="BK688" s="670"/>
      <c r="BL688" s="670"/>
      <c r="BM688" s="670"/>
      <c r="BN688" s="670"/>
      <c r="BO688" s="670"/>
      <c r="BP688" s="670"/>
      <c r="BQ688" s="670"/>
      <c r="BR688" s="670"/>
      <c r="BS688" s="670"/>
      <c r="BT688" s="670"/>
      <c r="BU688" s="670"/>
      <c r="BV688" s="670"/>
      <c r="BW688" s="670"/>
      <c r="BX688" s="670"/>
      <c r="BY688" s="670"/>
      <c r="BZ688" s="670"/>
      <c r="CA688" s="670"/>
      <c r="CB688" s="670"/>
      <c r="CC688" s="670"/>
      <c r="CD688" s="670"/>
      <c r="CE688" s="670"/>
      <c r="CF688" s="670"/>
      <c r="CG688" s="670"/>
      <c r="CH688" s="670"/>
      <c r="CI688" s="670"/>
      <c r="CJ688" s="670"/>
      <c r="CK688" s="670"/>
      <c r="CL688" s="670"/>
      <c r="CM688" s="670"/>
      <c r="CN688" s="670"/>
      <c r="CO688" s="670"/>
      <c r="CP688" s="670"/>
      <c r="CQ688" s="670"/>
      <c r="CR688" s="670"/>
      <c r="CS688" s="676"/>
      <c r="CT688" s="676"/>
      <c r="CU688" s="676"/>
      <c r="CV688" s="676"/>
      <c r="CW688" s="676"/>
      <c r="CX688" s="676"/>
      <c r="CY688" s="676"/>
      <c r="CZ688" s="676"/>
      <c r="DA688" s="676"/>
      <c r="DB688" s="676"/>
      <c r="DC688" s="676"/>
      <c r="DD688" s="676"/>
    </row>
    <row r="689" s="670" customFormat="1" ht="31" customHeight="1" spans="1:108">
      <c r="A689" s="951">
        <v>46185</v>
      </c>
      <c r="B689" s="952" t="s">
        <v>743</v>
      </c>
      <c r="C689" s="953" t="s">
        <v>810</v>
      </c>
      <c r="D689" s="954">
        <v>4500211858</v>
      </c>
      <c r="E689" s="953" t="s">
        <v>2937</v>
      </c>
      <c r="F689" s="669" t="s">
        <v>6087</v>
      </c>
      <c r="G689" s="955" t="s">
        <v>3968</v>
      </c>
      <c r="H689" s="956" t="s">
        <v>3969</v>
      </c>
      <c r="I689" s="957">
        <v>3744</v>
      </c>
      <c r="J689" s="953">
        <v>0</v>
      </c>
      <c r="K689" s="953">
        <v>16</v>
      </c>
      <c r="L689" s="953">
        <f t="shared" si="126"/>
        <v>234</v>
      </c>
      <c r="M689" s="958">
        <v>46251</v>
      </c>
      <c r="N689" s="959">
        <v>46249</v>
      </c>
      <c r="O689" s="952"/>
      <c r="P689" s="957"/>
      <c r="Q689" s="957"/>
      <c r="R689" s="827" t="s">
        <v>541</v>
      </c>
      <c r="S689" s="828" t="s">
        <v>107</v>
      </c>
      <c r="T689" s="828" t="s">
        <v>6085</v>
      </c>
      <c r="U689" s="848"/>
      <c r="V689" s="960"/>
      <c r="W689" s="961"/>
      <c r="X689" s="961" t="s">
        <v>6086</v>
      </c>
      <c r="Y689" s="958" t="s">
        <v>2610</v>
      </c>
      <c r="Z689" s="962">
        <v>4.7154</v>
      </c>
      <c r="AA689" s="669">
        <f t="shared" si="135"/>
        <v>17654.4576</v>
      </c>
      <c r="AB689" s="831"/>
      <c r="AC689" s="669" t="s">
        <v>4426</v>
      </c>
      <c r="AD689" s="821" t="s">
        <v>112</v>
      </c>
      <c r="AE689" s="953">
        <f t="shared" si="125"/>
        <v>3744</v>
      </c>
      <c r="AF689" s="950"/>
      <c r="AG689" s="956"/>
      <c r="AH689" s="833">
        <f t="shared" si="127"/>
        <v>-3744</v>
      </c>
      <c r="AI689" s="824"/>
      <c r="AJ689" s="932" t="s">
        <v>3981</v>
      </c>
      <c r="AK689" s="822"/>
      <c r="AL689" s="834">
        <f t="shared" si="136"/>
        <v>3744</v>
      </c>
      <c r="AM689" s="822"/>
      <c r="AN689" s="834">
        <f t="shared" si="134"/>
        <v>3744</v>
      </c>
      <c r="AO689" s="669"/>
      <c r="AP689" s="822"/>
      <c r="AQ689" s="669"/>
      <c r="AR689" s="669"/>
      <c r="AS689" s="669"/>
      <c r="AT689" s="822"/>
      <c r="AX689" s="669"/>
      <c r="AY689" s="669"/>
      <c r="AZ689" s="669"/>
      <c r="BA689" s="669"/>
      <c r="BB689" s="669"/>
      <c r="BC689" s="669"/>
      <c r="BD689" s="669"/>
      <c r="BE689" s="669"/>
      <c r="BF689" s="669"/>
      <c r="BG689" s="669"/>
      <c r="BH689" s="669"/>
      <c r="BI689" s="822"/>
    </row>
    <row r="690" s="670" customFormat="1" ht="31" customHeight="1" spans="1:108">
      <c r="A690" s="951">
        <v>46185</v>
      </c>
      <c r="B690" s="952" t="s">
        <v>743</v>
      </c>
      <c r="C690" s="953" t="s">
        <v>164</v>
      </c>
      <c r="D690" s="954">
        <v>4500211858</v>
      </c>
      <c r="E690" s="953" t="s">
        <v>2928</v>
      </c>
      <c r="F690" s="669" t="s">
        <v>6088</v>
      </c>
      <c r="G690" s="955" t="s">
        <v>3968</v>
      </c>
      <c r="H690" s="956" t="s">
        <v>3969</v>
      </c>
      <c r="I690" s="957">
        <v>4400</v>
      </c>
      <c r="J690" s="953">
        <v>0</v>
      </c>
      <c r="K690" s="953">
        <v>16</v>
      </c>
      <c r="L690" s="953">
        <f t="shared" si="126"/>
        <v>275</v>
      </c>
      <c r="M690" s="958">
        <v>46251</v>
      </c>
      <c r="N690" s="959">
        <v>46249</v>
      </c>
      <c r="O690" s="952"/>
      <c r="P690" s="957"/>
      <c r="Q690" s="957"/>
      <c r="R690" s="886" t="s">
        <v>541</v>
      </c>
      <c r="S690" s="828" t="s">
        <v>107</v>
      </c>
      <c r="T690" s="848" t="s">
        <v>6085</v>
      </c>
      <c r="U690" s="848"/>
      <c r="V690" s="960"/>
      <c r="W690" s="961"/>
      <c r="X690" s="961" t="s">
        <v>6086</v>
      </c>
      <c r="Y690" s="958" t="s">
        <v>2610</v>
      </c>
      <c r="Z690" s="962">
        <v>4.674</v>
      </c>
      <c r="AA690" s="669">
        <f t="shared" si="135"/>
        <v>20565.6</v>
      </c>
      <c r="AB690" s="831"/>
      <c r="AC690" s="822" t="s">
        <v>4426</v>
      </c>
      <c r="AD690" s="821" t="s">
        <v>112</v>
      </c>
      <c r="AE690" s="953">
        <f t="shared" si="125"/>
        <v>4400</v>
      </c>
      <c r="AF690" s="963" t="s">
        <v>6089</v>
      </c>
      <c r="AG690" s="956">
        <v>4400</v>
      </c>
      <c r="AH690" s="833">
        <f t="shared" si="127"/>
        <v>0</v>
      </c>
      <c r="AI690" s="957"/>
      <c r="AJ690" s="964" t="s">
        <v>3981</v>
      </c>
      <c r="AK690" s="822"/>
      <c r="AL690" s="834">
        <f t="shared" si="136"/>
        <v>4400</v>
      </c>
      <c r="AM690" s="822"/>
      <c r="AN690" s="834">
        <f t="shared" si="134"/>
        <v>4400</v>
      </c>
      <c r="AO690" s="669"/>
      <c r="AP690" s="822"/>
      <c r="AQ690" s="669"/>
      <c r="AR690" s="669"/>
      <c r="AS690" s="669"/>
      <c r="AT690" s="669"/>
      <c r="AU690" s="670"/>
      <c r="AV690" s="834"/>
      <c r="AW690" s="834"/>
      <c r="AX690" s="822"/>
      <c r="AY690" s="822"/>
      <c r="AZ690" s="822"/>
      <c r="BA690" s="669"/>
      <c r="BB690" s="669"/>
      <c r="BC690" s="669"/>
      <c r="BD690" s="669"/>
      <c r="BE690" s="669"/>
      <c r="BF690" s="669"/>
      <c r="BG690" s="669"/>
      <c r="BH690" s="669"/>
      <c r="BI690" s="822"/>
      <c r="CS690" s="676"/>
      <c r="CT690" s="676"/>
      <c r="CU690" s="676"/>
      <c r="CV690" s="676"/>
      <c r="CW690" s="676"/>
      <c r="CX690" s="676"/>
      <c r="CY690" s="676"/>
      <c r="CZ690" s="676"/>
      <c r="DA690" s="676"/>
      <c r="DB690" s="676"/>
      <c r="DC690" s="676"/>
      <c r="DD690" s="676"/>
    </row>
    <row r="691" s="660" customFormat="1" ht="31" customHeight="1" spans="1:108">
      <c r="A691" s="869">
        <v>46185</v>
      </c>
      <c r="B691" s="870" t="s">
        <v>743</v>
      </c>
      <c r="C691" s="871" t="s">
        <v>164</v>
      </c>
      <c r="D691" s="893">
        <v>4500211858</v>
      </c>
      <c r="E691" s="871" t="s">
        <v>2931</v>
      </c>
      <c r="F691" s="872" t="s">
        <v>6090</v>
      </c>
      <c r="G691" s="873" t="s">
        <v>3968</v>
      </c>
      <c r="H691" s="871" t="s">
        <v>3969</v>
      </c>
      <c r="I691" s="874">
        <v>1552</v>
      </c>
      <c r="J691" s="871">
        <v>0</v>
      </c>
      <c r="K691" s="871">
        <v>16</v>
      </c>
      <c r="L691" s="871">
        <f t="shared" si="126"/>
        <v>97</v>
      </c>
      <c r="M691" s="875">
        <v>46251</v>
      </c>
      <c r="N691" s="919">
        <v>46249</v>
      </c>
      <c r="O691" s="870"/>
      <c r="P691" s="874" t="s">
        <v>1410</v>
      </c>
      <c r="Q691" s="874"/>
      <c r="R691" s="876" t="s">
        <v>541</v>
      </c>
      <c r="S691" s="877" t="s">
        <v>107</v>
      </c>
      <c r="T691" s="877" t="s">
        <v>6085</v>
      </c>
      <c r="U691" s="877"/>
      <c r="V691" s="877"/>
      <c r="W691" s="877"/>
      <c r="X691" s="877" t="s">
        <v>6086</v>
      </c>
      <c r="Y691" s="875" t="s">
        <v>2610</v>
      </c>
      <c r="Z691" s="878">
        <v>4.674</v>
      </c>
      <c r="AA691" s="872">
        <f t="shared" si="135"/>
        <v>7254.048</v>
      </c>
      <c r="AB691" s="831"/>
      <c r="AC691" s="872" t="s">
        <v>4426</v>
      </c>
      <c r="AD691" s="871" t="s">
        <v>112</v>
      </c>
      <c r="AE691" s="871">
        <f t="shared" si="125"/>
        <v>1552</v>
      </c>
      <c r="AF691" s="871" t="s">
        <v>4109</v>
      </c>
      <c r="AG691" s="871">
        <v>1552</v>
      </c>
      <c r="AH691" s="871">
        <f t="shared" si="127"/>
        <v>0</v>
      </c>
      <c r="AI691" s="874"/>
      <c r="AJ691" s="930" t="s">
        <v>3981</v>
      </c>
      <c r="AK691" s="872"/>
      <c r="AL691" s="872">
        <f t="shared" si="136"/>
        <v>1552</v>
      </c>
      <c r="AM691" s="872"/>
      <c r="AN691" s="872">
        <f t="shared" si="134"/>
        <v>1552</v>
      </c>
      <c r="AO691" s="872"/>
      <c r="AP691" s="872"/>
      <c r="AQ691" s="872"/>
      <c r="AR691" s="872"/>
      <c r="AS691" s="872"/>
      <c r="AT691" s="872"/>
      <c r="AU691" s="872"/>
      <c r="AV691" s="872"/>
      <c r="AW691" s="872"/>
      <c r="AX691" s="872"/>
      <c r="AY691" s="872"/>
      <c r="AZ691" s="872"/>
      <c r="BA691" s="872"/>
      <c r="BB691" s="872"/>
      <c r="BC691" s="872"/>
      <c r="BD691" s="872"/>
      <c r="BE691" s="872"/>
      <c r="BF691" s="872"/>
      <c r="BG691" s="872"/>
      <c r="BH691" s="872"/>
      <c r="BI691" s="872"/>
      <c r="CS691" s="663"/>
      <c r="CT691" s="663"/>
      <c r="CU691" s="663"/>
      <c r="CV691" s="663"/>
      <c r="CW691" s="663"/>
      <c r="CX691" s="663"/>
      <c r="CY691" s="663"/>
      <c r="CZ691" s="663"/>
      <c r="DA691" s="663"/>
      <c r="DB691" s="663"/>
      <c r="DC691" s="663"/>
      <c r="DD691" s="663"/>
    </row>
    <row r="692" s="659" customFormat="1" ht="31" customHeight="1" spans="1:108">
      <c r="A692" s="819">
        <v>46178</v>
      </c>
      <c r="B692" s="820" t="s">
        <v>2373</v>
      </c>
      <c r="C692" s="821" t="s">
        <v>101</v>
      </c>
      <c r="D692" s="822">
        <v>4500210835</v>
      </c>
      <c r="E692" s="821">
        <v>21802518</v>
      </c>
      <c r="F692" s="822" t="s">
        <v>6091</v>
      </c>
      <c r="G692" s="823" t="s">
        <v>3980</v>
      </c>
      <c r="H692" s="708" t="s">
        <v>3978</v>
      </c>
      <c r="I692" s="824">
        <v>112</v>
      </c>
      <c r="J692" s="821">
        <v>0</v>
      </c>
      <c r="K692" s="821">
        <v>8</v>
      </c>
      <c r="L692" s="821">
        <f t="shared" si="126"/>
        <v>14</v>
      </c>
      <c r="M692" s="825">
        <v>46251</v>
      </c>
      <c r="N692" s="863">
        <v>46252</v>
      </c>
      <c r="O692" s="820"/>
      <c r="P692" s="824"/>
      <c r="Q692" s="824"/>
      <c r="R692" s="827">
        <v>46217</v>
      </c>
      <c r="S692" s="828" t="s">
        <v>107</v>
      </c>
      <c r="T692" s="828" t="s">
        <v>6092</v>
      </c>
      <c r="U692" s="828"/>
      <c r="V692" s="828" t="s">
        <v>6093</v>
      </c>
      <c r="W692" s="828"/>
      <c r="X692" s="828" t="s">
        <v>6094</v>
      </c>
      <c r="Y692" s="825" t="s">
        <v>2378</v>
      </c>
      <c r="Z692" s="830">
        <v>4.7893</v>
      </c>
      <c r="AA692" s="822">
        <f t="shared" si="135"/>
        <v>536.4016</v>
      </c>
      <c r="AB692" s="831"/>
      <c r="AC692" s="895" t="s">
        <v>3980</v>
      </c>
      <c r="AD692" s="821" t="s">
        <v>112</v>
      </c>
      <c r="AE692" s="821">
        <f t="shared" si="125"/>
        <v>112</v>
      </c>
      <c r="AF692" s="821" t="s">
        <v>5125</v>
      </c>
      <c r="AG692" s="708"/>
      <c r="AH692" s="833">
        <f t="shared" si="127"/>
        <v>-112</v>
      </c>
      <c r="AI692" s="824"/>
      <c r="AJ692" s="708" t="s">
        <v>3981</v>
      </c>
      <c r="AK692" s="834">
        <f t="shared" ref="AK692:AK697" si="137">I692</f>
        <v>112</v>
      </c>
      <c r="AL692" s="834"/>
      <c r="AM692" s="822"/>
      <c r="AN692" s="834">
        <f t="shared" si="134"/>
        <v>112</v>
      </c>
      <c r="AO692" s="822"/>
      <c r="AP692" s="822"/>
      <c r="AQ692" s="822"/>
      <c r="AR692" s="822"/>
      <c r="AS692" s="822"/>
      <c r="AT692" s="822"/>
      <c r="AU692" s="834"/>
      <c r="AV692" s="834"/>
      <c r="AW692" s="834"/>
      <c r="AX692" s="822">
        <f>I692/8</f>
        <v>14</v>
      </c>
      <c r="AY692" s="822"/>
      <c r="AZ692" s="822"/>
      <c r="BA692" s="822"/>
      <c r="BB692" s="822"/>
      <c r="BC692" s="822"/>
      <c r="BD692" s="822"/>
      <c r="BE692" s="822"/>
      <c r="BF692" s="822"/>
      <c r="BG692" s="822"/>
      <c r="BH692" s="822"/>
      <c r="BI692" s="822"/>
    </row>
    <row r="693" s="659" customFormat="1" ht="31" customHeight="1" spans="1:108">
      <c r="A693" s="819">
        <v>46178</v>
      </c>
      <c r="B693" s="820" t="s">
        <v>2379</v>
      </c>
      <c r="C693" s="821" t="s">
        <v>508</v>
      </c>
      <c r="D693" s="822">
        <v>4500210834</v>
      </c>
      <c r="E693" s="821">
        <v>21802509</v>
      </c>
      <c r="F693" s="822" t="s">
        <v>6095</v>
      </c>
      <c r="G693" s="823" t="s">
        <v>3980</v>
      </c>
      <c r="H693" s="708" t="s">
        <v>3978</v>
      </c>
      <c r="I693" s="824">
        <v>1392</v>
      </c>
      <c r="J693" s="821">
        <v>0</v>
      </c>
      <c r="K693" s="821">
        <v>8</v>
      </c>
      <c r="L693" s="821">
        <f t="shared" si="126"/>
        <v>174</v>
      </c>
      <c r="M693" s="825">
        <v>46251</v>
      </c>
      <c r="N693" s="863">
        <v>46252</v>
      </c>
      <c r="O693" s="820"/>
      <c r="P693" s="824"/>
      <c r="Q693" s="824" t="s">
        <v>6096</v>
      </c>
      <c r="R693" s="827">
        <v>46217</v>
      </c>
      <c r="S693" s="828" t="s">
        <v>107</v>
      </c>
      <c r="T693" s="828" t="s">
        <v>6097</v>
      </c>
      <c r="U693" s="828"/>
      <c r="V693" s="828" t="s">
        <v>6093</v>
      </c>
      <c r="W693" s="828"/>
      <c r="X693" s="828" t="s">
        <v>6098</v>
      </c>
      <c r="Y693" s="825" t="s">
        <v>2378</v>
      </c>
      <c r="Z693" s="830">
        <v>4.7788</v>
      </c>
      <c r="AA693" s="822">
        <f t="shared" si="135"/>
        <v>6652.0896</v>
      </c>
      <c r="AB693" s="831"/>
      <c r="AC693" s="895" t="s">
        <v>3980</v>
      </c>
      <c r="AD693" s="821" t="s">
        <v>112</v>
      </c>
      <c r="AE693" s="821">
        <f t="shared" si="125"/>
        <v>1392</v>
      </c>
      <c r="AF693" s="821" t="s">
        <v>5125</v>
      </c>
      <c r="AG693" s="708"/>
      <c r="AH693" s="833">
        <f t="shared" si="127"/>
        <v>-1392</v>
      </c>
      <c r="AI693" s="824"/>
      <c r="AJ693" s="708" t="s">
        <v>3981</v>
      </c>
      <c r="AK693" s="834">
        <f t="shared" si="137"/>
        <v>1392</v>
      </c>
      <c r="AL693" s="834"/>
      <c r="AM693" s="822"/>
      <c r="AN693" s="834">
        <f t="shared" si="134"/>
        <v>1392</v>
      </c>
      <c r="AO693" s="822"/>
      <c r="AP693" s="822"/>
      <c r="AQ693" s="822"/>
      <c r="AR693" s="822"/>
      <c r="AS693" s="822"/>
      <c r="AT693" s="822"/>
      <c r="AU693" s="834"/>
      <c r="AV693" s="834"/>
      <c r="AW693" s="834"/>
      <c r="AX693" s="822">
        <f>I693/8</f>
        <v>174</v>
      </c>
      <c r="AY693" s="822"/>
      <c r="AZ693" s="822"/>
      <c r="BA693" s="822"/>
      <c r="BB693" s="822"/>
      <c r="BC693" s="822"/>
      <c r="BD693" s="822"/>
      <c r="BE693" s="822"/>
      <c r="BF693" s="822"/>
      <c r="BG693" s="822"/>
      <c r="BH693" s="822"/>
      <c r="BI693" s="822"/>
    </row>
    <row r="694" s="650" customFormat="1" ht="31" customHeight="1" spans="1:108">
      <c r="A694" s="713">
        <v>46198</v>
      </c>
      <c r="B694" s="714" t="s">
        <v>602</v>
      </c>
      <c r="C694" s="715" t="s">
        <v>508</v>
      </c>
      <c r="D694" s="652" t="s">
        <v>6099</v>
      </c>
      <c r="E694" s="715" t="s">
        <v>6100</v>
      </c>
      <c r="F694" s="652" t="s">
        <v>6101</v>
      </c>
      <c r="G694" s="716" t="s">
        <v>3980</v>
      </c>
      <c r="H694" s="715" t="s">
        <v>3978</v>
      </c>
      <c r="I694" s="717">
        <v>2400</v>
      </c>
      <c r="J694" s="715">
        <v>0</v>
      </c>
      <c r="K694" s="715">
        <v>8</v>
      </c>
      <c r="L694" s="715">
        <f t="shared" si="126"/>
        <v>300</v>
      </c>
      <c r="M694" s="719">
        <v>46251</v>
      </c>
      <c r="N694" s="738">
        <v>46252</v>
      </c>
      <c r="O694" s="714"/>
      <c r="P694" s="717" t="s">
        <v>1410</v>
      </c>
      <c r="Q694" s="717"/>
      <c r="R694" s="723">
        <v>46220</v>
      </c>
      <c r="S694" s="735" t="s">
        <v>107</v>
      </c>
      <c r="T694" s="720" t="s">
        <v>2940</v>
      </c>
      <c r="U694" s="720"/>
      <c r="V694" s="720"/>
      <c r="W694" s="720"/>
      <c r="X694" s="714" t="s">
        <v>6102</v>
      </c>
      <c r="Y694" s="719" t="s">
        <v>362</v>
      </c>
      <c r="Z694" s="730">
        <v>4.8567</v>
      </c>
      <c r="AA694" s="652">
        <f t="shared" si="135"/>
        <v>11656.08</v>
      </c>
      <c r="AB694" s="721"/>
      <c r="AC694" s="722" t="s">
        <v>3980</v>
      </c>
      <c r="AD694" s="715" t="s">
        <v>112</v>
      </c>
      <c r="AE694" s="715">
        <f t="shared" si="125"/>
        <v>2400</v>
      </c>
      <c r="AF694" s="715"/>
      <c r="AG694" s="715">
        <v>2400</v>
      </c>
      <c r="AH694" s="715">
        <f t="shared" si="127"/>
        <v>0</v>
      </c>
      <c r="AI694" s="717"/>
      <c r="AJ694" s="715" t="s">
        <v>3981</v>
      </c>
      <c r="AK694" s="652">
        <f t="shared" si="137"/>
        <v>2400</v>
      </c>
      <c r="AL694" s="652"/>
      <c r="AM694" s="652"/>
      <c r="AN694" s="652">
        <f t="shared" si="134"/>
        <v>2400</v>
      </c>
      <c r="AO694" s="652"/>
      <c r="AP694" s="652"/>
      <c r="AQ694" s="652"/>
      <c r="AR694" s="652"/>
      <c r="AS694" s="652"/>
      <c r="AT694" s="652"/>
      <c r="AU694" s="652"/>
      <c r="AV694" s="652"/>
      <c r="AW694" s="652"/>
      <c r="AX694" s="652">
        <f>I694/8</f>
        <v>300</v>
      </c>
      <c r="AY694" s="652"/>
      <c r="AZ694" s="652"/>
      <c r="BA694" s="652"/>
      <c r="BB694" s="652"/>
      <c r="BC694" s="652"/>
      <c r="BD694" s="652"/>
      <c r="BE694" s="652"/>
      <c r="BF694" s="652"/>
      <c r="BG694" s="652"/>
      <c r="BH694" s="652"/>
      <c r="BI694" s="652"/>
      <c r="BJ694" s="724"/>
      <c r="BK694" s="724"/>
      <c r="BL694" s="724"/>
      <c r="BM694" s="724"/>
      <c r="BN694" s="724"/>
      <c r="BO694" s="724"/>
      <c r="BP694" s="724"/>
      <c r="BQ694" s="724"/>
      <c r="BR694" s="724"/>
      <c r="BS694" s="724"/>
      <c r="BT694" s="724"/>
      <c r="BU694" s="724"/>
      <c r="BV694" s="724"/>
      <c r="BW694" s="724"/>
      <c r="BX694" s="724"/>
      <c r="BY694" s="724"/>
      <c r="BZ694" s="724"/>
      <c r="CA694" s="724"/>
      <c r="CB694" s="724"/>
      <c r="CC694" s="724"/>
      <c r="CD694" s="724"/>
      <c r="CE694" s="724"/>
      <c r="CF694" s="724"/>
      <c r="CG694" s="724"/>
      <c r="CH694" s="724"/>
      <c r="CI694" s="724"/>
      <c r="CJ694" s="724"/>
      <c r="CK694" s="724"/>
      <c r="CL694" s="724"/>
      <c r="CM694" s="724"/>
      <c r="CN694" s="724"/>
      <c r="CO694" s="724"/>
      <c r="CP694" s="724"/>
      <c r="CQ694" s="724"/>
      <c r="CR694" s="724"/>
      <c r="CS694" s="724"/>
      <c r="CT694" s="724"/>
      <c r="CU694" s="724"/>
      <c r="CV694" s="724"/>
      <c r="CW694" s="724"/>
      <c r="CX694" s="724"/>
      <c r="CY694" s="724"/>
      <c r="CZ694" s="724"/>
      <c r="DA694" s="724"/>
      <c r="DB694" s="724"/>
      <c r="DC694" s="724"/>
      <c r="DD694" s="724"/>
    </row>
    <row r="695" s="659" customFormat="1" ht="31" customHeight="1" spans="1:108">
      <c r="A695" s="819">
        <v>46206</v>
      </c>
      <c r="B695" s="820" t="s">
        <v>499</v>
      </c>
      <c r="C695" s="821" t="s">
        <v>115</v>
      </c>
      <c r="D695" s="822" t="s">
        <v>6074</v>
      </c>
      <c r="E695" s="821" t="s">
        <v>6103</v>
      </c>
      <c r="F695" s="822" t="s">
        <v>6104</v>
      </c>
      <c r="G695" s="823" t="s">
        <v>4414</v>
      </c>
      <c r="H695" s="708" t="s">
        <v>3978</v>
      </c>
      <c r="I695" s="824">
        <v>5632</v>
      </c>
      <c r="J695" s="821">
        <v>0</v>
      </c>
      <c r="K695" s="821">
        <v>512</v>
      </c>
      <c r="L695" s="821">
        <f t="shared" si="126"/>
        <v>11</v>
      </c>
      <c r="M695" s="825">
        <v>46251</v>
      </c>
      <c r="N695" s="863">
        <v>46252</v>
      </c>
      <c r="O695" s="820" t="s">
        <v>3182</v>
      </c>
      <c r="P695" s="824"/>
      <c r="Q695" s="824"/>
      <c r="R695" s="827" t="s">
        <v>4201</v>
      </c>
      <c r="S695" s="848" t="s">
        <v>107</v>
      </c>
      <c r="T695" s="828" t="s">
        <v>6105</v>
      </c>
      <c r="U695" s="828"/>
      <c r="V695" s="829" t="s">
        <v>4706</v>
      </c>
      <c r="W695" s="828"/>
      <c r="X695" s="828" t="s">
        <v>5586</v>
      </c>
      <c r="Y695" s="825" t="s">
        <v>503</v>
      </c>
      <c r="Z695" s="830">
        <v>1480.4555</v>
      </c>
      <c r="AA695" s="822">
        <f>Z695*L695</f>
        <v>16285.0105</v>
      </c>
      <c r="AB695" s="831"/>
      <c r="AC695" s="887" t="s">
        <v>4194</v>
      </c>
      <c r="AD695" s="821" t="s">
        <v>112</v>
      </c>
      <c r="AE695" s="821">
        <f t="shared" si="125"/>
        <v>5632</v>
      </c>
      <c r="AF695" s="821" t="s">
        <v>5125</v>
      </c>
      <c r="AG695" s="708"/>
      <c r="AH695" s="833">
        <f t="shared" si="127"/>
        <v>-5632</v>
      </c>
      <c r="AI695" s="824"/>
      <c r="AJ695" s="708" t="s">
        <v>3981</v>
      </c>
      <c r="AK695" s="834">
        <f t="shared" si="137"/>
        <v>5632</v>
      </c>
      <c r="AL695" s="834"/>
      <c r="AM695" s="834"/>
      <c r="AN695" s="834">
        <f t="shared" si="134"/>
        <v>5632</v>
      </c>
      <c r="AO695" s="822"/>
      <c r="AP695" s="822"/>
      <c r="AQ695" s="822"/>
      <c r="AR695" s="822"/>
      <c r="AS695" s="822"/>
      <c r="AT695" s="822">
        <f>I695/8</f>
        <v>704</v>
      </c>
      <c r="AU695" s="834"/>
      <c r="AV695" s="834"/>
      <c r="AW695" s="834"/>
      <c r="AX695" s="822"/>
      <c r="AY695" s="822"/>
      <c r="AZ695" s="822"/>
      <c r="BA695" s="822"/>
      <c r="BB695" s="822"/>
      <c r="BC695" s="822"/>
      <c r="BD695" s="822"/>
      <c r="BE695" s="822"/>
      <c r="BF695" s="822"/>
      <c r="BG695" s="822"/>
      <c r="BH695" s="822"/>
      <c r="BI695" s="822"/>
      <c r="BJ695" s="835"/>
      <c r="BK695" s="835"/>
      <c r="BL695" s="835"/>
      <c r="BM695" s="835"/>
      <c r="BN695" s="835"/>
      <c r="BO695" s="835"/>
      <c r="BP695" s="835"/>
      <c r="BQ695" s="835"/>
      <c r="BR695" s="835"/>
      <c r="BS695" s="835"/>
      <c r="BT695" s="835"/>
      <c r="BU695" s="835"/>
      <c r="BV695" s="835"/>
      <c r="BW695" s="835"/>
      <c r="BX695" s="835"/>
      <c r="BY695" s="835"/>
      <c r="BZ695" s="835"/>
      <c r="CA695" s="835"/>
      <c r="CB695" s="835"/>
      <c r="CC695" s="835"/>
      <c r="CD695" s="835"/>
      <c r="CE695" s="835"/>
      <c r="CF695" s="835"/>
      <c r="CG695" s="835"/>
      <c r="CH695" s="835"/>
      <c r="CI695" s="835"/>
      <c r="CJ695" s="835"/>
      <c r="CK695" s="835"/>
      <c r="CL695" s="835"/>
      <c r="CM695" s="835"/>
      <c r="CN695" s="835"/>
      <c r="CO695" s="835"/>
      <c r="CP695" s="835"/>
      <c r="CQ695" s="835"/>
      <c r="CR695" s="835"/>
      <c r="CS695" s="835"/>
      <c r="CT695" s="835"/>
      <c r="CU695" s="835"/>
      <c r="CV695" s="835"/>
      <c r="CW695" s="835"/>
      <c r="CX695" s="835"/>
      <c r="CY695" s="835"/>
      <c r="CZ695" s="835"/>
      <c r="DA695" s="835"/>
      <c r="DB695" s="835"/>
      <c r="DC695" s="835"/>
      <c r="DD695" s="835"/>
    </row>
    <row r="696" s="670" customFormat="1" ht="31" customHeight="1" spans="1:108">
      <c r="A696" s="951">
        <v>46206</v>
      </c>
      <c r="B696" s="952" t="s">
        <v>499</v>
      </c>
      <c r="C696" s="953" t="s">
        <v>115</v>
      </c>
      <c r="D696" s="669" t="s">
        <v>6074</v>
      </c>
      <c r="E696" s="953" t="s">
        <v>6106</v>
      </c>
      <c r="F696" s="669" t="s">
        <v>6107</v>
      </c>
      <c r="G696" s="955" t="s">
        <v>4414</v>
      </c>
      <c r="H696" s="956" t="s">
        <v>3978</v>
      </c>
      <c r="I696" s="957">
        <v>4096</v>
      </c>
      <c r="J696" s="953">
        <v>0</v>
      </c>
      <c r="K696" s="953">
        <v>512</v>
      </c>
      <c r="L696" s="953">
        <f t="shared" si="126"/>
        <v>8</v>
      </c>
      <c r="M696" s="958">
        <v>46251</v>
      </c>
      <c r="N696" s="959">
        <v>46252</v>
      </c>
      <c r="O696" s="952" t="s">
        <v>6108</v>
      </c>
      <c r="P696" s="957"/>
      <c r="Q696" s="957" t="s">
        <v>3115</v>
      </c>
      <c r="R696" s="827" t="s">
        <v>4201</v>
      </c>
      <c r="S696" s="828" t="s">
        <v>107</v>
      </c>
      <c r="T696" s="961" t="s">
        <v>6105</v>
      </c>
      <c r="U696" s="961"/>
      <c r="V696" s="960" t="s">
        <v>4706</v>
      </c>
      <c r="W696" s="961"/>
      <c r="X696" s="961" t="s">
        <v>5586</v>
      </c>
      <c r="Y696" s="958" t="s">
        <v>503</v>
      </c>
      <c r="Z696" s="962">
        <v>1485.125</v>
      </c>
      <c r="AA696" s="669">
        <f>Z696*L696</f>
        <v>11881</v>
      </c>
      <c r="AB696" s="831"/>
      <c r="AC696" s="887" t="s">
        <v>4194</v>
      </c>
      <c r="AD696" s="821" t="s">
        <v>112</v>
      </c>
      <c r="AE696" s="953">
        <f t="shared" si="125"/>
        <v>4096</v>
      </c>
      <c r="AF696" s="953" t="s">
        <v>5125</v>
      </c>
      <c r="AG696" s="956"/>
      <c r="AH696" s="833">
        <f t="shared" si="127"/>
        <v>-4096</v>
      </c>
      <c r="AI696" s="957"/>
      <c r="AJ696" s="708" t="s">
        <v>3981</v>
      </c>
      <c r="AK696" s="834">
        <f t="shared" si="137"/>
        <v>4096</v>
      </c>
      <c r="AL696" s="834"/>
      <c r="AM696" s="834"/>
      <c r="AN696" s="834">
        <f t="shared" si="134"/>
        <v>4096</v>
      </c>
      <c r="AO696" s="669"/>
      <c r="AP696" s="669"/>
      <c r="AQ696" s="669"/>
      <c r="AR696" s="669"/>
      <c r="AS696" s="669"/>
      <c r="AT696" s="669">
        <f>I696/8</f>
        <v>512</v>
      </c>
      <c r="AV696" s="834"/>
      <c r="AW696" s="834"/>
      <c r="AX696" s="822"/>
      <c r="AY696" s="822"/>
      <c r="AZ696" s="822"/>
      <c r="BA696" s="669"/>
      <c r="BB696" s="669"/>
      <c r="BC696" s="669"/>
      <c r="BD696" s="669"/>
      <c r="BE696" s="669"/>
      <c r="BF696" s="669"/>
      <c r="BG696" s="669"/>
      <c r="BH696" s="669"/>
      <c r="BI696" s="669"/>
    </row>
    <row r="697" s="650" customFormat="1" ht="31" customHeight="1" spans="1:108">
      <c r="A697" s="713">
        <v>46136</v>
      </c>
      <c r="B697" s="714" t="s">
        <v>583</v>
      </c>
      <c r="C697" s="715" t="s">
        <v>135</v>
      </c>
      <c r="D697" s="652" t="s">
        <v>5252</v>
      </c>
      <c r="E697" s="715" t="s">
        <v>6109</v>
      </c>
      <c r="F697" s="652" t="s">
        <v>6110</v>
      </c>
      <c r="G697" s="742" t="s">
        <v>5255</v>
      </c>
      <c r="H697" s="715" t="s">
        <v>4195</v>
      </c>
      <c r="I697" s="717">
        <v>1536</v>
      </c>
      <c r="J697" s="715">
        <v>0</v>
      </c>
      <c r="K697" s="715">
        <v>512</v>
      </c>
      <c r="L697" s="715">
        <f t="shared" si="126"/>
        <v>3</v>
      </c>
      <c r="M697" s="719">
        <v>46251</v>
      </c>
      <c r="N697" s="738">
        <v>46252</v>
      </c>
      <c r="O697" s="714"/>
      <c r="P697" s="717" t="s">
        <v>1410</v>
      </c>
      <c r="Q697" s="717"/>
      <c r="R697" s="723">
        <v>46153</v>
      </c>
      <c r="S697" s="720" t="s">
        <v>107</v>
      </c>
      <c r="T697" s="720" t="s">
        <v>5433</v>
      </c>
      <c r="U697" s="720"/>
      <c r="V697" s="720" t="s">
        <v>4056</v>
      </c>
      <c r="W697" s="720"/>
      <c r="X697" s="798" t="s">
        <v>5257</v>
      </c>
      <c r="Y697" s="719" t="s">
        <v>1207</v>
      </c>
      <c r="Z697" s="730">
        <v>2332.5408</v>
      </c>
      <c r="AA697" s="652">
        <f>L697*Z697</f>
        <v>6997.6224</v>
      </c>
      <c r="AB697" s="721"/>
      <c r="AC697" s="716" t="s">
        <v>4194</v>
      </c>
      <c r="AD697" s="715" t="s">
        <v>112</v>
      </c>
      <c r="AE697" s="715">
        <f t="shared" si="125"/>
        <v>1536</v>
      </c>
      <c r="AF697" s="715" t="s">
        <v>5125</v>
      </c>
      <c r="AG697" s="715"/>
      <c r="AH697" s="715">
        <f t="shared" si="127"/>
        <v>-1536</v>
      </c>
      <c r="AI697" s="717"/>
      <c r="AJ697" s="715" t="s">
        <v>3981</v>
      </c>
      <c r="AK697" s="652">
        <f t="shared" si="137"/>
        <v>1536</v>
      </c>
      <c r="AL697" s="652"/>
      <c r="AM697" s="652"/>
      <c r="AN697" s="652">
        <f t="shared" si="134"/>
        <v>1536</v>
      </c>
      <c r="AO697" s="652"/>
      <c r="AP697" s="652"/>
      <c r="AQ697" s="652"/>
      <c r="AR697" s="652"/>
      <c r="AS697" s="652"/>
      <c r="AT697" s="652">
        <f>I697/8</f>
        <v>192</v>
      </c>
      <c r="AU697" s="652"/>
      <c r="AV697" s="652"/>
      <c r="AW697" s="652"/>
      <c r="AX697" s="652"/>
      <c r="AY697" s="652"/>
      <c r="AZ697" s="652"/>
      <c r="BA697" s="652"/>
      <c r="BB697" s="652"/>
      <c r="BC697" s="652"/>
      <c r="BD697" s="652"/>
      <c r="BE697" s="652"/>
      <c r="BF697" s="652"/>
      <c r="BG697" s="652"/>
      <c r="BH697" s="652"/>
      <c r="BI697" s="652"/>
    </row>
    <row r="698" s="670" customFormat="1" ht="31" customHeight="1" spans="1:108">
      <c r="A698" s="951">
        <v>46182</v>
      </c>
      <c r="B698" s="952" t="s">
        <v>1472</v>
      </c>
      <c r="C698" s="953" t="s">
        <v>1439</v>
      </c>
      <c r="D698" s="669">
        <v>4500211344</v>
      </c>
      <c r="E698" s="965" t="s">
        <v>1997</v>
      </c>
      <c r="F698" s="669" t="s">
        <v>6111</v>
      </c>
      <c r="G698" s="955" t="s">
        <v>3973</v>
      </c>
      <c r="H698" s="956" t="s">
        <v>3995</v>
      </c>
      <c r="I698" s="957">
        <v>3072</v>
      </c>
      <c r="J698" s="953">
        <v>0</v>
      </c>
      <c r="K698" s="953">
        <v>16</v>
      </c>
      <c r="L698" s="953">
        <f t="shared" si="126"/>
        <v>192</v>
      </c>
      <c r="M698" s="958">
        <v>46251</v>
      </c>
      <c r="N698" s="959">
        <v>46253</v>
      </c>
      <c r="O698" s="952"/>
      <c r="P698" s="957"/>
      <c r="Q698" s="957"/>
      <c r="R698" s="827">
        <v>46211</v>
      </c>
      <c r="S698" s="828" t="s">
        <v>107</v>
      </c>
      <c r="T698" s="828" t="s">
        <v>5042</v>
      </c>
      <c r="U698" s="848"/>
      <c r="V698" s="829"/>
      <c r="W698" s="961"/>
      <c r="X698" s="966" t="s">
        <v>6112</v>
      </c>
      <c r="Y698" s="958" t="s">
        <v>1477</v>
      </c>
      <c r="Z698" s="962">
        <v>4.8226</v>
      </c>
      <c r="AA698" s="669">
        <f>I698*Z698</f>
        <v>14815.0272</v>
      </c>
      <c r="AB698" s="831"/>
      <c r="AC698" s="887" t="s">
        <v>4108</v>
      </c>
      <c r="AD698" s="821" t="s">
        <v>112</v>
      </c>
      <c r="AE698" s="953">
        <f t="shared" si="125"/>
        <v>3072</v>
      </c>
      <c r="AF698" s="950"/>
      <c r="AG698" s="956"/>
      <c r="AH698" s="833">
        <f t="shared" si="127"/>
        <v>-3072</v>
      </c>
      <c r="AI698" s="957"/>
      <c r="AJ698" s="708" t="s">
        <v>3981</v>
      </c>
      <c r="AK698" s="822"/>
      <c r="AL698" s="868">
        <f>I698</f>
        <v>3072</v>
      </c>
      <c r="AM698" s="822"/>
      <c r="AN698" s="834">
        <f t="shared" si="134"/>
        <v>3072</v>
      </c>
      <c r="AO698" s="822"/>
      <c r="AP698" s="822"/>
      <c r="AQ698" s="822"/>
      <c r="AR698" s="822"/>
      <c r="AS698" s="822"/>
      <c r="AT698" s="822"/>
      <c r="AU698" s="967">
        <f>I698/8</f>
        <v>384</v>
      </c>
      <c r="AX698" s="669"/>
      <c r="AY698" s="669"/>
      <c r="AZ698" s="669"/>
      <c r="BA698" s="669"/>
      <c r="BB698" s="669"/>
      <c r="BC698" s="669"/>
      <c r="BD698" s="669"/>
      <c r="BE698" s="669"/>
      <c r="BF698" s="669"/>
      <c r="BG698" s="669"/>
      <c r="BH698" s="669"/>
      <c r="BI698" s="822"/>
    </row>
    <row r="699" s="671" customFormat="1" ht="31" customHeight="1" spans="1:108">
      <c r="A699" s="968">
        <v>46244</v>
      </c>
      <c r="B699" s="969" t="s">
        <v>6113</v>
      </c>
      <c r="C699" s="970" t="s">
        <v>265</v>
      </c>
      <c r="D699" s="971" t="s">
        <v>6114</v>
      </c>
      <c r="E699" s="970" t="s">
        <v>6115</v>
      </c>
      <c r="F699" s="971" t="s">
        <v>6116</v>
      </c>
      <c r="G699" s="972" t="s">
        <v>3973</v>
      </c>
      <c r="H699" s="973" t="s">
        <v>3995</v>
      </c>
      <c r="I699" s="974">
        <v>2208</v>
      </c>
      <c r="J699" s="970">
        <v>0</v>
      </c>
      <c r="K699" s="970">
        <v>16</v>
      </c>
      <c r="L699" s="970">
        <f t="shared" si="126"/>
        <v>138</v>
      </c>
      <c r="M699" s="975">
        <v>46251</v>
      </c>
      <c r="N699" s="975">
        <v>46247</v>
      </c>
      <c r="O699" s="969" t="s">
        <v>3062</v>
      </c>
      <c r="P699" s="974"/>
      <c r="Q699" s="974"/>
      <c r="R699" s="976" t="s">
        <v>3064</v>
      </c>
      <c r="S699" s="977" t="s">
        <v>107</v>
      </c>
      <c r="T699" s="977" t="s">
        <v>6117</v>
      </c>
      <c r="U699" s="978"/>
      <c r="V699" s="979"/>
      <c r="W699" s="980"/>
      <c r="X699" s="980" t="s">
        <v>6118</v>
      </c>
      <c r="Y699" s="975" t="s">
        <v>6119</v>
      </c>
      <c r="Z699" s="981">
        <v>4.8226</v>
      </c>
      <c r="AA699" s="971">
        <f>I699*Z699</f>
        <v>10648.3008</v>
      </c>
      <c r="AB699" s="982"/>
      <c r="AC699" s="983" t="s">
        <v>4108</v>
      </c>
      <c r="AD699" s="984" t="s">
        <v>112</v>
      </c>
      <c r="AE699" s="970">
        <f t="shared" si="125"/>
        <v>2208</v>
      </c>
      <c r="AF699" s="985"/>
      <c r="AG699" s="973"/>
      <c r="AH699" s="986"/>
      <c r="AI699" s="974"/>
      <c r="AJ699" s="987"/>
      <c r="AK699" s="988"/>
      <c r="AL699" s="989">
        <f>I699</f>
        <v>2208</v>
      </c>
      <c r="AM699" s="988"/>
      <c r="AN699" s="989">
        <f t="shared" si="134"/>
        <v>2208</v>
      </c>
      <c r="AO699" s="988"/>
      <c r="AP699" s="988"/>
      <c r="AQ699" s="988"/>
      <c r="AR699" s="988"/>
      <c r="AS699" s="988"/>
      <c r="AT699" s="988"/>
      <c r="AU699" s="671">
        <f>I699/8</f>
        <v>276</v>
      </c>
      <c r="AX699" s="971"/>
      <c r="AY699" s="971"/>
      <c r="AZ699" s="971"/>
      <c r="BA699" s="971"/>
      <c r="BB699" s="971"/>
      <c r="BC699" s="971"/>
      <c r="BD699" s="971"/>
      <c r="BE699" s="971"/>
      <c r="BF699" s="971"/>
      <c r="BG699" s="971"/>
      <c r="BH699" s="971"/>
      <c r="BI699" s="988"/>
    </row>
    <row r="700" s="670" customFormat="1" ht="31" customHeight="1" spans="1:108">
      <c r="A700" s="951">
        <v>46185</v>
      </c>
      <c r="B700" s="952" t="s">
        <v>114</v>
      </c>
      <c r="C700" s="953" t="s">
        <v>115</v>
      </c>
      <c r="D700" s="669">
        <v>4500211962</v>
      </c>
      <c r="E700" s="965" t="s">
        <v>3067</v>
      </c>
      <c r="F700" s="990" t="s">
        <v>3068</v>
      </c>
      <c r="G700" s="955" t="s">
        <v>4337</v>
      </c>
      <c r="H700" s="956" t="s">
        <v>151</v>
      </c>
      <c r="I700" s="957">
        <v>48048</v>
      </c>
      <c r="J700" s="953">
        <v>0</v>
      </c>
      <c r="K700" s="953">
        <v>24</v>
      </c>
      <c r="L700" s="953">
        <f t="shared" si="126"/>
        <v>2002</v>
      </c>
      <c r="M700" s="959">
        <v>46252</v>
      </c>
      <c r="N700" s="959">
        <f>M700-4</f>
        <v>46248</v>
      </c>
      <c r="O700" s="952"/>
      <c r="P700" s="957"/>
      <c r="Q700" s="957"/>
      <c r="R700" s="827">
        <v>46202</v>
      </c>
      <c r="S700" s="828" t="s">
        <v>107</v>
      </c>
      <c r="T700" s="828" t="s">
        <v>6120</v>
      </c>
      <c r="U700" s="848"/>
      <c r="V700" s="829"/>
      <c r="W700" s="961"/>
      <c r="X700" s="991" t="s">
        <v>6121</v>
      </c>
      <c r="Y700" s="958" t="s">
        <v>123</v>
      </c>
      <c r="Z700" s="962">
        <v>128.7422</v>
      </c>
      <c r="AA700" s="670">
        <f>L700*Z700</f>
        <v>257741.8844</v>
      </c>
      <c r="AB700" s="831"/>
      <c r="AC700" s="836" t="s">
        <v>4337</v>
      </c>
      <c r="AD700" s="821" t="s">
        <v>112</v>
      </c>
      <c r="AE700" s="956">
        <f t="shared" ref="AE700:AE730" si="138">I700</f>
        <v>48048</v>
      </c>
      <c r="AF700" s="821"/>
      <c r="AG700" s="956"/>
      <c r="AH700" s="833">
        <f t="shared" ref="AH700:AH730" si="139">AG700-I700</f>
        <v>-48048</v>
      </c>
      <c r="AI700" s="957"/>
      <c r="AJ700" s="932" t="s">
        <v>3981</v>
      </c>
      <c r="AK700" s="834">
        <f>I700</f>
        <v>48048</v>
      </c>
      <c r="AL700" s="834"/>
      <c r="AM700" s="822"/>
      <c r="AN700" s="834">
        <f t="shared" ref="AN700:AN717" si="140">I700</f>
        <v>48048</v>
      </c>
      <c r="AO700" s="822"/>
      <c r="AP700" s="822"/>
      <c r="AQ700" s="822"/>
      <c r="AR700" s="822"/>
      <c r="AS700" s="822"/>
      <c r="AT700" s="822"/>
      <c r="AX700" s="669"/>
      <c r="AY700" s="669"/>
      <c r="AZ700" s="669"/>
      <c r="BA700" s="669">
        <f>L700</f>
        <v>2002</v>
      </c>
      <c r="BB700" s="669"/>
      <c r="BC700" s="669"/>
      <c r="BD700" s="669"/>
      <c r="BE700" s="669"/>
      <c r="BF700" s="669"/>
      <c r="BG700" s="669"/>
      <c r="BH700" s="669"/>
      <c r="BI700" s="822"/>
    </row>
    <row r="701" s="650" customFormat="1" ht="31" customHeight="1" spans="1:108">
      <c r="A701" s="819">
        <v>46206</v>
      </c>
      <c r="B701" s="820" t="s">
        <v>499</v>
      </c>
      <c r="C701" s="821" t="s">
        <v>115</v>
      </c>
      <c r="D701" s="822" t="s">
        <v>6122</v>
      </c>
      <c r="E701" s="821" t="s">
        <v>6123</v>
      </c>
      <c r="F701" s="822" t="s">
        <v>6124</v>
      </c>
      <c r="G701" s="823" t="s">
        <v>4414</v>
      </c>
      <c r="H701" s="708" t="s">
        <v>3978</v>
      </c>
      <c r="I701" s="824">
        <v>5632</v>
      </c>
      <c r="J701" s="821">
        <v>0</v>
      </c>
      <c r="K701" s="821">
        <v>512</v>
      </c>
      <c r="L701" s="821">
        <f t="shared" si="126"/>
        <v>11</v>
      </c>
      <c r="M701" s="825">
        <v>46252</v>
      </c>
      <c r="N701" s="863">
        <v>46249</v>
      </c>
      <c r="O701" s="820" t="s">
        <v>6077</v>
      </c>
      <c r="P701" s="824"/>
      <c r="Q701" s="824" t="s">
        <v>1241</v>
      </c>
      <c r="R701" s="827" t="s">
        <v>4201</v>
      </c>
      <c r="S701" s="848" t="s">
        <v>107</v>
      </c>
      <c r="T701" s="848" t="s">
        <v>6105</v>
      </c>
      <c r="U701" s="848"/>
      <c r="V701" s="829" t="s">
        <v>4706</v>
      </c>
      <c r="W701" s="828"/>
      <c r="X701" s="828" t="s">
        <v>5586</v>
      </c>
      <c r="Y701" s="825" t="s">
        <v>503</v>
      </c>
      <c r="Z701" s="830">
        <v>1480.4555</v>
      </c>
      <c r="AA701" s="822">
        <f>Z701*L701</f>
        <v>16285.0105</v>
      </c>
      <c r="AB701" s="831"/>
      <c r="AC701" s="887" t="s">
        <v>4194</v>
      </c>
      <c r="AD701" s="821" t="s">
        <v>112</v>
      </c>
      <c r="AE701" s="821">
        <f t="shared" si="138"/>
        <v>5632</v>
      </c>
      <c r="AF701" s="821" t="s">
        <v>5125</v>
      </c>
      <c r="AG701" s="708"/>
      <c r="AH701" s="833">
        <f t="shared" si="139"/>
        <v>-5632</v>
      </c>
      <c r="AI701" s="824"/>
      <c r="AJ701" s="932" t="s">
        <v>3981</v>
      </c>
      <c r="AK701" s="834">
        <f>I701</f>
        <v>5632</v>
      </c>
      <c r="AL701" s="834"/>
      <c r="AM701" s="834"/>
      <c r="AN701" s="834">
        <f t="shared" si="140"/>
        <v>5632</v>
      </c>
      <c r="AO701" s="822"/>
      <c r="AP701" s="822"/>
      <c r="AQ701" s="822"/>
      <c r="AR701" s="822"/>
      <c r="AS701" s="822"/>
      <c r="AT701" s="822">
        <f>I701/8</f>
        <v>704</v>
      </c>
      <c r="AU701" s="834"/>
      <c r="AV701" s="834"/>
      <c r="AW701" s="834"/>
      <c r="AX701" s="822"/>
      <c r="AY701" s="822"/>
      <c r="AZ701" s="822"/>
      <c r="BA701" s="822"/>
      <c r="BB701" s="822"/>
      <c r="BC701" s="822"/>
      <c r="BD701" s="822"/>
      <c r="BE701" s="822"/>
      <c r="BF701" s="822"/>
      <c r="BG701" s="822"/>
      <c r="BH701" s="822"/>
      <c r="BI701" s="822"/>
      <c r="BJ701" s="835"/>
      <c r="BK701" s="835"/>
      <c r="BL701" s="835"/>
      <c r="BM701" s="835"/>
      <c r="BN701" s="835"/>
      <c r="BO701" s="835"/>
      <c r="BP701" s="835"/>
      <c r="BQ701" s="835"/>
      <c r="BR701" s="835"/>
      <c r="BS701" s="835"/>
      <c r="BT701" s="835"/>
      <c r="BU701" s="835"/>
      <c r="BV701" s="835"/>
      <c r="BW701" s="835"/>
      <c r="BX701" s="835"/>
      <c r="BY701" s="835"/>
      <c r="BZ701" s="835"/>
      <c r="CA701" s="835"/>
      <c r="CB701" s="835"/>
      <c r="CC701" s="835"/>
      <c r="CD701" s="835"/>
      <c r="CE701" s="835"/>
      <c r="CF701" s="835"/>
      <c r="CG701" s="835"/>
      <c r="CH701" s="835"/>
      <c r="CI701" s="835"/>
      <c r="CJ701" s="835"/>
      <c r="CK701" s="835"/>
      <c r="CL701" s="835"/>
      <c r="CM701" s="835"/>
      <c r="CN701" s="835"/>
      <c r="CO701" s="835"/>
      <c r="CP701" s="835"/>
      <c r="CQ701" s="835"/>
      <c r="CR701" s="835"/>
      <c r="CS701" s="835"/>
      <c r="CT701" s="835"/>
      <c r="CU701" s="835"/>
      <c r="CV701" s="835"/>
      <c r="CW701" s="835"/>
      <c r="CX701" s="835"/>
      <c r="CY701" s="835"/>
      <c r="CZ701" s="835"/>
      <c r="DA701" s="835"/>
      <c r="DB701" s="835"/>
      <c r="DC701" s="835"/>
      <c r="DD701" s="835"/>
    </row>
    <row r="702" s="650" customFormat="1" ht="31" customHeight="1" spans="1:108">
      <c r="A702" s="819">
        <v>46206</v>
      </c>
      <c r="B702" s="820" t="s">
        <v>499</v>
      </c>
      <c r="C702" s="821" t="s">
        <v>115</v>
      </c>
      <c r="D702" s="822" t="s">
        <v>6122</v>
      </c>
      <c r="E702" s="821" t="s">
        <v>6125</v>
      </c>
      <c r="F702" s="822" t="s">
        <v>6126</v>
      </c>
      <c r="G702" s="823" t="s">
        <v>4414</v>
      </c>
      <c r="H702" s="708" t="s">
        <v>3978</v>
      </c>
      <c r="I702" s="824">
        <v>11776</v>
      </c>
      <c r="J702" s="821">
        <v>0</v>
      </c>
      <c r="K702" s="821">
        <v>512</v>
      </c>
      <c r="L702" s="821">
        <f t="shared" si="126"/>
        <v>23</v>
      </c>
      <c r="M702" s="825">
        <v>46252</v>
      </c>
      <c r="N702" s="863">
        <v>46256</v>
      </c>
      <c r="O702" s="820" t="s">
        <v>3226</v>
      </c>
      <c r="P702" s="824"/>
      <c r="Q702" s="824"/>
      <c r="R702" s="827" t="s">
        <v>4201</v>
      </c>
      <c r="S702" s="848" t="s">
        <v>107</v>
      </c>
      <c r="T702" s="828" t="s">
        <v>6105</v>
      </c>
      <c r="U702" s="828"/>
      <c r="V702" s="829" t="s">
        <v>4706</v>
      </c>
      <c r="W702" s="828"/>
      <c r="X702" s="828" t="s">
        <v>5586</v>
      </c>
      <c r="Y702" s="825" t="s">
        <v>503</v>
      </c>
      <c r="Z702" s="830">
        <v>1475.4991</v>
      </c>
      <c r="AA702" s="822">
        <f>Z702*L702</f>
        <v>33936.4793</v>
      </c>
      <c r="AB702" s="831"/>
      <c r="AC702" s="887" t="s">
        <v>4194</v>
      </c>
      <c r="AD702" s="821" t="s">
        <v>112</v>
      </c>
      <c r="AE702" s="821">
        <f t="shared" si="138"/>
        <v>11776</v>
      </c>
      <c r="AF702" s="821" t="s">
        <v>5125</v>
      </c>
      <c r="AG702" s="708"/>
      <c r="AH702" s="833">
        <f t="shared" si="139"/>
        <v>-11776</v>
      </c>
      <c r="AI702" s="824"/>
      <c r="AJ702" s="708" t="s">
        <v>3981</v>
      </c>
      <c r="AK702" s="834">
        <f>I702</f>
        <v>11776</v>
      </c>
      <c r="AL702" s="834"/>
      <c r="AM702" s="834"/>
      <c r="AN702" s="834">
        <f t="shared" si="140"/>
        <v>11776</v>
      </c>
      <c r="AO702" s="822"/>
      <c r="AP702" s="822"/>
      <c r="AQ702" s="822"/>
      <c r="AR702" s="822"/>
      <c r="AS702" s="822"/>
      <c r="AT702" s="822">
        <f>I702/8</f>
        <v>1472</v>
      </c>
      <c r="AU702" s="834"/>
      <c r="AV702" s="834"/>
      <c r="AW702" s="834"/>
      <c r="AX702" s="822"/>
      <c r="AY702" s="822"/>
      <c r="AZ702" s="822"/>
      <c r="BA702" s="822"/>
      <c r="BB702" s="822"/>
      <c r="BC702" s="822"/>
      <c r="BD702" s="822"/>
      <c r="BE702" s="822"/>
      <c r="BF702" s="822"/>
      <c r="BG702" s="822"/>
      <c r="BH702" s="822"/>
      <c r="BI702" s="822"/>
      <c r="BJ702" s="835"/>
      <c r="BK702" s="835"/>
      <c r="BL702" s="835"/>
      <c r="BM702" s="835"/>
      <c r="BN702" s="835"/>
      <c r="BO702" s="835"/>
      <c r="BP702" s="835"/>
      <c r="BQ702" s="835"/>
      <c r="BR702" s="835"/>
      <c r="BS702" s="835"/>
      <c r="BT702" s="835"/>
      <c r="BU702" s="835"/>
      <c r="BV702" s="835"/>
      <c r="BW702" s="835"/>
      <c r="BX702" s="835"/>
      <c r="BY702" s="835"/>
      <c r="BZ702" s="835"/>
      <c r="CA702" s="835"/>
      <c r="CB702" s="835"/>
      <c r="CC702" s="835"/>
      <c r="CD702" s="835"/>
      <c r="CE702" s="835"/>
      <c r="CF702" s="835"/>
      <c r="CG702" s="835"/>
      <c r="CH702" s="835"/>
      <c r="CI702" s="835"/>
      <c r="CJ702" s="835"/>
      <c r="CK702" s="835"/>
      <c r="CL702" s="835"/>
      <c r="CM702" s="835"/>
      <c r="CN702" s="835"/>
      <c r="CO702" s="835"/>
      <c r="CP702" s="835"/>
      <c r="CQ702" s="835"/>
      <c r="CR702" s="835"/>
      <c r="CS702" s="835"/>
      <c r="CT702" s="835"/>
      <c r="CU702" s="835"/>
      <c r="CV702" s="835"/>
      <c r="CW702" s="835"/>
      <c r="CX702" s="835"/>
      <c r="CY702" s="835"/>
      <c r="CZ702" s="835"/>
      <c r="DA702" s="835"/>
      <c r="DB702" s="835"/>
      <c r="DC702" s="835"/>
      <c r="DD702" s="835"/>
    </row>
    <row r="703" s="667" customFormat="1" ht="31" customHeight="1" spans="1:108">
      <c r="A703" s="819">
        <v>46206</v>
      </c>
      <c r="B703" s="820" t="s">
        <v>499</v>
      </c>
      <c r="C703" s="821" t="s">
        <v>115</v>
      </c>
      <c r="D703" s="822" t="s">
        <v>6122</v>
      </c>
      <c r="E703" s="821" t="s">
        <v>6127</v>
      </c>
      <c r="F703" s="822" t="s">
        <v>6128</v>
      </c>
      <c r="G703" s="823" t="s">
        <v>4414</v>
      </c>
      <c r="H703" s="708" t="s">
        <v>3978</v>
      </c>
      <c r="I703" s="824">
        <v>8704</v>
      </c>
      <c r="J703" s="821">
        <v>0</v>
      </c>
      <c r="K703" s="821">
        <v>512</v>
      </c>
      <c r="L703" s="821">
        <f t="shared" si="126"/>
        <v>17</v>
      </c>
      <c r="M703" s="825">
        <v>46252</v>
      </c>
      <c r="N703" s="863">
        <v>46256</v>
      </c>
      <c r="O703" s="820" t="s">
        <v>3182</v>
      </c>
      <c r="P703" s="824"/>
      <c r="Q703" s="824" t="s">
        <v>3115</v>
      </c>
      <c r="R703" s="827" t="s">
        <v>4201</v>
      </c>
      <c r="S703" s="828" t="s">
        <v>107</v>
      </c>
      <c r="T703" s="828" t="s">
        <v>6105</v>
      </c>
      <c r="U703" s="828"/>
      <c r="V703" s="829" t="s">
        <v>4706</v>
      </c>
      <c r="W703" s="828"/>
      <c r="X703" s="848" t="s">
        <v>5586</v>
      </c>
      <c r="Y703" s="825" t="s">
        <v>503</v>
      </c>
      <c r="Z703" s="830">
        <v>1480.4559</v>
      </c>
      <c r="AA703" s="822">
        <f>Z703*L703</f>
        <v>25167.7503</v>
      </c>
      <c r="AB703" s="831"/>
      <c r="AC703" s="887" t="s">
        <v>4194</v>
      </c>
      <c r="AD703" s="821" t="s">
        <v>112</v>
      </c>
      <c r="AE703" s="821">
        <f t="shared" si="138"/>
        <v>8704</v>
      </c>
      <c r="AF703" s="821" t="s">
        <v>5125</v>
      </c>
      <c r="AG703" s="708"/>
      <c r="AH703" s="833">
        <f t="shared" si="139"/>
        <v>-8704</v>
      </c>
      <c r="AI703" s="824"/>
      <c r="AJ703" s="708" t="s">
        <v>3981</v>
      </c>
      <c r="AK703" s="834">
        <f>I703</f>
        <v>8704</v>
      </c>
      <c r="AL703" s="834"/>
      <c r="AM703" s="834"/>
      <c r="AN703" s="834">
        <f t="shared" si="140"/>
        <v>8704</v>
      </c>
      <c r="AO703" s="822"/>
      <c r="AP703" s="822"/>
      <c r="AQ703" s="822"/>
      <c r="AR703" s="822"/>
      <c r="AS703" s="822"/>
      <c r="AT703" s="822">
        <f>I703/8</f>
        <v>1088</v>
      </c>
      <c r="AU703" s="834"/>
      <c r="AV703" s="834"/>
      <c r="AW703" s="834"/>
      <c r="AX703" s="822"/>
      <c r="AY703" s="822"/>
      <c r="AZ703" s="822"/>
      <c r="BA703" s="822"/>
      <c r="BB703" s="822"/>
      <c r="BC703" s="822"/>
      <c r="BD703" s="822"/>
      <c r="BE703" s="822"/>
      <c r="BF703" s="822"/>
      <c r="BG703" s="822"/>
      <c r="BH703" s="822"/>
      <c r="BI703" s="822"/>
      <c r="BJ703" s="835"/>
      <c r="BK703" s="835"/>
      <c r="BL703" s="835"/>
      <c r="BM703" s="835"/>
      <c r="BN703" s="835"/>
      <c r="BO703" s="835"/>
      <c r="BP703" s="835"/>
      <c r="BQ703" s="835"/>
      <c r="BR703" s="835"/>
      <c r="BS703" s="835"/>
      <c r="BT703" s="835"/>
      <c r="BU703" s="835"/>
      <c r="BV703" s="835"/>
      <c r="BW703" s="835"/>
      <c r="BX703" s="835"/>
      <c r="BY703" s="835"/>
      <c r="BZ703" s="835"/>
      <c r="CA703" s="835"/>
      <c r="CB703" s="835"/>
      <c r="CC703" s="835"/>
      <c r="CD703" s="835"/>
      <c r="CE703" s="835"/>
      <c r="CF703" s="835"/>
      <c r="CG703" s="835"/>
      <c r="CH703" s="835"/>
      <c r="CI703" s="835"/>
      <c r="CJ703" s="835"/>
      <c r="CK703" s="835"/>
      <c r="CL703" s="835"/>
      <c r="CM703" s="835"/>
      <c r="CN703" s="835"/>
      <c r="CO703" s="835"/>
      <c r="CP703" s="835"/>
      <c r="CQ703" s="835"/>
      <c r="CR703" s="835"/>
      <c r="CS703" s="835"/>
      <c r="CT703" s="835"/>
      <c r="CU703" s="835"/>
      <c r="CV703" s="835"/>
      <c r="CW703" s="835"/>
      <c r="CX703" s="835"/>
      <c r="CY703" s="835"/>
      <c r="CZ703" s="835"/>
      <c r="DA703" s="835"/>
      <c r="DB703" s="835"/>
      <c r="DC703" s="835"/>
      <c r="DD703" s="835"/>
    </row>
    <row r="704" s="667" customFormat="1" ht="31" customHeight="1" spans="1:108">
      <c r="A704" s="819">
        <v>46198</v>
      </c>
      <c r="B704" s="820" t="s">
        <v>3094</v>
      </c>
      <c r="C704" s="821" t="s">
        <v>115</v>
      </c>
      <c r="D704" s="822" t="s">
        <v>6129</v>
      </c>
      <c r="E704" s="821" t="s">
        <v>6130</v>
      </c>
      <c r="F704" s="822" t="s">
        <v>6131</v>
      </c>
      <c r="G704" s="823" t="s">
        <v>3973</v>
      </c>
      <c r="H704" s="708" t="s">
        <v>3995</v>
      </c>
      <c r="I704" s="824">
        <v>2096</v>
      </c>
      <c r="J704" s="821">
        <v>0</v>
      </c>
      <c r="K704" s="821">
        <v>16</v>
      </c>
      <c r="L704" s="821">
        <f t="shared" si="126"/>
        <v>131</v>
      </c>
      <c r="M704" s="825">
        <v>46253</v>
      </c>
      <c r="N704" s="863">
        <v>46256</v>
      </c>
      <c r="O704" s="820"/>
      <c r="P704" s="824"/>
      <c r="Q704" s="824"/>
      <c r="R704" s="827" t="s">
        <v>3096</v>
      </c>
      <c r="S704" s="828" t="s">
        <v>107</v>
      </c>
      <c r="T704" s="828" t="s">
        <v>6132</v>
      </c>
      <c r="U704" s="829"/>
      <c r="V704" s="829"/>
      <c r="W704" s="828"/>
      <c r="X704" s="992" t="s">
        <v>6133</v>
      </c>
      <c r="Y704" s="825" t="s">
        <v>1032</v>
      </c>
      <c r="Z704" s="830">
        <v>2.8936</v>
      </c>
      <c r="AA704" s="822">
        <f>I704*Z704</f>
        <v>6064.9856</v>
      </c>
      <c r="AB704" s="934" t="s">
        <v>3099</v>
      </c>
      <c r="AC704" s="820" t="s">
        <v>3973</v>
      </c>
      <c r="AD704" s="821" t="s">
        <v>112</v>
      </c>
      <c r="AE704" s="821">
        <f t="shared" si="138"/>
        <v>2096</v>
      </c>
      <c r="AF704" s="821" t="s">
        <v>5125</v>
      </c>
      <c r="AG704" s="708"/>
      <c r="AH704" s="833">
        <f t="shared" si="139"/>
        <v>-2096</v>
      </c>
      <c r="AI704" s="824"/>
      <c r="AJ704" s="708" t="s">
        <v>3981</v>
      </c>
      <c r="AK704" s="834">
        <f>I704</f>
        <v>2096</v>
      </c>
      <c r="AL704" s="822"/>
      <c r="AM704" s="822"/>
      <c r="AN704" s="834">
        <f t="shared" si="140"/>
        <v>2096</v>
      </c>
      <c r="AO704" s="822"/>
      <c r="AP704" s="822"/>
      <c r="AQ704" s="834"/>
      <c r="AR704" s="834"/>
      <c r="AS704" s="834"/>
      <c r="AT704" s="822">
        <f>I704/8</f>
        <v>262</v>
      </c>
      <c r="AU704" s="834"/>
      <c r="AV704" s="834"/>
      <c r="AW704" s="834"/>
      <c r="AX704" s="822"/>
      <c r="AY704" s="822"/>
      <c r="AZ704" s="822"/>
      <c r="BA704" s="822"/>
      <c r="BB704" s="822"/>
      <c r="BC704" s="822"/>
      <c r="BD704" s="822"/>
      <c r="BE704" s="822"/>
      <c r="BF704" s="822"/>
      <c r="BG704" s="822"/>
      <c r="BH704" s="822"/>
      <c r="BI704" s="822"/>
      <c r="BJ704" s="835"/>
      <c r="BK704" s="835"/>
      <c r="BL704" s="835"/>
      <c r="BM704" s="835"/>
      <c r="BN704" s="835"/>
      <c r="BO704" s="835"/>
      <c r="BP704" s="835"/>
      <c r="BQ704" s="835"/>
      <c r="BR704" s="835"/>
      <c r="BS704" s="835"/>
      <c r="BT704" s="835"/>
      <c r="BU704" s="835"/>
      <c r="BV704" s="835"/>
      <c r="BW704" s="835"/>
      <c r="BX704" s="835"/>
      <c r="BY704" s="835"/>
      <c r="BZ704" s="835"/>
      <c r="CA704" s="835"/>
      <c r="CB704" s="835"/>
      <c r="CC704" s="835"/>
      <c r="CD704" s="835"/>
      <c r="CE704" s="835"/>
      <c r="CF704" s="835"/>
      <c r="CG704" s="835"/>
      <c r="CH704" s="835"/>
      <c r="CI704" s="835"/>
      <c r="CJ704" s="835"/>
      <c r="CK704" s="835"/>
      <c r="CL704" s="835"/>
      <c r="CM704" s="835"/>
      <c r="CN704" s="835"/>
      <c r="CO704" s="835"/>
      <c r="CP704" s="835"/>
      <c r="CQ704" s="835"/>
      <c r="CR704" s="835"/>
      <c r="CS704" s="835"/>
      <c r="CT704" s="835"/>
      <c r="CU704" s="835"/>
      <c r="CV704" s="835"/>
      <c r="CW704" s="835"/>
      <c r="CX704" s="835"/>
      <c r="CY704" s="835"/>
      <c r="CZ704" s="835"/>
      <c r="DA704" s="835"/>
      <c r="DB704" s="835"/>
      <c r="DC704" s="835"/>
      <c r="DD704" s="835"/>
    </row>
    <row r="705" s="650" customFormat="1" ht="31" customHeight="1" spans="1:108">
      <c r="A705" s="713">
        <v>46156</v>
      </c>
      <c r="B705" s="714" t="s">
        <v>1295</v>
      </c>
      <c r="C705" s="715" t="s">
        <v>201</v>
      </c>
      <c r="D705" s="652" t="s">
        <v>6134</v>
      </c>
      <c r="E705" s="715" t="s">
        <v>3107</v>
      </c>
      <c r="F705" s="652" t="s">
        <v>6135</v>
      </c>
      <c r="G705" s="716" t="s">
        <v>3980</v>
      </c>
      <c r="H705" s="715" t="s">
        <v>3978</v>
      </c>
      <c r="I705" s="717">
        <v>360</v>
      </c>
      <c r="J705" s="715">
        <v>0</v>
      </c>
      <c r="K705" s="715">
        <v>8</v>
      </c>
      <c r="L705" s="715">
        <f t="shared" si="126"/>
        <v>45</v>
      </c>
      <c r="M705" s="719">
        <v>46254</v>
      </c>
      <c r="N705" s="738">
        <v>46252</v>
      </c>
      <c r="O705" s="714"/>
      <c r="P705" s="717" t="s">
        <v>1410</v>
      </c>
      <c r="Q705" s="717"/>
      <c r="R705" s="723" t="s">
        <v>1774</v>
      </c>
      <c r="S705" s="720" t="s">
        <v>107</v>
      </c>
      <c r="T705" s="720" t="s">
        <v>6136</v>
      </c>
      <c r="U705" s="720"/>
      <c r="V705" s="720"/>
      <c r="W705" s="720"/>
      <c r="X705" s="993" t="s">
        <v>6137</v>
      </c>
      <c r="Y705" s="719" t="s">
        <v>204</v>
      </c>
      <c r="Z705" s="730">
        <v>4.5882</v>
      </c>
      <c r="AA705" s="652">
        <f>I705*Z705</f>
        <v>1651.752</v>
      </c>
      <c r="AB705" s="721"/>
      <c r="AC705" s="722" t="s">
        <v>4031</v>
      </c>
      <c r="AD705" s="715" t="s">
        <v>112</v>
      </c>
      <c r="AE705" s="715">
        <f t="shared" si="138"/>
        <v>360</v>
      </c>
      <c r="AF705" s="715"/>
      <c r="AG705" s="715">
        <v>360</v>
      </c>
      <c r="AH705" s="715">
        <f t="shared" si="139"/>
        <v>0</v>
      </c>
      <c r="AI705" s="717"/>
      <c r="AJ705" s="715" t="s">
        <v>3981</v>
      </c>
      <c r="AK705" s="652"/>
      <c r="AL705" s="652">
        <f>I705</f>
        <v>360</v>
      </c>
      <c r="AM705" s="652"/>
      <c r="AN705" s="652">
        <f t="shared" si="140"/>
        <v>360</v>
      </c>
      <c r="AO705" s="652"/>
      <c r="AP705" s="652"/>
      <c r="AQ705" s="652"/>
      <c r="AR705" s="652"/>
      <c r="AS705" s="652"/>
      <c r="AT705" s="652"/>
      <c r="AU705" s="726">
        <f>I705/8</f>
        <v>45</v>
      </c>
      <c r="AV705" s="652"/>
      <c r="AW705" s="652"/>
      <c r="AX705" s="652"/>
      <c r="AY705" s="652"/>
      <c r="AZ705" s="652"/>
      <c r="BA705" s="652"/>
      <c r="BB705" s="652"/>
      <c r="BC705" s="652"/>
      <c r="BD705" s="652"/>
      <c r="BE705" s="652"/>
      <c r="BF705" s="652"/>
      <c r="BG705" s="652"/>
      <c r="BH705" s="652"/>
      <c r="BI705" s="652"/>
      <c r="BJ705" s="724"/>
      <c r="BK705" s="724"/>
      <c r="BL705" s="724"/>
      <c r="BM705" s="724"/>
      <c r="BN705" s="724"/>
      <c r="BO705" s="724"/>
      <c r="BP705" s="724"/>
      <c r="BQ705" s="724"/>
      <c r="BR705" s="724"/>
      <c r="BS705" s="724"/>
      <c r="BT705" s="724"/>
      <c r="BU705" s="724"/>
      <c r="BV705" s="724"/>
      <c r="BW705" s="724"/>
      <c r="BX705" s="724"/>
      <c r="BY705" s="724"/>
      <c r="BZ705" s="724"/>
      <c r="CA705" s="724"/>
      <c r="CB705" s="724"/>
      <c r="CC705" s="724"/>
      <c r="CD705" s="724"/>
      <c r="CE705" s="724"/>
      <c r="CF705" s="724"/>
      <c r="CG705" s="724"/>
      <c r="CH705" s="724"/>
      <c r="CI705" s="724"/>
      <c r="CJ705" s="724"/>
      <c r="CK705" s="724"/>
      <c r="CL705" s="724"/>
      <c r="CM705" s="724"/>
      <c r="CN705" s="724"/>
      <c r="CO705" s="724"/>
      <c r="CP705" s="724"/>
      <c r="CQ705" s="724"/>
      <c r="CR705" s="724"/>
    </row>
    <row r="706" s="667" customFormat="1" ht="31" customHeight="1" spans="1:108">
      <c r="A706" s="859">
        <v>46136</v>
      </c>
      <c r="B706" s="860" t="s">
        <v>3111</v>
      </c>
      <c r="C706" s="708" t="s">
        <v>135</v>
      </c>
      <c r="D706" s="834" t="s">
        <v>6138</v>
      </c>
      <c r="E706" s="994" t="s">
        <v>3112</v>
      </c>
      <c r="F706" s="834" t="s">
        <v>6139</v>
      </c>
      <c r="G706" s="846" t="s">
        <v>3968</v>
      </c>
      <c r="H706" s="708" t="s">
        <v>3969</v>
      </c>
      <c r="I706" s="861">
        <v>1008</v>
      </c>
      <c r="J706" s="708">
        <v>0</v>
      </c>
      <c r="K706" s="708">
        <v>16</v>
      </c>
      <c r="L706" s="708">
        <f t="shared" si="126"/>
        <v>63</v>
      </c>
      <c r="M706" s="862">
        <v>46254</v>
      </c>
      <c r="N706" s="879">
        <v>46252</v>
      </c>
      <c r="O706" s="860"/>
      <c r="P706" s="861"/>
      <c r="Q706" s="824" t="s">
        <v>3115</v>
      </c>
      <c r="R706" s="827" t="s">
        <v>6140</v>
      </c>
      <c r="S706" s="829" t="s">
        <v>107</v>
      </c>
      <c r="T706" s="828" t="s">
        <v>3116</v>
      </c>
      <c r="U706" s="829"/>
      <c r="V706" s="829" t="s">
        <v>4056</v>
      </c>
      <c r="W706" s="829"/>
      <c r="X706" s="995" t="s">
        <v>6141</v>
      </c>
      <c r="Y706" s="862" t="s">
        <v>1207</v>
      </c>
      <c r="Z706" s="866">
        <v>4.4696</v>
      </c>
      <c r="AA706" s="834">
        <f>I706*Z706</f>
        <v>4505.3568</v>
      </c>
      <c r="AB706" s="831"/>
      <c r="AC706" s="846" t="s">
        <v>3968</v>
      </c>
      <c r="AD706" s="708" t="s">
        <v>112</v>
      </c>
      <c r="AE706" s="708">
        <f t="shared" si="138"/>
        <v>1008</v>
      </c>
      <c r="AF706" s="821" t="s">
        <v>5125</v>
      </c>
      <c r="AG706" s="708"/>
      <c r="AH706" s="833">
        <f t="shared" si="139"/>
        <v>-1008</v>
      </c>
      <c r="AI706" s="861"/>
      <c r="AJ706" s="708" t="s">
        <v>3981</v>
      </c>
      <c r="AK706" s="834">
        <f t="shared" ref="AK706:AK711" si="141">I706</f>
        <v>1008</v>
      </c>
      <c r="AL706" s="834"/>
      <c r="AM706" s="834"/>
      <c r="AN706" s="834">
        <f t="shared" si="140"/>
        <v>1008</v>
      </c>
      <c r="AO706" s="834"/>
      <c r="AP706" s="834"/>
      <c r="AQ706" s="834"/>
      <c r="AR706" s="834"/>
      <c r="AS706" s="834"/>
      <c r="AT706" s="834"/>
      <c r="AU706" s="834"/>
      <c r="AV706" s="834"/>
      <c r="AW706" s="834"/>
      <c r="AX706" s="834"/>
      <c r="AY706" s="834"/>
      <c r="AZ706" s="834"/>
      <c r="BA706" s="834"/>
      <c r="BB706" s="834"/>
      <c r="BC706" s="834"/>
      <c r="BD706" s="834"/>
      <c r="BE706" s="834"/>
      <c r="BF706" s="834"/>
      <c r="BG706" s="834"/>
      <c r="BH706" s="834"/>
      <c r="BI706" s="834"/>
      <c r="BJ706" s="659"/>
      <c r="BK706" s="659"/>
      <c r="BL706" s="659"/>
      <c r="BM706" s="659"/>
      <c r="BN706" s="659"/>
      <c r="BO706" s="659"/>
      <c r="BP706" s="659"/>
      <c r="BQ706" s="659"/>
      <c r="BR706" s="659"/>
      <c r="BS706" s="659"/>
      <c r="BT706" s="659"/>
      <c r="BU706" s="659"/>
      <c r="BV706" s="659"/>
      <c r="BW706" s="659"/>
      <c r="BX706" s="659"/>
      <c r="BY706" s="659"/>
      <c r="BZ706" s="659"/>
      <c r="CA706" s="659"/>
      <c r="CB706" s="659"/>
      <c r="CC706" s="659"/>
      <c r="CD706" s="659"/>
      <c r="CE706" s="659"/>
      <c r="CF706" s="659"/>
      <c r="CG706" s="659"/>
      <c r="CH706" s="659"/>
      <c r="CI706" s="659"/>
      <c r="CJ706" s="659"/>
      <c r="CK706" s="659"/>
      <c r="CL706" s="659"/>
      <c r="CM706" s="659"/>
      <c r="CN706" s="659"/>
      <c r="CO706" s="659"/>
      <c r="CP706" s="659"/>
      <c r="CQ706" s="659"/>
      <c r="CR706" s="659"/>
      <c r="CS706" s="659"/>
      <c r="CT706" s="659"/>
      <c r="CU706" s="659"/>
      <c r="CV706" s="659"/>
      <c r="CW706" s="659"/>
      <c r="CX706" s="659"/>
      <c r="CY706" s="659"/>
      <c r="CZ706" s="659"/>
      <c r="DA706" s="659"/>
      <c r="DB706" s="659"/>
      <c r="DC706" s="659"/>
      <c r="DD706" s="659"/>
    </row>
    <row r="707" s="667" customFormat="1" ht="31" customHeight="1" spans="1:108">
      <c r="A707" s="819">
        <v>46212</v>
      </c>
      <c r="B707" s="820" t="s">
        <v>3118</v>
      </c>
      <c r="C707" s="821" t="s">
        <v>115</v>
      </c>
      <c r="D707" s="822">
        <v>4500215867</v>
      </c>
      <c r="E707" s="1915" t="s">
        <v>3119</v>
      </c>
      <c r="F707" s="822" t="s">
        <v>3120</v>
      </c>
      <c r="G707" s="823" t="s">
        <v>4337</v>
      </c>
      <c r="H707" s="821" t="s">
        <v>151</v>
      </c>
      <c r="I707" s="824">
        <v>696</v>
      </c>
      <c r="J707" s="821">
        <v>0</v>
      </c>
      <c r="K707" s="821">
        <v>24</v>
      </c>
      <c r="L707" s="821">
        <f t="shared" si="126"/>
        <v>29</v>
      </c>
      <c r="M707" s="825">
        <v>46254</v>
      </c>
      <c r="N707" s="863">
        <v>46252</v>
      </c>
      <c r="O707" s="820"/>
      <c r="P707" s="824"/>
      <c r="Q707" s="824"/>
      <c r="R707" s="827">
        <v>46217</v>
      </c>
      <c r="S707" s="828" t="s">
        <v>107</v>
      </c>
      <c r="T707" s="828" t="s">
        <v>6142</v>
      </c>
      <c r="U707" s="828"/>
      <c r="V707" s="828"/>
      <c r="W707" s="828"/>
      <c r="X707" s="992" t="s">
        <v>3123</v>
      </c>
      <c r="Y707" s="825" t="s">
        <v>1032</v>
      </c>
      <c r="Z707" s="830">
        <v>149.7597</v>
      </c>
      <c r="AA707" s="822">
        <f>L707*Z707</f>
        <v>4343.0313</v>
      </c>
      <c r="AB707" s="831"/>
      <c r="AC707" s="836" t="s">
        <v>4337</v>
      </c>
      <c r="AD707" s="821" t="s">
        <v>112</v>
      </c>
      <c r="AE707" s="821">
        <f t="shared" si="138"/>
        <v>696</v>
      </c>
      <c r="AF707" s="821"/>
      <c r="AG707" s="821"/>
      <c r="AH707" s="833">
        <f t="shared" si="139"/>
        <v>-696</v>
      </c>
      <c r="AI707" s="824"/>
      <c r="AJ707" s="708" t="s">
        <v>3981</v>
      </c>
      <c r="AK707" s="834">
        <f t="shared" si="141"/>
        <v>696</v>
      </c>
      <c r="AL707" s="822"/>
      <c r="AM707" s="822"/>
      <c r="AN707" s="834">
        <f t="shared" si="140"/>
        <v>696</v>
      </c>
      <c r="AO707" s="822"/>
      <c r="AP707" s="822"/>
      <c r="AQ707" s="822"/>
      <c r="AR707" s="822"/>
      <c r="AS707" s="822"/>
      <c r="AT707" s="822"/>
      <c r="AU707" s="822"/>
      <c r="AV707" s="822"/>
      <c r="AW707" s="822"/>
      <c r="AX707" s="822"/>
      <c r="AY707" s="822"/>
      <c r="AZ707" s="822"/>
      <c r="BA707" s="822">
        <f>L707</f>
        <v>29</v>
      </c>
      <c r="BB707" s="822"/>
      <c r="BC707" s="822"/>
      <c r="BD707" s="822"/>
      <c r="BE707" s="822"/>
      <c r="BF707" s="822"/>
      <c r="BG707" s="822"/>
      <c r="BH707" s="822"/>
      <c r="BI707" s="822"/>
    </row>
    <row r="708" s="659" customFormat="1" ht="31" customHeight="1" spans="1:108">
      <c r="A708" s="819">
        <v>46212</v>
      </c>
      <c r="B708" s="820" t="s">
        <v>3118</v>
      </c>
      <c r="C708" s="821" t="s">
        <v>115</v>
      </c>
      <c r="D708" s="822">
        <v>4500215867</v>
      </c>
      <c r="E708" s="1915" t="s">
        <v>3124</v>
      </c>
      <c r="F708" s="822" t="s">
        <v>3125</v>
      </c>
      <c r="G708" s="823" t="s">
        <v>4337</v>
      </c>
      <c r="H708" s="821" t="s">
        <v>151</v>
      </c>
      <c r="I708" s="824">
        <v>168</v>
      </c>
      <c r="J708" s="821">
        <v>0</v>
      </c>
      <c r="K708" s="821">
        <v>24</v>
      </c>
      <c r="L708" s="821">
        <f t="shared" si="126"/>
        <v>7</v>
      </c>
      <c r="M708" s="825">
        <v>46254</v>
      </c>
      <c r="N708" s="863">
        <v>46252</v>
      </c>
      <c r="O708" s="820"/>
      <c r="P708" s="824"/>
      <c r="Q708" s="824"/>
      <c r="R708" s="827">
        <v>46217</v>
      </c>
      <c r="S708" s="828" t="s">
        <v>107</v>
      </c>
      <c r="T708" s="828" t="s">
        <v>6142</v>
      </c>
      <c r="U708" s="828"/>
      <c r="V708" s="828"/>
      <c r="W708" s="828"/>
      <c r="X708" s="820" t="s">
        <v>3123</v>
      </c>
      <c r="Y708" s="825" t="s">
        <v>1032</v>
      </c>
      <c r="Z708" s="830">
        <v>150.0314</v>
      </c>
      <c r="AA708" s="822">
        <f>L708*Z708</f>
        <v>1050.2198</v>
      </c>
      <c r="AB708" s="831"/>
      <c r="AC708" s="836" t="s">
        <v>4337</v>
      </c>
      <c r="AD708" s="821" t="s">
        <v>112</v>
      </c>
      <c r="AE708" s="821">
        <f t="shared" si="138"/>
        <v>168</v>
      </c>
      <c r="AF708" s="821"/>
      <c r="AG708" s="821"/>
      <c r="AH708" s="833">
        <f t="shared" si="139"/>
        <v>-168</v>
      </c>
      <c r="AI708" s="824"/>
      <c r="AJ708" s="708" t="s">
        <v>3981</v>
      </c>
      <c r="AK708" s="834">
        <f t="shared" si="141"/>
        <v>168</v>
      </c>
      <c r="AL708" s="822"/>
      <c r="AM708" s="822"/>
      <c r="AN708" s="834">
        <f t="shared" si="140"/>
        <v>168</v>
      </c>
      <c r="AO708" s="822"/>
      <c r="AP708" s="822"/>
      <c r="AQ708" s="822"/>
      <c r="AR708" s="822"/>
      <c r="AS708" s="822"/>
      <c r="AT708" s="822"/>
      <c r="AU708" s="822"/>
      <c r="AV708" s="822"/>
      <c r="AW708" s="822"/>
      <c r="AX708" s="822"/>
      <c r="AY708" s="822"/>
      <c r="AZ708" s="822"/>
      <c r="BA708" s="822">
        <f>L708</f>
        <v>7</v>
      </c>
      <c r="BB708" s="822"/>
      <c r="BC708" s="822"/>
      <c r="BD708" s="822"/>
      <c r="BE708" s="822"/>
      <c r="BF708" s="822"/>
      <c r="BG708" s="822"/>
      <c r="BH708" s="822"/>
      <c r="BI708" s="822"/>
      <c r="BJ708" s="667"/>
      <c r="BK708" s="667"/>
      <c r="BL708" s="667"/>
      <c r="BM708" s="667"/>
      <c r="BN708" s="667"/>
      <c r="BO708" s="667"/>
      <c r="BP708" s="667"/>
      <c r="BQ708" s="667"/>
      <c r="BR708" s="667"/>
      <c r="BS708" s="667"/>
      <c r="BT708" s="667"/>
      <c r="BU708" s="667"/>
      <c r="BV708" s="667"/>
      <c r="BW708" s="667"/>
      <c r="BX708" s="667"/>
      <c r="BY708" s="667"/>
      <c r="BZ708" s="667"/>
      <c r="CA708" s="667"/>
      <c r="CB708" s="667"/>
      <c r="CC708" s="667"/>
      <c r="CD708" s="667"/>
      <c r="CE708" s="667"/>
      <c r="CF708" s="667"/>
      <c r="CG708" s="667"/>
      <c r="CH708" s="667"/>
      <c r="CI708" s="667"/>
      <c r="CJ708" s="667"/>
      <c r="CK708" s="667"/>
      <c r="CL708" s="667"/>
      <c r="CM708" s="667"/>
      <c r="CN708" s="667"/>
      <c r="CO708" s="667"/>
      <c r="CP708" s="667"/>
      <c r="CQ708" s="667"/>
      <c r="CR708" s="667"/>
      <c r="CS708" s="667"/>
      <c r="CT708" s="667"/>
      <c r="CU708" s="667"/>
      <c r="CV708" s="667"/>
      <c r="CW708" s="667"/>
      <c r="CX708" s="667"/>
      <c r="CY708" s="667"/>
      <c r="CZ708" s="667"/>
      <c r="DA708" s="667"/>
      <c r="DB708" s="667"/>
      <c r="DC708" s="667"/>
      <c r="DD708" s="667"/>
    </row>
    <row r="709" s="659" customFormat="1" ht="31" customHeight="1" spans="1:108">
      <c r="A709" s="819">
        <v>46212</v>
      </c>
      <c r="B709" s="820" t="s">
        <v>3118</v>
      </c>
      <c r="C709" s="821" t="s">
        <v>115</v>
      </c>
      <c r="D709" s="822">
        <v>4500215867</v>
      </c>
      <c r="E709" s="1915" t="s">
        <v>3126</v>
      </c>
      <c r="F709" s="822" t="s">
        <v>3127</v>
      </c>
      <c r="G709" s="823" t="s">
        <v>4337</v>
      </c>
      <c r="H709" s="821" t="s">
        <v>151</v>
      </c>
      <c r="I709" s="824">
        <v>792</v>
      </c>
      <c r="J709" s="821">
        <v>0</v>
      </c>
      <c r="K709" s="821">
        <v>24</v>
      </c>
      <c r="L709" s="821">
        <f t="shared" si="126"/>
        <v>33</v>
      </c>
      <c r="M709" s="825">
        <v>46254</v>
      </c>
      <c r="N709" s="863">
        <v>46252</v>
      </c>
      <c r="O709" s="820"/>
      <c r="P709" s="824"/>
      <c r="Q709" s="824"/>
      <c r="R709" s="827">
        <v>46217</v>
      </c>
      <c r="S709" s="828" t="s">
        <v>107</v>
      </c>
      <c r="T709" s="828" t="s">
        <v>6142</v>
      </c>
      <c r="U709" s="828"/>
      <c r="V709" s="828"/>
      <c r="W709" s="828"/>
      <c r="X709" s="820" t="s">
        <v>3123</v>
      </c>
      <c r="Y709" s="825" t="s">
        <v>1032</v>
      </c>
      <c r="Z709" s="830">
        <v>149.7597</v>
      </c>
      <c r="AA709" s="822">
        <f>L709*Z709</f>
        <v>4942.0701</v>
      </c>
      <c r="AB709" s="831"/>
      <c r="AC709" s="836" t="s">
        <v>4337</v>
      </c>
      <c r="AD709" s="821" t="s">
        <v>112</v>
      </c>
      <c r="AE709" s="821">
        <f t="shared" si="138"/>
        <v>792</v>
      </c>
      <c r="AF709" s="821"/>
      <c r="AG709" s="821"/>
      <c r="AH709" s="833">
        <f t="shared" si="139"/>
        <v>-792</v>
      </c>
      <c r="AI709" s="824"/>
      <c r="AJ709" s="708" t="s">
        <v>3981</v>
      </c>
      <c r="AK709" s="834">
        <f t="shared" si="141"/>
        <v>792</v>
      </c>
      <c r="AL709" s="822"/>
      <c r="AM709" s="822"/>
      <c r="AN709" s="834">
        <f t="shared" si="140"/>
        <v>792</v>
      </c>
      <c r="AO709" s="822"/>
      <c r="AP709" s="822"/>
      <c r="AQ709" s="822"/>
      <c r="AR709" s="822"/>
      <c r="AS709" s="822"/>
      <c r="AT709" s="822"/>
      <c r="AU709" s="822"/>
      <c r="AV709" s="822"/>
      <c r="AW709" s="822"/>
      <c r="AX709" s="822"/>
      <c r="AY709" s="822"/>
      <c r="AZ709" s="822"/>
      <c r="BA709" s="822">
        <f>L709</f>
        <v>33</v>
      </c>
      <c r="BB709" s="822"/>
      <c r="BC709" s="822"/>
      <c r="BD709" s="822"/>
      <c r="BE709" s="822"/>
      <c r="BF709" s="822"/>
      <c r="BG709" s="822"/>
      <c r="BH709" s="822"/>
      <c r="BI709" s="822"/>
      <c r="BJ709" s="667"/>
      <c r="BK709" s="667"/>
      <c r="BL709" s="667"/>
      <c r="BM709" s="667"/>
      <c r="BN709" s="667"/>
      <c r="BO709" s="667"/>
      <c r="BP709" s="667"/>
      <c r="BQ709" s="667"/>
      <c r="BR709" s="667"/>
      <c r="BS709" s="667"/>
      <c r="BT709" s="667"/>
      <c r="BU709" s="667"/>
      <c r="BV709" s="667"/>
      <c r="BW709" s="667"/>
      <c r="BX709" s="667"/>
      <c r="BY709" s="667"/>
      <c r="BZ709" s="667"/>
      <c r="CA709" s="667"/>
      <c r="CB709" s="667"/>
      <c r="CC709" s="667"/>
      <c r="CD709" s="667"/>
      <c r="CE709" s="667"/>
      <c r="CF709" s="667"/>
      <c r="CG709" s="667"/>
      <c r="CH709" s="667"/>
      <c r="CI709" s="667"/>
      <c r="CJ709" s="667"/>
      <c r="CK709" s="667"/>
      <c r="CL709" s="667"/>
      <c r="CM709" s="667"/>
      <c r="CN709" s="667"/>
      <c r="CO709" s="667"/>
      <c r="CP709" s="667"/>
      <c r="CQ709" s="667"/>
      <c r="CR709" s="667"/>
      <c r="CS709" s="667"/>
      <c r="CT709" s="667"/>
      <c r="CU709" s="667"/>
      <c r="CV709" s="667"/>
      <c r="CW709" s="667"/>
      <c r="CX709" s="667"/>
      <c r="CY709" s="667"/>
      <c r="CZ709" s="667"/>
      <c r="DA709" s="667"/>
      <c r="DB709" s="667"/>
      <c r="DC709" s="667"/>
      <c r="DD709" s="667"/>
    </row>
    <row r="710" s="659" customFormat="1" ht="31" customHeight="1" spans="1:108">
      <c r="A710" s="819">
        <v>46212</v>
      </c>
      <c r="B710" s="820" t="s">
        <v>3118</v>
      </c>
      <c r="C710" s="821" t="s">
        <v>115</v>
      </c>
      <c r="D710" s="822">
        <v>4500215867</v>
      </c>
      <c r="E710" s="1915" t="s">
        <v>3128</v>
      </c>
      <c r="F710" s="822" t="s">
        <v>3129</v>
      </c>
      <c r="G710" s="823" t="s">
        <v>4337</v>
      </c>
      <c r="H710" s="821" t="s">
        <v>151</v>
      </c>
      <c r="I710" s="824">
        <v>480</v>
      </c>
      <c r="J710" s="821">
        <v>0</v>
      </c>
      <c r="K710" s="821">
        <v>24</v>
      </c>
      <c r="L710" s="821">
        <f t="shared" ref="L710:L773" si="142">I710/K710</f>
        <v>20</v>
      </c>
      <c r="M710" s="825">
        <v>46254</v>
      </c>
      <c r="N710" s="863">
        <v>46252</v>
      </c>
      <c r="O710" s="820"/>
      <c r="P710" s="824"/>
      <c r="Q710" s="824"/>
      <c r="R710" s="827">
        <v>46217</v>
      </c>
      <c r="S710" s="828" t="s">
        <v>107</v>
      </c>
      <c r="T710" s="828" t="s">
        <v>6142</v>
      </c>
      <c r="U710" s="828"/>
      <c r="V710" s="828"/>
      <c r="W710" s="828"/>
      <c r="X710" s="820" t="s">
        <v>3123</v>
      </c>
      <c r="Y710" s="825" t="s">
        <v>1032</v>
      </c>
      <c r="Z710" s="830">
        <v>149.7595</v>
      </c>
      <c r="AA710" s="822">
        <f>L710*Z710</f>
        <v>2995.19</v>
      </c>
      <c r="AB710" s="831"/>
      <c r="AC710" s="836" t="s">
        <v>4337</v>
      </c>
      <c r="AD710" s="821" t="s">
        <v>112</v>
      </c>
      <c r="AE710" s="821">
        <f t="shared" si="138"/>
        <v>480</v>
      </c>
      <c r="AF710" s="821"/>
      <c r="AG710" s="821"/>
      <c r="AH710" s="833">
        <f t="shared" si="139"/>
        <v>-480</v>
      </c>
      <c r="AI710" s="824"/>
      <c r="AJ710" s="708" t="s">
        <v>3981</v>
      </c>
      <c r="AK710" s="834">
        <f t="shared" si="141"/>
        <v>480</v>
      </c>
      <c r="AL710" s="822"/>
      <c r="AM710" s="822"/>
      <c r="AN710" s="834">
        <f t="shared" si="140"/>
        <v>480</v>
      </c>
      <c r="AO710" s="822"/>
      <c r="AP710" s="822"/>
      <c r="AQ710" s="822"/>
      <c r="AR710" s="822"/>
      <c r="AS710" s="822"/>
      <c r="AT710" s="822"/>
      <c r="AU710" s="822"/>
      <c r="AV710" s="822"/>
      <c r="AW710" s="822"/>
      <c r="AX710" s="822"/>
      <c r="AY710" s="822"/>
      <c r="AZ710" s="822"/>
      <c r="BA710" s="822">
        <f>L710</f>
        <v>20</v>
      </c>
      <c r="BB710" s="822"/>
      <c r="BC710" s="822"/>
      <c r="BD710" s="822"/>
      <c r="BE710" s="822"/>
      <c r="BF710" s="822"/>
      <c r="BG710" s="822"/>
      <c r="BH710" s="822"/>
      <c r="BI710" s="822"/>
      <c r="BJ710" s="667"/>
      <c r="BK710" s="667"/>
      <c r="BL710" s="667"/>
      <c r="BM710" s="667"/>
      <c r="BN710" s="667"/>
      <c r="BO710" s="667"/>
      <c r="BP710" s="667"/>
      <c r="BQ710" s="667"/>
      <c r="BR710" s="667"/>
      <c r="BS710" s="667"/>
      <c r="BT710" s="667"/>
      <c r="BU710" s="667"/>
      <c r="BV710" s="667"/>
      <c r="BW710" s="667"/>
      <c r="BX710" s="667"/>
      <c r="BY710" s="667"/>
      <c r="BZ710" s="667"/>
      <c r="CA710" s="667"/>
      <c r="CB710" s="667"/>
      <c r="CC710" s="667"/>
      <c r="CD710" s="667"/>
      <c r="CE710" s="667"/>
      <c r="CF710" s="667"/>
      <c r="CG710" s="667"/>
      <c r="CH710" s="667"/>
      <c r="CI710" s="667"/>
      <c r="CJ710" s="667"/>
      <c r="CK710" s="667"/>
      <c r="CL710" s="667"/>
      <c r="CM710" s="667"/>
      <c r="CN710" s="667"/>
      <c r="CO710" s="667"/>
      <c r="CP710" s="667"/>
      <c r="CQ710" s="667"/>
      <c r="CR710" s="667"/>
      <c r="CS710" s="667"/>
      <c r="CT710" s="667"/>
      <c r="CU710" s="667"/>
      <c r="CV710" s="667"/>
      <c r="CW710" s="667"/>
      <c r="CX710" s="667"/>
      <c r="CY710" s="667"/>
      <c r="CZ710" s="667"/>
      <c r="DA710" s="667"/>
      <c r="DB710" s="667"/>
      <c r="DC710" s="667"/>
      <c r="DD710" s="667"/>
    </row>
    <row r="711" s="670" customFormat="1" ht="31" customHeight="1" spans="1:108">
      <c r="A711" s="951">
        <v>46212</v>
      </c>
      <c r="B711" s="952" t="s">
        <v>3118</v>
      </c>
      <c r="C711" s="953" t="s">
        <v>115</v>
      </c>
      <c r="D711" s="669">
        <v>4500215867</v>
      </c>
      <c r="E711" s="1916" t="s">
        <v>3130</v>
      </c>
      <c r="F711" s="669" t="s">
        <v>3131</v>
      </c>
      <c r="G711" s="955" t="s">
        <v>4337</v>
      </c>
      <c r="H711" s="953" t="s">
        <v>151</v>
      </c>
      <c r="I711" s="957">
        <v>264</v>
      </c>
      <c r="J711" s="953">
        <v>0</v>
      </c>
      <c r="K711" s="953">
        <v>24</v>
      </c>
      <c r="L711" s="953">
        <f t="shared" si="142"/>
        <v>11</v>
      </c>
      <c r="M711" s="958">
        <v>46254</v>
      </c>
      <c r="N711" s="959">
        <v>46252</v>
      </c>
      <c r="O711" s="952"/>
      <c r="P711" s="957"/>
      <c r="Q711" s="957"/>
      <c r="R711" s="827">
        <v>46217</v>
      </c>
      <c r="S711" s="828" t="s">
        <v>107</v>
      </c>
      <c r="T711" s="961" t="s">
        <v>6142</v>
      </c>
      <c r="U711" s="961"/>
      <c r="V711" s="961"/>
      <c r="W711" s="961"/>
      <c r="X711" s="952" t="s">
        <v>3123</v>
      </c>
      <c r="Y711" s="958" t="s">
        <v>1032</v>
      </c>
      <c r="Z711" s="962">
        <v>150.0318</v>
      </c>
      <c r="AA711" s="669">
        <f>L711*Z711</f>
        <v>1650.3498</v>
      </c>
      <c r="AB711" s="831"/>
      <c r="AC711" s="836" t="s">
        <v>4337</v>
      </c>
      <c r="AD711" s="953" t="s">
        <v>112</v>
      </c>
      <c r="AE711" s="953">
        <f t="shared" si="138"/>
        <v>264</v>
      </c>
      <c r="AF711" s="953"/>
      <c r="AG711" s="953"/>
      <c r="AH711" s="833">
        <f t="shared" si="139"/>
        <v>-264</v>
      </c>
      <c r="AI711" s="957"/>
      <c r="AJ711" s="708" t="s">
        <v>3981</v>
      </c>
      <c r="AK711" s="834">
        <f t="shared" si="141"/>
        <v>264</v>
      </c>
      <c r="AL711" s="822"/>
      <c r="AM711" s="822"/>
      <c r="AN711" s="834">
        <f t="shared" si="140"/>
        <v>264</v>
      </c>
      <c r="AO711" s="669"/>
      <c r="AP711" s="669"/>
      <c r="AQ711" s="669"/>
      <c r="AR711" s="669"/>
      <c r="AS711" s="669"/>
      <c r="AT711" s="669"/>
      <c r="AU711" s="669"/>
      <c r="AV711" s="822"/>
      <c r="AW711" s="822"/>
      <c r="AX711" s="822"/>
      <c r="AY711" s="822"/>
      <c r="AZ711" s="822"/>
      <c r="BA711" s="669">
        <f>L711</f>
        <v>11</v>
      </c>
      <c r="BB711" s="669"/>
      <c r="BC711" s="669"/>
      <c r="BD711" s="669"/>
      <c r="BE711" s="669"/>
      <c r="BF711" s="669"/>
      <c r="BG711" s="669"/>
      <c r="BH711" s="669"/>
      <c r="BI711" s="669"/>
      <c r="BJ711" s="669"/>
      <c r="BK711" s="669"/>
      <c r="BL711" s="669"/>
      <c r="BM711" s="669"/>
      <c r="BN711" s="669"/>
      <c r="BO711" s="669"/>
      <c r="BP711" s="669"/>
      <c r="BQ711" s="669"/>
      <c r="BR711" s="669"/>
      <c r="BS711" s="669"/>
      <c r="BT711" s="669"/>
      <c r="BU711" s="669"/>
      <c r="BV711" s="669"/>
      <c r="BW711" s="669"/>
      <c r="BX711" s="669"/>
      <c r="BY711" s="669"/>
      <c r="BZ711" s="669"/>
      <c r="CA711" s="669"/>
      <c r="CB711" s="669"/>
      <c r="CC711" s="669"/>
      <c r="CD711" s="669"/>
      <c r="CE711" s="669"/>
      <c r="CF711" s="669"/>
      <c r="CG711" s="669"/>
      <c r="CH711" s="669"/>
      <c r="CI711" s="669"/>
      <c r="CJ711" s="669"/>
      <c r="CK711" s="669"/>
      <c r="CL711" s="669"/>
      <c r="CM711" s="669"/>
      <c r="CN711" s="669"/>
      <c r="CO711" s="669"/>
      <c r="CP711" s="669"/>
      <c r="CQ711" s="669"/>
      <c r="CR711" s="669"/>
      <c r="CS711" s="669"/>
      <c r="CT711" s="669"/>
      <c r="CU711" s="669"/>
      <c r="CV711" s="669"/>
      <c r="CW711" s="669"/>
      <c r="CX711" s="669"/>
      <c r="CY711" s="669"/>
      <c r="CZ711" s="669"/>
      <c r="DA711" s="669"/>
      <c r="DB711" s="669"/>
      <c r="DC711" s="669"/>
      <c r="DD711" s="669"/>
    </row>
    <row r="712" s="668" customFormat="1" ht="31" customHeight="1" spans="1:108">
      <c r="A712" s="939">
        <v>46190</v>
      </c>
      <c r="B712" s="940" t="s">
        <v>3132</v>
      </c>
      <c r="C712" s="941" t="s">
        <v>2138</v>
      </c>
      <c r="D712" s="668" t="s">
        <v>6143</v>
      </c>
      <c r="E712" s="941" t="s">
        <v>628</v>
      </c>
      <c r="F712" s="668" t="s">
        <v>6144</v>
      </c>
      <c r="G712" s="942" t="s">
        <v>3973</v>
      </c>
      <c r="H712" s="871" t="s">
        <v>3995</v>
      </c>
      <c r="I712" s="943">
        <v>160</v>
      </c>
      <c r="J712" s="941">
        <v>0</v>
      </c>
      <c r="K712" s="941">
        <v>16</v>
      </c>
      <c r="L712" s="941">
        <f t="shared" si="142"/>
        <v>10</v>
      </c>
      <c r="M712" s="945">
        <v>46254</v>
      </c>
      <c r="N712" s="945">
        <f>M712-2</f>
        <v>46252</v>
      </c>
      <c r="O712" s="940"/>
      <c r="P712" s="943" t="s">
        <v>1410</v>
      </c>
      <c r="Q712" s="943"/>
      <c r="R712" s="996">
        <v>46205</v>
      </c>
      <c r="S712" s="946" t="s">
        <v>107</v>
      </c>
      <c r="T712" s="946" t="s">
        <v>6145</v>
      </c>
      <c r="U712" s="946"/>
      <c r="V712" s="947"/>
      <c r="W712" s="947"/>
      <c r="X712" s="997" t="s">
        <v>6146</v>
      </c>
      <c r="Y712" s="944" t="s">
        <v>1477</v>
      </c>
      <c r="Z712" s="948">
        <v>4.8331</v>
      </c>
      <c r="AA712" s="668">
        <f>I712*Z712</f>
        <v>773.296</v>
      </c>
      <c r="AB712" s="831"/>
      <c r="AC712" s="872" t="s">
        <v>4108</v>
      </c>
      <c r="AD712" s="871" t="s">
        <v>112</v>
      </c>
      <c r="AE712" s="941">
        <f t="shared" si="138"/>
        <v>160</v>
      </c>
      <c r="AF712" s="941"/>
      <c r="AG712" s="941">
        <v>160</v>
      </c>
      <c r="AH712" s="871">
        <f t="shared" si="139"/>
        <v>0</v>
      </c>
      <c r="AI712" s="943"/>
      <c r="AJ712" s="941" t="s">
        <v>3981</v>
      </c>
      <c r="AK712" s="872"/>
      <c r="AL712" s="872">
        <f>I712</f>
        <v>160</v>
      </c>
      <c r="AM712" s="872"/>
      <c r="AN712" s="872">
        <f t="shared" si="140"/>
        <v>160</v>
      </c>
      <c r="AP712" s="872"/>
      <c r="AQ712" s="668"/>
      <c r="AR712" s="668"/>
      <c r="AS712" s="668"/>
      <c r="AT712" s="668"/>
      <c r="AU712" s="668">
        <f>I712/8</f>
        <v>20</v>
      </c>
      <c r="BI712" s="872"/>
    </row>
    <row r="713" s="659" customFormat="1" ht="31" customHeight="1" spans="1:108">
      <c r="A713" s="998">
        <v>46199</v>
      </c>
      <c r="B713" s="999" t="s">
        <v>3140</v>
      </c>
      <c r="C713" s="1000" t="s">
        <v>608</v>
      </c>
      <c r="D713" s="1001" t="s">
        <v>6147</v>
      </c>
      <c r="E713" s="1000" t="s">
        <v>628</v>
      </c>
      <c r="F713" s="1001" t="s">
        <v>6148</v>
      </c>
      <c r="G713" s="1002" t="s">
        <v>3980</v>
      </c>
      <c r="H713" s="1003" t="s">
        <v>3978</v>
      </c>
      <c r="I713" s="1004">
        <v>1600</v>
      </c>
      <c r="J713" s="1000">
        <v>0</v>
      </c>
      <c r="K713" s="1000">
        <v>8</v>
      </c>
      <c r="L713" s="1000">
        <f t="shared" si="142"/>
        <v>200</v>
      </c>
      <c r="M713" s="1005">
        <v>46254</v>
      </c>
      <c r="N713" s="1006">
        <v>46256</v>
      </c>
      <c r="O713" s="999"/>
      <c r="P713" s="1004"/>
      <c r="Q713" s="1004"/>
      <c r="R713" s="827" t="s">
        <v>2719</v>
      </c>
      <c r="S713" s="828" t="s">
        <v>107</v>
      </c>
      <c r="T713" s="1007" t="s">
        <v>6149</v>
      </c>
      <c r="U713" s="1007"/>
      <c r="V713" s="1008"/>
      <c r="W713" s="1007"/>
      <c r="X713" s="1009" t="s">
        <v>6150</v>
      </c>
      <c r="Y713" s="1005" t="s">
        <v>1148</v>
      </c>
      <c r="Z713" s="1010">
        <v>4.8266</v>
      </c>
      <c r="AA713" s="1001">
        <f>I713*Z713</f>
        <v>7722.56</v>
      </c>
      <c r="AB713" s="1011"/>
      <c r="AC713" s="1012" t="s">
        <v>4031</v>
      </c>
      <c r="AD713" s="821" t="s">
        <v>112</v>
      </c>
      <c r="AE713" s="1000">
        <f t="shared" si="138"/>
        <v>1600</v>
      </c>
      <c r="AF713" s="821"/>
      <c r="AG713" s="1003"/>
      <c r="AH713" s="833">
        <f t="shared" si="139"/>
        <v>-1600</v>
      </c>
      <c r="AI713" s="1004"/>
      <c r="AJ713" s="708" t="s">
        <v>3981</v>
      </c>
      <c r="AK713" s="822"/>
      <c r="AL713" s="868">
        <f>I713</f>
        <v>1600</v>
      </c>
      <c r="AM713" s="822"/>
      <c r="AN713" s="834">
        <f t="shared" si="140"/>
        <v>1600</v>
      </c>
      <c r="AO713" s="1001"/>
      <c r="AP713" s="1001"/>
      <c r="AQ713" s="1001"/>
      <c r="AR713" s="1001"/>
      <c r="AS713" s="1001"/>
      <c r="AT713" s="822"/>
      <c r="AU713" s="1013">
        <f>I713/8</f>
        <v>200</v>
      </c>
      <c r="AV713" s="1001"/>
      <c r="AW713" s="1001"/>
      <c r="AX713" s="1001"/>
      <c r="AY713" s="1001"/>
      <c r="AZ713" s="1001"/>
      <c r="BA713" s="1001"/>
      <c r="BB713" s="1001"/>
      <c r="BC713" s="1001"/>
      <c r="BD713" s="1001"/>
      <c r="BE713" s="1001"/>
      <c r="BF713" s="1001"/>
      <c r="BG713" s="1001"/>
      <c r="BH713" s="1001"/>
      <c r="BI713" s="1001"/>
      <c r="BJ713" s="835"/>
      <c r="BK713" s="835"/>
      <c r="BL713" s="835"/>
      <c r="BM713" s="835"/>
      <c r="BN713" s="835"/>
      <c r="BO713" s="835"/>
      <c r="BP713" s="835"/>
      <c r="BQ713" s="835"/>
      <c r="BR713" s="835"/>
      <c r="BS713" s="835"/>
      <c r="BT713" s="835"/>
      <c r="BU713" s="835"/>
      <c r="BV713" s="835"/>
      <c r="BW713" s="835"/>
      <c r="BX713" s="835"/>
      <c r="BY713" s="835"/>
      <c r="BZ713" s="835"/>
      <c r="CA713" s="835"/>
      <c r="CB713" s="835"/>
      <c r="CC713" s="835"/>
      <c r="CD713" s="835"/>
      <c r="CE713" s="835"/>
      <c r="CF713" s="835"/>
      <c r="CG713" s="835"/>
      <c r="CH713" s="835"/>
      <c r="CI713" s="835"/>
      <c r="CJ713" s="835"/>
      <c r="CK713" s="835"/>
      <c r="CL713" s="835"/>
      <c r="CM713" s="835"/>
      <c r="CN713" s="835"/>
      <c r="CO713" s="835"/>
      <c r="CP713" s="835"/>
      <c r="CQ713" s="835"/>
      <c r="CR713" s="835"/>
      <c r="CS713" s="835"/>
      <c r="CT713" s="835"/>
      <c r="CU713" s="835"/>
      <c r="CV713" s="835"/>
      <c r="CW713" s="835"/>
      <c r="CX713" s="835"/>
      <c r="CY713" s="835"/>
      <c r="CZ713" s="835"/>
      <c r="DA713" s="835"/>
      <c r="DB713" s="835"/>
      <c r="DC713" s="835"/>
      <c r="DD713" s="835"/>
    </row>
    <row r="714" s="659" customFormat="1" ht="31" customHeight="1" spans="1:108">
      <c r="A714" s="998">
        <v>46199</v>
      </c>
      <c r="B714" s="999" t="s">
        <v>3140</v>
      </c>
      <c r="C714" s="1000" t="s">
        <v>608</v>
      </c>
      <c r="D714" s="1001" t="s">
        <v>6147</v>
      </c>
      <c r="E714" s="1000" t="s">
        <v>628</v>
      </c>
      <c r="F714" s="1001" t="s">
        <v>3221</v>
      </c>
      <c r="G714" s="1002" t="s">
        <v>4359</v>
      </c>
      <c r="H714" s="1003" t="s">
        <v>804</v>
      </c>
      <c r="I714" s="1004">
        <v>1200</v>
      </c>
      <c r="J714" s="1000">
        <v>0</v>
      </c>
      <c r="K714" s="1000">
        <v>6</v>
      </c>
      <c r="L714" s="821">
        <f t="shared" si="142"/>
        <v>200</v>
      </c>
      <c r="M714" s="1005">
        <v>46254</v>
      </c>
      <c r="N714" s="1006">
        <v>46256</v>
      </c>
      <c r="O714" s="999"/>
      <c r="P714" s="1004"/>
      <c r="Q714" s="1004"/>
      <c r="R714" s="827" t="s">
        <v>2719</v>
      </c>
      <c r="S714" s="828" t="s">
        <v>107</v>
      </c>
      <c r="T714" s="1007" t="s">
        <v>6149</v>
      </c>
      <c r="U714" s="1007"/>
      <c r="V714" s="1008"/>
      <c r="W714" s="1007"/>
      <c r="X714" s="1007" t="s">
        <v>3223</v>
      </c>
      <c r="Y714" s="1005" t="s">
        <v>1148</v>
      </c>
      <c r="Z714" s="1010">
        <v>8.15</v>
      </c>
      <c r="AA714" s="822">
        <f>L714*Z714</f>
        <v>1630</v>
      </c>
      <c r="AB714" s="1011"/>
      <c r="AC714" s="821" t="s">
        <v>952</v>
      </c>
      <c r="AD714" s="821" t="s">
        <v>112</v>
      </c>
      <c r="AE714" s="821">
        <f t="shared" si="138"/>
        <v>1200</v>
      </c>
      <c r="AF714" s="821"/>
      <c r="AG714" s="1003"/>
      <c r="AH714" s="833">
        <f t="shared" si="139"/>
        <v>-1200</v>
      </c>
      <c r="AI714" s="1004"/>
      <c r="AJ714" s="708" t="s">
        <v>3981</v>
      </c>
      <c r="AK714" s="1001"/>
      <c r="AL714" s="822"/>
      <c r="AM714" s="822"/>
      <c r="AN714" s="834">
        <f t="shared" si="140"/>
        <v>1200</v>
      </c>
      <c r="AO714" s="1001"/>
      <c r="AP714" s="1001"/>
      <c r="AQ714" s="1001"/>
      <c r="AR714" s="1001"/>
      <c r="AS714" s="1001"/>
      <c r="AT714" s="1001"/>
      <c r="AU714" s="834"/>
      <c r="AV714" s="1014"/>
      <c r="AW714" s="1014"/>
      <c r="AX714" s="1001"/>
      <c r="AY714" s="1001"/>
      <c r="AZ714" s="1001"/>
      <c r="BA714" s="1001"/>
      <c r="BB714" s="1001"/>
      <c r="BC714" s="1001"/>
      <c r="BD714" s="1001"/>
      <c r="BE714" s="1001"/>
      <c r="BF714" s="1001"/>
      <c r="BG714" s="1001"/>
      <c r="BH714" s="1001"/>
      <c r="BI714" s="1001"/>
      <c r="BJ714" s="835"/>
      <c r="BK714" s="835"/>
      <c r="BL714" s="835"/>
      <c r="BM714" s="835"/>
      <c r="BN714" s="835"/>
      <c r="BO714" s="835"/>
      <c r="BP714" s="835"/>
      <c r="BQ714" s="835"/>
      <c r="BR714" s="835"/>
      <c r="BS714" s="835"/>
      <c r="BT714" s="835"/>
      <c r="BU714" s="835"/>
      <c r="BV714" s="835"/>
      <c r="BW714" s="835"/>
      <c r="BX714" s="835"/>
      <c r="BY714" s="835"/>
      <c r="BZ714" s="835"/>
      <c r="CA714" s="835"/>
      <c r="CB714" s="835"/>
      <c r="CC714" s="835"/>
      <c r="CD714" s="835"/>
      <c r="CE714" s="835"/>
      <c r="CF714" s="835"/>
      <c r="CG714" s="835"/>
      <c r="CH714" s="835"/>
      <c r="CI714" s="835"/>
      <c r="CJ714" s="835"/>
      <c r="CK714" s="835"/>
      <c r="CL714" s="835"/>
      <c r="CM714" s="835"/>
      <c r="CN714" s="835"/>
      <c r="CO714" s="835"/>
      <c r="CP714" s="835"/>
      <c r="CQ714" s="835"/>
      <c r="CR714" s="835"/>
      <c r="CS714" s="835"/>
      <c r="CT714" s="835"/>
      <c r="CU714" s="835"/>
      <c r="CV714" s="835"/>
      <c r="CW714" s="835"/>
      <c r="CX714" s="835"/>
      <c r="CY714" s="835"/>
      <c r="CZ714" s="835"/>
      <c r="DA714" s="835"/>
      <c r="DB714" s="835"/>
      <c r="DC714" s="835"/>
      <c r="DD714" s="835"/>
    </row>
    <row r="715" s="650" customFormat="1" ht="31" customHeight="1" spans="1:108">
      <c r="A715" s="713">
        <v>46212</v>
      </c>
      <c r="B715" s="714" t="s">
        <v>3144</v>
      </c>
      <c r="C715" s="715" t="s">
        <v>101</v>
      </c>
      <c r="D715" s="652">
        <v>4500215733</v>
      </c>
      <c r="E715" s="715">
        <v>11500</v>
      </c>
      <c r="F715" s="652" t="s">
        <v>6151</v>
      </c>
      <c r="G715" s="716" t="s">
        <v>3980</v>
      </c>
      <c r="H715" s="715" t="s">
        <v>3978</v>
      </c>
      <c r="I715" s="717">
        <v>400</v>
      </c>
      <c r="J715" s="715">
        <v>0</v>
      </c>
      <c r="K715" s="715">
        <v>8</v>
      </c>
      <c r="L715" s="715">
        <f t="shared" si="142"/>
        <v>50</v>
      </c>
      <c r="M715" s="719">
        <v>46255</v>
      </c>
      <c r="N715" s="719">
        <v>46251</v>
      </c>
      <c r="O715" s="714"/>
      <c r="P715" s="717" t="s">
        <v>1410</v>
      </c>
      <c r="Q715" s="717"/>
      <c r="R715" s="723">
        <v>46219</v>
      </c>
      <c r="S715" s="720" t="s">
        <v>107</v>
      </c>
      <c r="T715" s="720" t="s">
        <v>95</v>
      </c>
      <c r="U715" s="720"/>
      <c r="V715" s="720" t="s">
        <v>6093</v>
      </c>
      <c r="W715" s="720"/>
      <c r="X715" s="720" t="s">
        <v>6152</v>
      </c>
      <c r="Y715" s="719" t="s">
        <v>3149</v>
      </c>
      <c r="Z715" s="730">
        <v>4.8371</v>
      </c>
      <c r="AA715" s="652">
        <f t="shared" ref="AA715:AA723" si="143">I715*Z715</f>
        <v>1934.84</v>
      </c>
      <c r="AB715" s="721"/>
      <c r="AC715" s="722" t="s">
        <v>3980</v>
      </c>
      <c r="AD715" s="715" t="s">
        <v>112</v>
      </c>
      <c r="AE715" s="715">
        <f t="shared" si="138"/>
        <v>400</v>
      </c>
      <c r="AF715" s="715"/>
      <c r="AG715" s="715">
        <v>400</v>
      </c>
      <c r="AH715" s="715">
        <f t="shared" si="139"/>
        <v>0</v>
      </c>
      <c r="AI715" s="717"/>
      <c r="AJ715" s="739" t="s">
        <v>3981</v>
      </c>
      <c r="AK715" s="652">
        <f t="shared" ref="AK715:AK721" si="144">I715</f>
        <v>400</v>
      </c>
      <c r="AL715" s="652"/>
      <c r="AM715" s="652"/>
      <c r="AN715" s="652">
        <f t="shared" si="140"/>
        <v>400</v>
      </c>
      <c r="AO715" s="652"/>
      <c r="AP715" s="652"/>
      <c r="AQ715" s="652"/>
      <c r="AR715" s="652"/>
      <c r="AS715" s="652"/>
      <c r="AT715" s="652"/>
      <c r="AU715" s="652"/>
      <c r="AV715" s="652"/>
      <c r="AW715" s="652"/>
      <c r="AX715" s="652">
        <f>I715/8</f>
        <v>50</v>
      </c>
      <c r="AY715" s="652"/>
      <c r="AZ715" s="652"/>
      <c r="BA715" s="652"/>
      <c r="BB715" s="652"/>
      <c r="BC715" s="652"/>
      <c r="BD715" s="652"/>
      <c r="BE715" s="652"/>
      <c r="BF715" s="652"/>
      <c r="BG715" s="652"/>
      <c r="BH715" s="652"/>
      <c r="BI715" s="652"/>
      <c r="BJ715" s="724"/>
      <c r="BK715" s="724"/>
      <c r="BL715" s="724"/>
      <c r="BM715" s="724"/>
      <c r="BN715" s="724"/>
      <c r="BO715" s="724"/>
      <c r="BP715" s="724"/>
      <c r="BQ715" s="724"/>
      <c r="BR715" s="724"/>
      <c r="BS715" s="724"/>
      <c r="BT715" s="724"/>
      <c r="BU715" s="724"/>
      <c r="BV715" s="724"/>
      <c r="BW715" s="724"/>
      <c r="BX715" s="724"/>
      <c r="BY715" s="724"/>
      <c r="BZ715" s="724"/>
      <c r="CA715" s="724"/>
      <c r="CB715" s="724"/>
      <c r="CC715" s="724"/>
      <c r="CD715" s="724"/>
      <c r="CE715" s="724"/>
      <c r="CF715" s="724"/>
      <c r="CG715" s="724"/>
      <c r="CH715" s="724"/>
      <c r="CI715" s="724"/>
      <c r="CJ715" s="724"/>
      <c r="CK715" s="724"/>
      <c r="CL715" s="724"/>
      <c r="CM715" s="724"/>
      <c r="CN715" s="724"/>
      <c r="CO715" s="724"/>
      <c r="CP715" s="724"/>
      <c r="CQ715" s="724"/>
      <c r="CR715" s="724"/>
      <c r="CS715" s="724"/>
      <c r="CT715" s="724"/>
      <c r="CU715" s="724"/>
      <c r="CV715" s="724"/>
      <c r="CW715" s="724"/>
      <c r="CX715" s="724"/>
      <c r="CY715" s="724"/>
      <c r="CZ715" s="724"/>
      <c r="DA715" s="724"/>
      <c r="DB715" s="724"/>
      <c r="DC715" s="724"/>
      <c r="DD715" s="724"/>
    </row>
    <row r="716" s="670" customFormat="1" ht="31" customHeight="1" spans="1:108">
      <c r="A716" s="951">
        <v>46205</v>
      </c>
      <c r="B716" s="952" t="s">
        <v>114</v>
      </c>
      <c r="C716" s="953" t="s">
        <v>115</v>
      </c>
      <c r="D716" s="669" t="s">
        <v>6153</v>
      </c>
      <c r="E716" s="953" t="s">
        <v>6154</v>
      </c>
      <c r="F716" s="669" t="s">
        <v>6155</v>
      </c>
      <c r="G716" s="955" t="s">
        <v>3980</v>
      </c>
      <c r="H716" s="708" t="s">
        <v>3978</v>
      </c>
      <c r="I716" s="957">
        <v>7376</v>
      </c>
      <c r="J716" s="953">
        <v>0</v>
      </c>
      <c r="K716" s="953">
        <v>8</v>
      </c>
      <c r="L716" s="953">
        <f t="shared" si="142"/>
        <v>922</v>
      </c>
      <c r="M716" s="958">
        <v>46255</v>
      </c>
      <c r="N716" s="958">
        <v>46251</v>
      </c>
      <c r="O716" s="952"/>
      <c r="P716" s="957"/>
      <c r="Q716" s="957"/>
      <c r="R716" s="827" t="s">
        <v>6156</v>
      </c>
      <c r="S716" s="828" t="s">
        <v>107</v>
      </c>
      <c r="T716" s="961" t="s">
        <v>6157</v>
      </c>
      <c r="U716" s="961"/>
      <c r="V716" s="960"/>
      <c r="W716" s="961"/>
      <c r="X716" s="961" t="s">
        <v>6158</v>
      </c>
      <c r="Y716" s="958" t="s">
        <v>123</v>
      </c>
      <c r="Z716" s="962">
        <v>2.8666</v>
      </c>
      <c r="AA716" s="669">
        <f t="shared" si="143"/>
        <v>21144.0416</v>
      </c>
      <c r="AB716" s="831"/>
      <c r="AC716" s="832" t="s">
        <v>3980</v>
      </c>
      <c r="AD716" s="821" t="s">
        <v>112</v>
      </c>
      <c r="AE716" s="953">
        <f t="shared" si="138"/>
        <v>7376</v>
      </c>
      <c r="AF716" s="953" t="s">
        <v>5125</v>
      </c>
      <c r="AG716" s="956"/>
      <c r="AH716" s="833">
        <f t="shared" si="139"/>
        <v>-7376</v>
      </c>
      <c r="AI716" s="957"/>
      <c r="AJ716" s="932" t="s">
        <v>3981</v>
      </c>
      <c r="AK716" s="670">
        <f t="shared" si="144"/>
        <v>7376</v>
      </c>
      <c r="AL716" s="834"/>
      <c r="AM716" s="822"/>
      <c r="AN716" s="834">
        <f t="shared" si="140"/>
        <v>7376</v>
      </c>
      <c r="AO716" s="669"/>
      <c r="AP716" s="669"/>
      <c r="AQ716" s="669"/>
      <c r="AR716" s="669"/>
      <c r="AS716" s="669"/>
      <c r="AT716" s="669">
        <f>I716/8</f>
        <v>922</v>
      </c>
      <c r="AU716" s="834"/>
      <c r="AV716" s="834"/>
      <c r="AW716" s="834"/>
      <c r="AX716" s="669"/>
      <c r="AY716" s="669"/>
      <c r="AZ716" s="669"/>
      <c r="BA716" s="669"/>
      <c r="BB716" s="669"/>
      <c r="BC716" s="669"/>
      <c r="BD716" s="669"/>
      <c r="BE716" s="669"/>
      <c r="BF716" s="669"/>
      <c r="BG716" s="669"/>
      <c r="BH716" s="669"/>
      <c r="BI716" s="669"/>
    </row>
    <row r="717" s="659" customFormat="1" ht="31" customHeight="1" spans="1:108">
      <c r="A717" s="819">
        <v>46199</v>
      </c>
      <c r="B717" s="820" t="s">
        <v>3156</v>
      </c>
      <c r="C717" s="821" t="s">
        <v>101</v>
      </c>
      <c r="D717" s="822" t="s">
        <v>6159</v>
      </c>
      <c r="E717" s="821"/>
      <c r="F717" s="822"/>
      <c r="G717" s="823" t="s">
        <v>3980</v>
      </c>
      <c r="H717" s="708" t="s">
        <v>3978</v>
      </c>
      <c r="I717" s="824">
        <v>400</v>
      </c>
      <c r="J717" s="821">
        <v>0</v>
      </c>
      <c r="K717" s="821">
        <v>8</v>
      </c>
      <c r="L717" s="821">
        <f t="shared" si="142"/>
        <v>50</v>
      </c>
      <c r="M717" s="825">
        <v>46255</v>
      </c>
      <c r="N717" s="825">
        <v>46251</v>
      </c>
      <c r="O717" s="820"/>
      <c r="P717" s="824"/>
      <c r="Q717" s="824"/>
      <c r="R717" s="827"/>
      <c r="S717" s="828" t="s">
        <v>107</v>
      </c>
      <c r="T717" s="828"/>
      <c r="U717" s="828"/>
      <c r="V717" s="829"/>
      <c r="W717" s="828"/>
      <c r="X717" s="828" t="s">
        <v>3158</v>
      </c>
      <c r="Y717" s="825" t="s">
        <v>3149</v>
      </c>
      <c r="Z717" s="830">
        <v>0.944</v>
      </c>
      <c r="AA717" s="822">
        <f t="shared" si="143"/>
        <v>377.6</v>
      </c>
      <c r="AB717" s="831"/>
      <c r="AC717" s="895" t="s">
        <v>3980</v>
      </c>
      <c r="AD717" s="821" t="s">
        <v>99</v>
      </c>
      <c r="AE717" s="821">
        <f t="shared" si="138"/>
        <v>400</v>
      </c>
      <c r="AF717" s="821"/>
      <c r="AG717" s="708"/>
      <c r="AH717" s="833">
        <f t="shared" si="139"/>
        <v>-400</v>
      </c>
      <c r="AI717" s="824"/>
      <c r="AJ717" s="821"/>
      <c r="AK717" s="834">
        <f t="shared" si="144"/>
        <v>400</v>
      </c>
      <c r="AL717" s="822"/>
      <c r="AM717" s="822"/>
      <c r="AN717" s="834">
        <f t="shared" si="140"/>
        <v>400</v>
      </c>
      <c r="AO717" s="822"/>
      <c r="AP717" s="822"/>
      <c r="AQ717" s="822"/>
      <c r="AR717" s="822"/>
      <c r="AS717" s="822"/>
      <c r="AT717" s="822"/>
      <c r="AU717" s="834"/>
      <c r="AV717" s="834"/>
      <c r="AW717" s="834"/>
      <c r="AX717" s="822">
        <f>I717/8</f>
        <v>50</v>
      </c>
      <c r="AY717" s="822"/>
      <c r="AZ717" s="822"/>
      <c r="BA717" s="822"/>
      <c r="BB717" s="822"/>
      <c r="BC717" s="822"/>
      <c r="BD717" s="822"/>
      <c r="BE717" s="822"/>
      <c r="BF717" s="822"/>
      <c r="BG717" s="822"/>
      <c r="BH717" s="822"/>
      <c r="BI717" s="822"/>
      <c r="BJ717" s="835"/>
      <c r="BK717" s="835"/>
      <c r="BL717" s="835"/>
      <c r="BM717" s="835"/>
      <c r="BN717" s="835"/>
      <c r="BO717" s="835"/>
      <c r="BP717" s="835"/>
      <c r="BQ717" s="835"/>
      <c r="BR717" s="835"/>
      <c r="BS717" s="835"/>
      <c r="BT717" s="835"/>
      <c r="BU717" s="835"/>
      <c r="BV717" s="835"/>
      <c r="BW717" s="835"/>
      <c r="BX717" s="835"/>
      <c r="BY717" s="835"/>
      <c r="BZ717" s="835"/>
      <c r="CA717" s="835"/>
      <c r="CB717" s="835"/>
      <c r="CC717" s="835"/>
      <c r="CD717" s="835"/>
      <c r="CE717" s="835"/>
      <c r="CF717" s="835"/>
      <c r="CG717" s="835"/>
      <c r="CH717" s="835"/>
      <c r="CI717" s="835"/>
      <c r="CJ717" s="835"/>
      <c r="CK717" s="835"/>
      <c r="CL717" s="835"/>
      <c r="CM717" s="835"/>
      <c r="CN717" s="835"/>
      <c r="CO717" s="835"/>
      <c r="CP717" s="835"/>
      <c r="CQ717" s="835"/>
      <c r="CR717" s="835"/>
      <c r="CS717" s="835"/>
      <c r="CT717" s="835"/>
      <c r="CU717" s="835"/>
      <c r="CV717" s="835"/>
      <c r="CW717" s="835"/>
      <c r="CX717" s="835"/>
      <c r="CY717" s="835"/>
      <c r="CZ717" s="835"/>
      <c r="DA717" s="835"/>
      <c r="DB717" s="835"/>
      <c r="DC717" s="835"/>
      <c r="DD717" s="835"/>
    </row>
    <row r="718" s="670" customFormat="1" ht="31" customHeight="1" spans="1:108">
      <c r="A718" s="1015">
        <v>46142</v>
      </c>
      <c r="B718" s="1016" t="s">
        <v>3527</v>
      </c>
      <c r="C718" s="956" t="s">
        <v>2458</v>
      </c>
      <c r="D718" s="670" t="s">
        <v>6015</v>
      </c>
      <c r="E718" s="956" t="s">
        <v>5872</v>
      </c>
      <c r="F718" s="670" t="s">
        <v>6160</v>
      </c>
      <c r="G718" s="936" t="s">
        <v>5874</v>
      </c>
      <c r="H718" s="956" t="s">
        <v>3978</v>
      </c>
      <c r="I718" s="1017">
        <v>6000</v>
      </c>
      <c r="J718" s="956">
        <v>0</v>
      </c>
      <c r="K718" s="956">
        <v>8</v>
      </c>
      <c r="L718" s="956">
        <f t="shared" si="142"/>
        <v>750</v>
      </c>
      <c r="M718" s="1018">
        <v>46255</v>
      </c>
      <c r="N718" s="1018">
        <v>46251</v>
      </c>
      <c r="O718" s="922" t="s">
        <v>2463</v>
      </c>
      <c r="P718" s="1017"/>
      <c r="Q718" s="1017"/>
      <c r="R718" s="905" t="s">
        <v>6020</v>
      </c>
      <c r="S718" s="829" t="s">
        <v>107</v>
      </c>
      <c r="T718" s="847" t="s">
        <v>5876</v>
      </c>
      <c r="U718" s="847"/>
      <c r="V718" s="960" t="s">
        <v>4056</v>
      </c>
      <c r="W718" s="960"/>
      <c r="X718" s="960" t="s">
        <v>5877</v>
      </c>
      <c r="Y718" s="1018" t="s">
        <v>3531</v>
      </c>
      <c r="Z718" s="1019">
        <v>4.4941</v>
      </c>
      <c r="AA718" s="670">
        <f t="shared" si="143"/>
        <v>26964.6</v>
      </c>
      <c r="AB718" s="831"/>
      <c r="AC718" s="936" t="s">
        <v>5874</v>
      </c>
      <c r="AD718" s="821" t="s">
        <v>112</v>
      </c>
      <c r="AE718" s="956">
        <f t="shared" si="138"/>
        <v>6000</v>
      </c>
      <c r="AF718" s="953"/>
      <c r="AG718" s="956"/>
      <c r="AH718" s="833">
        <f t="shared" si="139"/>
        <v>-6000</v>
      </c>
      <c r="AI718" s="1017"/>
      <c r="AJ718" s="708" t="s">
        <v>3981</v>
      </c>
      <c r="AK718" s="834">
        <f t="shared" si="144"/>
        <v>6000</v>
      </c>
      <c r="AL718" s="834"/>
      <c r="AM718" s="834"/>
      <c r="AN718" s="834"/>
      <c r="AO718" s="670"/>
      <c r="AP718" s="834">
        <f>I718</f>
        <v>6000</v>
      </c>
      <c r="AT718" s="670">
        <f>I718/8</f>
        <v>750</v>
      </c>
      <c r="BI718" s="834"/>
    </row>
    <row r="719" s="670" customFormat="1" ht="31" customHeight="1" spans="1:108">
      <c r="A719" s="1015">
        <v>46151</v>
      </c>
      <c r="B719" s="1016" t="s">
        <v>2457</v>
      </c>
      <c r="C719" s="956" t="s">
        <v>2458</v>
      </c>
      <c r="D719" s="670" t="s">
        <v>6017</v>
      </c>
      <c r="E719" s="956" t="s">
        <v>6018</v>
      </c>
      <c r="F719" s="670" t="s">
        <v>6161</v>
      </c>
      <c r="G719" s="936" t="s">
        <v>5874</v>
      </c>
      <c r="H719" s="708" t="s">
        <v>3978</v>
      </c>
      <c r="I719" s="1017">
        <v>6000</v>
      </c>
      <c r="J719" s="956">
        <v>0</v>
      </c>
      <c r="K719" s="956">
        <v>8</v>
      </c>
      <c r="L719" s="956">
        <f t="shared" si="142"/>
        <v>750</v>
      </c>
      <c r="M719" s="1018">
        <v>46255</v>
      </c>
      <c r="N719" s="1018">
        <v>46251</v>
      </c>
      <c r="O719" s="922" t="s">
        <v>2463</v>
      </c>
      <c r="P719" s="1017"/>
      <c r="Q719" s="1017"/>
      <c r="R719" s="905" t="s">
        <v>6020</v>
      </c>
      <c r="S719" s="847" t="s">
        <v>107</v>
      </c>
      <c r="T719" s="847" t="s">
        <v>5876</v>
      </c>
      <c r="U719" s="847"/>
      <c r="V719" s="960" t="s">
        <v>4056</v>
      </c>
      <c r="W719" s="960"/>
      <c r="X719" s="1020" t="s">
        <v>6021</v>
      </c>
      <c r="Y719" s="1018" t="s">
        <v>2467</v>
      </c>
      <c r="Z719" s="1019">
        <v>4.4754</v>
      </c>
      <c r="AA719" s="670">
        <f t="shared" si="143"/>
        <v>26852.4</v>
      </c>
      <c r="AB719" s="831"/>
      <c r="AC719" s="846" t="s">
        <v>5874</v>
      </c>
      <c r="AD719" s="821" t="s">
        <v>112</v>
      </c>
      <c r="AE719" s="956">
        <f t="shared" si="138"/>
        <v>6000</v>
      </c>
      <c r="AF719" s="953" t="s">
        <v>5125</v>
      </c>
      <c r="AG719" s="956"/>
      <c r="AH719" s="833">
        <f t="shared" si="139"/>
        <v>-6000</v>
      </c>
      <c r="AI719" s="1017"/>
      <c r="AJ719" s="708" t="s">
        <v>3981</v>
      </c>
      <c r="AK719" s="834">
        <f t="shared" si="144"/>
        <v>6000</v>
      </c>
      <c r="AL719" s="834"/>
      <c r="AM719" s="834"/>
      <c r="AN719" s="834"/>
      <c r="AO719" s="670"/>
      <c r="AP719" s="834">
        <f>I719</f>
        <v>6000</v>
      </c>
      <c r="AT719" s="670">
        <f>I719/8</f>
        <v>750</v>
      </c>
      <c r="BI719" s="834"/>
    </row>
    <row r="720" s="670" customFormat="1" ht="31" customHeight="1" spans="1:108">
      <c r="A720" s="951">
        <v>46168</v>
      </c>
      <c r="B720" s="952" t="s">
        <v>216</v>
      </c>
      <c r="C720" s="953" t="s">
        <v>217</v>
      </c>
      <c r="D720" s="669" t="s">
        <v>6162</v>
      </c>
      <c r="E720" s="953" t="s">
        <v>6163</v>
      </c>
      <c r="F720" s="669" t="s">
        <v>6164</v>
      </c>
      <c r="G720" s="955" t="s">
        <v>3973</v>
      </c>
      <c r="H720" s="956" t="s">
        <v>3995</v>
      </c>
      <c r="I720" s="957">
        <v>2400</v>
      </c>
      <c r="J720" s="953">
        <v>0</v>
      </c>
      <c r="K720" s="953">
        <v>16</v>
      </c>
      <c r="L720" s="953">
        <f t="shared" si="142"/>
        <v>150</v>
      </c>
      <c r="M720" s="958">
        <v>46255</v>
      </c>
      <c r="N720" s="959">
        <v>46253</v>
      </c>
      <c r="O720" s="952"/>
      <c r="P720" s="957"/>
      <c r="Q720" s="957" t="s">
        <v>6165</v>
      </c>
      <c r="R720" s="886">
        <v>46168</v>
      </c>
      <c r="S720" s="848" t="s">
        <v>107</v>
      </c>
      <c r="T720" s="848" t="s">
        <v>6166</v>
      </c>
      <c r="U720" s="848"/>
      <c r="V720" s="960"/>
      <c r="W720" s="961"/>
      <c r="X720" s="961" t="s">
        <v>6167</v>
      </c>
      <c r="Y720" s="958" t="s">
        <v>222</v>
      </c>
      <c r="Z720" s="962">
        <v>4.6548</v>
      </c>
      <c r="AA720" s="669">
        <f t="shared" si="143"/>
        <v>11171.52</v>
      </c>
      <c r="AB720" s="831"/>
      <c r="AC720" s="820" t="s">
        <v>3973</v>
      </c>
      <c r="AD720" s="821" t="s">
        <v>112</v>
      </c>
      <c r="AE720" s="953">
        <f t="shared" si="138"/>
        <v>2400</v>
      </c>
      <c r="AF720" s="953" t="s">
        <v>5125</v>
      </c>
      <c r="AG720" s="956"/>
      <c r="AH720" s="833">
        <f t="shared" si="139"/>
        <v>-2400</v>
      </c>
      <c r="AI720" s="957"/>
      <c r="AJ720" s="708" t="s">
        <v>3981</v>
      </c>
      <c r="AK720" s="834">
        <f t="shared" si="144"/>
        <v>2400</v>
      </c>
      <c r="AL720" s="834"/>
      <c r="AM720" s="822"/>
      <c r="AN720" s="834">
        <f t="shared" ref="AN720:AN731" si="145">I720</f>
        <v>2400</v>
      </c>
      <c r="AO720" s="669"/>
      <c r="AP720" s="822"/>
      <c r="AQ720" s="669"/>
      <c r="AR720" s="669"/>
      <c r="AS720" s="669"/>
      <c r="AT720" s="670">
        <f>I720/8</f>
        <v>300</v>
      </c>
      <c r="AX720" s="669"/>
      <c r="AY720" s="669"/>
      <c r="AZ720" s="669"/>
      <c r="BA720" s="669"/>
      <c r="BB720" s="669"/>
      <c r="BC720" s="669"/>
      <c r="BD720" s="669"/>
      <c r="BE720" s="669"/>
      <c r="BF720" s="669"/>
      <c r="BG720" s="669"/>
      <c r="BH720" s="669"/>
      <c r="BI720" s="822"/>
    </row>
    <row r="721" s="650" customFormat="1" ht="31" customHeight="1" spans="1:108">
      <c r="A721" s="713">
        <v>46198</v>
      </c>
      <c r="B721" s="714" t="s">
        <v>602</v>
      </c>
      <c r="C721" s="715" t="s">
        <v>508</v>
      </c>
      <c r="D721" s="652" t="s">
        <v>6168</v>
      </c>
      <c r="E721" s="715" t="s">
        <v>6169</v>
      </c>
      <c r="F721" s="652" t="s">
        <v>6170</v>
      </c>
      <c r="G721" s="716" t="s">
        <v>3980</v>
      </c>
      <c r="H721" s="715" t="s">
        <v>3978</v>
      </c>
      <c r="I721" s="717">
        <v>6400</v>
      </c>
      <c r="J721" s="715">
        <v>0</v>
      </c>
      <c r="K721" s="715">
        <v>8</v>
      </c>
      <c r="L721" s="715">
        <f t="shared" si="142"/>
        <v>800</v>
      </c>
      <c r="M721" s="719">
        <v>46255</v>
      </c>
      <c r="N721" s="738">
        <v>46253</v>
      </c>
      <c r="O721" s="714"/>
      <c r="P721" s="717"/>
      <c r="Q721" s="717" t="s">
        <v>2841</v>
      </c>
      <c r="R721" s="723" t="s">
        <v>3096</v>
      </c>
      <c r="S721" s="720" t="s">
        <v>107</v>
      </c>
      <c r="T721" s="720" t="s">
        <v>1886</v>
      </c>
      <c r="U721" s="720"/>
      <c r="V721" s="720"/>
      <c r="W721" s="720"/>
      <c r="X721" s="714" t="s">
        <v>6171</v>
      </c>
      <c r="Y721" s="719" t="s">
        <v>362</v>
      </c>
      <c r="Z721" s="730">
        <v>4.8161</v>
      </c>
      <c r="AA721" s="652">
        <f t="shared" si="143"/>
        <v>30823.04</v>
      </c>
      <c r="AB721" s="721"/>
      <c r="AC721" s="722" t="s">
        <v>3980</v>
      </c>
      <c r="AD721" s="715" t="s">
        <v>112</v>
      </c>
      <c r="AE721" s="715">
        <f t="shared" si="138"/>
        <v>6400</v>
      </c>
      <c r="AF721" s="715"/>
      <c r="AG721" s="715">
        <v>6400</v>
      </c>
      <c r="AH721" s="715">
        <f t="shared" si="139"/>
        <v>0</v>
      </c>
      <c r="AI721" s="717"/>
      <c r="AJ721" s="715" t="s">
        <v>3981</v>
      </c>
      <c r="AK721" s="652">
        <f t="shared" si="144"/>
        <v>6400</v>
      </c>
      <c r="AL721" s="652"/>
      <c r="AM721" s="652"/>
      <c r="AN721" s="652">
        <f t="shared" si="145"/>
        <v>6400</v>
      </c>
      <c r="AO721" s="652"/>
      <c r="AP721" s="652"/>
      <c r="AQ721" s="652"/>
      <c r="AR721" s="652"/>
      <c r="AS721" s="652"/>
      <c r="AT721" s="652"/>
      <c r="AU721" s="652"/>
      <c r="AV721" s="652"/>
      <c r="AW721" s="652"/>
      <c r="AX721" s="652">
        <f>I721/8</f>
        <v>800</v>
      </c>
      <c r="AY721" s="652"/>
      <c r="AZ721" s="652"/>
      <c r="BA721" s="652"/>
      <c r="BB721" s="652"/>
      <c r="BC721" s="652"/>
      <c r="BD721" s="652"/>
      <c r="BE721" s="652"/>
      <c r="BF721" s="652"/>
      <c r="BG721" s="652"/>
      <c r="BH721" s="652"/>
      <c r="BI721" s="652"/>
      <c r="BJ721" s="724"/>
      <c r="BK721" s="724"/>
      <c r="BL721" s="724"/>
      <c r="BM721" s="724"/>
      <c r="BN721" s="724"/>
      <c r="BO721" s="724"/>
      <c r="BP721" s="724"/>
      <c r="BQ721" s="724"/>
      <c r="BR721" s="724"/>
      <c r="BS721" s="724"/>
      <c r="BT721" s="724"/>
      <c r="BU721" s="724"/>
      <c r="BV721" s="724"/>
      <c r="BW721" s="724"/>
      <c r="BX721" s="724"/>
      <c r="BY721" s="724"/>
      <c r="BZ721" s="724"/>
      <c r="CA721" s="724"/>
      <c r="CB721" s="724"/>
      <c r="CC721" s="724"/>
      <c r="CD721" s="724"/>
      <c r="CE721" s="724"/>
      <c r="CF721" s="724"/>
      <c r="CG721" s="724"/>
      <c r="CH721" s="724"/>
      <c r="CI721" s="724"/>
      <c r="CJ721" s="724"/>
      <c r="CK721" s="724"/>
      <c r="CL721" s="724"/>
      <c r="CM721" s="724"/>
      <c r="CN721" s="724"/>
      <c r="CO721" s="724"/>
      <c r="CP721" s="724"/>
      <c r="CQ721" s="724"/>
      <c r="CR721" s="724"/>
      <c r="CS721" s="724"/>
      <c r="CT721" s="724"/>
      <c r="CU721" s="724"/>
      <c r="CV721" s="724"/>
      <c r="CW721" s="724"/>
      <c r="CX721" s="724"/>
      <c r="CY721" s="724"/>
      <c r="CZ721" s="724"/>
      <c r="DA721" s="724"/>
      <c r="DB721" s="724"/>
      <c r="DC721" s="724"/>
      <c r="DD721" s="724"/>
    </row>
    <row r="722" s="653" customFormat="1" ht="31" customHeight="1" spans="1:108">
      <c r="A722" s="756">
        <v>46204</v>
      </c>
      <c r="B722" s="757" t="s">
        <v>3164</v>
      </c>
      <c r="C722" s="758" t="s">
        <v>1439</v>
      </c>
      <c r="D722" s="653" t="s">
        <v>6172</v>
      </c>
      <c r="E722" s="758" t="s">
        <v>628</v>
      </c>
      <c r="F722" s="653" t="s">
        <v>6173</v>
      </c>
      <c r="G722" s="760" t="s">
        <v>3973</v>
      </c>
      <c r="H722" s="758" t="s">
        <v>3995</v>
      </c>
      <c r="I722" s="761">
        <v>3216</v>
      </c>
      <c r="J722" s="758">
        <v>0</v>
      </c>
      <c r="K722" s="758">
        <v>16</v>
      </c>
      <c r="L722" s="758">
        <f t="shared" si="142"/>
        <v>201</v>
      </c>
      <c r="M722" s="763">
        <v>46255</v>
      </c>
      <c r="N722" s="851">
        <v>46253</v>
      </c>
      <c r="O722" s="757"/>
      <c r="P722" s="761" t="s">
        <v>1410</v>
      </c>
      <c r="Q722" s="761"/>
      <c r="R722" s="734">
        <v>46227</v>
      </c>
      <c r="S722" s="735" t="s">
        <v>107</v>
      </c>
      <c r="T722" s="735" t="s">
        <v>6174</v>
      </c>
      <c r="U722" s="735"/>
      <c r="V722" s="765"/>
      <c r="W722" s="765"/>
      <c r="X722" s="857" t="s">
        <v>6175</v>
      </c>
      <c r="Y722" s="763" t="s">
        <v>2600</v>
      </c>
      <c r="Z722" s="800">
        <v>4.784</v>
      </c>
      <c r="AA722" s="653">
        <f t="shared" si="143"/>
        <v>15385.344</v>
      </c>
      <c r="AB722" s="721"/>
      <c r="AC722" s="652" t="s">
        <v>4108</v>
      </c>
      <c r="AD722" s="715" t="s">
        <v>112</v>
      </c>
      <c r="AE722" s="758">
        <f t="shared" si="138"/>
        <v>3216</v>
      </c>
      <c r="AF722" s="758"/>
      <c r="AG722" s="758">
        <v>3216</v>
      </c>
      <c r="AH722" s="715">
        <f t="shared" si="139"/>
        <v>0</v>
      </c>
      <c r="AI722" s="761"/>
      <c r="AJ722" s="708" t="s">
        <v>3981</v>
      </c>
      <c r="AK722" s="652"/>
      <c r="AL722" s="652">
        <f>I722</f>
        <v>3216</v>
      </c>
      <c r="AM722" s="652"/>
      <c r="AN722" s="652">
        <f t="shared" si="145"/>
        <v>3216</v>
      </c>
      <c r="AP722" s="652"/>
      <c r="AQ722" s="653"/>
      <c r="AR722" s="653"/>
      <c r="AS722" s="653"/>
      <c r="AT722" s="653"/>
      <c r="AU722" s="653">
        <f>I722/8</f>
        <v>402</v>
      </c>
      <c r="BI722" s="652"/>
    </row>
    <row r="723" s="653" customFormat="1" ht="31" customHeight="1" spans="1:108">
      <c r="A723" s="756">
        <v>46189</v>
      </c>
      <c r="B723" s="757" t="s">
        <v>2304</v>
      </c>
      <c r="C723" s="758" t="s">
        <v>115</v>
      </c>
      <c r="D723" s="653" t="s">
        <v>6176</v>
      </c>
      <c r="E723" s="759">
        <v>805430</v>
      </c>
      <c r="F723" s="653" t="s">
        <v>6177</v>
      </c>
      <c r="G723" s="760" t="s">
        <v>3980</v>
      </c>
      <c r="H723" s="715" t="s">
        <v>3978</v>
      </c>
      <c r="I723" s="761">
        <v>5000</v>
      </c>
      <c r="J723" s="758">
        <v>0</v>
      </c>
      <c r="K723" s="758">
        <v>8</v>
      </c>
      <c r="L723" s="758">
        <f t="shared" si="142"/>
        <v>625</v>
      </c>
      <c r="M723" s="763">
        <v>46255</v>
      </c>
      <c r="N723" s="851">
        <v>46253</v>
      </c>
      <c r="O723" s="757"/>
      <c r="P723" s="761" t="s">
        <v>1410</v>
      </c>
      <c r="Q723" s="761" t="s">
        <v>2841</v>
      </c>
      <c r="R723" s="723">
        <v>46191</v>
      </c>
      <c r="S723" s="720" t="s">
        <v>107</v>
      </c>
      <c r="T723" s="735" t="s">
        <v>6178</v>
      </c>
      <c r="U723" s="735"/>
      <c r="V723" s="765"/>
      <c r="W723" s="765"/>
      <c r="X723" s="765" t="s">
        <v>6179</v>
      </c>
      <c r="Y723" s="763" t="s">
        <v>299</v>
      </c>
      <c r="Z723" s="800">
        <v>2.8897</v>
      </c>
      <c r="AA723" s="653">
        <f t="shared" si="143"/>
        <v>14448.5</v>
      </c>
      <c r="AB723" s="721"/>
      <c r="AC723" s="751" t="s">
        <v>4031</v>
      </c>
      <c r="AD723" s="715" t="s">
        <v>112</v>
      </c>
      <c r="AE723" s="758">
        <f t="shared" si="138"/>
        <v>5000</v>
      </c>
      <c r="AF723" s="758"/>
      <c r="AG723" s="758">
        <f>3880+1120</f>
        <v>5000</v>
      </c>
      <c r="AH723" s="715">
        <f t="shared" si="139"/>
        <v>0</v>
      </c>
      <c r="AI723" s="761" t="s">
        <v>120</v>
      </c>
      <c r="AJ723" s="715" t="s">
        <v>3981</v>
      </c>
      <c r="AK723" s="652"/>
      <c r="AL723" s="652">
        <f>I723</f>
        <v>5000</v>
      </c>
      <c r="AM723" s="652"/>
      <c r="AN723" s="652">
        <f t="shared" si="145"/>
        <v>5000</v>
      </c>
      <c r="AP723" s="652"/>
      <c r="AQ723" s="653"/>
      <c r="AR723" s="653"/>
      <c r="AS723" s="653"/>
      <c r="AT723" s="653"/>
      <c r="AU723" s="652">
        <f>I723/8</f>
        <v>625</v>
      </c>
      <c r="AV723" s="652"/>
      <c r="AW723" s="652"/>
      <c r="AX723" s="653"/>
      <c r="BI723" s="652"/>
    </row>
    <row r="724" s="659" customFormat="1" ht="31" customHeight="1" spans="1:108">
      <c r="A724" s="819">
        <v>46191</v>
      </c>
      <c r="B724" s="820" t="s">
        <v>2755</v>
      </c>
      <c r="C724" s="821" t="s">
        <v>164</v>
      </c>
      <c r="D724" s="822" t="s">
        <v>6180</v>
      </c>
      <c r="E724" s="821" t="s">
        <v>6181</v>
      </c>
      <c r="F724" s="822" t="s">
        <v>6182</v>
      </c>
      <c r="G724" s="823" t="s">
        <v>4028</v>
      </c>
      <c r="H724" s="708" t="s">
        <v>3978</v>
      </c>
      <c r="I724" s="824">
        <v>10000</v>
      </c>
      <c r="J724" s="821">
        <v>0</v>
      </c>
      <c r="K724" s="821">
        <v>8</v>
      </c>
      <c r="L724" s="821">
        <f t="shared" si="142"/>
        <v>1250</v>
      </c>
      <c r="M724" s="825">
        <v>46255</v>
      </c>
      <c r="N724" s="863">
        <v>46253</v>
      </c>
      <c r="O724" s="820"/>
      <c r="P724" s="824"/>
      <c r="Q724" s="824"/>
      <c r="R724" s="827">
        <v>46219</v>
      </c>
      <c r="S724" s="828" t="s">
        <v>107</v>
      </c>
      <c r="T724" s="828" t="s">
        <v>6183</v>
      </c>
      <c r="U724" s="828"/>
      <c r="V724" s="829"/>
      <c r="W724" s="828"/>
      <c r="X724" s="828" t="s">
        <v>6184</v>
      </c>
      <c r="Y724" s="825" t="s">
        <v>2761</v>
      </c>
      <c r="Z724" s="830">
        <v>4.8009</v>
      </c>
      <c r="AA724" s="822">
        <f>Z724*I724</f>
        <v>48009</v>
      </c>
      <c r="AB724" s="831"/>
      <c r="AC724" s="867" t="s">
        <v>4031</v>
      </c>
      <c r="AD724" s="821" t="s">
        <v>112</v>
      </c>
      <c r="AE724" s="1000">
        <f t="shared" si="138"/>
        <v>10000</v>
      </c>
      <c r="AF724" s="950"/>
      <c r="AG724" s="708"/>
      <c r="AH724" s="833">
        <f t="shared" si="139"/>
        <v>-10000</v>
      </c>
      <c r="AI724" s="824"/>
      <c r="AJ724" s="708" t="s">
        <v>3981</v>
      </c>
      <c r="AK724" s="822"/>
      <c r="AL724" s="868">
        <f>I724</f>
        <v>10000</v>
      </c>
      <c r="AM724" s="822"/>
      <c r="AN724" s="834">
        <f t="shared" si="145"/>
        <v>10000</v>
      </c>
      <c r="AO724" s="822"/>
      <c r="AP724" s="822"/>
      <c r="AQ724" s="822"/>
      <c r="AR724" s="822"/>
      <c r="AS724" s="822"/>
      <c r="AT724" s="822"/>
      <c r="AU724" s="868">
        <f>I724/8</f>
        <v>1250</v>
      </c>
      <c r="AV724" s="834"/>
      <c r="AW724" s="834"/>
      <c r="AX724" s="822"/>
      <c r="AY724" s="822"/>
      <c r="AZ724" s="822"/>
      <c r="BA724" s="822"/>
      <c r="BB724" s="822"/>
      <c r="BC724" s="822"/>
      <c r="BD724" s="822"/>
      <c r="BE724" s="822"/>
      <c r="BF724" s="822"/>
      <c r="BG724" s="822"/>
      <c r="BH724" s="822"/>
      <c r="BI724" s="822"/>
    </row>
    <row r="725" s="659" customFormat="1" ht="31" customHeight="1" spans="1:108">
      <c r="A725" s="819">
        <v>46177</v>
      </c>
      <c r="B725" s="820" t="s">
        <v>2326</v>
      </c>
      <c r="C725" s="821" t="s">
        <v>319</v>
      </c>
      <c r="D725" s="822">
        <v>4500210775</v>
      </c>
      <c r="E725" s="821" t="s">
        <v>2327</v>
      </c>
      <c r="F725" s="822" t="s">
        <v>6185</v>
      </c>
      <c r="G725" s="823" t="s">
        <v>3973</v>
      </c>
      <c r="H725" s="708" t="s">
        <v>3995</v>
      </c>
      <c r="I725" s="824">
        <v>1200</v>
      </c>
      <c r="J725" s="821">
        <v>0</v>
      </c>
      <c r="K725" s="821">
        <v>16</v>
      </c>
      <c r="L725" s="821">
        <f t="shared" si="142"/>
        <v>75</v>
      </c>
      <c r="M725" s="825">
        <v>46255</v>
      </c>
      <c r="N725" s="863">
        <v>46253</v>
      </c>
      <c r="O725" s="820"/>
      <c r="P725" s="824"/>
      <c r="Q725" s="824" t="s">
        <v>3259</v>
      </c>
      <c r="R725" s="827">
        <v>46178</v>
      </c>
      <c r="S725" s="828" t="s">
        <v>107</v>
      </c>
      <c r="T725" s="828" t="s">
        <v>6186</v>
      </c>
      <c r="U725" s="828"/>
      <c r="V725" s="828"/>
      <c r="W725" s="828"/>
      <c r="X725" s="828" t="s">
        <v>6187</v>
      </c>
      <c r="Y725" s="825" t="s">
        <v>2332</v>
      </c>
      <c r="Z725" s="830">
        <v>4.784</v>
      </c>
      <c r="AA725" s="822">
        <f>I725*Z725</f>
        <v>5740.8</v>
      </c>
      <c r="AB725" s="831"/>
      <c r="AC725" s="820" t="s">
        <v>3973</v>
      </c>
      <c r="AD725" s="821" t="s">
        <v>112</v>
      </c>
      <c r="AE725" s="821">
        <f t="shared" si="138"/>
        <v>1200</v>
      </c>
      <c r="AF725" s="821" t="s">
        <v>5125</v>
      </c>
      <c r="AG725" s="821"/>
      <c r="AH725" s="833">
        <f t="shared" si="139"/>
        <v>-1200</v>
      </c>
      <c r="AI725" s="821" t="s">
        <v>120</v>
      </c>
      <c r="AJ725" s="708" t="s">
        <v>3981</v>
      </c>
      <c r="AK725" s="834">
        <f>I725</f>
        <v>1200</v>
      </c>
      <c r="AL725" s="834"/>
      <c r="AM725" s="822"/>
      <c r="AN725" s="834">
        <f t="shared" si="145"/>
        <v>1200</v>
      </c>
      <c r="AO725" s="822"/>
      <c r="AP725" s="822"/>
      <c r="AQ725" s="822"/>
      <c r="AR725" s="822"/>
      <c r="AS725" s="822"/>
      <c r="AT725" s="822">
        <f>I725/8</f>
        <v>150</v>
      </c>
      <c r="AU725" s="822"/>
      <c r="AV725" s="822"/>
      <c r="AW725" s="822"/>
      <c r="AX725" s="822"/>
      <c r="AY725" s="822"/>
      <c r="AZ725" s="822"/>
      <c r="BA725" s="822"/>
      <c r="BB725" s="822"/>
      <c r="BC725" s="822"/>
      <c r="BD725" s="822"/>
      <c r="BE725" s="822"/>
      <c r="BF725" s="822"/>
      <c r="BG725" s="822"/>
      <c r="BH725" s="822"/>
      <c r="BI725" s="822"/>
      <c r="BJ725" s="667"/>
      <c r="BK725" s="667"/>
      <c r="BL725" s="667"/>
      <c r="BM725" s="667"/>
      <c r="BN725" s="667"/>
      <c r="BO725" s="667"/>
      <c r="BP725" s="667"/>
      <c r="BQ725" s="667"/>
      <c r="BR725" s="667"/>
      <c r="BS725" s="667"/>
      <c r="BT725" s="667"/>
      <c r="BU725" s="667"/>
      <c r="BV725" s="667"/>
      <c r="BW725" s="667"/>
      <c r="BX725" s="667"/>
      <c r="BY725" s="667"/>
      <c r="BZ725" s="667"/>
      <c r="CA725" s="667"/>
      <c r="CB725" s="667"/>
      <c r="CC725" s="667"/>
      <c r="CD725" s="667"/>
      <c r="CE725" s="667"/>
      <c r="CF725" s="667"/>
      <c r="CG725" s="667"/>
      <c r="CH725" s="667"/>
      <c r="CI725" s="667"/>
      <c r="CJ725" s="667"/>
      <c r="CK725" s="667"/>
      <c r="CL725" s="667"/>
      <c r="CM725" s="667"/>
      <c r="CN725" s="667"/>
      <c r="CO725" s="667"/>
      <c r="CP725" s="667"/>
      <c r="CQ725" s="667"/>
      <c r="CR725" s="667"/>
    </row>
    <row r="726" s="650" customFormat="1" ht="31" customHeight="1" spans="1:108">
      <c r="A726" s="781">
        <v>46198</v>
      </c>
      <c r="B726" s="782" t="s">
        <v>3169</v>
      </c>
      <c r="C726" s="783" t="s">
        <v>810</v>
      </c>
      <c r="D726" s="784" t="s">
        <v>6188</v>
      </c>
      <c r="E726" s="783" t="s">
        <v>628</v>
      </c>
      <c r="F726" s="784" t="s">
        <v>6189</v>
      </c>
      <c r="G726" s="785" t="s">
        <v>3973</v>
      </c>
      <c r="H726" s="715" t="s">
        <v>3995</v>
      </c>
      <c r="I726" s="786">
        <v>960</v>
      </c>
      <c r="J726" s="783">
        <v>0</v>
      </c>
      <c r="K726" s="783">
        <v>16</v>
      </c>
      <c r="L726" s="783">
        <f t="shared" si="142"/>
        <v>60</v>
      </c>
      <c r="M726" s="788">
        <v>46255</v>
      </c>
      <c r="N726" s="1021">
        <v>46253</v>
      </c>
      <c r="O726" s="782"/>
      <c r="P726" s="786" t="s">
        <v>1410</v>
      </c>
      <c r="Q726" s="786"/>
      <c r="R726" s="723" t="s">
        <v>6190</v>
      </c>
      <c r="S726" s="720" t="s">
        <v>107</v>
      </c>
      <c r="T726" s="790" t="s">
        <v>6191</v>
      </c>
      <c r="U726" s="790"/>
      <c r="V726" s="790"/>
      <c r="W726" s="790"/>
      <c r="X726" s="782" t="s">
        <v>6192</v>
      </c>
      <c r="Y726" s="788" t="s">
        <v>1945</v>
      </c>
      <c r="Z726" s="791">
        <v>4.8331</v>
      </c>
      <c r="AA726" s="784">
        <f>I726*Z726</f>
        <v>4639.776</v>
      </c>
      <c r="AB726" s="792"/>
      <c r="AC726" s="652" t="s">
        <v>4108</v>
      </c>
      <c r="AD726" s="783" t="s">
        <v>112</v>
      </c>
      <c r="AE726" s="783">
        <f t="shared" si="138"/>
        <v>960</v>
      </c>
      <c r="AF726" s="715"/>
      <c r="AG726" s="783">
        <v>960</v>
      </c>
      <c r="AH726" s="715">
        <f t="shared" si="139"/>
        <v>0</v>
      </c>
      <c r="AI726" s="786"/>
      <c r="AJ726" s="715" t="s">
        <v>3981</v>
      </c>
      <c r="AK726" s="652"/>
      <c r="AL726" s="652">
        <f>I726</f>
        <v>960</v>
      </c>
      <c r="AM726" s="652"/>
      <c r="AN726" s="652">
        <f t="shared" si="145"/>
        <v>960</v>
      </c>
      <c r="AO726" s="784"/>
      <c r="AP726" s="784"/>
      <c r="AQ726" s="784"/>
      <c r="AR726" s="784"/>
      <c r="AS726" s="784"/>
      <c r="AT726" s="652"/>
      <c r="AU726" s="784">
        <f>I726/8</f>
        <v>120</v>
      </c>
      <c r="AV726" s="784"/>
      <c r="AW726" s="784"/>
      <c r="AX726" s="784"/>
      <c r="AY726" s="784"/>
      <c r="AZ726" s="784"/>
      <c r="BA726" s="784"/>
      <c r="BB726" s="784"/>
      <c r="BC726" s="784"/>
      <c r="BD726" s="784"/>
      <c r="BE726" s="784"/>
      <c r="BF726" s="784"/>
      <c r="BG726" s="784"/>
      <c r="BH726" s="784"/>
      <c r="BI726" s="784"/>
      <c r="BJ726" s="724"/>
      <c r="BK726" s="724"/>
      <c r="BL726" s="724"/>
      <c r="BM726" s="724"/>
      <c r="BN726" s="724"/>
      <c r="BO726" s="724"/>
      <c r="BP726" s="724"/>
      <c r="BQ726" s="724"/>
      <c r="BR726" s="724"/>
      <c r="BS726" s="724"/>
      <c r="BT726" s="724"/>
      <c r="BU726" s="724"/>
      <c r="BV726" s="724"/>
      <c r="BW726" s="724"/>
      <c r="BX726" s="724"/>
      <c r="BY726" s="724"/>
      <c r="BZ726" s="724"/>
      <c r="CA726" s="724"/>
      <c r="CB726" s="724"/>
      <c r="CC726" s="724"/>
      <c r="CD726" s="724"/>
      <c r="CE726" s="724"/>
      <c r="CF726" s="724"/>
      <c r="CG726" s="724"/>
      <c r="CH726" s="724"/>
      <c r="CI726" s="724"/>
      <c r="CJ726" s="724"/>
      <c r="CK726" s="724"/>
      <c r="CL726" s="724"/>
      <c r="CM726" s="724"/>
      <c r="CN726" s="724"/>
      <c r="CO726" s="724"/>
      <c r="CP726" s="724"/>
      <c r="CQ726" s="724"/>
      <c r="CR726" s="724"/>
      <c r="CS726" s="724"/>
      <c r="CT726" s="724"/>
      <c r="CU726" s="724"/>
      <c r="CV726" s="724"/>
      <c r="CW726" s="724"/>
      <c r="CX726" s="724"/>
      <c r="CY726" s="724"/>
      <c r="CZ726" s="724"/>
      <c r="DA726" s="724"/>
      <c r="DB726" s="724"/>
      <c r="DC726" s="724"/>
      <c r="DD726" s="724"/>
    </row>
    <row r="727" s="667" customFormat="1" ht="31" customHeight="1" spans="1:108">
      <c r="A727" s="819">
        <v>46199</v>
      </c>
      <c r="B727" s="820" t="s">
        <v>3173</v>
      </c>
      <c r="C727" s="821" t="s">
        <v>135</v>
      </c>
      <c r="D727" s="822" t="s">
        <v>6193</v>
      </c>
      <c r="E727" s="821" t="s">
        <v>3174</v>
      </c>
      <c r="F727" s="822" t="s">
        <v>3175</v>
      </c>
      <c r="G727" s="823" t="s">
        <v>6194</v>
      </c>
      <c r="H727" s="708" t="s">
        <v>804</v>
      </c>
      <c r="I727" s="824">
        <v>8160</v>
      </c>
      <c r="J727" s="821">
        <v>0</v>
      </c>
      <c r="K727" s="821">
        <v>6</v>
      </c>
      <c r="L727" s="821">
        <f t="shared" si="142"/>
        <v>1360</v>
      </c>
      <c r="M727" s="825">
        <v>46255</v>
      </c>
      <c r="N727" s="863">
        <v>46253</v>
      </c>
      <c r="O727" s="820"/>
      <c r="P727" s="824"/>
      <c r="Q727" s="824"/>
      <c r="R727" s="827">
        <v>46199</v>
      </c>
      <c r="S727" s="828" t="s">
        <v>107</v>
      </c>
      <c r="T727" s="828" t="s">
        <v>6195</v>
      </c>
      <c r="U727" s="828"/>
      <c r="V727" s="829"/>
      <c r="W727" s="828"/>
      <c r="X727" s="894" t="s">
        <v>6196</v>
      </c>
      <c r="Y727" s="825" t="s">
        <v>3179</v>
      </c>
      <c r="Z727" s="830">
        <v>8.15</v>
      </c>
      <c r="AA727" s="822">
        <f>I727*Z727</f>
        <v>66504</v>
      </c>
      <c r="AB727" s="831"/>
      <c r="AC727" s="832" t="s">
        <v>2727</v>
      </c>
      <c r="AD727" s="953" t="s">
        <v>112</v>
      </c>
      <c r="AE727" s="821">
        <f t="shared" si="138"/>
        <v>8160</v>
      </c>
      <c r="AF727" s="821"/>
      <c r="AG727" s="708"/>
      <c r="AH727" s="833">
        <f t="shared" si="139"/>
        <v>-8160</v>
      </c>
      <c r="AI727" s="824"/>
      <c r="AJ727" s="708" t="s">
        <v>3981</v>
      </c>
      <c r="AK727" s="822"/>
      <c r="AL727" s="822"/>
      <c r="AM727" s="822"/>
      <c r="AN727" s="834">
        <f t="shared" si="145"/>
        <v>8160</v>
      </c>
      <c r="AO727" s="822"/>
      <c r="AP727" s="822"/>
      <c r="AQ727" s="822"/>
      <c r="AR727" s="822"/>
      <c r="AS727" s="822"/>
      <c r="AT727" s="822"/>
      <c r="AU727" s="834"/>
      <c r="AV727" s="834"/>
      <c r="AW727" s="834"/>
      <c r="AX727" s="822"/>
      <c r="AY727" s="822"/>
      <c r="AZ727" s="822"/>
      <c r="BA727" s="822"/>
      <c r="BB727" s="822"/>
      <c r="BC727" s="822"/>
      <c r="BD727" s="822"/>
      <c r="BE727" s="822"/>
      <c r="BF727" s="822"/>
      <c r="BG727" s="822"/>
      <c r="BH727" s="822"/>
      <c r="BI727" s="822"/>
      <c r="BJ727" s="835"/>
      <c r="BK727" s="835"/>
      <c r="BL727" s="835"/>
      <c r="BM727" s="835"/>
      <c r="BN727" s="835"/>
      <c r="BO727" s="835"/>
      <c r="BP727" s="835"/>
      <c r="BQ727" s="835"/>
      <c r="BR727" s="835"/>
      <c r="BS727" s="835"/>
      <c r="BT727" s="835"/>
      <c r="BU727" s="835"/>
      <c r="BV727" s="835"/>
      <c r="BW727" s="835"/>
      <c r="BX727" s="835"/>
      <c r="BY727" s="835"/>
      <c r="BZ727" s="835"/>
      <c r="CA727" s="835"/>
      <c r="CB727" s="835"/>
      <c r="CC727" s="835"/>
      <c r="CD727" s="835"/>
      <c r="CE727" s="835"/>
      <c r="CF727" s="835"/>
      <c r="CG727" s="835"/>
      <c r="CH727" s="835"/>
      <c r="CI727" s="835"/>
      <c r="CJ727" s="835"/>
      <c r="CK727" s="835"/>
      <c r="CL727" s="835"/>
      <c r="CM727" s="835"/>
      <c r="CN727" s="835"/>
      <c r="CO727" s="835"/>
      <c r="CP727" s="835"/>
      <c r="CQ727" s="835"/>
      <c r="CR727" s="835"/>
      <c r="CS727" s="835"/>
      <c r="CT727" s="835"/>
      <c r="CU727" s="835"/>
      <c r="CV727" s="835"/>
      <c r="CW727" s="835"/>
      <c r="CX727" s="835"/>
      <c r="CY727" s="835"/>
      <c r="CZ727" s="835"/>
      <c r="DA727" s="835"/>
      <c r="DB727" s="835"/>
      <c r="DC727" s="835"/>
      <c r="DD727" s="835"/>
    </row>
    <row r="728" s="672" customFormat="1" ht="31" customHeight="1" spans="1:108">
      <c r="A728" s="897">
        <v>46191</v>
      </c>
      <c r="B728" s="1022" t="s">
        <v>6197</v>
      </c>
      <c r="C728" s="913" t="s">
        <v>115</v>
      </c>
      <c r="D728" s="673" t="s">
        <v>6198</v>
      </c>
      <c r="E728" s="913" t="s">
        <v>6199</v>
      </c>
      <c r="F728" s="673" t="s">
        <v>6200</v>
      </c>
      <c r="G728" s="1023" t="s">
        <v>3980</v>
      </c>
      <c r="H728" s="708" t="s">
        <v>3978</v>
      </c>
      <c r="I728" s="904">
        <v>3040</v>
      </c>
      <c r="J728" s="913">
        <v>0</v>
      </c>
      <c r="K728" s="913">
        <v>8</v>
      </c>
      <c r="L728" s="913">
        <f t="shared" si="142"/>
        <v>380</v>
      </c>
      <c r="M728" s="1024">
        <v>46255</v>
      </c>
      <c r="N728" s="903">
        <v>46256</v>
      </c>
      <c r="O728" s="1022"/>
      <c r="P728" s="904"/>
      <c r="Q728" s="904" t="s">
        <v>3197</v>
      </c>
      <c r="R728" s="886" t="s">
        <v>6201</v>
      </c>
      <c r="S728" s="848" t="s">
        <v>107</v>
      </c>
      <c r="T728" s="848" t="s">
        <v>95</v>
      </c>
      <c r="U728" s="848"/>
      <c r="V728" s="906"/>
      <c r="W728" s="1025"/>
      <c r="X728" s="1025" t="s">
        <v>6202</v>
      </c>
      <c r="Y728" s="1024" t="s">
        <v>6203</v>
      </c>
      <c r="Z728" s="1026">
        <v>2.896</v>
      </c>
      <c r="AA728" s="673">
        <f>I728*Z728</f>
        <v>8803.84</v>
      </c>
      <c r="AB728" s="910"/>
      <c r="AC728" s="1027" t="s">
        <v>3980</v>
      </c>
      <c r="AD728" s="912" t="s">
        <v>112</v>
      </c>
      <c r="AE728" s="913">
        <f t="shared" si="138"/>
        <v>3040</v>
      </c>
      <c r="AF728" s="913" t="s">
        <v>5125</v>
      </c>
      <c r="AG728" s="899"/>
      <c r="AH728" s="833">
        <f t="shared" si="139"/>
        <v>-3040</v>
      </c>
      <c r="AI728" s="904"/>
      <c r="AJ728" s="708" t="s">
        <v>3981</v>
      </c>
      <c r="AK728" s="914">
        <f>I728</f>
        <v>3040</v>
      </c>
      <c r="AL728" s="920"/>
      <c r="AM728" s="920"/>
      <c r="AN728" s="914">
        <f t="shared" si="145"/>
        <v>3040</v>
      </c>
      <c r="AO728" s="673"/>
      <c r="AP728" s="920"/>
      <c r="AQ728" s="673"/>
      <c r="AR728" s="673"/>
      <c r="AS728" s="673"/>
      <c r="AT728" s="673">
        <f>I728/8</f>
        <v>380</v>
      </c>
      <c r="AX728" s="673"/>
      <c r="AY728" s="673"/>
      <c r="AZ728" s="673"/>
      <c r="BA728" s="673"/>
      <c r="BB728" s="673"/>
      <c r="BC728" s="673"/>
      <c r="BD728" s="673"/>
      <c r="BE728" s="673"/>
      <c r="BF728" s="673"/>
      <c r="BG728" s="673"/>
      <c r="BH728" s="673"/>
      <c r="BI728" s="920"/>
    </row>
    <row r="729" s="656" customFormat="1" ht="31" customHeight="1" spans="1:108">
      <c r="A729" s="806">
        <v>46205</v>
      </c>
      <c r="B729" s="807" t="s">
        <v>2123</v>
      </c>
      <c r="C729" s="808" t="s">
        <v>2124</v>
      </c>
      <c r="D729" s="656" t="s">
        <v>6204</v>
      </c>
      <c r="E729" s="808" t="s">
        <v>628</v>
      </c>
      <c r="F729" s="656" t="s">
        <v>6205</v>
      </c>
      <c r="G729" s="809" t="s">
        <v>3973</v>
      </c>
      <c r="H729" s="715" t="s">
        <v>3995</v>
      </c>
      <c r="I729" s="810">
        <v>1008</v>
      </c>
      <c r="J729" s="808">
        <v>0</v>
      </c>
      <c r="K729" s="808">
        <v>16</v>
      </c>
      <c r="L729" s="808">
        <f t="shared" si="142"/>
        <v>63</v>
      </c>
      <c r="M729" s="811">
        <v>46256</v>
      </c>
      <c r="N729" s="812">
        <v>46254</v>
      </c>
      <c r="O729" s="807"/>
      <c r="P729" s="810" t="s">
        <v>1410</v>
      </c>
      <c r="Q729" s="810"/>
      <c r="R729" s="734">
        <v>46205</v>
      </c>
      <c r="S729" s="720" t="s">
        <v>107</v>
      </c>
      <c r="T729" s="720" t="s">
        <v>95</v>
      </c>
      <c r="U729" s="735"/>
      <c r="V729" s="813"/>
      <c r="W729" s="813"/>
      <c r="X729" s="813" t="s">
        <v>6206</v>
      </c>
      <c r="Y729" s="811" t="s">
        <v>222</v>
      </c>
      <c r="Z729" s="814">
        <v>4.784</v>
      </c>
      <c r="AA729" s="656">
        <f>I729*Z729</f>
        <v>4822.272</v>
      </c>
      <c r="AB729" s="780"/>
      <c r="AC729" s="714" t="s">
        <v>3973</v>
      </c>
      <c r="AD729" s="771" t="s">
        <v>112</v>
      </c>
      <c r="AE729" s="808">
        <f t="shared" si="138"/>
        <v>1008</v>
      </c>
      <c r="AF729" s="808"/>
      <c r="AG729" s="808">
        <v>1008</v>
      </c>
      <c r="AH729" s="715">
        <f t="shared" si="139"/>
        <v>0</v>
      </c>
      <c r="AI729" s="810"/>
      <c r="AJ729" s="715" t="s">
        <v>3981</v>
      </c>
      <c r="AK729" s="774">
        <f>I729</f>
        <v>1008</v>
      </c>
      <c r="AL729" s="652"/>
      <c r="AM729" s="652"/>
      <c r="AN729" s="652">
        <f t="shared" si="145"/>
        <v>1008</v>
      </c>
      <c r="AP729" s="774"/>
      <c r="AQ729" s="656"/>
      <c r="AR729" s="656"/>
      <c r="AS729" s="656"/>
      <c r="AT729" s="656">
        <f>I729/8</f>
        <v>126</v>
      </c>
      <c r="AU729" s="652"/>
      <c r="AV729" s="774"/>
      <c r="AW729" s="774"/>
      <c r="BI729" s="774"/>
    </row>
    <row r="730" s="673" customFormat="1" ht="31" customHeight="1" spans="1:108">
      <c r="A730" s="897">
        <v>46205</v>
      </c>
      <c r="B730" s="1022" t="s">
        <v>2123</v>
      </c>
      <c r="C730" s="913" t="s">
        <v>2124</v>
      </c>
      <c r="D730" s="673" t="s">
        <v>6204</v>
      </c>
      <c r="E730" s="913" t="s">
        <v>628</v>
      </c>
      <c r="F730" s="673" t="s">
        <v>3202</v>
      </c>
      <c r="G730" s="1023" t="s">
        <v>4359</v>
      </c>
      <c r="H730" s="708" t="s">
        <v>804</v>
      </c>
      <c r="I730" s="904">
        <v>1002</v>
      </c>
      <c r="J730" s="913">
        <v>0</v>
      </c>
      <c r="K730" s="913">
        <v>6</v>
      </c>
      <c r="L730" s="913">
        <f t="shared" si="142"/>
        <v>167</v>
      </c>
      <c r="M730" s="1024">
        <v>46256</v>
      </c>
      <c r="N730" s="903">
        <v>46254</v>
      </c>
      <c r="O730" s="1022"/>
      <c r="P730" s="904"/>
      <c r="Q730" s="904"/>
      <c r="R730" s="886">
        <v>46205</v>
      </c>
      <c r="S730" s="848" t="s">
        <v>107</v>
      </c>
      <c r="T730" s="848" t="s">
        <v>95</v>
      </c>
      <c r="U730" s="848"/>
      <c r="V730" s="906"/>
      <c r="W730" s="1025"/>
      <c r="X730" s="1028" t="s">
        <v>6207</v>
      </c>
      <c r="Y730" s="1024" t="s">
        <v>222</v>
      </c>
      <c r="Z730" s="1026">
        <v>7.7731</v>
      </c>
      <c r="AA730" s="673">
        <f>Z730*L730</f>
        <v>1298.1077</v>
      </c>
      <c r="AB730" s="910"/>
      <c r="AC730" s="1029" t="s">
        <v>806</v>
      </c>
      <c r="AD730" s="912" t="s">
        <v>112</v>
      </c>
      <c r="AE730" s="913">
        <f t="shared" si="138"/>
        <v>1002</v>
      </c>
      <c r="AF730" s="913"/>
      <c r="AG730" s="899"/>
      <c r="AH730" s="833">
        <f t="shared" si="139"/>
        <v>-1002</v>
      </c>
      <c r="AI730" s="904"/>
      <c r="AJ730" s="708" t="s">
        <v>3981</v>
      </c>
      <c r="AK730" s="914">
        <f>I730</f>
        <v>1002</v>
      </c>
      <c r="AL730" s="822"/>
      <c r="AM730" s="822"/>
      <c r="AN730" s="834">
        <f t="shared" si="145"/>
        <v>1002</v>
      </c>
      <c r="AP730" s="920"/>
      <c r="AQ730" s="673"/>
      <c r="AR730" s="673"/>
      <c r="AS730" s="673"/>
      <c r="AT730" s="673"/>
      <c r="AU730" s="834"/>
      <c r="AV730" s="914"/>
      <c r="AW730" s="914"/>
      <c r="BI730" s="920">
        <f>I730</f>
        <v>1002</v>
      </c>
      <c r="BJ730" s="672"/>
      <c r="BK730" s="672"/>
      <c r="BL730" s="672"/>
      <c r="BM730" s="672"/>
      <c r="BN730" s="672"/>
      <c r="BO730" s="672"/>
      <c r="BP730" s="672"/>
      <c r="BQ730" s="672"/>
      <c r="BR730" s="672"/>
      <c r="BS730" s="672"/>
      <c r="BT730" s="672"/>
      <c r="BU730" s="672"/>
      <c r="BV730" s="672"/>
      <c r="BW730" s="672"/>
      <c r="BX730" s="672"/>
      <c r="BY730" s="672"/>
      <c r="BZ730" s="672"/>
      <c r="CA730" s="672"/>
      <c r="CB730" s="672"/>
      <c r="CC730" s="672"/>
      <c r="CD730" s="672"/>
      <c r="CE730" s="672"/>
      <c r="CF730" s="672"/>
      <c r="CG730" s="672"/>
      <c r="CH730" s="672"/>
      <c r="CI730" s="672"/>
      <c r="CJ730" s="672"/>
      <c r="CK730" s="672"/>
      <c r="CL730" s="672"/>
      <c r="CM730" s="672"/>
      <c r="CN730" s="672"/>
      <c r="CO730" s="672"/>
      <c r="CP730" s="672"/>
      <c r="CQ730" s="672"/>
      <c r="CR730" s="672"/>
      <c r="CS730" s="672"/>
      <c r="CT730" s="672"/>
      <c r="CU730" s="672"/>
      <c r="CV730" s="672"/>
      <c r="CW730" s="672"/>
      <c r="CX730" s="672"/>
      <c r="CY730" s="672"/>
      <c r="CZ730" s="672"/>
      <c r="DA730" s="672"/>
      <c r="DB730" s="672"/>
      <c r="DC730" s="672"/>
      <c r="DD730" s="672"/>
    </row>
    <row r="731" s="674" customFormat="1" ht="31" customHeight="1" spans="1:108">
      <c r="A731" s="1030">
        <v>46247</v>
      </c>
      <c r="B731" s="1031" t="s">
        <v>3060</v>
      </c>
      <c r="C731" s="1032" t="s">
        <v>265</v>
      </c>
      <c r="D731" s="674">
        <v>4500219879</v>
      </c>
      <c r="E731" s="1032">
        <v>4400577343</v>
      </c>
      <c r="F731" s="674" t="s">
        <v>6208</v>
      </c>
      <c r="G731" s="1033" t="s">
        <v>3973</v>
      </c>
      <c r="H731" s="987" t="s">
        <v>3995</v>
      </c>
      <c r="I731" s="1034">
        <v>7408</v>
      </c>
      <c r="J731" s="1032">
        <v>0</v>
      </c>
      <c r="K731" s="1032">
        <v>16</v>
      </c>
      <c r="L731" s="1032">
        <f t="shared" si="142"/>
        <v>463</v>
      </c>
      <c r="M731" s="1035">
        <v>46258</v>
      </c>
      <c r="N731" s="1035">
        <v>46254</v>
      </c>
      <c r="O731" s="1031" t="s">
        <v>6209</v>
      </c>
      <c r="P731" s="1034"/>
      <c r="Q731" s="1034"/>
      <c r="R731" s="1036">
        <v>46247</v>
      </c>
      <c r="S731" s="1037" t="s">
        <v>107</v>
      </c>
      <c r="T731" s="978" t="s">
        <v>6210</v>
      </c>
      <c r="U731" s="978"/>
      <c r="V731" s="1038"/>
      <c r="W731" s="1039"/>
      <c r="X731" s="1039" t="s">
        <v>6211</v>
      </c>
      <c r="Y731" s="1035" t="s">
        <v>6119</v>
      </c>
      <c r="Z731" s="1040">
        <v>4.8121</v>
      </c>
      <c r="AA731" s="674">
        <f>I731*Z731</f>
        <v>35648.0368</v>
      </c>
      <c r="AB731" s="1041"/>
      <c r="AC731" s="1042" t="s">
        <v>4108</v>
      </c>
      <c r="AD731" s="984" t="s">
        <v>112</v>
      </c>
      <c r="AE731" s="1032"/>
      <c r="AF731" s="1032"/>
      <c r="AG731" s="1043"/>
      <c r="AH731" s="986"/>
      <c r="AI731" s="1034"/>
      <c r="AJ731" s="987"/>
      <c r="AK731" s="1044"/>
      <c r="AL731" s="988">
        <f>I731</f>
        <v>7408</v>
      </c>
      <c r="AM731" s="988"/>
      <c r="AN731" s="1042">
        <f t="shared" si="145"/>
        <v>7408</v>
      </c>
      <c r="AP731" s="1045"/>
      <c r="AQ731" s="674"/>
      <c r="AR731" s="674"/>
      <c r="AS731" s="674"/>
      <c r="AT731" s="674"/>
      <c r="AU731" s="989">
        <f>I731/8</f>
        <v>926</v>
      </c>
      <c r="AV731" s="1044"/>
      <c r="AW731" s="1044"/>
      <c r="AX731" s="674"/>
      <c r="BI731" s="1045"/>
      <c r="BJ731" s="677"/>
      <c r="BK731" s="677"/>
      <c r="BL731" s="677"/>
      <c r="BM731" s="677"/>
      <c r="BN731" s="677"/>
      <c r="BO731" s="677"/>
      <c r="BP731" s="677"/>
      <c r="BQ731" s="677"/>
      <c r="BR731" s="677"/>
      <c r="BS731" s="677"/>
      <c r="BT731" s="677"/>
      <c r="BU731" s="677"/>
      <c r="BV731" s="677"/>
      <c r="BW731" s="677"/>
      <c r="BX731" s="677"/>
      <c r="BY731" s="677"/>
      <c r="BZ731" s="677"/>
      <c r="CA731" s="677"/>
      <c r="CB731" s="677"/>
      <c r="CC731" s="677"/>
      <c r="CD731" s="677"/>
      <c r="CE731" s="677"/>
      <c r="CF731" s="677"/>
      <c r="CG731" s="677"/>
      <c r="CH731" s="677"/>
      <c r="CI731" s="677"/>
      <c r="CJ731" s="677"/>
      <c r="CK731" s="677"/>
      <c r="CL731" s="677"/>
      <c r="CM731" s="677"/>
      <c r="CN731" s="677"/>
      <c r="CO731" s="677"/>
      <c r="CP731" s="677"/>
      <c r="CQ731" s="677"/>
      <c r="CR731" s="677"/>
      <c r="CS731" s="677"/>
      <c r="CT731" s="677"/>
      <c r="CU731" s="677"/>
      <c r="CV731" s="677"/>
      <c r="CW731" s="677"/>
      <c r="CX731" s="677"/>
      <c r="CY731" s="677"/>
      <c r="CZ731" s="677"/>
      <c r="DA731" s="677"/>
      <c r="DB731" s="677"/>
      <c r="DC731" s="677"/>
      <c r="DD731" s="677"/>
    </row>
    <row r="732" s="667" customFormat="1" ht="31" customHeight="1" spans="1:108">
      <c r="A732" s="819">
        <v>46217</v>
      </c>
      <c r="B732" s="820" t="s">
        <v>1243</v>
      </c>
      <c r="C732" s="821" t="s">
        <v>291</v>
      </c>
      <c r="D732" s="822">
        <v>4500216463</v>
      </c>
      <c r="E732" s="821"/>
      <c r="F732" s="822" t="s">
        <v>6212</v>
      </c>
      <c r="G732" s="823" t="s">
        <v>3973</v>
      </c>
      <c r="H732" s="708" t="s">
        <v>3995</v>
      </c>
      <c r="I732" s="824">
        <v>7776</v>
      </c>
      <c r="J732" s="821">
        <v>0</v>
      </c>
      <c r="K732" s="821">
        <v>16</v>
      </c>
      <c r="L732" s="821">
        <f t="shared" si="142"/>
        <v>486</v>
      </c>
      <c r="M732" s="825">
        <v>46258</v>
      </c>
      <c r="N732" s="863">
        <v>46256</v>
      </c>
      <c r="O732" s="820"/>
      <c r="P732" s="824"/>
      <c r="Q732" s="824"/>
      <c r="R732" s="827">
        <v>46237</v>
      </c>
      <c r="S732" s="828" t="s">
        <v>107</v>
      </c>
      <c r="T732" s="828" t="s">
        <v>6213</v>
      </c>
      <c r="U732" s="828" t="s">
        <v>6214</v>
      </c>
      <c r="V732" s="829"/>
      <c r="W732" s="828"/>
      <c r="X732" s="828" t="s">
        <v>6215</v>
      </c>
      <c r="Y732" s="825" t="s">
        <v>450</v>
      </c>
      <c r="Z732" s="830">
        <v>4.7735</v>
      </c>
      <c r="AA732" s="822">
        <f>I732*Z732</f>
        <v>37118.736</v>
      </c>
      <c r="AB732" s="831"/>
      <c r="AC732" s="832" t="s">
        <v>4108</v>
      </c>
      <c r="AD732" s="953" t="s">
        <v>112</v>
      </c>
      <c r="AE732" s="821">
        <f t="shared" ref="AE732:AE773" si="146">I732</f>
        <v>7776</v>
      </c>
      <c r="AF732" s="821"/>
      <c r="AG732" s="708"/>
      <c r="AH732" s="833">
        <f t="shared" ref="AH732:AH774" si="147">AG732-I732</f>
        <v>-7776</v>
      </c>
      <c r="AI732" s="824"/>
      <c r="AJ732" s="708" t="s">
        <v>3981</v>
      </c>
      <c r="AK732" s="822"/>
      <c r="AL732" s="925">
        <f>I732</f>
        <v>7776</v>
      </c>
      <c r="AM732" s="822"/>
      <c r="AN732" s="822">
        <f t="shared" ref="AN732:AN759" si="148">I732</f>
        <v>7776</v>
      </c>
      <c r="AO732" s="822"/>
      <c r="AP732" s="822"/>
      <c r="AQ732" s="822"/>
      <c r="AR732" s="822"/>
      <c r="AS732" s="822"/>
      <c r="AT732" s="822"/>
      <c r="AU732" s="868">
        <f>I732/8</f>
        <v>972</v>
      </c>
      <c r="AV732" s="834"/>
      <c r="AW732" s="834"/>
      <c r="AX732" s="822"/>
      <c r="AY732" s="822"/>
      <c r="AZ732" s="822"/>
      <c r="BA732" s="822"/>
      <c r="BB732" s="822"/>
      <c r="BC732" s="822"/>
      <c r="BD732" s="822"/>
      <c r="BE732" s="822"/>
      <c r="BF732" s="822"/>
      <c r="BG732" s="822"/>
      <c r="BH732" s="822"/>
      <c r="BI732" s="822"/>
      <c r="BJ732" s="835"/>
      <c r="BK732" s="835"/>
      <c r="BL732" s="835"/>
      <c r="BM732" s="835"/>
      <c r="BN732" s="835"/>
      <c r="BO732" s="835"/>
      <c r="BP732" s="835"/>
      <c r="BQ732" s="835"/>
      <c r="BR732" s="835"/>
      <c r="BS732" s="835"/>
      <c r="BT732" s="835"/>
      <c r="BU732" s="835"/>
      <c r="BV732" s="835"/>
      <c r="BW732" s="835"/>
      <c r="BX732" s="835"/>
      <c r="BY732" s="835"/>
      <c r="BZ732" s="835"/>
      <c r="CA732" s="835"/>
      <c r="CB732" s="835"/>
      <c r="CC732" s="835"/>
      <c r="CD732" s="835"/>
      <c r="CE732" s="835"/>
      <c r="CF732" s="835"/>
      <c r="CG732" s="835"/>
      <c r="CH732" s="835"/>
      <c r="CI732" s="835"/>
      <c r="CJ732" s="835"/>
      <c r="CK732" s="835"/>
      <c r="CL732" s="835"/>
      <c r="CM732" s="835"/>
      <c r="CN732" s="835"/>
      <c r="CO732" s="835"/>
      <c r="CP732" s="835"/>
      <c r="CQ732" s="835"/>
      <c r="CR732" s="835"/>
      <c r="CS732" s="835"/>
      <c r="CT732" s="835"/>
      <c r="CU732" s="835"/>
      <c r="CV732" s="835"/>
      <c r="CW732" s="835"/>
      <c r="CX732" s="835"/>
      <c r="CY732" s="835"/>
      <c r="CZ732" s="835"/>
      <c r="DA732" s="835"/>
      <c r="DB732" s="835"/>
      <c r="DC732" s="835"/>
      <c r="DD732" s="835"/>
    </row>
    <row r="733" s="659" customFormat="1" ht="31" customHeight="1" spans="1:108">
      <c r="A733" s="819">
        <v>46217</v>
      </c>
      <c r="B733" s="820" t="s">
        <v>134</v>
      </c>
      <c r="C733" s="821" t="s">
        <v>135</v>
      </c>
      <c r="D733" s="822">
        <v>4500216454</v>
      </c>
      <c r="E733" s="821">
        <v>4400577340</v>
      </c>
      <c r="F733" s="822" t="s">
        <v>6216</v>
      </c>
      <c r="G733" s="823" t="s">
        <v>3973</v>
      </c>
      <c r="H733" s="708" t="s">
        <v>3995</v>
      </c>
      <c r="I733" s="824">
        <v>27696</v>
      </c>
      <c r="J733" s="821">
        <v>0</v>
      </c>
      <c r="K733" s="821">
        <v>16</v>
      </c>
      <c r="L733" s="821">
        <f t="shared" si="142"/>
        <v>1731</v>
      </c>
      <c r="M733" s="825">
        <v>46258</v>
      </c>
      <c r="N733" s="863">
        <v>46256</v>
      </c>
      <c r="O733" s="828" t="s">
        <v>3214</v>
      </c>
      <c r="P733" s="824"/>
      <c r="Q733" s="824"/>
      <c r="R733" s="827">
        <v>46185</v>
      </c>
      <c r="S733" s="828" t="s">
        <v>107</v>
      </c>
      <c r="T733" s="828" t="s">
        <v>3997</v>
      </c>
      <c r="U733" s="828"/>
      <c r="V733" s="828"/>
      <c r="W733" s="828"/>
      <c r="X733" s="828" t="s">
        <v>6217</v>
      </c>
      <c r="Y733" s="825" t="s">
        <v>1142</v>
      </c>
      <c r="Z733" s="830">
        <v>4.7721</v>
      </c>
      <c r="AA733" s="822">
        <f>I733*Z733</f>
        <v>132168.0816</v>
      </c>
      <c r="AB733" s="831"/>
      <c r="AC733" s="822" t="s">
        <v>4108</v>
      </c>
      <c r="AD733" s="821" t="s">
        <v>112</v>
      </c>
      <c r="AE733" s="821">
        <f t="shared" si="146"/>
        <v>27696</v>
      </c>
      <c r="AF733" s="821"/>
      <c r="AG733" s="821"/>
      <c r="AH733" s="833">
        <f t="shared" si="147"/>
        <v>-27696</v>
      </c>
      <c r="AI733" s="824"/>
      <c r="AJ733" s="708" t="s">
        <v>3981</v>
      </c>
      <c r="AK733" s="822"/>
      <c r="AL733" s="925">
        <f>I733</f>
        <v>27696</v>
      </c>
      <c r="AM733" s="822"/>
      <c r="AN733" s="822">
        <f t="shared" si="148"/>
        <v>27696</v>
      </c>
      <c r="AO733" s="822"/>
      <c r="AP733" s="822"/>
      <c r="AQ733" s="822"/>
      <c r="AR733" s="822"/>
      <c r="AS733" s="822"/>
      <c r="AT733" s="822"/>
      <c r="AU733" s="925">
        <f>I733/8</f>
        <v>3462</v>
      </c>
      <c r="AV733" s="822"/>
      <c r="AW733" s="822"/>
      <c r="AX733" s="822"/>
      <c r="AY733" s="822"/>
      <c r="AZ733" s="822"/>
      <c r="BA733" s="822"/>
      <c r="BB733" s="822"/>
      <c r="BC733" s="822"/>
      <c r="BD733" s="822"/>
      <c r="BE733" s="822"/>
      <c r="BF733" s="822"/>
      <c r="BG733" s="822"/>
      <c r="BH733" s="822"/>
      <c r="BI733" s="822"/>
      <c r="BJ733" s="892"/>
      <c r="BK733" s="892"/>
      <c r="BL733" s="892"/>
      <c r="BM733" s="892"/>
      <c r="BN733" s="892"/>
      <c r="BO733" s="892"/>
      <c r="BP733" s="892"/>
      <c r="BQ733" s="892"/>
      <c r="BR733" s="892"/>
      <c r="BS733" s="892"/>
      <c r="BT733" s="892"/>
      <c r="BU733" s="892"/>
      <c r="BV733" s="892"/>
      <c r="BW733" s="892"/>
      <c r="BX733" s="892"/>
      <c r="BY733" s="892"/>
      <c r="BZ733" s="892"/>
      <c r="CA733" s="892"/>
      <c r="CB733" s="892"/>
      <c r="CC733" s="892"/>
      <c r="CD733" s="892"/>
      <c r="CE733" s="892"/>
      <c r="CF733" s="892"/>
      <c r="CG733" s="892"/>
      <c r="CH733" s="892"/>
      <c r="CI733" s="892"/>
      <c r="CJ733" s="892"/>
      <c r="CK733" s="892"/>
      <c r="CL733" s="892"/>
      <c r="CM733" s="892"/>
      <c r="CN733" s="892"/>
      <c r="CO733" s="892"/>
      <c r="CP733" s="892"/>
      <c r="CQ733" s="892"/>
      <c r="CR733" s="892"/>
      <c r="CS733" s="892"/>
      <c r="CT733" s="892"/>
      <c r="CU733" s="892"/>
      <c r="CV733" s="892"/>
      <c r="CW733" s="892"/>
      <c r="CX733" s="892"/>
      <c r="CY733" s="892"/>
      <c r="CZ733" s="892"/>
      <c r="DA733" s="892"/>
      <c r="DB733" s="892"/>
      <c r="DC733" s="892"/>
      <c r="DD733" s="892"/>
    </row>
    <row r="734" s="670" customFormat="1" ht="31" customHeight="1" spans="1:108">
      <c r="A734" s="951">
        <v>46196</v>
      </c>
      <c r="B734" s="952" t="s">
        <v>3216</v>
      </c>
      <c r="C734" s="953" t="s">
        <v>2712</v>
      </c>
      <c r="D734" s="669">
        <v>4500213304</v>
      </c>
      <c r="E734" s="953"/>
      <c r="F734" s="669" t="s">
        <v>6218</v>
      </c>
      <c r="G734" s="955" t="s">
        <v>3980</v>
      </c>
      <c r="H734" s="821" t="s">
        <v>3978</v>
      </c>
      <c r="I734" s="957">
        <v>1504</v>
      </c>
      <c r="J734" s="953">
        <v>0</v>
      </c>
      <c r="K734" s="953">
        <v>8</v>
      </c>
      <c r="L734" s="953">
        <f t="shared" si="142"/>
        <v>188</v>
      </c>
      <c r="M734" s="958">
        <v>46258</v>
      </c>
      <c r="N734" s="959">
        <v>46256</v>
      </c>
      <c r="O734" s="952"/>
      <c r="P734" s="957"/>
      <c r="Q734" s="957" t="s">
        <v>3218</v>
      </c>
      <c r="R734" s="827">
        <v>46196</v>
      </c>
      <c r="S734" s="828" t="s">
        <v>107</v>
      </c>
      <c r="T734" s="961" t="s">
        <v>6219</v>
      </c>
      <c r="U734" s="961"/>
      <c r="V734" s="961"/>
      <c r="W734" s="961"/>
      <c r="X734" s="966" t="s">
        <v>6220</v>
      </c>
      <c r="Y734" s="958" t="s">
        <v>722</v>
      </c>
      <c r="Z734" s="962">
        <v>4.8266</v>
      </c>
      <c r="AA734" s="669">
        <f>I734*Z734</f>
        <v>7259.2064</v>
      </c>
      <c r="AB734" s="831"/>
      <c r="AC734" s="867" t="s">
        <v>4031</v>
      </c>
      <c r="AD734" s="953" t="s">
        <v>112</v>
      </c>
      <c r="AE734" s="953">
        <f t="shared" si="146"/>
        <v>1504</v>
      </c>
      <c r="AF734" s="821"/>
      <c r="AG734" s="953"/>
      <c r="AH734" s="833">
        <f t="shared" si="147"/>
        <v>-1504</v>
      </c>
      <c r="AI734" s="957"/>
      <c r="AJ734" s="708" t="s">
        <v>3981</v>
      </c>
      <c r="AK734" s="822"/>
      <c r="AL734" s="868">
        <f>I734</f>
        <v>1504</v>
      </c>
      <c r="AM734" s="822"/>
      <c r="AN734" s="834">
        <f t="shared" si="148"/>
        <v>1504</v>
      </c>
      <c r="AO734" s="669"/>
      <c r="AP734" s="669"/>
      <c r="AQ734" s="669"/>
      <c r="AR734" s="669"/>
      <c r="AS734" s="669"/>
      <c r="AT734" s="822"/>
      <c r="AU734" s="1046">
        <f>I734/8</f>
        <v>188</v>
      </c>
      <c r="AV734" s="669"/>
      <c r="AW734" s="669"/>
      <c r="AX734" s="669"/>
      <c r="AY734" s="669"/>
      <c r="AZ734" s="669"/>
      <c r="BA734" s="669"/>
      <c r="BB734" s="669"/>
      <c r="BC734" s="669"/>
      <c r="BD734" s="669"/>
      <c r="BE734" s="669"/>
      <c r="BF734" s="669"/>
      <c r="BG734" s="669"/>
      <c r="BH734" s="669"/>
      <c r="BI734" s="669"/>
      <c r="BJ734" s="669"/>
      <c r="BK734" s="669"/>
      <c r="BL734" s="669"/>
      <c r="BM734" s="669"/>
      <c r="BN734" s="669"/>
      <c r="BO734" s="669"/>
      <c r="BP734" s="669"/>
      <c r="BQ734" s="669"/>
      <c r="BR734" s="669"/>
      <c r="BS734" s="669"/>
      <c r="BT734" s="669"/>
      <c r="BU734" s="669"/>
      <c r="BV734" s="669"/>
      <c r="BW734" s="669"/>
      <c r="BX734" s="669"/>
      <c r="BY734" s="669"/>
      <c r="BZ734" s="669"/>
      <c r="CA734" s="669"/>
      <c r="CB734" s="669"/>
      <c r="CC734" s="669"/>
      <c r="CD734" s="669"/>
      <c r="CE734" s="669"/>
      <c r="CF734" s="669"/>
      <c r="CG734" s="669"/>
      <c r="CH734" s="669"/>
      <c r="CI734" s="669"/>
      <c r="CJ734" s="669"/>
      <c r="CK734" s="669"/>
      <c r="CL734" s="669"/>
      <c r="CM734" s="669"/>
      <c r="CN734" s="669"/>
      <c r="CO734" s="669"/>
      <c r="CP734" s="669"/>
      <c r="CQ734" s="669"/>
      <c r="CR734" s="669"/>
      <c r="CS734" s="669"/>
      <c r="CT734" s="669"/>
      <c r="CU734" s="669"/>
      <c r="CV734" s="669"/>
      <c r="CW734" s="669"/>
      <c r="CX734" s="669"/>
      <c r="CY734" s="669"/>
      <c r="CZ734" s="669"/>
      <c r="DA734" s="669"/>
      <c r="DB734" s="669"/>
      <c r="DC734" s="669"/>
      <c r="DD734" s="669"/>
    </row>
    <row r="735" s="670" customFormat="1" ht="31" customHeight="1" spans="1:108">
      <c r="A735" s="951">
        <v>46164</v>
      </c>
      <c r="B735" s="952" t="s">
        <v>2373</v>
      </c>
      <c r="C735" s="953" t="s">
        <v>101</v>
      </c>
      <c r="D735" s="669" t="s">
        <v>6221</v>
      </c>
      <c r="E735" s="953" t="s">
        <v>6222</v>
      </c>
      <c r="F735" s="669" t="s">
        <v>3243</v>
      </c>
      <c r="G735" s="955" t="s">
        <v>5786</v>
      </c>
      <c r="H735" s="956" t="s">
        <v>804</v>
      </c>
      <c r="I735" s="957">
        <v>132</v>
      </c>
      <c r="J735" s="953">
        <v>0</v>
      </c>
      <c r="K735" s="953">
        <v>6</v>
      </c>
      <c r="L735" s="953">
        <f t="shared" si="142"/>
        <v>22</v>
      </c>
      <c r="M735" s="958">
        <v>46258</v>
      </c>
      <c r="N735" s="959">
        <v>46258</v>
      </c>
      <c r="O735" s="952"/>
      <c r="P735" s="957"/>
      <c r="Q735" s="957"/>
      <c r="R735" s="827" t="s">
        <v>6223</v>
      </c>
      <c r="S735" s="829" t="s">
        <v>107</v>
      </c>
      <c r="T735" s="848" t="s">
        <v>6224</v>
      </c>
      <c r="U735" s="847"/>
      <c r="V735" s="961" t="s">
        <v>6093</v>
      </c>
      <c r="W735" s="961"/>
      <c r="X735" s="1047" t="s">
        <v>6225</v>
      </c>
      <c r="Y735" s="958" t="s">
        <v>2378</v>
      </c>
      <c r="Z735" s="962">
        <v>8.5</v>
      </c>
      <c r="AA735" s="669">
        <f>L735*Z735</f>
        <v>187</v>
      </c>
      <c r="AB735" s="831"/>
      <c r="AC735" s="846" t="s">
        <v>2727</v>
      </c>
      <c r="AD735" s="821" t="s">
        <v>112</v>
      </c>
      <c r="AE735" s="953">
        <f t="shared" si="146"/>
        <v>132</v>
      </c>
      <c r="AF735" s="953"/>
      <c r="AG735" s="956"/>
      <c r="AH735" s="833">
        <f t="shared" si="147"/>
        <v>-132</v>
      </c>
      <c r="AI735" s="1017"/>
      <c r="AJ735" s="708" t="s">
        <v>3981</v>
      </c>
      <c r="AK735" s="834"/>
      <c r="AL735" s="834"/>
      <c r="AM735" s="834"/>
      <c r="AN735" s="834">
        <f t="shared" si="148"/>
        <v>132</v>
      </c>
      <c r="AO735" s="669"/>
      <c r="AP735" s="822"/>
      <c r="AQ735" s="669"/>
      <c r="AR735" s="669"/>
      <c r="AS735" s="669"/>
      <c r="AT735" s="669"/>
      <c r="AX735" s="669"/>
      <c r="AY735" s="669"/>
      <c r="AZ735" s="669"/>
      <c r="BA735" s="669"/>
      <c r="BB735" s="669"/>
      <c r="BC735" s="669"/>
      <c r="BD735" s="669"/>
      <c r="BE735" s="669"/>
      <c r="BF735" s="669"/>
      <c r="BG735" s="669"/>
      <c r="BH735" s="669"/>
      <c r="BI735" s="834">
        <f>I735</f>
        <v>132</v>
      </c>
      <c r="BJ735" s="1048"/>
      <c r="BK735" s="1048"/>
      <c r="BL735" s="1048"/>
      <c r="BM735" s="1048"/>
      <c r="BN735" s="1048"/>
      <c r="BO735" s="1048"/>
      <c r="BP735" s="1048"/>
      <c r="BQ735" s="1048"/>
      <c r="BR735" s="1048"/>
      <c r="BS735" s="1048"/>
      <c r="BT735" s="1048"/>
      <c r="BU735" s="1048"/>
      <c r="BV735" s="1048"/>
      <c r="BW735" s="1048"/>
      <c r="BX735" s="1048"/>
      <c r="BY735" s="1048"/>
      <c r="BZ735" s="1048"/>
      <c r="CA735" s="1048"/>
      <c r="CB735" s="1048"/>
      <c r="CC735" s="1048"/>
      <c r="CD735" s="1048"/>
      <c r="CE735" s="1048"/>
      <c r="CF735" s="1048"/>
      <c r="CG735" s="1048"/>
      <c r="CH735" s="1048"/>
      <c r="CI735" s="1048"/>
      <c r="CJ735" s="1048"/>
      <c r="CK735" s="1048"/>
      <c r="CL735" s="1048"/>
      <c r="CM735" s="1048"/>
      <c r="CN735" s="1048"/>
      <c r="CO735" s="1048"/>
      <c r="CP735" s="1048"/>
      <c r="CQ735" s="1048"/>
      <c r="CR735" s="1048"/>
      <c r="CS735" s="669"/>
      <c r="CT735" s="669"/>
      <c r="CU735" s="669"/>
      <c r="CV735" s="669"/>
      <c r="CW735" s="669"/>
      <c r="CX735" s="669"/>
      <c r="CY735" s="669"/>
      <c r="CZ735" s="669"/>
      <c r="DA735" s="669"/>
      <c r="DB735" s="669"/>
      <c r="DC735" s="669"/>
      <c r="DD735" s="669"/>
    </row>
    <row r="736" s="670" customFormat="1" ht="31" customHeight="1" spans="1:108">
      <c r="A736" s="951">
        <v>46182</v>
      </c>
      <c r="B736" s="952" t="s">
        <v>521</v>
      </c>
      <c r="C736" s="953" t="s">
        <v>101</v>
      </c>
      <c r="D736" s="669">
        <v>4500208584</v>
      </c>
      <c r="E736" s="953">
        <v>21802519</v>
      </c>
      <c r="F736" s="669" t="s">
        <v>6226</v>
      </c>
      <c r="G736" s="955" t="s">
        <v>3980</v>
      </c>
      <c r="H736" s="956" t="s">
        <v>3978</v>
      </c>
      <c r="I736" s="957">
        <v>360</v>
      </c>
      <c r="J736" s="953">
        <v>0</v>
      </c>
      <c r="K736" s="953">
        <v>8</v>
      </c>
      <c r="L736" s="953">
        <f t="shared" si="142"/>
        <v>45</v>
      </c>
      <c r="M736" s="958">
        <v>46258</v>
      </c>
      <c r="N736" s="959">
        <v>46259</v>
      </c>
      <c r="O736" s="952"/>
      <c r="P736" s="957"/>
      <c r="Q736" s="957"/>
      <c r="R736" s="827" t="s">
        <v>6223</v>
      </c>
      <c r="S736" s="828" t="s">
        <v>107</v>
      </c>
      <c r="T736" s="828" t="s">
        <v>6227</v>
      </c>
      <c r="U736" s="848"/>
      <c r="V736" s="828" t="s">
        <v>6093</v>
      </c>
      <c r="W736" s="961"/>
      <c r="X736" s="961" t="s">
        <v>6228</v>
      </c>
      <c r="Y736" s="958" t="s">
        <v>362</v>
      </c>
      <c r="Z736" s="962">
        <v>4.7893</v>
      </c>
      <c r="AA736" s="669">
        <f>I736*Z736</f>
        <v>1724.148</v>
      </c>
      <c r="AB736" s="831"/>
      <c r="AC736" s="836" t="s">
        <v>3980</v>
      </c>
      <c r="AD736" s="821" t="s">
        <v>112</v>
      </c>
      <c r="AE736" s="953">
        <f t="shared" si="146"/>
        <v>360</v>
      </c>
      <c r="AF736" s="821" t="s">
        <v>5125</v>
      </c>
      <c r="AG736" s="956"/>
      <c r="AH736" s="833">
        <f t="shared" si="147"/>
        <v>-360</v>
      </c>
      <c r="AI736" s="957"/>
      <c r="AJ736" s="708" t="s">
        <v>3981</v>
      </c>
      <c r="AK736" s="834">
        <f>I736</f>
        <v>360</v>
      </c>
      <c r="AL736" s="834"/>
      <c r="AM736" s="822"/>
      <c r="AN736" s="834">
        <f t="shared" si="148"/>
        <v>360</v>
      </c>
      <c r="AO736" s="822"/>
      <c r="AP736" s="822"/>
      <c r="AQ736" s="822"/>
      <c r="AR736" s="822"/>
      <c r="AS736" s="822"/>
      <c r="AT736" s="822"/>
      <c r="AX736" s="670">
        <f>I736/8</f>
        <v>45</v>
      </c>
      <c r="BA736" s="669"/>
      <c r="BB736" s="669"/>
      <c r="BC736" s="669"/>
      <c r="BD736" s="669"/>
      <c r="BE736" s="669"/>
      <c r="BF736" s="669"/>
      <c r="BG736" s="669"/>
      <c r="BH736" s="669"/>
      <c r="BI736" s="822"/>
    </row>
    <row r="737" s="670" customFormat="1" ht="31" customHeight="1" spans="1:108">
      <c r="A737" s="951">
        <v>46182</v>
      </c>
      <c r="B737" s="952" t="s">
        <v>525</v>
      </c>
      <c r="C737" s="953" t="s">
        <v>508</v>
      </c>
      <c r="D737" s="669">
        <v>4500208581</v>
      </c>
      <c r="E737" s="953">
        <v>21802510</v>
      </c>
      <c r="F737" s="669" t="s">
        <v>6229</v>
      </c>
      <c r="G737" s="955" t="s">
        <v>3980</v>
      </c>
      <c r="H737" s="956" t="s">
        <v>3978</v>
      </c>
      <c r="I737" s="957">
        <v>4640</v>
      </c>
      <c r="J737" s="953">
        <v>0</v>
      </c>
      <c r="K737" s="953">
        <v>8</v>
      </c>
      <c r="L737" s="953">
        <f t="shared" si="142"/>
        <v>580</v>
      </c>
      <c r="M737" s="958">
        <v>46258</v>
      </c>
      <c r="N737" s="959">
        <v>46259</v>
      </c>
      <c r="O737" s="952"/>
      <c r="P737" s="957"/>
      <c r="Q737" s="957"/>
      <c r="R737" s="827" t="s">
        <v>6223</v>
      </c>
      <c r="S737" s="828" t="s">
        <v>107</v>
      </c>
      <c r="T737" s="828" t="s">
        <v>6230</v>
      </c>
      <c r="U737" s="848"/>
      <c r="V737" s="828" t="s">
        <v>6093</v>
      </c>
      <c r="W737" s="961"/>
      <c r="X737" s="961" t="s">
        <v>6231</v>
      </c>
      <c r="Y737" s="958" t="s">
        <v>362</v>
      </c>
      <c r="Z737" s="962">
        <v>4.7839</v>
      </c>
      <c r="AA737" s="669">
        <f>I737*Z737</f>
        <v>22197.296</v>
      </c>
      <c r="AB737" s="831"/>
      <c r="AC737" s="836" t="s">
        <v>3980</v>
      </c>
      <c r="AD737" s="821" t="s">
        <v>112</v>
      </c>
      <c r="AE737" s="953">
        <f t="shared" si="146"/>
        <v>4640</v>
      </c>
      <c r="AF737" s="821" t="s">
        <v>5125</v>
      </c>
      <c r="AG737" s="956"/>
      <c r="AH737" s="833">
        <f t="shared" si="147"/>
        <v>-4640</v>
      </c>
      <c r="AI737" s="957"/>
      <c r="AJ737" s="708" t="s">
        <v>3981</v>
      </c>
      <c r="AK737" s="834">
        <f>I737</f>
        <v>4640</v>
      </c>
      <c r="AL737" s="834"/>
      <c r="AM737" s="822"/>
      <c r="AN737" s="834">
        <f t="shared" si="148"/>
        <v>4640</v>
      </c>
      <c r="AO737" s="822"/>
      <c r="AP737" s="822"/>
      <c r="AQ737" s="822"/>
      <c r="AR737" s="822"/>
      <c r="AS737" s="822"/>
      <c r="AT737" s="822"/>
      <c r="AX737" s="670">
        <f>I737/8</f>
        <v>580</v>
      </c>
      <c r="BA737" s="669"/>
      <c r="BB737" s="669"/>
      <c r="BC737" s="669"/>
      <c r="BD737" s="669"/>
      <c r="BE737" s="669"/>
      <c r="BF737" s="669"/>
      <c r="BG737" s="669"/>
      <c r="BH737" s="669"/>
      <c r="BI737" s="822"/>
    </row>
    <row r="738" s="650" customFormat="1" ht="31" customHeight="1" spans="1:108">
      <c r="A738" s="819">
        <v>46164</v>
      </c>
      <c r="B738" s="820" t="s">
        <v>2379</v>
      </c>
      <c r="C738" s="821" t="s">
        <v>508</v>
      </c>
      <c r="D738" s="822" t="s">
        <v>6232</v>
      </c>
      <c r="E738" s="821" t="s">
        <v>6233</v>
      </c>
      <c r="F738" s="822" t="s">
        <v>3246</v>
      </c>
      <c r="G738" s="823" t="s">
        <v>5786</v>
      </c>
      <c r="H738" s="708" t="s">
        <v>804</v>
      </c>
      <c r="I738" s="824">
        <v>1668</v>
      </c>
      <c r="J738" s="821">
        <v>0</v>
      </c>
      <c r="K738" s="821">
        <v>6</v>
      </c>
      <c r="L738" s="821">
        <f t="shared" si="142"/>
        <v>278</v>
      </c>
      <c r="M738" s="825">
        <v>46258</v>
      </c>
      <c r="N738" s="863">
        <v>46259</v>
      </c>
      <c r="O738" s="820"/>
      <c r="P738" s="824"/>
      <c r="Q738" s="824"/>
      <c r="R738" s="886" t="s">
        <v>6223</v>
      </c>
      <c r="S738" s="829" t="s">
        <v>107</v>
      </c>
      <c r="T738" s="828" t="s">
        <v>6234</v>
      </c>
      <c r="U738" s="829"/>
      <c r="V738" s="828" t="s">
        <v>6093</v>
      </c>
      <c r="W738" s="828"/>
      <c r="X738" s="1049" t="s">
        <v>6235</v>
      </c>
      <c r="Y738" s="825" t="s">
        <v>2378</v>
      </c>
      <c r="Z738" s="830">
        <v>8.5091</v>
      </c>
      <c r="AA738" s="822">
        <f>L738*Z738</f>
        <v>2365.5298</v>
      </c>
      <c r="AB738" s="831"/>
      <c r="AC738" s="846" t="s">
        <v>2727</v>
      </c>
      <c r="AD738" s="821" t="s">
        <v>112</v>
      </c>
      <c r="AE738" s="821">
        <f t="shared" si="146"/>
        <v>1668</v>
      </c>
      <c r="AF738" s="821"/>
      <c r="AG738" s="708"/>
      <c r="AH738" s="833">
        <f t="shared" si="147"/>
        <v>-1668</v>
      </c>
      <c r="AI738" s="861"/>
      <c r="AJ738" s="708" t="s">
        <v>3981</v>
      </c>
      <c r="AK738" s="834"/>
      <c r="AL738" s="834"/>
      <c r="AM738" s="834"/>
      <c r="AN738" s="834">
        <f t="shared" si="148"/>
        <v>1668</v>
      </c>
      <c r="AO738" s="822"/>
      <c r="AP738" s="822"/>
      <c r="AQ738" s="822"/>
      <c r="AR738" s="822"/>
      <c r="AS738" s="822"/>
      <c r="AT738" s="822"/>
      <c r="AU738" s="834"/>
      <c r="AV738" s="834"/>
      <c r="AW738" s="834"/>
      <c r="AX738" s="822"/>
      <c r="AY738" s="822"/>
      <c r="AZ738" s="822"/>
      <c r="BA738" s="822"/>
      <c r="BB738" s="822"/>
      <c r="BC738" s="822"/>
      <c r="BD738" s="822"/>
      <c r="BE738" s="822"/>
      <c r="BF738" s="822"/>
      <c r="BG738" s="822"/>
      <c r="BH738" s="822"/>
      <c r="BI738" s="834">
        <f>I738</f>
        <v>1668</v>
      </c>
      <c r="BJ738" s="662"/>
      <c r="BK738" s="662"/>
      <c r="BL738" s="662"/>
      <c r="BM738" s="662"/>
      <c r="BN738" s="662"/>
      <c r="BO738" s="662"/>
      <c r="BP738" s="662"/>
      <c r="BQ738" s="662"/>
      <c r="BR738" s="662"/>
      <c r="BS738" s="662"/>
      <c r="BT738" s="662"/>
      <c r="BU738" s="662"/>
      <c r="BV738" s="662"/>
      <c r="BW738" s="662"/>
      <c r="BX738" s="662"/>
      <c r="BY738" s="662"/>
      <c r="BZ738" s="662"/>
      <c r="CA738" s="662"/>
      <c r="CB738" s="662"/>
      <c r="CC738" s="662"/>
      <c r="CD738" s="662"/>
      <c r="CE738" s="662"/>
      <c r="CF738" s="662"/>
      <c r="CG738" s="662"/>
      <c r="CH738" s="662"/>
      <c r="CI738" s="662"/>
      <c r="CJ738" s="662"/>
      <c r="CK738" s="662"/>
      <c r="CL738" s="662"/>
      <c r="CM738" s="662"/>
      <c r="CN738" s="662"/>
      <c r="CO738" s="662"/>
      <c r="CP738" s="662"/>
      <c r="CQ738" s="662"/>
      <c r="CR738" s="662"/>
      <c r="CS738" s="659"/>
      <c r="CT738" s="659"/>
      <c r="CU738" s="659"/>
      <c r="CV738" s="659"/>
      <c r="CW738" s="659"/>
      <c r="CX738" s="659"/>
      <c r="CY738" s="659"/>
      <c r="CZ738" s="659"/>
      <c r="DA738" s="659"/>
      <c r="DB738" s="659"/>
      <c r="DC738" s="659"/>
      <c r="DD738" s="659"/>
    </row>
    <row r="739" s="650" customFormat="1" ht="31" customHeight="1" spans="1:108">
      <c r="A739" s="819">
        <v>46185</v>
      </c>
      <c r="B739" s="820" t="s">
        <v>280</v>
      </c>
      <c r="C739" s="821" t="s">
        <v>135</v>
      </c>
      <c r="D739" s="822">
        <v>4500211844</v>
      </c>
      <c r="E739" s="821" t="s">
        <v>3302</v>
      </c>
      <c r="F739" s="822" t="s">
        <v>3303</v>
      </c>
      <c r="G739" s="823" t="s">
        <v>6194</v>
      </c>
      <c r="H739" s="821" t="s">
        <v>804</v>
      </c>
      <c r="I739" s="824">
        <v>4200</v>
      </c>
      <c r="J739" s="821">
        <v>0</v>
      </c>
      <c r="K739" s="821">
        <v>6</v>
      </c>
      <c r="L739" s="821">
        <f t="shared" si="142"/>
        <v>700</v>
      </c>
      <c r="M739" s="825">
        <v>46258</v>
      </c>
      <c r="N739" s="863">
        <v>46260</v>
      </c>
      <c r="O739" s="820"/>
      <c r="P739" s="824"/>
      <c r="Q739" s="824"/>
      <c r="R739" s="827">
        <v>46185</v>
      </c>
      <c r="S739" s="848" t="s">
        <v>107</v>
      </c>
      <c r="T739" s="828" t="s">
        <v>2689</v>
      </c>
      <c r="U739" s="828"/>
      <c r="V739" s="829"/>
      <c r="W739" s="828"/>
      <c r="X739" s="894" t="s">
        <v>6236</v>
      </c>
      <c r="Y739" s="825" t="s">
        <v>1207</v>
      </c>
      <c r="Z739" s="830">
        <v>8.15</v>
      </c>
      <c r="AA739" s="822">
        <f t="shared" ref="AA739:AA748" si="149">I739*Z739</f>
        <v>34230</v>
      </c>
      <c r="AB739" s="831"/>
      <c r="AC739" s="916" t="s">
        <v>2727</v>
      </c>
      <c r="AD739" s="821" t="s">
        <v>112</v>
      </c>
      <c r="AE739" s="821">
        <f t="shared" si="146"/>
        <v>4200</v>
      </c>
      <c r="AF739" s="821"/>
      <c r="AG739" s="708"/>
      <c r="AH739" s="833">
        <f t="shared" si="147"/>
        <v>-4200</v>
      </c>
      <c r="AI739" s="824"/>
      <c r="AJ739" s="708" t="s">
        <v>3981</v>
      </c>
      <c r="AK739" s="834"/>
      <c r="AL739" s="834"/>
      <c r="AM739" s="822"/>
      <c r="AN739" s="834">
        <f t="shared" si="148"/>
        <v>4200</v>
      </c>
      <c r="AO739" s="822"/>
      <c r="AP739" s="822"/>
      <c r="AQ739" s="822"/>
      <c r="AR739" s="822"/>
      <c r="AS739" s="822"/>
      <c r="AT739" s="822"/>
      <c r="AU739" s="834"/>
      <c r="AV739" s="834"/>
      <c r="AW739" s="834"/>
      <c r="AX739" s="822"/>
      <c r="AY739" s="822"/>
      <c r="AZ739" s="822"/>
      <c r="BA739" s="822"/>
      <c r="BB739" s="822"/>
      <c r="BC739" s="822"/>
      <c r="BD739" s="822"/>
      <c r="BE739" s="822"/>
      <c r="BF739" s="822"/>
      <c r="BG739" s="822"/>
      <c r="BH739" s="822"/>
      <c r="BI739" s="822">
        <f>I739</f>
        <v>4200</v>
      </c>
      <c r="BJ739" s="659"/>
      <c r="BK739" s="659"/>
      <c r="BL739" s="659"/>
      <c r="BM739" s="659"/>
      <c r="BN739" s="659"/>
      <c r="BO739" s="659"/>
      <c r="BP739" s="659"/>
      <c r="BQ739" s="659"/>
      <c r="BR739" s="659"/>
      <c r="BS739" s="659"/>
      <c r="BT739" s="659"/>
      <c r="BU739" s="659"/>
      <c r="BV739" s="659"/>
      <c r="BW739" s="659"/>
      <c r="BX739" s="659"/>
      <c r="BY739" s="659"/>
      <c r="BZ739" s="659"/>
      <c r="CA739" s="659"/>
      <c r="CB739" s="659"/>
      <c r="CC739" s="659"/>
      <c r="CD739" s="659"/>
      <c r="CE739" s="659"/>
      <c r="CF739" s="659"/>
      <c r="CG739" s="659"/>
      <c r="CH739" s="659"/>
      <c r="CI739" s="659"/>
      <c r="CJ739" s="659"/>
      <c r="CK739" s="659"/>
      <c r="CL739" s="659"/>
      <c r="CM739" s="659"/>
      <c r="CN739" s="659"/>
      <c r="CO739" s="659"/>
      <c r="CP739" s="659"/>
      <c r="CQ739" s="659"/>
      <c r="CR739" s="659"/>
      <c r="CS739" s="659"/>
      <c r="CT739" s="659"/>
      <c r="CU739" s="659"/>
      <c r="CV739" s="659"/>
      <c r="CW739" s="659"/>
      <c r="CX739" s="659"/>
      <c r="CY739" s="659"/>
      <c r="CZ739" s="659"/>
      <c r="DA739" s="659"/>
      <c r="DB739" s="659"/>
      <c r="DC739" s="659"/>
      <c r="DD739" s="659"/>
    </row>
    <row r="740" s="667" customFormat="1" ht="31" customHeight="1" spans="1:108">
      <c r="A740" s="819">
        <v>46185</v>
      </c>
      <c r="B740" s="820" t="s">
        <v>280</v>
      </c>
      <c r="C740" s="821" t="s">
        <v>135</v>
      </c>
      <c r="D740" s="822">
        <v>4500211844</v>
      </c>
      <c r="E740" s="821" t="s">
        <v>3305</v>
      </c>
      <c r="F740" s="822" t="s">
        <v>3306</v>
      </c>
      <c r="G740" s="823" t="s">
        <v>6194</v>
      </c>
      <c r="H740" s="821" t="s">
        <v>804</v>
      </c>
      <c r="I740" s="824">
        <v>4200</v>
      </c>
      <c r="J740" s="821">
        <v>0</v>
      </c>
      <c r="K740" s="821">
        <v>6</v>
      </c>
      <c r="L740" s="821">
        <f t="shared" si="142"/>
        <v>700</v>
      </c>
      <c r="M740" s="825">
        <v>46258</v>
      </c>
      <c r="N740" s="863">
        <v>46260</v>
      </c>
      <c r="O740" s="820"/>
      <c r="P740" s="824"/>
      <c r="Q740" s="824"/>
      <c r="R740" s="827">
        <v>46185</v>
      </c>
      <c r="S740" s="828" t="s">
        <v>107</v>
      </c>
      <c r="T740" s="828" t="s">
        <v>2689</v>
      </c>
      <c r="U740" s="828"/>
      <c r="V740" s="829"/>
      <c r="W740" s="828"/>
      <c r="X740" s="894" t="s">
        <v>6236</v>
      </c>
      <c r="Y740" s="825" t="s">
        <v>1207</v>
      </c>
      <c r="Z740" s="830">
        <v>8.15</v>
      </c>
      <c r="AA740" s="822">
        <f t="shared" si="149"/>
        <v>34230</v>
      </c>
      <c r="AB740" s="831"/>
      <c r="AC740" s="916" t="s">
        <v>2727</v>
      </c>
      <c r="AD740" s="953" t="s">
        <v>112</v>
      </c>
      <c r="AE740" s="821">
        <f t="shared" si="146"/>
        <v>4200</v>
      </c>
      <c r="AF740" s="821"/>
      <c r="AG740" s="708"/>
      <c r="AH740" s="833">
        <f t="shared" si="147"/>
        <v>-4200</v>
      </c>
      <c r="AI740" s="824"/>
      <c r="AJ740" s="708" t="s">
        <v>3981</v>
      </c>
      <c r="AK740" s="834"/>
      <c r="AL740" s="834"/>
      <c r="AM740" s="822"/>
      <c r="AN740" s="834">
        <f t="shared" si="148"/>
        <v>4200</v>
      </c>
      <c r="AO740" s="822"/>
      <c r="AP740" s="822"/>
      <c r="AQ740" s="822"/>
      <c r="AR740" s="822"/>
      <c r="AS740" s="822"/>
      <c r="AT740" s="822"/>
      <c r="AU740" s="834"/>
      <c r="AV740" s="834"/>
      <c r="AW740" s="834"/>
      <c r="AX740" s="822"/>
      <c r="AY740" s="822"/>
      <c r="AZ740" s="822"/>
      <c r="BA740" s="822"/>
      <c r="BB740" s="822"/>
      <c r="BC740" s="822"/>
      <c r="BD740" s="822"/>
      <c r="BE740" s="822"/>
      <c r="BF740" s="822"/>
      <c r="BG740" s="822"/>
      <c r="BH740" s="822"/>
      <c r="BI740" s="822">
        <f>I740</f>
        <v>4200</v>
      </c>
      <c r="BJ740" s="659"/>
      <c r="BK740" s="659"/>
      <c r="BL740" s="659"/>
      <c r="BM740" s="659"/>
      <c r="BN740" s="659"/>
      <c r="BO740" s="659"/>
      <c r="BP740" s="659"/>
      <c r="BQ740" s="659"/>
      <c r="BR740" s="659"/>
      <c r="BS740" s="659"/>
      <c r="BT740" s="659"/>
      <c r="BU740" s="659"/>
      <c r="BV740" s="659"/>
      <c r="BW740" s="659"/>
      <c r="BX740" s="659"/>
      <c r="BY740" s="659"/>
      <c r="BZ740" s="659"/>
      <c r="CA740" s="659"/>
      <c r="CB740" s="659"/>
      <c r="CC740" s="659"/>
      <c r="CD740" s="659"/>
      <c r="CE740" s="659"/>
      <c r="CF740" s="659"/>
      <c r="CG740" s="659"/>
      <c r="CH740" s="659"/>
      <c r="CI740" s="659"/>
      <c r="CJ740" s="659"/>
      <c r="CK740" s="659"/>
      <c r="CL740" s="659"/>
      <c r="CM740" s="659"/>
      <c r="CN740" s="659"/>
      <c r="CO740" s="659"/>
      <c r="CP740" s="659"/>
      <c r="CQ740" s="659"/>
      <c r="CR740" s="659"/>
      <c r="CS740" s="659"/>
      <c r="CT740" s="659"/>
      <c r="CU740" s="659"/>
      <c r="CV740" s="659"/>
      <c r="CW740" s="659"/>
      <c r="CX740" s="659"/>
      <c r="CY740" s="659"/>
      <c r="CZ740" s="659"/>
      <c r="DA740" s="659"/>
      <c r="DB740" s="659"/>
      <c r="DC740" s="659"/>
      <c r="DD740" s="659"/>
    </row>
    <row r="741" s="659" customFormat="1" ht="31" customHeight="1" spans="1:108">
      <c r="A741" s="819">
        <v>46178</v>
      </c>
      <c r="B741" s="820" t="s">
        <v>3150</v>
      </c>
      <c r="C741" s="821" t="s">
        <v>101</v>
      </c>
      <c r="D741" s="822">
        <v>4500210838</v>
      </c>
      <c r="E741" s="821"/>
      <c r="F741" s="822" t="s">
        <v>6237</v>
      </c>
      <c r="G741" s="823" t="s">
        <v>3980</v>
      </c>
      <c r="H741" s="708" t="s">
        <v>3978</v>
      </c>
      <c r="I741" s="824">
        <v>960</v>
      </c>
      <c r="J741" s="821">
        <v>0</v>
      </c>
      <c r="K741" s="821">
        <v>8</v>
      </c>
      <c r="L741" s="821">
        <f t="shared" si="142"/>
        <v>120</v>
      </c>
      <c r="M741" s="825">
        <v>46259</v>
      </c>
      <c r="N741" s="825">
        <v>46255</v>
      </c>
      <c r="O741" s="820"/>
      <c r="P741" s="824"/>
      <c r="Q741" s="824"/>
      <c r="R741" s="827" t="s">
        <v>5455</v>
      </c>
      <c r="S741" s="828" t="s">
        <v>107</v>
      </c>
      <c r="T741" s="848" t="s">
        <v>6238</v>
      </c>
      <c r="U741" s="848"/>
      <c r="V741" s="829"/>
      <c r="W741" s="828"/>
      <c r="X741" s="828" t="s">
        <v>6239</v>
      </c>
      <c r="Y741" s="825" t="s">
        <v>3155</v>
      </c>
      <c r="Z741" s="830">
        <v>4.7079</v>
      </c>
      <c r="AA741" s="822">
        <f t="shared" si="149"/>
        <v>4519.584</v>
      </c>
      <c r="AB741" s="831"/>
      <c r="AC741" s="895" t="s">
        <v>3980</v>
      </c>
      <c r="AD741" s="821" t="s">
        <v>112</v>
      </c>
      <c r="AE741" s="1000">
        <f t="shared" si="146"/>
        <v>960</v>
      </c>
      <c r="AF741" s="821" t="s">
        <v>5125</v>
      </c>
      <c r="AG741" s="708"/>
      <c r="AH741" s="833">
        <f t="shared" si="147"/>
        <v>-960</v>
      </c>
      <c r="AI741" s="824"/>
      <c r="AJ741" s="708" t="s">
        <v>3981</v>
      </c>
      <c r="AK741" s="834">
        <f>I741</f>
        <v>960</v>
      </c>
      <c r="AL741" s="834"/>
      <c r="AM741" s="822"/>
      <c r="AN741" s="834">
        <f t="shared" si="148"/>
        <v>960</v>
      </c>
      <c r="AO741" s="822"/>
      <c r="AP741" s="822"/>
      <c r="AQ741" s="822"/>
      <c r="AR741" s="822"/>
      <c r="AS741" s="822"/>
      <c r="AT741" s="822"/>
      <c r="AU741" s="834"/>
      <c r="AV741" s="834"/>
      <c r="AW741" s="834"/>
      <c r="AX741" s="822">
        <f>I741/8</f>
        <v>120</v>
      </c>
      <c r="AY741" s="822"/>
      <c r="AZ741" s="822"/>
      <c r="BA741" s="822"/>
      <c r="BB741" s="822"/>
      <c r="BC741" s="822"/>
      <c r="BD741" s="822"/>
      <c r="BE741" s="822"/>
      <c r="BF741" s="822"/>
      <c r="BG741" s="822"/>
      <c r="BH741" s="822"/>
      <c r="BI741" s="822"/>
      <c r="CS741" s="667"/>
      <c r="CT741" s="667"/>
      <c r="CU741" s="667"/>
      <c r="CV741" s="667"/>
      <c r="CW741" s="667"/>
      <c r="CX741" s="667"/>
      <c r="CY741" s="667"/>
      <c r="CZ741" s="667"/>
      <c r="DA741" s="667"/>
      <c r="DB741" s="667"/>
      <c r="DC741" s="667"/>
      <c r="DD741" s="667"/>
    </row>
    <row r="742" s="654" customFormat="1" ht="31" customHeight="1" spans="1:108">
      <c r="A742" s="713">
        <v>46203</v>
      </c>
      <c r="B742" s="714" t="s">
        <v>3252</v>
      </c>
      <c r="C742" s="715" t="s">
        <v>608</v>
      </c>
      <c r="D742" s="652" t="s">
        <v>6240</v>
      </c>
      <c r="E742" s="715" t="s">
        <v>628</v>
      </c>
      <c r="F742" s="652" t="s">
        <v>6241</v>
      </c>
      <c r="G742" s="716" t="s">
        <v>3980</v>
      </c>
      <c r="H742" s="715" t="s">
        <v>3978</v>
      </c>
      <c r="I742" s="717">
        <v>504</v>
      </c>
      <c r="J742" s="715">
        <v>0</v>
      </c>
      <c r="K742" s="715">
        <v>8</v>
      </c>
      <c r="L742" s="715">
        <f t="shared" si="142"/>
        <v>63</v>
      </c>
      <c r="M742" s="719">
        <v>46259</v>
      </c>
      <c r="N742" s="738">
        <v>46256</v>
      </c>
      <c r="O742" s="714"/>
      <c r="P742" s="717" t="s">
        <v>1410</v>
      </c>
      <c r="Q742" s="717"/>
      <c r="R742" s="723" t="s">
        <v>1416</v>
      </c>
      <c r="S742" s="720" t="s">
        <v>107</v>
      </c>
      <c r="T742" s="720" t="s">
        <v>6242</v>
      </c>
      <c r="U742" s="720"/>
      <c r="V742" s="720"/>
      <c r="W742" s="720" t="s">
        <v>3256</v>
      </c>
      <c r="X742" s="926" t="s">
        <v>6243</v>
      </c>
      <c r="Y742" s="719" t="s">
        <v>263</v>
      </c>
      <c r="Z742" s="730">
        <v>4.7988</v>
      </c>
      <c r="AA742" s="652">
        <f t="shared" si="149"/>
        <v>2418.5952</v>
      </c>
      <c r="AB742" s="721"/>
      <c r="AC742" s="722" t="s">
        <v>4031</v>
      </c>
      <c r="AD742" s="715" t="s">
        <v>112</v>
      </c>
      <c r="AE742" s="715">
        <f t="shared" si="146"/>
        <v>504</v>
      </c>
      <c r="AF742" s="715"/>
      <c r="AG742" s="715">
        <v>504</v>
      </c>
      <c r="AH742" s="715">
        <f t="shared" si="147"/>
        <v>0</v>
      </c>
      <c r="AI742" s="717"/>
      <c r="AJ742" s="715" t="s">
        <v>3981</v>
      </c>
      <c r="AK742" s="652"/>
      <c r="AL742" s="652">
        <f>I742</f>
        <v>504</v>
      </c>
      <c r="AM742" s="652"/>
      <c r="AN742" s="652">
        <f t="shared" si="148"/>
        <v>504</v>
      </c>
      <c r="AO742" s="652"/>
      <c r="AP742" s="652"/>
      <c r="AQ742" s="652"/>
      <c r="AR742" s="652"/>
      <c r="AS742" s="652"/>
      <c r="AT742" s="652"/>
      <c r="AU742" s="652">
        <f>I742/8</f>
        <v>63</v>
      </c>
      <c r="AV742" s="652"/>
      <c r="AW742" s="652"/>
      <c r="AX742" s="652"/>
      <c r="AY742" s="652"/>
      <c r="AZ742" s="652"/>
      <c r="BA742" s="652"/>
      <c r="BB742" s="652"/>
      <c r="BC742" s="652"/>
      <c r="BD742" s="652"/>
      <c r="BE742" s="652"/>
      <c r="BF742" s="652"/>
      <c r="BG742" s="652"/>
      <c r="BH742" s="652"/>
      <c r="BI742" s="652"/>
      <c r="BJ742" s="724"/>
      <c r="BK742" s="724"/>
      <c r="BL742" s="724"/>
      <c r="BM742" s="724"/>
      <c r="BN742" s="724"/>
      <c r="BO742" s="724"/>
      <c r="BP742" s="724"/>
      <c r="BQ742" s="724"/>
      <c r="BR742" s="724"/>
      <c r="BS742" s="724"/>
      <c r="BT742" s="724"/>
      <c r="BU742" s="724"/>
      <c r="BV742" s="724"/>
      <c r="BW742" s="724"/>
      <c r="BX742" s="724"/>
      <c r="BY742" s="724"/>
      <c r="BZ742" s="724"/>
      <c r="CA742" s="724"/>
      <c r="CB742" s="724"/>
      <c r="CC742" s="724"/>
      <c r="CD742" s="724"/>
      <c r="CE742" s="724"/>
      <c r="CF742" s="724"/>
      <c r="CG742" s="724"/>
      <c r="CH742" s="724"/>
      <c r="CI742" s="724"/>
      <c r="CJ742" s="724"/>
      <c r="CK742" s="724"/>
      <c r="CL742" s="724"/>
      <c r="CM742" s="724"/>
      <c r="CN742" s="724"/>
      <c r="CO742" s="724"/>
      <c r="CP742" s="724"/>
      <c r="CQ742" s="724"/>
      <c r="CR742" s="724"/>
      <c r="CS742" s="724"/>
      <c r="CT742" s="724"/>
      <c r="CU742" s="724"/>
      <c r="CV742" s="724"/>
      <c r="CW742" s="724"/>
      <c r="CX742" s="724"/>
      <c r="CY742" s="724"/>
      <c r="CZ742" s="724"/>
      <c r="DA742" s="724"/>
      <c r="DB742" s="724"/>
      <c r="DC742" s="724"/>
      <c r="DD742" s="724"/>
    </row>
    <row r="743" s="659" customFormat="1" ht="31" customHeight="1" spans="1:108">
      <c r="A743" s="819">
        <v>46199</v>
      </c>
      <c r="B743" s="820" t="s">
        <v>4371</v>
      </c>
      <c r="C743" s="821" t="s">
        <v>148</v>
      </c>
      <c r="D743" s="822" t="s">
        <v>6244</v>
      </c>
      <c r="E743" s="821" t="s">
        <v>6245</v>
      </c>
      <c r="F743" s="822" t="s">
        <v>6246</v>
      </c>
      <c r="G743" s="823" t="s">
        <v>3973</v>
      </c>
      <c r="H743" s="708" t="s">
        <v>3995</v>
      </c>
      <c r="I743" s="824">
        <v>3008</v>
      </c>
      <c r="J743" s="821">
        <v>0</v>
      </c>
      <c r="K743" s="821">
        <v>16</v>
      </c>
      <c r="L743" s="821">
        <f t="shared" si="142"/>
        <v>188</v>
      </c>
      <c r="M743" s="825">
        <v>46259</v>
      </c>
      <c r="N743" s="863">
        <v>46256</v>
      </c>
      <c r="O743" s="820"/>
      <c r="P743" s="824"/>
      <c r="Q743" s="824"/>
      <c r="R743" s="827" t="s">
        <v>1416</v>
      </c>
      <c r="S743" s="828" t="s">
        <v>107</v>
      </c>
      <c r="T743" s="828" t="s">
        <v>6247</v>
      </c>
      <c r="U743" s="828" t="s">
        <v>6248</v>
      </c>
      <c r="V743" s="829"/>
      <c r="W743" s="828"/>
      <c r="X743" s="828" t="s">
        <v>6249</v>
      </c>
      <c r="Y743" s="825" t="s">
        <v>6250</v>
      </c>
      <c r="Z743" s="830">
        <v>4.784</v>
      </c>
      <c r="AA743" s="822">
        <f t="shared" si="149"/>
        <v>14390.272</v>
      </c>
      <c r="AB743" s="831"/>
      <c r="AC743" s="887" t="s">
        <v>4108</v>
      </c>
      <c r="AD743" s="821" t="s">
        <v>112</v>
      </c>
      <c r="AE743" s="821">
        <f t="shared" si="146"/>
        <v>3008</v>
      </c>
      <c r="AF743" s="821"/>
      <c r="AG743" s="708"/>
      <c r="AH743" s="833">
        <f t="shared" si="147"/>
        <v>-3008</v>
      </c>
      <c r="AI743" s="824"/>
      <c r="AJ743" s="708" t="s">
        <v>3981</v>
      </c>
      <c r="AK743" s="822"/>
      <c r="AL743" s="868">
        <f>I743</f>
        <v>3008</v>
      </c>
      <c r="AM743" s="822"/>
      <c r="AN743" s="834">
        <f t="shared" si="148"/>
        <v>3008</v>
      </c>
      <c r="AO743" s="822"/>
      <c r="AP743" s="822"/>
      <c r="AQ743" s="822"/>
      <c r="AR743" s="822"/>
      <c r="AS743" s="822"/>
      <c r="AT743" s="822"/>
      <c r="AU743" s="925">
        <f>I743/8</f>
        <v>376</v>
      </c>
      <c r="AV743" s="822"/>
      <c r="AW743" s="822"/>
      <c r="AX743" s="822"/>
      <c r="AY743" s="822"/>
      <c r="AZ743" s="822"/>
      <c r="BA743" s="822"/>
      <c r="BB743" s="822"/>
      <c r="BC743" s="822"/>
      <c r="BD743" s="822"/>
      <c r="BE743" s="822"/>
      <c r="BF743" s="822"/>
      <c r="BG743" s="822"/>
      <c r="BH743" s="822"/>
      <c r="BI743" s="822"/>
      <c r="BJ743" s="835"/>
      <c r="BK743" s="835"/>
      <c r="BL743" s="835"/>
      <c r="BM743" s="835"/>
      <c r="BN743" s="835"/>
      <c r="BO743" s="835"/>
      <c r="BP743" s="835"/>
      <c r="BQ743" s="835"/>
      <c r="BR743" s="835"/>
      <c r="BS743" s="835"/>
      <c r="BT743" s="835"/>
      <c r="BU743" s="835"/>
      <c r="BV743" s="835"/>
      <c r="BW743" s="835"/>
      <c r="BX743" s="835"/>
      <c r="BY743" s="835"/>
      <c r="BZ743" s="835"/>
      <c r="CA743" s="835"/>
      <c r="CB743" s="835"/>
      <c r="CC743" s="835"/>
      <c r="CD743" s="835"/>
      <c r="CE743" s="835"/>
      <c r="CF743" s="835"/>
      <c r="CG743" s="835"/>
      <c r="CH743" s="835"/>
      <c r="CI743" s="835"/>
      <c r="CJ743" s="835"/>
      <c r="CK743" s="835"/>
      <c r="CL743" s="835"/>
      <c r="CM743" s="835"/>
      <c r="CN743" s="835"/>
      <c r="CO743" s="835"/>
      <c r="CP743" s="835"/>
      <c r="CQ743" s="835"/>
      <c r="CR743" s="835"/>
      <c r="CS743" s="835"/>
      <c r="CT743" s="835"/>
      <c r="CU743" s="835"/>
      <c r="CV743" s="835"/>
      <c r="CW743" s="835"/>
      <c r="CX743" s="835"/>
      <c r="CY743" s="835"/>
      <c r="CZ743" s="835"/>
      <c r="DA743" s="835"/>
      <c r="DB743" s="835"/>
      <c r="DC743" s="835"/>
      <c r="DD743" s="835"/>
    </row>
    <row r="744" s="666" customFormat="1" ht="31" customHeight="1" spans="1:108">
      <c r="A744" s="819">
        <v>46190</v>
      </c>
      <c r="B744" s="820" t="s">
        <v>3071</v>
      </c>
      <c r="C744" s="821" t="s">
        <v>115</v>
      </c>
      <c r="D744" s="822" t="s">
        <v>6251</v>
      </c>
      <c r="E744" s="888">
        <v>62700626</v>
      </c>
      <c r="F744" s="822" t="s">
        <v>6252</v>
      </c>
      <c r="G744" s="823" t="s">
        <v>6253</v>
      </c>
      <c r="H744" s="821" t="s">
        <v>6254</v>
      </c>
      <c r="I744" s="824">
        <v>28000</v>
      </c>
      <c r="J744" s="821">
        <v>0</v>
      </c>
      <c r="K744" s="821">
        <v>2</v>
      </c>
      <c r="L744" s="821">
        <f t="shared" si="142"/>
        <v>14000</v>
      </c>
      <c r="M744" s="825">
        <v>46259</v>
      </c>
      <c r="N744" s="863">
        <v>46256</v>
      </c>
      <c r="O744" s="820"/>
      <c r="P744" s="824"/>
      <c r="Q744" s="824" t="s">
        <v>6255</v>
      </c>
      <c r="R744" s="827">
        <v>46195</v>
      </c>
      <c r="S744" s="828" t="s">
        <v>107</v>
      </c>
      <c r="T744" s="828" t="s">
        <v>6256</v>
      </c>
      <c r="U744" s="828"/>
      <c r="V744" s="1050" t="s">
        <v>6257</v>
      </c>
      <c r="W744" s="828"/>
      <c r="X744" s="894" t="s">
        <v>6258</v>
      </c>
      <c r="Y744" s="825" t="s">
        <v>3077</v>
      </c>
      <c r="Z744" s="830">
        <v>2.837</v>
      </c>
      <c r="AA744" s="822">
        <f t="shared" si="149"/>
        <v>79436</v>
      </c>
      <c r="AB744" s="831"/>
      <c r="AC744" s="823" t="s">
        <v>6253</v>
      </c>
      <c r="AD744" s="821" t="s">
        <v>3804</v>
      </c>
      <c r="AE744" s="821">
        <f t="shared" si="146"/>
        <v>28000</v>
      </c>
      <c r="AF744" s="821"/>
      <c r="AG744" s="708"/>
      <c r="AH744" s="833">
        <f t="shared" si="147"/>
        <v>-28000</v>
      </c>
      <c r="AI744" s="824"/>
      <c r="AJ744" s="821"/>
      <c r="AK744" s="834">
        <f>I744</f>
        <v>28000</v>
      </c>
      <c r="AL744" s="834"/>
      <c r="AM744" s="822"/>
      <c r="AN744" s="834">
        <f t="shared" si="148"/>
        <v>28000</v>
      </c>
      <c r="AO744" s="822"/>
      <c r="AP744" s="822"/>
      <c r="AQ744" s="822"/>
      <c r="AR744" s="822"/>
      <c r="AS744" s="822"/>
      <c r="AT744" s="822"/>
      <c r="AU744" s="834"/>
      <c r="AV744" s="834">
        <f>I744/2</f>
        <v>14000</v>
      </c>
      <c r="AW744" s="834"/>
      <c r="AX744" s="822"/>
      <c r="AY744" s="822"/>
      <c r="AZ744" s="822">
        <f>I744/2</f>
        <v>14000</v>
      </c>
      <c r="BA744" s="822"/>
      <c r="BB744" s="822"/>
      <c r="BC744" s="822"/>
      <c r="BD744" s="822"/>
      <c r="BE744" s="822"/>
      <c r="BF744" s="822"/>
      <c r="BG744" s="822"/>
      <c r="BH744" s="822"/>
      <c r="BI744" s="822"/>
      <c r="BJ744" s="659"/>
      <c r="BK744" s="659"/>
      <c r="BL744" s="659"/>
      <c r="BM744" s="659"/>
      <c r="BN744" s="659"/>
      <c r="BO744" s="659"/>
      <c r="BP744" s="659"/>
      <c r="BQ744" s="659"/>
      <c r="BR744" s="659"/>
      <c r="BS744" s="659"/>
      <c r="BT744" s="659"/>
      <c r="BU744" s="659"/>
      <c r="BV744" s="659"/>
      <c r="BW744" s="659"/>
      <c r="BX744" s="659"/>
      <c r="BY744" s="659"/>
      <c r="BZ744" s="659"/>
      <c r="CA744" s="659"/>
      <c r="CB744" s="659"/>
      <c r="CC744" s="659"/>
      <c r="CD744" s="659"/>
      <c r="CE744" s="659"/>
      <c r="CF744" s="659"/>
      <c r="CG744" s="659"/>
      <c r="CH744" s="659"/>
      <c r="CI744" s="659"/>
      <c r="CJ744" s="659"/>
      <c r="CK744" s="659"/>
      <c r="CL744" s="659"/>
      <c r="CM744" s="659"/>
      <c r="CN744" s="659"/>
      <c r="CO744" s="659"/>
      <c r="CP744" s="659"/>
      <c r="CQ744" s="659"/>
      <c r="CR744" s="659"/>
      <c r="CS744" s="659"/>
      <c r="CT744" s="659"/>
      <c r="CU744" s="659"/>
      <c r="CV744" s="659"/>
      <c r="CW744" s="659"/>
      <c r="CX744" s="659"/>
      <c r="CY744" s="659"/>
      <c r="CZ744" s="659"/>
      <c r="DA744" s="659"/>
      <c r="DB744" s="659"/>
      <c r="DC744" s="659"/>
      <c r="DD744" s="659"/>
    </row>
    <row r="745" s="654" customFormat="1" ht="31" customHeight="1" spans="1:108">
      <c r="A745" s="713">
        <v>46184</v>
      </c>
      <c r="B745" s="714" t="s">
        <v>3262</v>
      </c>
      <c r="C745" s="715" t="s">
        <v>1439</v>
      </c>
      <c r="D745" s="652">
        <v>4500211485</v>
      </c>
      <c r="E745" s="715"/>
      <c r="F745" s="652" t="s">
        <v>6259</v>
      </c>
      <c r="G745" s="716" t="s">
        <v>3973</v>
      </c>
      <c r="H745" s="715" t="s">
        <v>3995</v>
      </c>
      <c r="I745" s="717">
        <v>512</v>
      </c>
      <c r="J745" s="715">
        <v>0</v>
      </c>
      <c r="K745" s="715">
        <v>16</v>
      </c>
      <c r="L745" s="715">
        <f t="shared" si="142"/>
        <v>32</v>
      </c>
      <c r="M745" s="719">
        <v>46259</v>
      </c>
      <c r="N745" s="738">
        <v>46256</v>
      </c>
      <c r="O745" s="714" t="s">
        <v>6260</v>
      </c>
      <c r="P745" s="650" t="s">
        <v>1410</v>
      </c>
      <c r="Q745" s="717"/>
      <c r="R745" s="723">
        <v>46197</v>
      </c>
      <c r="S745" s="720" t="s">
        <v>107</v>
      </c>
      <c r="T745" s="720" t="s">
        <v>5263</v>
      </c>
      <c r="U745" s="720"/>
      <c r="V745" s="720"/>
      <c r="W745" s="720"/>
      <c r="X745" s="720" t="s">
        <v>6261</v>
      </c>
      <c r="Y745" s="719" t="s">
        <v>1477</v>
      </c>
      <c r="Z745" s="730">
        <v>4.7945</v>
      </c>
      <c r="AA745" s="652">
        <f t="shared" si="149"/>
        <v>2454.784</v>
      </c>
      <c r="AB745" s="721"/>
      <c r="AC745" s="652" t="s">
        <v>4108</v>
      </c>
      <c r="AD745" s="715" t="s">
        <v>112</v>
      </c>
      <c r="AE745" s="715">
        <f t="shared" si="146"/>
        <v>512</v>
      </c>
      <c r="AF745" s="715"/>
      <c r="AG745" s="715">
        <v>512</v>
      </c>
      <c r="AH745" s="715">
        <f t="shared" si="147"/>
        <v>0</v>
      </c>
      <c r="AI745" s="717"/>
      <c r="AJ745" s="715" t="s">
        <v>3981</v>
      </c>
      <c r="AK745" s="652"/>
      <c r="AL745" s="652">
        <f>I745</f>
        <v>512</v>
      </c>
      <c r="AM745" s="652"/>
      <c r="AN745" s="652">
        <f t="shared" si="148"/>
        <v>512</v>
      </c>
      <c r="AO745" s="652"/>
      <c r="AP745" s="652"/>
      <c r="AQ745" s="652"/>
      <c r="AR745" s="652"/>
      <c r="AS745" s="652"/>
      <c r="AT745" s="652"/>
      <c r="AU745" s="652">
        <f>I745/8</f>
        <v>64</v>
      </c>
      <c r="AV745" s="652"/>
      <c r="AW745" s="652"/>
      <c r="AX745" s="652"/>
      <c r="AY745" s="652"/>
      <c r="AZ745" s="652"/>
      <c r="BA745" s="652"/>
      <c r="BB745" s="652"/>
      <c r="BC745" s="652"/>
      <c r="BD745" s="652"/>
      <c r="BE745" s="652"/>
      <c r="BF745" s="652"/>
      <c r="BG745" s="652"/>
      <c r="BH745" s="652"/>
      <c r="BI745" s="652"/>
      <c r="BJ745" s="650"/>
      <c r="BK745" s="650"/>
      <c r="BL745" s="650"/>
      <c r="BM745" s="650"/>
      <c r="BN745" s="650"/>
      <c r="BO745" s="650"/>
      <c r="BP745" s="650"/>
      <c r="BQ745" s="650"/>
      <c r="BR745" s="650"/>
      <c r="BS745" s="650"/>
      <c r="BT745" s="650"/>
      <c r="BU745" s="650"/>
      <c r="BV745" s="650"/>
      <c r="BW745" s="650"/>
      <c r="BX745" s="650"/>
      <c r="BY745" s="650"/>
      <c r="BZ745" s="650"/>
      <c r="CA745" s="650"/>
      <c r="CB745" s="650"/>
      <c r="CC745" s="650"/>
      <c r="CD745" s="650"/>
      <c r="CE745" s="650"/>
      <c r="CF745" s="650"/>
      <c r="CG745" s="650"/>
      <c r="CH745" s="650"/>
      <c r="CI745" s="650"/>
      <c r="CJ745" s="650"/>
      <c r="CK745" s="650"/>
      <c r="CL745" s="650"/>
      <c r="CM745" s="650"/>
      <c r="CN745" s="650"/>
      <c r="CO745" s="650"/>
      <c r="CP745" s="650"/>
      <c r="CQ745" s="650"/>
      <c r="CR745" s="650"/>
      <c r="CS745" s="650"/>
      <c r="CT745" s="650"/>
      <c r="CU745" s="650"/>
      <c r="CV745" s="650"/>
      <c r="CW745" s="650"/>
      <c r="CX745" s="650"/>
      <c r="CY745" s="650"/>
      <c r="CZ745" s="650"/>
      <c r="DA745" s="650"/>
      <c r="DB745" s="650"/>
      <c r="DC745" s="650"/>
      <c r="DD745" s="650"/>
    </row>
    <row r="746" s="666" customFormat="1" ht="31" customHeight="1" spans="1:108">
      <c r="A746" s="819">
        <v>46190</v>
      </c>
      <c r="B746" s="820" t="s">
        <v>1176</v>
      </c>
      <c r="C746" s="821" t="s">
        <v>115</v>
      </c>
      <c r="D746" s="822" t="s">
        <v>6262</v>
      </c>
      <c r="E746" s="821" t="s">
        <v>2650</v>
      </c>
      <c r="F746" s="822" t="s">
        <v>6263</v>
      </c>
      <c r="G746" s="823" t="s">
        <v>3973</v>
      </c>
      <c r="H746" s="708" t="s">
        <v>3995</v>
      </c>
      <c r="I746" s="824">
        <v>8400</v>
      </c>
      <c r="J746" s="821">
        <v>0</v>
      </c>
      <c r="K746" s="821">
        <v>16</v>
      </c>
      <c r="L746" s="821">
        <f t="shared" si="142"/>
        <v>525</v>
      </c>
      <c r="M746" s="863">
        <v>46259</v>
      </c>
      <c r="N746" s="863">
        <v>46256</v>
      </c>
      <c r="O746" s="820"/>
      <c r="P746" s="824"/>
      <c r="Q746" s="824"/>
      <c r="R746" s="827">
        <v>46206</v>
      </c>
      <c r="S746" s="828" t="s">
        <v>107</v>
      </c>
      <c r="T746" s="828" t="s">
        <v>2653</v>
      </c>
      <c r="U746" s="828"/>
      <c r="V746" s="829"/>
      <c r="W746" s="828"/>
      <c r="X746" s="828" t="s">
        <v>1181</v>
      </c>
      <c r="Y746" s="825" t="s">
        <v>2654</v>
      </c>
      <c r="Z746" s="830">
        <v>2.8873</v>
      </c>
      <c r="AA746" s="822">
        <f t="shared" si="149"/>
        <v>24253.32</v>
      </c>
      <c r="AB746" s="831"/>
      <c r="AC746" s="820" t="s">
        <v>3973</v>
      </c>
      <c r="AD746" s="821" t="s">
        <v>112</v>
      </c>
      <c r="AE746" s="821">
        <f t="shared" si="146"/>
        <v>8400</v>
      </c>
      <c r="AF746" s="821" t="s">
        <v>5125</v>
      </c>
      <c r="AG746" s="708"/>
      <c r="AH746" s="833">
        <f t="shared" si="147"/>
        <v>-8400</v>
      </c>
      <c r="AI746" s="824"/>
      <c r="AJ746" s="708" t="s">
        <v>3981</v>
      </c>
      <c r="AK746" s="834">
        <f>I746</f>
        <v>8400</v>
      </c>
      <c r="AL746" s="822"/>
      <c r="AM746" s="822"/>
      <c r="AN746" s="834">
        <f t="shared" si="148"/>
        <v>8400</v>
      </c>
      <c r="AO746" s="822"/>
      <c r="AP746" s="822"/>
      <c r="AQ746" s="822"/>
      <c r="AR746" s="822"/>
      <c r="AS746" s="822"/>
      <c r="AT746" s="822">
        <f>I746/8</f>
        <v>1050</v>
      </c>
      <c r="AU746" s="834"/>
      <c r="AV746" s="834"/>
      <c r="AW746" s="834"/>
      <c r="AX746" s="822"/>
      <c r="AY746" s="822"/>
      <c r="AZ746" s="822"/>
      <c r="BA746" s="822"/>
      <c r="BB746" s="822"/>
      <c r="BC746" s="822"/>
      <c r="BD746" s="822"/>
      <c r="BE746" s="822"/>
      <c r="BF746" s="822"/>
      <c r="BG746" s="822"/>
      <c r="BH746" s="822"/>
      <c r="BI746" s="822"/>
      <c r="BJ746" s="659"/>
      <c r="BK746" s="659"/>
      <c r="BL746" s="659"/>
      <c r="BM746" s="659"/>
      <c r="BN746" s="659"/>
      <c r="BO746" s="659"/>
      <c r="BP746" s="659"/>
      <c r="BQ746" s="659"/>
      <c r="BR746" s="659"/>
      <c r="BS746" s="659"/>
      <c r="BT746" s="659"/>
      <c r="BU746" s="659"/>
      <c r="BV746" s="659"/>
      <c r="BW746" s="659"/>
      <c r="BX746" s="659"/>
      <c r="BY746" s="659"/>
      <c r="BZ746" s="659"/>
      <c r="CA746" s="659"/>
      <c r="CB746" s="659"/>
      <c r="CC746" s="659"/>
      <c r="CD746" s="659"/>
      <c r="CE746" s="659"/>
      <c r="CF746" s="659"/>
      <c r="CG746" s="659"/>
      <c r="CH746" s="659"/>
      <c r="CI746" s="659"/>
      <c r="CJ746" s="659"/>
      <c r="CK746" s="659"/>
      <c r="CL746" s="659"/>
      <c r="CM746" s="659"/>
      <c r="CN746" s="659"/>
      <c r="CO746" s="659"/>
      <c r="CP746" s="659"/>
      <c r="CQ746" s="659"/>
      <c r="CR746" s="659"/>
      <c r="CS746" s="659"/>
      <c r="CT746" s="659"/>
      <c r="CU746" s="659"/>
      <c r="CV746" s="659"/>
      <c r="CW746" s="659"/>
      <c r="CX746" s="659"/>
      <c r="CY746" s="659"/>
      <c r="CZ746" s="659"/>
      <c r="DA746" s="659"/>
      <c r="DB746" s="659"/>
      <c r="DC746" s="659"/>
      <c r="DD746" s="659"/>
    </row>
    <row r="747" s="650" customFormat="1" ht="31" customHeight="1" spans="1:108">
      <c r="A747" s="713">
        <v>46210</v>
      </c>
      <c r="B747" s="714" t="s">
        <v>3265</v>
      </c>
      <c r="C747" s="715" t="s">
        <v>810</v>
      </c>
      <c r="D747" s="652">
        <v>4500215223</v>
      </c>
      <c r="E747" s="715"/>
      <c r="F747" s="652" t="s">
        <v>6264</v>
      </c>
      <c r="G747" s="716" t="s">
        <v>3980</v>
      </c>
      <c r="H747" s="715" t="s">
        <v>3978</v>
      </c>
      <c r="I747" s="717">
        <v>240</v>
      </c>
      <c r="J747" s="715">
        <v>0</v>
      </c>
      <c r="K747" s="715">
        <v>8</v>
      </c>
      <c r="L747" s="715">
        <f t="shared" si="142"/>
        <v>30</v>
      </c>
      <c r="M747" s="719">
        <v>46259</v>
      </c>
      <c r="N747" s="738">
        <v>46256</v>
      </c>
      <c r="O747" s="714"/>
      <c r="P747" s="717"/>
      <c r="Q747" s="717"/>
      <c r="R747" s="723">
        <v>46210</v>
      </c>
      <c r="S747" s="720" t="s">
        <v>107</v>
      </c>
      <c r="T747" s="720" t="s">
        <v>6265</v>
      </c>
      <c r="U747" s="720"/>
      <c r="V747" s="720"/>
      <c r="W747" s="720"/>
      <c r="X747" s="720" t="s">
        <v>6266</v>
      </c>
      <c r="Y747" s="719" t="s">
        <v>3270</v>
      </c>
      <c r="Z747" s="730">
        <v>4.8371</v>
      </c>
      <c r="AA747" s="652">
        <f t="shared" si="149"/>
        <v>1160.904</v>
      </c>
      <c r="AB747" s="721"/>
      <c r="AC747" s="722" t="s">
        <v>4031</v>
      </c>
      <c r="AD747" s="715" t="s">
        <v>112</v>
      </c>
      <c r="AE747" s="715">
        <f t="shared" si="146"/>
        <v>240</v>
      </c>
      <c r="AF747" s="715"/>
      <c r="AG747" s="715">
        <v>240</v>
      </c>
      <c r="AH747" s="715">
        <f t="shared" si="147"/>
        <v>0</v>
      </c>
      <c r="AI747" s="717"/>
      <c r="AJ747" s="715" t="s">
        <v>3981</v>
      </c>
      <c r="AK747" s="652"/>
      <c r="AL747" s="652">
        <f>I747</f>
        <v>240</v>
      </c>
      <c r="AM747" s="652"/>
      <c r="AN747" s="652">
        <f t="shared" si="148"/>
        <v>240</v>
      </c>
      <c r="AO747" s="652"/>
      <c r="AP747" s="652"/>
      <c r="AQ747" s="652"/>
      <c r="AR747" s="652"/>
      <c r="AS747" s="652"/>
      <c r="AT747" s="652"/>
      <c r="AU747" s="652">
        <f>I747/8</f>
        <v>30</v>
      </c>
      <c r="AV747" s="652"/>
      <c r="AW747" s="652"/>
      <c r="AX747" s="652"/>
      <c r="AY747" s="652"/>
      <c r="AZ747" s="652"/>
      <c r="BA747" s="652"/>
      <c r="BB747" s="652"/>
      <c r="BC747" s="652"/>
      <c r="BD747" s="652"/>
      <c r="BE747" s="652"/>
      <c r="BF747" s="652"/>
      <c r="BG747" s="652"/>
      <c r="BH747" s="652"/>
      <c r="BI747" s="652"/>
    </row>
    <row r="748" s="667" customFormat="1" ht="31" customHeight="1" spans="1:108">
      <c r="A748" s="819">
        <v>46197</v>
      </c>
      <c r="B748" s="820" t="s">
        <v>3271</v>
      </c>
      <c r="C748" s="821" t="s">
        <v>1213</v>
      </c>
      <c r="D748" s="822">
        <v>4500213536</v>
      </c>
      <c r="E748" s="821" t="s">
        <v>3272</v>
      </c>
      <c r="F748" s="822" t="s">
        <v>6267</v>
      </c>
      <c r="G748" s="823" t="s">
        <v>3973</v>
      </c>
      <c r="H748" s="708" t="s">
        <v>3995</v>
      </c>
      <c r="I748" s="824">
        <v>10000</v>
      </c>
      <c r="J748" s="821">
        <v>0</v>
      </c>
      <c r="K748" s="821">
        <v>16</v>
      </c>
      <c r="L748" s="821">
        <f t="shared" si="142"/>
        <v>625</v>
      </c>
      <c r="M748" s="863">
        <v>46259</v>
      </c>
      <c r="N748" s="863">
        <f>M748-3</f>
        <v>46256</v>
      </c>
      <c r="O748" s="820"/>
      <c r="P748" s="824"/>
      <c r="Q748" s="824"/>
      <c r="R748" s="827">
        <v>46197</v>
      </c>
      <c r="S748" s="828" t="s">
        <v>107</v>
      </c>
      <c r="T748" s="828" t="s">
        <v>6268</v>
      </c>
      <c r="U748" s="828"/>
      <c r="V748" s="828"/>
      <c r="W748" s="828"/>
      <c r="X748" s="865" t="s">
        <v>6269</v>
      </c>
      <c r="Y748" s="825" t="s">
        <v>1252</v>
      </c>
      <c r="Z748" s="830">
        <v>4.7583</v>
      </c>
      <c r="AA748" s="822">
        <f t="shared" si="149"/>
        <v>47583</v>
      </c>
      <c r="AB748" s="831"/>
      <c r="AC748" s="820" t="s">
        <v>3973</v>
      </c>
      <c r="AD748" s="821" t="s">
        <v>112</v>
      </c>
      <c r="AE748" s="821">
        <f t="shared" si="146"/>
        <v>10000</v>
      </c>
      <c r="AF748" s="821" t="s">
        <v>5125</v>
      </c>
      <c r="AG748" s="821"/>
      <c r="AH748" s="833">
        <f t="shared" si="147"/>
        <v>-10000</v>
      </c>
      <c r="AI748" s="824"/>
      <c r="AJ748" s="708" t="s">
        <v>3981</v>
      </c>
      <c r="AK748" s="834">
        <f>I748</f>
        <v>10000</v>
      </c>
      <c r="AL748" s="822"/>
      <c r="AM748" s="822"/>
      <c r="AN748" s="834">
        <f t="shared" si="148"/>
        <v>10000</v>
      </c>
      <c r="AO748" s="822"/>
      <c r="AP748" s="822"/>
      <c r="AQ748" s="822"/>
      <c r="AR748" s="822"/>
      <c r="AS748" s="822"/>
      <c r="AT748" s="822">
        <f>I748/8</f>
        <v>1250</v>
      </c>
      <c r="AU748" s="822"/>
      <c r="AV748" s="822"/>
      <c r="AW748" s="822"/>
      <c r="AX748" s="822"/>
      <c r="AY748" s="822"/>
      <c r="AZ748" s="822"/>
      <c r="BA748" s="822"/>
      <c r="BB748" s="822"/>
      <c r="BC748" s="822"/>
      <c r="BD748" s="822"/>
      <c r="BE748" s="822"/>
      <c r="BF748" s="822"/>
      <c r="BG748" s="822"/>
      <c r="BH748" s="822"/>
      <c r="BI748" s="822"/>
    </row>
    <row r="749" s="659" customFormat="1" ht="31" customHeight="1" spans="1:108">
      <c r="A749" s="819">
        <v>46188</v>
      </c>
      <c r="B749" s="820" t="s">
        <v>5917</v>
      </c>
      <c r="C749" s="821" t="s">
        <v>115</v>
      </c>
      <c r="D749" s="822" t="s">
        <v>6270</v>
      </c>
      <c r="E749" s="821" t="s">
        <v>6271</v>
      </c>
      <c r="F749" s="822" t="s">
        <v>6272</v>
      </c>
      <c r="G749" s="823" t="s">
        <v>5921</v>
      </c>
      <c r="H749" s="708" t="s">
        <v>3969</v>
      </c>
      <c r="I749" s="824">
        <v>2752</v>
      </c>
      <c r="J749" s="821">
        <v>0</v>
      </c>
      <c r="K749" s="821">
        <v>8</v>
      </c>
      <c r="L749" s="821">
        <f t="shared" si="142"/>
        <v>344</v>
      </c>
      <c r="M749" s="825">
        <v>46260</v>
      </c>
      <c r="N749" s="863">
        <v>46258</v>
      </c>
      <c r="O749" s="935" t="s">
        <v>5922</v>
      </c>
      <c r="P749" s="824" t="s">
        <v>3278</v>
      </c>
      <c r="Q749" s="824"/>
      <c r="R749" s="827" t="s">
        <v>4201</v>
      </c>
      <c r="S749" s="828" t="s">
        <v>107</v>
      </c>
      <c r="T749" s="828" t="s">
        <v>4197</v>
      </c>
      <c r="U749" s="828"/>
      <c r="V749" s="829"/>
      <c r="W749" s="828"/>
      <c r="X749" s="828" t="s">
        <v>6273</v>
      </c>
      <c r="Y749" s="825" t="s">
        <v>354</v>
      </c>
      <c r="Z749" s="830">
        <v>2.8292</v>
      </c>
      <c r="AA749" s="822">
        <f>Z749*I749</f>
        <v>7785.9584</v>
      </c>
      <c r="AB749" s="831"/>
      <c r="AC749" s="955" t="s">
        <v>5921</v>
      </c>
      <c r="AD749" s="715" t="s">
        <v>3804</v>
      </c>
      <c r="AE749" s="821">
        <f t="shared" si="146"/>
        <v>2752</v>
      </c>
      <c r="AF749" s="821" t="s">
        <v>5125</v>
      </c>
      <c r="AG749" s="708"/>
      <c r="AH749" s="833">
        <f t="shared" si="147"/>
        <v>-2752</v>
      </c>
      <c r="AI749" s="824"/>
      <c r="AJ749" s="821"/>
      <c r="AK749" s="834">
        <f>I749</f>
        <v>2752</v>
      </c>
      <c r="AL749" s="822"/>
      <c r="AM749" s="822"/>
      <c r="AN749" s="834">
        <f t="shared" si="148"/>
        <v>2752</v>
      </c>
      <c r="AO749" s="822"/>
      <c r="AP749" s="822"/>
      <c r="AQ749" s="822"/>
      <c r="AR749" s="822"/>
      <c r="AS749" s="822"/>
      <c r="AT749" s="822"/>
      <c r="AU749" s="834"/>
      <c r="AV749" s="834"/>
      <c r="AW749" s="834"/>
      <c r="AX749" s="822"/>
      <c r="AY749" s="822"/>
      <c r="AZ749" s="822"/>
      <c r="BA749" s="822"/>
      <c r="BB749" s="822"/>
      <c r="BC749" s="822"/>
      <c r="BD749" s="822"/>
      <c r="BE749" s="822"/>
      <c r="BF749" s="822"/>
      <c r="BG749" s="822"/>
      <c r="BH749" s="822"/>
      <c r="BI749" s="822"/>
    </row>
    <row r="750" s="662" customFormat="1" ht="31" customHeight="1" spans="1:108">
      <c r="A750" s="819">
        <v>46188</v>
      </c>
      <c r="B750" s="820" t="s">
        <v>5917</v>
      </c>
      <c r="C750" s="821" t="s">
        <v>115</v>
      </c>
      <c r="D750" s="822" t="s">
        <v>6270</v>
      </c>
      <c r="E750" s="821" t="s">
        <v>6274</v>
      </c>
      <c r="F750" s="822" t="s">
        <v>6275</v>
      </c>
      <c r="G750" s="823" t="s">
        <v>5921</v>
      </c>
      <c r="H750" s="708" t="s">
        <v>3969</v>
      </c>
      <c r="I750" s="824">
        <v>1112</v>
      </c>
      <c r="J750" s="821">
        <v>0</v>
      </c>
      <c r="K750" s="821">
        <v>8</v>
      </c>
      <c r="L750" s="821">
        <f t="shared" si="142"/>
        <v>139</v>
      </c>
      <c r="M750" s="825">
        <v>46260</v>
      </c>
      <c r="N750" s="863">
        <v>46260</v>
      </c>
      <c r="O750" s="935" t="s">
        <v>5922</v>
      </c>
      <c r="P750" s="824" t="s">
        <v>6276</v>
      </c>
      <c r="Q750" s="824"/>
      <c r="R750" s="827" t="s">
        <v>4201</v>
      </c>
      <c r="S750" s="828" t="s">
        <v>107</v>
      </c>
      <c r="T750" s="828" t="s">
        <v>4197</v>
      </c>
      <c r="U750" s="828"/>
      <c r="V750" s="829"/>
      <c r="W750" s="828"/>
      <c r="X750" s="828" t="s">
        <v>6273</v>
      </c>
      <c r="Y750" s="825" t="s">
        <v>354</v>
      </c>
      <c r="Z750" s="830">
        <v>2.8292</v>
      </c>
      <c r="AA750" s="822">
        <f>Z750*I750</f>
        <v>3146.0704</v>
      </c>
      <c r="AB750" s="831">
        <v>4500212614</v>
      </c>
      <c r="AC750" s="955" t="s">
        <v>5921</v>
      </c>
      <c r="AD750" s="715" t="s">
        <v>3804</v>
      </c>
      <c r="AE750" s="821">
        <f t="shared" si="146"/>
        <v>1112</v>
      </c>
      <c r="AF750" s="821" t="s">
        <v>5125</v>
      </c>
      <c r="AG750" s="708"/>
      <c r="AH750" s="833">
        <f t="shared" si="147"/>
        <v>-1112</v>
      </c>
      <c r="AI750" s="824"/>
      <c r="AJ750" s="821"/>
      <c r="AK750" s="834">
        <f>I750</f>
        <v>1112</v>
      </c>
      <c r="AL750" s="822"/>
      <c r="AM750" s="822"/>
      <c r="AN750" s="834">
        <f t="shared" si="148"/>
        <v>1112</v>
      </c>
      <c r="AO750" s="822"/>
      <c r="AP750" s="822"/>
      <c r="AQ750" s="822"/>
      <c r="AR750" s="822"/>
      <c r="AS750" s="822"/>
      <c r="AT750" s="822"/>
      <c r="AU750" s="834"/>
      <c r="AV750" s="834"/>
      <c r="AW750" s="834"/>
      <c r="AX750" s="822"/>
      <c r="AY750" s="822"/>
      <c r="AZ750" s="822"/>
      <c r="BA750" s="822"/>
      <c r="BB750" s="822"/>
      <c r="BC750" s="822"/>
      <c r="BD750" s="822"/>
      <c r="BE750" s="822"/>
      <c r="BF750" s="822"/>
      <c r="BG750" s="822"/>
      <c r="BH750" s="822"/>
      <c r="BI750" s="822"/>
      <c r="BJ750" s="659"/>
      <c r="BK750" s="659"/>
      <c r="BL750" s="659"/>
      <c r="BM750" s="659"/>
      <c r="BN750" s="659"/>
      <c r="BO750" s="659"/>
      <c r="BP750" s="659"/>
      <c r="BQ750" s="659"/>
      <c r="BR750" s="659"/>
      <c r="BS750" s="659"/>
      <c r="BT750" s="659"/>
      <c r="BU750" s="659"/>
      <c r="BV750" s="659"/>
      <c r="BW750" s="659"/>
      <c r="BX750" s="659"/>
      <c r="BY750" s="659"/>
      <c r="BZ750" s="659"/>
      <c r="CA750" s="659"/>
      <c r="CB750" s="659"/>
      <c r="CC750" s="659"/>
      <c r="CD750" s="659"/>
      <c r="CE750" s="659"/>
      <c r="CF750" s="659"/>
      <c r="CG750" s="659"/>
      <c r="CH750" s="659"/>
      <c r="CI750" s="659"/>
      <c r="CJ750" s="659"/>
      <c r="CK750" s="659"/>
      <c r="CL750" s="659"/>
      <c r="CM750" s="659"/>
      <c r="CN750" s="659"/>
      <c r="CO750" s="659"/>
      <c r="CP750" s="659"/>
      <c r="CQ750" s="659"/>
      <c r="CR750" s="659"/>
      <c r="CS750" s="659"/>
      <c r="CT750" s="659"/>
      <c r="CU750" s="659"/>
      <c r="CV750" s="659"/>
      <c r="CW750" s="659"/>
      <c r="CX750" s="659"/>
      <c r="CY750" s="659"/>
      <c r="CZ750" s="659"/>
      <c r="DA750" s="659"/>
      <c r="DB750" s="659"/>
      <c r="DC750" s="659"/>
      <c r="DD750" s="659"/>
    </row>
    <row r="751" s="659" customFormat="1" ht="31" customHeight="1" spans="1:108">
      <c r="A751" s="819">
        <v>46177</v>
      </c>
      <c r="B751" s="820" t="s">
        <v>378</v>
      </c>
      <c r="C751" s="821" t="s">
        <v>201</v>
      </c>
      <c r="D751" s="822">
        <v>4500210723</v>
      </c>
      <c r="E751" s="821">
        <v>7000992554</v>
      </c>
      <c r="F751" s="822" t="s">
        <v>6277</v>
      </c>
      <c r="G751" s="823" t="s">
        <v>3980</v>
      </c>
      <c r="H751" s="708" t="s">
        <v>3978</v>
      </c>
      <c r="I751" s="824">
        <v>2000</v>
      </c>
      <c r="J751" s="821">
        <v>0</v>
      </c>
      <c r="K751" s="821">
        <v>8</v>
      </c>
      <c r="L751" s="821">
        <f t="shared" si="142"/>
        <v>250</v>
      </c>
      <c r="M751" s="825">
        <v>46261</v>
      </c>
      <c r="N751" s="825">
        <v>46258</v>
      </c>
      <c r="O751" s="820" t="s">
        <v>3278</v>
      </c>
      <c r="P751" s="824"/>
      <c r="Q751" s="824"/>
      <c r="R751" s="827">
        <v>46209</v>
      </c>
      <c r="S751" s="828" t="s">
        <v>107</v>
      </c>
      <c r="T751" s="828" t="s">
        <v>5972</v>
      </c>
      <c r="U751" s="828"/>
      <c r="V751" s="829"/>
      <c r="W751" s="828"/>
      <c r="X751" s="828" t="s">
        <v>5973</v>
      </c>
      <c r="Y751" s="825" t="s">
        <v>384</v>
      </c>
      <c r="Z751" s="830">
        <v>4.6974</v>
      </c>
      <c r="AA751" s="822">
        <f>I751*Z751</f>
        <v>9394.8</v>
      </c>
      <c r="AB751" s="831"/>
      <c r="AC751" s="867" t="s">
        <v>4031</v>
      </c>
      <c r="AD751" s="821" t="s">
        <v>112</v>
      </c>
      <c r="AE751" s="821">
        <f t="shared" si="146"/>
        <v>2000</v>
      </c>
      <c r="AF751" s="950"/>
      <c r="AG751" s="708"/>
      <c r="AH751" s="833">
        <f t="shared" si="147"/>
        <v>-2000</v>
      </c>
      <c r="AI751" s="824"/>
      <c r="AJ751" s="708" t="s">
        <v>3981</v>
      </c>
      <c r="AK751" s="822"/>
      <c r="AL751" s="868">
        <f>I751</f>
        <v>2000</v>
      </c>
      <c r="AM751" s="822"/>
      <c r="AN751" s="834">
        <f t="shared" si="148"/>
        <v>2000</v>
      </c>
      <c r="AO751" s="822"/>
      <c r="AP751" s="822"/>
      <c r="AQ751" s="822"/>
      <c r="AR751" s="822"/>
      <c r="AS751" s="822"/>
      <c r="AT751" s="822"/>
      <c r="AU751" s="868">
        <f>I751/8</f>
        <v>250</v>
      </c>
      <c r="AV751" s="834"/>
      <c r="AW751" s="834"/>
      <c r="AX751" s="822"/>
      <c r="AY751" s="822"/>
      <c r="AZ751" s="822"/>
      <c r="BA751" s="822"/>
      <c r="BB751" s="822"/>
      <c r="BC751" s="822"/>
      <c r="BD751" s="822"/>
      <c r="BE751" s="822"/>
      <c r="BF751" s="822"/>
      <c r="BG751" s="822"/>
      <c r="BH751" s="822"/>
      <c r="BI751" s="822"/>
      <c r="CS751" s="666"/>
      <c r="CT751" s="666"/>
      <c r="CU751" s="666"/>
      <c r="CV751" s="666"/>
      <c r="CW751" s="666"/>
      <c r="CX751" s="666"/>
      <c r="CY751" s="666"/>
      <c r="CZ751" s="666"/>
      <c r="DA751" s="666"/>
      <c r="DB751" s="666"/>
      <c r="DC751" s="666"/>
      <c r="DD751" s="666"/>
    </row>
    <row r="752" s="659" customFormat="1" ht="31" customHeight="1" spans="1:108">
      <c r="A752" s="819">
        <v>46206</v>
      </c>
      <c r="B752" s="820" t="s">
        <v>499</v>
      </c>
      <c r="C752" s="821" t="s">
        <v>115</v>
      </c>
      <c r="D752" s="822" t="s">
        <v>6278</v>
      </c>
      <c r="E752" s="821" t="s">
        <v>6279</v>
      </c>
      <c r="F752" s="822" t="s">
        <v>6280</v>
      </c>
      <c r="G752" s="823" t="s">
        <v>4414</v>
      </c>
      <c r="H752" s="708" t="s">
        <v>3978</v>
      </c>
      <c r="I752" s="824">
        <v>8192</v>
      </c>
      <c r="J752" s="821">
        <v>0</v>
      </c>
      <c r="K752" s="821">
        <v>512</v>
      </c>
      <c r="L752" s="821">
        <f t="shared" si="142"/>
        <v>16</v>
      </c>
      <c r="M752" s="825">
        <v>46261</v>
      </c>
      <c r="N752" s="863">
        <v>46259</v>
      </c>
      <c r="O752" s="820" t="s">
        <v>3278</v>
      </c>
      <c r="P752" s="824"/>
      <c r="Q752" s="824"/>
      <c r="R752" s="827" t="s">
        <v>4201</v>
      </c>
      <c r="S752" s="828" t="s">
        <v>107</v>
      </c>
      <c r="T752" s="828" t="s">
        <v>6105</v>
      </c>
      <c r="U752" s="828"/>
      <c r="V752" s="829" t="s">
        <v>4706</v>
      </c>
      <c r="W752" s="828"/>
      <c r="X752" s="828" t="s">
        <v>5282</v>
      </c>
      <c r="Y752" s="825" t="s">
        <v>503</v>
      </c>
      <c r="Z752" s="830">
        <v>1480.4563</v>
      </c>
      <c r="AA752" s="822">
        <f>Z752*L752</f>
        <v>23687.3008</v>
      </c>
      <c r="AB752" s="831"/>
      <c r="AC752" s="887" t="s">
        <v>4194</v>
      </c>
      <c r="AD752" s="821" t="s">
        <v>112</v>
      </c>
      <c r="AE752" s="821">
        <f t="shared" si="146"/>
        <v>8192</v>
      </c>
      <c r="AF752" s="821" t="s">
        <v>5125</v>
      </c>
      <c r="AG752" s="708"/>
      <c r="AH752" s="833">
        <f t="shared" si="147"/>
        <v>-8192</v>
      </c>
      <c r="AI752" s="824"/>
      <c r="AJ752" s="708" t="s">
        <v>3981</v>
      </c>
      <c r="AK752" s="834">
        <f>I752</f>
        <v>8192</v>
      </c>
      <c r="AL752" s="834"/>
      <c r="AM752" s="834"/>
      <c r="AN752" s="834">
        <f t="shared" si="148"/>
        <v>8192</v>
      </c>
      <c r="AO752" s="822"/>
      <c r="AP752" s="822"/>
      <c r="AQ752" s="822"/>
      <c r="AR752" s="822"/>
      <c r="AS752" s="822"/>
      <c r="AT752" s="822">
        <f>I752/8</f>
        <v>1024</v>
      </c>
      <c r="AU752" s="834"/>
      <c r="AV752" s="834"/>
      <c r="AW752" s="834"/>
      <c r="AX752" s="822"/>
      <c r="AY752" s="822"/>
      <c r="AZ752" s="822"/>
      <c r="BA752" s="822"/>
      <c r="BB752" s="822"/>
      <c r="BC752" s="822"/>
      <c r="BD752" s="822"/>
      <c r="BE752" s="822"/>
      <c r="BF752" s="822"/>
      <c r="BG752" s="822"/>
      <c r="BH752" s="822"/>
      <c r="BI752" s="822"/>
      <c r="BJ752" s="835"/>
      <c r="BK752" s="835"/>
      <c r="BL752" s="835"/>
      <c r="BM752" s="835"/>
      <c r="BN752" s="835"/>
      <c r="BO752" s="835"/>
      <c r="BP752" s="835"/>
      <c r="BQ752" s="835"/>
      <c r="BR752" s="835"/>
      <c r="BS752" s="835"/>
      <c r="BT752" s="835"/>
      <c r="BU752" s="835"/>
      <c r="BV752" s="835"/>
      <c r="BW752" s="835"/>
      <c r="BX752" s="835"/>
      <c r="BY752" s="835"/>
      <c r="BZ752" s="835"/>
      <c r="CA752" s="835"/>
      <c r="CB752" s="835"/>
      <c r="CC752" s="835"/>
      <c r="CD752" s="835"/>
      <c r="CE752" s="835"/>
      <c r="CF752" s="835"/>
      <c r="CG752" s="835"/>
      <c r="CH752" s="835"/>
      <c r="CI752" s="835"/>
      <c r="CJ752" s="835"/>
      <c r="CK752" s="835"/>
      <c r="CL752" s="835"/>
      <c r="CM752" s="835"/>
      <c r="CN752" s="835"/>
      <c r="CO752" s="835"/>
      <c r="CP752" s="835"/>
      <c r="CQ752" s="835"/>
      <c r="CR752" s="835"/>
      <c r="CS752" s="835"/>
      <c r="CT752" s="835"/>
      <c r="CU752" s="835"/>
      <c r="CV752" s="835"/>
      <c r="CW752" s="835"/>
      <c r="CX752" s="835"/>
      <c r="CY752" s="835"/>
      <c r="CZ752" s="835"/>
      <c r="DA752" s="835"/>
      <c r="DB752" s="835"/>
      <c r="DC752" s="835"/>
      <c r="DD752" s="835"/>
    </row>
    <row r="753" s="659" customFormat="1" ht="31" customHeight="1" spans="1:108">
      <c r="A753" s="819">
        <v>46185</v>
      </c>
      <c r="B753" s="820" t="s">
        <v>2590</v>
      </c>
      <c r="C753" s="821" t="s">
        <v>2523</v>
      </c>
      <c r="D753" s="917">
        <v>4500211730</v>
      </c>
      <c r="E753" s="821" t="s">
        <v>6281</v>
      </c>
      <c r="F753" s="822" t="s">
        <v>6282</v>
      </c>
      <c r="G753" s="823" t="s">
        <v>3968</v>
      </c>
      <c r="H753" s="708" t="s">
        <v>3969</v>
      </c>
      <c r="I753" s="824">
        <v>512</v>
      </c>
      <c r="J753" s="821">
        <v>0</v>
      </c>
      <c r="K753" s="821">
        <v>16</v>
      </c>
      <c r="L753" s="821">
        <f t="shared" si="142"/>
        <v>32</v>
      </c>
      <c r="M753" s="825">
        <v>46261</v>
      </c>
      <c r="N753" s="863">
        <v>46261</v>
      </c>
      <c r="O753" s="820"/>
      <c r="P753" s="824"/>
      <c r="Q753" s="824"/>
      <c r="R753" s="827">
        <v>46185</v>
      </c>
      <c r="S753" s="828" t="s">
        <v>107</v>
      </c>
      <c r="T753" s="828" t="s">
        <v>6283</v>
      </c>
      <c r="U753" s="828"/>
      <c r="V753" s="829"/>
      <c r="W753" s="828"/>
      <c r="X753" s="848" t="s">
        <v>6284</v>
      </c>
      <c r="Y753" s="825" t="s">
        <v>1725</v>
      </c>
      <c r="Z753" s="830">
        <v>4.7259</v>
      </c>
      <c r="AA753" s="822">
        <f>I753*Z753</f>
        <v>2419.6608</v>
      </c>
      <c r="AB753" s="831"/>
      <c r="AC753" s="822" t="s">
        <v>4426</v>
      </c>
      <c r="AD753" s="821" t="s">
        <v>112</v>
      </c>
      <c r="AE753" s="821">
        <f t="shared" si="146"/>
        <v>512</v>
      </c>
      <c r="AF753" s="950"/>
      <c r="AG753" s="708"/>
      <c r="AH753" s="833">
        <f t="shared" si="147"/>
        <v>-512</v>
      </c>
      <c r="AI753" s="824"/>
      <c r="AJ753" s="708" t="s">
        <v>3981</v>
      </c>
      <c r="AK753" s="822"/>
      <c r="AL753" s="834">
        <f>I753</f>
        <v>512</v>
      </c>
      <c r="AM753" s="822"/>
      <c r="AN753" s="834">
        <f t="shared" si="148"/>
        <v>512</v>
      </c>
      <c r="AO753" s="822"/>
      <c r="AP753" s="822"/>
      <c r="AQ753" s="822"/>
      <c r="AR753" s="822"/>
      <c r="AS753" s="822"/>
      <c r="AT753" s="822"/>
      <c r="AU753" s="834"/>
      <c r="AV753" s="834"/>
      <c r="AW753" s="834"/>
      <c r="AX753" s="822"/>
      <c r="AY753" s="822"/>
      <c r="AZ753" s="822"/>
      <c r="BA753" s="822"/>
      <c r="BB753" s="822"/>
      <c r="BC753" s="822"/>
      <c r="BD753" s="822"/>
      <c r="BE753" s="822"/>
      <c r="BF753" s="822"/>
      <c r="BG753" s="822"/>
      <c r="BH753" s="822"/>
      <c r="BI753" s="822"/>
      <c r="BJ753" s="659"/>
      <c r="BK753" s="659"/>
      <c r="BL753" s="659"/>
      <c r="BM753" s="659"/>
      <c r="BN753" s="659"/>
      <c r="BO753" s="659"/>
      <c r="BP753" s="659"/>
      <c r="BQ753" s="659"/>
      <c r="BR753" s="659"/>
      <c r="BS753" s="659"/>
      <c r="BT753" s="659"/>
      <c r="BU753" s="659"/>
      <c r="BV753" s="659"/>
      <c r="BW753" s="659"/>
      <c r="BX753" s="659"/>
      <c r="BY753" s="659"/>
      <c r="BZ753" s="659"/>
      <c r="CA753" s="659"/>
      <c r="CB753" s="659"/>
      <c r="CC753" s="659"/>
      <c r="CD753" s="659"/>
      <c r="CE753" s="659"/>
      <c r="CF753" s="659"/>
      <c r="CG753" s="659"/>
      <c r="CH753" s="659"/>
      <c r="CI753" s="659"/>
      <c r="CJ753" s="659"/>
      <c r="CK753" s="659"/>
      <c r="CL753" s="659"/>
      <c r="CM753" s="659"/>
      <c r="CN753" s="659"/>
      <c r="CO753" s="659"/>
      <c r="CP753" s="659"/>
      <c r="CQ753" s="659"/>
      <c r="CR753" s="659"/>
      <c r="CS753" s="666"/>
      <c r="CT753" s="666"/>
      <c r="CU753" s="666"/>
      <c r="CV753" s="666"/>
      <c r="CW753" s="666"/>
      <c r="CX753" s="666"/>
      <c r="CY753" s="666"/>
      <c r="CZ753" s="666"/>
      <c r="DA753" s="666"/>
      <c r="DB753" s="666"/>
      <c r="DC753" s="666"/>
      <c r="DD753" s="666"/>
    </row>
    <row r="754" s="670" customFormat="1" ht="31" customHeight="1" spans="1:108">
      <c r="A754" s="951">
        <v>46206</v>
      </c>
      <c r="B754" s="952" t="s">
        <v>499</v>
      </c>
      <c r="C754" s="953" t="s">
        <v>115</v>
      </c>
      <c r="D754" s="669" t="s">
        <v>6278</v>
      </c>
      <c r="E754" s="953" t="s">
        <v>6285</v>
      </c>
      <c r="F754" s="669" t="s">
        <v>6286</v>
      </c>
      <c r="G754" s="955" t="s">
        <v>4414</v>
      </c>
      <c r="H754" s="956" t="s">
        <v>3978</v>
      </c>
      <c r="I754" s="957">
        <v>11264</v>
      </c>
      <c r="J754" s="953">
        <v>0</v>
      </c>
      <c r="K754" s="953">
        <v>512</v>
      </c>
      <c r="L754" s="953">
        <f t="shared" si="142"/>
        <v>22</v>
      </c>
      <c r="M754" s="958">
        <v>46261</v>
      </c>
      <c r="N754" s="959">
        <v>46263</v>
      </c>
      <c r="O754" s="952" t="s">
        <v>6287</v>
      </c>
      <c r="P754" s="957"/>
      <c r="Q754" s="957"/>
      <c r="R754" s="827" t="s">
        <v>4201</v>
      </c>
      <c r="S754" s="828" t="s">
        <v>107</v>
      </c>
      <c r="T754" s="828" t="s">
        <v>6105</v>
      </c>
      <c r="U754" s="848"/>
      <c r="V754" s="829" t="s">
        <v>4706</v>
      </c>
      <c r="W754" s="961"/>
      <c r="X754" s="961" t="s">
        <v>5282</v>
      </c>
      <c r="Y754" s="958" t="s">
        <v>503</v>
      </c>
      <c r="Z754" s="962">
        <v>1475.4991</v>
      </c>
      <c r="AA754" s="669">
        <f t="shared" ref="AA754:AA759" si="150">Z754*L754</f>
        <v>32460.9802</v>
      </c>
      <c r="AB754" s="831"/>
      <c r="AC754" s="887" t="s">
        <v>4194</v>
      </c>
      <c r="AD754" s="821" t="s">
        <v>112</v>
      </c>
      <c r="AE754" s="953">
        <f t="shared" si="146"/>
        <v>11264</v>
      </c>
      <c r="AF754" s="953" t="s">
        <v>5125</v>
      </c>
      <c r="AG754" s="956"/>
      <c r="AH754" s="833">
        <f t="shared" si="147"/>
        <v>-11264</v>
      </c>
      <c r="AI754" s="957"/>
      <c r="AJ754" s="708" t="s">
        <v>3981</v>
      </c>
      <c r="AK754" s="834">
        <f t="shared" ref="AK754:AK766" si="151">I754</f>
        <v>11264</v>
      </c>
      <c r="AL754" s="834"/>
      <c r="AM754" s="834"/>
      <c r="AN754" s="834">
        <f t="shared" si="148"/>
        <v>11264</v>
      </c>
      <c r="AO754" s="822"/>
      <c r="AP754" s="822"/>
      <c r="AQ754" s="822"/>
      <c r="AR754" s="822"/>
      <c r="AS754" s="822"/>
      <c r="AT754" s="822">
        <f t="shared" ref="AT754:AT766" si="152">I754/8</f>
        <v>1408</v>
      </c>
      <c r="AX754" s="669"/>
      <c r="AY754" s="669"/>
      <c r="AZ754" s="669"/>
      <c r="BA754" s="669"/>
      <c r="BB754" s="669"/>
      <c r="BC754" s="669"/>
      <c r="BD754" s="669"/>
      <c r="BE754" s="669"/>
      <c r="BF754" s="669"/>
      <c r="BG754" s="669"/>
      <c r="BH754" s="669"/>
      <c r="BI754" s="822"/>
    </row>
    <row r="755" s="670" customFormat="1" ht="31" customHeight="1" spans="1:108">
      <c r="A755" s="951">
        <v>46206</v>
      </c>
      <c r="B755" s="952" t="s">
        <v>499</v>
      </c>
      <c r="C755" s="953" t="s">
        <v>115</v>
      </c>
      <c r="D755" s="669" t="s">
        <v>6278</v>
      </c>
      <c r="E755" s="953" t="s">
        <v>6288</v>
      </c>
      <c r="F755" s="669" t="s">
        <v>6289</v>
      </c>
      <c r="G755" s="955" t="s">
        <v>4414</v>
      </c>
      <c r="H755" s="956" t="s">
        <v>3978</v>
      </c>
      <c r="I755" s="957">
        <v>10752</v>
      </c>
      <c r="J755" s="953">
        <v>0</v>
      </c>
      <c r="K755" s="953">
        <v>512</v>
      </c>
      <c r="L755" s="953">
        <f t="shared" si="142"/>
        <v>21</v>
      </c>
      <c r="M755" s="958">
        <v>46261</v>
      </c>
      <c r="N755" s="959">
        <v>46263</v>
      </c>
      <c r="O755" s="952" t="s">
        <v>6290</v>
      </c>
      <c r="P755" s="957"/>
      <c r="Q755" s="957"/>
      <c r="R755" s="886" t="s">
        <v>4201</v>
      </c>
      <c r="S755" s="848" t="s">
        <v>107</v>
      </c>
      <c r="T755" s="848" t="s">
        <v>6105</v>
      </c>
      <c r="U755" s="848"/>
      <c r="V755" s="960" t="s">
        <v>4706</v>
      </c>
      <c r="W755" s="961"/>
      <c r="X755" s="961" t="s">
        <v>5282</v>
      </c>
      <c r="Y755" s="958" t="s">
        <v>503</v>
      </c>
      <c r="Z755" s="962">
        <v>1475.499</v>
      </c>
      <c r="AA755" s="669">
        <f t="shared" si="150"/>
        <v>30985.479</v>
      </c>
      <c r="AB755" s="831"/>
      <c r="AC755" s="1051" t="s">
        <v>4194</v>
      </c>
      <c r="AD755" s="821" t="s">
        <v>112</v>
      </c>
      <c r="AE755" s="953">
        <f t="shared" si="146"/>
        <v>10752</v>
      </c>
      <c r="AF755" s="953" t="s">
        <v>5125</v>
      </c>
      <c r="AG755" s="956"/>
      <c r="AH755" s="833">
        <f t="shared" si="147"/>
        <v>-10752</v>
      </c>
      <c r="AI755" s="957"/>
      <c r="AJ755" s="708" t="s">
        <v>3981</v>
      </c>
      <c r="AK755" s="834">
        <f t="shared" si="151"/>
        <v>10752</v>
      </c>
      <c r="AL755" s="834"/>
      <c r="AM755" s="834"/>
      <c r="AN755" s="834">
        <f t="shared" si="148"/>
        <v>10752</v>
      </c>
      <c r="AO755" s="669"/>
      <c r="AP755" s="822"/>
      <c r="AQ755" s="669"/>
      <c r="AR755" s="669"/>
      <c r="AS755" s="669"/>
      <c r="AT755" s="822">
        <f t="shared" si="152"/>
        <v>1344</v>
      </c>
      <c r="AX755" s="669"/>
      <c r="AY755" s="669"/>
      <c r="AZ755" s="669"/>
      <c r="BA755" s="669"/>
      <c r="BB755" s="669"/>
      <c r="BC755" s="669"/>
      <c r="BD755" s="669"/>
      <c r="BE755" s="669"/>
      <c r="BF755" s="669"/>
      <c r="BG755" s="669"/>
      <c r="BH755" s="669"/>
      <c r="BI755" s="822"/>
    </row>
    <row r="756" s="667" customFormat="1" ht="31" customHeight="1" spans="1:108">
      <c r="A756" s="819">
        <v>46206</v>
      </c>
      <c r="B756" s="820" t="s">
        <v>499</v>
      </c>
      <c r="C756" s="821" t="s">
        <v>115</v>
      </c>
      <c r="D756" s="822" t="s">
        <v>6278</v>
      </c>
      <c r="E756" s="821" t="s">
        <v>6291</v>
      </c>
      <c r="F756" s="822" t="s">
        <v>6292</v>
      </c>
      <c r="G756" s="823" t="s">
        <v>4414</v>
      </c>
      <c r="H756" s="708" t="s">
        <v>3978</v>
      </c>
      <c r="I756" s="824">
        <v>13312</v>
      </c>
      <c r="J756" s="821">
        <v>0</v>
      </c>
      <c r="K756" s="821">
        <v>512</v>
      </c>
      <c r="L756" s="821">
        <f t="shared" si="142"/>
        <v>26</v>
      </c>
      <c r="M756" s="825">
        <v>46261</v>
      </c>
      <c r="N756" s="863">
        <v>46263</v>
      </c>
      <c r="O756" s="820" t="s">
        <v>6290</v>
      </c>
      <c r="P756" s="824"/>
      <c r="Q756" s="824"/>
      <c r="R756" s="827" t="s">
        <v>4201</v>
      </c>
      <c r="S756" s="828" t="s">
        <v>107</v>
      </c>
      <c r="T756" s="828" t="s">
        <v>6105</v>
      </c>
      <c r="U756" s="828"/>
      <c r="V756" s="829" t="s">
        <v>4706</v>
      </c>
      <c r="W756" s="828"/>
      <c r="X756" s="828" t="s">
        <v>5282</v>
      </c>
      <c r="Y756" s="825" t="s">
        <v>503</v>
      </c>
      <c r="Z756" s="830">
        <v>1475.4988</v>
      </c>
      <c r="AA756" s="822">
        <f t="shared" si="150"/>
        <v>38362.9688</v>
      </c>
      <c r="AB756" s="831"/>
      <c r="AC756" s="887" t="s">
        <v>4194</v>
      </c>
      <c r="AD756" s="821" t="s">
        <v>112</v>
      </c>
      <c r="AE756" s="821">
        <f t="shared" si="146"/>
        <v>13312</v>
      </c>
      <c r="AF756" s="953" t="s">
        <v>5125</v>
      </c>
      <c r="AG756" s="708"/>
      <c r="AH756" s="833">
        <f t="shared" si="147"/>
        <v>-13312</v>
      </c>
      <c r="AI756" s="824"/>
      <c r="AJ756" s="708" t="s">
        <v>3981</v>
      </c>
      <c r="AK756" s="834">
        <f t="shared" si="151"/>
        <v>13312</v>
      </c>
      <c r="AL756" s="834"/>
      <c r="AM756" s="834"/>
      <c r="AN756" s="834">
        <f t="shared" si="148"/>
        <v>13312</v>
      </c>
      <c r="AO756" s="822"/>
      <c r="AP756" s="822"/>
      <c r="AQ756" s="822"/>
      <c r="AR756" s="822"/>
      <c r="AS756" s="822"/>
      <c r="AT756" s="669">
        <f t="shared" si="152"/>
        <v>1664</v>
      </c>
      <c r="AU756" s="834"/>
      <c r="AV756" s="834"/>
      <c r="AW756" s="834"/>
      <c r="AX756" s="822"/>
      <c r="AY756" s="822"/>
      <c r="AZ756" s="822"/>
      <c r="BA756" s="822"/>
      <c r="BB756" s="822"/>
      <c r="BC756" s="822"/>
      <c r="BD756" s="822"/>
      <c r="BE756" s="822"/>
      <c r="BF756" s="822"/>
      <c r="BG756" s="822"/>
      <c r="BH756" s="822"/>
      <c r="BI756" s="822"/>
      <c r="BJ756" s="835"/>
      <c r="BK756" s="835"/>
      <c r="BL756" s="835"/>
      <c r="BM756" s="835"/>
      <c r="BN756" s="835"/>
      <c r="BO756" s="835"/>
      <c r="BP756" s="835"/>
      <c r="BQ756" s="835"/>
      <c r="BR756" s="835"/>
      <c r="BS756" s="835"/>
      <c r="BT756" s="835"/>
      <c r="BU756" s="835"/>
      <c r="BV756" s="835"/>
      <c r="BW756" s="835"/>
      <c r="BX756" s="835"/>
      <c r="BY756" s="835"/>
      <c r="BZ756" s="835"/>
      <c r="CA756" s="835"/>
      <c r="CB756" s="835"/>
      <c r="CC756" s="835"/>
      <c r="CD756" s="835"/>
      <c r="CE756" s="835"/>
      <c r="CF756" s="835"/>
      <c r="CG756" s="835"/>
      <c r="CH756" s="835"/>
      <c r="CI756" s="835"/>
      <c r="CJ756" s="835"/>
      <c r="CK756" s="835"/>
      <c r="CL756" s="835"/>
      <c r="CM756" s="835"/>
      <c r="CN756" s="835"/>
      <c r="CO756" s="835"/>
      <c r="CP756" s="835"/>
      <c r="CQ756" s="835"/>
      <c r="CR756" s="835"/>
      <c r="CS756" s="835"/>
      <c r="CT756" s="835"/>
      <c r="CU756" s="835"/>
      <c r="CV756" s="835"/>
      <c r="CW756" s="835"/>
      <c r="CX756" s="835"/>
      <c r="CY756" s="835"/>
      <c r="CZ756" s="835"/>
      <c r="DA756" s="835"/>
      <c r="DB756" s="835"/>
      <c r="DC756" s="835"/>
      <c r="DD756" s="835"/>
    </row>
    <row r="757" s="667" customFormat="1" ht="31" customHeight="1" spans="1:108">
      <c r="A757" s="998">
        <v>46206</v>
      </c>
      <c r="B757" s="999" t="s">
        <v>499</v>
      </c>
      <c r="C757" s="1000" t="s">
        <v>115</v>
      </c>
      <c r="D757" s="1001" t="s">
        <v>6278</v>
      </c>
      <c r="E757" s="1000" t="s">
        <v>6293</v>
      </c>
      <c r="F757" s="1001" t="s">
        <v>6294</v>
      </c>
      <c r="G757" s="1002" t="s">
        <v>4414</v>
      </c>
      <c r="H757" s="708" t="s">
        <v>3978</v>
      </c>
      <c r="I757" s="1004">
        <v>11264</v>
      </c>
      <c r="J757" s="1000">
        <v>0</v>
      </c>
      <c r="K757" s="1000">
        <v>512</v>
      </c>
      <c r="L757" s="1000">
        <f t="shared" si="142"/>
        <v>22</v>
      </c>
      <c r="M757" s="825">
        <v>46261</v>
      </c>
      <c r="N757" s="863">
        <v>46267</v>
      </c>
      <c r="O757" s="999" t="s">
        <v>6295</v>
      </c>
      <c r="P757" s="1004"/>
      <c r="Q757" s="1004"/>
      <c r="R757" s="827" t="s">
        <v>4201</v>
      </c>
      <c r="S757" s="828" t="s">
        <v>107</v>
      </c>
      <c r="T757" s="1007" t="s">
        <v>6105</v>
      </c>
      <c r="U757" s="1007"/>
      <c r="V757" s="1008" t="s">
        <v>4706</v>
      </c>
      <c r="W757" s="1007"/>
      <c r="X757" s="1007" t="s">
        <v>5282</v>
      </c>
      <c r="Y757" s="1005" t="s">
        <v>503</v>
      </c>
      <c r="Z757" s="1010">
        <v>1475.4991</v>
      </c>
      <c r="AA757" s="1001">
        <f t="shared" si="150"/>
        <v>32460.9802</v>
      </c>
      <c r="AB757" s="1011"/>
      <c r="AC757" s="887" t="s">
        <v>4194</v>
      </c>
      <c r="AD757" s="1000" t="s">
        <v>112</v>
      </c>
      <c r="AE757" s="1000">
        <f t="shared" si="146"/>
        <v>11264</v>
      </c>
      <c r="AF757" s="1000" t="s">
        <v>5125</v>
      </c>
      <c r="AG757" s="1003"/>
      <c r="AH757" s="833">
        <f t="shared" si="147"/>
        <v>-11264</v>
      </c>
      <c r="AI757" s="1004"/>
      <c r="AJ757" s="821"/>
      <c r="AK757" s="834">
        <f t="shared" si="151"/>
        <v>11264</v>
      </c>
      <c r="AL757" s="834"/>
      <c r="AM757" s="834"/>
      <c r="AN757" s="834">
        <f t="shared" si="148"/>
        <v>11264</v>
      </c>
      <c r="AO757" s="1001"/>
      <c r="AP757" s="1001"/>
      <c r="AQ757" s="1001"/>
      <c r="AR757" s="1001"/>
      <c r="AS757" s="1001"/>
      <c r="AT757" s="822">
        <f t="shared" si="152"/>
        <v>1408</v>
      </c>
      <c r="AU757" s="834"/>
      <c r="AV757" s="1014"/>
      <c r="AW757" s="1014"/>
      <c r="AX757" s="1001"/>
      <c r="AY757" s="1001"/>
      <c r="AZ757" s="1001"/>
      <c r="BA757" s="1001"/>
      <c r="BB757" s="1001"/>
      <c r="BC757" s="1001"/>
      <c r="BD757" s="1001"/>
      <c r="BE757" s="1001"/>
      <c r="BF757" s="1001"/>
      <c r="BG757" s="1001"/>
      <c r="BH757" s="1001"/>
      <c r="BI757" s="1001"/>
      <c r="BJ757" s="835"/>
      <c r="BK757" s="835"/>
      <c r="BL757" s="835"/>
      <c r="BM757" s="835"/>
      <c r="BN757" s="835"/>
      <c r="BO757" s="835"/>
      <c r="BP757" s="835"/>
      <c r="BQ757" s="835"/>
      <c r="BR757" s="835"/>
      <c r="BS757" s="835"/>
      <c r="BT757" s="835"/>
      <c r="BU757" s="835"/>
      <c r="BV757" s="835"/>
      <c r="BW757" s="835"/>
      <c r="BX757" s="835"/>
      <c r="BY757" s="835"/>
      <c r="BZ757" s="835"/>
      <c r="CA757" s="835"/>
      <c r="CB757" s="835"/>
      <c r="CC757" s="835"/>
      <c r="CD757" s="835"/>
      <c r="CE757" s="835"/>
      <c r="CF757" s="835"/>
      <c r="CG757" s="835"/>
      <c r="CH757" s="835"/>
      <c r="CI757" s="835"/>
      <c r="CJ757" s="835"/>
      <c r="CK757" s="835"/>
      <c r="CL757" s="835"/>
      <c r="CM757" s="835"/>
      <c r="CN757" s="835"/>
      <c r="CO757" s="835"/>
      <c r="CP757" s="835"/>
      <c r="CQ757" s="835"/>
      <c r="CR757" s="835"/>
      <c r="CS757" s="835"/>
      <c r="CT757" s="835"/>
      <c r="CU757" s="835"/>
      <c r="CV757" s="835"/>
      <c r="CW757" s="835"/>
      <c r="CX757" s="835"/>
      <c r="CY757" s="835"/>
      <c r="CZ757" s="835"/>
      <c r="DA757" s="835"/>
      <c r="DB757" s="835"/>
      <c r="DC757" s="835"/>
      <c r="DD757" s="835"/>
    </row>
    <row r="758" s="667" customFormat="1" ht="31" customHeight="1" spans="1:108">
      <c r="A758" s="998">
        <v>46206</v>
      </c>
      <c r="B758" s="999" t="s">
        <v>499</v>
      </c>
      <c r="C758" s="1000" t="s">
        <v>115</v>
      </c>
      <c r="D758" s="1001" t="s">
        <v>6278</v>
      </c>
      <c r="E758" s="1000" t="s">
        <v>6296</v>
      </c>
      <c r="F758" s="1001" t="s">
        <v>6297</v>
      </c>
      <c r="G758" s="1002" t="s">
        <v>4414</v>
      </c>
      <c r="H758" s="708" t="s">
        <v>3978</v>
      </c>
      <c r="I758" s="1004">
        <v>4096</v>
      </c>
      <c r="J758" s="1000">
        <v>0</v>
      </c>
      <c r="K758" s="1000">
        <v>512</v>
      </c>
      <c r="L758" s="1000">
        <f t="shared" si="142"/>
        <v>8</v>
      </c>
      <c r="M758" s="825">
        <v>46261</v>
      </c>
      <c r="N758" s="863">
        <v>46267</v>
      </c>
      <c r="O758" s="999" t="s">
        <v>6287</v>
      </c>
      <c r="P758" s="1004"/>
      <c r="Q758" s="1004"/>
      <c r="R758" s="827" t="s">
        <v>4201</v>
      </c>
      <c r="S758" s="828" t="s">
        <v>107</v>
      </c>
      <c r="T758" s="1007" t="s">
        <v>6105</v>
      </c>
      <c r="U758" s="1007"/>
      <c r="V758" s="1008" t="s">
        <v>4706</v>
      </c>
      <c r="W758" s="1007"/>
      <c r="X758" s="1007" t="s">
        <v>5282</v>
      </c>
      <c r="Y758" s="1005" t="s">
        <v>503</v>
      </c>
      <c r="Z758" s="1010">
        <v>1485.125</v>
      </c>
      <c r="AA758" s="1001">
        <f t="shared" si="150"/>
        <v>11881</v>
      </c>
      <c r="AB758" s="1011"/>
      <c r="AC758" s="887" t="s">
        <v>4194</v>
      </c>
      <c r="AD758" s="1000" t="s">
        <v>112</v>
      </c>
      <c r="AE758" s="1000">
        <f t="shared" si="146"/>
        <v>4096</v>
      </c>
      <c r="AF758" s="1000" t="s">
        <v>5125</v>
      </c>
      <c r="AG758" s="1003"/>
      <c r="AH758" s="833">
        <f t="shared" si="147"/>
        <v>-4096</v>
      </c>
      <c r="AI758" s="1004"/>
      <c r="AJ758" s="821"/>
      <c r="AK758" s="834">
        <f t="shared" si="151"/>
        <v>4096</v>
      </c>
      <c r="AL758" s="834"/>
      <c r="AM758" s="834"/>
      <c r="AN758" s="834">
        <f t="shared" si="148"/>
        <v>4096</v>
      </c>
      <c r="AO758" s="1001"/>
      <c r="AP758" s="1001"/>
      <c r="AQ758" s="1001"/>
      <c r="AR758" s="1001"/>
      <c r="AS758" s="1001"/>
      <c r="AT758" s="822">
        <f t="shared" si="152"/>
        <v>512</v>
      </c>
      <c r="AU758" s="834"/>
      <c r="AV758" s="1014"/>
      <c r="AW758" s="1014"/>
      <c r="AX758" s="1001"/>
      <c r="AY758" s="1001"/>
      <c r="AZ758" s="1001"/>
      <c r="BA758" s="1001"/>
      <c r="BB758" s="1001"/>
      <c r="BC758" s="1001"/>
      <c r="BD758" s="1001"/>
      <c r="BE758" s="1001"/>
      <c r="BF758" s="1001"/>
      <c r="BG758" s="1001"/>
      <c r="BH758" s="1001"/>
      <c r="BI758" s="1001"/>
      <c r="BJ758" s="835"/>
      <c r="BK758" s="835"/>
      <c r="BL758" s="835"/>
      <c r="BM758" s="835"/>
      <c r="BN758" s="835"/>
      <c r="BO758" s="835"/>
      <c r="BP758" s="835"/>
      <c r="BQ758" s="835"/>
      <c r="BR758" s="835"/>
      <c r="BS758" s="835"/>
      <c r="BT758" s="835"/>
      <c r="BU758" s="835"/>
      <c r="BV758" s="835"/>
      <c r="BW758" s="835"/>
      <c r="BX758" s="835"/>
      <c r="BY758" s="835"/>
      <c r="BZ758" s="835"/>
      <c r="CA758" s="835"/>
      <c r="CB758" s="835"/>
      <c r="CC758" s="835"/>
      <c r="CD758" s="835"/>
      <c r="CE758" s="835"/>
      <c r="CF758" s="835"/>
      <c r="CG758" s="835"/>
      <c r="CH758" s="835"/>
      <c r="CI758" s="835"/>
      <c r="CJ758" s="835"/>
      <c r="CK758" s="835"/>
      <c r="CL758" s="835"/>
      <c r="CM758" s="835"/>
      <c r="CN758" s="835"/>
      <c r="CO758" s="835"/>
      <c r="CP758" s="835"/>
      <c r="CQ758" s="835"/>
      <c r="CR758" s="835"/>
      <c r="CS758" s="835"/>
      <c r="CT758" s="835"/>
      <c r="CU758" s="835"/>
      <c r="CV758" s="835"/>
      <c r="CW758" s="835"/>
      <c r="CX758" s="835"/>
      <c r="CY758" s="835"/>
      <c r="CZ758" s="835"/>
      <c r="DA758" s="835"/>
      <c r="DB758" s="835"/>
      <c r="DC758" s="835"/>
      <c r="DD758" s="835"/>
    </row>
    <row r="759" s="666" customFormat="1" ht="31" customHeight="1" spans="1:108">
      <c r="A759" s="819">
        <v>46206</v>
      </c>
      <c r="B759" s="820" t="s">
        <v>499</v>
      </c>
      <c r="C759" s="821" t="s">
        <v>115</v>
      </c>
      <c r="D759" s="822" t="s">
        <v>6278</v>
      </c>
      <c r="E759" s="821" t="s">
        <v>6298</v>
      </c>
      <c r="F759" s="822" t="s">
        <v>6299</v>
      </c>
      <c r="G759" s="823" t="s">
        <v>4414</v>
      </c>
      <c r="H759" s="708" t="s">
        <v>3978</v>
      </c>
      <c r="I759" s="824">
        <v>7680</v>
      </c>
      <c r="J759" s="821">
        <v>0</v>
      </c>
      <c r="K759" s="821">
        <v>512</v>
      </c>
      <c r="L759" s="821">
        <f t="shared" si="142"/>
        <v>15</v>
      </c>
      <c r="M759" s="825">
        <v>46261</v>
      </c>
      <c r="N759" s="863">
        <v>46267</v>
      </c>
      <c r="O759" s="820" t="s">
        <v>6287</v>
      </c>
      <c r="P759" s="824"/>
      <c r="Q759" s="824"/>
      <c r="R759" s="827" t="s">
        <v>4201</v>
      </c>
      <c r="S759" s="828" t="s">
        <v>107</v>
      </c>
      <c r="T759" s="828" t="s">
        <v>6105</v>
      </c>
      <c r="U759" s="828"/>
      <c r="V759" s="829" t="s">
        <v>4706</v>
      </c>
      <c r="W759" s="828"/>
      <c r="X759" s="828" t="s">
        <v>5282</v>
      </c>
      <c r="Y759" s="825" t="s">
        <v>503</v>
      </c>
      <c r="Z759" s="830">
        <v>1480.456</v>
      </c>
      <c r="AA759" s="822">
        <f t="shared" si="150"/>
        <v>22206.84</v>
      </c>
      <c r="AB759" s="831"/>
      <c r="AC759" s="887" t="s">
        <v>4194</v>
      </c>
      <c r="AD759" s="821" t="s">
        <v>112</v>
      </c>
      <c r="AE759" s="821">
        <f t="shared" si="146"/>
        <v>7680</v>
      </c>
      <c r="AF759" s="821" t="s">
        <v>5125</v>
      </c>
      <c r="AG759" s="708"/>
      <c r="AH759" s="833">
        <f t="shared" si="147"/>
        <v>-7680</v>
      </c>
      <c r="AI759" s="824"/>
      <c r="AJ759" s="821"/>
      <c r="AK759" s="834">
        <f t="shared" si="151"/>
        <v>7680</v>
      </c>
      <c r="AL759" s="834"/>
      <c r="AM759" s="834"/>
      <c r="AN759" s="834">
        <f t="shared" si="148"/>
        <v>7680</v>
      </c>
      <c r="AO759" s="822"/>
      <c r="AP759" s="822"/>
      <c r="AQ759" s="822"/>
      <c r="AR759" s="822"/>
      <c r="AS759" s="822"/>
      <c r="AT759" s="822">
        <f t="shared" si="152"/>
        <v>960</v>
      </c>
      <c r="AU759" s="834"/>
      <c r="AV759" s="834"/>
      <c r="AW759" s="834"/>
      <c r="AX759" s="822"/>
      <c r="AY759" s="822"/>
      <c r="AZ759" s="822"/>
      <c r="BA759" s="822"/>
      <c r="BB759" s="822"/>
      <c r="BC759" s="822"/>
      <c r="BD759" s="822"/>
      <c r="BE759" s="822"/>
      <c r="BF759" s="822"/>
      <c r="BG759" s="822"/>
      <c r="BH759" s="822"/>
      <c r="BI759" s="822"/>
      <c r="BJ759" s="835"/>
      <c r="BK759" s="835"/>
      <c r="BL759" s="835"/>
      <c r="BM759" s="835"/>
      <c r="BN759" s="835"/>
      <c r="BO759" s="835"/>
      <c r="BP759" s="835"/>
      <c r="BQ759" s="835"/>
      <c r="BR759" s="835"/>
      <c r="BS759" s="835"/>
      <c r="BT759" s="835"/>
      <c r="BU759" s="835"/>
      <c r="BV759" s="835"/>
      <c r="BW759" s="835"/>
      <c r="BX759" s="835"/>
      <c r="BY759" s="835"/>
      <c r="BZ759" s="835"/>
      <c r="CA759" s="835"/>
      <c r="CB759" s="835"/>
      <c r="CC759" s="835"/>
      <c r="CD759" s="835"/>
      <c r="CE759" s="835"/>
      <c r="CF759" s="835"/>
      <c r="CG759" s="835"/>
      <c r="CH759" s="835"/>
      <c r="CI759" s="835"/>
      <c r="CJ759" s="835"/>
      <c r="CK759" s="835"/>
      <c r="CL759" s="835"/>
      <c r="CM759" s="835"/>
      <c r="CN759" s="835"/>
      <c r="CO759" s="835"/>
      <c r="CP759" s="835"/>
      <c r="CQ759" s="835"/>
      <c r="CR759" s="835"/>
      <c r="CS759" s="835"/>
      <c r="CT759" s="835"/>
      <c r="CU759" s="835"/>
      <c r="CV759" s="835"/>
      <c r="CW759" s="835"/>
      <c r="CX759" s="835"/>
      <c r="CY759" s="835"/>
      <c r="CZ759" s="835"/>
      <c r="DA759" s="835"/>
      <c r="DB759" s="835"/>
      <c r="DC759" s="835"/>
      <c r="DD759" s="835"/>
    </row>
    <row r="760" s="666" customFormat="1" ht="31" customHeight="1" spans="1:108">
      <c r="A760" s="859">
        <v>46142</v>
      </c>
      <c r="B760" s="860" t="s">
        <v>3527</v>
      </c>
      <c r="C760" s="708" t="s">
        <v>2458</v>
      </c>
      <c r="D760" s="834" t="s">
        <v>6015</v>
      </c>
      <c r="E760" s="708" t="s">
        <v>5872</v>
      </c>
      <c r="F760" s="834" t="s">
        <v>6300</v>
      </c>
      <c r="G760" s="846" t="s">
        <v>5874</v>
      </c>
      <c r="H760" s="708" t="s">
        <v>3978</v>
      </c>
      <c r="I760" s="861">
        <v>23600</v>
      </c>
      <c r="J760" s="708">
        <v>0</v>
      </c>
      <c r="K760" s="708">
        <v>8</v>
      </c>
      <c r="L760" s="708">
        <f t="shared" si="142"/>
        <v>2950</v>
      </c>
      <c r="M760" s="862">
        <v>46262</v>
      </c>
      <c r="N760" s="862">
        <v>46258</v>
      </c>
      <c r="O760" s="922" t="s">
        <v>2463</v>
      </c>
      <c r="P760" s="861"/>
      <c r="Q760" s="861"/>
      <c r="R760" s="864" t="s">
        <v>6020</v>
      </c>
      <c r="S760" s="829" t="s">
        <v>107</v>
      </c>
      <c r="T760" s="829" t="s">
        <v>5876</v>
      </c>
      <c r="U760" s="829"/>
      <c r="V760" s="829" t="s">
        <v>4056</v>
      </c>
      <c r="W760" s="829"/>
      <c r="X760" s="829" t="s">
        <v>5877</v>
      </c>
      <c r="Y760" s="862" t="s">
        <v>3531</v>
      </c>
      <c r="Z760" s="866">
        <v>4.4941</v>
      </c>
      <c r="AA760" s="834">
        <f t="shared" ref="AA760:AA771" si="153">I760*Z760</f>
        <v>106060.76</v>
      </c>
      <c r="AB760" s="831"/>
      <c r="AC760" s="846" t="s">
        <v>5874</v>
      </c>
      <c r="AD760" s="821" t="s">
        <v>112</v>
      </c>
      <c r="AE760" s="708">
        <f t="shared" si="146"/>
        <v>23600</v>
      </c>
      <c r="AF760" s="821"/>
      <c r="AG760" s="708"/>
      <c r="AH760" s="833">
        <f t="shared" si="147"/>
        <v>-23600</v>
      </c>
      <c r="AI760" s="861"/>
      <c r="AJ760" s="708" t="s">
        <v>3981</v>
      </c>
      <c r="AK760" s="834">
        <f t="shared" si="151"/>
        <v>23600</v>
      </c>
      <c r="AL760" s="834"/>
      <c r="AM760" s="834"/>
      <c r="AN760" s="834"/>
      <c r="AO760" s="834"/>
      <c r="AP760" s="834">
        <f>I760</f>
        <v>23600</v>
      </c>
      <c r="AQ760" s="834"/>
      <c r="AR760" s="834"/>
      <c r="AS760" s="834"/>
      <c r="AT760" s="834">
        <f t="shared" si="152"/>
        <v>2950</v>
      </c>
      <c r="AU760" s="834"/>
      <c r="AV760" s="834"/>
      <c r="AW760" s="834"/>
      <c r="AX760" s="834"/>
      <c r="AY760" s="834"/>
      <c r="AZ760" s="834"/>
      <c r="BA760" s="834"/>
      <c r="BB760" s="834"/>
      <c r="BC760" s="834"/>
      <c r="BD760" s="834"/>
      <c r="BE760" s="834"/>
      <c r="BF760" s="834"/>
      <c r="BG760" s="834"/>
      <c r="BH760" s="834"/>
      <c r="BI760" s="834"/>
      <c r="BJ760" s="835"/>
      <c r="BK760" s="835"/>
      <c r="BL760" s="835"/>
      <c r="BM760" s="835"/>
      <c r="BN760" s="835"/>
      <c r="BO760" s="835"/>
      <c r="BP760" s="835"/>
      <c r="BQ760" s="835"/>
      <c r="BR760" s="835"/>
      <c r="BS760" s="835"/>
      <c r="BT760" s="835"/>
      <c r="BU760" s="835"/>
      <c r="BV760" s="835"/>
      <c r="BW760" s="835"/>
      <c r="BX760" s="835"/>
      <c r="BY760" s="835"/>
      <c r="BZ760" s="835"/>
      <c r="CA760" s="835"/>
      <c r="CB760" s="835"/>
      <c r="CC760" s="835"/>
      <c r="CD760" s="835"/>
      <c r="CE760" s="835"/>
      <c r="CF760" s="835"/>
      <c r="CG760" s="835"/>
      <c r="CH760" s="835"/>
      <c r="CI760" s="835"/>
      <c r="CJ760" s="835"/>
      <c r="CK760" s="835"/>
      <c r="CL760" s="835"/>
      <c r="CM760" s="835"/>
      <c r="CN760" s="835"/>
      <c r="CO760" s="835"/>
      <c r="CP760" s="835"/>
      <c r="CQ760" s="835"/>
      <c r="CR760" s="835"/>
      <c r="CS760" s="659"/>
      <c r="CT760" s="659"/>
      <c r="CU760" s="659"/>
      <c r="CV760" s="659"/>
      <c r="CW760" s="659"/>
      <c r="CX760" s="659"/>
      <c r="CY760" s="659"/>
      <c r="CZ760" s="659"/>
      <c r="DA760" s="659"/>
      <c r="DB760" s="659"/>
      <c r="DC760" s="659"/>
      <c r="DD760" s="659"/>
    </row>
    <row r="761" s="667" customFormat="1" ht="31" customHeight="1" spans="1:108">
      <c r="A761" s="859">
        <v>46151</v>
      </c>
      <c r="B761" s="860" t="s">
        <v>2457</v>
      </c>
      <c r="C761" s="708" t="s">
        <v>2458</v>
      </c>
      <c r="D761" s="834" t="s">
        <v>6017</v>
      </c>
      <c r="E761" s="708" t="s">
        <v>6018</v>
      </c>
      <c r="F761" s="834" t="s">
        <v>6301</v>
      </c>
      <c r="G761" s="846" t="s">
        <v>5874</v>
      </c>
      <c r="H761" s="708" t="s">
        <v>3978</v>
      </c>
      <c r="I761" s="861">
        <v>6504</v>
      </c>
      <c r="J761" s="708">
        <v>0</v>
      </c>
      <c r="K761" s="708">
        <v>8</v>
      </c>
      <c r="L761" s="708">
        <f t="shared" si="142"/>
        <v>813</v>
      </c>
      <c r="M761" s="862">
        <v>46262</v>
      </c>
      <c r="N761" s="862">
        <v>46258</v>
      </c>
      <c r="O761" s="922" t="s">
        <v>2463</v>
      </c>
      <c r="P761" s="861"/>
      <c r="Q761" s="861"/>
      <c r="R761" s="864" t="s">
        <v>6020</v>
      </c>
      <c r="S761" s="829" t="s">
        <v>107</v>
      </c>
      <c r="T761" s="829" t="s">
        <v>5876</v>
      </c>
      <c r="U761" s="829"/>
      <c r="V761" s="829" t="s">
        <v>4056</v>
      </c>
      <c r="W761" s="829"/>
      <c r="X761" s="882" t="s">
        <v>6021</v>
      </c>
      <c r="Y761" s="862" t="s">
        <v>2467</v>
      </c>
      <c r="Z761" s="866">
        <v>4.4754</v>
      </c>
      <c r="AA761" s="834">
        <f t="shared" si="153"/>
        <v>29108.0016</v>
      </c>
      <c r="AB761" s="831"/>
      <c r="AC761" s="846" t="s">
        <v>5874</v>
      </c>
      <c r="AD761" s="821" t="s">
        <v>112</v>
      </c>
      <c r="AE761" s="708">
        <f t="shared" si="146"/>
        <v>6504</v>
      </c>
      <c r="AF761" s="821" t="s">
        <v>5125</v>
      </c>
      <c r="AG761" s="708"/>
      <c r="AH761" s="833">
        <f t="shared" si="147"/>
        <v>-6504</v>
      </c>
      <c r="AI761" s="861"/>
      <c r="AJ761" s="708" t="s">
        <v>3981</v>
      </c>
      <c r="AK761" s="834">
        <f t="shared" si="151"/>
        <v>6504</v>
      </c>
      <c r="AL761" s="834"/>
      <c r="AM761" s="834"/>
      <c r="AN761" s="834"/>
      <c r="AO761" s="834"/>
      <c r="AP761" s="834">
        <f>I761</f>
        <v>6504</v>
      </c>
      <c r="AQ761" s="834"/>
      <c r="AR761" s="834"/>
      <c r="AS761" s="834"/>
      <c r="AT761" s="834">
        <f t="shared" si="152"/>
        <v>813</v>
      </c>
      <c r="AU761" s="834"/>
      <c r="AV761" s="834"/>
      <c r="AW761" s="834"/>
      <c r="AX761" s="834"/>
      <c r="AY761" s="834"/>
      <c r="AZ761" s="834"/>
      <c r="BA761" s="834"/>
      <c r="BB761" s="834"/>
      <c r="BC761" s="834"/>
      <c r="BD761" s="834"/>
      <c r="BE761" s="834"/>
      <c r="BF761" s="834"/>
      <c r="BG761" s="834"/>
      <c r="BH761" s="834"/>
      <c r="BI761" s="834"/>
      <c r="BJ761" s="835"/>
      <c r="BK761" s="835"/>
      <c r="BL761" s="835"/>
      <c r="BM761" s="835"/>
      <c r="BN761" s="835"/>
      <c r="BO761" s="835"/>
      <c r="BP761" s="835"/>
      <c r="BQ761" s="835"/>
      <c r="BR761" s="835"/>
      <c r="BS761" s="835"/>
      <c r="BT761" s="835"/>
      <c r="BU761" s="835"/>
      <c r="BV761" s="835"/>
      <c r="BW761" s="835"/>
      <c r="BX761" s="835"/>
      <c r="BY761" s="835"/>
      <c r="BZ761" s="835"/>
      <c r="CA761" s="835"/>
      <c r="CB761" s="835"/>
      <c r="CC761" s="835"/>
      <c r="CD761" s="835"/>
      <c r="CE761" s="835"/>
      <c r="CF761" s="835"/>
      <c r="CG761" s="835"/>
      <c r="CH761" s="835"/>
      <c r="CI761" s="835"/>
      <c r="CJ761" s="835"/>
      <c r="CK761" s="835"/>
      <c r="CL761" s="835"/>
      <c r="CM761" s="835"/>
      <c r="CN761" s="835"/>
      <c r="CO761" s="835"/>
      <c r="CP761" s="835"/>
      <c r="CQ761" s="835"/>
      <c r="CR761" s="835"/>
      <c r="CS761" s="666"/>
      <c r="CT761" s="666"/>
      <c r="CU761" s="666"/>
      <c r="CV761" s="666"/>
      <c r="CW761" s="666"/>
      <c r="CX761" s="666"/>
      <c r="CY761" s="666"/>
      <c r="CZ761" s="666"/>
      <c r="DA761" s="666"/>
      <c r="DB761" s="666"/>
      <c r="DC761" s="666"/>
      <c r="DD761" s="666"/>
    </row>
    <row r="762" s="659" customFormat="1" ht="31" customHeight="1" spans="1:108">
      <c r="A762" s="859">
        <v>46151</v>
      </c>
      <c r="B762" s="860" t="s">
        <v>2457</v>
      </c>
      <c r="C762" s="708" t="s">
        <v>2458</v>
      </c>
      <c r="D762" s="834" t="s">
        <v>6017</v>
      </c>
      <c r="E762" s="708" t="s">
        <v>6018</v>
      </c>
      <c r="F762" s="834" t="s">
        <v>6302</v>
      </c>
      <c r="G762" s="846" t="s">
        <v>5874</v>
      </c>
      <c r="H762" s="708" t="s">
        <v>3978</v>
      </c>
      <c r="I762" s="861">
        <v>22200</v>
      </c>
      <c r="J762" s="708">
        <v>0</v>
      </c>
      <c r="K762" s="708">
        <v>8</v>
      </c>
      <c r="L762" s="708">
        <f t="shared" si="142"/>
        <v>2775</v>
      </c>
      <c r="M762" s="862">
        <v>46262</v>
      </c>
      <c r="N762" s="862">
        <v>46258</v>
      </c>
      <c r="O762" s="922" t="s">
        <v>2463</v>
      </c>
      <c r="P762" s="861"/>
      <c r="Q762" s="861"/>
      <c r="R762" s="905" t="s">
        <v>6020</v>
      </c>
      <c r="S762" s="829" t="s">
        <v>107</v>
      </c>
      <c r="T762" s="829" t="s">
        <v>5876</v>
      </c>
      <c r="U762" s="829"/>
      <c r="V762" s="829" t="s">
        <v>4056</v>
      </c>
      <c r="W762" s="829"/>
      <c r="X762" s="882" t="s">
        <v>6021</v>
      </c>
      <c r="Y762" s="862" t="s">
        <v>2467</v>
      </c>
      <c r="Z762" s="866">
        <v>4.4754</v>
      </c>
      <c r="AA762" s="834">
        <f t="shared" si="153"/>
        <v>99353.88</v>
      </c>
      <c r="AB762" s="831"/>
      <c r="AC762" s="846" t="s">
        <v>5874</v>
      </c>
      <c r="AD762" s="821" t="s">
        <v>112</v>
      </c>
      <c r="AE762" s="708">
        <f t="shared" si="146"/>
        <v>22200</v>
      </c>
      <c r="AF762" s="821" t="s">
        <v>5125</v>
      </c>
      <c r="AG762" s="708"/>
      <c r="AH762" s="833">
        <f t="shared" si="147"/>
        <v>-22200</v>
      </c>
      <c r="AI762" s="861"/>
      <c r="AJ762" s="708" t="s">
        <v>3981</v>
      </c>
      <c r="AK762" s="834">
        <f t="shared" si="151"/>
        <v>22200</v>
      </c>
      <c r="AL762" s="834"/>
      <c r="AM762" s="834"/>
      <c r="AN762" s="834"/>
      <c r="AO762" s="834"/>
      <c r="AP762" s="834">
        <f>I762</f>
        <v>22200</v>
      </c>
      <c r="AQ762" s="834"/>
      <c r="AR762" s="834"/>
      <c r="AS762" s="834"/>
      <c r="AT762" s="834">
        <f t="shared" si="152"/>
        <v>2775</v>
      </c>
      <c r="AU762" s="834"/>
      <c r="AV762" s="834"/>
      <c r="AW762" s="834"/>
      <c r="AX762" s="834"/>
      <c r="AY762" s="834"/>
      <c r="AZ762" s="834"/>
      <c r="BA762" s="834"/>
      <c r="BB762" s="834"/>
      <c r="BC762" s="834"/>
      <c r="BD762" s="834"/>
      <c r="BE762" s="834"/>
      <c r="BF762" s="834"/>
      <c r="BG762" s="834"/>
      <c r="BH762" s="834"/>
      <c r="BI762" s="834"/>
      <c r="BJ762" s="835"/>
      <c r="BK762" s="835"/>
      <c r="BL762" s="835"/>
      <c r="BM762" s="835"/>
      <c r="BN762" s="835"/>
      <c r="BO762" s="835"/>
      <c r="BP762" s="835"/>
      <c r="BQ762" s="835"/>
      <c r="BR762" s="835"/>
      <c r="BS762" s="835"/>
      <c r="BT762" s="835"/>
      <c r="BU762" s="835"/>
      <c r="BV762" s="835"/>
      <c r="BW762" s="835"/>
      <c r="BX762" s="835"/>
      <c r="BY762" s="835"/>
      <c r="BZ762" s="835"/>
      <c r="CA762" s="835"/>
      <c r="CB762" s="835"/>
      <c r="CC762" s="835"/>
      <c r="CD762" s="835"/>
      <c r="CE762" s="835"/>
      <c r="CF762" s="835"/>
      <c r="CG762" s="835"/>
      <c r="CH762" s="835"/>
      <c r="CI762" s="835"/>
      <c r="CJ762" s="835"/>
      <c r="CK762" s="835"/>
      <c r="CL762" s="835"/>
      <c r="CM762" s="835"/>
      <c r="CN762" s="835"/>
      <c r="CO762" s="835"/>
      <c r="CP762" s="835"/>
      <c r="CQ762" s="835"/>
      <c r="CR762" s="835"/>
      <c r="CS762" s="666"/>
      <c r="CT762" s="666"/>
      <c r="CU762" s="666"/>
      <c r="CV762" s="666"/>
      <c r="CW762" s="666"/>
      <c r="CX762" s="666"/>
      <c r="CY762" s="666"/>
      <c r="CZ762" s="666"/>
      <c r="DA762" s="666"/>
      <c r="DB762" s="666"/>
      <c r="DC762" s="666"/>
      <c r="DD762" s="666"/>
    </row>
    <row r="763" s="667" customFormat="1" ht="31" customHeight="1" spans="1:108">
      <c r="A763" s="859">
        <v>46151</v>
      </c>
      <c r="B763" s="860" t="s">
        <v>2457</v>
      </c>
      <c r="C763" s="708" t="s">
        <v>2458</v>
      </c>
      <c r="D763" s="834" t="s">
        <v>6017</v>
      </c>
      <c r="E763" s="708" t="s">
        <v>6018</v>
      </c>
      <c r="F763" s="834" t="s">
        <v>6303</v>
      </c>
      <c r="G763" s="846" t="s">
        <v>5874</v>
      </c>
      <c r="H763" s="708" t="s">
        <v>3978</v>
      </c>
      <c r="I763" s="861">
        <v>22200</v>
      </c>
      <c r="J763" s="708">
        <v>0</v>
      </c>
      <c r="K763" s="708">
        <v>8</v>
      </c>
      <c r="L763" s="708">
        <f t="shared" si="142"/>
        <v>2775</v>
      </c>
      <c r="M763" s="862">
        <v>46262</v>
      </c>
      <c r="N763" s="862">
        <v>46258</v>
      </c>
      <c r="O763" s="922" t="s">
        <v>2463</v>
      </c>
      <c r="P763" s="861"/>
      <c r="Q763" s="861"/>
      <c r="R763" s="864" t="s">
        <v>6020</v>
      </c>
      <c r="S763" s="829" t="s">
        <v>107</v>
      </c>
      <c r="T763" s="829" t="s">
        <v>5876</v>
      </c>
      <c r="U763" s="829"/>
      <c r="V763" s="829" t="s">
        <v>4056</v>
      </c>
      <c r="W763" s="829"/>
      <c r="X763" s="882" t="s">
        <v>6021</v>
      </c>
      <c r="Y763" s="862" t="s">
        <v>2467</v>
      </c>
      <c r="Z763" s="866">
        <v>4.4754</v>
      </c>
      <c r="AA763" s="834">
        <f t="shared" si="153"/>
        <v>99353.88</v>
      </c>
      <c r="AB763" s="831"/>
      <c r="AC763" s="846" t="s">
        <v>5874</v>
      </c>
      <c r="AD763" s="821" t="s">
        <v>112</v>
      </c>
      <c r="AE763" s="708">
        <f t="shared" si="146"/>
        <v>22200</v>
      </c>
      <c r="AF763" s="821" t="s">
        <v>5125</v>
      </c>
      <c r="AG763" s="708"/>
      <c r="AH763" s="833">
        <f t="shared" si="147"/>
        <v>-22200</v>
      </c>
      <c r="AI763" s="861"/>
      <c r="AJ763" s="708" t="s">
        <v>3981</v>
      </c>
      <c r="AK763" s="834">
        <f t="shared" si="151"/>
        <v>22200</v>
      </c>
      <c r="AL763" s="834"/>
      <c r="AM763" s="834"/>
      <c r="AN763" s="834"/>
      <c r="AO763" s="834"/>
      <c r="AP763" s="834">
        <f>I763</f>
        <v>22200</v>
      </c>
      <c r="AQ763" s="834"/>
      <c r="AR763" s="834"/>
      <c r="AS763" s="834"/>
      <c r="AT763" s="834">
        <f t="shared" si="152"/>
        <v>2775</v>
      </c>
      <c r="AU763" s="834"/>
      <c r="AV763" s="834"/>
      <c r="AW763" s="834"/>
      <c r="AX763" s="834"/>
      <c r="AY763" s="834"/>
      <c r="AZ763" s="834"/>
      <c r="BA763" s="834"/>
      <c r="BB763" s="834"/>
      <c r="BC763" s="834"/>
      <c r="BD763" s="834"/>
      <c r="BE763" s="834"/>
      <c r="BF763" s="834"/>
      <c r="BG763" s="834"/>
      <c r="BH763" s="834"/>
      <c r="BI763" s="834"/>
      <c r="BJ763" s="835"/>
      <c r="BK763" s="835"/>
      <c r="BL763" s="835"/>
      <c r="BM763" s="835"/>
      <c r="BN763" s="835"/>
      <c r="BO763" s="835"/>
      <c r="BP763" s="835"/>
      <c r="BQ763" s="835"/>
      <c r="BR763" s="835"/>
      <c r="BS763" s="835"/>
      <c r="BT763" s="835"/>
      <c r="BU763" s="835"/>
      <c r="BV763" s="835"/>
      <c r="BW763" s="835"/>
      <c r="BX763" s="835"/>
      <c r="BY763" s="835"/>
      <c r="BZ763" s="835"/>
      <c r="CA763" s="835"/>
      <c r="CB763" s="835"/>
      <c r="CC763" s="835"/>
      <c r="CD763" s="835"/>
      <c r="CE763" s="835"/>
      <c r="CF763" s="835"/>
      <c r="CG763" s="835"/>
      <c r="CH763" s="835"/>
      <c r="CI763" s="835"/>
      <c r="CJ763" s="835"/>
      <c r="CK763" s="835"/>
      <c r="CL763" s="835"/>
      <c r="CM763" s="835"/>
      <c r="CN763" s="835"/>
      <c r="CO763" s="835"/>
      <c r="CP763" s="835"/>
      <c r="CQ763" s="835"/>
      <c r="CR763" s="835"/>
      <c r="CS763" s="666"/>
      <c r="CT763" s="666"/>
      <c r="CU763" s="666"/>
      <c r="CV763" s="666"/>
      <c r="CW763" s="666"/>
      <c r="CX763" s="666"/>
      <c r="CY763" s="666"/>
      <c r="CZ763" s="666"/>
      <c r="DA763" s="666"/>
      <c r="DB763" s="666"/>
      <c r="DC763" s="666"/>
      <c r="DD763" s="666"/>
    </row>
    <row r="764" s="659" customFormat="1" ht="31" customHeight="1" spans="1:108">
      <c r="A764" s="819">
        <v>46163</v>
      </c>
      <c r="B764" s="820" t="s">
        <v>2457</v>
      </c>
      <c r="C764" s="821" t="s">
        <v>2458</v>
      </c>
      <c r="D764" s="822" t="s">
        <v>6017</v>
      </c>
      <c r="E764" s="821" t="s">
        <v>6018</v>
      </c>
      <c r="F764" s="822" t="s">
        <v>6304</v>
      </c>
      <c r="G764" s="823" t="s">
        <v>5874</v>
      </c>
      <c r="H764" s="708" t="s">
        <v>3978</v>
      </c>
      <c r="I764" s="824">
        <v>5600</v>
      </c>
      <c r="J764" s="821">
        <v>0</v>
      </c>
      <c r="K764" s="821">
        <v>8</v>
      </c>
      <c r="L764" s="821">
        <f t="shared" si="142"/>
        <v>700</v>
      </c>
      <c r="M764" s="825">
        <v>46262</v>
      </c>
      <c r="N764" s="825">
        <v>46258</v>
      </c>
      <c r="O764" s="922" t="s">
        <v>2463</v>
      </c>
      <c r="P764" s="824"/>
      <c r="Q764" s="824"/>
      <c r="R764" s="864" t="s">
        <v>6020</v>
      </c>
      <c r="S764" s="847" t="s">
        <v>107</v>
      </c>
      <c r="T764" s="829" t="s">
        <v>5876</v>
      </c>
      <c r="U764" s="829"/>
      <c r="V764" s="829" t="s">
        <v>4056</v>
      </c>
      <c r="W764" s="828"/>
      <c r="X764" s="829" t="s">
        <v>6021</v>
      </c>
      <c r="Y764" s="825" t="s">
        <v>2467</v>
      </c>
      <c r="Z764" s="830">
        <v>4.4754</v>
      </c>
      <c r="AA764" s="822">
        <f t="shared" si="153"/>
        <v>25062.24</v>
      </c>
      <c r="AB764" s="831"/>
      <c r="AC764" s="936" t="s">
        <v>5874</v>
      </c>
      <c r="AD764" s="821" t="s">
        <v>112</v>
      </c>
      <c r="AE764" s="821">
        <f t="shared" si="146"/>
        <v>5600</v>
      </c>
      <c r="AF764" s="821" t="s">
        <v>5125</v>
      </c>
      <c r="AG764" s="708"/>
      <c r="AH764" s="833">
        <f t="shared" si="147"/>
        <v>-5600</v>
      </c>
      <c r="AI764" s="861"/>
      <c r="AJ764" s="708" t="s">
        <v>3981</v>
      </c>
      <c r="AK764" s="834">
        <f t="shared" si="151"/>
        <v>5600</v>
      </c>
      <c r="AL764" s="834"/>
      <c r="AM764" s="822"/>
      <c r="AN764" s="834"/>
      <c r="AO764" s="822"/>
      <c r="AP764" s="834">
        <f>I764</f>
        <v>5600</v>
      </c>
      <c r="AQ764" s="834"/>
      <c r="AR764" s="834"/>
      <c r="AS764" s="834"/>
      <c r="AT764" s="834">
        <f t="shared" si="152"/>
        <v>700</v>
      </c>
      <c r="AU764" s="834"/>
      <c r="AV764" s="834"/>
      <c r="AW764" s="834"/>
      <c r="AX764" s="822"/>
      <c r="AY764" s="822"/>
      <c r="AZ764" s="822"/>
      <c r="BA764" s="822"/>
      <c r="BB764" s="822"/>
      <c r="BC764" s="822"/>
      <c r="BD764" s="822"/>
      <c r="BE764" s="822"/>
      <c r="BF764" s="822"/>
      <c r="BG764" s="822"/>
      <c r="BH764" s="822"/>
      <c r="BI764" s="822"/>
      <c r="BJ764" s="662"/>
      <c r="BK764" s="662"/>
      <c r="BL764" s="662"/>
      <c r="BM764" s="662"/>
      <c r="BN764" s="662"/>
      <c r="BO764" s="662"/>
      <c r="BP764" s="662"/>
      <c r="BQ764" s="662"/>
      <c r="BR764" s="662"/>
      <c r="BS764" s="662"/>
      <c r="BT764" s="662"/>
      <c r="BU764" s="662"/>
      <c r="BV764" s="662"/>
      <c r="BW764" s="662"/>
      <c r="BX764" s="662"/>
      <c r="BY764" s="662"/>
      <c r="BZ764" s="662"/>
      <c r="CA764" s="662"/>
      <c r="CB764" s="662"/>
      <c r="CC764" s="662"/>
      <c r="CD764" s="662"/>
      <c r="CE764" s="662"/>
      <c r="CF764" s="662"/>
      <c r="CG764" s="662"/>
      <c r="CH764" s="662"/>
      <c r="CI764" s="662"/>
      <c r="CJ764" s="662"/>
      <c r="CK764" s="662"/>
      <c r="CL764" s="662"/>
      <c r="CM764" s="662"/>
      <c r="CN764" s="662"/>
      <c r="CO764" s="662"/>
      <c r="CP764" s="662"/>
      <c r="CQ764" s="662"/>
      <c r="CR764" s="662"/>
    </row>
    <row r="765" s="659" customFormat="1" ht="31" customHeight="1" spans="1:108">
      <c r="A765" s="819">
        <v>46205</v>
      </c>
      <c r="B765" s="820" t="s">
        <v>280</v>
      </c>
      <c r="C765" s="821" t="s">
        <v>135</v>
      </c>
      <c r="D765" s="822" t="s">
        <v>6305</v>
      </c>
      <c r="E765" s="821" t="s">
        <v>3288</v>
      </c>
      <c r="F765" s="822" t="s">
        <v>6306</v>
      </c>
      <c r="G765" s="823" t="s">
        <v>3980</v>
      </c>
      <c r="H765" s="708" t="s">
        <v>3978</v>
      </c>
      <c r="I765" s="824">
        <v>14000</v>
      </c>
      <c r="J765" s="821">
        <v>0</v>
      </c>
      <c r="K765" s="821">
        <v>8</v>
      </c>
      <c r="L765" s="821">
        <f t="shared" si="142"/>
        <v>1750</v>
      </c>
      <c r="M765" s="825">
        <v>46262</v>
      </c>
      <c r="N765" s="863">
        <v>46260</v>
      </c>
      <c r="O765" s="820"/>
      <c r="P765" s="824"/>
      <c r="Q765" s="824"/>
      <c r="R765" s="827"/>
      <c r="S765" s="828"/>
      <c r="T765" s="828"/>
      <c r="U765" s="828"/>
      <c r="V765" s="829"/>
      <c r="W765" s="828"/>
      <c r="X765" s="894" t="s">
        <v>6307</v>
      </c>
      <c r="Y765" s="825" t="s">
        <v>288</v>
      </c>
      <c r="Z765" s="830">
        <v>4.8266</v>
      </c>
      <c r="AA765" s="822">
        <f t="shared" si="153"/>
        <v>67572.4</v>
      </c>
      <c r="AB765" s="831"/>
      <c r="AC765" s="1052" t="s">
        <v>3980</v>
      </c>
      <c r="AD765" s="821" t="s">
        <v>112</v>
      </c>
      <c r="AE765" s="821">
        <f t="shared" si="146"/>
        <v>14000</v>
      </c>
      <c r="AF765" s="821" t="s">
        <v>5125</v>
      </c>
      <c r="AG765" s="708"/>
      <c r="AH765" s="833">
        <f t="shared" si="147"/>
        <v>-14000</v>
      </c>
      <c r="AI765" s="824"/>
      <c r="AJ765" s="708" t="s">
        <v>3981</v>
      </c>
      <c r="AK765" s="834">
        <f t="shared" si="151"/>
        <v>14000</v>
      </c>
      <c r="AL765" s="834"/>
      <c r="AM765" s="822"/>
      <c r="AN765" s="834">
        <f t="shared" ref="AN765:AN771" si="154">I765</f>
        <v>14000</v>
      </c>
      <c r="AO765" s="822"/>
      <c r="AP765" s="822"/>
      <c r="AQ765" s="822"/>
      <c r="AR765" s="822"/>
      <c r="AS765" s="822"/>
      <c r="AT765" s="822">
        <f t="shared" si="152"/>
        <v>1750</v>
      </c>
      <c r="AU765" s="834"/>
      <c r="AV765" s="834"/>
      <c r="AW765" s="834"/>
      <c r="AX765" s="822"/>
      <c r="AY765" s="822"/>
      <c r="AZ765" s="822"/>
      <c r="BA765" s="822"/>
      <c r="BB765" s="822"/>
      <c r="BC765" s="822"/>
      <c r="BD765" s="822"/>
      <c r="BE765" s="822"/>
      <c r="BF765" s="822"/>
      <c r="BG765" s="822"/>
      <c r="BH765" s="822"/>
      <c r="BI765" s="822"/>
      <c r="BJ765" s="835"/>
      <c r="BK765" s="835"/>
      <c r="BL765" s="835"/>
      <c r="BM765" s="835"/>
      <c r="BN765" s="835"/>
      <c r="BO765" s="835"/>
      <c r="BP765" s="835"/>
      <c r="BQ765" s="835"/>
      <c r="BR765" s="835"/>
      <c r="BS765" s="835"/>
      <c r="BT765" s="835"/>
      <c r="BU765" s="835"/>
      <c r="BV765" s="835"/>
      <c r="BW765" s="835"/>
      <c r="BX765" s="835"/>
      <c r="BY765" s="835"/>
      <c r="BZ765" s="835"/>
      <c r="CA765" s="835"/>
      <c r="CB765" s="835"/>
      <c r="CC765" s="835"/>
      <c r="CD765" s="835"/>
      <c r="CE765" s="835"/>
      <c r="CF765" s="835"/>
      <c r="CG765" s="835"/>
      <c r="CH765" s="835"/>
      <c r="CI765" s="835"/>
      <c r="CJ765" s="835"/>
      <c r="CK765" s="835"/>
      <c r="CL765" s="835"/>
      <c r="CM765" s="835"/>
      <c r="CN765" s="835"/>
      <c r="CO765" s="835"/>
      <c r="CP765" s="835"/>
      <c r="CQ765" s="835"/>
      <c r="CR765" s="835"/>
      <c r="CS765" s="835"/>
      <c r="CT765" s="835"/>
      <c r="CU765" s="835"/>
      <c r="CV765" s="835"/>
      <c r="CW765" s="835"/>
      <c r="CX765" s="835"/>
      <c r="CY765" s="835"/>
      <c r="CZ765" s="835"/>
      <c r="DA765" s="835"/>
      <c r="DB765" s="835"/>
      <c r="DC765" s="835"/>
      <c r="DD765" s="835"/>
    </row>
    <row r="766" s="659" customFormat="1" ht="31" customHeight="1" spans="1:108">
      <c r="A766" s="819">
        <v>46210</v>
      </c>
      <c r="B766" s="820" t="s">
        <v>1634</v>
      </c>
      <c r="C766" s="821" t="s">
        <v>1635</v>
      </c>
      <c r="D766" s="822">
        <v>4500215347</v>
      </c>
      <c r="E766" s="821"/>
      <c r="F766" s="822" t="s">
        <v>6308</v>
      </c>
      <c r="G766" s="823" t="s">
        <v>3973</v>
      </c>
      <c r="H766" s="708" t="s">
        <v>3995</v>
      </c>
      <c r="I766" s="824">
        <v>2016</v>
      </c>
      <c r="J766" s="821">
        <v>0</v>
      </c>
      <c r="K766" s="821">
        <v>16</v>
      </c>
      <c r="L766" s="821">
        <f t="shared" si="142"/>
        <v>126</v>
      </c>
      <c r="M766" s="825">
        <v>46262</v>
      </c>
      <c r="N766" s="863">
        <v>46260</v>
      </c>
      <c r="O766" s="820"/>
      <c r="P766" s="824"/>
      <c r="Q766" s="824"/>
      <c r="R766" s="827">
        <v>46210</v>
      </c>
      <c r="S766" s="828" t="s">
        <v>107</v>
      </c>
      <c r="T766" s="848" t="s">
        <v>3092</v>
      </c>
      <c r="U766" s="848"/>
      <c r="V766" s="828"/>
      <c r="W766" s="828"/>
      <c r="X766" s="894" t="s">
        <v>6309</v>
      </c>
      <c r="Y766" s="825" t="s">
        <v>1059</v>
      </c>
      <c r="Z766" s="830">
        <v>4.8529</v>
      </c>
      <c r="AA766" s="822">
        <f t="shared" si="153"/>
        <v>9783.4464</v>
      </c>
      <c r="AB766" s="831"/>
      <c r="AC766" s="820" t="s">
        <v>3973</v>
      </c>
      <c r="AD766" s="821" t="s">
        <v>112</v>
      </c>
      <c r="AE766" s="1000">
        <f t="shared" si="146"/>
        <v>2016</v>
      </c>
      <c r="AF766" s="821" t="s">
        <v>5125</v>
      </c>
      <c r="AG766" s="821"/>
      <c r="AH766" s="833">
        <f t="shared" si="147"/>
        <v>-2016</v>
      </c>
      <c r="AI766" s="824"/>
      <c r="AJ766" s="708" t="s">
        <v>3981</v>
      </c>
      <c r="AK766" s="834">
        <f t="shared" si="151"/>
        <v>2016</v>
      </c>
      <c r="AL766" s="822"/>
      <c r="AM766" s="822"/>
      <c r="AN766" s="834">
        <f t="shared" si="154"/>
        <v>2016</v>
      </c>
      <c r="AO766" s="822"/>
      <c r="AP766" s="822"/>
      <c r="AQ766" s="822"/>
      <c r="AR766" s="822"/>
      <c r="AS766" s="822"/>
      <c r="AT766" s="822">
        <f t="shared" si="152"/>
        <v>252</v>
      </c>
      <c r="AU766" s="822"/>
      <c r="AV766" s="822"/>
      <c r="AW766" s="822"/>
      <c r="AX766" s="822"/>
      <c r="AY766" s="822"/>
      <c r="AZ766" s="822"/>
      <c r="BA766" s="822"/>
      <c r="BB766" s="822"/>
      <c r="BC766" s="822"/>
      <c r="BD766" s="822"/>
      <c r="BE766" s="822"/>
      <c r="BF766" s="822"/>
      <c r="BG766" s="822"/>
      <c r="BH766" s="822"/>
      <c r="BI766" s="822"/>
      <c r="BJ766" s="667"/>
      <c r="BK766" s="667"/>
      <c r="BL766" s="667"/>
      <c r="BM766" s="667"/>
      <c r="BN766" s="667"/>
      <c r="BO766" s="667"/>
      <c r="BP766" s="667"/>
      <c r="BQ766" s="667"/>
      <c r="BR766" s="667"/>
      <c r="BS766" s="667"/>
      <c r="BT766" s="667"/>
      <c r="BU766" s="667"/>
      <c r="BV766" s="667"/>
      <c r="BW766" s="667"/>
      <c r="BX766" s="667"/>
      <c r="BY766" s="667"/>
      <c r="BZ766" s="667"/>
      <c r="CA766" s="667"/>
      <c r="CB766" s="667"/>
      <c r="CC766" s="667"/>
      <c r="CD766" s="667"/>
      <c r="CE766" s="667"/>
      <c r="CF766" s="667"/>
      <c r="CG766" s="667"/>
      <c r="CH766" s="667"/>
      <c r="CI766" s="667"/>
      <c r="CJ766" s="667"/>
      <c r="CK766" s="667"/>
      <c r="CL766" s="667"/>
      <c r="CM766" s="667"/>
      <c r="CN766" s="667"/>
      <c r="CO766" s="667"/>
      <c r="CP766" s="667"/>
      <c r="CQ766" s="667"/>
      <c r="CR766" s="667"/>
      <c r="CS766" s="667"/>
      <c r="CT766" s="667"/>
      <c r="CU766" s="667"/>
      <c r="CV766" s="667"/>
      <c r="CW766" s="667"/>
      <c r="CX766" s="667"/>
      <c r="CY766" s="667"/>
      <c r="CZ766" s="667"/>
      <c r="DA766" s="667"/>
      <c r="DB766" s="667"/>
      <c r="DC766" s="667"/>
      <c r="DD766" s="667"/>
    </row>
    <row r="767" s="666" customFormat="1" ht="31" customHeight="1" spans="1:108">
      <c r="A767" s="819">
        <v>46209</v>
      </c>
      <c r="B767" s="820" t="s">
        <v>3080</v>
      </c>
      <c r="C767" s="821" t="s">
        <v>1439</v>
      </c>
      <c r="D767" s="822">
        <v>4500215100</v>
      </c>
      <c r="E767" s="821">
        <v>93038301</v>
      </c>
      <c r="F767" s="822" t="s">
        <v>6310</v>
      </c>
      <c r="G767" s="823" t="s">
        <v>3973</v>
      </c>
      <c r="H767" s="708" t="s">
        <v>3995</v>
      </c>
      <c r="I767" s="824">
        <v>2112</v>
      </c>
      <c r="J767" s="821">
        <v>0</v>
      </c>
      <c r="K767" s="821">
        <v>16</v>
      </c>
      <c r="L767" s="821">
        <f t="shared" si="142"/>
        <v>132</v>
      </c>
      <c r="M767" s="825">
        <v>46262</v>
      </c>
      <c r="N767" s="863">
        <v>46260</v>
      </c>
      <c r="O767" s="820"/>
      <c r="P767" s="824"/>
      <c r="Q767" s="824"/>
      <c r="R767" s="827" t="s">
        <v>6223</v>
      </c>
      <c r="S767" s="828" t="s">
        <v>107</v>
      </c>
      <c r="T767" s="828" t="s">
        <v>6311</v>
      </c>
      <c r="U767" s="828"/>
      <c r="V767" s="828"/>
      <c r="W767" s="828"/>
      <c r="X767" s="828" t="s">
        <v>6312</v>
      </c>
      <c r="Y767" s="825" t="s">
        <v>2600</v>
      </c>
      <c r="Z767" s="830">
        <v>4.8226</v>
      </c>
      <c r="AA767" s="822">
        <f t="shared" si="153"/>
        <v>10185.3312</v>
      </c>
      <c r="AB767" s="831"/>
      <c r="AC767" s="887" t="s">
        <v>4108</v>
      </c>
      <c r="AD767" s="821" t="s">
        <v>112</v>
      </c>
      <c r="AE767" s="821">
        <f t="shared" si="146"/>
        <v>2112</v>
      </c>
      <c r="AF767" s="821"/>
      <c r="AG767" s="821"/>
      <c r="AH767" s="833">
        <f t="shared" si="147"/>
        <v>-2112</v>
      </c>
      <c r="AI767" s="824"/>
      <c r="AJ767" s="708" t="s">
        <v>3981</v>
      </c>
      <c r="AK767" s="822"/>
      <c r="AL767" s="868">
        <f>I767</f>
        <v>2112</v>
      </c>
      <c r="AM767" s="822"/>
      <c r="AN767" s="834">
        <f t="shared" si="154"/>
        <v>2112</v>
      </c>
      <c r="AO767" s="822"/>
      <c r="AP767" s="822"/>
      <c r="AQ767" s="822"/>
      <c r="AR767" s="822"/>
      <c r="AS767" s="822"/>
      <c r="AT767" s="822"/>
      <c r="AU767" s="925">
        <f>I767/8</f>
        <v>264</v>
      </c>
      <c r="AV767" s="822"/>
      <c r="AW767" s="822"/>
      <c r="AX767" s="822"/>
      <c r="AY767" s="822"/>
      <c r="AZ767" s="822"/>
      <c r="BA767" s="822"/>
      <c r="BB767" s="822"/>
      <c r="BC767" s="822"/>
      <c r="BD767" s="822"/>
      <c r="BE767" s="822"/>
      <c r="BF767" s="822"/>
      <c r="BG767" s="822"/>
      <c r="BH767" s="822"/>
      <c r="BI767" s="822"/>
      <c r="BJ767" s="667"/>
      <c r="BK767" s="667"/>
      <c r="BL767" s="667"/>
      <c r="BM767" s="667"/>
      <c r="BN767" s="667"/>
      <c r="BO767" s="667"/>
      <c r="BP767" s="667"/>
      <c r="BQ767" s="667"/>
      <c r="BR767" s="667"/>
      <c r="BS767" s="667"/>
      <c r="BT767" s="667"/>
      <c r="BU767" s="667"/>
      <c r="BV767" s="667"/>
      <c r="BW767" s="667"/>
      <c r="BX767" s="667"/>
      <c r="BY767" s="667"/>
      <c r="BZ767" s="667"/>
      <c r="CA767" s="667"/>
      <c r="CB767" s="667"/>
      <c r="CC767" s="667"/>
      <c r="CD767" s="667"/>
      <c r="CE767" s="667"/>
      <c r="CF767" s="667"/>
      <c r="CG767" s="667"/>
      <c r="CH767" s="667"/>
      <c r="CI767" s="667"/>
      <c r="CJ767" s="667"/>
      <c r="CK767" s="667"/>
      <c r="CL767" s="667"/>
      <c r="CM767" s="667"/>
      <c r="CN767" s="667"/>
      <c r="CO767" s="667"/>
      <c r="CP767" s="667"/>
      <c r="CQ767" s="667"/>
      <c r="CR767" s="667"/>
      <c r="CS767" s="667"/>
      <c r="CT767" s="667"/>
      <c r="CU767" s="667"/>
      <c r="CV767" s="667"/>
      <c r="CW767" s="667"/>
      <c r="CX767" s="667"/>
      <c r="CY767" s="667"/>
      <c r="CZ767" s="667"/>
      <c r="DA767" s="667"/>
      <c r="DB767" s="667"/>
      <c r="DC767" s="667"/>
      <c r="DD767" s="667"/>
    </row>
    <row r="768" s="675" customFormat="1" ht="31" customHeight="1" spans="1:108">
      <c r="A768" s="819">
        <v>46209</v>
      </c>
      <c r="B768" s="820" t="s">
        <v>3080</v>
      </c>
      <c r="C768" s="821" t="s">
        <v>1439</v>
      </c>
      <c r="D768" s="822">
        <v>4500215100</v>
      </c>
      <c r="E768" s="821">
        <v>93038302</v>
      </c>
      <c r="F768" s="822" t="s">
        <v>6313</v>
      </c>
      <c r="G768" s="823" t="s">
        <v>3973</v>
      </c>
      <c r="H768" s="708" t="s">
        <v>3995</v>
      </c>
      <c r="I768" s="824">
        <v>704</v>
      </c>
      <c r="J768" s="821">
        <v>0</v>
      </c>
      <c r="K768" s="821">
        <v>16</v>
      </c>
      <c r="L768" s="821">
        <f t="shared" si="142"/>
        <v>44</v>
      </c>
      <c r="M768" s="825">
        <v>46262</v>
      </c>
      <c r="N768" s="863">
        <v>46260</v>
      </c>
      <c r="O768" s="820"/>
      <c r="P768" s="824"/>
      <c r="Q768" s="824"/>
      <c r="R768" s="827" t="s">
        <v>6223</v>
      </c>
      <c r="S768" s="828" t="s">
        <v>107</v>
      </c>
      <c r="T768" s="828" t="s">
        <v>6311</v>
      </c>
      <c r="U768" s="828"/>
      <c r="V768" s="828"/>
      <c r="W768" s="828"/>
      <c r="X768" s="828" t="s">
        <v>6312</v>
      </c>
      <c r="Y768" s="825" t="s">
        <v>2600</v>
      </c>
      <c r="Z768" s="830">
        <v>4.8226</v>
      </c>
      <c r="AA768" s="822">
        <f t="shared" si="153"/>
        <v>3395.1104</v>
      </c>
      <c r="AB768" s="831"/>
      <c r="AC768" s="887" t="s">
        <v>4108</v>
      </c>
      <c r="AD768" s="821" t="s">
        <v>112</v>
      </c>
      <c r="AE768" s="821">
        <f t="shared" si="146"/>
        <v>704</v>
      </c>
      <c r="AF768" s="821"/>
      <c r="AG768" s="821"/>
      <c r="AH768" s="833">
        <f t="shared" si="147"/>
        <v>-704</v>
      </c>
      <c r="AI768" s="824"/>
      <c r="AJ768" s="708" t="s">
        <v>3981</v>
      </c>
      <c r="AK768" s="822"/>
      <c r="AL768" s="868">
        <f>I768</f>
        <v>704</v>
      </c>
      <c r="AM768" s="822"/>
      <c r="AN768" s="834">
        <f t="shared" si="154"/>
        <v>704</v>
      </c>
      <c r="AO768" s="822"/>
      <c r="AP768" s="822"/>
      <c r="AQ768" s="822"/>
      <c r="AR768" s="822"/>
      <c r="AS768" s="822"/>
      <c r="AT768" s="822"/>
      <c r="AU768" s="925">
        <f>I768/8</f>
        <v>88</v>
      </c>
      <c r="AV768" s="822"/>
      <c r="AW768" s="822"/>
      <c r="AX768" s="822"/>
      <c r="AY768" s="822"/>
      <c r="AZ768" s="822"/>
      <c r="BA768" s="822"/>
      <c r="BB768" s="822"/>
      <c r="BC768" s="822"/>
      <c r="BD768" s="822"/>
      <c r="BE768" s="822"/>
      <c r="BF768" s="822"/>
      <c r="BG768" s="822"/>
      <c r="BH768" s="822"/>
      <c r="BI768" s="822"/>
      <c r="BJ768" s="667"/>
      <c r="BK768" s="667"/>
      <c r="BL768" s="667"/>
      <c r="BM768" s="667"/>
      <c r="BN768" s="667"/>
      <c r="BO768" s="667"/>
      <c r="BP768" s="667"/>
      <c r="BQ768" s="667"/>
      <c r="BR768" s="667"/>
      <c r="BS768" s="667"/>
      <c r="BT768" s="667"/>
      <c r="BU768" s="667"/>
      <c r="BV768" s="667"/>
      <c r="BW768" s="667"/>
      <c r="BX768" s="667"/>
      <c r="BY768" s="667"/>
      <c r="BZ768" s="667"/>
      <c r="CA768" s="667"/>
      <c r="CB768" s="667"/>
      <c r="CC768" s="667"/>
      <c r="CD768" s="667"/>
      <c r="CE768" s="667"/>
      <c r="CF768" s="667"/>
      <c r="CG768" s="667"/>
      <c r="CH768" s="667"/>
      <c r="CI768" s="667"/>
      <c r="CJ768" s="667"/>
      <c r="CK768" s="667"/>
      <c r="CL768" s="667"/>
      <c r="CM768" s="667"/>
      <c r="CN768" s="667"/>
      <c r="CO768" s="667"/>
      <c r="CP768" s="667"/>
      <c r="CQ768" s="667"/>
      <c r="CR768" s="667"/>
      <c r="CS768" s="667"/>
      <c r="CT768" s="667"/>
      <c r="CU768" s="667"/>
      <c r="CV768" s="667"/>
      <c r="CW768" s="667"/>
      <c r="CX768" s="667"/>
      <c r="CY768" s="667"/>
      <c r="CZ768" s="667"/>
      <c r="DA768" s="667"/>
      <c r="DB768" s="667"/>
      <c r="DC768" s="667"/>
      <c r="DD768" s="667"/>
    </row>
    <row r="769" s="662" customFormat="1" ht="31" customHeight="1" spans="1:108">
      <c r="A769" s="819">
        <v>46177</v>
      </c>
      <c r="B769" s="820" t="s">
        <v>3292</v>
      </c>
      <c r="C769" s="821" t="s">
        <v>217</v>
      </c>
      <c r="D769" s="822">
        <v>4500210777</v>
      </c>
      <c r="E769" s="821" t="s">
        <v>3293</v>
      </c>
      <c r="F769" s="822" t="s">
        <v>6314</v>
      </c>
      <c r="G769" s="823" t="s">
        <v>3973</v>
      </c>
      <c r="H769" s="708" t="s">
        <v>3995</v>
      </c>
      <c r="I769" s="824">
        <v>4800</v>
      </c>
      <c r="J769" s="821">
        <v>0</v>
      </c>
      <c r="K769" s="821">
        <v>16</v>
      </c>
      <c r="L769" s="821">
        <f t="shared" si="142"/>
        <v>300</v>
      </c>
      <c r="M769" s="825">
        <v>46262</v>
      </c>
      <c r="N769" s="863">
        <v>46260</v>
      </c>
      <c r="O769" s="820"/>
      <c r="P769" s="824"/>
      <c r="Q769" s="824"/>
      <c r="R769" s="827">
        <v>46178</v>
      </c>
      <c r="S769" s="828" t="s">
        <v>107</v>
      </c>
      <c r="T769" s="828" t="s">
        <v>6315</v>
      </c>
      <c r="U769" s="828"/>
      <c r="V769" s="828"/>
      <c r="W769" s="828"/>
      <c r="X769" s="828" t="s">
        <v>6316</v>
      </c>
      <c r="Y769" s="825" t="s">
        <v>2332</v>
      </c>
      <c r="Z769" s="830">
        <v>4.784</v>
      </c>
      <c r="AA769" s="822">
        <f t="shared" si="153"/>
        <v>22963.2</v>
      </c>
      <c r="AB769" s="831"/>
      <c r="AC769" s="820" t="s">
        <v>3973</v>
      </c>
      <c r="AD769" s="821" t="s">
        <v>112</v>
      </c>
      <c r="AE769" s="821">
        <f t="shared" si="146"/>
        <v>4800</v>
      </c>
      <c r="AF769" s="821" t="s">
        <v>5125</v>
      </c>
      <c r="AG769" s="821"/>
      <c r="AH769" s="833">
        <f t="shared" si="147"/>
        <v>-4800</v>
      </c>
      <c r="AI769" s="824"/>
      <c r="AJ769" s="708" t="s">
        <v>3981</v>
      </c>
      <c r="AK769" s="834">
        <f>I769</f>
        <v>4800</v>
      </c>
      <c r="AL769" s="834"/>
      <c r="AM769" s="822"/>
      <c r="AN769" s="834">
        <f t="shared" si="154"/>
        <v>4800</v>
      </c>
      <c r="AO769" s="822"/>
      <c r="AP769" s="822"/>
      <c r="AQ769" s="822"/>
      <c r="AR769" s="822"/>
      <c r="AS769" s="822"/>
      <c r="AT769" s="822">
        <f>I769/8</f>
        <v>600</v>
      </c>
      <c r="AU769" s="822"/>
      <c r="AV769" s="822"/>
      <c r="AW769" s="822"/>
      <c r="AX769" s="822"/>
      <c r="AY769" s="822"/>
      <c r="AZ769" s="822"/>
      <c r="BA769" s="822"/>
      <c r="BB769" s="822"/>
      <c r="BC769" s="822"/>
      <c r="BD769" s="822"/>
      <c r="BE769" s="822"/>
      <c r="BF769" s="822"/>
      <c r="BG769" s="822"/>
      <c r="BH769" s="822"/>
      <c r="BI769" s="822"/>
      <c r="BJ769" s="667"/>
      <c r="BK769" s="667"/>
      <c r="BL769" s="667"/>
      <c r="BM769" s="667"/>
      <c r="BN769" s="667"/>
      <c r="BO769" s="667"/>
      <c r="BP769" s="667"/>
      <c r="BQ769" s="667"/>
      <c r="BR769" s="667"/>
      <c r="BS769" s="667"/>
      <c r="BT769" s="667"/>
      <c r="BU769" s="667"/>
      <c r="BV769" s="667"/>
      <c r="BW769" s="667"/>
      <c r="BX769" s="667"/>
      <c r="BY769" s="667"/>
      <c r="BZ769" s="667"/>
      <c r="CA769" s="667"/>
      <c r="CB769" s="667"/>
      <c r="CC769" s="667"/>
      <c r="CD769" s="667"/>
      <c r="CE769" s="667"/>
      <c r="CF769" s="667"/>
      <c r="CG769" s="667"/>
      <c r="CH769" s="667"/>
      <c r="CI769" s="667"/>
      <c r="CJ769" s="667"/>
      <c r="CK769" s="667"/>
      <c r="CL769" s="667"/>
      <c r="CM769" s="667"/>
      <c r="CN769" s="667"/>
      <c r="CO769" s="667"/>
      <c r="CP769" s="667"/>
      <c r="CQ769" s="667"/>
      <c r="CR769" s="667"/>
      <c r="CS769" s="666"/>
      <c r="CT769" s="666"/>
      <c r="CU769" s="666"/>
      <c r="CV769" s="666"/>
      <c r="CW769" s="666"/>
      <c r="CX769" s="666"/>
      <c r="CY769" s="666"/>
      <c r="CZ769" s="666"/>
      <c r="DA769" s="666"/>
      <c r="DB769" s="666"/>
      <c r="DC769" s="666"/>
      <c r="DD769" s="666"/>
    </row>
    <row r="770" s="659" customFormat="1" ht="31" customHeight="1" spans="1:108">
      <c r="A770" s="819">
        <v>46177</v>
      </c>
      <c r="B770" s="820" t="s">
        <v>2326</v>
      </c>
      <c r="C770" s="821" t="s">
        <v>319</v>
      </c>
      <c r="D770" s="822">
        <v>4500210776</v>
      </c>
      <c r="E770" s="821" t="s">
        <v>3297</v>
      </c>
      <c r="F770" s="822" t="s">
        <v>6317</v>
      </c>
      <c r="G770" s="823" t="s">
        <v>3973</v>
      </c>
      <c r="H770" s="708" t="s">
        <v>3995</v>
      </c>
      <c r="I770" s="824">
        <v>4800</v>
      </c>
      <c r="J770" s="821">
        <v>0</v>
      </c>
      <c r="K770" s="821">
        <v>16</v>
      </c>
      <c r="L770" s="821">
        <f t="shared" si="142"/>
        <v>300</v>
      </c>
      <c r="M770" s="825">
        <v>46262</v>
      </c>
      <c r="N770" s="863">
        <v>46260</v>
      </c>
      <c r="O770" s="820"/>
      <c r="P770" s="824"/>
      <c r="Q770" s="824" t="s">
        <v>3299</v>
      </c>
      <c r="R770" s="827">
        <v>46178</v>
      </c>
      <c r="S770" s="828" t="s">
        <v>107</v>
      </c>
      <c r="T770" s="828" t="s">
        <v>6318</v>
      </c>
      <c r="U770" s="828"/>
      <c r="V770" s="828"/>
      <c r="W770" s="828"/>
      <c r="X770" s="828" t="s">
        <v>6187</v>
      </c>
      <c r="Y770" s="825" t="s">
        <v>2332</v>
      </c>
      <c r="Z770" s="830">
        <v>4.784</v>
      </c>
      <c r="AA770" s="822">
        <f t="shared" si="153"/>
        <v>22963.2</v>
      </c>
      <c r="AB770" s="831"/>
      <c r="AC770" s="820" t="s">
        <v>3973</v>
      </c>
      <c r="AD770" s="821" t="s">
        <v>112</v>
      </c>
      <c r="AE770" s="821">
        <f t="shared" si="146"/>
        <v>4800</v>
      </c>
      <c r="AF770" s="821" t="s">
        <v>5125</v>
      </c>
      <c r="AG770" s="821"/>
      <c r="AH770" s="833">
        <f t="shared" si="147"/>
        <v>-4800</v>
      </c>
      <c r="AI770" s="821" t="s">
        <v>120</v>
      </c>
      <c r="AJ770" s="708" t="s">
        <v>3981</v>
      </c>
      <c r="AK770" s="834">
        <f>I770</f>
        <v>4800</v>
      </c>
      <c r="AL770" s="834"/>
      <c r="AM770" s="822"/>
      <c r="AN770" s="834">
        <f t="shared" si="154"/>
        <v>4800</v>
      </c>
      <c r="AO770" s="822"/>
      <c r="AP770" s="822"/>
      <c r="AQ770" s="822"/>
      <c r="AR770" s="822"/>
      <c r="AS770" s="822"/>
      <c r="AT770" s="822">
        <f>I770/8</f>
        <v>600</v>
      </c>
      <c r="AU770" s="822"/>
      <c r="AV770" s="822"/>
      <c r="AW770" s="822"/>
      <c r="AX770" s="822"/>
      <c r="AY770" s="822"/>
      <c r="AZ770" s="822"/>
      <c r="BA770" s="822"/>
      <c r="BB770" s="822"/>
      <c r="BC770" s="822"/>
      <c r="BD770" s="822"/>
      <c r="BE770" s="822"/>
      <c r="BF770" s="822"/>
      <c r="BG770" s="822"/>
      <c r="BH770" s="822"/>
      <c r="BI770" s="822"/>
      <c r="BJ770" s="667"/>
      <c r="BK770" s="667"/>
      <c r="BL770" s="667"/>
      <c r="BM770" s="667"/>
      <c r="BN770" s="667"/>
      <c r="BO770" s="667"/>
      <c r="BP770" s="667"/>
      <c r="BQ770" s="667"/>
      <c r="BR770" s="667"/>
      <c r="BS770" s="667"/>
      <c r="BT770" s="667"/>
      <c r="BU770" s="667"/>
      <c r="BV770" s="667"/>
      <c r="BW770" s="667"/>
      <c r="BX770" s="667"/>
      <c r="BY770" s="667"/>
      <c r="BZ770" s="667"/>
      <c r="CA770" s="667"/>
      <c r="CB770" s="667"/>
      <c r="CC770" s="667"/>
      <c r="CD770" s="667"/>
      <c r="CE770" s="667"/>
      <c r="CF770" s="667"/>
      <c r="CG770" s="667"/>
      <c r="CH770" s="667"/>
      <c r="CI770" s="667"/>
      <c r="CJ770" s="667"/>
      <c r="CK770" s="667"/>
      <c r="CL770" s="667"/>
      <c r="CM770" s="667"/>
      <c r="CN770" s="667"/>
      <c r="CO770" s="667"/>
      <c r="CP770" s="667"/>
      <c r="CQ770" s="667"/>
      <c r="CR770" s="667"/>
      <c r="CS770" s="666"/>
      <c r="CT770" s="666"/>
      <c r="CU770" s="666"/>
      <c r="CV770" s="666"/>
      <c r="CW770" s="666"/>
      <c r="CX770" s="666"/>
      <c r="CY770" s="666"/>
      <c r="CZ770" s="666"/>
      <c r="DA770" s="666"/>
      <c r="DB770" s="666"/>
      <c r="DC770" s="666"/>
      <c r="DD770" s="666"/>
    </row>
    <row r="771" s="670" customFormat="1" ht="31" customHeight="1" spans="1:108">
      <c r="A771" s="951">
        <v>46210</v>
      </c>
      <c r="B771" s="952" t="s">
        <v>3618</v>
      </c>
      <c r="C771" s="953" t="s">
        <v>148</v>
      </c>
      <c r="D771" s="669">
        <v>4500215186</v>
      </c>
      <c r="E771" s="953">
        <v>4400568230</v>
      </c>
      <c r="F771" s="669" t="s">
        <v>6319</v>
      </c>
      <c r="G771" s="955" t="s">
        <v>3973</v>
      </c>
      <c r="H771" s="956" t="s">
        <v>3995</v>
      </c>
      <c r="I771" s="957">
        <v>8400</v>
      </c>
      <c r="J771" s="953">
        <v>0</v>
      </c>
      <c r="K771" s="953">
        <v>16</v>
      </c>
      <c r="L771" s="953">
        <f t="shared" si="142"/>
        <v>525</v>
      </c>
      <c r="M771" s="958">
        <v>46262</v>
      </c>
      <c r="N771" s="959">
        <v>46260</v>
      </c>
      <c r="O771" s="952"/>
      <c r="P771" s="957"/>
      <c r="Q771" s="957"/>
      <c r="R771" s="886">
        <v>46210</v>
      </c>
      <c r="S771" s="848" t="s">
        <v>107</v>
      </c>
      <c r="T771" s="848" t="s">
        <v>4347</v>
      </c>
      <c r="U771" s="848"/>
      <c r="V771" s="961"/>
      <c r="W771" s="961"/>
      <c r="X771" s="961" t="s">
        <v>6320</v>
      </c>
      <c r="Y771" s="958" t="s">
        <v>976</v>
      </c>
      <c r="Z771" s="962">
        <v>4.8121</v>
      </c>
      <c r="AA771" s="669">
        <f t="shared" si="153"/>
        <v>40421.64</v>
      </c>
      <c r="AB771" s="831"/>
      <c r="AC771" s="887" t="s">
        <v>4108</v>
      </c>
      <c r="AD771" s="821" t="s">
        <v>112</v>
      </c>
      <c r="AE771" s="953">
        <f t="shared" si="146"/>
        <v>8400</v>
      </c>
      <c r="AF771" s="953"/>
      <c r="AG771" s="953"/>
      <c r="AH771" s="833">
        <f t="shared" si="147"/>
        <v>-8400</v>
      </c>
      <c r="AI771" s="957"/>
      <c r="AJ771" s="708" t="s">
        <v>3981</v>
      </c>
      <c r="AK771" s="822"/>
      <c r="AL771" s="868">
        <f>I771</f>
        <v>8400</v>
      </c>
      <c r="AM771" s="822"/>
      <c r="AN771" s="834">
        <f t="shared" si="154"/>
        <v>8400</v>
      </c>
      <c r="AO771" s="669"/>
      <c r="AP771" s="822"/>
      <c r="AQ771" s="669"/>
      <c r="AR771" s="669"/>
      <c r="AS771" s="669"/>
      <c r="AT771" s="669"/>
      <c r="AU771" s="1046">
        <f>I771/8</f>
        <v>1050</v>
      </c>
      <c r="AV771" s="669"/>
      <c r="AW771" s="669"/>
      <c r="AX771" s="669"/>
      <c r="AY771" s="669"/>
      <c r="AZ771" s="669"/>
      <c r="BA771" s="669"/>
      <c r="BB771" s="669"/>
      <c r="BC771" s="669"/>
      <c r="BD771" s="669"/>
      <c r="BE771" s="669"/>
      <c r="BF771" s="669"/>
      <c r="BG771" s="669"/>
      <c r="BH771" s="669"/>
      <c r="BI771" s="822"/>
      <c r="BJ771" s="669"/>
      <c r="BK771" s="669"/>
      <c r="BL771" s="669"/>
      <c r="BM771" s="669"/>
      <c r="BN771" s="669"/>
      <c r="BO771" s="669"/>
      <c r="BP771" s="669"/>
      <c r="BQ771" s="669"/>
      <c r="BR771" s="669"/>
      <c r="BS771" s="669"/>
      <c r="BT771" s="669"/>
      <c r="BU771" s="669"/>
      <c r="BV771" s="669"/>
      <c r="BW771" s="669"/>
      <c r="BX771" s="669"/>
      <c r="BY771" s="669"/>
      <c r="BZ771" s="669"/>
      <c r="CA771" s="669"/>
      <c r="CB771" s="669"/>
      <c r="CC771" s="669"/>
      <c r="CD771" s="669"/>
      <c r="CE771" s="669"/>
      <c r="CF771" s="669"/>
      <c r="CG771" s="669"/>
      <c r="CH771" s="669"/>
      <c r="CI771" s="669"/>
      <c r="CJ771" s="669"/>
      <c r="CK771" s="669"/>
      <c r="CL771" s="669"/>
      <c r="CM771" s="669"/>
      <c r="CN771" s="669"/>
      <c r="CO771" s="669"/>
      <c r="CP771" s="669"/>
      <c r="CQ771" s="669"/>
      <c r="CR771" s="669"/>
      <c r="CS771" s="669"/>
      <c r="CT771" s="669"/>
      <c r="CU771" s="669"/>
      <c r="CV771" s="669"/>
      <c r="CW771" s="669"/>
      <c r="CX771" s="669"/>
      <c r="CY771" s="669"/>
      <c r="CZ771" s="669"/>
      <c r="DA771" s="669"/>
      <c r="DB771" s="669"/>
      <c r="DC771" s="669"/>
      <c r="DD771" s="669"/>
    </row>
    <row r="772" s="666" customFormat="1" ht="31" customHeight="1" spans="1:108">
      <c r="A772" s="859">
        <v>46115</v>
      </c>
      <c r="B772" s="860" t="s">
        <v>2382</v>
      </c>
      <c r="C772" s="708" t="s">
        <v>201</v>
      </c>
      <c r="D772" s="834">
        <v>4500200110</v>
      </c>
      <c r="E772" s="1911" t="s">
        <v>6321</v>
      </c>
      <c r="F772" s="834" t="s">
        <v>3301</v>
      </c>
      <c r="G772" s="846" t="s">
        <v>4215</v>
      </c>
      <c r="H772" s="708" t="s">
        <v>483</v>
      </c>
      <c r="I772" s="861">
        <v>4320</v>
      </c>
      <c r="J772" s="708">
        <v>0</v>
      </c>
      <c r="K772" s="708">
        <v>120</v>
      </c>
      <c r="L772" s="708">
        <f t="shared" si="142"/>
        <v>36</v>
      </c>
      <c r="M772" s="879">
        <v>46262</v>
      </c>
      <c r="N772" s="879">
        <v>46260</v>
      </c>
      <c r="O772" s="860"/>
      <c r="P772" s="861"/>
      <c r="Q772" s="861"/>
      <c r="R772" s="864">
        <v>46197</v>
      </c>
      <c r="S772" s="829" t="s">
        <v>107</v>
      </c>
      <c r="T772" s="829" t="s">
        <v>95</v>
      </c>
      <c r="U772" s="829"/>
      <c r="V772" s="829"/>
      <c r="W772" s="829"/>
      <c r="X772" s="829" t="s">
        <v>636</v>
      </c>
      <c r="Y772" s="862" t="s">
        <v>488</v>
      </c>
      <c r="Z772" s="866">
        <v>1070</v>
      </c>
      <c r="AA772" s="834">
        <f>L772*Z772</f>
        <v>38520</v>
      </c>
      <c r="AB772" s="831"/>
      <c r="AC772" s="836" t="s">
        <v>490</v>
      </c>
      <c r="AD772" s="708" t="s">
        <v>112</v>
      </c>
      <c r="AE772" s="708">
        <f t="shared" si="146"/>
        <v>4320</v>
      </c>
      <c r="AF772" s="708"/>
      <c r="AG772" s="708">
        <f>584+555+2037+950</f>
        <v>4126</v>
      </c>
      <c r="AH772" s="833">
        <f t="shared" si="147"/>
        <v>-194</v>
      </c>
      <c r="AI772" s="861"/>
      <c r="AJ772" s="708" t="s">
        <v>3981</v>
      </c>
      <c r="AK772" s="834"/>
      <c r="AL772" s="834"/>
      <c r="AM772" s="834"/>
      <c r="AN772" s="834"/>
      <c r="AO772" s="834"/>
      <c r="AP772" s="834"/>
      <c r="AQ772" s="834">
        <f>I772</f>
        <v>4320</v>
      </c>
      <c r="AR772" s="834">
        <f>I772</f>
        <v>4320</v>
      </c>
      <c r="AS772" s="834">
        <f>I772/6</f>
        <v>720</v>
      </c>
      <c r="AT772" s="834"/>
      <c r="AU772" s="834"/>
      <c r="AV772" s="834"/>
      <c r="AW772" s="834"/>
      <c r="AX772" s="834"/>
      <c r="AY772" s="834"/>
      <c r="AZ772" s="834"/>
      <c r="BA772" s="834"/>
      <c r="BB772" s="834"/>
      <c r="BC772" s="834"/>
      <c r="BD772" s="834"/>
      <c r="BE772" s="834"/>
      <c r="BF772" s="834"/>
      <c r="BG772" s="834"/>
      <c r="BH772" s="834"/>
      <c r="BI772" s="834"/>
      <c r="BJ772" s="659"/>
      <c r="BK772" s="659"/>
      <c r="BL772" s="659"/>
      <c r="BM772" s="659"/>
      <c r="BN772" s="659"/>
      <c r="BO772" s="659"/>
      <c r="BP772" s="659"/>
      <c r="BQ772" s="659"/>
      <c r="BR772" s="659"/>
      <c r="BS772" s="659"/>
      <c r="BT772" s="659"/>
      <c r="BU772" s="659"/>
      <c r="BV772" s="659"/>
      <c r="BW772" s="659"/>
      <c r="BX772" s="659"/>
      <c r="BY772" s="659"/>
      <c r="BZ772" s="659"/>
      <c r="CA772" s="659"/>
      <c r="CB772" s="659"/>
      <c r="CC772" s="659"/>
      <c r="CD772" s="659"/>
      <c r="CE772" s="659"/>
      <c r="CF772" s="659"/>
      <c r="CG772" s="659"/>
      <c r="CH772" s="659"/>
      <c r="CI772" s="659"/>
      <c r="CJ772" s="659"/>
      <c r="CK772" s="659"/>
      <c r="CL772" s="659"/>
      <c r="CM772" s="659"/>
      <c r="CN772" s="659"/>
      <c r="CO772" s="659"/>
      <c r="CP772" s="659"/>
      <c r="CQ772" s="659"/>
      <c r="CR772" s="659"/>
      <c r="CS772" s="659"/>
      <c r="CT772" s="659"/>
      <c r="CU772" s="659"/>
      <c r="CV772" s="659"/>
      <c r="CW772" s="659"/>
      <c r="CX772" s="659"/>
      <c r="CY772" s="659"/>
      <c r="CZ772" s="659"/>
      <c r="DA772" s="659"/>
      <c r="DB772" s="659"/>
      <c r="DC772" s="659"/>
      <c r="DD772" s="659"/>
    </row>
    <row r="773" s="301" customFormat="1" ht="31" customHeight="1" spans="1:108">
      <c r="A773" s="819">
        <v>46234</v>
      </c>
      <c r="B773" s="820" t="s">
        <v>163</v>
      </c>
      <c r="C773" s="821" t="s">
        <v>164</v>
      </c>
      <c r="D773" s="822">
        <v>4500218402</v>
      </c>
      <c r="E773" s="821">
        <v>4400577345</v>
      </c>
      <c r="F773" s="822" t="s">
        <v>6322</v>
      </c>
      <c r="G773" s="823" t="s">
        <v>3973</v>
      </c>
      <c r="H773" s="821" t="s">
        <v>3995</v>
      </c>
      <c r="I773" s="824">
        <v>5008</v>
      </c>
      <c r="J773" s="821">
        <v>0</v>
      </c>
      <c r="K773" s="821">
        <v>16</v>
      </c>
      <c r="L773" s="821">
        <f t="shared" si="142"/>
        <v>313</v>
      </c>
      <c r="M773" s="825">
        <v>46262</v>
      </c>
      <c r="N773" s="825">
        <f>M773-4</f>
        <v>46258</v>
      </c>
      <c r="O773" s="820" t="s">
        <v>6323</v>
      </c>
      <c r="P773" s="824"/>
      <c r="Q773" s="824"/>
      <c r="R773" s="827">
        <v>46185</v>
      </c>
      <c r="S773" s="848" t="s">
        <v>107</v>
      </c>
      <c r="T773" s="828" t="s">
        <v>3997</v>
      </c>
      <c r="U773" s="828"/>
      <c r="V773" s="828" t="s">
        <v>5199</v>
      </c>
      <c r="W773" s="828"/>
      <c r="X773" s="828" t="s">
        <v>6324</v>
      </c>
      <c r="Y773" s="825" t="s">
        <v>1142</v>
      </c>
      <c r="Z773" s="830">
        <v>4.894</v>
      </c>
      <c r="AA773" s="822">
        <f t="shared" ref="AA773:AA778" si="155">I773*Z773</f>
        <v>24509.152</v>
      </c>
      <c r="AB773" s="927"/>
      <c r="AC773" s="822" t="s">
        <v>4108</v>
      </c>
      <c r="AD773" s="821" t="s">
        <v>112</v>
      </c>
      <c r="AE773" s="821">
        <f t="shared" si="146"/>
        <v>5008</v>
      </c>
      <c r="AF773" s="821"/>
      <c r="AG773" s="821"/>
      <c r="AH773" s="833">
        <f t="shared" si="147"/>
        <v>-5008</v>
      </c>
      <c r="AI773" s="824"/>
      <c r="AJ773" s="821"/>
      <c r="AK773" s="822"/>
      <c r="AL773" s="822"/>
      <c r="AM773" s="822">
        <f>I773</f>
        <v>5008</v>
      </c>
      <c r="AN773" s="834">
        <f t="shared" ref="AN773:AN778" si="156">I773</f>
        <v>5008</v>
      </c>
      <c r="AO773" s="822"/>
      <c r="AP773" s="822"/>
      <c r="AQ773" s="822"/>
      <c r="AR773" s="822"/>
      <c r="AS773" s="822"/>
      <c r="AT773" s="822"/>
      <c r="AU773" s="834">
        <f>I773/8</f>
        <v>626</v>
      </c>
      <c r="AV773" s="822"/>
      <c r="AW773" s="822"/>
      <c r="AX773" s="822"/>
      <c r="AY773" s="822"/>
      <c r="AZ773" s="822"/>
      <c r="BA773" s="822"/>
      <c r="BB773" s="822"/>
      <c r="BC773" s="822"/>
      <c r="BD773" s="822"/>
      <c r="BE773" s="822"/>
      <c r="BF773" s="822"/>
      <c r="BG773" s="822"/>
      <c r="BH773" s="822"/>
      <c r="BI773" s="822"/>
      <c r="BJ773" s="667"/>
      <c r="BK773" s="667"/>
      <c r="BL773" s="667"/>
      <c r="BM773" s="667"/>
      <c r="BN773" s="667"/>
      <c r="BO773" s="667"/>
      <c r="BP773" s="667"/>
      <c r="BQ773" s="667"/>
      <c r="BR773" s="667"/>
      <c r="BS773" s="667"/>
      <c r="BT773" s="667"/>
      <c r="BU773" s="667"/>
      <c r="BV773" s="667"/>
      <c r="BW773" s="667"/>
      <c r="BX773" s="667"/>
      <c r="BY773" s="667"/>
      <c r="BZ773" s="667"/>
      <c r="CA773" s="667"/>
      <c r="CB773" s="667"/>
      <c r="CC773" s="667"/>
      <c r="CD773" s="667"/>
      <c r="CE773" s="667"/>
      <c r="CF773" s="667"/>
      <c r="CG773" s="667"/>
      <c r="CH773" s="667"/>
      <c r="CI773" s="667"/>
      <c r="CJ773" s="667"/>
      <c r="CK773" s="667"/>
      <c r="CL773" s="667"/>
      <c r="CM773" s="667"/>
      <c r="CN773" s="667"/>
      <c r="CO773" s="667"/>
      <c r="CP773" s="667"/>
      <c r="CQ773" s="667"/>
      <c r="CR773" s="667"/>
      <c r="CS773" s="667"/>
      <c r="CT773" s="667"/>
      <c r="CU773" s="667"/>
      <c r="CV773" s="667"/>
      <c r="CW773" s="667"/>
      <c r="CX773" s="667"/>
      <c r="CY773" s="667"/>
      <c r="CZ773" s="667"/>
      <c r="DA773" s="667"/>
      <c r="DB773" s="667"/>
      <c r="DC773" s="667"/>
      <c r="DD773" s="667"/>
    </row>
    <row r="774" s="659" customFormat="1" ht="31" customHeight="1" spans="1:108">
      <c r="A774" s="819">
        <v>46190</v>
      </c>
      <c r="B774" s="820" t="s">
        <v>3311</v>
      </c>
      <c r="C774" s="821" t="s">
        <v>115</v>
      </c>
      <c r="D774" s="822" t="s">
        <v>6325</v>
      </c>
      <c r="E774" s="821" t="s">
        <v>6326</v>
      </c>
      <c r="F774" s="822" t="s">
        <v>6327</v>
      </c>
      <c r="G774" s="823" t="s">
        <v>6328</v>
      </c>
      <c r="H774" s="821" t="s">
        <v>6329</v>
      </c>
      <c r="I774" s="824">
        <v>2400</v>
      </c>
      <c r="J774" s="821">
        <v>0</v>
      </c>
      <c r="K774" s="821">
        <v>16</v>
      </c>
      <c r="L774" s="821">
        <f>I774/K774</f>
        <v>150</v>
      </c>
      <c r="M774" s="825">
        <v>46262</v>
      </c>
      <c r="N774" s="863">
        <v>46263</v>
      </c>
      <c r="O774" s="820" t="s">
        <v>6330</v>
      </c>
      <c r="P774" s="824"/>
      <c r="Q774" s="824"/>
      <c r="R774" s="827">
        <v>46230</v>
      </c>
      <c r="S774" s="848" t="s">
        <v>107</v>
      </c>
      <c r="T774" s="828" t="s">
        <v>3315</v>
      </c>
      <c r="U774" s="828"/>
      <c r="V774" s="828" t="s">
        <v>3316</v>
      </c>
      <c r="W774" s="828"/>
      <c r="X774" s="828" t="s">
        <v>3317</v>
      </c>
      <c r="Y774" s="825" t="s">
        <v>2754</v>
      </c>
      <c r="Z774" s="830">
        <v>2.8936</v>
      </c>
      <c r="AA774" s="822">
        <f t="shared" si="155"/>
        <v>6944.64</v>
      </c>
      <c r="AB774" s="831"/>
      <c r="AC774" s="822" t="s">
        <v>6328</v>
      </c>
      <c r="AD774" s="821" t="s">
        <v>3804</v>
      </c>
      <c r="AE774" s="1000">
        <f t="shared" ref="AE774:AE837" si="157">I774</f>
        <v>2400</v>
      </c>
      <c r="AF774" s="821" t="s">
        <v>5125</v>
      </c>
      <c r="AG774" s="708"/>
      <c r="AH774" s="833">
        <f t="shared" si="147"/>
        <v>-2400</v>
      </c>
      <c r="AI774" s="824"/>
      <c r="AJ774" s="821"/>
      <c r="AK774" s="834">
        <f>I774</f>
        <v>2400</v>
      </c>
      <c r="AL774" s="822"/>
      <c r="AM774" s="822"/>
      <c r="AN774" s="834">
        <f t="shared" si="156"/>
        <v>2400</v>
      </c>
      <c r="AO774" s="822"/>
      <c r="AP774" s="822"/>
      <c r="AQ774" s="822"/>
      <c r="AR774" s="822"/>
      <c r="AS774" s="822"/>
      <c r="AT774" s="822"/>
      <c r="AU774" s="834"/>
      <c r="AV774" s="834"/>
      <c r="AW774" s="834"/>
      <c r="AX774" s="822"/>
      <c r="AY774" s="822"/>
      <c r="AZ774" s="822"/>
      <c r="BA774" s="822"/>
      <c r="BB774" s="822">
        <f>I774/8</f>
        <v>300</v>
      </c>
      <c r="BC774" s="822"/>
      <c r="BD774" s="822"/>
      <c r="BE774" s="822"/>
      <c r="BF774" s="822"/>
      <c r="BG774" s="822"/>
      <c r="BH774" s="822"/>
      <c r="BI774" s="822"/>
    </row>
    <row r="775" s="670" customFormat="1" ht="31" customHeight="1" spans="1:108">
      <c r="A775" s="951">
        <v>46183</v>
      </c>
      <c r="B775" s="952" t="s">
        <v>163</v>
      </c>
      <c r="C775" s="953" t="s">
        <v>164</v>
      </c>
      <c r="D775" s="669" t="s">
        <v>5493</v>
      </c>
      <c r="E775" s="953" t="s">
        <v>6331</v>
      </c>
      <c r="F775" s="669" t="s">
        <v>6332</v>
      </c>
      <c r="G775" s="955" t="s">
        <v>3973</v>
      </c>
      <c r="H775" s="956" t="s">
        <v>3995</v>
      </c>
      <c r="I775" s="957">
        <v>7504</v>
      </c>
      <c r="J775" s="953">
        <v>0</v>
      </c>
      <c r="K775" s="953">
        <v>16</v>
      </c>
      <c r="L775" s="953">
        <f t="shared" ref="L775:L837" si="158">I775/K775</f>
        <v>469</v>
      </c>
      <c r="M775" s="958">
        <v>46264</v>
      </c>
      <c r="N775" s="959">
        <v>46262</v>
      </c>
      <c r="O775" s="952"/>
      <c r="P775" s="957"/>
      <c r="Q775" s="957"/>
      <c r="R775" s="827" t="s">
        <v>2869</v>
      </c>
      <c r="S775" s="828" t="s">
        <v>107</v>
      </c>
      <c r="T775" s="828" t="s">
        <v>3997</v>
      </c>
      <c r="U775" s="848"/>
      <c r="V775" s="828" t="s">
        <v>5199</v>
      </c>
      <c r="W775" s="961"/>
      <c r="X775" s="961" t="s">
        <v>5496</v>
      </c>
      <c r="Y775" s="958" t="s">
        <v>142</v>
      </c>
      <c r="Z775" s="1053">
        <v>4.894</v>
      </c>
      <c r="AA775" s="669">
        <f t="shared" si="155"/>
        <v>36724.576</v>
      </c>
      <c r="AB775" s="831"/>
      <c r="AC775" s="887" t="s">
        <v>4108</v>
      </c>
      <c r="AD775" s="821" t="s">
        <v>112</v>
      </c>
      <c r="AE775" s="953">
        <f t="shared" si="157"/>
        <v>7504</v>
      </c>
      <c r="AF775" s="953"/>
      <c r="AG775" s="956"/>
      <c r="AH775" s="833">
        <f t="shared" ref="AH775:AH813" si="159">AG775-I775</f>
        <v>-7504</v>
      </c>
      <c r="AI775" s="957"/>
      <c r="AJ775" s="708" t="s">
        <v>3981</v>
      </c>
      <c r="AK775" s="822"/>
      <c r="AL775" s="834"/>
      <c r="AM775" s="822">
        <f>I775</f>
        <v>7504</v>
      </c>
      <c r="AN775" s="834">
        <f t="shared" si="156"/>
        <v>7504</v>
      </c>
      <c r="AO775" s="822"/>
      <c r="AP775" s="822"/>
      <c r="AQ775" s="822"/>
      <c r="AR775" s="822"/>
      <c r="AS775" s="822"/>
      <c r="AT775" s="822"/>
      <c r="AU775" s="670">
        <f>I775/8</f>
        <v>938</v>
      </c>
      <c r="AX775" s="669"/>
      <c r="AY775" s="669"/>
      <c r="AZ775" s="669"/>
      <c r="BA775" s="669"/>
      <c r="BB775" s="669"/>
      <c r="BC775" s="669"/>
      <c r="BD775" s="669"/>
      <c r="BE775" s="669"/>
      <c r="BF775" s="669"/>
      <c r="BG775" s="669"/>
      <c r="BH775" s="669"/>
      <c r="BI775" s="822"/>
      <c r="CS775" s="1048"/>
      <c r="CT775" s="1048"/>
      <c r="CU775" s="1048"/>
      <c r="CV775" s="1048"/>
      <c r="CW775" s="1048"/>
      <c r="CX775" s="1048"/>
      <c r="CY775" s="1048"/>
      <c r="CZ775" s="1048"/>
      <c r="DA775" s="1048"/>
      <c r="DB775" s="1048"/>
      <c r="DC775" s="1048"/>
      <c r="DD775" s="1048"/>
    </row>
    <row r="776" s="670" customFormat="1" ht="31" customHeight="1" spans="1:108">
      <c r="A776" s="951">
        <v>46182</v>
      </c>
      <c r="B776" s="952" t="s">
        <v>521</v>
      </c>
      <c r="C776" s="953" t="s">
        <v>101</v>
      </c>
      <c r="D776" s="669">
        <v>4500211275</v>
      </c>
      <c r="E776" s="965">
        <v>21933738</v>
      </c>
      <c r="F776" s="669" t="s">
        <v>6333</v>
      </c>
      <c r="G776" s="955" t="s">
        <v>3980</v>
      </c>
      <c r="H776" s="956" t="s">
        <v>3978</v>
      </c>
      <c r="I776" s="957">
        <v>112</v>
      </c>
      <c r="J776" s="953">
        <v>0</v>
      </c>
      <c r="K776" s="953">
        <v>8</v>
      </c>
      <c r="L776" s="953">
        <f t="shared" si="158"/>
        <v>14</v>
      </c>
      <c r="M776" s="958">
        <v>46265</v>
      </c>
      <c r="N776" s="959">
        <v>46259</v>
      </c>
      <c r="O776" s="952"/>
      <c r="P776" s="957"/>
      <c r="Q776" s="1054" t="s">
        <v>3335</v>
      </c>
      <c r="R776" s="905">
        <v>46224</v>
      </c>
      <c r="S776" s="848" t="s">
        <v>107</v>
      </c>
      <c r="T776" s="848" t="s">
        <v>6230</v>
      </c>
      <c r="U776" s="848"/>
      <c r="V776" s="961" t="s">
        <v>6093</v>
      </c>
      <c r="W776" s="961"/>
      <c r="X776" s="966" t="s">
        <v>6334</v>
      </c>
      <c r="Y776" s="958" t="s">
        <v>362</v>
      </c>
      <c r="Z776" s="962">
        <v>4.7893</v>
      </c>
      <c r="AA776" s="669">
        <f t="shared" si="155"/>
        <v>536.4016</v>
      </c>
      <c r="AB776" s="831"/>
      <c r="AC776" s="836" t="s">
        <v>3980</v>
      </c>
      <c r="AD776" s="821" t="s">
        <v>112</v>
      </c>
      <c r="AE776" s="953">
        <f t="shared" si="157"/>
        <v>112</v>
      </c>
      <c r="AF776" s="953" t="s">
        <v>5125</v>
      </c>
      <c r="AG776" s="956"/>
      <c r="AH776" s="833">
        <f t="shared" si="159"/>
        <v>-112</v>
      </c>
      <c r="AI776" s="957"/>
      <c r="AJ776" s="708" t="s">
        <v>3981</v>
      </c>
      <c r="AK776" s="834">
        <f>I776</f>
        <v>112</v>
      </c>
      <c r="AL776" s="834"/>
      <c r="AM776" s="822"/>
      <c r="AN776" s="834">
        <f t="shared" si="156"/>
        <v>112</v>
      </c>
      <c r="AO776" s="669"/>
      <c r="AP776" s="822"/>
      <c r="AQ776" s="669"/>
      <c r="AR776" s="669"/>
      <c r="AS776" s="669"/>
      <c r="AT776" s="669"/>
      <c r="AU776" s="670"/>
      <c r="AX776" s="670">
        <f>I776/8</f>
        <v>14</v>
      </c>
      <c r="BA776" s="669"/>
      <c r="BB776" s="669"/>
      <c r="BC776" s="669"/>
      <c r="BD776" s="669"/>
      <c r="BE776" s="669"/>
      <c r="BF776" s="669"/>
      <c r="BG776" s="669"/>
      <c r="BH776" s="669"/>
      <c r="BI776" s="822"/>
    </row>
    <row r="777" s="667" customFormat="1" ht="31" customHeight="1" spans="1:108">
      <c r="A777" s="819">
        <v>46182</v>
      </c>
      <c r="B777" s="820" t="s">
        <v>525</v>
      </c>
      <c r="C777" s="821" t="s">
        <v>508</v>
      </c>
      <c r="D777" s="822">
        <v>4500211272</v>
      </c>
      <c r="E777" s="888">
        <v>21933737</v>
      </c>
      <c r="F777" s="822" t="s">
        <v>6335</v>
      </c>
      <c r="G777" s="823" t="s">
        <v>3980</v>
      </c>
      <c r="H777" s="708" t="s">
        <v>3978</v>
      </c>
      <c r="I777" s="824">
        <v>1392</v>
      </c>
      <c r="J777" s="821">
        <v>0</v>
      </c>
      <c r="K777" s="821">
        <v>8</v>
      </c>
      <c r="L777" s="821">
        <f t="shared" si="158"/>
        <v>174</v>
      </c>
      <c r="M777" s="825">
        <v>46265</v>
      </c>
      <c r="N777" s="863">
        <v>46259</v>
      </c>
      <c r="O777" s="820"/>
      <c r="P777" s="824"/>
      <c r="Q777" s="824"/>
      <c r="R777" s="864">
        <v>46224</v>
      </c>
      <c r="S777" s="828" t="s">
        <v>107</v>
      </c>
      <c r="T777" s="828" t="s">
        <v>6336</v>
      </c>
      <c r="U777" s="828"/>
      <c r="V777" s="828" t="s">
        <v>6093</v>
      </c>
      <c r="W777" s="828"/>
      <c r="X777" s="894" t="s">
        <v>6337</v>
      </c>
      <c r="Y777" s="825" t="s">
        <v>362</v>
      </c>
      <c r="Z777" s="830">
        <v>4.7788</v>
      </c>
      <c r="AA777" s="822">
        <f t="shared" si="155"/>
        <v>6652.0896</v>
      </c>
      <c r="AB777" s="831"/>
      <c r="AC777" s="836" t="s">
        <v>3980</v>
      </c>
      <c r="AD777" s="821" t="s">
        <v>112</v>
      </c>
      <c r="AE777" s="821">
        <f t="shared" si="157"/>
        <v>1392</v>
      </c>
      <c r="AF777" s="821" t="s">
        <v>5125</v>
      </c>
      <c r="AG777" s="708"/>
      <c r="AH777" s="833">
        <f t="shared" si="159"/>
        <v>-1392</v>
      </c>
      <c r="AI777" s="824"/>
      <c r="AJ777" s="708" t="s">
        <v>3981</v>
      </c>
      <c r="AK777" s="834">
        <f>I777</f>
        <v>1392</v>
      </c>
      <c r="AL777" s="834"/>
      <c r="AM777" s="822"/>
      <c r="AN777" s="834">
        <f t="shared" si="156"/>
        <v>1392</v>
      </c>
      <c r="AO777" s="822"/>
      <c r="AP777" s="822"/>
      <c r="AQ777" s="822"/>
      <c r="AR777" s="822"/>
      <c r="AS777" s="822"/>
      <c r="AT777" s="669"/>
      <c r="AU777" s="834"/>
      <c r="AV777" s="834"/>
      <c r="AW777" s="834"/>
      <c r="AX777" s="834">
        <f>I777/8</f>
        <v>174</v>
      </c>
      <c r="AY777" s="834"/>
      <c r="AZ777" s="834"/>
      <c r="BA777" s="822"/>
      <c r="BB777" s="822"/>
      <c r="BC777" s="822"/>
      <c r="BD777" s="822"/>
      <c r="BE777" s="822"/>
      <c r="BF777" s="822"/>
      <c r="BG777" s="822"/>
      <c r="BH777" s="822"/>
      <c r="BI777" s="822"/>
      <c r="BJ777" s="659"/>
      <c r="BK777" s="659"/>
      <c r="BL777" s="659"/>
      <c r="BM777" s="659"/>
      <c r="BN777" s="659"/>
      <c r="BO777" s="659"/>
      <c r="BP777" s="659"/>
      <c r="BQ777" s="659"/>
      <c r="BR777" s="659"/>
      <c r="BS777" s="659"/>
      <c r="BT777" s="659"/>
      <c r="BU777" s="659"/>
      <c r="BV777" s="659"/>
      <c r="BW777" s="659"/>
      <c r="BX777" s="659"/>
      <c r="BY777" s="659"/>
      <c r="BZ777" s="659"/>
      <c r="CA777" s="659"/>
      <c r="CB777" s="659"/>
      <c r="CC777" s="659"/>
      <c r="CD777" s="659"/>
      <c r="CE777" s="659"/>
      <c r="CF777" s="659"/>
      <c r="CG777" s="659"/>
      <c r="CH777" s="659"/>
      <c r="CI777" s="659"/>
      <c r="CJ777" s="659"/>
      <c r="CK777" s="659"/>
      <c r="CL777" s="659"/>
      <c r="CM777" s="659"/>
      <c r="CN777" s="659"/>
      <c r="CO777" s="659"/>
      <c r="CP777" s="659"/>
      <c r="CQ777" s="659"/>
      <c r="CR777" s="659"/>
      <c r="CS777" s="662"/>
      <c r="CT777" s="662"/>
      <c r="CU777" s="662"/>
      <c r="CV777" s="662"/>
      <c r="CW777" s="662"/>
      <c r="CX777" s="662"/>
      <c r="CY777" s="662"/>
      <c r="CZ777" s="662"/>
      <c r="DA777" s="662"/>
      <c r="DB777" s="662"/>
      <c r="DC777" s="662"/>
      <c r="DD777" s="662"/>
    </row>
    <row r="778" s="659" customFormat="1" ht="31" customHeight="1" spans="1:108">
      <c r="A778" s="819">
        <v>46210</v>
      </c>
      <c r="B778" s="820" t="s">
        <v>1460</v>
      </c>
      <c r="C778" s="821" t="s">
        <v>1461</v>
      </c>
      <c r="D778" s="822">
        <v>4500214680</v>
      </c>
      <c r="E778" s="821"/>
      <c r="F778" s="822" t="s">
        <v>6338</v>
      </c>
      <c r="G778" s="823" t="s">
        <v>3973</v>
      </c>
      <c r="H778" s="708" t="s">
        <v>3995</v>
      </c>
      <c r="I778" s="824">
        <v>3120</v>
      </c>
      <c r="J778" s="821">
        <v>0</v>
      </c>
      <c r="K778" s="821">
        <v>16</v>
      </c>
      <c r="L778" s="821">
        <f t="shared" si="158"/>
        <v>195</v>
      </c>
      <c r="M778" s="825">
        <v>46265</v>
      </c>
      <c r="N778" s="863">
        <v>46263</v>
      </c>
      <c r="O778" s="820"/>
      <c r="P778" s="824"/>
      <c r="Q778" s="824"/>
      <c r="R778" s="827">
        <v>46232</v>
      </c>
      <c r="S778" s="828" t="s">
        <v>107</v>
      </c>
      <c r="T778" s="828" t="s">
        <v>6339</v>
      </c>
      <c r="U778" s="828"/>
      <c r="V778" s="828"/>
      <c r="W778" s="828"/>
      <c r="X778" s="828" t="s">
        <v>6340</v>
      </c>
      <c r="Y778" s="825" t="s">
        <v>1466</v>
      </c>
      <c r="Z778" s="830">
        <v>4.8226</v>
      </c>
      <c r="AA778" s="822">
        <f t="shared" si="155"/>
        <v>15046.512</v>
      </c>
      <c r="AB778" s="831"/>
      <c r="AC778" s="820" t="s">
        <v>3973</v>
      </c>
      <c r="AD778" s="821" t="s">
        <v>112</v>
      </c>
      <c r="AE778" s="1000">
        <f t="shared" si="157"/>
        <v>3120</v>
      </c>
      <c r="AF778" s="821"/>
      <c r="AG778" s="821"/>
      <c r="AH778" s="833">
        <f t="shared" si="159"/>
        <v>-3120</v>
      </c>
      <c r="AI778" s="824"/>
      <c r="AJ778" s="708" t="s">
        <v>3981</v>
      </c>
      <c r="AK778" s="834">
        <f>I778</f>
        <v>3120</v>
      </c>
      <c r="AL778" s="822"/>
      <c r="AM778" s="822"/>
      <c r="AN778" s="834">
        <f t="shared" si="156"/>
        <v>3120</v>
      </c>
      <c r="AO778" s="822"/>
      <c r="AP778" s="822"/>
      <c r="AQ778" s="822"/>
      <c r="AR778" s="822"/>
      <c r="AS778" s="822"/>
      <c r="AT778" s="822">
        <f>I778/8</f>
        <v>390</v>
      </c>
      <c r="AU778" s="822"/>
      <c r="AV778" s="822"/>
      <c r="AW778" s="822"/>
      <c r="AX778" s="822"/>
      <c r="AY778" s="822"/>
      <c r="AZ778" s="822"/>
      <c r="BA778" s="822"/>
      <c r="BB778" s="822"/>
      <c r="BC778" s="822"/>
      <c r="BD778" s="822"/>
      <c r="BE778" s="822"/>
      <c r="BF778" s="822"/>
      <c r="BG778" s="822"/>
      <c r="BH778" s="822"/>
      <c r="BI778" s="822"/>
      <c r="BJ778" s="667"/>
      <c r="BK778" s="667"/>
      <c r="BL778" s="667"/>
      <c r="BM778" s="667"/>
      <c r="BN778" s="667"/>
      <c r="BO778" s="667"/>
      <c r="BP778" s="667"/>
      <c r="BQ778" s="667"/>
      <c r="BR778" s="667"/>
      <c r="BS778" s="667"/>
      <c r="BT778" s="667"/>
      <c r="BU778" s="667"/>
      <c r="BV778" s="667"/>
      <c r="BW778" s="667"/>
      <c r="BX778" s="667"/>
      <c r="BY778" s="667"/>
      <c r="BZ778" s="667"/>
      <c r="CA778" s="667"/>
      <c r="CB778" s="667"/>
      <c r="CC778" s="667"/>
      <c r="CD778" s="667"/>
      <c r="CE778" s="667"/>
      <c r="CF778" s="667"/>
      <c r="CG778" s="667"/>
      <c r="CH778" s="667"/>
      <c r="CI778" s="667"/>
      <c r="CJ778" s="667"/>
      <c r="CK778" s="667"/>
      <c r="CL778" s="667"/>
      <c r="CM778" s="667"/>
      <c r="CN778" s="667"/>
      <c r="CO778" s="667"/>
      <c r="CP778" s="667"/>
      <c r="CQ778" s="667"/>
      <c r="CR778" s="667"/>
      <c r="CS778" s="667"/>
      <c r="CT778" s="667"/>
      <c r="CU778" s="667"/>
      <c r="CV778" s="667"/>
      <c r="CW778" s="667"/>
      <c r="CX778" s="667"/>
      <c r="CY778" s="667"/>
      <c r="CZ778" s="667"/>
      <c r="DA778" s="667"/>
      <c r="DB778" s="667"/>
      <c r="DC778" s="667"/>
      <c r="DD778" s="667"/>
    </row>
    <row r="779" s="670" customFormat="1" ht="31" customHeight="1" spans="1:108">
      <c r="A779" s="951">
        <v>46163</v>
      </c>
      <c r="B779" s="952" t="s">
        <v>2896</v>
      </c>
      <c r="C779" s="953" t="s">
        <v>1439</v>
      </c>
      <c r="D779" s="954" t="s">
        <v>6341</v>
      </c>
      <c r="E779" s="953" t="s">
        <v>6342</v>
      </c>
      <c r="F779" s="669" t="s">
        <v>2897</v>
      </c>
      <c r="G779" s="955" t="s">
        <v>4341</v>
      </c>
      <c r="H779" s="956" t="s">
        <v>483</v>
      </c>
      <c r="I779" s="957">
        <v>1920</v>
      </c>
      <c r="J779" s="953">
        <v>0</v>
      </c>
      <c r="K779" s="953">
        <v>120</v>
      </c>
      <c r="L779" s="953">
        <f t="shared" si="158"/>
        <v>16</v>
      </c>
      <c r="M779" s="958">
        <v>46265</v>
      </c>
      <c r="N779" s="959">
        <v>46263</v>
      </c>
      <c r="O779" s="952" t="s">
        <v>2899</v>
      </c>
      <c r="P779" s="957"/>
      <c r="Q779" s="957"/>
      <c r="R779" s="1055">
        <v>46227</v>
      </c>
      <c r="S779" s="960" t="s">
        <v>107</v>
      </c>
      <c r="T779" s="848" t="s">
        <v>2900</v>
      </c>
      <c r="U779" s="960"/>
      <c r="V779" s="960"/>
      <c r="W779" s="961"/>
      <c r="X779" s="991" t="s">
        <v>6343</v>
      </c>
      <c r="Y779" s="958" t="s">
        <v>730</v>
      </c>
      <c r="Z779" s="962">
        <v>1118</v>
      </c>
      <c r="AA779" s="669">
        <f>L779*Z779</f>
        <v>17888</v>
      </c>
      <c r="AB779" s="831"/>
      <c r="AC779" s="1051" t="s">
        <v>490</v>
      </c>
      <c r="AD779" s="953" t="s">
        <v>112</v>
      </c>
      <c r="AE779" s="953">
        <f t="shared" si="157"/>
        <v>1920</v>
      </c>
      <c r="AF779" s="953"/>
      <c r="AG779" s="956"/>
      <c r="AH779" s="833">
        <f t="shared" si="159"/>
        <v>-1920</v>
      </c>
      <c r="AI779" s="957"/>
      <c r="AJ779" s="708" t="s">
        <v>3981</v>
      </c>
      <c r="AK779" s="669"/>
      <c r="AL779" s="670"/>
      <c r="AM779" s="669"/>
      <c r="AN779" s="670"/>
      <c r="AO779" s="669"/>
      <c r="AP779" s="669"/>
      <c r="AQ779" s="670">
        <f>I779</f>
        <v>1920</v>
      </c>
      <c r="AR779" s="670">
        <f>I779</f>
        <v>1920</v>
      </c>
      <c r="AS779" s="670">
        <f>I779/6</f>
        <v>320</v>
      </c>
      <c r="AT779" s="669"/>
      <c r="AU779" s="670"/>
      <c r="AX779" s="669"/>
      <c r="AY779" s="669"/>
      <c r="AZ779" s="669"/>
      <c r="BA779" s="669"/>
      <c r="BB779" s="669"/>
      <c r="BC779" s="669"/>
      <c r="BD779" s="669"/>
      <c r="BE779" s="669"/>
      <c r="BF779" s="669"/>
      <c r="BG779" s="669"/>
      <c r="BH779" s="669"/>
      <c r="BI779" s="669"/>
      <c r="BJ779" s="1048"/>
      <c r="BK779" s="1048"/>
      <c r="BL779" s="1048"/>
      <c r="BM779" s="1048"/>
      <c r="BN779" s="1048"/>
      <c r="BO779" s="1048"/>
      <c r="BP779" s="1048"/>
      <c r="BQ779" s="1048"/>
      <c r="BR779" s="1048"/>
      <c r="BS779" s="1048"/>
      <c r="BT779" s="1048"/>
      <c r="BU779" s="1048"/>
      <c r="BV779" s="1048"/>
      <c r="BW779" s="1048"/>
      <c r="BX779" s="1048"/>
      <c r="BY779" s="1048"/>
      <c r="BZ779" s="1048"/>
      <c r="CA779" s="1048"/>
      <c r="CB779" s="1048"/>
      <c r="CC779" s="1048"/>
      <c r="CD779" s="1048"/>
      <c r="CE779" s="1048"/>
      <c r="CF779" s="1048"/>
      <c r="CG779" s="1048"/>
      <c r="CH779" s="1048"/>
      <c r="CI779" s="1048"/>
      <c r="CJ779" s="1048"/>
      <c r="CK779" s="1048"/>
      <c r="CL779" s="1048"/>
      <c r="CM779" s="1048"/>
      <c r="CN779" s="1048"/>
      <c r="CO779" s="1048"/>
      <c r="CP779" s="1048"/>
      <c r="CQ779" s="1048"/>
      <c r="CR779" s="1048"/>
    </row>
    <row r="780" s="670" customFormat="1" ht="31" customHeight="1" spans="1:108">
      <c r="A780" s="951">
        <v>46184</v>
      </c>
      <c r="B780" s="952" t="s">
        <v>378</v>
      </c>
      <c r="C780" s="953" t="s">
        <v>201</v>
      </c>
      <c r="D780" s="669">
        <v>4500211685</v>
      </c>
      <c r="E780" s="990">
        <v>2551020366</v>
      </c>
      <c r="F780" s="669" t="s">
        <v>3318</v>
      </c>
      <c r="G780" s="955" t="s">
        <v>5285</v>
      </c>
      <c r="H780" s="956" t="s">
        <v>2048</v>
      </c>
      <c r="I780" s="957">
        <v>4800</v>
      </c>
      <c r="J780" s="953">
        <v>0</v>
      </c>
      <c r="K780" s="953">
        <v>48</v>
      </c>
      <c r="L780" s="953">
        <f t="shared" si="158"/>
        <v>100</v>
      </c>
      <c r="M780" s="1056">
        <v>46265</v>
      </c>
      <c r="N780" s="1056">
        <v>46265</v>
      </c>
      <c r="O780" s="958" t="s">
        <v>3319</v>
      </c>
      <c r="P780" s="957"/>
      <c r="Q780" s="957"/>
      <c r="R780" s="827">
        <v>46191</v>
      </c>
      <c r="S780" s="828" t="s">
        <v>107</v>
      </c>
      <c r="T780" s="828" t="s">
        <v>3320</v>
      </c>
      <c r="U780" s="848"/>
      <c r="V780" s="829"/>
      <c r="W780" s="961"/>
      <c r="X780" s="961" t="s">
        <v>6344</v>
      </c>
      <c r="Y780" s="958" t="s">
        <v>384</v>
      </c>
      <c r="Z780" s="962">
        <v>341.2032</v>
      </c>
      <c r="AA780" s="669">
        <f>Z780*L780</f>
        <v>34120.32</v>
      </c>
      <c r="AB780" s="831"/>
      <c r="AC780" s="867" t="s">
        <v>2052</v>
      </c>
      <c r="AD780" s="821" t="s">
        <v>112</v>
      </c>
      <c r="AE780" s="953">
        <f t="shared" si="157"/>
        <v>4800</v>
      </c>
      <c r="AF780" s="953"/>
      <c r="AG780" s="956"/>
      <c r="AH780" s="833">
        <f t="shared" si="159"/>
        <v>-4800</v>
      </c>
      <c r="AI780" s="957"/>
      <c r="AJ780" s="708" t="s">
        <v>3981</v>
      </c>
      <c r="AK780" s="822"/>
      <c r="AL780" s="868">
        <f>I780</f>
        <v>4800</v>
      </c>
      <c r="AM780" s="822"/>
      <c r="AN780" s="834">
        <f t="shared" ref="AN780:AN796" si="160">I780</f>
        <v>4800</v>
      </c>
      <c r="AO780" s="822"/>
      <c r="AP780" s="822"/>
      <c r="AQ780" s="822"/>
      <c r="AR780" s="822"/>
      <c r="AS780" s="822"/>
      <c r="AT780" s="822"/>
      <c r="AU780" s="967">
        <f>I780/8</f>
        <v>600</v>
      </c>
      <c r="AX780" s="669"/>
      <c r="AY780" s="669"/>
      <c r="AZ780" s="669"/>
      <c r="BA780" s="669"/>
      <c r="BB780" s="669"/>
      <c r="BC780" s="669"/>
      <c r="BD780" s="669"/>
      <c r="BE780" s="669"/>
      <c r="BF780" s="669"/>
      <c r="BG780" s="669"/>
      <c r="BH780" s="669"/>
      <c r="BI780" s="822"/>
    </row>
    <row r="781" s="670" customFormat="1" ht="31" customHeight="1" spans="1:108">
      <c r="A781" s="951">
        <v>46176</v>
      </c>
      <c r="B781" s="952" t="s">
        <v>3341</v>
      </c>
      <c r="C781" s="953" t="s">
        <v>164</v>
      </c>
      <c r="D781" s="669">
        <v>4500210578</v>
      </c>
      <c r="E781" s="953" t="s">
        <v>3342</v>
      </c>
      <c r="F781" s="669" t="s">
        <v>6345</v>
      </c>
      <c r="G781" s="955" t="s">
        <v>3968</v>
      </c>
      <c r="H781" s="956" t="s">
        <v>3969</v>
      </c>
      <c r="I781" s="957">
        <v>160</v>
      </c>
      <c r="J781" s="953">
        <v>0</v>
      </c>
      <c r="K781" s="953">
        <v>16</v>
      </c>
      <c r="L781" s="953">
        <f t="shared" si="158"/>
        <v>10</v>
      </c>
      <c r="M781" s="958">
        <v>46265</v>
      </c>
      <c r="N781" s="959">
        <v>46266</v>
      </c>
      <c r="O781" s="952"/>
      <c r="P781" s="957"/>
      <c r="Q781" s="957"/>
      <c r="R781" s="827">
        <v>46177</v>
      </c>
      <c r="S781" s="828" t="s">
        <v>107</v>
      </c>
      <c r="T781" s="828" t="s">
        <v>6346</v>
      </c>
      <c r="U781" s="848"/>
      <c r="V781" s="829"/>
      <c r="W781" s="961"/>
      <c r="X781" s="961" t="s">
        <v>6347</v>
      </c>
      <c r="Y781" s="958" t="s">
        <v>3347</v>
      </c>
      <c r="Z781" s="962">
        <v>4.7259</v>
      </c>
      <c r="AA781" s="669">
        <f>I781*Z781</f>
        <v>756.144</v>
      </c>
      <c r="AB781" s="831"/>
      <c r="AC781" s="887" t="s">
        <v>4426</v>
      </c>
      <c r="AD781" s="821" t="s">
        <v>112</v>
      </c>
      <c r="AE781" s="953">
        <f t="shared" si="157"/>
        <v>160</v>
      </c>
      <c r="AF781" s="963"/>
      <c r="AG781" s="956"/>
      <c r="AH781" s="833">
        <f t="shared" si="159"/>
        <v>-160</v>
      </c>
      <c r="AI781" s="957"/>
      <c r="AJ781" s="821"/>
      <c r="AK781" s="822"/>
      <c r="AL781" s="834">
        <f>I781</f>
        <v>160</v>
      </c>
      <c r="AM781" s="822"/>
      <c r="AN781" s="834">
        <f t="shared" si="160"/>
        <v>160</v>
      </c>
      <c r="AO781" s="822"/>
      <c r="AP781" s="822"/>
      <c r="AQ781" s="822"/>
      <c r="AR781" s="822"/>
      <c r="AS781" s="822"/>
      <c r="AT781" s="822"/>
      <c r="AX781" s="669"/>
      <c r="AY781" s="669"/>
      <c r="AZ781" s="669"/>
      <c r="BA781" s="669"/>
      <c r="BB781" s="669"/>
      <c r="BC781" s="669"/>
      <c r="BD781" s="669"/>
      <c r="BE781" s="669"/>
      <c r="BF781" s="669"/>
      <c r="BG781" s="669"/>
      <c r="BH781" s="669"/>
      <c r="BI781" s="822"/>
    </row>
    <row r="782" s="673" customFormat="1" ht="31" customHeight="1" spans="1:108">
      <c r="A782" s="897">
        <v>46206</v>
      </c>
      <c r="B782" s="1022" t="s">
        <v>499</v>
      </c>
      <c r="C782" s="913" t="s">
        <v>115</v>
      </c>
      <c r="D782" s="673" t="s">
        <v>6348</v>
      </c>
      <c r="E782" s="913" t="s">
        <v>6349</v>
      </c>
      <c r="F782" s="673" t="s">
        <v>6350</v>
      </c>
      <c r="G782" s="1023" t="s">
        <v>4414</v>
      </c>
      <c r="H782" s="708" t="s">
        <v>3978</v>
      </c>
      <c r="I782" s="904">
        <v>5120</v>
      </c>
      <c r="J782" s="913">
        <v>0</v>
      </c>
      <c r="K782" s="913">
        <v>512</v>
      </c>
      <c r="L782" s="913">
        <f t="shared" si="158"/>
        <v>10</v>
      </c>
      <c r="M782" s="1024">
        <v>46265</v>
      </c>
      <c r="N782" s="903">
        <v>46267</v>
      </c>
      <c r="O782" s="1022" t="s">
        <v>6287</v>
      </c>
      <c r="P782" s="904"/>
      <c r="Q782" s="904"/>
      <c r="R782" s="886" t="s">
        <v>4201</v>
      </c>
      <c r="S782" s="848" t="s">
        <v>107</v>
      </c>
      <c r="T782" s="848" t="s">
        <v>6105</v>
      </c>
      <c r="U782" s="848"/>
      <c r="V782" s="906" t="s">
        <v>4706</v>
      </c>
      <c r="W782" s="1025"/>
      <c r="X782" s="1025" t="s">
        <v>5282</v>
      </c>
      <c r="Y782" s="1024" t="s">
        <v>503</v>
      </c>
      <c r="Z782" s="1026">
        <v>1480.456</v>
      </c>
      <c r="AA782" s="673">
        <f>Z782*L782</f>
        <v>14804.56</v>
      </c>
      <c r="AB782" s="910"/>
      <c r="AC782" s="1057" t="s">
        <v>4194</v>
      </c>
      <c r="AD782" s="912" t="s">
        <v>112</v>
      </c>
      <c r="AE782" s="913">
        <f t="shared" si="157"/>
        <v>5120</v>
      </c>
      <c r="AF782" s="913" t="s">
        <v>5125</v>
      </c>
      <c r="AG782" s="899"/>
      <c r="AH782" s="833">
        <f t="shared" si="159"/>
        <v>-5120</v>
      </c>
      <c r="AI782" s="904"/>
      <c r="AJ782" s="821"/>
      <c r="AK782" s="914">
        <f>I782</f>
        <v>5120</v>
      </c>
      <c r="AL782" s="834"/>
      <c r="AM782" s="834"/>
      <c r="AN782" s="834">
        <f t="shared" si="160"/>
        <v>5120</v>
      </c>
      <c r="AP782" s="920"/>
      <c r="AQ782" s="673"/>
      <c r="AR782" s="673"/>
      <c r="AS782" s="673"/>
      <c r="AT782" s="673">
        <f>I782/8</f>
        <v>640</v>
      </c>
      <c r="AU782" s="834"/>
      <c r="AV782" s="914"/>
      <c r="AW782" s="914"/>
      <c r="BI782" s="920"/>
      <c r="BJ782" s="672"/>
      <c r="BK782" s="672"/>
      <c r="BL782" s="672"/>
      <c r="BM782" s="672"/>
      <c r="BN782" s="672"/>
      <c r="BO782" s="672"/>
      <c r="BP782" s="672"/>
      <c r="BQ782" s="672"/>
      <c r="BR782" s="672"/>
      <c r="BS782" s="672"/>
      <c r="BT782" s="672"/>
      <c r="BU782" s="672"/>
      <c r="BV782" s="672"/>
      <c r="BW782" s="672"/>
      <c r="BX782" s="672"/>
      <c r="BY782" s="672"/>
      <c r="BZ782" s="672"/>
      <c r="CA782" s="672"/>
      <c r="CB782" s="672"/>
      <c r="CC782" s="672"/>
      <c r="CD782" s="672"/>
      <c r="CE782" s="672"/>
      <c r="CF782" s="672"/>
      <c r="CG782" s="672"/>
      <c r="CH782" s="672"/>
      <c r="CI782" s="672"/>
      <c r="CJ782" s="672"/>
      <c r="CK782" s="672"/>
      <c r="CL782" s="672"/>
      <c r="CM782" s="672"/>
      <c r="CN782" s="672"/>
      <c r="CO782" s="672"/>
      <c r="CP782" s="672"/>
      <c r="CQ782" s="672"/>
      <c r="CR782" s="672"/>
      <c r="CS782" s="672"/>
      <c r="CT782" s="672"/>
      <c r="CU782" s="672"/>
      <c r="CV782" s="672"/>
      <c r="CW782" s="672"/>
      <c r="CX782" s="672"/>
      <c r="CY782" s="672"/>
      <c r="CZ782" s="672"/>
      <c r="DA782" s="672"/>
      <c r="DB782" s="672"/>
      <c r="DC782" s="672"/>
      <c r="DD782" s="672"/>
    </row>
    <row r="783" s="650" customFormat="1" ht="31" customHeight="1" spans="1:108">
      <c r="A783" s="713">
        <v>46142</v>
      </c>
      <c r="B783" s="714" t="s">
        <v>3371</v>
      </c>
      <c r="C783" s="715" t="s">
        <v>3379</v>
      </c>
      <c r="D783" s="652" t="s">
        <v>6351</v>
      </c>
      <c r="E783" s="715" t="s">
        <v>628</v>
      </c>
      <c r="F783" s="726" t="s">
        <v>6352</v>
      </c>
      <c r="G783" s="716" t="s">
        <v>3973</v>
      </c>
      <c r="H783" s="715" t="s">
        <v>3995</v>
      </c>
      <c r="I783" s="752">
        <v>608</v>
      </c>
      <c r="J783" s="715">
        <v>0</v>
      </c>
      <c r="K783" s="715">
        <v>16</v>
      </c>
      <c r="L783" s="715">
        <f t="shared" si="158"/>
        <v>38</v>
      </c>
      <c r="M783" s="738">
        <v>46266</v>
      </c>
      <c r="N783" s="738">
        <f>M783-4</f>
        <v>46262</v>
      </c>
      <c r="O783" s="773" t="s">
        <v>3381</v>
      </c>
      <c r="P783" s="717" t="s">
        <v>1410</v>
      </c>
      <c r="Q783" s="717"/>
      <c r="R783" s="723" t="s">
        <v>2869</v>
      </c>
      <c r="S783" s="720" t="s">
        <v>107</v>
      </c>
      <c r="T783" s="720" t="s">
        <v>3064</v>
      </c>
      <c r="U783" s="720"/>
      <c r="V783" s="720" t="s">
        <v>4056</v>
      </c>
      <c r="W783" s="720"/>
      <c r="X783" s="798" t="s">
        <v>6353</v>
      </c>
      <c r="Y783" s="719" t="s">
        <v>2269</v>
      </c>
      <c r="Z783" s="754">
        <v>4.5847</v>
      </c>
      <c r="AA783" s="652">
        <f t="shared" ref="AA783:AA789" si="161">I783*Z783</f>
        <v>2787.4976</v>
      </c>
      <c r="AB783" s="721"/>
      <c r="AC783" s="652" t="s">
        <v>3630</v>
      </c>
      <c r="AD783" s="715"/>
      <c r="AE783" s="715">
        <f t="shared" si="157"/>
        <v>608</v>
      </c>
      <c r="AF783" s="715"/>
      <c r="AG783" s="715"/>
      <c r="AH783" s="715">
        <f t="shared" si="159"/>
        <v>-608</v>
      </c>
      <c r="AI783" s="717"/>
      <c r="AJ783" s="715"/>
      <c r="AK783" s="652"/>
      <c r="AL783" s="652"/>
      <c r="AM783" s="822">
        <f>I783</f>
        <v>608</v>
      </c>
      <c r="AN783" s="652">
        <f t="shared" si="160"/>
        <v>608</v>
      </c>
      <c r="AO783" s="652"/>
      <c r="AP783" s="652"/>
      <c r="AQ783" s="652"/>
      <c r="AR783" s="652"/>
      <c r="AS783" s="652"/>
      <c r="AT783" s="652"/>
      <c r="AU783" s="652"/>
      <c r="AV783" s="652"/>
      <c r="AW783" s="652"/>
      <c r="AX783" s="652"/>
      <c r="AY783" s="652"/>
      <c r="AZ783" s="652"/>
      <c r="BA783" s="652"/>
      <c r="BB783" s="652"/>
      <c r="BC783" s="652"/>
      <c r="BD783" s="652"/>
      <c r="BE783" s="652"/>
      <c r="BF783" s="652"/>
      <c r="BG783" s="652"/>
      <c r="BH783" s="652"/>
      <c r="BI783" s="652"/>
      <c r="BJ783" s="650"/>
      <c r="BK783" s="650"/>
      <c r="BL783" s="650"/>
      <c r="BM783" s="650"/>
      <c r="BN783" s="650"/>
      <c r="BO783" s="650"/>
      <c r="BP783" s="650"/>
      <c r="BQ783" s="650"/>
      <c r="BR783" s="650"/>
      <c r="BS783" s="650"/>
      <c r="BT783" s="650"/>
      <c r="BU783" s="650"/>
      <c r="BV783" s="650"/>
      <c r="BW783" s="650"/>
      <c r="BX783" s="650"/>
      <c r="BY783" s="650"/>
      <c r="BZ783" s="650"/>
      <c r="CA783" s="650"/>
      <c r="CB783" s="650"/>
      <c r="CC783" s="650"/>
      <c r="CD783" s="650"/>
      <c r="CE783" s="650"/>
      <c r="CF783" s="650"/>
      <c r="CG783" s="650"/>
      <c r="CH783" s="650"/>
      <c r="CI783" s="650"/>
      <c r="CJ783" s="650"/>
      <c r="CK783" s="650"/>
      <c r="CL783" s="650"/>
      <c r="CM783" s="650"/>
      <c r="CN783" s="650"/>
      <c r="CO783" s="650"/>
      <c r="CP783" s="650"/>
      <c r="CQ783" s="650"/>
      <c r="CR783" s="650"/>
      <c r="CS783" s="654"/>
      <c r="CT783" s="654"/>
      <c r="CU783" s="654"/>
      <c r="CV783" s="654"/>
      <c r="CW783" s="654"/>
      <c r="CX783" s="654"/>
      <c r="CY783" s="654"/>
      <c r="CZ783" s="654"/>
      <c r="DA783" s="654"/>
      <c r="DB783" s="654"/>
      <c r="DC783" s="654"/>
      <c r="DD783" s="654"/>
    </row>
    <row r="784" s="667" customFormat="1" ht="31" customHeight="1" spans="1:108">
      <c r="A784" s="819">
        <v>46142</v>
      </c>
      <c r="B784" s="820" t="s">
        <v>3371</v>
      </c>
      <c r="C784" s="821" t="s">
        <v>3372</v>
      </c>
      <c r="D784" s="822" t="s">
        <v>6354</v>
      </c>
      <c r="E784" s="821" t="s">
        <v>628</v>
      </c>
      <c r="F784" s="896" t="s">
        <v>6355</v>
      </c>
      <c r="G784" s="823" t="s">
        <v>3973</v>
      </c>
      <c r="H784" s="708" t="s">
        <v>3995</v>
      </c>
      <c r="I784" s="824">
        <v>896</v>
      </c>
      <c r="J784" s="821">
        <v>0</v>
      </c>
      <c r="K784" s="821">
        <v>16</v>
      </c>
      <c r="L784" s="821">
        <f t="shared" si="158"/>
        <v>56</v>
      </c>
      <c r="M784" s="863">
        <v>46266</v>
      </c>
      <c r="N784" s="863">
        <f>M784-4</f>
        <v>46262</v>
      </c>
      <c r="O784" s="820"/>
      <c r="P784" s="824"/>
      <c r="Q784" s="824"/>
      <c r="R784" s="827" t="s">
        <v>2869</v>
      </c>
      <c r="S784" s="829" t="s">
        <v>107</v>
      </c>
      <c r="T784" s="828" t="s">
        <v>3064</v>
      </c>
      <c r="U784" s="828"/>
      <c r="V784" s="829" t="s">
        <v>4056</v>
      </c>
      <c r="W784" s="828"/>
      <c r="X784" s="894" t="s">
        <v>6356</v>
      </c>
      <c r="Y784" s="825" t="s">
        <v>2269</v>
      </c>
      <c r="Z784" s="830">
        <v>4.8331</v>
      </c>
      <c r="AA784" s="822">
        <f t="shared" si="161"/>
        <v>4330.4576</v>
      </c>
      <c r="AB784" s="831"/>
      <c r="AC784" s="822" t="s">
        <v>3630</v>
      </c>
      <c r="AD784" s="953"/>
      <c r="AE784" s="821">
        <f t="shared" si="157"/>
        <v>896</v>
      </c>
      <c r="AF784" s="953"/>
      <c r="AG784" s="708"/>
      <c r="AH784" s="833">
        <f t="shared" si="159"/>
        <v>-896</v>
      </c>
      <c r="AI784" s="957"/>
      <c r="AJ784" s="821"/>
      <c r="AK784" s="822"/>
      <c r="AL784" s="822"/>
      <c r="AM784" s="822">
        <f>I784</f>
        <v>896</v>
      </c>
      <c r="AN784" s="834">
        <f t="shared" si="160"/>
        <v>896</v>
      </c>
      <c r="AO784" s="822"/>
      <c r="AP784" s="822"/>
      <c r="AQ784" s="822"/>
      <c r="AR784" s="822"/>
      <c r="AS784" s="822"/>
      <c r="AT784" s="822"/>
      <c r="AU784" s="822"/>
      <c r="AV784" s="822"/>
      <c r="AW784" s="822"/>
      <c r="AX784" s="822"/>
      <c r="AY784" s="822"/>
      <c r="AZ784" s="822"/>
      <c r="BA784" s="822"/>
      <c r="BB784" s="822"/>
      <c r="BC784" s="822"/>
      <c r="BD784" s="822"/>
      <c r="BE784" s="822"/>
      <c r="BF784" s="822"/>
      <c r="BG784" s="822"/>
      <c r="BH784" s="822"/>
      <c r="BI784" s="822"/>
      <c r="BJ784" s="659"/>
      <c r="BK784" s="659"/>
      <c r="BL784" s="659"/>
      <c r="BM784" s="659"/>
      <c r="BN784" s="659"/>
      <c r="BO784" s="659"/>
      <c r="BP784" s="659"/>
      <c r="BQ784" s="659"/>
      <c r="BR784" s="659"/>
      <c r="BS784" s="659"/>
      <c r="BT784" s="659"/>
      <c r="BU784" s="659"/>
      <c r="BV784" s="659"/>
      <c r="BW784" s="659"/>
      <c r="BX784" s="659"/>
      <c r="BY784" s="659"/>
      <c r="BZ784" s="659"/>
      <c r="CA784" s="659"/>
      <c r="CB784" s="659"/>
      <c r="CC784" s="659"/>
      <c r="CD784" s="659"/>
      <c r="CE784" s="659"/>
      <c r="CF784" s="659"/>
      <c r="CG784" s="659"/>
      <c r="CH784" s="659"/>
      <c r="CI784" s="659"/>
      <c r="CJ784" s="659"/>
      <c r="CK784" s="659"/>
      <c r="CL784" s="659"/>
      <c r="CM784" s="659"/>
      <c r="CN784" s="659"/>
      <c r="CO784" s="659"/>
      <c r="CP784" s="659"/>
      <c r="CQ784" s="659"/>
      <c r="CR784" s="659"/>
      <c r="CS784" s="659"/>
      <c r="CT784" s="659"/>
      <c r="CU784" s="659"/>
      <c r="CV784" s="659"/>
      <c r="CW784" s="659"/>
      <c r="CX784" s="659"/>
      <c r="CY784" s="659"/>
      <c r="CZ784" s="659"/>
      <c r="DA784" s="659"/>
      <c r="DB784" s="659"/>
      <c r="DC784" s="659"/>
      <c r="DD784" s="659"/>
    </row>
    <row r="785" s="673" customFormat="1" ht="31" customHeight="1" spans="1:108">
      <c r="A785" s="897">
        <v>46204</v>
      </c>
      <c r="B785" s="1022" t="s">
        <v>3356</v>
      </c>
      <c r="C785" s="913" t="s">
        <v>1895</v>
      </c>
      <c r="D785" s="673" t="s">
        <v>6357</v>
      </c>
      <c r="E785" s="913" t="s">
        <v>628</v>
      </c>
      <c r="F785" s="673" t="s">
        <v>6358</v>
      </c>
      <c r="G785" s="1023" t="s">
        <v>3973</v>
      </c>
      <c r="H785" s="899" t="s">
        <v>3995</v>
      </c>
      <c r="I785" s="904">
        <v>640</v>
      </c>
      <c r="J785" s="913">
        <v>0</v>
      </c>
      <c r="K785" s="913">
        <v>16</v>
      </c>
      <c r="L785" s="913">
        <f t="shared" si="158"/>
        <v>40</v>
      </c>
      <c r="M785" s="1024">
        <v>46266</v>
      </c>
      <c r="N785" s="1024">
        <v>46262</v>
      </c>
      <c r="O785" s="1022"/>
      <c r="P785" s="904"/>
      <c r="Q785" s="904"/>
      <c r="R785" s="886">
        <v>46232</v>
      </c>
      <c r="S785" s="848" t="s">
        <v>107</v>
      </c>
      <c r="T785" s="848" t="s">
        <v>6359</v>
      </c>
      <c r="U785" s="848"/>
      <c r="V785" s="906"/>
      <c r="W785" s="1025"/>
      <c r="X785" s="1028" t="s">
        <v>6360</v>
      </c>
      <c r="Y785" s="1024" t="s">
        <v>3360</v>
      </c>
      <c r="Z785" s="1026">
        <v>4.8634</v>
      </c>
      <c r="AA785" s="673">
        <f t="shared" si="161"/>
        <v>3112.576</v>
      </c>
      <c r="AB785" s="910"/>
      <c r="AC785" s="1051" t="s">
        <v>4108</v>
      </c>
      <c r="AD785" s="912" t="s">
        <v>112</v>
      </c>
      <c r="AE785" s="913">
        <f t="shared" si="157"/>
        <v>640</v>
      </c>
      <c r="AF785" s="913"/>
      <c r="AG785" s="899">
        <v>640</v>
      </c>
      <c r="AH785" s="833">
        <f t="shared" si="159"/>
        <v>0</v>
      </c>
      <c r="AI785" s="904"/>
      <c r="AJ785" s="708" t="s">
        <v>3981</v>
      </c>
      <c r="AK785" s="920"/>
      <c r="AL785" s="1058">
        <f>I785</f>
        <v>640</v>
      </c>
      <c r="AM785" s="920"/>
      <c r="AN785" s="914">
        <f t="shared" si="160"/>
        <v>640</v>
      </c>
      <c r="AP785" s="920"/>
      <c r="AQ785" s="673"/>
      <c r="AR785" s="673"/>
      <c r="AS785" s="673"/>
      <c r="AT785" s="673"/>
      <c r="AU785" s="1059">
        <f>I785/8</f>
        <v>80</v>
      </c>
      <c r="AV785" s="672"/>
      <c r="AW785" s="672"/>
      <c r="BI785" s="920"/>
      <c r="BJ785" s="672"/>
      <c r="BK785" s="672"/>
      <c r="BL785" s="672"/>
      <c r="BM785" s="672"/>
      <c r="BN785" s="672"/>
      <c r="BO785" s="672"/>
      <c r="BP785" s="672"/>
      <c r="BQ785" s="672"/>
      <c r="BR785" s="672"/>
      <c r="BS785" s="672"/>
      <c r="BT785" s="672"/>
      <c r="BU785" s="672"/>
      <c r="BV785" s="672"/>
      <c r="BW785" s="672"/>
      <c r="BX785" s="672"/>
      <c r="BY785" s="672"/>
      <c r="BZ785" s="672"/>
      <c r="CA785" s="672"/>
      <c r="CB785" s="672"/>
      <c r="CC785" s="672"/>
      <c r="CD785" s="672"/>
      <c r="CE785" s="672"/>
      <c r="CF785" s="672"/>
      <c r="CG785" s="672"/>
      <c r="CH785" s="672"/>
      <c r="CI785" s="672"/>
      <c r="CJ785" s="672"/>
      <c r="CK785" s="672"/>
      <c r="CL785" s="672"/>
      <c r="CM785" s="672"/>
      <c r="CN785" s="672"/>
      <c r="CO785" s="672"/>
      <c r="CP785" s="672"/>
      <c r="CQ785" s="672"/>
      <c r="CR785" s="672"/>
      <c r="CS785" s="672"/>
      <c r="CT785" s="672"/>
      <c r="CU785" s="672"/>
      <c r="CV785" s="672"/>
      <c r="CW785" s="672"/>
      <c r="CX785" s="672"/>
      <c r="CY785" s="672"/>
      <c r="CZ785" s="672"/>
      <c r="DA785" s="672"/>
      <c r="DB785" s="672"/>
      <c r="DC785" s="672"/>
      <c r="DD785" s="672"/>
    </row>
    <row r="786" s="670" customFormat="1" ht="31" customHeight="1" spans="1:108">
      <c r="A786" s="951">
        <v>46168</v>
      </c>
      <c r="B786" s="952" t="s">
        <v>1969</v>
      </c>
      <c r="C786" s="953" t="s">
        <v>1439</v>
      </c>
      <c r="D786" s="669" t="s">
        <v>6361</v>
      </c>
      <c r="E786" s="953" t="s">
        <v>628</v>
      </c>
      <c r="F786" s="990" t="s">
        <v>6362</v>
      </c>
      <c r="G786" s="955" t="s">
        <v>3980</v>
      </c>
      <c r="H786" s="956" t="s">
        <v>3978</v>
      </c>
      <c r="I786" s="957">
        <v>2000</v>
      </c>
      <c r="J786" s="953">
        <v>0</v>
      </c>
      <c r="K786" s="953">
        <v>8</v>
      </c>
      <c r="L786" s="965">
        <f t="shared" si="158"/>
        <v>250</v>
      </c>
      <c r="M786" s="959">
        <v>46266</v>
      </c>
      <c r="N786" s="959">
        <v>46261</v>
      </c>
      <c r="O786" s="952" t="s">
        <v>6363</v>
      </c>
      <c r="P786" s="957"/>
      <c r="Q786" s="957" t="s">
        <v>3353</v>
      </c>
      <c r="R786" s="886">
        <v>46175</v>
      </c>
      <c r="S786" s="848" t="s">
        <v>107</v>
      </c>
      <c r="T786" s="848" t="s">
        <v>6364</v>
      </c>
      <c r="U786" s="848"/>
      <c r="V786" s="960"/>
      <c r="W786" s="961"/>
      <c r="X786" s="966" t="s">
        <v>6365</v>
      </c>
      <c r="Y786" s="958" t="s">
        <v>1477</v>
      </c>
      <c r="Z786" s="962">
        <v>4.6974</v>
      </c>
      <c r="AA786" s="669">
        <f t="shared" si="161"/>
        <v>9394.8</v>
      </c>
      <c r="AB786" s="831"/>
      <c r="AC786" s="867" t="s">
        <v>4031</v>
      </c>
      <c r="AD786" s="821" t="s">
        <v>112</v>
      </c>
      <c r="AE786" s="821">
        <f t="shared" si="157"/>
        <v>2000</v>
      </c>
      <c r="AF786" s="953"/>
      <c r="AG786" s="956"/>
      <c r="AH786" s="833">
        <f t="shared" si="159"/>
        <v>-2000</v>
      </c>
      <c r="AI786" s="957"/>
      <c r="AJ786" s="956" t="s">
        <v>3981</v>
      </c>
      <c r="AK786" s="822"/>
      <c r="AL786" s="868">
        <f>I786</f>
        <v>2000</v>
      </c>
      <c r="AM786" s="822"/>
      <c r="AN786" s="834">
        <f t="shared" si="160"/>
        <v>2000</v>
      </c>
      <c r="AO786" s="669"/>
      <c r="AP786" s="822"/>
      <c r="AQ786" s="669"/>
      <c r="AR786" s="669"/>
      <c r="AS786" s="669"/>
      <c r="AT786" s="669"/>
      <c r="AU786" s="967">
        <f>I786/8</f>
        <v>250</v>
      </c>
      <c r="AX786" s="669"/>
      <c r="AY786" s="669"/>
      <c r="AZ786" s="669"/>
      <c r="BA786" s="669"/>
      <c r="BB786" s="669"/>
      <c r="BC786" s="669"/>
      <c r="BD786" s="669"/>
      <c r="BE786" s="669"/>
      <c r="BF786" s="669"/>
      <c r="BG786" s="669"/>
      <c r="BH786" s="669"/>
      <c r="BI786" s="822"/>
      <c r="CS786" s="676"/>
      <c r="CT786" s="676"/>
      <c r="CU786" s="676"/>
      <c r="CV786" s="676"/>
      <c r="CW786" s="676"/>
      <c r="CX786" s="676"/>
      <c r="CY786" s="676"/>
      <c r="CZ786" s="676"/>
      <c r="DA786" s="676"/>
      <c r="DB786" s="676"/>
      <c r="DC786" s="676"/>
      <c r="DD786" s="676"/>
    </row>
    <row r="787" s="656" customFormat="1" ht="31" customHeight="1" spans="1:108">
      <c r="A787" s="806">
        <v>46142</v>
      </c>
      <c r="B787" s="807" t="s">
        <v>3383</v>
      </c>
      <c r="C787" s="808" t="s">
        <v>3384</v>
      </c>
      <c r="D787" s="656" t="s">
        <v>6366</v>
      </c>
      <c r="E787" s="808" t="s">
        <v>628</v>
      </c>
      <c r="F787" s="656" t="s">
        <v>6367</v>
      </c>
      <c r="G787" s="809" t="s">
        <v>3973</v>
      </c>
      <c r="H787" s="808" t="s">
        <v>3995</v>
      </c>
      <c r="I787" s="810">
        <v>1200</v>
      </c>
      <c r="J787" s="808">
        <v>0</v>
      </c>
      <c r="K787" s="808">
        <v>16</v>
      </c>
      <c r="L787" s="1060">
        <f t="shared" si="158"/>
        <v>75</v>
      </c>
      <c r="M787" s="812">
        <v>46266</v>
      </c>
      <c r="N787" s="812">
        <v>46262</v>
      </c>
      <c r="O787" s="807" t="s">
        <v>6368</v>
      </c>
      <c r="P787" s="717" t="s">
        <v>1410</v>
      </c>
      <c r="Q787" s="810"/>
      <c r="R787" s="734" t="s">
        <v>2869</v>
      </c>
      <c r="S787" s="735" t="s">
        <v>107</v>
      </c>
      <c r="T787" s="735" t="s">
        <v>3064</v>
      </c>
      <c r="U787" s="735"/>
      <c r="V787" s="813" t="s">
        <v>4056</v>
      </c>
      <c r="W787" s="813"/>
      <c r="X787" s="1061" t="s">
        <v>6369</v>
      </c>
      <c r="Y787" s="811" t="s">
        <v>2269</v>
      </c>
      <c r="Z787" s="814">
        <v>4.5368</v>
      </c>
      <c r="AA787" s="656">
        <f t="shared" si="161"/>
        <v>5444.16</v>
      </c>
      <c r="AB787" s="780"/>
      <c r="AC787" s="653" t="s">
        <v>3630</v>
      </c>
      <c r="AD787" s="771"/>
      <c r="AE787" s="808">
        <f t="shared" si="157"/>
        <v>1200</v>
      </c>
      <c r="AF787" s="808"/>
      <c r="AG787" s="808"/>
      <c r="AH787" s="715">
        <f t="shared" si="159"/>
        <v>-1200</v>
      </c>
      <c r="AI787" s="810"/>
      <c r="AJ787" s="715"/>
      <c r="AK787" s="774"/>
      <c r="AL787" s="774"/>
      <c r="AM787" s="822">
        <f>I787</f>
        <v>1200</v>
      </c>
      <c r="AN787" s="774">
        <f t="shared" si="160"/>
        <v>1200</v>
      </c>
      <c r="AP787" s="774"/>
      <c r="AQ787" s="656"/>
      <c r="AR787" s="656"/>
      <c r="AS787" s="656"/>
      <c r="AT787" s="656"/>
      <c r="AU787" s="656"/>
      <c r="AV787" s="656"/>
      <c r="AW787" s="656"/>
      <c r="AX787" s="656"/>
      <c r="BI787" s="774"/>
    </row>
    <row r="788" s="659" customFormat="1" ht="31" customHeight="1" spans="1:108">
      <c r="A788" s="819">
        <v>46188</v>
      </c>
      <c r="B788" s="820" t="s">
        <v>2437</v>
      </c>
      <c r="C788" s="821" t="s">
        <v>1388</v>
      </c>
      <c r="D788" s="822" t="s">
        <v>6370</v>
      </c>
      <c r="E788" s="821" t="s">
        <v>3348</v>
      </c>
      <c r="F788" s="822" t="s">
        <v>6371</v>
      </c>
      <c r="G788" s="823" t="s">
        <v>3973</v>
      </c>
      <c r="H788" s="708" t="s">
        <v>3995</v>
      </c>
      <c r="I788" s="824">
        <v>1200</v>
      </c>
      <c r="J788" s="821">
        <v>0</v>
      </c>
      <c r="K788" s="821">
        <v>16</v>
      </c>
      <c r="L788" s="821">
        <f t="shared" si="158"/>
        <v>75</v>
      </c>
      <c r="M788" s="825">
        <v>46266</v>
      </c>
      <c r="N788" s="825">
        <v>46262</v>
      </c>
      <c r="O788" s="820"/>
      <c r="P788" s="824"/>
      <c r="Q788" s="824"/>
      <c r="R788" s="827">
        <v>46232</v>
      </c>
      <c r="S788" s="828" t="s">
        <v>107</v>
      </c>
      <c r="T788" s="828" t="s">
        <v>3350</v>
      </c>
      <c r="U788" s="828"/>
      <c r="V788" s="829"/>
      <c r="W788" s="828"/>
      <c r="X788" s="828" t="s">
        <v>3351</v>
      </c>
      <c r="Y788" s="825" t="s">
        <v>295</v>
      </c>
      <c r="Z788" s="830">
        <v>4.8226</v>
      </c>
      <c r="AA788" s="822">
        <f t="shared" si="161"/>
        <v>5787.12</v>
      </c>
      <c r="AB788" s="831"/>
      <c r="AC788" s="887" t="s">
        <v>4108</v>
      </c>
      <c r="AD788" s="821" t="s">
        <v>112</v>
      </c>
      <c r="AE788" s="1000">
        <f t="shared" si="157"/>
        <v>1200</v>
      </c>
      <c r="AF788" s="950"/>
      <c r="AG788" s="708"/>
      <c r="AH788" s="833">
        <f t="shared" si="159"/>
        <v>-1200</v>
      </c>
      <c r="AI788" s="824"/>
      <c r="AJ788" s="708" t="s">
        <v>3981</v>
      </c>
      <c r="AK788" s="822"/>
      <c r="AL788" s="868">
        <f>I788</f>
        <v>1200</v>
      </c>
      <c r="AM788" s="822"/>
      <c r="AN788" s="834">
        <f t="shared" si="160"/>
        <v>1200</v>
      </c>
      <c r="AO788" s="822"/>
      <c r="AP788" s="822"/>
      <c r="AQ788" s="822"/>
      <c r="AR788" s="822"/>
      <c r="AS788" s="822"/>
      <c r="AT788" s="822"/>
      <c r="AU788" s="868">
        <f>I788/8</f>
        <v>150</v>
      </c>
      <c r="AV788" s="834"/>
      <c r="AW788" s="834"/>
      <c r="AX788" s="822"/>
      <c r="AY788" s="822"/>
      <c r="AZ788" s="822"/>
      <c r="BA788" s="822"/>
      <c r="BB788" s="822"/>
      <c r="BC788" s="822"/>
      <c r="BD788" s="822"/>
      <c r="BE788" s="822"/>
      <c r="BF788" s="822"/>
      <c r="BG788" s="822"/>
      <c r="BH788" s="822"/>
      <c r="BI788" s="822"/>
    </row>
    <row r="789" s="659" customFormat="1" ht="31" customHeight="1" spans="1:108">
      <c r="A789" s="819">
        <v>46217</v>
      </c>
      <c r="B789" s="820" t="s">
        <v>264</v>
      </c>
      <c r="C789" s="821" t="s">
        <v>265</v>
      </c>
      <c r="D789" s="822">
        <v>4500216448</v>
      </c>
      <c r="E789" s="821">
        <v>4400577348</v>
      </c>
      <c r="F789" s="822" t="s">
        <v>6372</v>
      </c>
      <c r="G789" s="823" t="s">
        <v>3973</v>
      </c>
      <c r="H789" s="708" t="s">
        <v>3995</v>
      </c>
      <c r="I789" s="824">
        <v>7200</v>
      </c>
      <c r="J789" s="821">
        <v>0</v>
      </c>
      <c r="K789" s="821">
        <v>16</v>
      </c>
      <c r="L789" s="821">
        <f t="shared" si="158"/>
        <v>450</v>
      </c>
      <c r="M789" s="825">
        <v>46268</v>
      </c>
      <c r="N789" s="863">
        <v>46265</v>
      </c>
      <c r="O789" s="828" t="s">
        <v>3208</v>
      </c>
      <c r="P789" s="824"/>
      <c r="Q789" s="824"/>
      <c r="R789" s="827">
        <v>46185</v>
      </c>
      <c r="S789" s="828" t="s">
        <v>107</v>
      </c>
      <c r="T789" s="828" t="s">
        <v>153</v>
      </c>
      <c r="U789" s="828"/>
      <c r="V789" s="828"/>
      <c r="W789" s="828"/>
      <c r="X789" s="828" t="s">
        <v>5591</v>
      </c>
      <c r="Y789" s="825" t="s">
        <v>1142</v>
      </c>
      <c r="Z789" s="830">
        <v>4.8121</v>
      </c>
      <c r="AA789" s="822">
        <f t="shared" si="161"/>
        <v>34647.12</v>
      </c>
      <c r="AB789" s="831"/>
      <c r="AC789" s="832" t="s">
        <v>4108</v>
      </c>
      <c r="AD789" s="953" t="s">
        <v>112</v>
      </c>
      <c r="AE789" s="821">
        <f t="shared" si="157"/>
        <v>7200</v>
      </c>
      <c r="AF789" s="821"/>
      <c r="AG789" s="821"/>
      <c r="AH789" s="833">
        <f t="shared" si="159"/>
        <v>-7200</v>
      </c>
      <c r="AI789" s="824"/>
      <c r="AJ789" s="708" t="s">
        <v>3981</v>
      </c>
      <c r="AK789" s="822"/>
      <c r="AL789" s="925">
        <f>I789</f>
        <v>7200</v>
      </c>
      <c r="AM789" s="822"/>
      <c r="AN789" s="822">
        <f t="shared" si="160"/>
        <v>7200</v>
      </c>
      <c r="AO789" s="822"/>
      <c r="AP789" s="822"/>
      <c r="AQ789" s="822"/>
      <c r="AR789" s="822"/>
      <c r="AS789" s="822"/>
      <c r="AT789" s="822"/>
      <c r="AU789" s="925">
        <f>I789/8</f>
        <v>900</v>
      </c>
      <c r="AV789" s="822"/>
      <c r="AW789" s="822"/>
      <c r="AX789" s="822"/>
      <c r="AY789" s="822"/>
      <c r="AZ789" s="822"/>
      <c r="BA789" s="822"/>
      <c r="BB789" s="822"/>
      <c r="BC789" s="822"/>
      <c r="BD789" s="822"/>
      <c r="BE789" s="822"/>
      <c r="BF789" s="822"/>
      <c r="BG789" s="822"/>
      <c r="BH789" s="822"/>
      <c r="BI789" s="822"/>
      <c r="BJ789" s="892"/>
      <c r="BK789" s="892"/>
      <c r="BL789" s="892"/>
      <c r="BM789" s="892"/>
      <c r="BN789" s="892"/>
      <c r="BO789" s="892"/>
      <c r="BP789" s="892"/>
      <c r="BQ789" s="892"/>
      <c r="BR789" s="892"/>
      <c r="BS789" s="892"/>
      <c r="BT789" s="892"/>
      <c r="BU789" s="892"/>
      <c r="BV789" s="892"/>
      <c r="BW789" s="892"/>
      <c r="BX789" s="892"/>
      <c r="BY789" s="892"/>
      <c r="BZ789" s="892"/>
      <c r="CA789" s="892"/>
      <c r="CB789" s="892"/>
      <c r="CC789" s="892"/>
      <c r="CD789" s="892"/>
      <c r="CE789" s="892"/>
      <c r="CF789" s="892"/>
      <c r="CG789" s="892"/>
      <c r="CH789" s="892"/>
      <c r="CI789" s="892"/>
      <c r="CJ789" s="892"/>
      <c r="CK789" s="892"/>
      <c r="CL789" s="892"/>
      <c r="CM789" s="892"/>
      <c r="CN789" s="892"/>
      <c r="CO789" s="892"/>
      <c r="CP789" s="892"/>
      <c r="CQ789" s="892"/>
      <c r="CR789" s="892"/>
      <c r="CS789" s="892"/>
      <c r="CT789" s="892"/>
      <c r="CU789" s="892"/>
      <c r="CV789" s="892"/>
      <c r="CW789" s="892"/>
      <c r="CX789" s="892"/>
      <c r="CY789" s="892"/>
      <c r="CZ789" s="892"/>
      <c r="DA789" s="892"/>
      <c r="DB789" s="892"/>
      <c r="DC789" s="892"/>
      <c r="DD789" s="892"/>
    </row>
    <row r="790" s="659" customFormat="1" ht="31" customHeight="1" spans="1:108">
      <c r="A790" s="819">
        <v>46213</v>
      </c>
      <c r="B790" s="820" t="s">
        <v>499</v>
      </c>
      <c r="C790" s="821" t="s">
        <v>115</v>
      </c>
      <c r="D790" s="822" t="s">
        <v>6373</v>
      </c>
      <c r="E790" s="821" t="s">
        <v>6374</v>
      </c>
      <c r="F790" s="822" t="s">
        <v>6375</v>
      </c>
      <c r="G790" s="823" t="s">
        <v>4414</v>
      </c>
      <c r="H790" s="821" t="s">
        <v>3978</v>
      </c>
      <c r="I790" s="824">
        <v>15872</v>
      </c>
      <c r="J790" s="821">
        <v>0</v>
      </c>
      <c r="K790" s="821">
        <v>512</v>
      </c>
      <c r="L790" s="821">
        <f t="shared" si="158"/>
        <v>31</v>
      </c>
      <c r="M790" s="825">
        <v>46268</v>
      </c>
      <c r="N790" s="825">
        <v>46265</v>
      </c>
      <c r="O790" s="820"/>
      <c r="P790" s="824"/>
      <c r="Q790" s="824"/>
      <c r="R790" s="827" t="s">
        <v>4201</v>
      </c>
      <c r="S790" s="828" t="s">
        <v>107</v>
      </c>
      <c r="T790" s="828" t="s">
        <v>6105</v>
      </c>
      <c r="U790" s="828"/>
      <c r="V790" s="829" t="s">
        <v>4706</v>
      </c>
      <c r="W790" s="828"/>
      <c r="X790" s="828" t="s">
        <v>6376</v>
      </c>
      <c r="Y790" s="825" t="s">
        <v>503</v>
      </c>
      <c r="Z790" s="830">
        <v>1475.499</v>
      </c>
      <c r="AA790" s="822">
        <f>Z790*L790</f>
        <v>45740.469</v>
      </c>
      <c r="AB790" s="831"/>
      <c r="AC790" s="887" t="s">
        <v>4194</v>
      </c>
      <c r="AD790" s="821" t="s">
        <v>112</v>
      </c>
      <c r="AE790" s="821">
        <f t="shared" si="157"/>
        <v>15872</v>
      </c>
      <c r="AF790" s="821" t="s">
        <v>5125</v>
      </c>
      <c r="AG790" s="821"/>
      <c r="AH790" s="833">
        <f t="shared" si="159"/>
        <v>-15872</v>
      </c>
      <c r="AI790" s="824"/>
      <c r="AJ790" s="708" t="s">
        <v>3981</v>
      </c>
      <c r="AK790" s="834">
        <f>I790</f>
        <v>15872</v>
      </c>
      <c r="AL790" s="834"/>
      <c r="AM790" s="834"/>
      <c r="AN790" s="834">
        <f t="shared" si="160"/>
        <v>15872</v>
      </c>
      <c r="AO790" s="822"/>
      <c r="AP790" s="822"/>
      <c r="AQ790" s="822"/>
      <c r="AR790" s="822"/>
      <c r="AS790" s="822"/>
      <c r="AT790" s="822">
        <f>I790/8</f>
        <v>1984</v>
      </c>
      <c r="AU790" s="822"/>
      <c r="AV790" s="822"/>
      <c r="AW790" s="822"/>
      <c r="AX790" s="822"/>
      <c r="AY790" s="822"/>
      <c r="AZ790" s="822"/>
      <c r="BA790" s="822"/>
      <c r="BB790" s="822"/>
      <c r="BC790" s="822"/>
      <c r="BD790" s="822"/>
      <c r="BE790" s="822"/>
      <c r="BF790" s="822"/>
      <c r="BG790" s="822"/>
      <c r="BH790" s="822"/>
      <c r="BI790" s="822"/>
      <c r="BJ790" s="667"/>
      <c r="BK790" s="667"/>
      <c r="BL790" s="667"/>
      <c r="BM790" s="667"/>
      <c r="BN790" s="667"/>
      <c r="BO790" s="667"/>
      <c r="BP790" s="667"/>
      <c r="BQ790" s="667"/>
      <c r="BR790" s="667"/>
      <c r="BS790" s="667"/>
      <c r="BT790" s="667"/>
      <c r="BU790" s="667"/>
      <c r="BV790" s="667"/>
      <c r="BW790" s="667"/>
      <c r="BX790" s="667"/>
      <c r="BY790" s="667"/>
      <c r="BZ790" s="667"/>
      <c r="CA790" s="667"/>
      <c r="CB790" s="667"/>
      <c r="CC790" s="667"/>
      <c r="CD790" s="667"/>
      <c r="CE790" s="667"/>
      <c r="CF790" s="667"/>
      <c r="CG790" s="667"/>
      <c r="CH790" s="667"/>
      <c r="CI790" s="667"/>
      <c r="CJ790" s="667"/>
      <c r="CK790" s="667"/>
      <c r="CL790" s="667"/>
      <c r="CM790" s="667"/>
      <c r="CN790" s="667"/>
      <c r="CO790" s="667"/>
      <c r="CP790" s="667"/>
      <c r="CQ790" s="667"/>
      <c r="CR790" s="667"/>
      <c r="CS790" s="667"/>
      <c r="CT790" s="667"/>
      <c r="CU790" s="667"/>
      <c r="CV790" s="667"/>
      <c r="CW790" s="667"/>
      <c r="CX790" s="667"/>
      <c r="CY790" s="667"/>
      <c r="CZ790" s="667"/>
      <c r="DA790" s="667"/>
      <c r="DB790" s="667"/>
      <c r="DC790" s="667"/>
      <c r="DD790" s="667"/>
    </row>
    <row r="791" s="666" customFormat="1" ht="31" customHeight="1" spans="1:108">
      <c r="A791" s="819">
        <v>46220</v>
      </c>
      <c r="B791" s="820" t="s">
        <v>114</v>
      </c>
      <c r="C791" s="821" t="s">
        <v>115</v>
      </c>
      <c r="D791" s="822">
        <v>4500216861</v>
      </c>
      <c r="E791" s="821" t="s">
        <v>6377</v>
      </c>
      <c r="F791" s="822" t="s">
        <v>6378</v>
      </c>
      <c r="G791" s="823" t="s">
        <v>3980</v>
      </c>
      <c r="H791" s="821" t="s">
        <v>3978</v>
      </c>
      <c r="I791" s="824">
        <v>5192</v>
      </c>
      <c r="J791" s="821">
        <v>0</v>
      </c>
      <c r="K791" s="821">
        <v>8</v>
      </c>
      <c r="L791" s="821">
        <f t="shared" si="158"/>
        <v>649</v>
      </c>
      <c r="M791" s="825">
        <v>46268</v>
      </c>
      <c r="N791" s="825">
        <v>46265</v>
      </c>
      <c r="O791" s="820"/>
      <c r="P791" s="824"/>
      <c r="Q791" s="824"/>
      <c r="R791" s="886">
        <v>46237</v>
      </c>
      <c r="S791" s="828" t="s">
        <v>107</v>
      </c>
      <c r="T791" s="828" t="s">
        <v>3505</v>
      </c>
      <c r="U791" s="828"/>
      <c r="V791" s="828"/>
      <c r="W791" s="828"/>
      <c r="X791" s="828" t="s">
        <v>6379</v>
      </c>
      <c r="Y791" s="825" t="s">
        <v>123</v>
      </c>
      <c r="Z791" s="830">
        <v>2.8666</v>
      </c>
      <c r="AA791" s="822">
        <f>I791*Z791</f>
        <v>14883.3872</v>
      </c>
      <c r="AB791" s="831"/>
      <c r="AC791" s="832" t="s">
        <v>3980</v>
      </c>
      <c r="AD791" s="821" t="s">
        <v>112</v>
      </c>
      <c r="AE791" s="821">
        <f t="shared" si="157"/>
        <v>5192</v>
      </c>
      <c r="AF791" s="821"/>
      <c r="AG791" s="821"/>
      <c r="AH791" s="833">
        <f t="shared" si="159"/>
        <v>-5192</v>
      </c>
      <c r="AI791" s="824"/>
      <c r="AJ791" s="708" t="s">
        <v>3981</v>
      </c>
      <c r="AK791" s="822">
        <f>I791</f>
        <v>5192</v>
      </c>
      <c r="AL791" s="822"/>
      <c r="AM791" s="822"/>
      <c r="AN791" s="822">
        <f t="shared" si="160"/>
        <v>5192</v>
      </c>
      <c r="AO791" s="822"/>
      <c r="AP791" s="822"/>
      <c r="AQ791" s="822"/>
      <c r="AR791" s="822"/>
      <c r="AS791" s="822"/>
      <c r="AT791" s="822">
        <f>I791/8</f>
        <v>649</v>
      </c>
      <c r="AU791" s="822"/>
      <c r="AV791" s="822"/>
      <c r="AW791" s="822"/>
      <c r="AX791" s="822"/>
      <c r="AY791" s="822"/>
      <c r="AZ791" s="822"/>
      <c r="BA791" s="822"/>
      <c r="BB791" s="822"/>
      <c r="BC791" s="822"/>
      <c r="BD791" s="822"/>
      <c r="BE791" s="822"/>
      <c r="BF791" s="822"/>
      <c r="BG791" s="822"/>
      <c r="BH791" s="822"/>
      <c r="BI791" s="822"/>
      <c r="BJ791" s="892"/>
      <c r="BK791" s="892"/>
      <c r="BL791" s="892"/>
      <c r="BM791" s="892"/>
      <c r="BN791" s="892"/>
      <c r="BO791" s="892"/>
      <c r="BP791" s="892"/>
      <c r="BQ791" s="892"/>
      <c r="BR791" s="892"/>
      <c r="BS791" s="892"/>
      <c r="BT791" s="892"/>
      <c r="BU791" s="892"/>
      <c r="BV791" s="892"/>
      <c r="BW791" s="892"/>
      <c r="BX791" s="892"/>
      <c r="BY791" s="892"/>
      <c r="BZ791" s="892"/>
      <c r="CA791" s="892"/>
      <c r="CB791" s="892"/>
      <c r="CC791" s="892"/>
      <c r="CD791" s="892"/>
      <c r="CE791" s="892"/>
      <c r="CF791" s="892"/>
      <c r="CG791" s="892"/>
      <c r="CH791" s="892"/>
      <c r="CI791" s="892"/>
      <c r="CJ791" s="892"/>
      <c r="CK791" s="892"/>
      <c r="CL791" s="892"/>
      <c r="CM791" s="892"/>
      <c r="CN791" s="892"/>
      <c r="CO791" s="892"/>
      <c r="CP791" s="892"/>
      <c r="CQ791" s="892"/>
      <c r="CR791" s="892"/>
      <c r="CS791" s="892"/>
      <c r="CT791" s="892"/>
      <c r="CU791" s="892"/>
      <c r="CV791" s="892"/>
      <c r="CW791" s="892"/>
      <c r="CX791" s="892"/>
      <c r="CY791" s="892"/>
      <c r="CZ791" s="892"/>
      <c r="DA791" s="892"/>
      <c r="DB791" s="892"/>
      <c r="DC791" s="892"/>
      <c r="DD791" s="892"/>
    </row>
    <row r="792" s="676" customFormat="1" ht="31" customHeight="1" spans="1:108">
      <c r="A792" s="951">
        <v>46206</v>
      </c>
      <c r="B792" s="952" t="s">
        <v>1969</v>
      </c>
      <c r="C792" s="953" t="s">
        <v>1439</v>
      </c>
      <c r="D792" s="669">
        <v>4500214939</v>
      </c>
      <c r="E792" s="953"/>
      <c r="F792" s="669" t="s">
        <v>6380</v>
      </c>
      <c r="G792" s="955" t="s">
        <v>3980</v>
      </c>
      <c r="H792" s="956" t="s">
        <v>3978</v>
      </c>
      <c r="I792" s="957">
        <v>600</v>
      </c>
      <c r="J792" s="953">
        <v>0</v>
      </c>
      <c r="K792" s="953">
        <v>8</v>
      </c>
      <c r="L792" s="953">
        <f t="shared" si="158"/>
        <v>75</v>
      </c>
      <c r="M792" s="958">
        <v>46269</v>
      </c>
      <c r="N792" s="958">
        <v>46263</v>
      </c>
      <c r="O792" s="952"/>
      <c r="P792" s="957"/>
      <c r="Q792" s="957" t="s">
        <v>3353</v>
      </c>
      <c r="R792" s="886">
        <v>46206</v>
      </c>
      <c r="S792" s="828" t="s">
        <v>107</v>
      </c>
      <c r="T792" s="961" t="s">
        <v>6381</v>
      </c>
      <c r="U792" s="961"/>
      <c r="V792" s="960"/>
      <c r="W792" s="961"/>
      <c r="X792" s="961" t="s">
        <v>6382</v>
      </c>
      <c r="Y792" s="958" t="s">
        <v>1477</v>
      </c>
      <c r="Z792" s="962">
        <v>4.7988</v>
      </c>
      <c r="AA792" s="669">
        <f>I792*Z792</f>
        <v>2879.28</v>
      </c>
      <c r="AB792" s="831"/>
      <c r="AC792" s="1012" t="s">
        <v>4031</v>
      </c>
      <c r="AD792" s="953" t="s">
        <v>112</v>
      </c>
      <c r="AE792" s="953">
        <f t="shared" si="157"/>
        <v>600</v>
      </c>
      <c r="AF792" s="953"/>
      <c r="AG792" s="956">
        <v>600</v>
      </c>
      <c r="AH792" s="833">
        <f t="shared" si="159"/>
        <v>0</v>
      </c>
      <c r="AI792" s="957"/>
      <c r="AJ792" s="956" t="s">
        <v>3981</v>
      </c>
      <c r="AK792" s="669"/>
      <c r="AL792" s="967">
        <f>I792</f>
        <v>600</v>
      </c>
      <c r="AM792" s="669"/>
      <c r="AN792" s="670">
        <f t="shared" si="160"/>
        <v>600</v>
      </c>
      <c r="AO792" s="669"/>
      <c r="AP792" s="669"/>
      <c r="AQ792" s="669"/>
      <c r="AR792" s="669"/>
      <c r="AS792" s="669"/>
      <c r="AT792" s="669"/>
      <c r="AU792" s="967">
        <f>I792/8</f>
        <v>75</v>
      </c>
      <c r="AV792" s="670"/>
      <c r="AW792" s="670"/>
      <c r="AX792" s="669"/>
      <c r="AY792" s="669"/>
      <c r="AZ792" s="669"/>
      <c r="BA792" s="669"/>
      <c r="BB792" s="669"/>
      <c r="BC792" s="669"/>
      <c r="BD792" s="669"/>
      <c r="BE792" s="669"/>
      <c r="BF792" s="669"/>
      <c r="BG792" s="669"/>
      <c r="BH792" s="669"/>
      <c r="BI792" s="669"/>
      <c r="BJ792" s="670"/>
      <c r="BK792" s="670"/>
      <c r="BL792" s="670"/>
      <c r="BM792" s="670"/>
      <c r="BN792" s="670"/>
      <c r="BO792" s="670"/>
      <c r="BP792" s="670"/>
      <c r="BQ792" s="670"/>
      <c r="BR792" s="670"/>
      <c r="BS792" s="670"/>
      <c r="BT792" s="670"/>
      <c r="BU792" s="670"/>
      <c r="BV792" s="670"/>
      <c r="BW792" s="670"/>
      <c r="BX792" s="670"/>
      <c r="BY792" s="670"/>
      <c r="BZ792" s="670"/>
      <c r="CA792" s="670"/>
      <c r="CB792" s="670"/>
      <c r="CC792" s="670"/>
      <c r="CD792" s="670"/>
      <c r="CE792" s="670"/>
      <c r="CF792" s="670"/>
      <c r="CG792" s="670"/>
      <c r="CH792" s="670"/>
      <c r="CI792" s="670"/>
      <c r="CJ792" s="670"/>
      <c r="CK792" s="670"/>
      <c r="CL792" s="670"/>
      <c r="CM792" s="670"/>
      <c r="CN792" s="670"/>
      <c r="CO792" s="670"/>
      <c r="CP792" s="670"/>
      <c r="CQ792" s="670"/>
      <c r="CR792" s="670"/>
      <c r="CS792" s="670"/>
      <c r="CT792" s="670"/>
      <c r="CU792" s="670"/>
      <c r="CV792" s="670"/>
      <c r="CW792" s="670"/>
      <c r="CX792" s="670"/>
      <c r="CY792" s="670"/>
      <c r="CZ792" s="670"/>
      <c r="DA792" s="670"/>
      <c r="DB792" s="670"/>
      <c r="DC792" s="670"/>
      <c r="DD792" s="670"/>
    </row>
    <row r="793" s="667" customFormat="1" ht="31" customHeight="1" spans="1:108">
      <c r="A793" s="819">
        <v>46224</v>
      </c>
      <c r="B793" s="820" t="s">
        <v>827</v>
      </c>
      <c r="C793" s="821" t="s">
        <v>101</v>
      </c>
      <c r="D793" s="821">
        <v>4500217254</v>
      </c>
      <c r="E793" s="821">
        <v>3117</v>
      </c>
      <c r="F793" s="822" t="s">
        <v>3404</v>
      </c>
      <c r="G793" s="823" t="s">
        <v>4337</v>
      </c>
      <c r="H793" s="708" t="s">
        <v>151</v>
      </c>
      <c r="I793" s="824">
        <v>384</v>
      </c>
      <c r="J793" s="821">
        <v>0</v>
      </c>
      <c r="K793" s="821">
        <v>24</v>
      </c>
      <c r="L793" s="821">
        <f t="shared" si="158"/>
        <v>16</v>
      </c>
      <c r="M793" s="825">
        <v>46269</v>
      </c>
      <c r="N793" s="825">
        <v>46265</v>
      </c>
      <c r="O793" s="820"/>
      <c r="P793" s="824"/>
      <c r="Q793" s="824"/>
      <c r="R793" s="827">
        <v>46230</v>
      </c>
      <c r="S793" s="828" t="s">
        <v>107</v>
      </c>
      <c r="T793" s="828" t="s">
        <v>6383</v>
      </c>
      <c r="U793" s="828"/>
      <c r="V793" s="829"/>
      <c r="W793" s="828"/>
      <c r="X793" s="828" t="s">
        <v>3406</v>
      </c>
      <c r="Y793" s="825" t="s">
        <v>676</v>
      </c>
      <c r="Z793" s="830">
        <v>237.0551</v>
      </c>
      <c r="AA793" s="822">
        <f>Z793*K793</f>
        <v>5689.3224</v>
      </c>
      <c r="AB793" s="831"/>
      <c r="AC793" s="836" t="s">
        <v>4337</v>
      </c>
      <c r="AD793" s="821" t="s">
        <v>112</v>
      </c>
      <c r="AE793" s="821">
        <f t="shared" si="157"/>
        <v>384</v>
      </c>
      <c r="AF793" s="821"/>
      <c r="AG793" s="708"/>
      <c r="AH793" s="833">
        <f t="shared" si="159"/>
        <v>-384</v>
      </c>
      <c r="AI793" s="824"/>
      <c r="AJ793" s="956" t="s">
        <v>3981</v>
      </c>
      <c r="AK793" s="834">
        <f>I793</f>
        <v>384</v>
      </c>
      <c r="AL793" s="822"/>
      <c r="AM793" s="822"/>
      <c r="AN793" s="834">
        <f t="shared" si="160"/>
        <v>384</v>
      </c>
      <c r="AO793" s="822"/>
      <c r="AP793" s="822"/>
      <c r="AQ793" s="822"/>
      <c r="AR793" s="822"/>
      <c r="AS793" s="822"/>
      <c r="AT793" s="822"/>
      <c r="AU793" s="834"/>
      <c r="AV793" s="834"/>
      <c r="AW793" s="834"/>
      <c r="AX793" s="822"/>
      <c r="AY793" s="822"/>
      <c r="AZ793" s="822"/>
      <c r="BA793" s="669">
        <f>L793</f>
        <v>16</v>
      </c>
      <c r="BB793" s="822"/>
      <c r="BC793" s="822"/>
      <c r="BD793" s="822"/>
      <c r="BE793" s="822"/>
      <c r="BF793" s="822"/>
      <c r="BG793" s="822"/>
      <c r="BH793" s="822"/>
      <c r="BI793" s="822"/>
      <c r="BJ793" s="835"/>
      <c r="BK793" s="835"/>
      <c r="BL793" s="835"/>
      <c r="BM793" s="835"/>
      <c r="BN793" s="835"/>
      <c r="BO793" s="835"/>
      <c r="BP793" s="835"/>
      <c r="BQ793" s="835"/>
      <c r="BR793" s="835"/>
      <c r="BS793" s="835"/>
      <c r="BT793" s="835"/>
      <c r="BU793" s="835"/>
      <c r="BV793" s="835"/>
      <c r="BW793" s="835"/>
      <c r="BX793" s="835"/>
      <c r="BY793" s="835"/>
      <c r="BZ793" s="835"/>
      <c r="CA793" s="835"/>
      <c r="CB793" s="835"/>
      <c r="CC793" s="835"/>
      <c r="CD793" s="835"/>
      <c r="CE793" s="835"/>
      <c r="CF793" s="835"/>
      <c r="CG793" s="835"/>
      <c r="CH793" s="835"/>
      <c r="CI793" s="835"/>
      <c r="CJ793" s="835"/>
      <c r="CK793" s="835"/>
      <c r="CL793" s="835"/>
      <c r="CM793" s="835"/>
      <c r="CN793" s="835"/>
      <c r="CO793" s="835"/>
      <c r="CP793" s="835"/>
      <c r="CQ793" s="835"/>
      <c r="CR793" s="835"/>
      <c r="CS793" s="835"/>
      <c r="CT793" s="835"/>
      <c r="CU793" s="835"/>
      <c r="CV793" s="835"/>
      <c r="CW793" s="835"/>
      <c r="CX793" s="835"/>
      <c r="CY793" s="835"/>
      <c r="CZ793" s="835"/>
      <c r="DA793" s="835"/>
      <c r="DB793" s="835"/>
      <c r="DC793" s="835"/>
      <c r="DD793" s="835"/>
    </row>
    <row r="794" s="670" customFormat="1" ht="31" customHeight="1" spans="1:108">
      <c r="A794" s="951">
        <v>46220</v>
      </c>
      <c r="B794" s="952" t="s">
        <v>114</v>
      </c>
      <c r="C794" s="953" t="s">
        <v>115</v>
      </c>
      <c r="D794" s="669">
        <v>4500216868</v>
      </c>
      <c r="E794" s="953" t="s">
        <v>6384</v>
      </c>
      <c r="F794" s="669" t="s">
        <v>6385</v>
      </c>
      <c r="G794" s="955" t="s">
        <v>3980</v>
      </c>
      <c r="H794" s="953" t="s">
        <v>3978</v>
      </c>
      <c r="I794" s="957">
        <v>100000</v>
      </c>
      <c r="J794" s="953">
        <v>0</v>
      </c>
      <c r="K794" s="953">
        <v>8</v>
      </c>
      <c r="L794" s="953">
        <f t="shared" si="158"/>
        <v>12500</v>
      </c>
      <c r="M794" s="958">
        <v>46269</v>
      </c>
      <c r="N794" s="958">
        <v>46265</v>
      </c>
      <c r="O794" s="952"/>
      <c r="P794" s="957"/>
      <c r="Q794" s="957"/>
      <c r="R794" s="827">
        <v>46238</v>
      </c>
      <c r="S794" s="828" t="s">
        <v>107</v>
      </c>
      <c r="T794" s="828" t="s">
        <v>6386</v>
      </c>
      <c r="U794" s="848"/>
      <c r="V794" s="828"/>
      <c r="W794" s="961"/>
      <c r="X794" s="961" t="s">
        <v>6387</v>
      </c>
      <c r="Y794" s="958" t="s">
        <v>123</v>
      </c>
      <c r="Z794" s="962">
        <v>2.8328</v>
      </c>
      <c r="AA794" s="669">
        <f>I794*Z794</f>
        <v>283280</v>
      </c>
      <c r="AB794" s="831"/>
      <c r="AC794" s="832" t="s">
        <v>3980</v>
      </c>
      <c r="AD794" s="821" t="s">
        <v>112</v>
      </c>
      <c r="AE794" s="953">
        <f t="shared" si="157"/>
        <v>100000</v>
      </c>
      <c r="AF794" s="953"/>
      <c r="AG794" s="953"/>
      <c r="AH794" s="833">
        <f t="shared" si="159"/>
        <v>-100000</v>
      </c>
      <c r="AI794" s="957"/>
      <c r="AJ794" s="956" t="s">
        <v>3981</v>
      </c>
      <c r="AK794" s="822">
        <f>I794</f>
        <v>100000</v>
      </c>
      <c r="AL794" s="822"/>
      <c r="AM794" s="822"/>
      <c r="AN794" s="822">
        <f t="shared" si="160"/>
        <v>100000</v>
      </c>
      <c r="AO794" s="822"/>
      <c r="AP794" s="822"/>
      <c r="AQ794" s="822"/>
      <c r="AR794" s="822"/>
      <c r="AS794" s="822"/>
      <c r="AT794" s="822">
        <f>I794/8</f>
        <v>12500</v>
      </c>
      <c r="AU794" s="669"/>
      <c r="AV794" s="669"/>
      <c r="AW794" s="669"/>
      <c r="AX794" s="669"/>
      <c r="AY794" s="669"/>
      <c r="AZ794" s="669"/>
      <c r="BA794" s="669"/>
      <c r="BB794" s="669"/>
      <c r="BC794" s="669"/>
      <c r="BD794" s="669"/>
      <c r="BE794" s="669"/>
      <c r="BF794" s="669"/>
      <c r="BG794" s="669"/>
      <c r="BH794" s="669"/>
      <c r="BI794" s="822"/>
      <c r="BJ794" s="669"/>
      <c r="BK794" s="669"/>
      <c r="BL794" s="669"/>
      <c r="BM794" s="669"/>
      <c r="BN794" s="669"/>
      <c r="BO794" s="669"/>
      <c r="BP794" s="669"/>
      <c r="BQ794" s="669"/>
      <c r="BR794" s="669"/>
      <c r="BS794" s="669"/>
      <c r="BT794" s="669"/>
      <c r="BU794" s="669"/>
      <c r="BV794" s="669"/>
      <c r="BW794" s="669"/>
      <c r="BX794" s="669"/>
      <c r="BY794" s="669"/>
      <c r="BZ794" s="669"/>
      <c r="CA794" s="669"/>
      <c r="CB794" s="669"/>
      <c r="CC794" s="669"/>
      <c r="CD794" s="669"/>
      <c r="CE794" s="669"/>
      <c r="CF794" s="669"/>
      <c r="CG794" s="669"/>
      <c r="CH794" s="669"/>
      <c r="CI794" s="669"/>
      <c r="CJ794" s="669"/>
      <c r="CK794" s="669"/>
      <c r="CL794" s="669"/>
      <c r="CM794" s="669"/>
      <c r="CN794" s="669"/>
      <c r="CO794" s="669"/>
      <c r="CP794" s="669"/>
      <c r="CQ794" s="669"/>
      <c r="CR794" s="669"/>
      <c r="CS794" s="669"/>
      <c r="CT794" s="669"/>
      <c r="CU794" s="669"/>
      <c r="CV794" s="669"/>
      <c r="CW794" s="669"/>
      <c r="CX794" s="669"/>
      <c r="CY794" s="669"/>
      <c r="CZ794" s="669"/>
      <c r="DA794" s="669"/>
      <c r="DB794" s="669"/>
      <c r="DC794" s="669"/>
      <c r="DD794" s="669"/>
    </row>
    <row r="795" s="670" customFormat="1" ht="31" customHeight="1" spans="1:108">
      <c r="A795" s="951">
        <v>46191</v>
      </c>
      <c r="B795" s="952" t="s">
        <v>6197</v>
      </c>
      <c r="C795" s="953" t="s">
        <v>115</v>
      </c>
      <c r="D795" s="669" t="s">
        <v>6198</v>
      </c>
      <c r="E795" s="953" t="s">
        <v>6388</v>
      </c>
      <c r="F795" s="669" t="s">
        <v>6389</v>
      </c>
      <c r="G795" s="955" t="s">
        <v>3980</v>
      </c>
      <c r="H795" s="956" t="s">
        <v>3978</v>
      </c>
      <c r="I795" s="957">
        <v>3032</v>
      </c>
      <c r="J795" s="953">
        <v>0</v>
      </c>
      <c r="K795" s="953">
        <v>8</v>
      </c>
      <c r="L795" s="953">
        <f t="shared" si="158"/>
        <v>379</v>
      </c>
      <c r="M795" s="958">
        <v>46269</v>
      </c>
      <c r="N795" s="958">
        <v>46265</v>
      </c>
      <c r="O795" s="952"/>
      <c r="P795" s="957"/>
      <c r="Q795" s="957"/>
      <c r="R795" s="827">
        <v>46191</v>
      </c>
      <c r="S795" s="828" t="s">
        <v>107</v>
      </c>
      <c r="T795" s="828" t="s">
        <v>95</v>
      </c>
      <c r="U795" s="848"/>
      <c r="V795" s="829"/>
      <c r="W795" s="961"/>
      <c r="X795" s="961" t="s">
        <v>6202</v>
      </c>
      <c r="Y795" s="958" t="s">
        <v>6203</v>
      </c>
      <c r="Z795" s="962">
        <v>2.8729</v>
      </c>
      <c r="AA795" s="669">
        <f>I795*Z795</f>
        <v>8710.6328</v>
      </c>
      <c r="AB795" s="831"/>
      <c r="AC795" s="836" t="s">
        <v>3980</v>
      </c>
      <c r="AD795" s="821" t="s">
        <v>112</v>
      </c>
      <c r="AE795" s="953">
        <f t="shared" si="157"/>
        <v>3032</v>
      </c>
      <c r="AF795" s="953" t="s">
        <v>5125</v>
      </c>
      <c r="AG795" s="956"/>
      <c r="AH795" s="833">
        <f t="shared" si="159"/>
        <v>-3032</v>
      </c>
      <c r="AI795" s="957"/>
      <c r="AJ795" s="956" t="s">
        <v>3981</v>
      </c>
      <c r="AK795" s="834">
        <f>I795</f>
        <v>3032</v>
      </c>
      <c r="AL795" s="822"/>
      <c r="AM795" s="822"/>
      <c r="AN795" s="834">
        <f t="shared" si="160"/>
        <v>3032</v>
      </c>
      <c r="AO795" s="822"/>
      <c r="AP795" s="822"/>
      <c r="AQ795" s="822"/>
      <c r="AR795" s="822"/>
      <c r="AS795" s="822"/>
      <c r="AT795" s="822">
        <f>I795/8</f>
        <v>379</v>
      </c>
      <c r="AX795" s="669"/>
      <c r="AY795" s="669"/>
      <c r="AZ795" s="669"/>
      <c r="BA795" s="669"/>
      <c r="BB795" s="669"/>
      <c r="BC795" s="669"/>
      <c r="BD795" s="669"/>
      <c r="BE795" s="669"/>
      <c r="BF795" s="669"/>
      <c r="BG795" s="669"/>
      <c r="BH795" s="669"/>
      <c r="BI795" s="822"/>
    </row>
    <row r="796" s="670" customFormat="1" ht="31" customHeight="1" spans="1:108">
      <c r="A796" s="951">
        <v>46198</v>
      </c>
      <c r="B796" s="952" t="s">
        <v>1212</v>
      </c>
      <c r="C796" s="953" t="s">
        <v>1213</v>
      </c>
      <c r="D796" s="669" t="s">
        <v>6390</v>
      </c>
      <c r="E796" s="953" t="s">
        <v>3411</v>
      </c>
      <c r="F796" s="669" t="s">
        <v>6391</v>
      </c>
      <c r="G796" s="955" t="s">
        <v>3973</v>
      </c>
      <c r="H796" s="956" t="s">
        <v>3995</v>
      </c>
      <c r="I796" s="957">
        <v>20000</v>
      </c>
      <c r="J796" s="953">
        <v>0</v>
      </c>
      <c r="K796" s="953">
        <v>16</v>
      </c>
      <c r="L796" s="953">
        <f t="shared" si="158"/>
        <v>1250</v>
      </c>
      <c r="M796" s="958">
        <v>46269</v>
      </c>
      <c r="N796" s="958">
        <v>46265</v>
      </c>
      <c r="O796" s="952"/>
      <c r="P796" s="957"/>
      <c r="Q796" s="957"/>
      <c r="R796" s="864">
        <v>46198</v>
      </c>
      <c r="S796" s="828" t="s">
        <v>107</v>
      </c>
      <c r="T796" s="828" t="s">
        <v>6392</v>
      </c>
      <c r="U796" s="847"/>
      <c r="V796" s="829"/>
      <c r="W796" s="961"/>
      <c r="X796" s="952" t="s">
        <v>3414</v>
      </c>
      <c r="Y796" s="958" t="s">
        <v>295</v>
      </c>
      <c r="Z796" s="962">
        <v>4.7721</v>
      </c>
      <c r="AA796" s="669">
        <f>I796*Z796</f>
        <v>95442</v>
      </c>
      <c r="AB796" s="831"/>
      <c r="AC796" s="820" t="s">
        <v>3973</v>
      </c>
      <c r="AD796" s="821" t="s">
        <v>112</v>
      </c>
      <c r="AE796" s="953">
        <f t="shared" si="157"/>
        <v>20000</v>
      </c>
      <c r="AF796" s="953" t="s">
        <v>5125</v>
      </c>
      <c r="AG796" s="956"/>
      <c r="AH796" s="833">
        <f t="shared" si="159"/>
        <v>-20000</v>
      </c>
      <c r="AI796" s="957"/>
      <c r="AJ796" s="956" t="s">
        <v>3981</v>
      </c>
      <c r="AK796" s="834">
        <f>I796</f>
        <v>20000</v>
      </c>
      <c r="AL796" s="822"/>
      <c r="AM796" s="822"/>
      <c r="AN796" s="834">
        <f t="shared" si="160"/>
        <v>20000</v>
      </c>
      <c r="AO796" s="822"/>
      <c r="AP796" s="822"/>
      <c r="AQ796" s="834"/>
      <c r="AR796" s="834"/>
      <c r="AS796" s="834"/>
      <c r="AT796" s="822">
        <f>I796/8</f>
        <v>2500</v>
      </c>
      <c r="AX796" s="669"/>
      <c r="AY796" s="669"/>
      <c r="AZ796" s="669"/>
      <c r="BA796" s="669"/>
      <c r="BB796" s="669"/>
      <c r="BC796" s="669"/>
      <c r="BD796" s="669"/>
      <c r="BE796" s="669"/>
      <c r="BF796" s="669"/>
      <c r="BG796" s="669"/>
      <c r="BH796" s="669"/>
      <c r="BI796" s="822"/>
    </row>
    <row r="797" s="670" customFormat="1" ht="31" customHeight="1" spans="1:108">
      <c r="A797" s="1015">
        <v>46115</v>
      </c>
      <c r="B797" s="1016" t="s">
        <v>2382</v>
      </c>
      <c r="C797" s="956" t="s">
        <v>201</v>
      </c>
      <c r="D797" s="670">
        <v>4500200114</v>
      </c>
      <c r="E797" s="1917" t="s">
        <v>6393</v>
      </c>
      <c r="F797" s="670" t="s">
        <v>3422</v>
      </c>
      <c r="G797" s="936" t="s">
        <v>4215</v>
      </c>
      <c r="H797" s="956" t="s">
        <v>483</v>
      </c>
      <c r="I797" s="1017">
        <v>4320</v>
      </c>
      <c r="J797" s="956">
        <v>0</v>
      </c>
      <c r="K797" s="956">
        <v>120</v>
      </c>
      <c r="L797" s="956">
        <f t="shared" si="158"/>
        <v>36</v>
      </c>
      <c r="M797" s="1056">
        <v>46269</v>
      </c>
      <c r="N797" s="1056">
        <v>46266</v>
      </c>
      <c r="O797" s="1016"/>
      <c r="P797" s="1017"/>
      <c r="Q797" s="1017"/>
      <c r="R797" s="864">
        <v>46197</v>
      </c>
      <c r="S797" s="829" t="s">
        <v>107</v>
      </c>
      <c r="T797" s="829" t="s">
        <v>95</v>
      </c>
      <c r="U797" s="847"/>
      <c r="V797" s="829"/>
      <c r="W797" s="960"/>
      <c r="X797" s="960" t="s">
        <v>636</v>
      </c>
      <c r="Y797" s="1018" t="s">
        <v>488</v>
      </c>
      <c r="Z797" s="1019">
        <v>1070</v>
      </c>
      <c r="AA797" s="670">
        <f>L797*Z797</f>
        <v>38520</v>
      </c>
      <c r="AB797" s="831"/>
      <c r="AC797" s="836" t="s">
        <v>490</v>
      </c>
      <c r="AD797" s="708" t="s">
        <v>112</v>
      </c>
      <c r="AE797" s="956">
        <f t="shared" si="157"/>
        <v>4320</v>
      </c>
      <c r="AF797" s="956" t="s">
        <v>4109</v>
      </c>
      <c r="AG797" s="956"/>
      <c r="AH797" s="833">
        <f t="shared" si="159"/>
        <v>-4320</v>
      </c>
      <c r="AI797" s="1017"/>
      <c r="AJ797" s="956"/>
      <c r="AK797" s="834"/>
      <c r="AL797" s="834"/>
      <c r="AM797" s="834"/>
      <c r="AN797" s="834"/>
      <c r="AO797" s="834"/>
      <c r="AP797" s="834"/>
      <c r="AQ797" s="834">
        <f>I797</f>
        <v>4320</v>
      </c>
      <c r="AR797" s="834">
        <f>I797</f>
        <v>4320</v>
      </c>
      <c r="AS797" s="834">
        <f>I797/6</f>
        <v>720</v>
      </c>
      <c r="AT797" s="834"/>
      <c r="BI797" s="834"/>
      <c r="CS797" s="676"/>
      <c r="CT797" s="676"/>
      <c r="CU797" s="676"/>
      <c r="CV797" s="676"/>
      <c r="CW797" s="676"/>
      <c r="CX797" s="676"/>
      <c r="CY797" s="676"/>
      <c r="CZ797" s="676"/>
      <c r="DA797" s="676"/>
      <c r="DB797" s="676"/>
      <c r="DC797" s="676"/>
      <c r="DD797" s="676"/>
    </row>
    <row r="798" s="659" customFormat="1" ht="31" customHeight="1" spans="1:108">
      <c r="A798" s="1062">
        <v>46115</v>
      </c>
      <c r="B798" s="1063" t="s">
        <v>2382</v>
      </c>
      <c r="C798" s="1003" t="s">
        <v>201</v>
      </c>
      <c r="D798" s="1014">
        <v>4500200113</v>
      </c>
      <c r="E798" s="1918" t="s">
        <v>6394</v>
      </c>
      <c r="F798" s="1014" t="s">
        <v>3421</v>
      </c>
      <c r="G798" s="1064" t="s">
        <v>4215</v>
      </c>
      <c r="H798" s="1003" t="s">
        <v>483</v>
      </c>
      <c r="I798" s="1065">
        <v>4320</v>
      </c>
      <c r="J798" s="1003">
        <v>0</v>
      </c>
      <c r="K798" s="1003">
        <v>120</v>
      </c>
      <c r="L798" s="1003">
        <f t="shared" si="158"/>
        <v>36</v>
      </c>
      <c r="M798" s="1066">
        <v>46269</v>
      </c>
      <c r="N798" s="1066">
        <v>46266</v>
      </c>
      <c r="O798" s="1063"/>
      <c r="P798" s="1065"/>
      <c r="Q798" s="1065"/>
      <c r="R798" s="1067">
        <v>46197</v>
      </c>
      <c r="S798" s="829" t="s">
        <v>107</v>
      </c>
      <c r="T798" s="1008" t="s">
        <v>95</v>
      </c>
      <c r="U798" s="1008"/>
      <c r="V798" s="1008"/>
      <c r="W798" s="1008"/>
      <c r="X798" s="1008" t="s">
        <v>636</v>
      </c>
      <c r="Y798" s="1068" t="s">
        <v>488</v>
      </c>
      <c r="Z798" s="1069">
        <v>1070</v>
      </c>
      <c r="AA798" s="1014">
        <f>L798*Z798</f>
        <v>38520</v>
      </c>
      <c r="AB798" s="1011"/>
      <c r="AC798" s="1070" t="s">
        <v>490</v>
      </c>
      <c r="AD798" s="1003" t="s">
        <v>112</v>
      </c>
      <c r="AE798" s="1003">
        <f t="shared" si="157"/>
        <v>4320</v>
      </c>
      <c r="AF798" s="1003" t="s">
        <v>4109</v>
      </c>
      <c r="AG798" s="1003"/>
      <c r="AH798" s="833">
        <f t="shared" si="159"/>
        <v>-4320</v>
      </c>
      <c r="AI798" s="1065"/>
      <c r="AJ798" s="1003"/>
      <c r="AK798" s="834"/>
      <c r="AL798" s="1014"/>
      <c r="AM798" s="1014"/>
      <c r="AN798" s="834"/>
      <c r="AO798" s="1014"/>
      <c r="AP798" s="1014"/>
      <c r="AQ798" s="1014">
        <f>I798</f>
        <v>4320</v>
      </c>
      <c r="AR798" s="1014">
        <f>I798</f>
        <v>4320</v>
      </c>
      <c r="AS798" s="1014">
        <f>I798/6</f>
        <v>720</v>
      </c>
      <c r="AT798" s="834"/>
      <c r="AU798" s="1014"/>
      <c r="AV798" s="1014"/>
      <c r="AW798" s="1014"/>
      <c r="AX798" s="1014"/>
      <c r="AY798" s="1014"/>
      <c r="AZ798" s="1014"/>
      <c r="BA798" s="1014"/>
      <c r="BB798" s="1014"/>
      <c r="BC798" s="1014"/>
      <c r="BD798" s="1014"/>
      <c r="BE798" s="1014"/>
      <c r="BF798" s="1014"/>
      <c r="BG798" s="1014"/>
      <c r="BH798" s="1014"/>
      <c r="BI798" s="1014"/>
      <c r="BJ798" s="889"/>
      <c r="BK798" s="889"/>
      <c r="BL798" s="889"/>
      <c r="BM798" s="889"/>
      <c r="BN798" s="889"/>
      <c r="BO798" s="889"/>
      <c r="BP798" s="889"/>
      <c r="BQ798" s="889"/>
      <c r="BR798" s="889"/>
      <c r="BS798" s="889"/>
      <c r="BT798" s="889"/>
      <c r="BU798" s="889"/>
      <c r="BV798" s="889"/>
      <c r="BW798" s="889"/>
      <c r="BX798" s="889"/>
      <c r="BY798" s="889"/>
      <c r="BZ798" s="889"/>
      <c r="CA798" s="889"/>
      <c r="CB798" s="889"/>
      <c r="CC798" s="889"/>
      <c r="CD798" s="889"/>
      <c r="CE798" s="889"/>
      <c r="CF798" s="889"/>
      <c r="CG798" s="889"/>
      <c r="CH798" s="889"/>
      <c r="CI798" s="889"/>
      <c r="CJ798" s="889"/>
      <c r="CK798" s="889"/>
      <c r="CL798" s="889"/>
      <c r="CM798" s="889"/>
      <c r="CN798" s="889"/>
      <c r="CO798" s="889"/>
      <c r="CP798" s="889"/>
      <c r="CQ798" s="889"/>
      <c r="CR798" s="889"/>
      <c r="CS798" s="1071"/>
      <c r="CT798" s="1071"/>
      <c r="CU798" s="1071"/>
      <c r="CV798" s="1071"/>
      <c r="CW798" s="1071"/>
      <c r="CX798" s="1071"/>
      <c r="CY798" s="1071"/>
      <c r="CZ798" s="1071"/>
      <c r="DA798" s="1071"/>
      <c r="DB798" s="1071"/>
      <c r="DC798" s="1071"/>
      <c r="DD798" s="1071"/>
    </row>
    <row r="799" s="659" customFormat="1" ht="31" customHeight="1" spans="1:108">
      <c r="A799" s="819">
        <v>46197</v>
      </c>
      <c r="B799" s="820" t="s">
        <v>3173</v>
      </c>
      <c r="C799" s="821" t="s">
        <v>135</v>
      </c>
      <c r="D799" s="822">
        <v>4500213523</v>
      </c>
      <c r="E799" s="821" t="s">
        <v>3400</v>
      </c>
      <c r="F799" s="822" t="s">
        <v>6395</v>
      </c>
      <c r="G799" s="823" t="s">
        <v>3980</v>
      </c>
      <c r="H799" s="821" t="s">
        <v>3978</v>
      </c>
      <c r="I799" s="824">
        <v>3208</v>
      </c>
      <c r="J799" s="821">
        <v>0</v>
      </c>
      <c r="K799" s="821">
        <v>8</v>
      </c>
      <c r="L799" s="888">
        <f t="shared" si="158"/>
        <v>401</v>
      </c>
      <c r="M799" s="863">
        <v>46269</v>
      </c>
      <c r="N799" s="863">
        <v>46267</v>
      </c>
      <c r="O799" s="820"/>
      <c r="P799" s="824"/>
      <c r="Q799" s="824"/>
      <c r="R799" s="827">
        <v>46197</v>
      </c>
      <c r="S799" s="848" t="s">
        <v>107</v>
      </c>
      <c r="T799" s="828" t="s">
        <v>6396</v>
      </c>
      <c r="U799" s="828"/>
      <c r="V799" s="828"/>
      <c r="W799" s="828"/>
      <c r="X799" s="894" t="s">
        <v>6397</v>
      </c>
      <c r="Y799" s="825" t="s">
        <v>3179</v>
      </c>
      <c r="Z799" s="830">
        <v>4.8266</v>
      </c>
      <c r="AA799" s="822">
        <f t="shared" ref="AA799:AA804" si="162">I799*Z799</f>
        <v>15483.7328</v>
      </c>
      <c r="AB799" s="831"/>
      <c r="AC799" s="895" t="s">
        <v>3980</v>
      </c>
      <c r="AD799" s="821" t="s">
        <v>112</v>
      </c>
      <c r="AE799" s="821">
        <f t="shared" si="157"/>
        <v>3208</v>
      </c>
      <c r="AF799" s="1000"/>
      <c r="AG799" s="821"/>
      <c r="AH799" s="833">
        <f t="shared" si="159"/>
        <v>-3208</v>
      </c>
      <c r="AI799" s="824"/>
      <c r="AJ799" s="821"/>
      <c r="AK799" s="834">
        <f t="shared" ref="AK799:AK804" si="163">I799</f>
        <v>3208</v>
      </c>
      <c r="AL799" s="822"/>
      <c r="AM799" s="822"/>
      <c r="AN799" s="834">
        <f t="shared" ref="AN799:AN804" si="164">I799</f>
        <v>3208</v>
      </c>
      <c r="AO799" s="822"/>
      <c r="AP799" s="822"/>
      <c r="AQ799" s="822"/>
      <c r="AR799" s="822"/>
      <c r="AS799" s="822"/>
      <c r="AT799" s="822">
        <f>I799/8</f>
        <v>401</v>
      </c>
      <c r="AU799" s="822"/>
      <c r="AV799" s="822"/>
      <c r="AW799" s="822"/>
      <c r="AX799" s="822"/>
      <c r="AY799" s="822"/>
      <c r="AZ799" s="822"/>
      <c r="BA799" s="822"/>
      <c r="BB799" s="822"/>
      <c r="BC799" s="822"/>
      <c r="BD799" s="822"/>
      <c r="BE799" s="822"/>
      <c r="BF799" s="822"/>
      <c r="BG799" s="822"/>
      <c r="BH799" s="822"/>
      <c r="BI799" s="822"/>
      <c r="BJ799" s="667"/>
      <c r="BK799" s="667"/>
      <c r="BL799" s="667"/>
      <c r="BM799" s="667"/>
      <c r="BN799" s="667"/>
      <c r="BO799" s="667"/>
      <c r="BP799" s="667"/>
      <c r="BQ799" s="667"/>
      <c r="BR799" s="667"/>
      <c r="BS799" s="667"/>
      <c r="BT799" s="667"/>
      <c r="BU799" s="667"/>
      <c r="BV799" s="667"/>
      <c r="BW799" s="667"/>
      <c r="BX799" s="667"/>
      <c r="BY799" s="667"/>
      <c r="BZ799" s="667"/>
      <c r="CA799" s="667"/>
      <c r="CB799" s="667"/>
      <c r="CC799" s="667"/>
      <c r="CD799" s="667"/>
      <c r="CE799" s="667"/>
      <c r="CF799" s="667"/>
      <c r="CG799" s="667"/>
      <c r="CH799" s="667"/>
      <c r="CI799" s="667"/>
      <c r="CJ799" s="667"/>
      <c r="CK799" s="667"/>
      <c r="CL799" s="667"/>
      <c r="CM799" s="667"/>
      <c r="CN799" s="667"/>
      <c r="CO799" s="667"/>
      <c r="CP799" s="667"/>
      <c r="CQ799" s="667"/>
      <c r="CR799" s="667"/>
      <c r="CS799" s="667"/>
      <c r="CT799" s="667"/>
      <c r="CU799" s="667"/>
      <c r="CV799" s="667"/>
      <c r="CW799" s="667"/>
      <c r="CX799" s="667"/>
      <c r="CY799" s="667"/>
      <c r="CZ799" s="667"/>
      <c r="DA799" s="667"/>
      <c r="DB799" s="667"/>
      <c r="DC799" s="667"/>
      <c r="DD799" s="667"/>
    </row>
    <row r="800" s="666" customFormat="1" ht="31" customHeight="1" spans="1:108">
      <c r="A800" s="819">
        <v>46178</v>
      </c>
      <c r="B800" s="820" t="s">
        <v>507</v>
      </c>
      <c r="C800" s="821" t="s">
        <v>508</v>
      </c>
      <c r="D800" s="822">
        <v>4500210791</v>
      </c>
      <c r="E800" s="821">
        <v>2635325</v>
      </c>
      <c r="F800" s="822" t="s">
        <v>6398</v>
      </c>
      <c r="G800" s="823" t="s">
        <v>3980</v>
      </c>
      <c r="H800" s="708" t="s">
        <v>3978</v>
      </c>
      <c r="I800" s="824">
        <v>1512</v>
      </c>
      <c r="J800" s="821">
        <v>0</v>
      </c>
      <c r="K800" s="821">
        <v>8</v>
      </c>
      <c r="L800" s="821">
        <f t="shared" si="158"/>
        <v>189</v>
      </c>
      <c r="M800" s="825">
        <v>46272</v>
      </c>
      <c r="N800" s="825">
        <v>46268</v>
      </c>
      <c r="O800" s="820"/>
      <c r="P800" s="824"/>
      <c r="Q800" s="824"/>
      <c r="R800" s="827">
        <v>46178</v>
      </c>
      <c r="S800" s="828" t="s">
        <v>107</v>
      </c>
      <c r="T800" s="828" t="s">
        <v>6399</v>
      </c>
      <c r="U800" s="828"/>
      <c r="V800" s="828" t="s">
        <v>6093</v>
      </c>
      <c r="W800" s="828"/>
      <c r="X800" s="828" t="s">
        <v>6072</v>
      </c>
      <c r="Y800" s="825" t="s">
        <v>513</v>
      </c>
      <c r="Z800" s="830">
        <v>4.7788</v>
      </c>
      <c r="AA800" s="822">
        <f t="shared" si="162"/>
        <v>7225.5456</v>
      </c>
      <c r="AB800" s="831"/>
      <c r="AC800" s="895" t="s">
        <v>3980</v>
      </c>
      <c r="AD800" s="821" t="s">
        <v>112</v>
      </c>
      <c r="AE800" s="821">
        <f t="shared" si="157"/>
        <v>1512</v>
      </c>
      <c r="AF800" s="1000" t="s">
        <v>5125</v>
      </c>
      <c r="AG800" s="708"/>
      <c r="AH800" s="833">
        <f t="shared" si="159"/>
        <v>-1512</v>
      </c>
      <c r="AI800" s="824"/>
      <c r="AJ800" s="821"/>
      <c r="AK800" s="834">
        <f t="shared" si="163"/>
        <v>1512</v>
      </c>
      <c r="AL800" s="834"/>
      <c r="AM800" s="822"/>
      <c r="AN800" s="834">
        <f t="shared" si="164"/>
        <v>1512</v>
      </c>
      <c r="AO800" s="822"/>
      <c r="AP800" s="822"/>
      <c r="AQ800" s="822"/>
      <c r="AR800" s="822"/>
      <c r="AS800" s="822"/>
      <c r="AT800" s="822"/>
      <c r="AU800" s="834"/>
      <c r="AV800" s="834"/>
      <c r="AW800" s="834"/>
      <c r="AX800" s="822">
        <f>I800/8</f>
        <v>189</v>
      </c>
      <c r="AY800" s="822"/>
      <c r="AZ800" s="822"/>
      <c r="BA800" s="822"/>
      <c r="BB800" s="822"/>
      <c r="BC800" s="822"/>
      <c r="BD800" s="822"/>
      <c r="BE800" s="822"/>
      <c r="BF800" s="822"/>
      <c r="BG800" s="822"/>
      <c r="BH800" s="822"/>
      <c r="BI800" s="822"/>
      <c r="BJ800" s="659"/>
      <c r="BK800" s="659"/>
      <c r="BL800" s="659"/>
      <c r="BM800" s="659"/>
      <c r="BN800" s="659"/>
      <c r="BO800" s="659"/>
      <c r="BP800" s="659"/>
      <c r="BQ800" s="659"/>
      <c r="BR800" s="659"/>
      <c r="BS800" s="659"/>
      <c r="BT800" s="659"/>
      <c r="BU800" s="659"/>
      <c r="BV800" s="659"/>
      <c r="BW800" s="659"/>
      <c r="BX800" s="659"/>
      <c r="BY800" s="659"/>
      <c r="BZ800" s="659"/>
      <c r="CA800" s="659"/>
      <c r="CB800" s="659"/>
      <c r="CC800" s="659"/>
      <c r="CD800" s="659"/>
      <c r="CE800" s="659"/>
      <c r="CF800" s="659"/>
      <c r="CG800" s="659"/>
      <c r="CH800" s="659"/>
      <c r="CI800" s="659"/>
      <c r="CJ800" s="659"/>
      <c r="CK800" s="659"/>
      <c r="CL800" s="659"/>
      <c r="CM800" s="659"/>
      <c r="CN800" s="659"/>
      <c r="CO800" s="659"/>
      <c r="CP800" s="659"/>
      <c r="CQ800" s="659"/>
      <c r="CR800" s="659"/>
      <c r="CS800" s="659"/>
      <c r="CT800" s="659"/>
      <c r="CU800" s="659"/>
      <c r="CV800" s="659"/>
      <c r="CW800" s="659"/>
      <c r="CX800" s="659"/>
      <c r="CY800" s="659"/>
      <c r="CZ800" s="659"/>
      <c r="DA800" s="659"/>
      <c r="DB800" s="659"/>
      <c r="DC800" s="659"/>
      <c r="DD800" s="659"/>
    </row>
    <row r="801" s="659" customFormat="1" ht="31" customHeight="1" spans="1:108">
      <c r="A801" s="819">
        <v>46182</v>
      </c>
      <c r="B801" s="820" t="s">
        <v>525</v>
      </c>
      <c r="C801" s="821" t="s">
        <v>508</v>
      </c>
      <c r="D801" s="822">
        <v>4500211288</v>
      </c>
      <c r="E801" s="821">
        <v>21802505</v>
      </c>
      <c r="F801" s="822" t="s">
        <v>6400</v>
      </c>
      <c r="G801" s="823" t="s">
        <v>3980</v>
      </c>
      <c r="H801" s="708" t="s">
        <v>3978</v>
      </c>
      <c r="I801" s="824">
        <v>1392</v>
      </c>
      <c r="J801" s="821">
        <v>0</v>
      </c>
      <c r="K801" s="821">
        <v>8</v>
      </c>
      <c r="L801" s="821">
        <f t="shared" si="158"/>
        <v>174</v>
      </c>
      <c r="M801" s="825">
        <v>46272</v>
      </c>
      <c r="N801" s="825">
        <v>46268</v>
      </c>
      <c r="O801" s="820"/>
      <c r="P801" s="824"/>
      <c r="Q801" s="824"/>
      <c r="R801" s="864">
        <v>46239</v>
      </c>
      <c r="S801" s="828" t="s">
        <v>107</v>
      </c>
      <c r="T801" s="828" t="s">
        <v>6401</v>
      </c>
      <c r="U801" s="828"/>
      <c r="V801" s="828" t="s">
        <v>6093</v>
      </c>
      <c r="W801" s="828"/>
      <c r="X801" s="828" t="s">
        <v>6402</v>
      </c>
      <c r="Y801" s="825" t="s">
        <v>362</v>
      </c>
      <c r="Z801" s="830">
        <v>4.7788</v>
      </c>
      <c r="AA801" s="822">
        <f t="shared" si="162"/>
        <v>6652.0896</v>
      </c>
      <c r="AB801" s="831"/>
      <c r="AC801" s="836" t="s">
        <v>3980</v>
      </c>
      <c r="AD801" s="821" t="s">
        <v>112</v>
      </c>
      <c r="AE801" s="821">
        <f t="shared" si="157"/>
        <v>1392</v>
      </c>
      <c r="AF801" s="1000" t="s">
        <v>5125</v>
      </c>
      <c r="AG801" s="708"/>
      <c r="AH801" s="833">
        <f t="shared" si="159"/>
        <v>-1392</v>
      </c>
      <c r="AI801" s="824"/>
      <c r="AJ801" s="821"/>
      <c r="AK801" s="834">
        <f t="shared" si="163"/>
        <v>1392</v>
      </c>
      <c r="AL801" s="834"/>
      <c r="AM801" s="822"/>
      <c r="AN801" s="834">
        <f t="shared" si="164"/>
        <v>1392</v>
      </c>
      <c r="AO801" s="822"/>
      <c r="AP801" s="822"/>
      <c r="AQ801" s="822"/>
      <c r="AR801" s="822"/>
      <c r="AS801" s="822"/>
      <c r="AT801" s="822"/>
      <c r="AU801" s="834"/>
      <c r="AV801" s="834"/>
      <c r="AW801" s="834"/>
      <c r="AX801" s="834">
        <f>I801/8</f>
        <v>174</v>
      </c>
      <c r="AY801" s="834"/>
      <c r="AZ801" s="834"/>
      <c r="BA801" s="822"/>
      <c r="BB801" s="822"/>
      <c r="BC801" s="822"/>
      <c r="BD801" s="822"/>
      <c r="BE801" s="822"/>
      <c r="BF801" s="822"/>
      <c r="BG801" s="822"/>
      <c r="BH801" s="822"/>
      <c r="BI801" s="822"/>
    </row>
    <row r="802" s="667" customFormat="1" ht="31" customHeight="1" spans="1:108">
      <c r="A802" s="819">
        <v>46182</v>
      </c>
      <c r="B802" s="820" t="s">
        <v>525</v>
      </c>
      <c r="C802" s="821" t="s">
        <v>508</v>
      </c>
      <c r="D802" s="822">
        <v>4500211288</v>
      </c>
      <c r="E802" s="821">
        <v>21802504</v>
      </c>
      <c r="F802" s="822" t="s">
        <v>6403</v>
      </c>
      <c r="G802" s="823" t="s">
        <v>3980</v>
      </c>
      <c r="H802" s="708" t="s">
        <v>3978</v>
      </c>
      <c r="I802" s="824">
        <v>1392</v>
      </c>
      <c r="J802" s="821">
        <v>0</v>
      </c>
      <c r="K802" s="821">
        <v>8</v>
      </c>
      <c r="L802" s="821">
        <f t="shared" si="158"/>
        <v>174</v>
      </c>
      <c r="M802" s="825">
        <v>46272</v>
      </c>
      <c r="N802" s="825">
        <v>46268</v>
      </c>
      <c r="O802" s="820"/>
      <c r="P802" s="824"/>
      <c r="Q802" s="824"/>
      <c r="R802" s="864">
        <v>46239</v>
      </c>
      <c r="S802" s="848" t="s">
        <v>107</v>
      </c>
      <c r="T802" s="828" t="s">
        <v>6401</v>
      </c>
      <c r="U802" s="828"/>
      <c r="V802" s="828" t="s">
        <v>6093</v>
      </c>
      <c r="W802" s="828"/>
      <c r="X802" s="828" t="s">
        <v>6402</v>
      </c>
      <c r="Y802" s="825" t="s">
        <v>362</v>
      </c>
      <c r="Z802" s="830">
        <v>4.7788</v>
      </c>
      <c r="AA802" s="822">
        <f t="shared" si="162"/>
        <v>6652.0896</v>
      </c>
      <c r="AB802" s="831"/>
      <c r="AC802" s="836" t="s">
        <v>3980</v>
      </c>
      <c r="AD802" s="821" t="s">
        <v>112</v>
      </c>
      <c r="AE802" s="821">
        <f t="shared" si="157"/>
        <v>1392</v>
      </c>
      <c r="AF802" s="1000" t="s">
        <v>5125</v>
      </c>
      <c r="AG802" s="708"/>
      <c r="AH802" s="833">
        <f t="shared" si="159"/>
        <v>-1392</v>
      </c>
      <c r="AI802" s="824"/>
      <c r="AJ802" s="821"/>
      <c r="AK802" s="834">
        <f t="shared" si="163"/>
        <v>1392</v>
      </c>
      <c r="AL802" s="834"/>
      <c r="AM802" s="822"/>
      <c r="AN802" s="834">
        <f t="shared" si="164"/>
        <v>1392</v>
      </c>
      <c r="AO802" s="822"/>
      <c r="AP802" s="822"/>
      <c r="AQ802" s="822"/>
      <c r="AR802" s="822"/>
      <c r="AS802" s="822"/>
      <c r="AT802" s="822"/>
      <c r="AU802" s="834"/>
      <c r="AV802" s="834"/>
      <c r="AW802" s="834"/>
      <c r="AX802" s="834">
        <f>I802/8</f>
        <v>174</v>
      </c>
      <c r="AY802" s="834"/>
      <c r="AZ802" s="834"/>
      <c r="BA802" s="822"/>
      <c r="BB802" s="822"/>
      <c r="BC802" s="822"/>
      <c r="BD802" s="822"/>
      <c r="BE802" s="822"/>
      <c r="BF802" s="822"/>
      <c r="BG802" s="822"/>
      <c r="BH802" s="822"/>
      <c r="BI802" s="822"/>
      <c r="BJ802" s="659"/>
      <c r="BK802" s="659"/>
      <c r="BL802" s="659"/>
      <c r="BM802" s="659"/>
      <c r="BN802" s="659"/>
      <c r="BO802" s="659"/>
      <c r="BP802" s="659"/>
      <c r="BQ802" s="659"/>
      <c r="BR802" s="659"/>
      <c r="BS802" s="659"/>
      <c r="BT802" s="659"/>
      <c r="BU802" s="659"/>
      <c r="BV802" s="659"/>
      <c r="BW802" s="659"/>
      <c r="BX802" s="659"/>
      <c r="BY802" s="659"/>
      <c r="BZ802" s="659"/>
      <c r="CA802" s="659"/>
      <c r="CB802" s="659"/>
      <c r="CC802" s="659"/>
      <c r="CD802" s="659"/>
      <c r="CE802" s="659"/>
      <c r="CF802" s="659"/>
      <c r="CG802" s="659"/>
      <c r="CH802" s="659"/>
      <c r="CI802" s="659"/>
      <c r="CJ802" s="659"/>
      <c r="CK802" s="659"/>
      <c r="CL802" s="659"/>
      <c r="CM802" s="659"/>
      <c r="CN802" s="659"/>
      <c r="CO802" s="659"/>
      <c r="CP802" s="659"/>
      <c r="CQ802" s="659"/>
      <c r="CR802" s="659"/>
      <c r="CS802" s="666"/>
      <c r="CT802" s="666"/>
      <c r="CU802" s="666"/>
      <c r="CV802" s="666"/>
      <c r="CW802" s="666"/>
      <c r="CX802" s="666"/>
      <c r="CY802" s="666"/>
      <c r="CZ802" s="666"/>
      <c r="DA802" s="666"/>
      <c r="DB802" s="666"/>
      <c r="DC802" s="666"/>
      <c r="DD802" s="666"/>
    </row>
    <row r="803" s="666" customFormat="1" ht="31" customHeight="1" spans="1:108">
      <c r="A803" s="819">
        <v>46182</v>
      </c>
      <c r="B803" s="820" t="s">
        <v>521</v>
      </c>
      <c r="C803" s="821" t="s">
        <v>101</v>
      </c>
      <c r="D803" s="822">
        <v>4500211292</v>
      </c>
      <c r="E803" s="821">
        <v>21802513</v>
      </c>
      <c r="F803" s="822" t="s">
        <v>6404</v>
      </c>
      <c r="G803" s="823" t="s">
        <v>3980</v>
      </c>
      <c r="H803" s="708" t="s">
        <v>3978</v>
      </c>
      <c r="I803" s="824">
        <v>112</v>
      </c>
      <c r="J803" s="821">
        <v>0</v>
      </c>
      <c r="K803" s="821">
        <v>8</v>
      </c>
      <c r="L803" s="821">
        <f t="shared" si="158"/>
        <v>14</v>
      </c>
      <c r="M803" s="825">
        <v>46272</v>
      </c>
      <c r="N803" s="825">
        <v>46268</v>
      </c>
      <c r="O803" s="820"/>
      <c r="P803" s="824"/>
      <c r="Q803" s="824"/>
      <c r="R803" s="864">
        <v>46239</v>
      </c>
      <c r="S803" s="828" t="s">
        <v>107</v>
      </c>
      <c r="T803" s="828" t="s">
        <v>6401</v>
      </c>
      <c r="U803" s="828"/>
      <c r="V803" s="828" t="s">
        <v>6093</v>
      </c>
      <c r="W803" s="828"/>
      <c r="X803" s="828" t="s">
        <v>6405</v>
      </c>
      <c r="Y803" s="825" t="s">
        <v>362</v>
      </c>
      <c r="Z803" s="830">
        <v>4.7893</v>
      </c>
      <c r="AA803" s="822">
        <f t="shared" si="162"/>
        <v>536.4016</v>
      </c>
      <c r="AB803" s="831"/>
      <c r="AC803" s="836" t="s">
        <v>3980</v>
      </c>
      <c r="AD803" s="821" t="s">
        <v>112</v>
      </c>
      <c r="AE803" s="821">
        <f t="shared" si="157"/>
        <v>112</v>
      </c>
      <c r="AF803" s="821" t="s">
        <v>5125</v>
      </c>
      <c r="AG803" s="708"/>
      <c r="AH803" s="833">
        <f t="shared" si="159"/>
        <v>-112</v>
      </c>
      <c r="AI803" s="824"/>
      <c r="AJ803" s="821"/>
      <c r="AK803" s="834">
        <f t="shared" si="163"/>
        <v>112</v>
      </c>
      <c r="AL803" s="834"/>
      <c r="AM803" s="822"/>
      <c r="AN803" s="834">
        <f t="shared" si="164"/>
        <v>112</v>
      </c>
      <c r="AO803" s="822"/>
      <c r="AP803" s="822"/>
      <c r="AQ803" s="822"/>
      <c r="AR803" s="822"/>
      <c r="AS803" s="822"/>
      <c r="AT803" s="822"/>
      <c r="AU803" s="834"/>
      <c r="AV803" s="834"/>
      <c r="AW803" s="834"/>
      <c r="AX803" s="834">
        <f>I803/8</f>
        <v>14</v>
      </c>
      <c r="AY803" s="834"/>
      <c r="AZ803" s="834"/>
      <c r="BA803" s="822"/>
      <c r="BB803" s="822"/>
      <c r="BC803" s="822"/>
      <c r="BD803" s="822"/>
      <c r="BE803" s="822"/>
      <c r="BF803" s="822"/>
      <c r="BG803" s="822"/>
      <c r="BH803" s="822"/>
      <c r="BI803" s="822"/>
      <c r="BJ803" s="659"/>
      <c r="BK803" s="659"/>
      <c r="BL803" s="659"/>
      <c r="BM803" s="659"/>
      <c r="BN803" s="659"/>
      <c r="BO803" s="659"/>
      <c r="BP803" s="659"/>
      <c r="BQ803" s="659"/>
      <c r="BR803" s="659"/>
      <c r="BS803" s="659"/>
      <c r="BT803" s="659"/>
      <c r="BU803" s="659"/>
      <c r="BV803" s="659"/>
      <c r="BW803" s="659"/>
      <c r="BX803" s="659"/>
      <c r="BY803" s="659"/>
      <c r="BZ803" s="659"/>
      <c r="CA803" s="659"/>
      <c r="CB803" s="659"/>
      <c r="CC803" s="659"/>
      <c r="CD803" s="659"/>
      <c r="CE803" s="659"/>
      <c r="CF803" s="659"/>
      <c r="CG803" s="659"/>
      <c r="CH803" s="659"/>
      <c r="CI803" s="659"/>
      <c r="CJ803" s="659"/>
      <c r="CK803" s="659"/>
      <c r="CL803" s="659"/>
      <c r="CM803" s="659"/>
      <c r="CN803" s="659"/>
      <c r="CO803" s="659"/>
      <c r="CP803" s="659"/>
      <c r="CQ803" s="659"/>
      <c r="CR803" s="659"/>
      <c r="CS803" s="659"/>
      <c r="CT803" s="659"/>
      <c r="CU803" s="659"/>
      <c r="CV803" s="659"/>
      <c r="CW803" s="659"/>
      <c r="CX803" s="659"/>
      <c r="CY803" s="659"/>
      <c r="CZ803" s="659"/>
      <c r="DA803" s="659"/>
      <c r="DB803" s="659"/>
      <c r="DC803" s="659"/>
      <c r="DD803" s="659"/>
    </row>
    <row r="804" s="667" customFormat="1" ht="31" customHeight="1" spans="1:108">
      <c r="A804" s="819">
        <v>46182</v>
      </c>
      <c r="B804" s="820" t="s">
        <v>521</v>
      </c>
      <c r="C804" s="821" t="s">
        <v>101</v>
      </c>
      <c r="D804" s="822">
        <v>4500211292</v>
      </c>
      <c r="E804" s="821">
        <v>21802514</v>
      </c>
      <c r="F804" s="822" t="s">
        <v>6406</v>
      </c>
      <c r="G804" s="955" t="s">
        <v>3980</v>
      </c>
      <c r="H804" s="708" t="s">
        <v>3978</v>
      </c>
      <c r="I804" s="824">
        <v>112</v>
      </c>
      <c r="J804" s="821">
        <v>0</v>
      </c>
      <c r="K804" s="821">
        <v>8</v>
      </c>
      <c r="L804" s="821">
        <f t="shared" si="158"/>
        <v>14</v>
      </c>
      <c r="M804" s="825">
        <v>46272</v>
      </c>
      <c r="N804" s="825">
        <v>46268</v>
      </c>
      <c r="O804" s="820"/>
      <c r="P804" s="824"/>
      <c r="Q804" s="824"/>
      <c r="R804" s="864">
        <v>46239</v>
      </c>
      <c r="S804" s="848" t="s">
        <v>107</v>
      </c>
      <c r="T804" s="828" t="s">
        <v>6401</v>
      </c>
      <c r="U804" s="828"/>
      <c r="V804" s="828" t="s">
        <v>6093</v>
      </c>
      <c r="W804" s="828"/>
      <c r="X804" s="828" t="s">
        <v>6405</v>
      </c>
      <c r="Y804" s="825" t="s">
        <v>362</v>
      </c>
      <c r="Z804" s="830">
        <v>4.7893</v>
      </c>
      <c r="AA804" s="822">
        <f t="shared" si="162"/>
        <v>536.4016</v>
      </c>
      <c r="AB804" s="831"/>
      <c r="AC804" s="836" t="s">
        <v>3980</v>
      </c>
      <c r="AD804" s="821" t="s">
        <v>112</v>
      </c>
      <c r="AE804" s="821">
        <f t="shared" si="157"/>
        <v>112</v>
      </c>
      <c r="AF804" s="821" t="s">
        <v>5125</v>
      </c>
      <c r="AG804" s="708"/>
      <c r="AH804" s="833">
        <f t="shared" si="159"/>
        <v>-112</v>
      </c>
      <c r="AI804" s="824"/>
      <c r="AJ804" s="821"/>
      <c r="AK804" s="834">
        <f t="shared" si="163"/>
        <v>112</v>
      </c>
      <c r="AL804" s="834"/>
      <c r="AM804" s="822"/>
      <c r="AN804" s="834">
        <f t="shared" si="164"/>
        <v>112</v>
      </c>
      <c r="AO804" s="822"/>
      <c r="AP804" s="822"/>
      <c r="AQ804" s="822"/>
      <c r="AR804" s="822"/>
      <c r="AS804" s="822"/>
      <c r="AT804" s="822"/>
      <c r="AU804" s="834"/>
      <c r="AV804" s="834"/>
      <c r="AW804" s="834"/>
      <c r="AX804" s="834">
        <f>I804/8</f>
        <v>14</v>
      </c>
      <c r="AY804" s="834"/>
      <c r="AZ804" s="834"/>
      <c r="BA804" s="822"/>
      <c r="BB804" s="822"/>
      <c r="BC804" s="822"/>
      <c r="BD804" s="822"/>
      <c r="BE804" s="822"/>
      <c r="BF804" s="822"/>
      <c r="BG804" s="822"/>
      <c r="BH804" s="822"/>
      <c r="BI804" s="822"/>
      <c r="BJ804" s="659"/>
      <c r="BK804" s="659"/>
      <c r="BL804" s="659"/>
      <c r="BM804" s="659"/>
      <c r="BN804" s="659"/>
      <c r="BO804" s="659"/>
      <c r="BP804" s="659"/>
      <c r="BQ804" s="659"/>
      <c r="BR804" s="659"/>
      <c r="BS804" s="659"/>
      <c r="BT804" s="659"/>
      <c r="BU804" s="659"/>
      <c r="BV804" s="659"/>
      <c r="BW804" s="659"/>
      <c r="BX804" s="659"/>
      <c r="BY804" s="659"/>
      <c r="BZ804" s="659"/>
      <c r="CA804" s="659"/>
      <c r="CB804" s="659"/>
      <c r="CC804" s="659"/>
      <c r="CD804" s="659"/>
      <c r="CE804" s="659"/>
      <c r="CF804" s="659"/>
      <c r="CG804" s="659"/>
      <c r="CH804" s="659"/>
      <c r="CI804" s="659"/>
      <c r="CJ804" s="659"/>
      <c r="CK804" s="659"/>
      <c r="CL804" s="659"/>
      <c r="CM804" s="659"/>
      <c r="CN804" s="659"/>
      <c r="CO804" s="659"/>
      <c r="CP804" s="659"/>
      <c r="CQ804" s="659"/>
      <c r="CR804" s="659"/>
    </row>
    <row r="805" s="659" customFormat="1" ht="31" customHeight="1" spans="1:108">
      <c r="A805" s="859">
        <v>46115</v>
      </c>
      <c r="B805" s="860" t="s">
        <v>2382</v>
      </c>
      <c r="C805" s="708" t="s">
        <v>201</v>
      </c>
      <c r="D805" s="834">
        <v>4500200117</v>
      </c>
      <c r="E805" s="1911" t="s">
        <v>6407</v>
      </c>
      <c r="F805" s="834" t="s">
        <v>3431</v>
      </c>
      <c r="G805" s="936" t="s">
        <v>4215</v>
      </c>
      <c r="H805" s="708" t="s">
        <v>483</v>
      </c>
      <c r="I805" s="861">
        <v>4320</v>
      </c>
      <c r="J805" s="708">
        <v>0</v>
      </c>
      <c r="K805" s="708">
        <v>120</v>
      </c>
      <c r="L805" s="708">
        <f t="shared" si="158"/>
        <v>36</v>
      </c>
      <c r="M805" s="879">
        <v>46272</v>
      </c>
      <c r="N805" s="879">
        <v>46268</v>
      </c>
      <c r="O805" s="860"/>
      <c r="P805" s="861"/>
      <c r="Q805" s="861"/>
      <c r="R805" s="864">
        <v>46197</v>
      </c>
      <c r="S805" s="829" t="s">
        <v>107</v>
      </c>
      <c r="T805" s="829" t="s">
        <v>95</v>
      </c>
      <c r="U805" s="829"/>
      <c r="V805" s="829"/>
      <c r="W805" s="829"/>
      <c r="X805" s="829" t="s">
        <v>636</v>
      </c>
      <c r="Y805" s="862" t="s">
        <v>488</v>
      </c>
      <c r="Z805" s="866">
        <v>1070</v>
      </c>
      <c r="AA805" s="834">
        <f>L805*Z805</f>
        <v>38520</v>
      </c>
      <c r="AB805" s="831"/>
      <c r="AC805" s="836" t="s">
        <v>490</v>
      </c>
      <c r="AD805" s="708" t="s">
        <v>112</v>
      </c>
      <c r="AE805" s="708">
        <f t="shared" si="157"/>
        <v>4320</v>
      </c>
      <c r="AF805" s="708" t="s">
        <v>4109</v>
      </c>
      <c r="AG805" s="708"/>
      <c r="AH805" s="833">
        <f t="shared" si="159"/>
        <v>-4320</v>
      </c>
      <c r="AI805" s="861"/>
      <c r="AJ805" s="708"/>
      <c r="AK805" s="834"/>
      <c r="AL805" s="834"/>
      <c r="AM805" s="834"/>
      <c r="AN805" s="834"/>
      <c r="AO805" s="834"/>
      <c r="AP805" s="834"/>
      <c r="AQ805" s="834">
        <f>I805</f>
        <v>4320</v>
      </c>
      <c r="AR805" s="834">
        <f>I805</f>
        <v>4320</v>
      </c>
      <c r="AS805" s="834">
        <f>I805/6</f>
        <v>720</v>
      </c>
      <c r="AT805" s="834"/>
      <c r="AU805" s="834"/>
      <c r="AV805" s="834"/>
      <c r="AW805" s="834"/>
      <c r="AX805" s="834"/>
      <c r="AY805" s="834"/>
      <c r="AZ805" s="834"/>
      <c r="BA805" s="834"/>
      <c r="BB805" s="834"/>
      <c r="BC805" s="834"/>
      <c r="BD805" s="834"/>
      <c r="BE805" s="834"/>
      <c r="BF805" s="834"/>
      <c r="BG805" s="834"/>
      <c r="BH805" s="834"/>
      <c r="BI805" s="834"/>
      <c r="BJ805" s="835"/>
      <c r="BK805" s="835"/>
      <c r="BL805" s="835"/>
      <c r="BM805" s="835"/>
      <c r="BN805" s="835"/>
      <c r="BO805" s="835"/>
      <c r="BP805" s="835"/>
      <c r="BQ805" s="835"/>
      <c r="BR805" s="835"/>
      <c r="BS805" s="835"/>
      <c r="BT805" s="835"/>
      <c r="BU805" s="835"/>
      <c r="BV805" s="835"/>
      <c r="BW805" s="835"/>
      <c r="BX805" s="835"/>
      <c r="BY805" s="835"/>
      <c r="BZ805" s="835"/>
      <c r="CA805" s="835"/>
      <c r="CB805" s="835"/>
      <c r="CC805" s="835"/>
      <c r="CD805" s="835"/>
      <c r="CE805" s="835"/>
      <c r="CF805" s="835"/>
      <c r="CG805" s="835"/>
      <c r="CH805" s="835"/>
      <c r="CI805" s="835"/>
      <c r="CJ805" s="835"/>
      <c r="CK805" s="835"/>
      <c r="CL805" s="835"/>
      <c r="CM805" s="835"/>
      <c r="CN805" s="835"/>
      <c r="CO805" s="835"/>
      <c r="CP805" s="835"/>
      <c r="CQ805" s="835"/>
      <c r="CR805" s="835"/>
      <c r="CS805" s="666"/>
      <c r="CT805" s="666"/>
      <c r="CU805" s="666"/>
      <c r="CV805" s="666"/>
      <c r="CW805" s="666"/>
      <c r="CX805" s="666"/>
      <c r="CY805" s="666"/>
      <c r="CZ805" s="666"/>
      <c r="DA805" s="666"/>
      <c r="DB805" s="666"/>
      <c r="DC805" s="666"/>
      <c r="DD805" s="666"/>
    </row>
    <row r="806" s="659" customFormat="1" ht="31" customHeight="1" spans="1:108">
      <c r="A806" s="819">
        <v>46182</v>
      </c>
      <c r="B806" s="820" t="s">
        <v>525</v>
      </c>
      <c r="C806" s="821" t="s">
        <v>508</v>
      </c>
      <c r="D806" s="822">
        <v>4500211288</v>
      </c>
      <c r="E806" s="821">
        <v>21785317</v>
      </c>
      <c r="F806" s="822" t="s">
        <v>3434</v>
      </c>
      <c r="G806" s="1072" t="s">
        <v>6408</v>
      </c>
      <c r="H806" s="708" t="s">
        <v>804</v>
      </c>
      <c r="I806" s="824">
        <v>1668</v>
      </c>
      <c r="J806" s="821">
        <v>0</v>
      </c>
      <c r="K806" s="821">
        <v>6</v>
      </c>
      <c r="L806" s="821">
        <f t="shared" si="158"/>
        <v>278</v>
      </c>
      <c r="M806" s="825">
        <v>46272</v>
      </c>
      <c r="N806" s="825">
        <v>46268</v>
      </c>
      <c r="O806" s="820"/>
      <c r="P806" s="824"/>
      <c r="Q806" s="824"/>
      <c r="R806" s="864">
        <v>46239</v>
      </c>
      <c r="S806" s="828" t="s">
        <v>107</v>
      </c>
      <c r="T806" s="828" t="s">
        <v>6401</v>
      </c>
      <c r="U806" s="828"/>
      <c r="V806" s="828" t="s">
        <v>6093</v>
      </c>
      <c r="W806" s="828"/>
      <c r="X806" s="865" t="s">
        <v>6409</v>
      </c>
      <c r="Y806" s="825" t="s">
        <v>362</v>
      </c>
      <c r="Z806" s="830">
        <v>8.5</v>
      </c>
      <c r="AA806" s="822">
        <f>L806*Z806</f>
        <v>2363</v>
      </c>
      <c r="AB806" s="831"/>
      <c r="AC806" s="836" t="s">
        <v>2727</v>
      </c>
      <c r="AD806" s="821" t="s">
        <v>112</v>
      </c>
      <c r="AE806" s="821">
        <f t="shared" si="157"/>
        <v>1668</v>
      </c>
      <c r="AF806" s="821"/>
      <c r="AG806" s="708"/>
      <c r="AH806" s="833">
        <f t="shared" si="159"/>
        <v>-1668</v>
      </c>
      <c r="AI806" s="824"/>
      <c r="AJ806" s="821"/>
      <c r="AK806" s="822"/>
      <c r="AL806" s="834"/>
      <c r="AM806" s="822"/>
      <c r="AN806" s="834">
        <f t="shared" ref="AN806:AN819" si="165">I806</f>
        <v>1668</v>
      </c>
      <c r="AO806" s="822"/>
      <c r="AP806" s="822"/>
      <c r="AQ806" s="822"/>
      <c r="AR806" s="822"/>
      <c r="AS806" s="822"/>
      <c r="AT806" s="822"/>
      <c r="AU806" s="834"/>
      <c r="AV806" s="834"/>
      <c r="AW806" s="834"/>
      <c r="AX806" s="822"/>
      <c r="AY806" s="822"/>
      <c r="AZ806" s="822"/>
      <c r="BA806" s="822"/>
      <c r="BB806" s="822"/>
      <c r="BC806" s="822"/>
      <c r="BD806" s="822"/>
      <c r="BE806" s="822"/>
      <c r="BF806" s="822"/>
      <c r="BG806" s="822"/>
      <c r="BH806" s="822"/>
      <c r="BI806" s="834">
        <f>I806</f>
        <v>1668</v>
      </c>
      <c r="CS806" s="667"/>
      <c r="CT806" s="667"/>
      <c r="CU806" s="667"/>
      <c r="CV806" s="667"/>
      <c r="CW806" s="667"/>
      <c r="CX806" s="667"/>
      <c r="CY806" s="667"/>
      <c r="CZ806" s="667"/>
      <c r="DA806" s="667"/>
      <c r="DB806" s="667"/>
      <c r="DC806" s="667"/>
      <c r="DD806" s="667"/>
    </row>
    <row r="807" s="666" customFormat="1" ht="31" customHeight="1" spans="1:108">
      <c r="A807" s="819">
        <v>46182</v>
      </c>
      <c r="B807" s="820" t="s">
        <v>525</v>
      </c>
      <c r="C807" s="821" t="s">
        <v>508</v>
      </c>
      <c r="D807" s="822">
        <v>4500211288</v>
      </c>
      <c r="E807" s="821">
        <v>21785412</v>
      </c>
      <c r="F807" s="822" t="s">
        <v>3437</v>
      </c>
      <c r="G807" s="1072" t="s">
        <v>6408</v>
      </c>
      <c r="H807" s="708" t="s">
        <v>804</v>
      </c>
      <c r="I807" s="824">
        <v>2220</v>
      </c>
      <c r="J807" s="821">
        <v>0</v>
      </c>
      <c r="K807" s="821">
        <v>6</v>
      </c>
      <c r="L807" s="821">
        <f t="shared" si="158"/>
        <v>370</v>
      </c>
      <c r="M807" s="825">
        <v>46272</v>
      </c>
      <c r="N807" s="825">
        <v>46268</v>
      </c>
      <c r="O807" s="820"/>
      <c r="P807" s="824"/>
      <c r="Q807" s="824"/>
      <c r="R807" s="864">
        <v>46239</v>
      </c>
      <c r="S807" s="828" t="s">
        <v>107</v>
      </c>
      <c r="T807" s="828" t="s">
        <v>6401</v>
      </c>
      <c r="U807" s="828"/>
      <c r="V807" s="828" t="s">
        <v>6093</v>
      </c>
      <c r="W807" s="828"/>
      <c r="X807" s="865" t="s">
        <v>6409</v>
      </c>
      <c r="Y807" s="825" t="s">
        <v>362</v>
      </c>
      <c r="Z807" s="830">
        <v>8.5</v>
      </c>
      <c r="AA807" s="822">
        <f>L807*Z807</f>
        <v>3145</v>
      </c>
      <c r="AB807" s="831"/>
      <c r="AC807" s="836" t="s">
        <v>2727</v>
      </c>
      <c r="AD807" s="821" t="s">
        <v>112</v>
      </c>
      <c r="AE807" s="821">
        <f t="shared" si="157"/>
        <v>2220</v>
      </c>
      <c r="AF807" s="821"/>
      <c r="AG807" s="708"/>
      <c r="AH807" s="833">
        <f t="shared" si="159"/>
        <v>-2220</v>
      </c>
      <c r="AI807" s="824"/>
      <c r="AJ807" s="821"/>
      <c r="AK807" s="822"/>
      <c r="AL807" s="834"/>
      <c r="AM807" s="822"/>
      <c r="AN807" s="834">
        <f t="shared" si="165"/>
        <v>2220</v>
      </c>
      <c r="AO807" s="822"/>
      <c r="AP807" s="822"/>
      <c r="AQ807" s="822"/>
      <c r="AR807" s="822"/>
      <c r="AS807" s="822"/>
      <c r="AT807" s="822"/>
      <c r="AU807" s="834"/>
      <c r="AV807" s="834"/>
      <c r="AW807" s="834"/>
      <c r="AX807" s="822"/>
      <c r="AY807" s="822"/>
      <c r="AZ807" s="822"/>
      <c r="BA807" s="822"/>
      <c r="BB807" s="822"/>
      <c r="BC807" s="822"/>
      <c r="BD807" s="822"/>
      <c r="BE807" s="822"/>
      <c r="BF807" s="822"/>
      <c r="BG807" s="822"/>
      <c r="BH807" s="822"/>
      <c r="BI807" s="834">
        <f>I807</f>
        <v>2220</v>
      </c>
      <c r="BJ807" s="659"/>
      <c r="BK807" s="659"/>
      <c r="BL807" s="659"/>
      <c r="BM807" s="659"/>
      <c r="BN807" s="659"/>
      <c r="BO807" s="659"/>
      <c r="BP807" s="659"/>
      <c r="BQ807" s="659"/>
      <c r="BR807" s="659"/>
      <c r="BS807" s="659"/>
      <c r="BT807" s="659"/>
      <c r="BU807" s="659"/>
      <c r="BV807" s="659"/>
      <c r="BW807" s="659"/>
      <c r="BX807" s="659"/>
      <c r="BY807" s="659"/>
      <c r="BZ807" s="659"/>
      <c r="CA807" s="659"/>
      <c r="CB807" s="659"/>
      <c r="CC807" s="659"/>
      <c r="CD807" s="659"/>
      <c r="CE807" s="659"/>
      <c r="CF807" s="659"/>
      <c r="CG807" s="659"/>
      <c r="CH807" s="659"/>
      <c r="CI807" s="659"/>
      <c r="CJ807" s="659"/>
      <c r="CK807" s="659"/>
      <c r="CL807" s="659"/>
      <c r="CM807" s="659"/>
      <c r="CN807" s="659"/>
      <c r="CO807" s="659"/>
      <c r="CP807" s="659"/>
      <c r="CQ807" s="659"/>
      <c r="CR807" s="659"/>
      <c r="CS807" s="659"/>
      <c r="CT807" s="659"/>
      <c r="CU807" s="659"/>
      <c r="CV807" s="659"/>
      <c r="CW807" s="659"/>
      <c r="CX807" s="659"/>
      <c r="CY807" s="659"/>
      <c r="CZ807" s="659"/>
      <c r="DA807" s="659"/>
      <c r="DB807" s="659"/>
      <c r="DC807" s="659"/>
      <c r="DD807" s="659"/>
    </row>
    <row r="808" s="670" customFormat="1" ht="31" customHeight="1" spans="1:108">
      <c r="A808" s="951">
        <v>46182</v>
      </c>
      <c r="B808" s="952" t="s">
        <v>521</v>
      </c>
      <c r="C808" s="953" t="s">
        <v>101</v>
      </c>
      <c r="D808" s="669">
        <v>4500211292</v>
      </c>
      <c r="E808" s="953">
        <v>21785400</v>
      </c>
      <c r="F808" s="669" t="s">
        <v>3441</v>
      </c>
      <c r="G808" s="1072" t="s">
        <v>6408</v>
      </c>
      <c r="H808" s="956" t="s">
        <v>804</v>
      </c>
      <c r="I808" s="957">
        <v>132</v>
      </c>
      <c r="J808" s="953">
        <v>0</v>
      </c>
      <c r="K808" s="953">
        <v>6</v>
      </c>
      <c r="L808" s="953">
        <f t="shared" si="158"/>
        <v>22</v>
      </c>
      <c r="M808" s="958">
        <v>46272</v>
      </c>
      <c r="N808" s="958">
        <v>46268</v>
      </c>
      <c r="O808" s="952"/>
      <c r="P808" s="957"/>
      <c r="Q808" s="957"/>
      <c r="R808" s="864">
        <v>46239</v>
      </c>
      <c r="S808" s="828" t="s">
        <v>107</v>
      </c>
      <c r="T808" s="828" t="s">
        <v>6401</v>
      </c>
      <c r="U808" s="848"/>
      <c r="V808" s="828" t="s">
        <v>6093</v>
      </c>
      <c r="W808" s="961"/>
      <c r="X808" s="1073" t="s">
        <v>6410</v>
      </c>
      <c r="Y808" s="958" t="s">
        <v>362</v>
      </c>
      <c r="Z808" s="962">
        <v>8.5</v>
      </c>
      <c r="AA808" s="669">
        <f>L808*Z808</f>
        <v>187</v>
      </c>
      <c r="AB808" s="831"/>
      <c r="AC808" s="1074" t="s">
        <v>2727</v>
      </c>
      <c r="AD808" s="821" t="s">
        <v>112</v>
      </c>
      <c r="AE808" s="953">
        <f t="shared" si="157"/>
        <v>132</v>
      </c>
      <c r="AF808" s="1000"/>
      <c r="AG808" s="956"/>
      <c r="AH808" s="833">
        <f t="shared" si="159"/>
        <v>-132</v>
      </c>
      <c r="AI808" s="957"/>
      <c r="AJ808" s="953"/>
      <c r="AK808" s="822"/>
      <c r="AL808" s="834"/>
      <c r="AM808" s="822"/>
      <c r="AN808" s="834">
        <f t="shared" si="165"/>
        <v>132</v>
      </c>
      <c r="AO808" s="669"/>
      <c r="AP808" s="822"/>
      <c r="AQ808" s="669"/>
      <c r="AR808" s="669"/>
      <c r="AS808" s="669"/>
      <c r="AT808" s="669"/>
      <c r="AV808" s="834"/>
      <c r="AW808" s="834"/>
      <c r="AX808" s="822"/>
      <c r="AY808" s="822"/>
      <c r="AZ808" s="822"/>
      <c r="BA808" s="669"/>
      <c r="BB808" s="669"/>
      <c r="BC808" s="669"/>
      <c r="BD808" s="669"/>
      <c r="BE808" s="669"/>
      <c r="BF808" s="669"/>
      <c r="BG808" s="669"/>
      <c r="BH808" s="669"/>
      <c r="BI808" s="834">
        <f>I808</f>
        <v>132</v>
      </c>
    </row>
    <row r="809" s="670" customFormat="1" ht="31" customHeight="1" spans="1:108">
      <c r="A809" s="951">
        <v>46182</v>
      </c>
      <c r="B809" s="952" t="s">
        <v>521</v>
      </c>
      <c r="C809" s="953" t="s">
        <v>101</v>
      </c>
      <c r="D809" s="669">
        <v>4500211292</v>
      </c>
      <c r="E809" s="953">
        <v>21785478</v>
      </c>
      <c r="F809" s="669" t="s">
        <v>3443</v>
      </c>
      <c r="G809" s="1072" t="s">
        <v>6408</v>
      </c>
      <c r="H809" s="956" t="s">
        <v>804</v>
      </c>
      <c r="I809" s="957">
        <v>180</v>
      </c>
      <c r="J809" s="953">
        <v>0</v>
      </c>
      <c r="K809" s="953">
        <v>6</v>
      </c>
      <c r="L809" s="953">
        <f t="shared" si="158"/>
        <v>30</v>
      </c>
      <c r="M809" s="958">
        <v>46272</v>
      </c>
      <c r="N809" s="958">
        <v>46268</v>
      </c>
      <c r="O809" s="952"/>
      <c r="P809" s="957"/>
      <c r="Q809" s="957"/>
      <c r="R809" s="864">
        <v>46239</v>
      </c>
      <c r="S809" s="828" t="s">
        <v>107</v>
      </c>
      <c r="T809" s="828" t="s">
        <v>6401</v>
      </c>
      <c r="U809" s="848"/>
      <c r="V809" s="828" t="s">
        <v>6093</v>
      </c>
      <c r="W809" s="961"/>
      <c r="X809" s="1073" t="s">
        <v>6410</v>
      </c>
      <c r="Y809" s="958" t="s">
        <v>362</v>
      </c>
      <c r="Z809" s="962">
        <v>8.5</v>
      </c>
      <c r="AA809" s="669">
        <f>L809*Z809</f>
        <v>255</v>
      </c>
      <c r="AB809" s="831"/>
      <c r="AC809" s="1074" t="s">
        <v>2727</v>
      </c>
      <c r="AD809" s="821" t="s">
        <v>112</v>
      </c>
      <c r="AE809" s="953">
        <f t="shared" si="157"/>
        <v>180</v>
      </c>
      <c r="AF809" s="1000"/>
      <c r="AG809" s="956"/>
      <c r="AH809" s="833">
        <f t="shared" si="159"/>
        <v>-180</v>
      </c>
      <c r="AI809" s="957"/>
      <c r="AJ809" s="953"/>
      <c r="AK809" s="822"/>
      <c r="AL809" s="834"/>
      <c r="AM809" s="822"/>
      <c r="AN809" s="834">
        <f t="shared" si="165"/>
        <v>180</v>
      </c>
      <c r="AO809" s="669"/>
      <c r="AP809" s="822"/>
      <c r="AQ809" s="669"/>
      <c r="AR809" s="669"/>
      <c r="AS809" s="669"/>
      <c r="AT809" s="669"/>
      <c r="AV809" s="834"/>
      <c r="AW809" s="834"/>
      <c r="AX809" s="822"/>
      <c r="AY809" s="822"/>
      <c r="AZ809" s="822"/>
      <c r="BA809" s="669"/>
      <c r="BB809" s="669"/>
      <c r="BC809" s="669"/>
      <c r="BD809" s="669"/>
      <c r="BE809" s="669"/>
      <c r="BF809" s="669"/>
      <c r="BG809" s="669"/>
      <c r="BH809" s="669"/>
      <c r="BI809" s="834">
        <f>I809</f>
        <v>180</v>
      </c>
      <c r="CS809" s="676"/>
      <c r="CT809" s="676"/>
      <c r="CU809" s="676"/>
      <c r="CV809" s="676"/>
      <c r="CW809" s="676"/>
      <c r="CX809" s="676"/>
      <c r="CY809" s="676"/>
      <c r="CZ809" s="676"/>
      <c r="DA809" s="676"/>
      <c r="DB809" s="676"/>
      <c r="DC809" s="676"/>
      <c r="DD809" s="676"/>
    </row>
    <row r="810" s="670" customFormat="1" ht="31" customHeight="1" spans="1:108">
      <c r="A810" s="951">
        <v>46203</v>
      </c>
      <c r="B810" s="952" t="s">
        <v>525</v>
      </c>
      <c r="C810" s="953" t="s">
        <v>508</v>
      </c>
      <c r="D810" s="669" t="s">
        <v>6411</v>
      </c>
      <c r="E810" s="953" t="s">
        <v>6412</v>
      </c>
      <c r="F810" s="669" t="s">
        <v>6413</v>
      </c>
      <c r="G810" s="955" t="s">
        <v>3980</v>
      </c>
      <c r="H810" s="956" t="s">
        <v>3978</v>
      </c>
      <c r="I810" s="957">
        <v>4576</v>
      </c>
      <c r="J810" s="953">
        <v>0</v>
      </c>
      <c r="K810" s="953">
        <v>8</v>
      </c>
      <c r="L810" s="953">
        <f t="shared" si="158"/>
        <v>572</v>
      </c>
      <c r="M810" s="958">
        <v>46272</v>
      </c>
      <c r="N810" s="958">
        <v>46268</v>
      </c>
      <c r="O810" s="952"/>
      <c r="P810" s="957"/>
      <c r="Q810" s="957"/>
      <c r="R810" s="864">
        <v>46239</v>
      </c>
      <c r="S810" s="828" t="s">
        <v>107</v>
      </c>
      <c r="T810" s="828" t="s">
        <v>6401</v>
      </c>
      <c r="U810" s="848"/>
      <c r="V810" s="828" t="s">
        <v>6093</v>
      </c>
      <c r="W810" s="961"/>
      <c r="X810" s="961" t="s">
        <v>6414</v>
      </c>
      <c r="Y810" s="958" t="s">
        <v>362</v>
      </c>
      <c r="Z810" s="962">
        <v>4.8823</v>
      </c>
      <c r="AA810" s="669">
        <f>I810*Z810</f>
        <v>22341.4048</v>
      </c>
      <c r="AB810" s="831"/>
      <c r="AC810" s="1052" t="s">
        <v>3980</v>
      </c>
      <c r="AD810" s="821" t="s">
        <v>112</v>
      </c>
      <c r="AE810" s="953">
        <f t="shared" si="157"/>
        <v>4576</v>
      </c>
      <c r="AF810" s="1000" t="s">
        <v>5125</v>
      </c>
      <c r="AG810" s="956"/>
      <c r="AH810" s="833">
        <f t="shared" si="159"/>
        <v>-4576</v>
      </c>
      <c r="AI810" s="957"/>
      <c r="AJ810" s="953"/>
      <c r="AK810" s="834">
        <f>I810</f>
        <v>4576</v>
      </c>
      <c r="AL810" s="822"/>
      <c r="AM810" s="822"/>
      <c r="AN810" s="834">
        <f t="shared" si="165"/>
        <v>4576</v>
      </c>
      <c r="AO810" s="669"/>
      <c r="AP810" s="822"/>
      <c r="AQ810" s="669"/>
      <c r="AR810" s="669"/>
      <c r="AS810" s="669"/>
      <c r="AT810" s="669"/>
      <c r="AV810" s="834"/>
      <c r="AW810" s="834"/>
      <c r="AX810" s="834">
        <f>I810/8</f>
        <v>572</v>
      </c>
      <c r="AY810" s="834"/>
      <c r="AZ810" s="834"/>
      <c r="BA810" s="669"/>
      <c r="BB810" s="669"/>
      <c r="BC810" s="669"/>
      <c r="BD810" s="669"/>
      <c r="BE810" s="669"/>
      <c r="BF810" s="669"/>
      <c r="BG810" s="669"/>
      <c r="BH810" s="669"/>
      <c r="BI810" s="822"/>
    </row>
    <row r="811" s="670" customFormat="1" ht="31" customHeight="1" spans="1:108">
      <c r="A811" s="951">
        <v>46203</v>
      </c>
      <c r="B811" s="952" t="s">
        <v>525</v>
      </c>
      <c r="C811" s="953" t="s">
        <v>508</v>
      </c>
      <c r="D811" s="669" t="s">
        <v>6411</v>
      </c>
      <c r="E811" s="953" t="s">
        <v>6415</v>
      </c>
      <c r="F811" s="669" t="s">
        <v>6416</v>
      </c>
      <c r="G811" s="955" t="s">
        <v>3980</v>
      </c>
      <c r="H811" s="956" t="s">
        <v>3978</v>
      </c>
      <c r="I811" s="957">
        <v>3664</v>
      </c>
      <c r="J811" s="953">
        <v>0</v>
      </c>
      <c r="K811" s="953">
        <v>8</v>
      </c>
      <c r="L811" s="953">
        <f t="shared" si="158"/>
        <v>458</v>
      </c>
      <c r="M811" s="958">
        <v>46272</v>
      </c>
      <c r="N811" s="958">
        <v>46268</v>
      </c>
      <c r="O811" s="952"/>
      <c r="P811" s="957"/>
      <c r="Q811" s="957"/>
      <c r="R811" s="864">
        <v>46239</v>
      </c>
      <c r="S811" s="828" t="s">
        <v>107</v>
      </c>
      <c r="T811" s="828" t="s">
        <v>6401</v>
      </c>
      <c r="U811" s="848"/>
      <c r="V811" s="828" t="s">
        <v>6093</v>
      </c>
      <c r="W811" s="961"/>
      <c r="X811" s="961" t="s">
        <v>6414</v>
      </c>
      <c r="Y811" s="958" t="s">
        <v>362</v>
      </c>
      <c r="Z811" s="962">
        <v>4.8823</v>
      </c>
      <c r="AA811" s="669">
        <f>I811*Z811</f>
        <v>17888.7472</v>
      </c>
      <c r="AB811" s="831"/>
      <c r="AC811" s="1052" t="s">
        <v>3980</v>
      </c>
      <c r="AD811" s="821" t="s">
        <v>112</v>
      </c>
      <c r="AE811" s="953">
        <f t="shared" si="157"/>
        <v>3664</v>
      </c>
      <c r="AF811" s="1000" t="s">
        <v>5125</v>
      </c>
      <c r="AG811" s="956"/>
      <c r="AH811" s="833">
        <f t="shared" si="159"/>
        <v>-3664</v>
      </c>
      <c r="AI811" s="957"/>
      <c r="AJ811" s="953"/>
      <c r="AK811" s="834">
        <f>I811</f>
        <v>3664</v>
      </c>
      <c r="AL811" s="822"/>
      <c r="AM811" s="822"/>
      <c r="AN811" s="834">
        <f t="shared" si="165"/>
        <v>3664</v>
      </c>
      <c r="AO811" s="669"/>
      <c r="AP811" s="822"/>
      <c r="AQ811" s="669"/>
      <c r="AR811" s="669"/>
      <c r="AS811" s="669"/>
      <c r="AT811" s="669"/>
      <c r="AV811" s="834"/>
      <c r="AW811" s="834"/>
      <c r="AX811" s="834">
        <f>I811/8</f>
        <v>458</v>
      </c>
      <c r="AY811" s="834"/>
      <c r="AZ811" s="834"/>
      <c r="BA811" s="669"/>
      <c r="BB811" s="669"/>
      <c r="BC811" s="669"/>
      <c r="BD811" s="669"/>
      <c r="BE811" s="669"/>
      <c r="BF811" s="669"/>
      <c r="BG811" s="669"/>
      <c r="BH811" s="669"/>
      <c r="BI811" s="822"/>
    </row>
    <row r="812" s="649" customFormat="1" ht="32.05" customHeight="1" spans="1:108">
      <c r="A812" s="951">
        <v>46203</v>
      </c>
      <c r="B812" s="952" t="s">
        <v>521</v>
      </c>
      <c r="C812" s="953" t="s">
        <v>101</v>
      </c>
      <c r="D812" s="669" t="s">
        <v>6417</v>
      </c>
      <c r="E812" s="953" t="s">
        <v>6418</v>
      </c>
      <c r="F812" s="669" t="s">
        <v>6419</v>
      </c>
      <c r="G812" s="955" t="s">
        <v>3980</v>
      </c>
      <c r="H812" s="956" t="s">
        <v>3978</v>
      </c>
      <c r="I812" s="957">
        <v>424</v>
      </c>
      <c r="J812" s="953">
        <v>0</v>
      </c>
      <c r="K812" s="953">
        <v>8</v>
      </c>
      <c r="L812" s="913">
        <f t="shared" si="158"/>
        <v>53</v>
      </c>
      <c r="M812" s="958">
        <v>46272</v>
      </c>
      <c r="N812" s="958">
        <v>46268</v>
      </c>
      <c r="O812" s="952"/>
      <c r="P812" s="957"/>
      <c r="Q812" s="957"/>
      <c r="R812" s="864">
        <v>46239</v>
      </c>
      <c r="S812" s="848" t="s">
        <v>107</v>
      </c>
      <c r="T812" s="828" t="s">
        <v>6401</v>
      </c>
      <c r="U812" s="828"/>
      <c r="V812" s="828" t="s">
        <v>6093</v>
      </c>
      <c r="W812" s="828"/>
      <c r="X812" s="961" t="s">
        <v>6420</v>
      </c>
      <c r="Y812" s="958" t="s">
        <v>362</v>
      </c>
      <c r="Z812" s="962">
        <v>4.9186</v>
      </c>
      <c r="AA812" s="673">
        <f>I812*Z812</f>
        <v>2085.4864</v>
      </c>
      <c r="AB812" s="1075"/>
      <c r="AC812" s="832" t="s">
        <v>3980</v>
      </c>
      <c r="AD812" s="912" t="s">
        <v>112</v>
      </c>
      <c r="AE812" s="953">
        <f t="shared" si="157"/>
        <v>424</v>
      </c>
      <c r="AF812" s="953" t="s">
        <v>5125</v>
      </c>
      <c r="AG812" s="956"/>
      <c r="AH812" s="833">
        <f t="shared" si="159"/>
        <v>-424</v>
      </c>
      <c r="AI812" s="957"/>
      <c r="AJ812" s="953"/>
      <c r="AK812" s="914">
        <f>I812</f>
        <v>424</v>
      </c>
      <c r="AL812" s="920"/>
      <c r="AM812" s="920"/>
      <c r="AN812" s="914">
        <f t="shared" si="165"/>
        <v>424</v>
      </c>
      <c r="AO812" s="669"/>
      <c r="AP812" s="669"/>
      <c r="AQ812" s="669"/>
      <c r="AR812" s="669"/>
      <c r="AS812" s="669"/>
      <c r="AT812" s="673"/>
      <c r="AU812" s="834"/>
      <c r="AV812" s="834"/>
      <c r="AW812" s="834"/>
      <c r="AX812" s="670">
        <f>I812/8</f>
        <v>53</v>
      </c>
      <c r="AY812" s="670"/>
      <c r="AZ812" s="670"/>
      <c r="BA812" s="669"/>
      <c r="BB812" s="669"/>
      <c r="BC812" s="669"/>
      <c r="BD812" s="669"/>
      <c r="BE812" s="669"/>
      <c r="BF812" s="669"/>
      <c r="BG812" s="669"/>
      <c r="BH812" s="669"/>
      <c r="BI812" s="822"/>
      <c r="BJ812" s="834"/>
      <c r="BK812" s="670"/>
      <c r="BL812" s="670"/>
      <c r="BM812" s="670"/>
      <c r="BN812" s="670"/>
      <c r="BO812" s="670"/>
      <c r="BP812" s="1076"/>
      <c r="BQ812" s="670"/>
      <c r="BR812" s="670"/>
      <c r="BS812" s="670"/>
      <c r="BT812" s="670"/>
      <c r="BU812" s="670"/>
      <c r="BV812" s="670"/>
      <c r="BW812" s="670"/>
      <c r="BX812" s="670"/>
      <c r="BY812" s="670"/>
      <c r="BZ812" s="670"/>
      <c r="CA812" s="670"/>
      <c r="CB812" s="670"/>
      <c r="CC812" s="670"/>
      <c r="CD812" s="670"/>
      <c r="CE812" s="834"/>
      <c r="CF812" s="834"/>
      <c r="CG812" s="834"/>
      <c r="CH812" s="834"/>
      <c r="CI812" s="834"/>
      <c r="CJ812" s="834"/>
      <c r="CK812" s="670"/>
      <c r="CL812" s="670"/>
      <c r="CM812" s="670"/>
      <c r="CN812" s="835"/>
      <c r="CO812" s="835"/>
      <c r="CP812" s="835"/>
      <c r="CQ812" s="835"/>
      <c r="CR812" s="835"/>
      <c r="CS812" s="835"/>
      <c r="CT812" s="835"/>
      <c r="CU812" s="835"/>
      <c r="CV812" s="835"/>
      <c r="CW812" s="835"/>
      <c r="CX812" s="835"/>
      <c r="CY812" s="835"/>
      <c r="CZ812" s="835"/>
      <c r="DA812" s="835"/>
      <c r="DB812" s="835"/>
      <c r="DC812" s="835"/>
      <c r="DD812" s="835"/>
    </row>
    <row r="813" s="667" customFormat="1" ht="31" customHeight="1" spans="1:108">
      <c r="A813" s="819">
        <v>46203</v>
      </c>
      <c r="B813" s="820" t="s">
        <v>521</v>
      </c>
      <c r="C813" s="821" t="s">
        <v>101</v>
      </c>
      <c r="D813" s="822" t="s">
        <v>6417</v>
      </c>
      <c r="E813" s="821" t="s">
        <v>6421</v>
      </c>
      <c r="F813" s="822" t="s">
        <v>6422</v>
      </c>
      <c r="G813" s="823" t="s">
        <v>3980</v>
      </c>
      <c r="H813" s="708" t="s">
        <v>3978</v>
      </c>
      <c r="I813" s="824">
        <v>336</v>
      </c>
      <c r="J813" s="821">
        <v>0</v>
      </c>
      <c r="K813" s="821">
        <v>8</v>
      </c>
      <c r="L813" s="821">
        <f t="shared" si="158"/>
        <v>42</v>
      </c>
      <c r="M813" s="825">
        <v>46272</v>
      </c>
      <c r="N813" s="825">
        <v>46268</v>
      </c>
      <c r="O813" s="820"/>
      <c r="P813" s="824"/>
      <c r="Q813" s="824"/>
      <c r="R813" s="864">
        <v>46239</v>
      </c>
      <c r="S813" s="828" t="s">
        <v>107</v>
      </c>
      <c r="T813" s="828" t="s">
        <v>6401</v>
      </c>
      <c r="U813" s="828"/>
      <c r="V813" s="828" t="s">
        <v>6093</v>
      </c>
      <c r="W813" s="828"/>
      <c r="X813" s="828" t="s">
        <v>6420</v>
      </c>
      <c r="Y813" s="825" t="s">
        <v>362</v>
      </c>
      <c r="Z813" s="830">
        <v>4.9186</v>
      </c>
      <c r="AA813" s="822">
        <f>I813*Z813</f>
        <v>1652.6496</v>
      </c>
      <c r="AB813" s="831"/>
      <c r="AC813" s="832" t="s">
        <v>3980</v>
      </c>
      <c r="AD813" s="953" t="s">
        <v>112</v>
      </c>
      <c r="AE813" s="821">
        <f t="shared" si="157"/>
        <v>336</v>
      </c>
      <c r="AF813" s="1000" t="s">
        <v>5125</v>
      </c>
      <c r="AG813" s="708"/>
      <c r="AH813" s="833">
        <f t="shared" si="159"/>
        <v>-336</v>
      </c>
      <c r="AI813" s="957"/>
      <c r="AJ813" s="821"/>
      <c r="AK813" s="834">
        <f>I813</f>
        <v>336</v>
      </c>
      <c r="AL813" s="822"/>
      <c r="AM813" s="822"/>
      <c r="AN813" s="834">
        <f t="shared" si="165"/>
        <v>336</v>
      </c>
      <c r="AO813" s="822"/>
      <c r="AP813" s="822"/>
      <c r="AQ813" s="822"/>
      <c r="AR813" s="822"/>
      <c r="AS813" s="822"/>
      <c r="AT813" s="822"/>
      <c r="AU813" s="834"/>
      <c r="AV813" s="834"/>
      <c r="AW813" s="834"/>
      <c r="AX813" s="834">
        <f>I813/8</f>
        <v>42</v>
      </c>
      <c r="AY813" s="834"/>
      <c r="AZ813" s="834"/>
      <c r="BA813" s="822"/>
      <c r="BB813" s="822"/>
      <c r="BC813" s="822"/>
      <c r="BD813" s="822"/>
      <c r="BE813" s="822"/>
      <c r="BF813" s="822"/>
      <c r="BG813" s="822"/>
      <c r="BH813" s="822"/>
      <c r="BI813" s="822"/>
      <c r="BJ813" s="835"/>
      <c r="BK813" s="835"/>
      <c r="BL813" s="835"/>
      <c r="BM813" s="835"/>
      <c r="BN813" s="835"/>
      <c r="BO813" s="835"/>
      <c r="BP813" s="835"/>
      <c r="BQ813" s="835"/>
      <c r="BR813" s="835"/>
      <c r="BS813" s="835"/>
      <c r="BT813" s="835"/>
      <c r="BU813" s="835"/>
      <c r="BV813" s="835"/>
      <c r="BW813" s="835"/>
      <c r="BX813" s="835"/>
      <c r="BY813" s="835"/>
      <c r="BZ813" s="835"/>
      <c r="CA813" s="835"/>
      <c r="CB813" s="835"/>
      <c r="CC813" s="835"/>
      <c r="CD813" s="835"/>
      <c r="CE813" s="835"/>
      <c r="CF813" s="835"/>
      <c r="CG813" s="835"/>
      <c r="CH813" s="835"/>
      <c r="CI813" s="835"/>
      <c r="CJ813" s="835"/>
      <c r="CK813" s="835"/>
      <c r="CL813" s="835"/>
      <c r="CM813" s="835"/>
      <c r="CN813" s="835"/>
      <c r="CO813" s="835"/>
      <c r="CP813" s="835"/>
      <c r="CQ813" s="835"/>
      <c r="CR813" s="835"/>
      <c r="CS813" s="835"/>
      <c r="CT813" s="835"/>
      <c r="CU813" s="835"/>
      <c r="CV813" s="835"/>
      <c r="CW813" s="835"/>
      <c r="CX813" s="835"/>
      <c r="CY813" s="835"/>
      <c r="CZ813" s="835"/>
      <c r="DA813" s="835"/>
      <c r="DB813" s="835"/>
      <c r="DC813" s="835"/>
      <c r="DD813" s="835"/>
    </row>
    <row r="814" s="667" customFormat="1" ht="31" customHeight="1" spans="1:108">
      <c r="A814" s="819">
        <v>46241</v>
      </c>
      <c r="B814" s="820" t="s">
        <v>3452</v>
      </c>
      <c r="C814" s="821" t="s">
        <v>492</v>
      </c>
      <c r="D814" s="822">
        <v>4500219260</v>
      </c>
      <c r="E814" s="821"/>
      <c r="F814" s="822" t="s">
        <v>6423</v>
      </c>
      <c r="G814" s="823" t="s">
        <v>3980</v>
      </c>
      <c r="H814" s="708" t="s">
        <v>3978</v>
      </c>
      <c r="I814" s="824">
        <v>96</v>
      </c>
      <c r="J814" s="821">
        <v>0</v>
      </c>
      <c r="K814" s="821">
        <v>8</v>
      </c>
      <c r="L814" s="821">
        <f t="shared" si="158"/>
        <v>12</v>
      </c>
      <c r="M814" s="825">
        <v>46272</v>
      </c>
      <c r="N814" s="825">
        <v>46268</v>
      </c>
      <c r="O814" s="820"/>
      <c r="P814" s="824"/>
      <c r="Q814" s="824"/>
      <c r="R814" s="827" t="s">
        <v>3064</v>
      </c>
      <c r="S814" s="828" t="s">
        <v>107</v>
      </c>
      <c r="T814" s="828" t="s">
        <v>95</v>
      </c>
      <c r="U814" s="828"/>
      <c r="V814" s="828"/>
      <c r="W814" s="828"/>
      <c r="X814" s="828" t="s">
        <v>6424</v>
      </c>
      <c r="Y814" s="825" t="s">
        <v>3455</v>
      </c>
      <c r="Z814" s="830">
        <v>4.9186</v>
      </c>
      <c r="AA814" s="822">
        <f>I814*Z814</f>
        <v>472.1856</v>
      </c>
      <c r="AB814" s="831"/>
      <c r="AC814" s="832" t="s">
        <v>4108</v>
      </c>
      <c r="AD814" s="953" t="s">
        <v>112</v>
      </c>
      <c r="AE814" s="953">
        <f t="shared" si="157"/>
        <v>96</v>
      </c>
      <c r="AF814" s="1000"/>
      <c r="AG814" s="708"/>
      <c r="AH814" s="833"/>
      <c r="AI814" s="957"/>
      <c r="AJ814" s="821"/>
      <c r="AK814" s="834"/>
      <c r="AL814" s="925">
        <f>I814</f>
        <v>96</v>
      </c>
      <c r="AM814" s="822"/>
      <c r="AN814" s="834">
        <f t="shared" si="165"/>
        <v>96</v>
      </c>
      <c r="AO814" s="822"/>
      <c r="AP814" s="822"/>
      <c r="AQ814" s="822"/>
      <c r="AR814" s="822"/>
      <c r="AS814" s="822"/>
      <c r="AT814" s="822"/>
      <c r="AU814" s="925">
        <f>I814/8</f>
        <v>12</v>
      </c>
      <c r="AV814" s="834"/>
      <c r="AW814" s="834"/>
      <c r="AX814" s="834"/>
      <c r="AY814" s="834"/>
      <c r="AZ814" s="834"/>
      <c r="BA814" s="822"/>
      <c r="BB814" s="822"/>
      <c r="BC814" s="822"/>
      <c r="BD814" s="822"/>
      <c r="BE814" s="822"/>
      <c r="BF814" s="822"/>
      <c r="BG814" s="822"/>
      <c r="BH814" s="822"/>
      <c r="BI814" s="822"/>
      <c r="BJ814" s="835"/>
      <c r="BK814" s="835"/>
      <c r="BL814" s="835"/>
      <c r="BM814" s="835"/>
      <c r="BN814" s="835"/>
      <c r="BO814" s="835"/>
      <c r="BP814" s="835"/>
      <c r="BQ814" s="835"/>
      <c r="BR814" s="835"/>
      <c r="BS814" s="835"/>
      <c r="BT814" s="835"/>
      <c r="BU814" s="835"/>
      <c r="BV814" s="835"/>
      <c r="BW814" s="835"/>
      <c r="BX814" s="835"/>
      <c r="BY814" s="835"/>
      <c r="BZ814" s="835"/>
      <c r="CA814" s="835"/>
      <c r="CB814" s="835"/>
      <c r="CC814" s="835"/>
      <c r="CD814" s="835"/>
      <c r="CE814" s="835"/>
      <c r="CF814" s="835"/>
      <c r="CG814" s="835"/>
      <c r="CH814" s="835"/>
      <c r="CI814" s="835"/>
      <c r="CJ814" s="835"/>
      <c r="CK814" s="835"/>
      <c r="CL814" s="835"/>
      <c r="CM814" s="835"/>
      <c r="CN814" s="835"/>
      <c r="CO814" s="835"/>
      <c r="CP814" s="835"/>
      <c r="CQ814" s="835"/>
      <c r="CR814" s="835"/>
      <c r="CS814" s="835"/>
      <c r="CT814" s="835"/>
      <c r="CU814" s="835"/>
      <c r="CV814" s="835"/>
      <c r="CW814" s="835"/>
      <c r="CX814" s="835"/>
      <c r="CY814" s="835"/>
      <c r="CZ814" s="835"/>
      <c r="DA814" s="835"/>
      <c r="DB814" s="835"/>
      <c r="DC814" s="835"/>
      <c r="DD814" s="835"/>
    </row>
    <row r="815" s="667" customFormat="1" ht="31" customHeight="1" spans="1:108">
      <c r="A815" s="819">
        <v>46213</v>
      </c>
      <c r="B815" s="820" t="s">
        <v>499</v>
      </c>
      <c r="C815" s="821" t="s">
        <v>115</v>
      </c>
      <c r="D815" s="822" t="s">
        <v>6425</v>
      </c>
      <c r="E815" s="821" t="s">
        <v>6426</v>
      </c>
      <c r="F815" s="822" t="s">
        <v>6427</v>
      </c>
      <c r="G815" s="823" t="s">
        <v>4414</v>
      </c>
      <c r="H815" s="821" t="s">
        <v>3978</v>
      </c>
      <c r="I815" s="824">
        <v>10240</v>
      </c>
      <c r="J815" s="821">
        <v>0</v>
      </c>
      <c r="K815" s="821">
        <v>512</v>
      </c>
      <c r="L815" s="821">
        <f t="shared" si="158"/>
        <v>20</v>
      </c>
      <c r="M815" s="825">
        <v>46275</v>
      </c>
      <c r="N815" s="825">
        <v>46272</v>
      </c>
      <c r="O815" s="820"/>
      <c r="P815" s="824"/>
      <c r="Q815" s="824"/>
      <c r="R815" s="827" t="s">
        <v>4201</v>
      </c>
      <c r="S815" s="828" t="s">
        <v>107</v>
      </c>
      <c r="T815" s="828" t="s">
        <v>6105</v>
      </c>
      <c r="U815" s="828"/>
      <c r="V815" s="829" t="s">
        <v>4706</v>
      </c>
      <c r="W815" s="828"/>
      <c r="X815" s="828" t="s">
        <v>6428</v>
      </c>
      <c r="Y815" s="825" t="s">
        <v>503</v>
      </c>
      <c r="Z815" s="830">
        <v>1463.181</v>
      </c>
      <c r="AA815" s="822">
        <f>Z815*L815</f>
        <v>29263.62</v>
      </c>
      <c r="AB815" s="831"/>
      <c r="AC815" s="887" t="s">
        <v>4194</v>
      </c>
      <c r="AD815" s="953" t="s">
        <v>112</v>
      </c>
      <c r="AE815" s="821">
        <f t="shared" si="157"/>
        <v>10240</v>
      </c>
      <c r="AF815" s="1000" t="s">
        <v>5125</v>
      </c>
      <c r="AG815" s="821"/>
      <c r="AH815" s="833">
        <f t="shared" ref="AH815:AH830" si="166">AG815-I815</f>
        <v>-10240</v>
      </c>
      <c r="AI815" s="957"/>
      <c r="AJ815" s="821"/>
      <c r="AK815" s="834">
        <f t="shared" ref="AK815:AK821" si="167">I815</f>
        <v>10240</v>
      </c>
      <c r="AL815" s="834"/>
      <c r="AM815" s="834"/>
      <c r="AN815" s="834">
        <f t="shared" si="165"/>
        <v>10240</v>
      </c>
      <c r="AO815" s="822"/>
      <c r="AP815" s="822"/>
      <c r="AQ815" s="822"/>
      <c r="AR815" s="822"/>
      <c r="AS815" s="822"/>
      <c r="AT815" s="822">
        <f>I815/8</f>
        <v>1280</v>
      </c>
      <c r="AU815" s="822"/>
      <c r="AV815" s="822"/>
      <c r="AW815" s="822"/>
      <c r="AX815" s="822"/>
      <c r="AY815" s="822"/>
      <c r="AZ815" s="822"/>
      <c r="BA815" s="822"/>
      <c r="BB815" s="822"/>
      <c r="BC815" s="822"/>
      <c r="BD815" s="822"/>
      <c r="BE815" s="822"/>
      <c r="BF815" s="822"/>
      <c r="BG815" s="822"/>
      <c r="BH815" s="822"/>
      <c r="BI815" s="822"/>
    </row>
    <row r="816" s="667" customFormat="1" ht="31" customHeight="1" spans="1:108">
      <c r="A816" s="819">
        <v>46213</v>
      </c>
      <c r="B816" s="820" t="s">
        <v>499</v>
      </c>
      <c r="C816" s="821" t="s">
        <v>115</v>
      </c>
      <c r="D816" s="822" t="s">
        <v>6425</v>
      </c>
      <c r="E816" s="821" t="s">
        <v>6429</v>
      </c>
      <c r="F816" s="822" t="s">
        <v>6430</v>
      </c>
      <c r="G816" s="823" t="s">
        <v>4414</v>
      </c>
      <c r="H816" s="821" t="s">
        <v>3978</v>
      </c>
      <c r="I816" s="824">
        <v>20480</v>
      </c>
      <c r="J816" s="821">
        <v>0</v>
      </c>
      <c r="K816" s="821">
        <v>512</v>
      </c>
      <c r="L816" s="821">
        <f t="shared" si="158"/>
        <v>40</v>
      </c>
      <c r="M816" s="825">
        <v>46275</v>
      </c>
      <c r="N816" s="825">
        <v>46272</v>
      </c>
      <c r="O816" s="820"/>
      <c r="P816" s="824"/>
      <c r="Q816" s="824"/>
      <c r="R816" s="827" t="s">
        <v>4201</v>
      </c>
      <c r="S816" s="828" t="s">
        <v>107</v>
      </c>
      <c r="T816" s="828" t="s">
        <v>6105</v>
      </c>
      <c r="U816" s="828"/>
      <c r="V816" s="829" t="s">
        <v>4706</v>
      </c>
      <c r="W816" s="828"/>
      <c r="X816" s="828" t="s">
        <v>6428</v>
      </c>
      <c r="Y816" s="825" t="s">
        <v>503</v>
      </c>
      <c r="Z816" s="830">
        <v>1458.1738</v>
      </c>
      <c r="AA816" s="822">
        <f>Z816*L816</f>
        <v>58326.952</v>
      </c>
      <c r="AB816" s="831"/>
      <c r="AC816" s="887" t="s">
        <v>4194</v>
      </c>
      <c r="AD816" s="953" t="s">
        <v>112</v>
      </c>
      <c r="AE816" s="821">
        <f t="shared" si="157"/>
        <v>20480</v>
      </c>
      <c r="AF816" s="1000" t="s">
        <v>5125</v>
      </c>
      <c r="AG816" s="821"/>
      <c r="AH816" s="833">
        <f t="shared" si="166"/>
        <v>-20480</v>
      </c>
      <c r="AI816" s="957"/>
      <c r="AJ816" s="821"/>
      <c r="AK816" s="834">
        <f t="shared" si="167"/>
        <v>20480</v>
      </c>
      <c r="AL816" s="834"/>
      <c r="AM816" s="834"/>
      <c r="AN816" s="834">
        <f t="shared" si="165"/>
        <v>20480</v>
      </c>
      <c r="AO816" s="822"/>
      <c r="AP816" s="822"/>
      <c r="AQ816" s="822"/>
      <c r="AR816" s="822"/>
      <c r="AS816" s="822"/>
      <c r="AT816" s="822">
        <f>I816/8</f>
        <v>2560</v>
      </c>
      <c r="AU816" s="822"/>
      <c r="AV816" s="822"/>
      <c r="AW816" s="822"/>
      <c r="AX816" s="822"/>
      <c r="AY816" s="822"/>
      <c r="AZ816" s="822"/>
      <c r="BA816" s="822"/>
      <c r="BB816" s="822"/>
      <c r="BC816" s="822"/>
      <c r="BD816" s="822"/>
      <c r="BE816" s="822"/>
      <c r="BF816" s="822"/>
      <c r="BG816" s="822"/>
      <c r="BH816" s="822"/>
      <c r="BI816" s="822"/>
    </row>
    <row r="817" s="670" customFormat="1" ht="31" customHeight="1" spans="1:108">
      <c r="A817" s="951">
        <v>46213</v>
      </c>
      <c r="B817" s="952" t="s">
        <v>499</v>
      </c>
      <c r="C817" s="953" t="s">
        <v>115</v>
      </c>
      <c r="D817" s="669" t="s">
        <v>6425</v>
      </c>
      <c r="E817" s="953" t="s">
        <v>6431</v>
      </c>
      <c r="F817" s="669" t="s">
        <v>6432</v>
      </c>
      <c r="G817" s="955" t="s">
        <v>4414</v>
      </c>
      <c r="H817" s="953" t="s">
        <v>3978</v>
      </c>
      <c r="I817" s="957">
        <v>16896</v>
      </c>
      <c r="J817" s="953">
        <v>0</v>
      </c>
      <c r="K817" s="953">
        <v>512</v>
      </c>
      <c r="L817" s="821">
        <f t="shared" si="158"/>
        <v>33</v>
      </c>
      <c r="M817" s="958">
        <v>46275</v>
      </c>
      <c r="N817" s="958">
        <v>46272</v>
      </c>
      <c r="O817" s="952"/>
      <c r="P817" s="957"/>
      <c r="Q817" s="957"/>
      <c r="R817" s="886" t="s">
        <v>4201</v>
      </c>
      <c r="S817" s="848" t="s">
        <v>107</v>
      </c>
      <c r="T817" s="848" t="s">
        <v>6105</v>
      </c>
      <c r="U817" s="848"/>
      <c r="V817" s="960" t="s">
        <v>4706</v>
      </c>
      <c r="W817" s="961"/>
      <c r="X817" s="848" t="s">
        <v>6428</v>
      </c>
      <c r="Y817" s="958" t="s">
        <v>503</v>
      </c>
      <c r="Z817" s="962">
        <v>1475.4991</v>
      </c>
      <c r="AA817" s="669">
        <f>Z817*L817</f>
        <v>48691.4703</v>
      </c>
      <c r="AB817" s="831"/>
      <c r="AC817" s="1051" t="s">
        <v>4194</v>
      </c>
      <c r="AD817" s="821" t="s">
        <v>112</v>
      </c>
      <c r="AE817" s="953">
        <f t="shared" si="157"/>
        <v>16896</v>
      </c>
      <c r="AF817" s="953" t="s">
        <v>5125</v>
      </c>
      <c r="AG817" s="953"/>
      <c r="AH817" s="833">
        <f t="shared" si="166"/>
        <v>-16896</v>
      </c>
      <c r="AI817" s="957"/>
      <c r="AJ817" s="953"/>
      <c r="AK817" s="834">
        <f t="shared" si="167"/>
        <v>16896</v>
      </c>
      <c r="AL817" s="834"/>
      <c r="AM817" s="834"/>
      <c r="AN817" s="834">
        <f t="shared" si="165"/>
        <v>16896</v>
      </c>
      <c r="AO817" s="669"/>
      <c r="AP817" s="822"/>
      <c r="AQ817" s="669"/>
      <c r="AR817" s="669"/>
      <c r="AS817" s="669"/>
      <c r="AT817" s="669">
        <f>I817/8</f>
        <v>2112</v>
      </c>
      <c r="AU817" s="669"/>
      <c r="AV817" s="669"/>
      <c r="AW817" s="669"/>
      <c r="AX817" s="669"/>
      <c r="AY817" s="669"/>
      <c r="AZ817" s="669"/>
      <c r="BA817" s="669"/>
      <c r="BB817" s="669"/>
      <c r="BC817" s="669"/>
      <c r="BD817" s="669"/>
      <c r="BE817" s="669"/>
      <c r="BF817" s="669"/>
      <c r="BG817" s="669"/>
      <c r="BH817" s="669"/>
      <c r="BI817" s="822"/>
      <c r="BJ817" s="669"/>
      <c r="BK817" s="669"/>
      <c r="BL817" s="669"/>
      <c r="BM817" s="669"/>
      <c r="BN817" s="669"/>
      <c r="BO817" s="669"/>
      <c r="BP817" s="669"/>
      <c r="BQ817" s="669"/>
      <c r="BR817" s="669"/>
      <c r="BS817" s="669"/>
      <c r="BT817" s="669"/>
      <c r="BU817" s="669"/>
      <c r="BV817" s="669"/>
      <c r="BW817" s="669"/>
      <c r="BX817" s="669"/>
      <c r="BY817" s="669"/>
      <c r="BZ817" s="669"/>
      <c r="CA817" s="669"/>
      <c r="CB817" s="669"/>
      <c r="CC817" s="669"/>
      <c r="CD817" s="669"/>
      <c r="CE817" s="669"/>
      <c r="CF817" s="669"/>
      <c r="CG817" s="669"/>
      <c r="CH817" s="669"/>
      <c r="CI817" s="669"/>
      <c r="CJ817" s="669"/>
      <c r="CK817" s="669"/>
      <c r="CL817" s="669"/>
      <c r="CM817" s="669"/>
      <c r="CN817" s="669"/>
      <c r="CO817" s="669"/>
      <c r="CP817" s="669"/>
      <c r="CQ817" s="669"/>
      <c r="CR817" s="669"/>
      <c r="CS817" s="669"/>
      <c r="CT817" s="669"/>
      <c r="CU817" s="669"/>
      <c r="CV817" s="669"/>
      <c r="CW817" s="669"/>
      <c r="CX817" s="669"/>
      <c r="CY817" s="669"/>
      <c r="CZ817" s="669"/>
      <c r="DA817" s="669"/>
      <c r="DB817" s="669"/>
      <c r="DC817" s="669"/>
      <c r="DD817" s="669"/>
    </row>
    <row r="818" s="670" customFormat="1" ht="31" customHeight="1" spans="1:108">
      <c r="A818" s="951">
        <v>46203</v>
      </c>
      <c r="B818" s="952" t="s">
        <v>602</v>
      </c>
      <c r="C818" s="953" t="s">
        <v>508</v>
      </c>
      <c r="D818" s="669" t="s">
        <v>6433</v>
      </c>
      <c r="E818" s="953" t="s">
        <v>6434</v>
      </c>
      <c r="F818" s="669" t="s">
        <v>3477</v>
      </c>
      <c r="G818" s="955" t="s">
        <v>6435</v>
      </c>
      <c r="H818" s="956" t="s">
        <v>628</v>
      </c>
      <c r="I818" s="957">
        <v>1800</v>
      </c>
      <c r="J818" s="953">
        <v>0</v>
      </c>
      <c r="K818" s="953">
        <v>12</v>
      </c>
      <c r="L818" s="953">
        <f t="shared" si="158"/>
        <v>150</v>
      </c>
      <c r="M818" s="958">
        <v>46275</v>
      </c>
      <c r="N818" s="958">
        <v>46272</v>
      </c>
      <c r="O818" s="952"/>
      <c r="P818" s="957"/>
      <c r="Q818" s="957"/>
      <c r="R818" s="886">
        <v>46227</v>
      </c>
      <c r="S818" s="848" t="s">
        <v>107</v>
      </c>
      <c r="T818" s="848" t="s">
        <v>6436</v>
      </c>
      <c r="U818" s="848"/>
      <c r="V818" s="960"/>
      <c r="W818" s="961"/>
      <c r="X818" s="1047" t="s">
        <v>6437</v>
      </c>
      <c r="Y818" s="958" t="s">
        <v>362</v>
      </c>
      <c r="Z818" s="962">
        <v>109.77</v>
      </c>
      <c r="AA818" s="669">
        <f>Z818*K818</f>
        <v>1317.24</v>
      </c>
      <c r="AB818" s="831"/>
      <c r="AC818" s="1052" t="s">
        <v>4353</v>
      </c>
      <c r="AD818" s="821" t="s">
        <v>112</v>
      </c>
      <c r="AE818" s="953">
        <f t="shared" si="157"/>
        <v>1800</v>
      </c>
      <c r="AF818" s="1000"/>
      <c r="AG818" s="956"/>
      <c r="AH818" s="833">
        <f t="shared" si="166"/>
        <v>-1800</v>
      </c>
      <c r="AI818" s="957"/>
      <c r="AJ818" s="953"/>
      <c r="AK818" s="834">
        <f t="shared" si="167"/>
        <v>1800</v>
      </c>
      <c r="AL818" s="822"/>
      <c r="AM818" s="822"/>
      <c r="AN818" s="834">
        <f t="shared" si="165"/>
        <v>1800</v>
      </c>
      <c r="AO818" s="669"/>
      <c r="AP818" s="822"/>
      <c r="AQ818" s="669"/>
      <c r="AR818" s="669"/>
      <c r="AS818" s="669"/>
      <c r="AT818" s="669"/>
      <c r="AX818" s="669"/>
      <c r="AY818" s="669"/>
      <c r="AZ818" s="669"/>
      <c r="BA818" s="669"/>
      <c r="BB818" s="669"/>
      <c r="BC818" s="669"/>
      <c r="BD818" s="669">
        <f>L818</f>
        <v>150</v>
      </c>
      <c r="BE818" s="669"/>
      <c r="BF818" s="669"/>
      <c r="BG818" s="669"/>
      <c r="BH818" s="669"/>
      <c r="BI818" s="822"/>
    </row>
    <row r="819" s="659" customFormat="1" ht="31" customHeight="1" spans="1:108">
      <c r="A819" s="819">
        <v>46203</v>
      </c>
      <c r="B819" s="820" t="s">
        <v>602</v>
      </c>
      <c r="C819" s="821" t="s">
        <v>508</v>
      </c>
      <c r="D819" s="822" t="s">
        <v>6433</v>
      </c>
      <c r="E819" s="821" t="s">
        <v>6434</v>
      </c>
      <c r="F819" s="822" t="s">
        <v>6438</v>
      </c>
      <c r="G819" s="823" t="s">
        <v>3980</v>
      </c>
      <c r="H819" s="708" t="s">
        <v>3978</v>
      </c>
      <c r="I819" s="824">
        <v>2400</v>
      </c>
      <c r="J819" s="821">
        <v>0</v>
      </c>
      <c r="K819" s="821">
        <v>8</v>
      </c>
      <c r="L819" s="821">
        <f t="shared" si="158"/>
        <v>300</v>
      </c>
      <c r="M819" s="825">
        <v>46275</v>
      </c>
      <c r="N819" s="825">
        <v>46272</v>
      </c>
      <c r="O819" s="820"/>
      <c r="P819" s="824"/>
      <c r="Q819" s="824"/>
      <c r="R819" s="886">
        <v>46227</v>
      </c>
      <c r="S819" s="828" t="s">
        <v>107</v>
      </c>
      <c r="T819" s="828" t="s">
        <v>2940</v>
      </c>
      <c r="U819" s="828"/>
      <c r="V819" s="828" t="s">
        <v>6093</v>
      </c>
      <c r="W819" s="828"/>
      <c r="X819" s="828" t="s">
        <v>6010</v>
      </c>
      <c r="Y819" s="825" t="s">
        <v>362</v>
      </c>
      <c r="Z819" s="830">
        <v>4.8266</v>
      </c>
      <c r="AA819" s="822">
        <f>I819*Z819</f>
        <v>11583.84</v>
      </c>
      <c r="AB819" s="831"/>
      <c r="AC819" s="832" t="s">
        <v>3980</v>
      </c>
      <c r="AD819" s="821" t="s">
        <v>112</v>
      </c>
      <c r="AE819" s="821">
        <f t="shared" si="157"/>
        <v>2400</v>
      </c>
      <c r="AF819" s="1000" t="s">
        <v>5125</v>
      </c>
      <c r="AG819" s="708"/>
      <c r="AH819" s="833">
        <f t="shared" si="166"/>
        <v>-2400</v>
      </c>
      <c r="AI819" s="824"/>
      <c r="AJ819" s="821"/>
      <c r="AK819" s="834">
        <f t="shared" si="167"/>
        <v>2400</v>
      </c>
      <c r="AL819" s="822"/>
      <c r="AM819" s="822"/>
      <c r="AN819" s="834">
        <f t="shared" si="165"/>
        <v>2400</v>
      </c>
      <c r="AO819" s="822"/>
      <c r="AP819" s="822"/>
      <c r="AQ819" s="822"/>
      <c r="AR819" s="822"/>
      <c r="AS819" s="822"/>
      <c r="AT819" s="822"/>
      <c r="AU819" s="834"/>
      <c r="AV819" s="834"/>
      <c r="AW819" s="834"/>
      <c r="AX819" s="822">
        <f>I819/8</f>
        <v>300</v>
      </c>
      <c r="AY819" s="822"/>
      <c r="AZ819" s="822"/>
      <c r="BA819" s="822"/>
      <c r="BB819" s="822"/>
      <c r="BC819" s="822"/>
      <c r="BD819" s="822"/>
      <c r="BE819" s="822"/>
      <c r="BF819" s="822"/>
      <c r="BG819" s="822"/>
      <c r="BH819" s="822"/>
      <c r="BI819" s="822"/>
      <c r="BJ819" s="835"/>
      <c r="BK819" s="835"/>
      <c r="BL819" s="835"/>
      <c r="BM819" s="835"/>
      <c r="BN819" s="835"/>
      <c r="BO819" s="835"/>
      <c r="BP819" s="835"/>
      <c r="BQ819" s="835"/>
      <c r="BR819" s="835"/>
      <c r="BS819" s="835"/>
      <c r="BT819" s="835"/>
      <c r="BU819" s="835"/>
      <c r="BV819" s="835"/>
      <c r="BW819" s="835"/>
      <c r="BX819" s="835"/>
      <c r="BY819" s="835"/>
      <c r="BZ819" s="835"/>
      <c r="CA819" s="835"/>
      <c r="CB819" s="835"/>
      <c r="CC819" s="835"/>
      <c r="CD819" s="835"/>
      <c r="CE819" s="835"/>
      <c r="CF819" s="835"/>
      <c r="CG819" s="835"/>
      <c r="CH819" s="835"/>
      <c r="CI819" s="835"/>
      <c r="CJ819" s="835"/>
      <c r="CK819" s="835"/>
      <c r="CL819" s="835"/>
      <c r="CM819" s="835"/>
      <c r="CN819" s="835"/>
      <c r="CO819" s="835"/>
      <c r="CP819" s="835"/>
      <c r="CQ819" s="835"/>
      <c r="CR819" s="835"/>
      <c r="CS819" s="835"/>
      <c r="CT819" s="835"/>
      <c r="CU819" s="835"/>
      <c r="CV819" s="835"/>
      <c r="CW819" s="835"/>
      <c r="CX819" s="835"/>
      <c r="CY819" s="835"/>
      <c r="CZ819" s="835"/>
      <c r="DA819" s="835"/>
      <c r="DB819" s="835"/>
      <c r="DC819" s="835"/>
      <c r="DD819" s="835"/>
    </row>
    <row r="820" s="659" customFormat="1" ht="31" customHeight="1" spans="1:108">
      <c r="A820" s="819">
        <v>46177</v>
      </c>
      <c r="B820" s="820" t="s">
        <v>2457</v>
      </c>
      <c r="C820" s="821" t="s">
        <v>2458</v>
      </c>
      <c r="D820" s="822">
        <v>4500210658</v>
      </c>
      <c r="E820" s="821">
        <v>5000002246</v>
      </c>
      <c r="F820" s="822" t="s">
        <v>6439</v>
      </c>
      <c r="G820" s="823" t="s">
        <v>5874</v>
      </c>
      <c r="H820" s="821" t="s">
        <v>3978</v>
      </c>
      <c r="I820" s="824">
        <v>1600</v>
      </c>
      <c r="J820" s="821">
        <v>0</v>
      </c>
      <c r="K820" s="821">
        <v>8</v>
      </c>
      <c r="L820" s="821">
        <f t="shared" si="158"/>
        <v>200</v>
      </c>
      <c r="M820" s="825">
        <v>46275</v>
      </c>
      <c r="N820" s="825">
        <v>46272</v>
      </c>
      <c r="O820" s="922" t="s">
        <v>2463</v>
      </c>
      <c r="P820" s="824"/>
      <c r="Q820" s="824"/>
      <c r="R820" s="864" t="s">
        <v>6020</v>
      </c>
      <c r="S820" s="828" t="s">
        <v>107</v>
      </c>
      <c r="T820" s="828" t="s">
        <v>5876</v>
      </c>
      <c r="U820" s="828"/>
      <c r="V820" s="829" t="s">
        <v>4056</v>
      </c>
      <c r="W820" s="828"/>
      <c r="X820" s="828" t="s">
        <v>6440</v>
      </c>
      <c r="Y820" s="825" t="s">
        <v>2467</v>
      </c>
      <c r="Z820" s="830">
        <v>4.5405</v>
      </c>
      <c r="AA820" s="822">
        <f>Z820*I820</f>
        <v>7264.8</v>
      </c>
      <c r="AB820" s="831"/>
      <c r="AC820" s="846" t="s">
        <v>5874</v>
      </c>
      <c r="AD820" s="821" t="s">
        <v>112</v>
      </c>
      <c r="AE820" s="821">
        <f t="shared" si="157"/>
        <v>1600</v>
      </c>
      <c r="AF820" s="1000" t="s">
        <v>5125</v>
      </c>
      <c r="AG820" s="821"/>
      <c r="AH820" s="833">
        <f t="shared" si="166"/>
        <v>-1600</v>
      </c>
      <c r="AI820" s="824"/>
      <c r="AJ820" s="821"/>
      <c r="AK820" s="834">
        <f t="shared" si="167"/>
        <v>1600</v>
      </c>
      <c r="AL820" s="834"/>
      <c r="AM820" s="822"/>
      <c r="AN820" s="834"/>
      <c r="AO820" s="822"/>
      <c r="AP820" s="834">
        <f>I820</f>
        <v>1600</v>
      </c>
      <c r="AQ820" s="822"/>
      <c r="AR820" s="822"/>
      <c r="AS820" s="822"/>
      <c r="AT820" s="834">
        <f>I820/8</f>
        <v>200</v>
      </c>
      <c r="AU820" s="822"/>
      <c r="AV820" s="822"/>
      <c r="AW820" s="822"/>
      <c r="AX820" s="822"/>
      <c r="AY820" s="822"/>
      <c r="AZ820" s="822"/>
      <c r="BA820" s="822"/>
      <c r="BB820" s="822"/>
      <c r="BC820" s="822"/>
      <c r="BD820" s="822"/>
      <c r="BE820" s="822"/>
      <c r="BF820" s="822"/>
      <c r="BG820" s="822"/>
      <c r="BH820" s="822"/>
      <c r="BI820" s="822"/>
      <c r="BJ820" s="667"/>
      <c r="BK820" s="667"/>
      <c r="BL820" s="667"/>
      <c r="BM820" s="667"/>
      <c r="BN820" s="667"/>
      <c r="BO820" s="667"/>
      <c r="BP820" s="667"/>
      <c r="BQ820" s="667"/>
      <c r="BR820" s="667"/>
      <c r="BS820" s="667"/>
      <c r="BT820" s="667"/>
      <c r="BU820" s="667"/>
      <c r="BV820" s="667"/>
      <c r="BW820" s="667"/>
      <c r="BX820" s="667"/>
      <c r="BY820" s="667"/>
      <c r="BZ820" s="667"/>
      <c r="CA820" s="667"/>
      <c r="CB820" s="667"/>
      <c r="CC820" s="667"/>
      <c r="CD820" s="667"/>
      <c r="CE820" s="667"/>
      <c r="CF820" s="667"/>
      <c r="CG820" s="667"/>
      <c r="CH820" s="667"/>
      <c r="CI820" s="667"/>
      <c r="CJ820" s="667"/>
      <c r="CK820" s="667"/>
      <c r="CL820" s="667"/>
      <c r="CM820" s="667"/>
      <c r="CN820" s="667"/>
      <c r="CO820" s="667"/>
      <c r="CP820" s="667"/>
      <c r="CQ820" s="667"/>
      <c r="CR820" s="667"/>
    </row>
    <row r="821" s="659" customFormat="1" ht="31" customHeight="1" spans="1:108">
      <c r="A821" s="819">
        <v>46177</v>
      </c>
      <c r="B821" s="820" t="s">
        <v>2457</v>
      </c>
      <c r="C821" s="821" t="s">
        <v>2458</v>
      </c>
      <c r="D821" s="822">
        <v>4500210658</v>
      </c>
      <c r="E821" s="821">
        <v>5000002246</v>
      </c>
      <c r="F821" s="822" t="s">
        <v>6441</v>
      </c>
      <c r="G821" s="823" t="s">
        <v>5874</v>
      </c>
      <c r="H821" s="821" t="s">
        <v>3978</v>
      </c>
      <c r="I821" s="824">
        <v>2400</v>
      </c>
      <c r="J821" s="821">
        <v>0</v>
      </c>
      <c r="K821" s="821">
        <v>8</v>
      </c>
      <c r="L821" s="821">
        <f t="shared" si="158"/>
        <v>300</v>
      </c>
      <c r="M821" s="825">
        <v>46275</v>
      </c>
      <c r="N821" s="825">
        <v>46272</v>
      </c>
      <c r="O821" s="922" t="s">
        <v>2463</v>
      </c>
      <c r="P821" s="824"/>
      <c r="Q821" s="824"/>
      <c r="R821" s="864" t="s">
        <v>6020</v>
      </c>
      <c r="S821" s="828" t="s">
        <v>107</v>
      </c>
      <c r="T821" s="828" t="s">
        <v>5876</v>
      </c>
      <c r="U821" s="828"/>
      <c r="V821" s="829" t="s">
        <v>4056</v>
      </c>
      <c r="W821" s="828"/>
      <c r="X821" s="828" t="s">
        <v>6440</v>
      </c>
      <c r="Y821" s="825" t="s">
        <v>2467</v>
      </c>
      <c r="Z821" s="830">
        <v>4.5405</v>
      </c>
      <c r="AA821" s="822">
        <f>Z821*I821</f>
        <v>10897.2</v>
      </c>
      <c r="AB821" s="831"/>
      <c r="AC821" s="846" t="s">
        <v>5874</v>
      </c>
      <c r="AD821" s="821" t="s">
        <v>112</v>
      </c>
      <c r="AE821" s="821">
        <f t="shared" si="157"/>
        <v>2400</v>
      </c>
      <c r="AF821" s="821" t="s">
        <v>5125</v>
      </c>
      <c r="AG821" s="821"/>
      <c r="AH821" s="833">
        <f t="shared" si="166"/>
        <v>-2400</v>
      </c>
      <c r="AI821" s="824"/>
      <c r="AJ821" s="821"/>
      <c r="AK821" s="834">
        <f t="shared" si="167"/>
        <v>2400</v>
      </c>
      <c r="AL821" s="834"/>
      <c r="AM821" s="822"/>
      <c r="AN821" s="834"/>
      <c r="AO821" s="822"/>
      <c r="AP821" s="834">
        <f>I821</f>
        <v>2400</v>
      </c>
      <c r="AQ821" s="822"/>
      <c r="AR821" s="822"/>
      <c r="AS821" s="822"/>
      <c r="AT821" s="834">
        <f>I821/8</f>
        <v>300</v>
      </c>
      <c r="AU821" s="822"/>
      <c r="AV821" s="822"/>
      <c r="AW821" s="822"/>
      <c r="AX821" s="822"/>
      <c r="AY821" s="822"/>
      <c r="AZ821" s="822"/>
      <c r="BA821" s="822"/>
      <c r="BB821" s="822"/>
      <c r="BC821" s="822"/>
      <c r="BD821" s="822"/>
      <c r="BE821" s="822"/>
      <c r="BF821" s="822"/>
      <c r="BG821" s="822"/>
      <c r="BH821" s="822"/>
      <c r="BI821" s="822"/>
      <c r="BJ821" s="667"/>
      <c r="BK821" s="667"/>
      <c r="BL821" s="667"/>
      <c r="BM821" s="667"/>
      <c r="BN821" s="667"/>
      <c r="BO821" s="667"/>
      <c r="BP821" s="667"/>
      <c r="BQ821" s="667"/>
      <c r="BR821" s="667"/>
      <c r="BS821" s="667"/>
      <c r="BT821" s="667"/>
      <c r="BU821" s="667"/>
      <c r="BV821" s="667"/>
      <c r="BW821" s="667"/>
      <c r="BX821" s="667"/>
      <c r="BY821" s="667"/>
      <c r="BZ821" s="667"/>
      <c r="CA821" s="667"/>
      <c r="CB821" s="667"/>
      <c r="CC821" s="667"/>
      <c r="CD821" s="667"/>
      <c r="CE821" s="667"/>
      <c r="CF821" s="667"/>
      <c r="CG821" s="667"/>
      <c r="CH821" s="667"/>
      <c r="CI821" s="667"/>
      <c r="CJ821" s="667"/>
      <c r="CK821" s="667"/>
      <c r="CL821" s="667"/>
      <c r="CM821" s="667"/>
      <c r="CN821" s="667"/>
      <c r="CO821" s="667"/>
      <c r="CP821" s="667"/>
      <c r="CQ821" s="667"/>
      <c r="CR821" s="667"/>
    </row>
    <row r="822" s="659" customFormat="1" ht="31" customHeight="1" spans="1:108">
      <c r="A822" s="819">
        <v>46177</v>
      </c>
      <c r="B822" s="820" t="s">
        <v>378</v>
      </c>
      <c r="C822" s="821" t="s">
        <v>201</v>
      </c>
      <c r="D822" s="822">
        <v>4500210724</v>
      </c>
      <c r="E822" s="821">
        <v>7000992555</v>
      </c>
      <c r="F822" s="822" t="s">
        <v>6442</v>
      </c>
      <c r="G822" s="823" t="s">
        <v>3980</v>
      </c>
      <c r="H822" s="708" t="s">
        <v>3978</v>
      </c>
      <c r="I822" s="824">
        <v>664</v>
      </c>
      <c r="J822" s="821">
        <v>0</v>
      </c>
      <c r="K822" s="821">
        <v>8</v>
      </c>
      <c r="L822" s="821">
        <f t="shared" si="158"/>
        <v>83</v>
      </c>
      <c r="M822" s="825">
        <v>46275</v>
      </c>
      <c r="N822" s="825">
        <v>46272</v>
      </c>
      <c r="O822" s="820"/>
      <c r="P822" s="824"/>
      <c r="Q822" s="824"/>
      <c r="R822" s="1077">
        <v>46240</v>
      </c>
      <c r="S822" s="828" t="s">
        <v>107</v>
      </c>
      <c r="T822" s="848" t="s">
        <v>5972</v>
      </c>
      <c r="U822" s="828"/>
      <c r="V822" s="829"/>
      <c r="W822" s="828"/>
      <c r="X822" s="828" t="s">
        <v>6443</v>
      </c>
      <c r="Y822" s="825" t="s">
        <v>384</v>
      </c>
      <c r="Z822" s="830">
        <v>4.7079</v>
      </c>
      <c r="AA822" s="822">
        <f>I822*Z822</f>
        <v>3126.0456</v>
      </c>
      <c r="AB822" s="831"/>
      <c r="AC822" s="1012" t="s">
        <v>4031</v>
      </c>
      <c r="AD822" s="821" t="s">
        <v>112</v>
      </c>
      <c r="AE822" s="821">
        <f t="shared" si="157"/>
        <v>664</v>
      </c>
      <c r="AF822" s="821"/>
      <c r="AG822" s="708"/>
      <c r="AH822" s="833">
        <f t="shared" si="166"/>
        <v>-664</v>
      </c>
      <c r="AI822" s="824"/>
      <c r="AJ822" s="821"/>
      <c r="AK822" s="822"/>
      <c r="AL822" s="868">
        <f>I822</f>
        <v>664</v>
      </c>
      <c r="AM822" s="822"/>
      <c r="AN822" s="834">
        <f>I822</f>
        <v>664</v>
      </c>
      <c r="AO822" s="822"/>
      <c r="AP822" s="822"/>
      <c r="AQ822" s="822"/>
      <c r="AR822" s="822"/>
      <c r="AS822" s="822"/>
      <c r="AT822" s="822"/>
      <c r="AU822" s="868">
        <f>I822/8</f>
        <v>83</v>
      </c>
      <c r="AV822" s="834"/>
      <c r="AW822" s="834"/>
      <c r="AX822" s="822"/>
      <c r="AY822" s="822"/>
      <c r="AZ822" s="822"/>
      <c r="BA822" s="822"/>
      <c r="BB822" s="822"/>
      <c r="BC822" s="822"/>
      <c r="BD822" s="822"/>
      <c r="BE822" s="822"/>
      <c r="BF822" s="822"/>
      <c r="BG822" s="822"/>
      <c r="BH822" s="822"/>
      <c r="BI822" s="822"/>
    </row>
    <row r="823" s="659" customFormat="1" ht="31" customHeight="1" spans="1:108">
      <c r="A823" s="819">
        <v>46177</v>
      </c>
      <c r="B823" s="820" t="s">
        <v>2457</v>
      </c>
      <c r="C823" s="821" t="s">
        <v>2458</v>
      </c>
      <c r="D823" s="822">
        <v>4500210658</v>
      </c>
      <c r="E823" s="821">
        <v>5000002246</v>
      </c>
      <c r="F823" s="822" t="s">
        <v>3499</v>
      </c>
      <c r="G823" s="823" t="s">
        <v>4359</v>
      </c>
      <c r="H823" s="708" t="s">
        <v>804</v>
      </c>
      <c r="I823" s="824">
        <v>1200</v>
      </c>
      <c r="J823" s="821">
        <v>0</v>
      </c>
      <c r="K823" s="821">
        <v>6</v>
      </c>
      <c r="L823" s="821">
        <f t="shared" si="158"/>
        <v>200</v>
      </c>
      <c r="M823" s="825">
        <v>46275</v>
      </c>
      <c r="N823" s="825">
        <v>46272</v>
      </c>
      <c r="O823" s="922" t="s">
        <v>2463</v>
      </c>
      <c r="P823" s="824"/>
      <c r="Q823" s="824"/>
      <c r="R823" s="827" t="s">
        <v>5875</v>
      </c>
      <c r="S823" s="848" t="s">
        <v>107</v>
      </c>
      <c r="T823" s="848" t="s">
        <v>3887</v>
      </c>
      <c r="U823" s="828"/>
      <c r="V823" s="829" t="s">
        <v>4056</v>
      </c>
      <c r="W823" s="828"/>
      <c r="X823" s="828" t="s">
        <v>6444</v>
      </c>
      <c r="Y823" s="825" t="s">
        <v>2467</v>
      </c>
      <c r="Z823" s="830">
        <v>8.15</v>
      </c>
      <c r="AA823" s="822">
        <f>L823*Z823</f>
        <v>1630</v>
      </c>
      <c r="AB823" s="831"/>
      <c r="AC823" s="1078" t="s">
        <v>3498</v>
      </c>
      <c r="AD823" s="821" t="s">
        <v>112</v>
      </c>
      <c r="AE823" s="821">
        <f t="shared" si="157"/>
        <v>1200</v>
      </c>
      <c r="AF823" s="821"/>
      <c r="AG823" s="708"/>
      <c r="AH823" s="833">
        <f t="shared" si="166"/>
        <v>-1200</v>
      </c>
      <c r="AI823" s="824"/>
      <c r="AJ823" s="821"/>
      <c r="AK823" s="822"/>
      <c r="AL823" s="834"/>
      <c r="AM823" s="822"/>
      <c r="AN823" s="834"/>
      <c r="AO823" s="822"/>
      <c r="AP823" s="834">
        <f>I823</f>
        <v>1200</v>
      </c>
      <c r="AQ823" s="822"/>
      <c r="AR823" s="822"/>
      <c r="AS823" s="822"/>
      <c r="AT823" s="822"/>
      <c r="AU823" s="834"/>
      <c r="AV823" s="834"/>
      <c r="AW823" s="834"/>
      <c r="AX823" s="822"/>
      <c r="AY823" s="822"/>
      <c r="AZ823" s="822"/>
      <c r="BA823" s="822"/>
      <c r="BB823" s="822"/>
      <c r="BC823" s="822"/>
      <c r="BD823" s="822"/>
      <c r="BE823" s="822"/>
      <c r="BF823" s="822"/>
      <c r="BG823" s="822"/>
      <c r="BH823" s="822"/>
      <c r="BI823" s="822">
        <f>I823</f>
        <v>1200</v>
      </c>
    </row>
    <row r="824" s="672" customFormat="1" ht="31" customHeight="1" spans="1:108">
      <c r="A824" s="897">
        <v>46177</v>
      </c>
      <c r="B824" s="1022" t="s">
        <v>2457</v>
      </c>
      <c r="C824" s="913" t="s">
        <v>2458</v>
      </c>
      <c r="D824" s="673">
        <v>4500210658</v>
      </c>
      <c r="E824" s="913">
        <v>5000002246</v>
      </c>
      <c r="F824" s="673" t="s">
        <v>3493</v>
      </c>
      <c r="G824" s="1023" t="s">
        <v>4359</v>
      </c>
      <c r="H824" s="708" t="s">
        <v>804</v>
      </c>
      <c r="I824" s="904">
        <v>12000</v>
      </c>
      <c r="J824" s="913">
        <v>0</v>
      </c>
      <c r="K824" s="913">
        <v>6</v>
      </c>
      <c r="L824" s="821">
        <f t="shared" si="158"/>
        <v>2000</v>
      </c>
      <c r="M824" s="1024">
        <v>46275</v>
      </c>
      <c r="N824" s="1024">
        <v>46272</v>
      </c>
      <c r="O824" s="922" t="s">
        <v>2463</v>
      </c>
      <c r="P824" s="904"/>
      <c r="Q824" s="904"/>
      <c r="R824" s="886" t="s">
        <v>5875</v>
      </c>
      <c r="S824" s="848" t="s">
        <v>107</v>
      </c>
      <c r="T824" s="828" t="s">
        <v>3887</v>
      </c>
      <c r="U824" s="848"/>
      <c r="V824" s="906" t="s">
        <v>4056</v>
      </c>
      <c r="W824" s="1025"/>
      <c r="X824" s="1025" t="s">
        <v>6444</v>
      </c>
      <c r="Y824" s="1024" t="s">
        <v>2467</v>
      </c>
      <c r="Z824" s="1026">
        <v>8.15</v>
      </c>
      <c r="AA824" s="822">
        <f>L824*Z824</f>
        <v>16300</v>
      </c>
      <c r="AB824" s="910"/>
      <c r="AC824" s="1079" t="s">
        <v>3498</v>
      </c>
      <c r="AD824" s="912" t="s">
        <v>112</v>
      </c>
      <c r="AE824" s="821">
        <f t="shared" si="157"/>
        <v>12000</v>
      </c>
      <c r="AF824" s="913"/>
      <c r="AG824" s="899"/>
      <c r="AH824" s="833">
        <f t="shared" si="166"/>
        <v>-12000</v>
      </c>
      <c r="AI824" s="904"/>
      <c r="AJ824" s="913"/>
      <c r="AK824" s="822"/>
      <c r="AL824" s="914"/>
      <c r="AM824" s="920"/>
      <c r="AN824" s="834"/>
      <c r="AO824" s="673"/>
      <c r="AP824" s="914">
        <f>I824</f>
        <v>12000</v>
      </c>
      <c r="AQ824" s="822"/>
      <c r="AR824" s="822"/>
      <c r="AS824" s="822"/>
      <c r="AT824" s="673"/>
      <c r="AX824" s="673"/>
      <c r="AY824" s="673"/>
      <c r="AZ824" s="673"/>
      <c r="BA824" s="673"/>
      <c r="BB824" s="673"/>
      <c r="BC824" s="673"/>
      <c r="BD824" s="673"/>
      <c r="BE824" s="673"/>
      <c r="BF824" s="673"/>
      <c r="BG824" s="673"/>
      <c r="BH824" s="673"/>
      <c r="BI824" s="920">
        <f>I824</f>
        <v>12000</v>
      </c>
    </row>
    <row r="825" s="672" customFormat="1" ht="31" customHeight="1" spans="1:108">
      <c r="A825" s="897">
        <v>46227</v>
      </c>
      <c r="B825" s="1022" t="s">
        <v>114</v>
      </c>
      <c r="C825" s="913" t="s">
        <v>115</v>
      </c>
      <c r="D825" s="673" t="s">
        <v>6445</v>
      </c>
      <c r="E825" s="913" t="s">
        <v>6446</v>
      </c>
      <c r="F825" s="673" t="s">
        <v>6447</v>
      </c>
      <c r="G825" s="1023" t="s">
        <v>3980</v>
      </c>
      <c r="H825" s="821" t="s">
        <v>3978</v>
      </c>
      <c r="I825" s="904">
        <v>7376</v>
      </c>
      <c r="J825" s="913">
        <v>0</v>
      </c>
      <c r="K825" s="913">
        <v>8</v>
      </c>
      <c r="L825" s="821">
        <f t="shared" si="158"/>
        <v>922</v>
      </c>
      <c r="M825" s="1024">
        <v>46275</v>
      </c>
      <c r="N825" s="1024">
        <v>46272</v>
      </c>
      <c r="O825" s="1022"/>
      <c r="P825" s="904"/>
      <c r="Q825" s="904"/>
      <c r="R825" s="886" t="s">
        <v>3064</v>
      </c>
      <c r="S825" s="828" t="s">
        <v>107</v>
      </c>
      <c r="T825" s="828" t="s">
        <v>3505</v>
      </c>
      <c r="U825" s="848"/>
      <c r="V825" s="906"/>
      <c r="W825" s="1025"/>
      <c r="X825" s="1025" t="s">
        <v>6448</v>
      </c>
      <c r="Y825" s="1024" t="s">
        <v>123</v>
      </c>
      <c r="Z825" s="1026">
        <v>2.8666</v>
      </c>
      <c r="AA825" s="822">
        <f>I825*Z825</f>
        <v>21144.0416</v>
      </c>
      <c r="AB825" s="910"/>
      <c r="AC825" s="836" t="s">
        <v>3980</v>
      </c>
      <c r="AD825" s="912" t="s">
        <v>112</v>
      </c>
      <c r="AE825" s="821">
        <f t="shared" si="157"/>
        <v>7376</v>
      </c>
      <c r="AF825" s="913"/>
      <c r="AG825" s="899"/>
      <c r="AH825" s="833">
        <f t="shared" si="166"/>
        <v>-7376</v>
      </c>
      <c r="AI825" s="904"/>
      <c r="AJ825" s="913"/>
      <c r="AK825" s="834">
        <f>I825</f>
        <v>7376</v>
      </c>
      <c r="AL825" s="822"/>
      <c r="AM825" s="920"/>
      <c r="AN825" s="834">
        <f t="shared" ref="AN825:AN830" si="168">I825</f>
        <v>7376</v>
      </c>
      <c r="AO825" s="673"/>
      <c r="AP825" s="920"/>
      <c r="AQ825" s="834"/>
      <c r="AR825" s="834"/>
      <c r="AS825" s="834"/>
      <c r="AT825" s="673">
        <f>I825/8</f>
        <v>922</v>
      </c>
      <c r="AU825" s="834"/>
      <c r="AV825" s="914"/>
      <c r="AX825" s="673"/>
      <c r="AY825" s="673"/>
      <c r="AZ825" s="673"/>
      <c r="BA825" s="673"/>
      <c r="BB825" s="673"/>
      <c r="BC825" s="673"/>
      <c r="BD825" s="673"/>
      <c r="BE825" s="673"/>
      <c r="BF825" s="673"/>
      <c r="BG825" s="673"/>
      <c r="BH825" s="673"/>
      <c r="BI825" s="920"/>
    </row>
    <row r="826" s="672" customFormat="1" ht="31" customHeight="1" spans="1:108">
      <c r="A826" s="897">
        <v>46234</v>
      </c>
      <c r="B826" s="1022" t="s">
        <v>3509</v>
      </c>
      <c r="C826" s="913" t="s">
        <v>1439</v>
      </c>
      <c r="D826" s="673">
        <v>4500218360</v>
      </c>
      <c r="E826" s="913"/>
      <c r="F826" s="673" t="s">
        <v>6449</v>
      </c>
      <c r="G826" s="1023" t="s">
        <v>3973</v>
      </c>
      <c r="H826" s="821" t="s">
        <v>3995</v>
      </c>
      <c r="I826" s="904">
        <v>400</v>
      </c>
      <c r="J826" s="913">
        <v>0</v>
      </c>
      <c r="K826" s="913">
        <v>16</v>
      </c>
      <c r="L826" s="821">
        <f t="shared" si="158"/>
        <v>25</v>
      </c>
      <c r="M826" s="1024">
        <v>46275</v>
      </c>
      <c r="N826" s="1024">
        <v>46272</v>
      </c>
      <c r="O826" s="1022"/>
      <c r="P826" s="904"/>
      <c r="Q826" s="904"/>
      <c r="R826" s="886" t="s">
        <v>3064</v>
      </c>
      <c r="S826" s="848" t="s">
        <v>107</v>
      </c>
      <c r="T826" s="828" t="s">
        <v>6450</v>
      </c>
      <c r="U826" s="848"/>
      <c r="V826" s="906"/>
      <c r="W826" s="1025"/>
      <c r="X826" s="1025" t="s">
        <v>6451</v>
      </c>
      <c r="Y826" s="1024" t="s">
        <v>1477</v>
      </c>
      <c r="Z826" s="1026">
        <v>4.8331</v>
      </c>
      <c r="AA826" s="822">
        <f>I826*Z826</f>
        <v>1933.24</v>
      </c>
      <c r="AB826" s="1080"/>
      <c r="AC826" s="887" t="s">
        <v>4108</v>
      </c>
      <c r="AD826" s="912" t="s">
        <v>112</v>
      </c>
      <c r="AE826" s="821">
        <f t="shared" si="157"/>
        <v>400</v>
      </c>
      <c r="AF826" s="913"/>
      <c r="AG826" s="899"/>
      <c r="AH826" s="833">
        <f t="shared" si="166"/>
        <v>-400</v>
      </c>
      <c r="AI826" s="904"/>
      <c r="AJ826" s="913"/>
      <c r="AK826" s="834"/>
      <c r="AL826" s="1058">
        <f>I826</f>
        <v>400</v>
      </c>
      <c r="AM826" s="920"/>
      <c r="AN826" s="834">
        <f t="shared" si="168"/>
        <v>400</v>
      </c>
      <c r="AO826" s="673"/>
      <c r="AP826" s="920"/>
      <c r="AQ826" s="834"/>
      <c r="AR826" s="834"/>
      <c r="AS826" s="834"/>
      <c r="AT826" s="673"/>
      <c r="AU826" s="1081">
        <f>I826/8</f>
        <v>50</v>
      </c>
      <c r="AX826" s="673"/>
      <c r="AY826" s="673"/>
      <c r="AZ826" s="673"/>
      <c r="BA826" s="673"/>
      <c r="BB826" s="673"/>
      <c r="BC826" s="673"/>
      <c r="BD826" s="673"/>
      <c r="BE826" s="673"/>
      <c r="BF826" s="673"/>
      <c r="BG826" s="673"/>
      <c r="BH826" s="673"/>
      <c r="BI826" s="920"/>
    </row>
    <row r="827" s="659" customFormat="1" ht="31" customHeight="1" spans="1:108">
      <c r="A827" s="819">
        <v>46227</v>
      </c>
      <c r="B827" s="820" t="s">
        <v>114</v>
      </c>
      <c r="C827" s="821" t="s">
        <v>115</v>
      </c>
      <c r="D827" s="822" t="s">
        <v>6452</v>
      </c>
      <c r="E827" s="821" t="s">
        <v>6453</v>
      </c>
      <c r="F827" s="822" t="s">
        <v>6454</v>
      </c>
      <c r="G827" s="823" t="s">
        <v>3980</v>
      </c>
      <c r="H827" s="821" t="s">
        <v>3978</v>
      </c>
      <c r="I827" s="824">
        <v>131000</v>
      </c>
      <c r="J827" s="821">
        <v>0</v>
      </c>
      <c r="K827" s="821">
        <v>8</v>
      </c>
      <c r="L827" s="821">
        <f t="shared" si="158"/>
        <v>16375</v>
      </c>
      <c r="M827" s="825">
        <v>46276</v>
      </c>
      <c r="N827" s="825">
        <v>46272</v>
      </c>
      <c r="O827" s="820"/>
      <c r="P827" s="824"/>
      <c r="Q827" s="824"/>
      <c r="R827" s="827">
        <v>46244</v>
      </c>
      <c r="S827" s="828" t="s">
        <v>107</v>
      </c>
      <c r="T827" s="828" t="s">
        <v>6455</v>
      </c>
      <c r="U827" s="828"/>
      <c r="V827" s="829"/>
      <c r="W827" s="828"/>
      <c r="X827" s="828" t="s">
        <v>6456</v>
      </c>
      <c r="Y827" s="825" t="s">
        <v>123</v>
      </c>
      <c r="Z827" s="830">
        <v>2.8328</v>
      </c>
      <c r="AA827" s="822">
        <f>I827*Z827</f>
        <v>371096.8</v>
      </c>
      <c r="AB827" s="831"/>
      <c r="AC827" s="836" t="s">
        <v>3980</v>
      </c>
      <c r="AD827" s="821" t="s">
        <v>112</v>
      </c>
      <c r="AE827" s="1000">
        <f t="shared" si="157"/>
        <v>131000</v>
      </c>
      <c r="AF827" s="1000"/>
      <c r="AG827" s="708"/>
      <c r="AH827" s="833">
        <f t="shared" si="166"/>
        <v>-131000</v>
      </c>
      <c r="AI827" s="824"/>
      <c r="AJ827" s="821"/>
      <c r="AK827" s="834">
        <f>I827</f>
        <v>131000</v>
      </c>
      <c r="AL827" s="822"/>
      <c r="AM827" s="822"/>
      <c r="AN827" s="834">
        <f t="shared" si="168"/>
        <v>131000</v>
      </c>
      <c r="AO827" s="822"/>
      <c r="AP827" s="822"/>
      <c r="AQ827" s="834"/>
      <c r="AR827" s="834"/>
      <c r="AS827" s="834"/>
      <c r="AT827" s="822">
        <f>I827/8</f>
        <v>16375</v>
      </c>
      <c r="AU827" s="834"/>
      <c r="AV827" s="834"/>
      <c r="AW827" s="834"/>
      <c r="AX827" s="822"/>
      <c r="AY827" s="822"/>
      <c r="AZ827" s="822"/>
      <c r="BA827" s="822"/>
      <c r="BB827" s="822"/>
      <c r="BC827" s="822"/>
      <c r="BD827" s="822"/>
      <c r="BE827" s="822"/>
      <c r="BF827" s="822"/>
      <c r="BG827" s="822"/>
      <c r="BH827" s="822"/>
      <c r="BI827" s="822"/>
      <c r="BJ827" s="835"/>
      <c r="BK827" s="835"/>
      <c r="BL827" s="835"/>
      <c r="BM827" s="835"/>
      <c r="BN827" s="835"/>
      <c r="BO827" s="835"/>
      <c r="BP827" s="835"/>
      <c r="BQ827" s="835"/>
      <c r="BR827" s="835"/>
      <c r="BS827" s="835"/>
      <c r="BT827" s="835"/>
      <c r="BU827" s="835"/>
      <c r="BV827" s="835"/>
      <c r="BW827" s="835"/>
      <c r="BX827" s="835"/>
      <c r="BY827" s="835"/>
      <c r="BZ827" s="835"/>
      <c r="CA827" s="835"/>
      <c r="CB827" s="835"/>
      <c r="CC827" s="835"/>
      <c r="CD827" s="835"/>
      <c r="CE827" s="835"/>
      <c r="CF827" s="835"/>
      <c r="CG827" s="835"/>
      <c r="CH827" s="835"/>
      <c r="CI827" s="835"/>
      <c r="CJ827" s="835"/>
      <c r="CK827" s="835"/>
      <c r="CL827" s="835"/>
      <c r="CM827" s="835"/>
      <c r="CN827" s="835"/>
      <c r="CO827" s="835"/>
      <c r="CP827" s="835"/>
      <c r="CQ827" s="835"/>
      <c r="CR827" s="835"/>
      <c r="CS827" s="835"/>
      <c r="CT827" s="835"/>
      <c r="CU827" s="835"/>
      <c r="CV827" s="835"/>
      <c r="CW827" s="835"/>
      <c r="CX827" s="835"/>
      <c r="CY827" s="835"/>
      <c r="CZ827" s="835"/>
      <c r="DA827" s="835"/>
      <c r="DB827" s="835"/>
      <c r="DC827" s="835"/>
      <c r="DD827" s="835"/>
    </row>
    <row r="828" s="670" customFormat="1" ht="31" customHeight="1" spans="1:108">
      <c r="A828" s="951">
        <v>46190</v>
      </c>
      <c r="B828" s="952" t="s">
        <v>3071</v>
      </c>
      <c r="C828" s="953" t="s">
        <v>115</v>
      </c>
      <c r="D828" s="669" t="s">
        <v>6457</v>
      </c>
      <c r="E828" s="965">
        <v>62700628</v>
      </c>
      <c r="F828" s="669" t="s">
        <v>6458</v>
      </c>
      <c r="G828" s="955" t="s">
        <v>6253</v>
      </c>
      <c r="H828" s="821" t="s">
        <v>6254</v>
      </c>
      <c r="I828" s="957">
        <v>10000</v>
      </c>
      <c r="J828" s="953">
        <v>0</v>
      </c>
      <c r="K828" s="953">
        <v>2</v>
      </c>
      <c r="L828" s="953">
        <f t="shared" si="158"/>
        <v>5000</v>
      </c>
      <c r="M828" s="958">
        <v>46276</v>
      </c>
      <c r="N828" s="958">
        <v>46272</v>
      </c>
      <c r="O828" s="952"/>
      <c r="P828" s="957"/>
      <c r="Q828" s="957"/>
      <c r="R828" s="886">
        <v>46195</v>
      </c>
      <c r="S828" s="828" t="s">
        <v>107</v>
      </c>
      <c r="T828" s="848" t="s">
        <v>6459</v>
      </c>
      <c r="U828" s="848"/>
      <c r="V828" s="1082" t="s">
        <v>6257</v>
      </c>
      <c r="W828" s="961"/>
      <c r="X828" s="966" t="s">
        <v>6460</v>
      </c>
      <c r="Y828" s="958" t="s">
        <v>3077</v>
      </c>
      <c r="Z828" s="962">
        <v>2.8519</v>
      </c>
      <c r="AA828" s="669">
        <f>I828*Z828</f>
        <v>28519</v>
      </c>
      <c r="AB828" s="831"/>
      <c r="AC828" s="823" t="s">
        <v>6253</v>
      </c>
      <c r="AD828" s="821" t="s">
        <v>3804</v>
      </c>
      <c r="AE828" s="953">
        <f t="shared" si="157"/>
        <v>10000</v>
      </c>
      <c r="AF828" s="1000" t="s">
        <v>5125</v>
      </c>
      <c r="AG828" s="956"/>
      <c r="AH828" s="833">
        <f t="shared" si="166"/>
        <v>-10000</v>
      </c>
      <c r="AI828" s="957"/>
      <c r="AJ828" s="953"/>
      <c r="AK828" s="834">
        <f>I828</f>
        <v>10000</v>
      </c>
      <c r="AL828" s="822"/>
      <c r="AM828" s="822"/>
      <c r="AN828" s="834">
        <f t="shared" si="168"/>
        <v>10000</v>
      </c>
      <c r="AO828" s="669"/>
      <c r="AP828" s="822"/>
      <c r="AQ828" s="669"/>
      <c r="AR828" s="669"/>
      <c r="AS828" s="669"/>
      <c r="AT828" s="822"/>
      <c r="AV828" s="834">
        <f>I828/2</f>
        <v>5000</v>
      </c>
      <c r="AX828" s="669"/>
      <c r="AY828" s="669"/>
      <c r="AZ828" s="822">
        <f>I828/2</f>
        <v>5000</v>
      </c>
      <c r="BA828" s="669"/>
      <c r="BB828" s="669"/>
      <c r="BC828" s="669"/>
      <c r="BD828" s="669"/>
      <c r="BE828" s="669"/>
      <c r="BF828" s="669"/>
      <c r="BG828" s="669"/>
      <c r="BH828" s="669"/>
      <c r="BI828" s="822"/>
    </row>
    <row r="829" s="667" customFormat="1" ht="31" customHeight="1" spans="1:108">
      <c r="A829" s="819">
        <v>46199</v>
      </c>
      <c r="B829" s="820" t="s">
        <v>3173</v>
      </c>
      <c r="C829" s="821" t="s">
        <v>135</v>
      </c>
      <c r="D829" s="822" t="s">
        <v>6193</v>
      </c>
      <c r="E829" s="821" t="s">
        <v>3518</v>
      </c>
      <c r="F829" s="822" t="s">
        <v>6461</v>
      </c>
      <c r="G829" s="823" t="s">
        <v>3980</v>
      </c>
      <c r="H829" s="708" t="s">
        <v>3978</v>
      </c>
      <c r="I829" s="824">
        <v>3208</v>
      </c>
      <c r="J829" s="821">
        <v>0</v>
      </c>
      <c r="K829" s="821">
        <v>8</v>
      </c>
      <c r="L829" s="821">
        <f t="shared" si="158"/>
        <v>401</v>
      </c>
      <c r="M829" s="825">
        <v>46276</v>
      </c>
      <c r="N829" s="825">
        <v>46272</v>
      </c>
      <c r="O829" s="820"/>
      <c r="P829" s="824"/>
      <c r="Q829" s="824"/>
      <c r="R829" s="827">
        <v>46199</v>
      </c>
      <c r="S829" s="828" t="s">
        <v>107</v>
      </c>
      <c r="T829" s="828" t="s">
        <v>6396</v>
      </c>
      <c r="U829" s="828"/>
      <c r="V829" s="829"/>
      <c r="W829" s="828"/>
      <c r="X829" s="894" t="s">
        <v>6462</v>
      </c>
      <c r="Y829" s="825" t="s">
        <v>3179</v>
      </c>
      <c r="Z829" s="830">
        <v>4.8266</v>
      </c>
      <c r="AA829" s="822">
        <f>I829*Z829</f>
        <v>15483.7328</v>
      </c>
      <c r="AB829" s="831"/>
      <c r="AC829" s="836" t="s">
        <v>3980</v>
      </c>
      <c r="AD829" s="821" t="s">
        <v>112</v>
      </c>
      <c r="AE829" s="821">
        <f t="shared" si="157"/>
        <v>3208</v>
      </c>
      <c r="AF829" s="1000" t="s">
        <v>5125</v>
      </c>
      <c r="AG829" s="708"/>
      <c r="AH829" s="833">
        <f t="shared" si="166"/>
        <v>-3208</v>
      </c>
      <c r="AI829" s="824"/>
      <c r="AJ829" s="821"/>
      <c r="AK829" s="834">
        <f>I829</f>
        <v>3208</v>
      </c>
      <c r="AL829" s="822"/>
      <c r="AM829" s="822"/>
      <c r="AN829" s="834">
        <f t="shared" si="168"/>
        <v>3208</v>
      </c>
      <c r="AO829" s="822"/>
      <c r="AP829" s="822"/>
      <c r="AQ829" s="822"/>
      <c r="AR829" s="822"/>
      <c r="AS829" s="822"/>
      <c r="AT829" s="822">
        <f>I829/8</f>
        <v>401</v>
      </c>
      <c r="AU829" s="834"/>
      <c r="AV829" s="834"/>
      <c r="AW829" s="834"/>
      <c r="AX829" s="822"/>
      <c r="AY829" s="822"/>
      <c r="AZ829" s="822"/>
      <c r="BA829" s="822"/>
      <c r="BB829" s="822"/>
      <c r="BC829" s="822"/>
      <c r="BD829" s="822"/>
      <c r="BE829" s="822"/>
      <c r="BF829" s="822"/>
      <c r="BG829" s="822"/>
      <c r="BH829" s="822"/>
      <c r="BI829" s="822"/>
      <c r="BJ829" s="835"/>
      <c r="BK829" s="835"/>
      <c r="BL829" s="835"/>
      <c r="BM829" s="835"/>
      <c r="BN829" s="835"/>
      <c r="BO829" s="835"/>
      <c r="BP829" s="835"/>
      <c r="BQ829" s="835"/>
      <c r="BR829" s="835"/>
      <c r="BS829" s="835"/>
      <c r="BT829" s="835"/>
      <c r="BU829" s="835"/>
      <c r="BV829" s="835"/>
      <c r="BW829" s="835"/>
      <c r="BX829" s="835"/>
      <c r="BY829" s="835"/>
      <c r="BZ829" s="835"/>
      <c r="CA829" s="835"/>
      <c r="CB829" s="835"/>
      <c r="CC829" s="835"/>
      <c r="CD829" s="835"/>
      <c r="CE829" s="835"/>
      <c r="CF829" s="835"/>
      <c r="CG829" s="835"/>
      <c r="CH829" s="835"/>
      <c r="CI829" s="835"/>
      <c r="CJ829" s="835"/>
      <c r="CK829" s="835"/>
      <c r="CL829" s="835"/>
      <c r="CM829" s="835"/>
      <c r="CN829" s="835"/>
      <c r="CO829" s="835"/>
      <c r="CP829" s="835"/>
      <c r="CQ829" s="835"/>
      <c r="CR829" s="835"/>
      <c r="CS829" s="835"/>
      <c r="CT829" s="835"/>
      <c r="CU829" s="835"/>
      <c r="CV829" s="835"/>
      <c r="CW829" s="835"/>
      <c r="CX829" s="835"/>
      <c r="CY829" s="835"/>
      <c r="CZ829" s="835"/>
      <c r="DA829" s="835"/>
      <c r="DB829" s="835"/>
      <c r="DC829" s="835"/>
      <c r="DD829" s="835"/>
    </row>
    <row r="830" s="672" customFormat="1" ht="31" customHeight="1" spans="1:108">
      <c r="A830" s="897">
        <v>46195</v>
      </c>
      <c r="B830" s="1022" t="s">
        <v>1567</v>
      </c>
      <c r="C830" s="913" t="s">
        <v>115</v>
      </c>
      <c r="D830" s="673" t="s">
        <v>6463</v>
      </c>
      <c r="E830" s="913" t="s">
        <v>1569</v>
      </c>
      <c r="F830" s="673" t="s">
        <v>6464</v>
      </c>
      <c r="G830" s="1023" t="s">
        <v>4414</v>
      </c>
      <c r="H830" s="821" t="s">
        <v>3978</v>
      </c>
      <c r="I830" s="904">
        <v>38240</v>
      </c>
      <c r="J830" s="913">
        <v>0</v>
      </c>
      <c r="K830" s="913">
        <v>8</v>
      </c>
      <c r="L830" s="913">
        <f t="shared" si="158"/>
        <v>4780</v>
      </c>
      <c r="M830" s="1024">
        <v>46276</v>
      </c>
      <c r="N830" s="1024">
        <v>46272</v>
      </c>
      <c r="O830" s="1022"/>
      <c r="P830" s="904"/>
      <c r="Q830" s="904"/>
      <c r="R830" s="886" t="s">
        <v>6465</v>
      </c>
      <c r="S830" s="848" t="s">
        <v>107</v>
      </c>
      <c r="T830" s="921" t="s">
        <v>2962</v>
      </c>
      <c r="U830" s="848"/>
      <c r="V830" s="1025"/>
      <c r="W830" s="1025"/>
      <c r="X830" s="1025" t="s">
        <v>6466</v>
      </c>
      <c r="Y830" s="1024" t="s">
        <v>1569</v>
      </c>
      <c r="Z830" s="1026"/>
      <c r="AA830" s="673"/>
      <c r="AB830" s="910"/>
      <c r="AC830" s="1057" t="s">
        <v>4194</v>
      </c>
      <c r="AD830" s="912" t="s">
        <v>99</v>
      </c>
      <c r="AE830" s="913">
        <f t="shared" si="157"/>
        <v>38240</v>
      </c>
      <c r="AF830" s="913" t="s">
        <v>5125</v>
      </c>
      <c r="AG830" s="913"/>
      <c r="AH830" s="833">
        <f t="shared" si="166"/>
        <v>-38240</v>
      </c>
      <c r="AI830" s="904"/>
      <c r="AJ830" s="913"/>
      <c r="AK830" s="914">
        <f>I830</f>
        <v>38240</v>
      </c>
      <c r="AL830" s="920"/>
      <c r="AM830" s="920"/>
      <c r="AN830" s="914">
        <f t="shared" si="168"/>
        <v>38240</v>
      </c>
      <c r="AO830" s="673"/>
      <c r="AP830" s="920"/>
      <c r="AQ830" s="673"/>
      <c r="AR830" s="673"/>
      <c r="AS830" s="673"/>
      <c r="AT830" s="673">
        <f>I830/8</f>
        <v>4780</v>
      </c>
      <c r="AU830" s="673"/>
      <c r="AV830" s="673"/>
      <c r="AW830" s="673"/>
      <c r="AX830" s="673"/>
      <c r="AY830" s="673"/>
      <c r="AZ830" s="673"/>
      <c r="BA830" s="673"/>
      <c r="BB830" s="673"/>
      <c r="BC830" s="673"/>
      <c r="BD830" s="673"/>
      <c r="BE830" s="673"/>
      <c r="BF830" s="673"/>
      <c r="BG830" s="673"/>
      <c r="BH830" s="673"/>
      <c r="BI830" s="920"/>
      <c r="BJ830" s="673"/>
      <c r="BK830" s="673"/>
      <c r="BL830" s="673"/>
      <c r="BM830" s="673"/>
      <c r="BN830" s="673"/>
      <c r="BO830" s="673"/>
      <c r="BP830" s="673"/>
      <c r="BQ830" s="673"/>
      <c r="BR830" s="673"/>
      <c r="BS830" s="673"/>
      <c r="BT830" s="673"/>
      <c r="BU830" s="673"/>
      <c r="BV830" s="673"/>
      <c r="BW830" s="673"/>
      <c r="BX830" s="673"/>
      <c r="BY830" s="673"/>
      <c r="BZ830" s="673"/>
      <c r="CA830" s="673"/>
      <c r="CB830" s="673"/>
      <c r="CC830" s="673"/>
      <c r="CD830" s="673"/>
      <c r="CE830" s="673"/>
      <c r="CF830" s="673"/>
      <c r="CG830" s="673"/>
      <c r="CH830" s="673"/>
      <c r="CI830" s="673"/>
      <c r="CJ830" s="673"/>
      <c r="CK830" s="673"/>
      <c r="CL830" s="673"/>
      <c r="CM830" s="673"/>
      <c r="CN830" s="673"/>
      <c r="CO830" s="673"/>
      <c r="CP830" s="673"/>
      <c r="CQ830" s="673"/>
      <c r="CR830" s="673"/>
      <c r="CS830" s="673"/>
      <c r="CT830" s="673"/>
      <c r="CU830" s="673"/>
      <c r="CV830" s="673"/>
      <c r="CW830" s="673"/>
      <c r="CX830" s="673"/>
      <c r="CY830" s="673"/>
      <c r="CZ830" s="673"/>
      <c r="DA830" s="673"/>
      <c r="DB830" s="673"/>
      <c r="DC830" s="673"/>
      <c r="DD830" s="673"/>
    </row>
    <row r="831" s="673" customFormat="1" ht="31" customHeight="1" spans="1:108">
      <c r="A831" s="897">
        <v>46213</v>
      </c>
      <c r="B831" s="1022" t="s">
        <v>3618</v>
      </c>
      <c r="C831" s="913" t="s">
        <v>148</v>
      </c>
      <c r="D831" s="673" t="s">
        <v>6467</v>
      </c>
      <c r="E831" s="913" t="s">
        <v>6468</v>
      </c>
      <c r="F831" s="673" t="s">
        <v>6469</v>
      </c>
      <c r="G831" s="1023" t="s">
        <v>3973</v>
      </c>
      <c r="H831" s="708" t="s">
        <v>3995</v>
      </c>
      <c r="I831" s="904">
        <v>3600</v>
      </c>
      <c r="J831" s="913">
        <v>0</v>
      </c>
      <c r="K831" s="913">
        <v>16</v>
      </c>
      <c r="L831" s="913">
        <f t="shared" si="158"/>
        <v>225</v>
      </c>
      <c r="M831" s="1024">
        <v>46277</v>
      </c>
      <c r="N831" s="1024">
        <v>46273</v>
      </c>
      <c r="O831" s="1022"/>
      <c r="P831" s="904"/>
      <c r="Q831" s="904"/>
      <c r="R831" s="886">
        <v>46245</v>
      </c>
      <c r="S831" s="828" t="s">
        <v>107</v>
      </c>
      <c r="T831" s="828" t="s">
        <v>4347</v>
      </c>
      <c r="U831" s="848"/>
      <c r="V831" s="1025"/>
      <c r="W831" s="1025"/>
      <c r="X831" s="1025" t="s">
        <v>6470</v>
      </c>
      <c r="Y831" s="1024" t="s">
        <v>976</v>
      </c>
      <c r="Z831" s="1026">
        <v>4.8226</v>
      </c>
      <c r="AA831" s="673">
        <f>I831*Z831</f>
        <v>17361.36</v>
      </c>
      <c r="AB831" s="910"/>
      <c r="AC831" s="887" t="s">
        <v>4108</v>
      </c>
      <c r="AD831" s="912" t="s">
        <v>112</v>
      </c>
      <c r="AE831" s="913">
        <f t="shared" si="157"/>
        <v>3600</v>
      </c>
      <c r="AF831" s="913"/>
      <c r="AG831" s="913"/>
      <c r="AH831" s="833">
        <f t="shared" ref="AH831:AH846" si="169">AG831-I831</f>
        <v>-3600</v>
      </c>
      <c r="AI831" s="904"/>
      <c r="AJ831" s="913"/>
      <c r="AK831" s="920"/>
      <c r="AL831" s="868">
        <f>I831</f>
        <v>3600</v>
      </c>
      <c r="AM831" s="822"/>
      <c r="AN831" s="834">
        <f t="shared" ref="AN831:AN854" si="170">I831</f>
        <v>3600</v>
      </c>
      <c r="AP831" s="920"/>
      <c r="AQ831" s="673"/>
      <c r="AR831" s="673"/>
      <c r="AS831" s="673"/>
      <c r="AT831" s="673"/>
      <c r="AU831" s="925">
        <f>I831/8</f>
        <v>450</v>
      </c>
      <c r="AV831" s="920"/>
      <c r="AW831" s="920"/>
      <c r="BI831" s="920"/>
    </row>
    <row r="832" s="667" customFormat="1" ht="31" customHeight="1" spans="1:108">
      <c r="A832" s="819">
        <v>46217</v>
      </c>
      <c r="B832" s="820" t="s">
        <v>134</v>
      </c>
      <c r="C832" s="821" t="s">
        <v>135</v>
      </c>
      <c r="D832" s="822">
        <v>4500216456</v>
      </c>
      <c r="E832" s="821">
        <v>4400577351</v>
      </c>
      <c r="F832" s="822" t="s">
        <v>6471</v>
      </c>
      <c r="G832" s="823" t="s">
        <v>3973</v>
      </c>
      <c r="H832" s="708" t="s">
        <v>3995</v>
      </c>
      <c r="I832" s="824">
        <v>26000</v>
      </c>
      <c r="J832" s="821">
        <v>0</v>
      </c>
      <c r="K832" s="821">
        <v>16</v>
      </c>
      <c r="L832" s="821">
        <f t="shared" si="158"/>
        <v>1625</v>
      </c>
      <c r="M832" s="825">
        <v>46277</v>
      </c>
      <c r="N832" s="825">
        <v>46273</v>
      </c>
      <c r="O832" s="828" t="s">
        <v>3521</v>
      </c>
      <c r="P832" s="824"/>
      <c r="Q832" s="824"/>
      <c r="R832" s="827">
        <v>46203</v>
      </c>
      <c r="S832" s="828" t="s">
        <v>107</v>
      </c>
      <c r="T832" s="828" t="s">
        <v>3997</v>
      </c>
      <c r="U832" s="828"/>
      <c r="V832" s="828"/>
      <c r="W832" s="828"/>
      <c r="X832" s="828" t="s">
        <v>5591</v>
      </c>
      <c r="Y832" s="825" t="s">
        <v>1142</v>
      </c>
      <c r="Z832" s="830">
        <v>4.7721</v>
      </c>
      <c r="AA832" s="822">
        <f>I832*Z832</f>
        <v>124074.6</v>
      </c>
      <c r="AB832" s="831"/>
      <c r="AC832" s="822" t="s">
        <v>4108</v>
      </c>
      <c r="AD832" s="821" t="s">
        <v>112</v>
      </c>
      <c r="AE832" s="821">
        <f t="shared" si="157"/>
        <v>26000</v>
      </c>
      <c r="AF832" s="913"/>
      <c r="AG832" s="913"/>
      <c r="AH832" s="833">
        <f t="shared" si="169"/>
        <v>-26000</v>
      </c>
      <c r="AI832" s="824"/>
      <c r="AJ832" s="913"/>
      <c r="AK832" s="822"/>
      <c r="AL832" s="925">
        <f>I832</f>
        <v>26000</v>
      </c>
      <c r="AM832" s="822"/>
      <c r="AN832" s="822">
        <f t="shared" si="170"/>
        <v>26000</v>
      </c>
      <c r="AO832" s="822"/>
      <c r="AP832" s="822"/>
      <c r="AQ832" s="822"/>
      <c r="AR832" s="822"/>
      <c r="AS832" s="822"/>
      <c r="AT832" s="822"/>
      <c r="AU832" s="925">
        <f>I832/8</f>
        <v>3250</v>
      </c>
      <c r="AV832" s="822"/>
      <c r="AW832" s="822"/>
      <c r="AX832" s="822"/>
      <c r="AY832" s="822"/>
      <c r="AZ832" s="822"/>
      <c r="BA832" s="822"/>
      <c r="BB832" s="822"/>
      <c r="BC832" s="822"/>
      <c r="BD832" s="822"/>
      <c r="BE832" s="822"/>
      <c r="BF832" s="822"/>
      <c r="BG832" s="822"/>
      <c r="BH832" s="822"/>
      <c r="BI832" s="822"/>
      <c r="BJ832" s="892"/>
      <c r="BK832" s="892"/>
      <c r="BL832" s="892"/>
      <c r="BM832" s="892"/>
      <c r="BN832" s="892"/>
      <c r="BO832" s="892"/>
      <c r="BP832" s="892"/>
      <c r="BQ832" s="892"/>
      <c r="BR832" s="892"/>
      <c r="BS832" s="892"/>
      <c r="BT832" s="892"/>
      <c r="BU832" s="892"/>
      <c r="BV832" s="892"/>
      <c r="BW832" s="892"/>
      <c r="BX832" s="892"/>
      <c r="BY832" s="892"/>
      <c r="BZ832" s="892"/>
      <c r="CA832" s="892"/>
      <c r="CB832" s="892"/>
      <c r="CC832" s="892"/>
      <c r="CD832" s="892"/>
      <c r="CE832" s="892"/>
      <c r="CF832" s="892"/>
      <c r="CG832" s="892"/>
      <c r="CH832" s="892"/>
      <c r="CI832" s="892"/>
      <c r="CJ832" s="892"/>
      <c r="CK832" s="892"/>
      <c r="CL832" s="892"/>
      <c r="CM832" s="892"/>
      <c r="CN832" s="892"/>
      <c r="CO832" s="892"/>
      <c r="CP832" s="892"/>
      <c r="CQ832" s="892"/>
      <c r="CR832" s="892"/>
      <c r="CS832" s="892"/>
      <c r="CT832" s="892"/>
      <c r="CU832" s="892"/>
      <c r="CV832" s="892"/>
      <c r="CW832" s="892"/>
      <c r="CX832" s="892"/>
      <c r="CY832" s="892"/>
      <c r="CZ832" s="892"/>
      <c r="DA832" s="892"/>
      <c r="DB832" s="892"/>
      <c r="DC832" s="892"/>
      <c r="DD832" s="892"/>
    </row>
    <row r="833" s="664" customFormat="1" ht="31" customHeight="1" spans="1:108">
      <c r="A833" s="819">
        <v>46233</v>
      </c>
      <c r="B833" s="820" t="s">
        <v>971</v>
      </c>
      <c r="C833" s="821" t="s">
        <v>164</v>
      </c>
      <c r="D833" s="822">
        <v>4500218302</v>
      </c>
      <c r="E833" s="821">
        <v>4400579669</v>
      </c>
      <c r="F833" s="822" t="s">
        <v>6472</v>
      </c>
      <c r="G833" s="823" t="s">
        <v>3973</v>
      </c>
      <c r="H833" s="953" t="s">
        <v>3995</v>
      </c>
      <c r="I833" s="824">
        <v>12000</v>
      </c>
      <c r="J833" s="821">
        <v>0</v>
      </c>
      <c r="K833" s="821">
        <v>16</v>
      </c>
      <c r="L833" s="821">
        <f t="shared" si="158"/>
        <v>750</v>
      </c>
      <c r="M833" s="825">
        <v>46277</v>
      </c>
      <c r="N833" s="825">
        <f>M833-4</f>
        <v>46273</v>
      </c>
      <c r="O833" s="820" t="s">
        <v>6473</v>
      </c>
      <c r="P833" s="824"/>
      <c r="Q833" s="824"/>
      <c r="R833" s="827">
        <v>46217</v>
      </c>
      <c r="S833" s="828" t="s">
        <v>107</v>
      </c>
      <c r="T833" s="828" t="s">
        <v>3997</v>
      </c>
      <c r="U833" s="828"/>
      <c r="V833" s="828" t="s">
        <v>5199</v>
      </c>
      <c r="W833" s="828"/>
      <c r="X833" s="961" t="s">
        <v>6474</v>
      </c>
      <c r="Y833" s="825" t="s">
        <v>976</v>
      </c>
      <c r="Z833" s="830">
        <v>4.8787</v>
      </c>
      <c r="AA833" s="822">
        <f>I833*Z833</f>
        <v>58544.4</v>
      </c>
      <c r="AB833" s="927"/>
      <c r="AC833" s="822" t="s">
        <v>3999</v>
      </c>
      <c r="AD833" s="821" t="s">
        <v>112</v>
      </c>
      <c r="AE833" s="821">
        <f t="shared" si="157"/>
        <v>12000</v>
      </c>
      <c r="AF833" s="912"/>
      <c r="AG833" s="1083"/>
      <c r="AH833" s="833">
        <f t="shared" si="169"/>
        <v>-12000</v>
      </c>
      <c r="AI833" s="824"/>
      <c r="AJ833" s="912"/>
      <c r="AK833" s="822"/>
      <c r="AL833" s="822"/>
      <c r="AM833" s="822">
        <f>I833</f>
        <v>12000</v>
      </c>
      <c r="AN833" s="834">
        <f t="shared" si="170"/>
        <v>12000</v>
      </c>
      <c r="AO833" s="822"/>
      <c r="AP833" s="822"/>
      <c r="AQ833" s="822"/>
      <c r="AR833" s="822"/>
      <c r="AS833" s="822"/>
      <c r="AT833" s="822"/>
      <c r="AU833" s="834">
        <f>I833/8</f>
        <v>1500</v>
      </c>
      <c r="AV833" s="822"/>
      <c r="AW833" s="822"/>
      <c r="AX833" s="822"/>
      <c r="AY833" s="822"/>
      <c r="AZ833" s="822"/>
      <c r="BA833" s="822"/>
      <c r="BB833" s="822"/>
      <c r="BC833" s="822"/>
      <c r="BD833" s="822"/>
      <c r="BE833" s="822"/>
      <c r="BF833" s="822"/>
      <c r="BG833" s="822"/>
      <c r="BH833" s="822"/>
      <c r="BI833" s="822"/>
      <c r="BJ833" s="667"/>
      <c r="BK833" s="667"/>
      <c r="BL833" s="667"/>
      <c r="BM833" s="667"/>
      <c r="BN833" s="667"/>
      <c r="BO833" s="667"/>
      <c r="BP833" s="667"/>
      <c r="BQ833" s="667"/>
      <c r="BR833" s="667"/>
      <c r="BS833" s="667"/>
      <c r="BT833" s="667"/>
      <c r="BU833" s="667"/>
      <c r="BV833" s="667"/>
      <c r="BW833" s="667"/>
      <c r="BX833" s="667"/>
      <c r="BY833" s="667"/>
      <c r="BZ833" s="667"/>
      <c r="CA833" s="667"/>
      <c r="CB833" s="667"/>
      <c r="CC833" s="667"/>
      <c r="CD833" s="667"/>
      <c r="CE833" s="667"/>
      <c r="CF833" s="667"/>
      <c r="CG833" s="667"/>
      <c r="CH833" s="667"/>
      <c r="CI833" s="667"/>
      <c r="CJ833" s="667"/>
      <c r="CK833" s="667"/>
      <c r="CL833" s="667"/>
      <c r="CM833" s="667"/>
      <c r="CN833" s="667"/>
      <c r="CO833" s="667"/>
      <c r="CP833" s="667"/>
      <c r="CQ833" s="667"/>
      <c r="CR833" s="667"/>
      <c r="CS833" s="667"/>
      <c r="CT833" s="667"/>
      <c r="CU833" s="667"/>
      <c r="CV833" s="667"/>
      <c r="CW833" s="667"/>
      <c r="CX833" s="667"/>
      <c r="CY833" s="667"/>
      <c r="CZ833" s="667"/>
      <c r="DA833" s="667"/>
      <c r="DB833" s="667"/>
      <c r="DC833" s="667"/>
      <c r="DD833" s="667"/>
    </row>
    <row r="834" s="664" customFormat="1" ht="31" customHeight="1" spans="1:108">
      <c r="A834" s="819">
        <v>46163</v>
      </c>
      <c r="B834" s="820" t="s">
        <v>2333</v>
      </c>
      <c r="C834" s="821" t="s">
        <v>115</v>
      </c>
      <c r="D834" s="822" t="s">
        <v>6475</v>
      </c>
      <c r="E834" s="821" t="s">
        <v>6476</v>
      </c>
      <c r="F834" s="822" t="s">
        <v>6477</v>
      </c>
      <c r="G834" s="823" t="s">
        <v>3980</v>
      </c>
      <c r="H834" s="708" t="s">
        <v>3978</v>
      </c>
      <c r="I834" s="824">
        <v>2520</v>
      </c>
      <c r="J834" s="821">
        <v>0</v>
      </c>
      <c r="K834" s="821">
        <v>8</v>
      </c>
      <c r="L834" s="821">
        <f t="shared" si="158"/>
        <v>315</v>
      </c>
      <c r="M834" s="863">
        <v>46279</v>
      </c>
      <c r="N834" s="863">
        <f>M834-4</f>
        <v>46275</v>
      </c>
      <c r="O834" s="824" t="s">
        <v>2337</v>
      </c>
      <c r="P834" s="824"/>
      <c r="Q834" s="824"/>
      <c r="R834" s="827" t="s">
        <v>2339</v>
      </c>
      <c r="S834" s="829" t="s">
        <v>107</v>
      </c>
      <c r="T834" s="829" t="s">
        <v>6478</v>
      </c>
      <c r="U834" s="829"/>
      <c r="V834" s="829"/>
      <c r="W834" s="828"/>
      <c r="X834" s="966" t="s">
        <v>6479</v>
      </c>
      <c r="Y834" s="825" t="s">
        <v>2342</v>
      </c>
      <c r="Z834" s="830">
        <v>2.8184</v>
      </c>
      <c r="AA834" s="822">
        <f>I834*Z834</f>
        <v>7102.368</v>
      </c>
      <c r="AB834" s="831"/>
      <c r="AC834" s="895" t="s">
        <v>3980</v>
      </c>
      <c r="AD834" s="821" t="s">
        <v>112</v>
      </c>
      <c r="AE834" s="821">
        <f t="shared" si="157"/>
        <v>2520</v>
      </c>
      <c r="AF834" s="912" t="s">
        <v>5125</v>
      </c>
      <c r="AG834" s="1083"/>
      <c r="AH834" s="833">
        <f t="shared" si="169"/>
        <v>-2520</v>
      </c>
      <c r="AI834" s="824"/>
      <c r="AJ834" s="912"/>
      <c r="AK834" s="834">
        <f>I834</f>
        <v>2520</v>
      </c>
      <c r="AL834" s="834"/>
      <c r="AM834" s="822"/>
      <c r="AN834" s="834">
        <f t="shared" si="170"/>
        <v>2520</v>
      </c>
      <c r="AO834" s="822"/>
      <c r="AP834" s="822"/>
      <c r="AQ834" s="822"/>
      <c r="AR834" s="822"/>
      <c r="AS834" s="822"/>
      <c r="AT834" s="822">
        <f>I834/8</f>
        <v>315</v>
      </c>
      <c r="AU834" s="834"/>
      <c r="AV834" s="834"/>
      <c r="AW834" s="834"/>
      <c r="AX834" s="822"/>
      <c r="AY834" s="822"/>
      <c r="AZ834" s="822"/>
      <c r="BA834" s="822"/>
      <c r="BB834" s="822"/>
      <c r="BC834" s="822"/>
      <c r="BD834" s="822"/>
      <c r="BE834" s="822"/>
      <c r="BF834" s="822"/>
      <c r="BG834" s="822"/>
      <c r="BH834" s="822"/>
      <c r="BI834" s="822"/>
      <c r="BJ834" s="662"/>
      <c r="BK834" s="662"/>
      <c r="BL834" s="662"/>
      <c r="BM834" s="662"/>
      <c r="BN834" s="662"/>
      <c r="BO834" s="662"/>
      <c r="BP834" s="662"/>
      <c r="BQ834" s="662"/>
      <c r="BR834" s="662"/>
      <c r="BS834" s="662"/>
      <c r="BT834" s="662"/>
      <c r="BU834" s="662"/>
      <c r="BV834" s="662"/>
      <c r="BW834" s="662"/>
      <c r="BX834" s="662"/>
      <c r="BY834" s="662"/>
      <c r="BZ834" s="662"/>
      <c r="CA834" s="662"/>
      <c r="CB834" s="662"/>
      <c r="CC834" s="662"/>
      <c r="CD834" s="662"/>
      <c r="CE834" s="662"/>
      <c r="CF834" s="662"/>
      <c r="CG834" s="662"/>
      <c r="CH834" s="662"/>
      <c r="CI834" s="662"/>
      <c r="CJ834" s="662"/>
      <c r="CK834" s="662"/>
      <c r="CL834" s="662"/>
      <c r="CM834" s="662"/>
      <c r="CN834" s="662"/>
      <c r="CO834" s="662"/>
      <c r="CP834" s="662"/>
      <c r="CQ834" s="662"/>
      <c r="CR834" s="662"/>
      <c r="CS834" s="659"/>
      <c r="CT834" s="659"/>
      <c r="CU834" s="659"/>
      <c r="CV834" s="659"/>
      <c r="CW834" s="659"/>
      <c r="CX834" s="659"/>
      <c r="CY834" s="659"/>
      <c r="CZ834" s="659"/>
      <c r="DA834" s="659"/>
      <c r="DB834" s="659"/>
      <c r="DC834" s="659"/>
      <c r="DD834" s="659"/>
    </row>
    <row r="835" s="659" customFormat="1" ht="31" customHeight="1" spans="1:108">
      <c r="A835" s="819">
        <v>46203</v>
      </c>
      <c r="B835" s="820" t="s">
        <v>525</v>
      </c>
      <c r="C835" s="821" t="s">
        <v>508</v>
      </c>
      <c r="D835" s="822" t="s">
        <v>6480</v>
      </c>
      <c r="E835" s="821" t="s">
        <v>6481</v>
      </c>
      <c r="F835" s="822" t="s">
        <v>3533</v>
      </c>
      <c r="G835" s="1084" t="s">
        <v>6408</v>
      </c>
      <c r="H835" s="708" t="s">
        <v>804</v>
      </c>
      <c r="I835" s="824">
        <v>1668</v>
      </c>
      <c r="J835" s="821">
        <v>0</v>
      </c>
      <c r="K835" s="821">
        <v>6</v>
      </c>
      <c r="L835" s="821">
        <f>IF(K835=0,"",I835/K835)</f>
        <v>278</v>
      </c>
      <c r="M835" s="825">
        <v>46279</v>
      </c>
      <c r="N835" s="825">
        <v>46275</v>
      </c>
      <c r="O835" s="820"/>
      <c r="P835" s="824"/>
      <c r="Q835" s="824"/>
      <c r="R835" s="864">
        <v>46248</v>
      </c>
      <c r="S835" s="828" t="s">
        <v>107</v>
      </c>
      <c r="T835" s="828" t="s">
        <v>6482</v>
      </c>
      <c r="U835" s="828"/>
      <c r="V835" s="828" t="s">
        <v>6093</v>
      </c>
      <c r="W835" s="828"/>
      <c r="X835" s="865" t="s">
        <v>6483</v>
      </c>
      <c r="Y835" s="825" t="s">
        <v>362</v>
      </c>
      <c r="Z835" s="830">
        <v>8.5</v>
      </c>
      <c r="AA835" s="822">
        <f>L835*Z835</f>
        <v>2363</v>
      </c>
      <c r="AB835" s="831"/>
      <c r="AC835" s="832" t="s">
        <v>2727</v>
      </c>
      <c r="AD835" s="821" t="s">
        <v>112</v>
      </c>
      <c r="AE835" s="821">
        <f t="shared" si="157"/>
        <v>1668</v>
      </c>
      <c r="AF835" s="821"/>
      <c r="AG835" s="708"/>
      <c r="AH835" s="833">
        <f t="shared" si="169"/>
        <v>-1668</v>
      </c>
      <c r="AI835" s="824"/>
      <c r="AJ835" s="821"/>
      <c r="AK835" s="822"/>
      <c r="AL835" s="822"/>
      <c r="AM835" s="822"/>
      <c r="AN835" s="834">
        <f t="shared" si="170"/>
        <v>1668</v>
      </c>
      <c r="AO835" s="822"/>
      <c r="AP835" s="822"/>
      <c r="AQ835" s="822"/>
      <c r="AR835" s="822"/>
      <c r="AS835" s="822"/>
      <c r="AT835" s="822"/>
      <c r="AU835" s="834"/>
      <c r="AV835" s="834"/>
      <c r="AW835" s="834"/>
      <c r="AX835" s="822"/>
      <c r="AY835" s="822"/>
      <c r="AZ835" s="822"/>
      <c r="BA835" s="822"/>
      <c r="BB835" s="822"/>
      <c r="BC835" s="822"/>
      <c r="BD835" s="822"/>
      <c r="BE835" s="822"/>
      <c r="BF835" s="822"/>
      <c r="BG835" s="822"/>
      <c r="BH835" s="822"/>
      <c r="BI835" s="834">
        <f>I835</f>
        <v>1668</v>
      </c>
      <c r="BJ835" s="835"/>
      <c r="BK835" s="835"/>
      <c r="BL835" s="835"/>
      <c r="BM835" s="835"/>
      <c r="BN835" s="835"/>
      <c r="BO835" s="835"/>
      <c r="BP835" s="835"/>
      <c r="BQ835" s="835"/>
      <c r="BR835" s="835"/>
      <c r="BS835" s="835"/>
      <c r="BT835" s="835"/>
      <c r="BU835" s="835"/>
      <c r="BV835" s="835"/>
      <c r="BW835" s="835"/>
      <c r="BX835" s="835"/>
      <c r="BY835" s="835"/>
      <c r="BZ835" s="835"/>
      <c r="CA835" s="835"/>
      <c r="CB835" s="835"/>
      <c r="CC835" s="835"/>
      <c r="CD835" s="835"/>
      <c r="CE835" s="835"/>
      <c r="CF835" s="835"/>
      <c r="CG835" s="835"/>
      <c r="CH835" s="835"/>
      <c r="CI835" s="835"/>
      <c r="CJ835" s="835"/>
      <c r="CK835" s="835"/>
      <c r="CL835" s="835"/>
      <c r="CM835" s="835"/>
      <c r="CN835" s="835"/>
      <c r="CO835" s="835"/>
      <c r="CP835" s="835"/>
      <c r="CQ835" s="835"/>
      <c r="CR835" s="835"/>
      <c r="CS835" s="835"/>
      <c r="CT835" s="835"/>
      <c r="CU835" s="835"/>
      <c r="CV835" s="835"/>
      <c r="CW835" s="835"/>
      <c r="CX835" s="835"/>
      <c r="CY835" s="835"/>
      <c r="CZ835" s="835"/>
      <c r="DA835" s="835"/>
      <c r="DB835" s="835"/>
      <c r="DC835" s="835"/>
      <c r="DD835" s="835"/>
    </row>
    <row r="836" s="670" customFormat="1" ht="31" customHeight="1" spans="1:108">
      <c r="A836" s="951">
        <v>46203</v>
      </c>
      <c r="B836" s="952" t="s">
        <v>525</v>
      </c>
      <c r="C836" s="953" t="s">
        <v>508</v>
      </c>
      <c r="D836" s="669" t="s">
        <v>6480</v>
      </c>
      <c r="E836" s="953" t="s">
        <v>6484</v>
      </c>
      <c r="F836" s="669" t="s">
        <v>3536</v>
      </c>
      <c r="G836" s="1072" t="s">
        <v>6408</v>
      </c>
      <c r="H836" s="956" t="s">
        <v>804</v>
      </c>
      <c r="I836" s="957">
        <v>1572</v>
      </c>
      <c r="J836" s="953">
        <v>0</v>
      </c>
      <c r="K836" s="953">
        <v>6</v>
      </c>
      <c r="L836" s="953">
        <f>IF(K836=0,"",I836/K836)</f>
        <v>262</v>
      </c>
      <c r="M836" s="958">
        <v>46279</v>
      </c>
      <c r="N836" s="958">
        <v>46275</v>
      </c>
      <c r="O836" s="952"/>
      <c r="P836" s="957"/>
      <c r="Q836" s="957"/>
      <c r="R836" s="864">
        <v>46248</v>
      </c>
      <c r="S836" s="828" t="s">
        <v>107</v>
      </c>
      <c r="T836" s="828" t="s">
        <v>6482</v>
      </c>
      <c r="U836" s="848"/>
      <c r="V836" s="828" t="s">
        <v>6093</v>
      </c>
      <c r="W836" s="961"/>
      <c r="X836" s="1073" t="s">
        <v>6483</v>
      </c>
      <c r="Y836" s="958" t="s">
        <v>362</v>
      </c>
      <c r="Z836" s="962">
        <v>8.5</v>
      </c>
      <c r="AA836" s="669">
        <f>L836*Z836</f>
        <v>2227</v>
      </c>
      <c r="AB836" s="831"/>
      <c r="AC836" s="1052" t="s">
        <v>2727</v>
      </c>
      <c r="AD836" s="821" t="s">
        <v>112</v>
      </c>
      <c r="AE836" s="953">
        <f t="shared" si="157"/>
        <v>1572</v>
      </c>
      <c r="AF836" s="953"/>
      <c r="AG836" s="956"/>
      <c r="AH836" s="833">
        <f t="shared" si="169"/>
        <v>-1572</v>
      </c>
      <c r="AI836" s="957"/>
      <c r="AJ836" s="953"/>
      <c r="AK836" s="822"/>
      <c r="AL836" s="822"/>
      <c r="AM836" s="822"/>
      <c r="AN836" s="834">
        <f t="shared" si="170"/>
        <v>1572</v>
      </c>
      <c r="AO836" s="669"/>
      <c r="AP836" s="822"/>
      <c r="AQ836" s="669"/>
      <c r="AR836" s="669"/>
      <c r="AS836" s="669"/>
      <c r="AT836" s="669"/>
      <c r="AX836" s="669"/>
      <c r="AY836" s="669"/>
      <c r="AZ836" s="669"/>
      <c r="BA836" s="669"/>
      <c r="BB836" s="669"/>
      <c r="BC836" s="669"/>
      <c r="BD836" s="669"/>
      <c r="BE836" s="669"/>
      <c r="BF836" s="669"/>
      <c r="BG836" s="669"/>
      <c r="BH836" s="669"/>
      <c r="BI836" s="834">
        <f>I836</f>
        <v>1572</v>
      </c>
    </row>
    <row r="837" s="670" customFormat="1" ht="31" customHeight="1" spans="1:108">
      <c r="A837" s="951">
        <v>46203</v>
      </c>
      <c r="B837" s="952" t="s">
        <v>525</v>
      </c>
      <c r="C837" s="953" t="s">
        <v>508</v>
      </c>
      <c r="D837" s="669" t="s">
        <v>6480</v>
      </c>
      <c r="E837" s="953" t="s">
        <v>6485</v>
      </c>
      <c r="F837" s="669" t="s">
        <v>6486</v>
      </c>
      <c r="G837" s="955" t="s">
        <v>3980</v>
      </c>
      <c r="H837" s="956" t="s">
        <v>3978</v>
      </c>
      <c r="I837" s="957">
        <v>4640</v>
      </c>
      <c r="J837" s="953">
        <v>0</v>
      </c>
      <c r="K837" s="953">
        <v>8</v>
      </c>
      <c r="L837" s="953">
        <f t="shared" ref="L837:L845" si="171">I837/K837</f>
        <v>580</v>
      </c>
      <c r="M837" s="958">
        <v>46279</v>
      </c>
      <c r="N837" s="958">
        <v>46275</v>
      </c>
      <c r="O837" s="952"/>
      <c r="P837" s="957"/>
      <c r="Q837" s="957"/>
      <c r="R837" s="864">
        <v>46248</v>
      </c>
      <c r="S837" s="828" t="s">
        <v>107</v>
      </c>
      <c r="T837" s="828" t="s">
        <v>6482</v>
      </c>
      <c r="U837" s="848"/>
      <c r="V837" s="828" t="s">
        <v>6093</v>
      </c>
      <c r="W837" s="961"/>
      <c r="X837" s="961" t="s">
        <v>6487</v>
      </c>
      <c r="Y837" s="958" t="s">
        <v>362</v>
      </c>
      <c r="Z837" s="962">
        <v>4.8975</v>
      </c>
      <c r="AA837" s="669">
        <f>I837*Z837</f>
        <v>22724.4</v>
      </c>
      <c r="AB837" s="831"/>
      <c r="AC837" s="1052" t="s">
        <v>3980</v>
      </c>
      <c r="AD837" s="821" t="s">
        <v>112</v>
      </c>
      <c r="AE837" s="953">
        <f t="shared" si="157"/>
        <v>4640</v>
      </c>
      <c r="AF837" s="953" t="s">
        <v>5125</v>
      </c>
      <c r="AG837" s="956"/>
      <c r="AH837" s="833">
        <f t="shared" si="169"/>
        <v>-4640</v>
      </c>
      <c r="AI837" s="957"/>
      <c r="AJ837" s="953"/>
      <c r="AK837" s="834">
        <f>I837</f>
        <v>4640</v>
      </c>
      <c r="AL837" s="822"/>
      <c r="AM837" s="822"/>
      <c r="AN837" s="834">
        <f t="shared" si="170"/>
        <v>4640</v>
      </c>
      <c r="AO837" s="669"/>
      <c r="AP837" s="822"/>
      <c r="AQ837" s="669"/>
      <c r="AR837" s="669"/>
      <c r="AS837" s="669"/>
      <c r="AT837" s="669"/>
      <c r="AX837" s="670">
        <f>I837/8</f>
        <v>580</v>
      </c>
      <c r="BA837" s="669"/>
      <c r="BB837" s="669"/>
      <c r="BC837" s="669"/>
      <c r="BD837" s="669"/>
      <c r="BE837" s="669"/>
      <c r="BF837" s="669"/>
      <c r="BG837" s="669"/>
      <c r="BH837" s="669"/>
      <c r="BI837" s="822"/>
    </row>
    <row r="838" s="670" customFormat="1" ht="31" customHeight="1" spans="1:108">
      <c r="A838" s="951">
        <v>46203</v>
      </c>
      <c r="B838" s="952" t="s">
        <v>525</v>
      </c>
      <c r="C838" s="953" t="s">
        <v>508</v>
      </c>
      <c r="D838" s="669" t="s">
        <v>6480</v>
      </c>
      <c r="E838" s="953" t="s">
        <v>6488</v>
      </c>
      <c r="F838" s="669" t="s">
        <v>6489</v>
      </c>
      <c r="G838" s="955" t="s">
        <v>3980</v>
      </c>
      <c r="H838" s="956" t="s">
        <v>3978</v>
      </c>
      <c r="I838" s="957">
        <v>1392</v>
      </c>
      <c r="J838" s="953">
        <v>0</v>
      </c>
      <c r="K838" s="953">
        <v>8</v>
      </c>
      <c r="L838" s="953">
        <f t="shared" si="171"/>
        <v>174</v>
      </c>
      <c r="M838" s="958">
        <v>46279</v>
      </c>
      <c r="N838" s="958">
        <v>46275</v>
      </c>
      <c r="O838" s="952"/>
      <c r="P838" s="957"/>
      <c r="Q838" s="957"/>
      <c r="R838" s="864">
        <v>46248</v>
      </c>
      <c r="S838" s="828" t="s">
        <v>107</v>
      </c>
      <c r="T838" s="828" t="s">
        <v>6482</v>
      </c>
      <c r="U838" s="848"/>
      <c r="V838" s="828" t="s">
        <v>6093</v>
      </c>
      <c r="W838" s="961"/>
      <c r="X838" s="961" t="s">
        <v>6490</v>
      </c>
      <c r="Y838" s="958" t="s">
        <v>362</v>
      </c>
      <c r="Z838" s="962">
        <v>4.8975</v>
      </c>
      <c r="AA838" s="669">
        <f>I838*Z838</f>
        <v>6817.32</v>
      </c>
      <c r="AB838" s="831"/>
      <c r="AC838" s="1052" t="s">
        <v>3980</v>
      </c>
      <c r="AD838" s="821" t="s">
        <v>112</v>
      </c>
      <c r="AE838" s="953">
        <f t="shared" ref="AE838:AE846" si="172">I838</f>
        <v>1392</v>
      </c>
      <c r="AF838" s="1000" t="s">
        <v>5125</v>
      </c>
      <c r="AG838" s="956"/>
      <c r="AH838" s="833">
        <f t="shared" si="169"/>
        <v>-1392</v>
      </c>
      <c r="AI838" s="957"/>
      <c r="AJ838" s="953"/>
      <c r="AK838" s="834">
        <f>I838</f>
        <v>1392</v>
      </c>
      <c r="AL838" s="822"/>
      <c r="AM838" s="822"/>
      <c r="AN838" s="834">
        <f t="shared" si="170"/>
        <v>1392</v>
      </c>
      <c r="AO838" s="669"/>
      <c r="AP838" s="822"/>
      <c r="AQ838" s="669"/>
      <c r="AR838" s="669"/>
      <c r="AS838" s="669"/>
      <c r="AT838" s="669"/>
      <c r="AV838" s="834"/>
      <c r="AW838" s="834"/>
      <c r="AX838" s="834">
        <f>I838/8</f>
        <v>174</v>
      </c>
      <c r="AY838" s="834"/>
      <c r="AZ838" s="834"/>
      <c r="BA838" s="669"/>
      <c r="BB838" s="669"/>
      <c r="BC838" s="669"/>
      <c r="BD838" s="669"/>
      <c r="BE838" s="669"/>
      <c r="BF838" s="669"/>
      <c r="BG838" s="669"/>
      <c r="BH838" s="669"/>
      <c r="BI838" s="822"/>
    </row>
    <row r="839" s="670" customFormat="1" ht="31" customHeight="1" spans="1:108">
      <c r="A839" s="951">
        <v>46203</v>
      </c>
      <c r="B839" s="952" t="s">
        <v>525</v>
      </c>
      <c r="C839" s="953" t="s">
        <v>508</v>
      </c>
      <c r="D839" s="669" t="s">
        <v>6480</v>
      </c>
      <c r="E839" s="953" t="s">
        <v>6491</v>
      </c>
      <c r="F839" s="669" t="s">
        <v>6492</v>
      </c>
      <c r="G839" s="955" t="s">
        <v>3980</v>
      </c>
      <c r="H839" s="956" t="s">
        <v>3978</v>
      </c>
      <c r="I839" s="957">
        <v>3664</v>
      </c>
      <c r="J839" s="953">
        <v>0</v>
      </c>
      <c r="K839" s="953">
        <v>8</v>
      </c>
      <c r="L839" s="953">
        <f t="shared" si="171"/>
        <v>458</v>
      </c>
      <c r="M839" s="958">
        <v>46279</v>
      </c>
      <c r="N839" s="958">
        <v>46275</v>
      </c>
      <c r="O839" s="952"/>
      <c r="P839" s="957"/>
      <c r="Q839" s="957"/>
      <c r="R839" s="864">
        <v>46248</v>
      </c>
      <c r="S839" s="828" t="s">
        <v>107</v>
      </c>
      <c r="T839" s="828" t="s">
        <v>6482</v>
      </c>
      <c r="U839" s="848"/>
      <c r="V839" s="828" t="s">
        <v>6093</v>
      </c>
      <c r="W839" s="961"/>
      <c r="X839" s="961" t="s">
        <v>6490</v>
      </c>
      <c r="Y839" s="958" t="s">
        <v>362</v>
      </c>
      <c r="Z839" s="962">
        <v>4.8975</v>
      </c>
      <c r="AA839" s="669">
        <f>I839*Z839</f>
        <v>17944.44</v>
      </c>
      <c r="AB839" s="831"/>
      <c r="AC839" s="1052" t="s">
        <v>3980</v>
      </c>
      <c r="AD839" s="821" t="s">
        <v>112</v>
      </c>
      <c r="AE839" s="953">
        <f t="shared" si="172"/>
        <v>3664</v>
      </c>
      <c r="AF839" s="1000" t="s">
        <v>5125</v>
      </c>
      <c r="AG839" s="956"/>
      <c r="AH839" s="833">
        <f t="shared" si="169"/>
        <v>-3664</v>
      </c>
      <c r="AI839" s="957"/>
      <c r="AJ839" s="953"/>
      <c r="AK839" s="834">
        <f>I839</f>
        <v>3664</v>
      </c>
      <c r="AL839" s="822"/>
      <c r="AM839" s="822"/>
      <c r="AN839" s="834">
        <f t="shared" si="170"/>
        <v>3664</v>
      </c>
      <c r="AO839" s="669"/>
      <c r="AP839" s="822"/>
      <c r="AQ839" s="669"/>
      <c r="AR839" s="669"/>
      <c r="AS839" s="669"/>
      <c r="AT839" s="669"/>
      <c r="AV839" s="834"/>
      <c r="AW839" s="834"/>
      <c r="AX839" s="834">
        <f>I839/8</f>
        <v>458</v>
      </c>
      <c r="AY839" s="834"/>
      <c r="AZ839" s="834"/>
      <c r="BA839" s="669"/>
      <c r="BB839" s="669"/>
      <c r="BC839" s="669"/>
      <c r="BD839" s="669"/>
      <c r="BE839" s="669"/>
      <c r="BF839" s="669"/>
      <c r="BG839" s="669"/>
      <c r="BH839" s="669"/>
      <c r="BI839" s="822"/>
    </row>
    <row r="840" s="670" customFormat="1" ht="31" customHeight="1" spans="1:108">
      <c r="A840" s="951">
        <v>46203</v>
      </c>
      <c r="B840" s="952" t="s">
        <v>521</v>
      </c>
      <c r="C840" s="953" t="s">
        <v>101</v>
      </c>
      <c r="D840" s="669" t="s">
        <v>6493</v>
      </c>
      <c r="E840" s="953" t="s">
        <v>6494</v>
      </c>
      <c r="F840" s="669" t="s">
        <v>3539</v>
      </c>
      <c r="G840" s="1072" t="s">
        <v>6408</v>
      </c>
      <c r="H840" s="956" t="s">
        <v>804</v>
      </c>
      <c r="I840" s="957">
        <v>132</v>
      </c>
      <c r="J840" s="953">
        <v>0</v>
      </c>
      <c r="K840" s="953">
        <v>6</v>
      </c>
      <c r="L840" s="953">
        <f t="shared" si="171"/>
        <v>22</v>
      </c>
      <c r="M840" s="958">
        <v>46279</v>
      </c>
      <c r="N840" s="958">
        <v>46275</v>
      </c>
      <c r="O840" s="952"/>
      <c r="P840" s="957"/>
      <c r="Q840" s="957"/>
      <c r="R840" s="864">
        <v>46248</v>
      </c>
      <c r="S840" s="828" t="s">
        <v>107</v>
      </c>
      <c r="T840" s="828" t="s">
        <v>6482</v>
      </c>
      <c r="U840" s="848"/>
      <c r="V840" s="828" t="s">
        <v>6093</v>
      </c>
      <c r="W840" s="961"/>
      <c r="X840" s="1047" t="s">
        <v>6495</v>
      </c>
      <c r="Y840" s="958" t="s">
        <v>362</v>
      </c>
      <c r="Z840" s="962">
        <v>8.5</v>
      </c>
      <c r="AA840" s="669">
        <f>Z840*I840</f>
        <v>1122</v>
      </c>
      <c r="AB840" s="831"/>
      <c r="AC840" s="1052" t="s">
        <v>2727</v>
      </c>
      <c r="AD840" s="821" t="s">
        <v>112</v>
      </c>
      <c r="AE840" s="953">
        <f t="shared" si="172"/>
        <v>132</v>
      </c>
      <c r="AF840" s="1000"/>
      <c r="AG840" s="956"/>
      <c r="AH840" s="833">
        <f t="shared" si="169"/>
        <v>-132</v>
      </c>
      <c r="AI840" s="957"/>
      <c r="AJ840" s="953"/>
      <c r="AK840" s="822"/>
      <c r="AL840" s="822"/>
      <c r="AM840" s="822"/>
      <c r="AN840" s="834">
        <f t="shared" si="170"/>
        <v>132</v>
      </c>
      <c r="AO840" s="669"/>
      <c r="AP840" s="822"/>
      <c r="AQ840" s="669"/>
      <c r="AR840" s="669"/>
      <c r="AS840" s="669"/>
      <c r="AT840" s="669"/>
      <c r="AV840" s="834"/>
      <c r="AW840" s="834"/>
      <c r="AX840" s="822"/>
      <c r="AY840" s="822"/>
      <c r="AZ840" s="822"/>
      <c r="BA840" s="669"/>
      <c r="BB840" s="669"/>
      <c r="BC840" s="669"/>
      <c r="BD840" s="669"/>
      <c r="BE840" s="669"/>
      <c r="BF840" s="669"/>
      <c r="BG840" s="669"/>
      <c r="BH840" s="669"/>
      <c r="BI840" s="834">
        <f>I840</f>
        <v>132</v>
      </c>
    </row>
    <row r="841" s="670" customFormat="1" ht="31" customHeight="1" spans="1:108">
      <c r="A841" s="951">
        <v>46203</v>
      </c>
      <c r="B841" s="952" t="s">
        <v>521</v>
      </c>
      <c r="C841" s="953" t="s">
        <v>101</v>
      </c>
      <c r="D841" s="669" t="s">
        <v>6493</v>
      </c>
      <c r="E841" s="953" t="s">
        <v>6496</v>
      </c>
      <c r="F841" s="669" t="s">
        <v>3541</v>
      </c>
      <c r="G841" s="1072" t="s">
        <v>6408</v>
      </c>
      <c r="H841" s="956" t="s">
        <v>804</v>
      </c>
      <c r="I841" s="957">
        <v>126</v>
      </c>
      <c r="J841" s="953">
        <v>0</v>
      </c>
      <c r="K841" s="953">
        <v>6</v>
      </c>
      <c r="L841" s="953">
        <f t="shared" si="171"/>
        <v>21</v>
      </c>
      <c r="M841" s="958">
        <v>46279</v>
      </c>
      <c r="N841" s="958">
        <v>46275</v>
      </c>
      <c r="O841" s="952"/>
      <c r="P841" s="957"/>
      <c r="Q841" s="957"/>
      <c r="R841" s="864">
        <v>46248</v>
      </c>
      <c r="S841" s="828" t="s">
        <v>107</v>
      </c>
      <c r="T841" s="828" t="s">
        <v>6482</v>
      </c>
      <c r="U841" s="848"/>
      <c r="V841" s="828" t="s">
        <v>6093</v>
      </c>
      <c r="W841" s="961"/>
      <c r="X841" s="1085" t="s">
        <v>6495</v>
      </c>
      <c r="Y841" s="958" t="s">
        <v>362</v>
      </c>
      <c r="Z841" s="962">
        <v>8.5</v>
      </c>
      <c r="AA841" s="669">
        <f>Z841*I841</f>
        <v>1071</v>
      </c>
      <c r="AB841" s="831"/>
      <c r="AC841" s="1052" t="s">
        <v>2727</v>
      </c>
      <c r="AD841" s="821" t="s">
        <v>112</v>
      </c>
      <c r="AE841" s="953">
        <f t="shared" si="172"/>
        <v>126</v>
      </c>
      <c r="AF841" s="953"/>
      <c r="AG841" s="956"/>
      <c r="AH841" s="833">
        <f t="shared" si="169"/>
        <v>-126</v>
      </c>
      <c r="AI841" s="957"/>
      <c r="AJ841" s="953"/>
      <c r="AK841" s="822"/>
      <c r="AL841" s="822"/>
      <c r="AM841" s="822"/>
      <c r="AN841" s="834">
        <f t="shared" si="170"/>
        <v>126</v>
      </c>
      <c r="AO841" s="669"/>
      <c r="AP841" s="822"/>
      <c r="AQ841" s="669"/>
      <c r="AR841" s="669"/>
      <c r="AS841" s="669"/>
      <c r="AT841" s="669"/>
      <c r="AX841" s="669"/>
      <c r="AY841" s="669"/>
      <c r="AZ841" s="669"/>
      <c r="BA841" s="669"/>
      <c r="BB841" s="669"/>
      <c r="BC841" s="669"/>
      <c r="BD841" s="669"/>
      <c r="BE841" s="669"/>
      <c r="BF841" s="669"/>
      <c r="BG841" s="669"/>
      <c r="BH841" s="669"/>
      <c r="BI841" s="834">
        <f>I841</f>
        <v>126</v>
      </c>
    </row>
    <row r="842" s="670" customFormat="1" ht="31" customHeight="1" spans="1:108">
      <c r="A842" s="951">
        <v>46203</v>
      </c>
      <c r="B842" s="952" t="s">
        <v>521</v>
      </c>
      <c r="C842" s="953" t="s">
        <v>101</v>
      </c>
      <c r="D842" s="669" t="s">
        <v>6493</v>
      </c>
      <c r="E842" s="953" t="s">
        <v>6497</v>
      </c>
      <c r="F842" s="669" t="s">
        <v>6498</v>
      </c>
      <c r="G842" s="955" t="s">
        <v>3980</v>
      </c>
      <c r="H842" s="956" t="s">
        <v>3978</v>
      </c>
      <c r="I842" s="957">
        <v>360</v>
      </c>
      <c r="J842" s="953">
        <v>0</v>
      </c>
      <c r="K842" s="953">
        <v>8</v>
      </c>
      <c r="L842" s="953">
        <f t="shared" si="171"/>
        <v>45</v>
      </c>
      <c r="M842" s="958">
        <v>46279</v>
      </c>
      <c r="N842" s="958">
        <v>46275</v>
      </c>
      <c r="O842" s="952"/>
      <c r="P842" s="957"/>
      <c r="Q842" s="957"/>
      <c r="R842" s="864">
        <v>46248</v>
      </c>
      <c r="S842" s="828" t="s">
        <v>107</v>
      </c>
      <c r="T842" s="828" t="s">
        <v>6482</v>
      </c>
      <c r="U842" s="848"/>
      <c r="V842" s="828" t="s">
        <v>6093</v>
      </c>
      <c r="W842" s="961"/>
      <c r="X842" s="848" t="s">
        <v>6499</v>
      </c>
      <c r="Y842" s="958" t="s">
        <v>362</v>
      </c>
      <c r="Z842" s="962">
        <v>4.9186</v>
      </c>
      <c r="AA842" s="669">
        <f t="shared" ref="AA842:AA848" si="173">I842*Z842</f>
        <v>1770.696</v>
      </c>
      <c r="AB842" s="831"/>
      <c r="AC842" s="1052" t="s">
        <v>3980</v>
      </c>
      <c r="AD842" s="821" t="s">
        <v>112</v>
      </c>
      <c r="AE842" s="953">
        <f t="shared" si="172"/>
        <v>360</v>
      </c>
      <c r="AF842" s="953" t="s">
        <v>5125</v>
      </c>
      <c r="AG842" s="956"/>
      <c r="AH842" s="833">
        <f t="shared" si="169"/>
        <v>-360</v>
      </c>
      <c r="AI842" s="957"/>
      <c r="AJ842" s="953"/>
      <c r="AK842" s="834">
        <f>I842</f>
        <v>360</v>
      </c>
      <c r="AL842" s="822"/>
      <c r="AM842" s="822"/>
      <c r="AN842" s="834">
        <f t="shared" si="170"/>
        <v>360</v>
      </c>
      <c r="AO842" s="669"/>
      <c r="AP842" s="822"/>
      <c r="AQ842" s="669"/>
      <c r="AR842" s="669"/>
      <c r="AS842" s="669"/>
      <c r="AT842" s="669"/>
      <c r="AX842" s="670">
        <f>I842/8</f>
        <v>45</v>
      </c>
      <c r="BA842" s="669"/>
      <c r="BB842" s="669"/>
      <c r="BC842" s="669"/>
      <c r="BD842" s="669"/>
      <c r="BE842" s="669"/>
      <c r="BF842" s="669"/>
      <c r="BG842" s="669"/>
      <c r="BH842" s="669"/>
      <c r="BI842" s="822"/>
    </row>
    <row r="843" s="670" customFormat="1" ht="31" customHeight="1" spans="1:108">
      <c r="A843" s="951">
        <v>46203</v>
      </c>
      <c r="B843" s="952" t="s">
        <v>521</v>
      </c>
      <c r="C843" s="953" t="s">
        <v>101</v>
      </c>
      <c r="D843" s="669" t="s">
        <v>6493</v>
      </c>
      <c r="E843" s="953" t="s">
        <v>6500</v>
      </c>
      <c r="F843" s="669" t="s">
        <v>6501</v>
      </c>
      <c r="G843" s="955" t="s">
        <v>3980</v>
      </c>
      <c r="H843" s="956" t="s">
        <v>3978</v>
      </c>
      <c r="I843" s="957">
        <v>112</v>
      </c>
      <c r="J843" s="953">
        <v>0</v>
      </c>
      <c r="K843" s="953">
        <v>8</v>
      </c>
      <c r="L843" s="953">
        <f t="shared" si="171"/>
        <v>14</v>
      </c>
      <c r="M843" s="958">
        <v>46279</v>
      </c>
      <c r="N843" s="958">
        <v>46275</v>
      </c>
      <c r="O843" s="952"/>
      <c r="P843" s="957"/>
      <c r="Q843" s="957"/>
      <c r="R843" s="864">
        <v>46248</v>
      </c>
      <c r="S843" s="828" t="s">
        <v>107</v>
      </c>
      <c r="T843" s="828" t="s">
        <v>6482</v>
      </c>
      <c r="U843" s="848"/>
      <c r="V843" s="828" t="s">
        <v>6093</v>
      </c>
      <c r="W843" s="961"/>
      <c r="X843" s="961" t="s">
        <v>6502</v>
      </c>
      <c r="Y843" s="958" t="s">
        <v>362</v>
      </c>
      <c r="Z843" s="962">
        <v>4.9186</v>
      </c>
      <c r="AA843" s="669">
        <f t="shared" si="173"/>
        <v>550.8832</v>
      </c>
      <c r="AB843" s="831"/>
      <c r="AC843" s="1052" t="s">
        <v>3980</v>
      </c>
      <c r="AD843" s="821" t="s">
        <v>112</v>
      </c>
      <c r="AE843" s="953">
        <f t="shared" si="172"/>
        <v>112</v>
      </c>
      <c r="AF843" s="1000" t="s">
        <v>5125</v>
      </c>
      <c r="AG843" s="956"/>
      <c r="AH843" s="833">
        <f t="shared" si="169"/>
        <v>-112</v>
      </c>
      <c r="AI843" s="957"/>
      <c r="AJ843" s="953"/>
      <c r="AK843" s="834">
        <f>I843</f>
        <v>112</v>
      </c>
      <c r="AL843" s="822"/>
      <c r="AM843" s="822"/>
      <c r="AN843" s="834">
        <f t="shared" si="170"/>
        <v>112</v>
      </c>
      <c r="AO843" s="669"/>
      <c r="AP843" s="822"/>
      <c r="AQ843" s="669"/>
      <c r="AR843" s="669"/>
      <c r="AS843" s="669"/>
      <c r="AT843" s="669"/>
      <c r="AV843" s="834"/>
      <c r="AW843" s="834"/>
      <c r="AX843" s="834">
        <f>I843/8</f>
        <v>14</v>
      </c>
      <c r="AY843" s="834"/>
      <c r="AZ843" s="834"/>
      <c r="BA843" s="669"/>
      <c r="BB843" s="669"/>
      <c r="BC843" s="669"/>
      <c r="BD843" s="669"/>
      <c r="BE843" s="669"/>
      <c r="BF843" s="669"/>
      <c r="BG843" s="669"/>
      <c r="BH843" s="669"/>
      <c r="BI843" s="822"/>
    </row>
    <row r="844" s="670" customFormat="1" ht="31" customHeight="1" spans="1:108">
      <c r="A844" s="951">
        <v>46203</v>
      </c>
      <c r="B844" s="952" t="s">
        <v>521</v>
      </c>
      <c r="C844" s="953" t="s">
        <v>101</v>
      </c>
      <c r="D844" s="669" t="s">
        <v>6493</v>
      </c>
      <c r="E844" s="953" t="s">
        <v>6503</v>
      </c>
      <c r="F844" s="669" t="s">
        <v>6504</v>
      </c>
      <c r="G844" s="955" t="s">
        <v>3980</v>
      </c>
      <c r="H844" s="956" t="s">
        <v>3978</v>
      </c>
      <c r="I844" s="957">
        <v>336</v>
      </c>
      <c r="J844" s="953">
        <v>0</v>
      </c>
      <c r="K844" s="953">
        <v>8</v>
      </c>
      <c r="L844" s="953">
        <f t="shared" si="171"/>
        <v>42</v>
      </c>
      <c r="M844" s="958">
        <v>46279</v>
      </c>
      <c r="N844" s="958">
        <v>46275</v>
      </c>
      <c r="O844" s="952"/>
      <c r="P844" s="957"/>
      <c r="Q844" s="957"/>
      <c r="R844" s="864">
        <v>46248</v>
      </c>
      <c r="S844" s="828" t="s">
        <v>107</v>
      </c>
      <c r="T844" s="828" t="s">
        <v>6482</v>
      </c>
      <c r="U844" s="848"/>
      <c r="V844" s="828" t="s">
        <v>6093</v>
      </c>
      <c r="W844" s="961"/>
      <c r="X844" s="961" t="s">
        <v>6505</v>
      </c>
      <c r="Y844" s="958" t="s">
        <v>362</v>
      </c>
      <c r="Z844" s="962">
        <v>4.9186</v>
      </c>
      <c r="AA844" s="669">
        <f t="shared" si="173"/>
        <v>1652.6496</v>
      </c>
      <c r="AB844" s="831"/>
      <c r="AC844" s="1052" t="s">
        <v>3980</v>
      </c>
      <c r="AD844" s="821" t="s">
        <v>112</v>
      </c>
      <c r="AE844" s="953">
        <f t="shared" si="172"/>
        <v>336</v>
      </c>
      <c r="AF844" s="1000" t="s">
        <v>5125</v>
      </c>
      <c r="AG844" s="956"/>
      <c r="AH844" s="833">
        <f t="shared" si="169"/>
        <v>-336</v>
      </c>
      <c r="AI844" s="957"/>
      <c r="AJ844" s="953"/>
      <c r="AK844" s="834">
        <f>I844</f>
        <v>336</v>
      </c>
      <c r="AL844" s="822"/>
      <c r="AM844" s="822"/>
      <c r="AN844" s="834">
        <f t="shared" si="170"/>
        <v>336</v>
      </c>
      <c r="AO844" s="669"/>
      <c r="AP844" s="822"/>
      <c r="AQ844" s="669"/>
      <c r="AR844" s="669"/>
      <c r="AS844" s="669"/>
      <c r="AT844" s="669"/>
      <c r="AV844" s="834"/>
      <c r="AW844" s="834"/>
      <c r="AX844" s="834">
        <f>I844/8</f>
        <v>42</v>
      </c>
      <c r="AY844" s="834"/>
      <c r="AZ844" s="834"/>
      <c r="BA844" s="669"/>
      <c r="BB844" s="669"/>
      <c r="BC844" s="669"/>
      <c r="BD844" s="669"/>
      <c r="BE844" s="669"/>
      <c r="BF844" s="669"/>
      <c r="BG844" s="669"/>
      <c r="BH844" s="669"/>
      <c r="BI844" s="822"/>
    </row>
    <row r="845" s="670" customFormat="1" ht="31" customHeight="1" spans="1:108">
      <c r="A845" s="951">
        <v>46210</v>
      </c>
      <c r="B845" s="952" t="s">
        <v>3523</v>
      </c>
      <c r="C845" s="953" t="s">
        <v>1439</v>
      </c>
      <c r="D845" s="669">
        <v>4500215212</v>
      </c>
      <c r="E845" s="953"/>
      <c r="F845" s="669" t="s">
        <v>6506</v>
      </c>
      <c r="G845" s="955" t="s">
        <v>3980</v>
      </c>
      <c r="H845" s="953" t="s">
        <v>3978</v>
      </c>
      <c r="I845" s="957">
        <v>240</v>
      </c>
      <c r="J845" s="953">
        <v>0</v>
      </c>
      <c r="K845" s="953">
        <v>8</v>
      </c>
      <c r="L845" s="953">
        <f t="shared" si="171"/>
        <v>30</v>
      </c>
      <c r="M845" s="958">
        <v>46279</v>
      </c>
      <c r="N845" s="958">
        <v>46275</v>
      </c>
      <c r="O845" s="952"/>
      <c r="P845" s="957"/>
      <c r="Q845" s="957"/>
      <c r="R845" s="827" t="s">
        <v>2658</v>
      </c>
      <c r="S845" s="828" t="s">
        <v>107</v>
      </c>
      <c r="T845" s="828" t="s">
        <v>6507</v>
      </c>
      <c r="U845" s="848"/>
      <c r="V845" s="828"/>
      <c r="W845" s="961"/>
      <c r="X845" s="961" t="s">
        <v>6508</v>
      </c>
      <c r="Y845" s="958" t="s">
        <v>2600</v>
      </c>
      <c r="Z845" s="962">
        <v>4.8371</v>
      </c>
      <c r="AA845" s="669">
        <f t="shared" si="173"/>
        <v>1160.904</v>
      </c>
      <c r="AB845" s="831"/>
      <c r="AC845" s="1012" t="s">
        <v>4031</v>
      </c>
      <c r="AD845" s="821" t="s">
        <v>112</v>
      </c>
      <c r="AE845" s="953">
        <f t="shared" si="172"/>
        <v>240</v>
      </c>
      <c r="AF845" s="1000"/>
      <c r="AG845" s="953"/>
      <c r="AH845" s="833">
        <f t="shared" si="169"/>
        <v>-240</v>
      </c>
      <c r="AI845" s="957"/>
      <c r="AJ845" s="953"/>
      <c r="AK845" s="822"/>
      <c r="AL845" s="868">
        <f>I845</f>
        <v>240</v>
      </c>
      <c r="AM845" s="822"/>
      <c r="AN845" s="834">
        <f t="shared" si="170"/>
        <v>240</v>
      </c>
      <c r="AO845" s="669"/>
      <c r="AP845" s="822"/>
      <c r="AQ845" s="669"/>
      <c r="AR845" s="669"/>
      <c r="AS845" s="669"/>
      <c r="AT845" s="669"/>
      <c r="AU845" s="1046">
        <f>I845/8</f>
        <v>30</v>
      </c>
      <c r="AV845" s="822"/>
      <c r="AW845" s="822"/>
      <c r="AX845" s="822"/>
      <c r="AY845" s="822"/>
      <c r="AZ845" s="822"/>
      <c r="BA845" s="669"/>
      <c r="BB845" s="669"/>
      <c r="BC845" s="669"/>
      <c r="BD845" s="669"/>
      <c r="BE845" s="669"/>
      <c r="BF845" s="669"/>
      <c r="BG845" s="669"/>
      <c r="BH845" s="669"/>
      <c r="BI845" s="822"/>
      <c r="BJ845" s="669"/>
      <c r="BK845" s="669"/>
      <c r="BL845" s="669"/>
      <c r="BM845" s="669"/>
      <c r="BN845" s="669"/>
      <c r="BO845" s="669"/>
      <c r="BP845" s="669"/>
      <c r="BQ845" s="669"/>
      <c r="BR845" s="669"/>
      <c r="BS845" s="669"/>
      <c r="BT845" s="669"/>
      <c r="BU845" s="669"/>
      <c r="BV845" s="669"/>
      <c r="BW845" s="669"/>
      <c r="BX845" s="669"/>
      <c r="BY845" s="669"/>
      <c r="BZ845" s="669"/>
      <c r="CA845" s="669"/>
      <c r="CB845" s="669"/>
      <c r="CC845" s="669"/>
      <c r="CD845" s="669"/>
      <c r="CE845" s="669"/>
      <c r="CF845" s="669"/>
      <c r="CG845" s="669"/>
      <c r="CH845" s="669"/>
      <c r="CI845" s="669"/>
      <c r="CJ845" s="669"/>
      <c r="CK845" s="669"/>
      <c r="CL845" s="669"/>
      <c r="CM845" s="669"/>
      <c r="CN845" s="669"/>
      <c r="CO845" s="669"/>
      <c r="CP845" s="669"/>
      <c r="CQ845" s="669"/>
      <c r="CR845" s="669"/>
      <c r="CS845" s="669"/>
      <c r="CT845" s="669"/>
      <c r="CU845" s="669"/>
      <c r="CV845" s="669"/>
      <c r="CW845" s="669"/>
      <c r="CX845" s="669"/>
      <c r="CY845" s="669"/>
      <c r="CZ845" s="669"/>
      <c r="DA845" s="669"/>
      <c r="DB845" s="669"/>
      <c r="DC845" s="669"/>
      <c r="DD845" s="669"/>
    </row>
    <row r="846" s="667" customFormat="1" ht="31" customHeight="1" spans="1:108">
      <c r="A846" s="819">
        <v>46163</v>
      </c>
      <c r="B846" s="820" t="s">
        <v>2333</v>
      </c>
      <c r="C846" s="821" t="s">
        <v>115</v>
      </c>
      <c r="D846" s="822" t="s">
        <v>6509</v>
      </c>
      <c r="E846" s="821" t="s">
        <v>6510</v>
      </c>
      <c r="F846" s="822" t="s">
        <v>6511</v>
      </c>
      <c r="G846" s="823" t="s">
        <v>3980</v>
      </c>
      <c r="H846" s="821" t="s">
        <v>3978</v>
      </c>
      <c r="I846" s="824">
        <v>304</v>
      </c>
      <c r="J846" s="821">
        <v>0</v>
      </c>
      <c r="K846" s="821">
        <v>8</v>
      </c>
      <c r="L846" s="821">
        <v>64</v>
      </c>
      <c r="M846" s="863">
        <v>46279</v>
      </c>
      <c r="N846" s="863">
        <v>46277</v>
      </c>
      <c r="O846" s="820" t="s">
        <v>2337</v>
      </c>
      <c r="P846" s="824"/>
      <c r="Q846" s="824"/>
      <c r="R846" s="827" t="s">
        <v>2339</v>
      </c>
      <c r="S846" s="829" t="s">
        <v>107</v>
      </c>
      <c r="T846" s="829" t="s">
        <v>6478</v>
      </c>
      <c r="U846" s="829"/>
      <c r="V846" s="829"/>
      <c r="W846" s="828"/>
      <c r="X846" s="894" t="s">
        <v>6512</v>
      </c>
      <c r="Y846" s="825" t="s">
        <v>2342</v>
      </c>
      <c r="Z846" s="830">
        <v>2.8247</v>
      </c>
      <c r="AA846" s="669">
        <f t="shared" si="173"/>
        <v>858.7088</v>
      </c>
      <c r="AB846" s="831"/>
      <c r="AC846" s="895" t="s">
        <v>3980</v>
      </c>
      <c r="AD846" s="953" t="s">
        <v>112</v>
      </c>
      <c r="AE846" s="821">
        <f t="shared" si="172"/>
        <v>304</v>
      </c>
      <c r="AF846" s="821" t="s">
        <v>5125</v>
      </c>
      <c r="AG846" s="708"/>
      <c r="AH846" s="833">
        <f t="shared" si="169"/>
        <v>-304</v>
      </c>
      <c r="AI846" s="824"/>
      <c r="AJ846" s="821"/>
      <c r="AK846" s="834">
        <f>I846</f>
        <v>304</v>
      </c>
      <c r="AL846" s="834"/>
      <c r="AM846" s="822"/>
      <c r="AN846" s="834">
        <f t="shared" si="170"/>
        <v>304</v>
      </c>
      <c r="AO846" s="822"/>
      <c r="AP846" s="822"/>
      <c r="AQ846" s="822"/>
      <c r="AR846" s="822"/>
      <c r="AS846" s="822"/>
      <c r="AT846" s="822">
        <f>I846/8</f>
        <v>38</v>
      </c>
      <c r="AU846" s="834"/>
      <c r="AV846" s="834"/>
      <c r="AW846" s="834"/>
      <c r="AX846" s="822"/>
      <c r="AY846" s="822"/>
      <c r="AZ846" s="822"/>
      <c r="BA846" s="822"/>
      <c r="BB846" s="822"/>
      <c r="BC846" s="822"/>
      <c r="BD846" s="822"/>
      <c r="BE846" s="822"/>
      <c r="BF846" s="822"/>
      <c r="BG846" s="822"/>
      <c r="BH846" s="822"/>
      <c r="BI846" s="822"/>
      <c r="BJ846" s="662"/>
      <c r="BK846" s="662"/>
      <c r="BL846" s="662"/>
      <c r="BM846" s="662"/>
      <c r="BN846" s="662"/>
      <c r="BO846" s="662"/>
      <c r="BP846" s="662"/>
      <c r="BQ846" s="662"/>
      <c r="BR846" s="662"/>
      <c r="BS846" s="662"/>
      <c r="BT846" s="662"/>
      <c r="BU846" s="662"/>
      <c r="BV846" s="662"/>
      <c r="BW846" s="662"/>
      <c r="BX846" s="662"/>
      <c r="BY846" s="662"/>
      <c r="BZ846" s="662"/>
      <c r="CA846" s="662"/>
      <c r="CB846" s="662"/>
      <c r="CC846" s="662"/>
      <c r="CD846" s="662"/>
      <c r="CE846" s="662"/>
      <c r="CF846" s="662"/>
      <c r="CG846" s="662"/>
      <c r="CH846" s="662"/>
      <c r="CI846" s="662"/>
      <c r="CJ846" s="662"/>
      <c r="CK846" s="662"/>
      <c r="CL846" s="662"/>
      <c r="CM846" s="662"/>
      <c r="CN846" s="662"/>
      <c r="CO846" s="662"/>
      <c r="CP846" s="662"/>
      <c r="CQ846" s="662"/>
      <c r="CR846" s="662"/>
      <c r="CS846" s="659"/>
      <c r="CT846" s="659"/>
      <c r="CU846" s="659"/>
      <c r="CV846" s="659"/>
      <c r="CW846" s="659"/>
      <c r="CX846" s="659"/>
      <c r="CY846" s="659"/>
      <c r="CZ846" s="659"/>
      <c r="DA846" s="659"/>
      <c r="DB846" s="659"/>
      <c r="DC846" s="659"/>
      <c r="DD846" s="659"/>
    </row>
    <row r="847" s="670" customFormat="1" ht="31" customHeight="1" spans="1:108">
      <c r="A847" s="951">
        <v>46203</v>
      </c>
      <c r="B847" s="952" t="s">
        <v>3561</v>
      </c>
      <c r="C847" s="953" t="s">
        <v>1439</v>
      </c>
      <c r="D847" s="669" t="s">
        <v>6513</v>
      </c>
      <c r="E847" s="953" t="s">
        <v>628</v>
      </c>
      <c r="F847" s="669" t="s">
        <v>6514</v>
      </c>
      <c r="G847" s="955" t="s">
        <v>3973</v>
      </c>
      <c r="H847" s="708" t="s">
        <v>3995</v>
      </c>
      <c r="I847" s="957">
        <v>800</v>
      </c>
      <c r="J847" s="953">
        <v>0</v>
      </c>
      <c r="K847" s="953">
        <v>16</v>
      </c>
      <c r="L847" s="953">
        <f t="shared" ref="L847:L859" si="174">I847/K847</f>
        <v>50</v>
      </c>
      <c r="M847" s="958">
        <v>46280</v>
      </c>
      <c r="N847" s="958">
        <v>46276</v>
      </c>
      <c r="O847" s="952"/>
      <c r="P847" s="957"/>
      <c r="Q847" s="957"/>
      <c r="R847" s="886">
        <v>46217</v>
      </c>
      <c r="S847" s="848" t="s">
        <v>107</v>
      </c>
      <c r="T847" s="848" t="s">
        <v>6515</v>
      </c>
      <c r="U847" s="848"/>
      <c r="V847" s="960"/>
      <c r="W847" s="961"/>
      <c r="X847" s="961" t="s">
        <v>6516</v>
      </c>
      <c r="Y847" s="958" t="s">
        <v>2600</v>
      </c>
      <c r="Z847" s="962">
        <v>4.8331</v>
      </c>
      <c r="AA847" s="669">
        <f t="shared" si="173"/>
        <v>3866.48</v>
      </c>
      <c r="AB847" s="831"/>
      <c r="AC847" s="887" t="s">
        <v>4108</v>
      </c>
      <c r="AD847" s="821" t="s">
        <v>112</v>
      </c>
      <c r="AE847" s="953">
        <f t="shared" ref="AE847:AE867" si="175">I847</f>
        <v>800</v>
      </c>
      <c r="AF847" s="953"/>
      <c r="AG847" s="956"/>
      <c r="AH847" s="833">
        <f t="shared" ref="AH847:AH859" si="176">AG847-I847</f>
        <v>-800</v>
      </c>
      <c r="AI847" s="957"/>
      <c r="AJ847" s="953"/>
      <c r="AK847" s="822"/>
      <c r="AL847" s="868">
        <f>I847</f>
        <v>800</v>
      </c>
      <c r="AM847" s="822"/>
      <c r="AN847" s="834">
        <f t="shared" si="170"/>
        <v>800</v>
      </c>
      <c r="AO847" s="669"/>
      <c r="AP847" s="822"/>
      <c r="AQ847" s="669"/>
      <c r="AR847" s="669"/>
      <c r="AS847" s="669"/>
      <c r="AT847" s="822"/>
      <c r="AU847" s="967">
        <f>I847/8</f>
        <v>100</v>
      </c>
      <c r="AX847" s="669"/>
      <c r="AY847" s="669"/>
      <c r="AZ847" s="669"/>
      <c r="BA847" s="669"/>
      <c r="BB847" s="669"/>
      <c r="BC847" s="669"/>
      <c r="BD847" s="669"/>
      <c r="BE847" s="669"/>
      <c r="BF847" s="669"/>
      <c r="BG847" s="669"/>
      <c r="BH847" s="669"/>
      <c r="BI847" s="822"/>
    </row>
    <row r="848" s="659" customFormat="1" ht="31" customHeight="1" spans="1:108">
      <c r="A848" s="819">
        <v>46182</v>
      </c>
      <c r="B848" s="820" t="s">
        <v>626</v>
      </c>
      <c r="C848" s="821" t="s">
        <v>627</v>
      </c>
      <c r="D848" s="822">
        <v>4500211255</v>
      </c>
      <c r="E848" s="821"/>
      <c r="F848" s="822" t="s">
        <v>6517</v>
      </c>
      <c r="G848" s="823" t="s">
        <v>3973</v>
      </c>
      <c r="H848" s="708" t="s">
        <v>3995</v>
      </c>
      <c r="I848" s="1086">
        <v>4000</v>
      </c>
      <c r="J848" s="821">
        <v>0</v>
      </c>
      <c r="K848" s="821">
        <v>16</v>
      </c>
      <c r="L848" s="821">
        <f t="shared" si="174"/>
        <v>250</v>
      </c>
      <c r="M848" s="863">
        <v>46280</v>
      </c>
      <c r="N848" s="863">
        <f>M848-4</f>
        <v>46276</v>
      </c>
      <c r="O848" s="820"/>
      <c r="P848" s="824"/>
      <c r="Q848" s="824"/>
      <c r="R848" s="827">
        <v>46206</v>
      </c>
      <c r="S848" s="828" t="s">
        <v>107</v>
      </c>
      <c r="T848" s="828" t="s">
        <v>6518</v>
      </c>
      <c r="U848" s="828"/>
      <c r="V848" s="829"/>
      <c r="W848" s="828"/>
      <c r="X848" s="894" t="s">
        <v>6519</v>
      </c>
      <c r="Y848" s="825" t="s">
        <v>295</v>
      </c>
      <c r="Z848" s="830">
        <v>4.8226</v>
      </c>
      <c r="AA848" s="822">
        <f t="shared" si="173"/>
        <v>19290.4</v>
      </c>
      <c r="AB848" s="831"/>
      <c r="AC848" s="887" t="s">
        <v>4108</v>
      </c>
      <c r="AD848" s="821" t="s">
        <v>112</v>
      </c>
      <c r="AE848" s="821">
        <f t="shared" si="175"/>
        <v>4000</v>
      </c>
      <c r="AF848" s="950"/>
      <c r="AG848" s="708"/>
      <c r="AH848" s="833">
        <f t="shared" si="176"/>
        <v>-4000</v>
      </c>
      <c r="AI848" s="824"/>
      <c r="AJ848" s="821"/>
      <c r="AK848" s="822"/>
      <c r="AL848" s="868">
        <f>I848</f>
        <v>4000</v>
      </c>
      <c r="AM848" s="822"/>
      <c r="AN848" s="834">
        <f t="shared" si="170"/>
        <v>4000</v>
      </c>
      <c r="AO848" s="822"/>
      <c r="AP848" s="822"/>
      <c r="AQ848" s="822"/>
      <c r="AR848" s="822"/>
      <c r="AS848" s="822"/>
      <c r="AT848" s="822"/>
      <c r="AU848" s="868">
        <f>I848/8</f>
        <v>500</v>
      </c>
      <c r="AV848" s="834"/>
      <c r="AW848" s="834"/>
      <c r="AX848" s="822"/>
      <c r="AY848" s="822"/>
      <c r="AZ848" s="822"/>
      <c r="BA848" s="822"/>
      <c r="BB848" s="822"/>
      <c r="BC848" s="822"/>
      <c r="BD848" s="822"/>
      <c r="BE848" s="822"/>
      <c r="BF848" s="822"/>
      <c r="BG848" s="822"/>
      <c r="BH848" s="822"/>
      <c r="BI848" s="822"/>
    </row>
    <row r="849" s="659" customFormat="1" ht="31" customHeight="1" spans="1:108">
      <c r="A849" s="819">
        <v>46223</v>
      </c>
      <c r="B849" s="820" t="s">
        <v>346</v>
      </c>
      <c r="C849" s="821" t="s">
        <v>115</v>
      </c>
      <c r="D849" s="822">
        <v>4500217086</v>
      </c>
      <c r="E849" s="1915" t="s">
        <v>6520</v>
      </c>
      <c r="F849" s="822" t="s">
        <v>6521</v>
      </c>
      <c r="G849" s="823" t="s">
        <v>4414</v>
      </c>
      <c r="H849" s="821" t="s">
        <v>3978</v>
      </c>
      <c r="I849" s="824">
        <v>14848</v>
      </c>
      <c r="J849" s="821">
        <v>0</v>
      </c>
      <c r="K849" s="821">
        <v>512</v>
      </c>
      <c r="L849" s="821">
        <f t="shared" si="174"/>
        <v>29</v>
      </c>
      <c r="M849" s="825">
        <v>46281</v>
      </c>
      <c r="N849" s="825">
        <v>46277</v>
      </c>
      <c r="O849" s="820"/>
      <c r="P849" s="824"/>
      <c r="Q849" s="824"/>
      <c r="R849" s="827" t="s">
        <v>6465</v>
      </c>
      <c r="S849" s="828" t="s">
        <v>107</v>
      </c>
      <c r="T849" s="828" t="s">
        <v>6522</v>
      </c>
      <c r="U849" s="828"/>
      <c r="V849" s="828"/>
      <c r="W849" s="828"/>
      <c r="X849" s="828" t="s">
        <v>6523</v>
      </c>
      <c r="Y849" s="825" t="s">
        <v>354</v>
      </c>
      <c r="Z849" s="830">
        <v>1475.499</v>
      </c>
      <c r="AA849" s="669">
        <f>Z849*L849</f>
        <v>42789.471</v>
      </c>
      <c r="AB849" s="831"/>
      <c r="AC849" s="887" t="s">
        <v>4194</v>
      </c>
      <c r="AD849" s="821" t="s">
        <v>112</v>
      </c>
      <c r="AE849" s="821">
        <f t="shared" si="175"/>
        <v>14848</v>
      </c>
      <c r="AF849" s="821"/>
      <c r="AG849" s="821"/>
      <c r="AH849" s="833">
        <f t="shared" si="176"/>
        <v>-14848</v>
      </c>
      <c r="AI849" s="824"/>
      <c r="AJ849" s="821"/>
      <c r="AK849" s="834">
        <f>I849</f>
        <v>14848</v>
      </c>
      <c r="AL849" s="822"/>
      <c r="AM849" s="822"/>
      <c r="AN849" s="834">
        <f t="shared" si="170"/>
        <v>14848</v>
      </c>
      <c r="AO849" s="822"/>
      <c r="AP849" s="822"/>
      <c r="AQ849" s="822"/>
      <c r="AR849" s="822"/>
      <c r="AS849" s="822"/>
      <c r="AT849" s="822">
        <f>I849/8</f>
        <v>1856</v>
      </c>
      <c r="AU849" s="822"/>
      <c r="AV849" s="822"/>
      <c r="AW849" s="822"/>
      <c r="AX849" s="822"/>
      <c r="AY849" s="822"/>
      <c r="AZ849" s="822"/>
      <c r="BA849" s="822"/>
      <c r="BB849" s="822"/>
      <c r="BC849" s="822"/>
      <c r="BD849" s="822"/>
      <c r="BE849" s="822"/>
      <c r="BF849" s="822"/>
      <c r="BG849" s="822"/>
      <c r="BH849" s="822"/>
      <c r="BI849" s="822"/>
      <c r="BJ849" s="667"/>
      <c r="BK849" s="667"/>
      <c r="BL849" s="667"/>
      <c r="BM849" s="667"/>
      <c r="BN849" s="667"/>
      <c r="BO849" s="667"/>
      <c r="BP849" s="667"/>
      <c r="BQ849" s="667"/>
      <c r="BR849" s="667"/>
      <c r="BS849" s="667"/>
      <c r="BT849" s="667"/>
      <c r="BU849" s="667"/>
      <c r="BV849" s="667"/>
      <c r="BW849" s="667"/>
      <c r="BX849" s="667"/>
      <c r="BY849" s="667"/>
      <c r="BZ849" s="667"/>
      <c r="CA849" s="667"/>
      <c r="CB849" s="667"/>
      <c r="CC849" s="667"/>
      <c r="CD849" s="667"/>
      <c r="CE849" s="667"/>
      <c r="CF849" s="667"/>
      <c r="CG849" s="667"/>
      <c r="CH849" s="667"/>
      <c r="CI849" s="667"/>
      <c r="CJ849" s="667"/>
      <c r="CK849" s="667"/>
      <c r="CL849" s="667"/>
      <c r="CM849" s="667"/>
      <c r="CN849" s="667"/>
      <c r="CO849" s="667"/>
      <c r="CP849" s="667"/>
      <c r="CQ849" s="667"/>
      <c r="CR849" s="667"/>
      <c r="CS849" s="667"/>
      <c r="CT849" s="667"/>
      <c r="CU849" s="667"/>
      <c r="CV849" s="667"/>
      <c r="CW849" s="667"/>
      <c r="CX849" s="667"/>
      <c r="CY849" s="667"/>
      <c r="CZ849" s="667"/>
      <c r="DA849" s="667"/>
      <c r="DB849" s="667"/>
      <c r="DC849" s="667"/>
      <c r="DD849" s="667"/>
    </row>
    <row r="850" s="667" customFormat="1" ht="31" customHeight="1" spans="1:108">
      <c r="A850" s="819">
        <v>46223</v>
      </c>
      <c r="B850" s="820" t="s">
        <v>346</v>
      </c>
      <c r="C850" s="821" t="s">
        <v>115</v>
      </c>
      <c r="D850" s="822">
        <v>4500217086</v>
      </c>
      <c r="E850" s="1915" t="s">
        <v>6524</v>
      </c>
      <c r="F850" s="822" t="s">
        <v>6525</v>
      </c>
      <c r="G850" s="823" t="s">
        <v>4414</v>
      </c>
      <c r="H850" s="821" t="s">
        <v>3978</v>
      </c>
      <c r="I850" s="824">
        <v>11776</v>
      </c>
      <c r="J850" s="821">
        <v>0</v>
      </c>
      <c r="K850" s="821">
        <v>512</v>
      </c>
      <c r="L850" s="821">
        <f t="shared" si="174"/>
        <v>23</v>
      </c>
      <c r="M850" s="825">
        <v>46281</v>
      </c>
      <c r="N850" s="825">
        <v>46277</v>
      </c>
      <c r="O850" s="820"/>
      <c r="P850" s="824"/>
      <c r="Q850" s="824"/>
      <c r="R850" s="827" t="s">
        <v>6465</v>
      </c>
      <c r="S850" s="848" t="s">
        <v>107</v>
      </c>
      <c r="T850" s="828" t="s">
        <v>6522</v>
      </c>
      <c r="U850" s="828"/>
      <c r="V850" s="828"/>
      <c r="W850" s="828"/>
      <c r="X850" s="828" t="s">
        <v>6523</v>
      </c>
      <c r="Y850" s="825" t="s">
        <v>354</v>
      </c>
      <c r="Z850" s="830">
        <v>1475.4991</v>
      </c>
      <c r="AA850" s="822">
        <f>Z850*L850</f>
        <v>33936.4793</v>
      </c>
      <c r="AB850" s="831"/>
      <c r="AC850" s="887" t="s">
        <v>4194</v>
      </c>
      <c r="AD850" s="821" t="s">
        <v>112</v>
      </c>
      <c r="AE850" s="821">
        <f t="shared" si="175"/>
        <v>11776</v>
      </c>
      <c r="AF850" s="1000"/>
      <c r="AG850" s="821"/>
      <c r="AH850" s="833">
        <f t="shared" si="176"/>
        <v>-11776</v>
      </c>
      <c r="AI850" s="824"/>
      <c r="AJ850" s="821"/>
      <c r="AK850" s="834">
        <f>I850</f>
        <v>11776</v>
      </c>
      <c r="AL850" s="822"/>
      <c r="AM850" s="822"/>
      <c r="AN850" s="834">
        <f t="shared" si="170"/>
        <v>11776</v>
      </c>
      <c r="AO850" s="822"/>
      <c r="AP850" s="822"/>
      <c r="AQ850" s="822"/>
      <c r="AR850" s="822"/>
      <c r="AS850" s="822"/>
      <c r="AT850" s="673">
        <f>I850/8</f>
        <v>1472</v>
      </c>
      <c r="AU850" s="822"/>
      <c r="AV850" s="822"/>
      <c r="AW850" s="822"/>
      <c r="AX850" s="822"/>
      <c r="AY850" s="822"/>
      <c r="AZ850" s="822"/>
      <c r="BA850" s="822"/>
      <c r="BB850" s="822"/>
      <c r="BC850" s="822"/>
      <c r="BD850" s="822"/>
      <c r="BE850" s="822"/>
      <c r="BF850" s="822"/>
      <c r="BG850" s="822"/>
      <c r="BH850" s="822"/>
      <c r="BI850" s="822"/>
    </row>
    <row r="851" s="667" customFormat="1" ht="31" customHeight="1" spans="1:108">
      <c r="A851" s="819">
        <v>46223</v>
      </c>
      <c r="B851" s="820" t="s">
        <v>346</v>
      </c>
      <c r="C851" s="821" t="s">
        <v>115</v>
      </c>
      <c r="D851" s="822">
        <v>4500217086</v>
      </c>
      <c r="E851" s="1915" t="s">
        <v>6526</v>
      </c>
      <c r="F851" s="822" t="s">
        <v>6527</v>
      </c>
      <c r="G851" s="823" t="s">
        <v>4414</v>
      </c>
      <c r="H851" s="821" t="s">
        <v>3978</v>
      </c>
      <c r="I851" s="824">
        <v>25088</v>
      </c>
      <c r="J851" s="821">
        <v>0</v>
      </c>
      <c r="K851" s="821">
        <v>512</v>
      </c>
      <c r="L851" s="821">
        <f t="shared" si="174"/>
        <v>49</v>
      </c>
      <c r="M851" s="825">
        <v>46281</v>
      </c>
      <c r="N851" s="825">
        <v>46277</v>
      </c>
      <c r="O851" s="820"/>
      <c r="P851" s="824"/>
      <c r="Q851" s="824"/>
      <c r="R851" s="827" t="s">
        <v>6465</v>
      </c>
      <c r="S851" s="848" t="s">
        <v>107</v>
      </c>
      <c r="T851" s="828" t="s">
        <v>6522</v>
      </c>
      <c r="U851" s="828"/>
      <c r="V851" s="828"/>
      <c r="W851" s="828"/>
      <c r="X851" s="828" t="s">
        <v>6523</v>
      </c>
      <c r="Y851" s="825" t="s">
        <v>354</v>
      </c>
      <c r="Z851" s="830">
        <v>1470.4916</v>
      </c>
      <c r="AA851" s="822">
        <f>Z851*L851</f>
        <v>72054.0884</v>
      </c>
      <c r="AB851" s="831"/>
      <c r="AC851" s="887" t="s">
        <v>4194</v>
      </c>
      <c r="AD851" s="821" t="s">
        <v>112</v>
      </c>
      <c r="AE851" s="821">
        <f t="shared" si="175"/>
        <v>25088</v>
      </c>
      <c r="AF851" s="1000"/>
      <c r="AG851" s="821"/>
      <c r="AH851" s="833">
        <f t="shared" si="176"/>
        <v>-25088</v>
      </c>
      <c r="AI851" s="824"/>
      <c r="AJ851" s="821"/>
      <c r="AK851" s="834">
        <f>I851</f>
        <v>25088</v>
      </c>
      <c r="AL851" s="822"/>
      <c r="AM851" s="822"/>
      <c r="AN851" s="834">
        <f t="shared" si="170"/>
        <v>25088</v>
      </c>
      <c r="AO851" s="822"/>
      <c r="AP851" s="822"/>
      <c r="AQ851" s="822"/>
      <c r="AR851" s="822"/>
      <c r="AS851" s="822"/>
      <c r="AT851" s="673">
        <f>I851/8</f>
        <v>3136</v>
      </c>
      <c r="AU851" s="822"/>
      <c r="AV851" s="822"/>
      <c r="AW851" s="822"/>
      <c r="AX851" s="822"/>
      <c r="AY851" s="822"/>
      <c r="AZ851" s="822"/>
      <c r="BA851" s="822"/>
      <c r="BB851" s="822"/>
      <c r="BC851" s="822"/>
      <c r="BD851" s="822"/>
      <c r="BE851" s="822"/>
      <c r="BF851" s="822"/>
      <c r="BG851" s="822"/>
      <c r="BH851" s="822"/>
      <c r="BI851" s="822"/>
    </row>
    <row r="852" s="667" customFormat="1" ht="31" customHeight="1" spans="1:108">
      <c r="A852" s="819">
        <v>46223</v>
      </c>
      <c r="B852" s="820" t="s">
        <v>346</v>
      </c>
      <c r="C852" s="821" t="s">
        <v>115</v>
      </c>
      <c r="D852" s="822">
        <v>4500217086</v>
      </c>
      <c r="E852" s="1915" t="s">
        <v>6528</v>
      </c>
      <c r="F852" s="822" t="s">
        <v>6529</v>
      </c>
      <c r="G852" s="823" t="s">
        <v>4414</v>
      </c>
      <c r="H852" s="821" t="s">
        <v>3978</v>
      </c>
      <c r="I852" s="824">
        <v>17920</v>
      </c>
      <c r="J852" s="821">
        <v>0</v>
      </c>
      <c r="K852" s="821">
        <v>512</v>
      </c>
      <c r="L852" s="821">
        <f t="shared" si="174"/>
        <v>35</v>
      </c>
      <c r="M852" s="825">
        <v>46281</v>
      </c>
      <c r="N852" s="825">
        <v>46277</v>
      </c>
      <c r="O852" s="820"/>
      <c r="P852" s="824"/>
      <c r="Q852" s="824"/>
      <c r="R852" s="827" t="s">
        <v>6465</v>
      </c>
      <c r="S852" s="848" t="s">
        <v>107</v>
      </c>
      <c r="T852" s="828" t="s">
        <v>6522</v>
      </c>
      <c r="U852" s="828"/>
      <c r="V852" s="828"/>
      <c r="W852" s="828"/>
      <c r="X852" s="828" t="s">
        <v>6523</v>
      </c>
      <c r="Y852" s="825" t="s">
        <v>354</v>
      </c>
      <c r="Z852" s="830">
        <v>1475.4991</v>
      </c>
      <c r="AA852" s="822">
        <f>Z852*L852</f>
        <v>51642.4685</v>
      </c>
      <c r="AB852" s="831"/>
      <c r="AC852" s="887" t="s">
        <v>4194</v>
      </c>
      <c r="AD852" s="821" t="s">
        <v>112</v>
      </c>
      <c r="AE852" s="821">
        <f t="shared" si="175"/>
        <v>17920</v>
      </c>
      <c r="AF852" s="1000"/>
      <c r="AG852" s="821"/>
      <c r="AH852" s="833">
        <f t="shared" si="176"/>
        <v>-17920</v>
      </c>
      <c r="AI852" s="824"/>
      <c r="AJ852" s="821"/>
      <c r="AK852" s="834">
        <f>I852</f>
        <v>17920</v>
      </c>
      <c r="AL852" s="822"/>
      <c r="AM852" s="822"/>
      <c r="AN852" s="834">
        <f t="shared" si="170"/>
        <v>17920</v>
      </c>
      <c r="AO852" s="822"/>
      <c r="AP852" s="822"/>
      <c r="AQ852" s="822"/>
      <c r="AR852" s="822"/>
      <c r="AS852" s="822"/>
      <c r="AT852" s="673">
        <f>I852/8</f>
        <v>2240</v>
      </c>
      <c r="AU852" s="822"/>
      <c r="AV852" s="822"/>
      <c r="AW852" s="822"/>
      <c r="AX852" s="822"/>
      <c r="AY852" s="822"/>
      <c r="AZ852" s="822"/>
      <c r="BA852" s="822"/>
      <c r="BB852" s="822"/>
      <c r="BC852" s="822"/>
      <c r="BD852" s="822"/>
      <c r="BE852" s="822"/>
      <c r="BF852" s="822"/>
      <c r="BG852" s="822"/>
      <c r="BH852" s="822"/>
      <c r="BI852" s="822"/>
    </row>
    <row r="853" s="667" customFormat="1" ht="31" customHeight="1" spans="1:108">
      <c r="A853" s="819">
        <v>46234</v>
      </c>
      <c r="B853" s="820" t="s">
        <v>6530</v>
      </c>
      <c r="C853" s="821" t="s">
        <v>164</v>
      </c>
      <c r="D853" s="822">
        <v>4500210717</v>
      </c>
      <c r="E853" s="821">
        <v>30260587</v>
      </c>
      <c r="F853" s="822" t="s">
        <v>6531</v>
      </c>
      <c r="G853" s="823" t="s">
        <v>4574</v>
      </c>
      <c r="H853" s="821" t="s">
        <v>3969</v>
      </c>
      <c r="I853" s="824">
        <v>2000</v>
      </c>
      <c r="J853" s="821">
        <v>0</v>
      </c>
      <c r="K853" s="821">
        <v>16</v>
      </c>
      <c r="L853" s="821">
        <f t="shared" si="174"/>
        <v>125</v>
      </c>
      <c r="M853" s="825">
        <v>46281</v>
      </c>
      <c r="N853" s="825">
        <v>46277</v>
      </c>
      <c r="O853" s="820"/>
      <c r="P853" s="824"/>
      <c r="Q853" s="824"/>
      <c r="R853" s="827">
        <v>46234</v>
      </c>
      <c r="S853" s="1087" t="s">
        <v>107</v>
      </c>
      <c r="T853" s="828" t="s">
        <v>6532</v>
      </c>
      <c r="U853" s="828"/>
      <c r="V853" s="828"/>
      <c r="W853" s="828"/>
      <c r="X853" s="828" t="s">
        <v>6533</v>
      </c>
      <c r="Y853" s="825" t="s">
        <v>6534</v>
      </c>
      <c r="Z853" s="830">
        <v>4.4696</v>
      </c>
      <c r="AA853" s="822">
        <f>I853*Z853</f>
        <v>8939.2</v>
      </c>
      <c r="AB853" s="927"/>
      <c r="AC853" s="832" t="s">
        <v>4574</v>
      </c>
      <c r="AD853" s="821" t="s">
        <v>112</v>
      </c>
      <c r="AE853" s="821">
        <f t="shared" si="175"/>
        <v>2000</v>
      </c>
      <c r="AF853" s="1000"/>
      <c r="AG853" s="708"/>
      <c r="AH853" s="833">
        <f t="shared" si="176"/>
        <v>-2000</v>
      </c>
      <c r="AI853" s="824"/>
      <c r="AJ853" s="821"/>
      <c r="AK853" s="822">
        <f>I853</f>
        <v>2000</v>
      </c>
      <c r="AL853" s="822"/>
      <c r="AM853" s="822"/>
      <c r="AN853" s="822">
        <f t="shared" si="170"/>
        <v>2000</v>
      </c>
      <c r="AO853" s="822"/>
      <c r="AP853" s="822"/>
      <c r="AQ853" s="822"/>
      <c r="AR853" s="822"/>
      <c r="AS853" s="822"/>
      <c r="AT853" s="673"/>
      <c r="AU853" s="822"/>
      <c r="AV853" s="822"/>
      <c r="AW853" s="822"/>
      <c r="AX853" s="822"/>
      <c r="AY853" s="822"/>
      <c r="AZ853" s="822"/>
      <c r="BA853" s="822"/>
      <c r="BB853" s="822"/>
      <c r="BC853" s="822"/>
      <c r="BD853" s="822"/>
      <c r="BE853" s="822"/>
      <c r="BF853" s="822"/>
      <c r="BG853" s="822"/>
      <c r="BH853" s="822"/>
      <c r="BI853" s="822"/>
    </row>
    <row r="854" s="667" customFormat="1" ht="31" customHeight="1" spans="1:108">
      <c r="A854" s="859">
        <v>46115</v>
      </c>
      <c r="B854" s="860" t="s">
        <v>2382</v>
      </c>
      <c r="C854" s="708" t="s">
        <v>201</v>
      </c>
      <c r="D854" s="834">
        <v>4500200118</v>
      </c>
      <c r="E854" s="1911" t="s">
        <v>6535</v>
      </c>
      <c r="F854" s="834" t="s">
        <v>3587</v>
      </c>
      <c r="G854" s="846" t="s">
        <v>4215</v>
      </c>
      <c r="H854" s="708" t="s">
        <v>483</v>
      </c>
      <c r="I854" s="881">
        <v>1920</v>
      </c>
      <c r="J854" s="708">
        <v>0</v>
      </c>
      <c r="K854" s="708">
        <v>120</v>
      </c>
      <c r="L854" s="708">
        <f t="shared" si="174"/>
        <v>16</v>
      </c>
      <c r="M854" s="879">
        <v>46282</v>
      </c>
      <c r="N854" s="879">
        <v>46279</v>
      </c>
      <c r="O854" s="860"/>
      <c r="P854" s="861"/>
      <c r="Q854" s="861"/>
      <c r="R854" s="864">
        <v>46197</v>
      </c>
      <c r="S854" s="829" t="s">
        <v>107</v>
      </c>
      <c r="T854" s="829" t="s">
        <v>95</v>
      </c>
      <c r="U854" s="829"/>
      <c r="V854" s="829"/>
      <c r="W854" s="829"/>
      <c r="X854" s="829" t="s">
        <v>636</v>
      </c>
      <c r="Y854" s="862" t="s">
        <v>488</v>
      </c>
      <c r="Z854" s="866">
        <v>1070</v>
      </c>
      <c r="AA854" s="834">
        <f>L854*Z854</f>
        <v>17120</v>
      </c>
      <c r="AB854" s="831"/>
      <c r="AC854" s="836" t="s">
        <v>490</v>
      </c>
      <c r="AD854" s="708" t="s">
        <v>112</v>
      </c>
      <c r="AE854" s="708">
        <f t="shared" si="175"/>
        <v>1920</v>
      </c>
      <c r="AF854" s="899" t="s">
        <v>4109</v>
      </c>
      <c r="AG854" s="899"/>
      <c r="AH854" s="833">
        <f t="shared" si="176"/>
        <v>-1920</v>
      </c>
      <c r="AI854" s="861"/>
      <c r="AJ854" s="899"/>
      <c r="AK854" s="834"/>
      <c r="AL854" s="834"/>
      <c r="AM854" s="834"/>
      <c r="AN854" s="834"/>
      <c r="AO854" s="834"/>
      <c r="AP854" s="834"/>
      <c r="AQ854" s="834">
        <f>I854</f>
        <v>1920</v>
      </c>
      <c r="AR854" s="834">
        <f>I854</f>
        <v>1920</v>
      </c>
      <c r="AS854" s="834">
        <f>I854/6</f>
        <v>320</v>
      </c>
      <c r="AT854" s="834"/>
      <c r="AU854" s="834"/>
      <c r="AV854" s="834"/>
      <c r="AW854" s="834"/>
      <c r="AX854" s="834"/>
      <c r="AY854" s="834"/>
      <c r="AZ854" s="834"/>
      <c r="BA854" s="834"/>
      <c r="BB854" s="834"/>
      <c r="BC854" s="834"/>
      <c r="BD854" s="834"/>
      <c r="BE854" s="834"/>
      <c r="BF854" s="834"/>
      <c r="BG854" s="834"/>
      <c r="BH854" s="834"/>
      <c r="BI854" s="834"/>
      <c r="BJ854" s="659"/>
      <c r="BK854" s="659"/>
      <c r="BL854" s="659"/>
      <c r="BM854" s="659"/>
      <c r="BN854" s="659"/>
      <c r="BO854" s="659"/>
      <c r="BP854" s="659"/>
      <c r="BQ854" s="659"/>
      <c r="BR854" s="659"/>
      <c r="BS854" s="659"/>
      <c r="BT854" s="659"/>
      <c r="BU854" s="659"/>
      <c r="BV854" s="659"/>
      <c r="BW854" s="659"/>
      <c r="BX854" s="659"/>
      <c r="BY854" s="659"/>
      <c r="BZ854" s="659"/>
      <c r="CA854" s="659"/>
      <c r="CB854" s="659"/>
      <c r="CC854" s="659"/>
      <c r="CD854" s="659"/>
      <c r="CE854" s="659"/>
      <c r="CF854" s="659"/>
      <c r="CG854" s="659"/>
      <c r="CH854" s="659"/>
      <c r="CI854" s="659"/>
      <c r="CJ854" s="659"/>
      <c r="CK854" s="659"/>
      <c r="CL854" s="659"/>
      <c r="CM854" s="659"/>
      <c r="CN854" s="659"/>
      <c r="CO854" s="659"/>
      <c r="CP854" s="659"/>
      <c r="CQ854" s="659"/>
      <c r="CR854" s="659"/>
      <c r="CS854" s="666"/>
      <c r="CT854" s="666"/>
      <c r="CU854" s="666"/>
      <c r="CV854" s="666"/>
      <c r="CW854" s="666"/>
      <c r="CX854" s="666"/>
      <c r="CY854" s="666"/>
      <c r="CZ854" s="666"/>
      <c r="DA854" s="666"/>
      <c r="DB854" s="666"/>
      <c r="DC854" s="666"/>
      <c r="DD854" s="666"/>
    </row>
    <row r="855" s="666" customFormat="1" ht="31" customHeight="1" spans="1:108">
      <c r="A855" s="819">
        <v>46218</v>
      </c>
      <c r="B855" s="820" t="s">
        <v>216</v>
      </c>
      <c r="C855" s="821" t="s">
        <v>217</v>
      </c>
      <c r="D855" s="822">
        <v>4500216653</v>
      </c>
      <c r="E855" s="821" t="s">
        <v>6536</v>
      </c>
      <c r="F855" s="822" t="s">
        <v>6537</v>
      </c>
      <c r="G855" s="823" t="s">
        <v>3973</v>
      </c>
      <c r="H855" s="708" t="s">
        <v>3995</v>
      </c>
      <c r="I855" s="824">
        <v>6000</v>
      </c>
      <c r="J855" s="821">
        <v>0</v>
      </c>
      <c r="K855" s="821">
        <v>16</v>
      </c>
      <c r="L855" s="821">
        <f t="shared" si="174"/>
        <v>375</v>
      </c>
      <c r="M855" s="825">
        <v>46282</v>
      </c>
      <c r="N855" s="825">
        <v>46279</v>
      </c>
      <c r="O855" s="820"/>
      <c r="P855" s="824"/>
      <c r="Q855" s="824"/>
      <c r="R855" s="886" t="s">
        <v>3418</v>
      </c>
      <c r="S855" s="828" t="s">
        <v>107</v>
      </c>
      <c r="T855" s="828" t="s">
        <v>3419</v>
      </c>
      <c r="U855" s="828"/>
      <c r="V855" s="829"/>
      <c r="W855" s="828"/>
      <c r="X855" s="828" t="s">
        <v>6167</v>
      </c>
      <c r="Y855" s="825" t="s">
        <v>222</v>
      </c>
      <c r="Z855" s="830">
        <v>4.8121</v>
      </c>
      <c r="AA855" s="822">
        <f t="shared" ref="AA855:AA863" si="177">I855*Z855</f>
        <v>28872.6</v>
      </c>
      <c r="AB855" s="831"/>
      <c r="AC855" s="820" t="s">
        <v>3973</v>
      </c>
      <c r="AD855" s="821" t="s">
        <v>112</v>
      </c>
      <c r="AE855" s="821">
        <f t="shared" si="175"/>
        <v>6000</v>
      </c>
      <c r="AF855" s="821" t="s">
        <v>5125</v>
      </c>
      <c r="AG855" s="708"/>
      <c r="AH855" s="833">
        <f t="shared" si="176"/>
        <v>-6000</v>
      </c>
      <c r="AI855" s="824"/>
      <c r="AJ855" s="821"/>
      <c r="AK855" s="822">
        <f>I855</f>
        <v>6000</v>
      </c>
      <c r="AL855" s="822"/>
      <c r="AM855" s="822"/>
      <c r="AN855" s="822">
        <f>I855</f>
        <v>6000</v>
      </c>
      <c r="AO855" s="822"/>
      <c r="AP855" s="822"/>
      <c r="AQ855" s="822"/>
      <c r="AR855" s="822"/>
      <c r="AS855" s="822"/>
      <c r="AT855" s="822">
        <f>I855/8</f>
        <v>750</v>
      </c>
      <c r="AU855" s="834"/>
      <c r="AV855" s="834"/>
      <c r="AW855" s="834"/>
      <c r="AX855" s="822"/>
      <c r="AY855" s="822"/>
      <c r="AZ855" s="822"/>
      <c r="BA855" s="822"/>
      <c r="BB855" s="822"/>
      <c r="BC855" s="822"/>
      <c r="BD855" s="822"/>
      <c r="BE855" s="822"/>
      <c r="BF855" s="822"/>
      <c r="BG855" s="822"/>
      <c r="BH855" s="822"/>
      <c r="BI855" s="822"/>
      <c r="BJ855" s="835"/>
      <c r="BK855" s="835"/>
      <c r="BL855" s="835"/>
      <c r="BM855" s="835"/>
      <c r="BN855" s="835"/>
      <c r="BO855" s="835"/>
      <c r="BP855" s="835"/>
      <c r="BQ855" s="835"/>
      <c r="BR855" s="835"/>
      <c r="BS855" s="835"/>
      <c r="BT855" s="835"/>
      <c r="BU855" s="835"/>
      <c r="BV855" s="835"/>
      <c r="BW855" s="835"/>
      <c r="BX855" s="835"/>
      <c r="BY855" s="835"/>
      <c r="BZ855" s="835"/>
      <c r="CA855" s="835"/>
      <c r="CB855" s="835"/>
      <c r="CC855" s="835"/>
      <c r="CD855" s="835"/>
      <c r="CE855" s="835"/>
      <c r="CF855" s="835"/>
      <c r="CG855" s="835"/>
      <c r="CH855" s="835"/>
      <c r="CI855" s="835"/>
      <c r="CJ855" s="835"/>
      <c r="CK855" s="835"/>
      <c r="CL855" s="835"/>
      <c r="CM855" s="835"/>
      <c r="CN855" s="835"/>
      <c r="CO855" s="835"/>
      <c r="CP855" s="835"/>
      <c r="CQ855" s="835"/>
      <c r="CR855" s="835"/>
      <c r="CS855" s="835"/>
      <c r="CT855" s="835"/>
      <c r="CU855" s="835"/>
      <c r="CV855" s="835"/>
      <c r="CW855" s="835"/>
      <c r="CX855" s="835"/>
      <c r="CY855" s="835"/>
      <c r="CZ855" s="835"/>
      <c r="DA855" s="835"/>
      <c r="DB855" s="835"/>
      <c r="DC855" s="835"/>
      <c r="DD855" s="835"/>
    </row>
    <row r="856" s="672" customFormat="1" ht="31" customHeight="1" spans="1:108">
      <c r="A856" s="897">
        <v>46232</v>
      </c>
      <c r="B856" s="1022" t="s">
        <v>114</v>
      </c>
      <c r="C856" s="913" t="s">
        <v>115</v>
      </c>
      <c r="D856" s="673">
        <v>4500218110</v>
      </c>
      <c r="E856" s="913" t="s">
        <v>6538</v>
      </c>
      <c r="F856" s="673" t="s">
        <v>6539</v>
      </c>
      <c r="G856" s="1023" t="s">
        <v>3980</v>
      </c>
      <c r="H856" s="708" t="s">
        <v>3978</v>
      </c>
      <c r="I856" s="904">
        <v>16536</v>
      </c>
      <c r="J856" s="913">
        <v>0</v>
      </c>
      <c r="K856" s="913">
        <v>8</v>
      </c>
      <c r="L856" s="913">
        <f t="shared" si="174"/>
        <v>2067</v>
      </c>
      <c r="M856" s="1024">
        <v>46282</v>
      </c>
      <c r="N856" s="1024">
        <f>M856-3</f>
        <v>46279</v>
      </c>
      <c r="O856" s="1022"/>
      <c r="P856" s="904"/>
      <c r="Q856" s="904"/>
      <c r="R856" s="886" t="s">
        <v>3064</v>
      </c>
      <c r="S856" s="848" t="s">
        <v>107</v>
      </c>
      <c r="T856" s="848" t="s">
        <v>3505</v>
      </c>
      <c r="U856" s="848"/>
      <c r="V856" s="1025"/>
      <c r="W856" s="1025"/>
      <c r="X856" s="1025" t="s">
        <v>6540</v>
      </c>
      <c r="Y856" s="1024" t="s">
        <v>123</v>
      </c>
      <c r="Z856" s="1026">
        <v>2.8575</v>
      </c>
      <c r="AA856" s="673">
        <f t="shared" si="177"/>
        <v>47251.62</v>
      </c>
      <c r="AB856" s="1080"/>
      <c r="AC856" s="836" t="s">
        <v>3980</v>
      </c>
      <c r="AD856" s="912" t="s">
        <v>112</v>
      </c>
      <c r="AE856" s="913">
        <f t="shared" si="175"/>
        <v>16536</v>
      </c>
      <c r="AF856" s="913"/>
      <c r="AG856" s="899"/>
      <c r="AH856" s="833">
        <f t="shared" si="176"/>
        <v>-16536</v>
      </c>
      <c r="AI856" s="904"/>
      <c r="AJ856" s="913"/>
      <c r="AK856" s="914">
        <f>I856</f>
        <v>16536</v>
      </c>
      <c r="AL856" s="920"/>
      <c r="AM856" s="920"/>
      <c r="AN856" s="914">
        <f>I856</f>
        <v>16536</v>
      </c>
      <c r="AO856" s="673"/>
      <c r="AP856" s="920"/>
      <c r="AQ856" s="673"/>
      <c r="AR856" s="673"/>
      <c r="AS856" s="673"/>
      <c r="AT856" s="673">
        <f>I856/8</f>
        <v>2067</v>
      </c>
      <c r="BA856" s="673"/>
      <c r="BB856" s="673"/>
      <c r="BC856" s="673"/>
      <c r="BD856" s="673"/>
      <c r="BE856" s="673"/>
      <c r="BF856" s="673"/>
      <c r="BG856" s="673"/>
      <c r="BH856" s="673"/>
      <c r="BI856" s="920"/>
    </row>
    <row r="857" s="667" customFormat="1" ht="31" customHeight="1" spans="1:108">
      <c r="A857" s="819">
        <v>46218</v>
      </c>
      <c r="B857" s="820" t="s">
        <v>3591</v>
      </c>
      <c r="C857" s="821" t="s">
        <v>3372</v>
      </c>
      <c r="D857" s="822">
        <v>4500216642</v>
      </c>
      <c r="E857" s="821"/>
      <c r="F857" s="822" t="s">
        <v>6541</v>
      </c>
      <c r="G857" s="823" t="s">
        <v>3973</v>
      </c>
      <c r="H857" s="708" t="s">
        <v>3995</v>
      </c>
      <c r="I857" s="824">
        <v>1808</v>
      </c>
      <c r="J857" s="821">
        <v>0</v>
      </c>
      <c r="K857" s="821">
        <v>16</v>
      </c>
      <c r="L857" s="821">
        <f t="shared" si="174"/>
        <v>113</v>
      </c>
      <c r="M857" s="1088">
        <v>46283</v>
      </c>
      <c r="N857" s="1088">
        <v>46281</v>
      </c>
      <c r="O857" s="820"/>
      <c r="P857" s="824"/>
      <c r="Q857" s="824"/>
      <c r="R857" s="827">
        <v>46219</v>
      </c>
      <c r="S857" s="828" t="s">
        <v>107</v>
      </c>
      <c r="T857" s="828" t="s">
        <v>6542</v>
      </c>
      <c r="U857" s="828" t="s">
        <v>6543</v>
      </c>
      <c r="V857" s="829"/>
      <c r="W857" s="828"/>
      <c r="X857" s="865" t="s">
        <v>6544</v>
      </c>
      <c r="Y857" s="825" t="s">
        <v>2269</v>
      </c>
      <c r="Z857" s="830">
        <v>4.8226</v>
      </c>
      <c r="AA857" s="822">
        <f t="shared" si="177"/>
        <v>8719.2608</v>
      </c>
      <c r="AB857" s="831"/>
      <c r="AC857" s="832" t="s">
        <v>3630</v>
      </c>
      <c r="AD857" s="953"/>
      <c r="AE857" s="821">
        <f t="shared" si="175"/>
        <v>1808</v>
      </c>
      <c r="AF857" s="821"/>
      <c r="AG857" s="708"/>
      <c r="AH857" s="833">
        <f t="shared" si="176"/>
        <v>-1808</v>
      </c>
      <c r="AI857" s="824"/>
      <c r="AJ857" s="821"/>
      <c r="AK857" s="822"/>
      <c r="AL857" s="822"/>
      <c r="AM857" s="822">
        <f>I857</f>
        <v>1808</v>
      </c>
      <c r="AN857" s="822"/>
      <c r="AO857" s="822">
        <f>I857</f>
        <v>1808</v>
      </c>
      <c r="AP857" s="822"/>
      <c r="AQ857" s="822"/>
      <c r="AR857" s="822"/>
      <c r="AS857" s="822"/>
      <c r="AT857" s="822"/>
      <c r="AU857" s="834"/>
      <c r="AV857" s="834"/>
      <c r="AW857" s="834">
        <f>I857/8</f>
        <v>226</v>
      </c>
      <c r="AX857" s="822"/>
      <c r="AY857" s="822"/>
      <c r="AZ857" s="822"/>
      <c r="BA857" s="822"/>
      <c r="BB857" s="822"/>
      <c r="BC857" s="822"/>
      <c r="BD857" s="822"/>
      <c r="BE857" s="822"/>
      <c r="BF857" s="822"/>
      <c r="BG857" s="822"/>
      <c r="BH857" s="822"/>
      <c r="BI857" s="822"/>
      <c r="BJ857" s="835"/>
      <c r="BK857" s="835"/>
      <c r="BL857" s="835"/>
      <c r="BM857" s="835"/>
      <c r="BN857" s="835"/>
      <c r="BO857" s="835"/>
      <c r="BP857" s="835"/>
      <c r="BQ857" s="835"/>
      <c r="BR857" s="835"/>
      <c r="BS857" s="835"/>
      <c r="BT857" s="835"/>
      <c r="BU857" s="835"/>
      <c r="BV857" s="835"/>
      <c r="BW857" s="835"/>
      <c r="BX857" s="835"/>
      <c r="BY857" s="835"/>
      <c r="BZ857" s="835"/>
      <c r="CA857" s="835"/>
      <c r="CB857" s="835"/>
      <c r="CC857" s="835"/>
      <c r="CD857" s="835"/>
      <c r="CE857" s="835"/>
      <c r="CF857" s="835"/>
      <c r="CG857" s="835"/>
      <c r="CH857" s="835"/>
      <c r="CI857" s="835"/>
      <c r="CJ857" s="835"/>
      <c r="CK857" s="835"/>
      <c r="CL857" s="835"/>
      <c r="CM857" s="835"/>
      <c r="CN857" s="835"/>
      <c r="CO857" s="835"/>
      <c r="CP857" s="835"/>
      <c r="CQ857" s="835"/>
      <c r="CR857" s="835"/>
      <c r="CS857" s="835"/>
      <c r="CT857" s="835"/>
      <c r="CU857" s="835"/>
      <c r="CV857" s="835"/>
      <c r="CW857" s="835"/>
      <c r="CX857" s="835"/>
      <c r="CY857" s="835"/>
      <c r="CZ857" s="835"/>
      <c r="DA857" s="835"/>
      <c r="DB857" s="835"/>
      <c r="DC857" s="835"/>
      <c r="DD857" s="835"/>
    </row>
    <row r="858" s="672" customFormat="1" ht="31" customHeight="1" spans="1:108">
      <c r="A858" s="897">
        <v>46218</v>
      </c>
      <c r="B858" s="1022" t="s">
        <v>3597</v>
      </c>
      <c r="C858" s="913" t="s">
        <v>3379</v>
      </c>
      <c r="D858" s="673">
        <v>4500216640</v>
      </c>
      <c r="E858" s="913"/>
      <c r="F858" s="1089" t="s">
        <v>6545</v>
      </c>
      <c r="G858" s="1090" t="s">
        <v>6546</v>
      </c>
      <c r="H858" s="708" t="s">
        <v>3995</v>
      </c>
      <c r="I858" s="904">
        <v>1808</v>
      </c>
      <c r="J858" s="913">
        <v>0</v>
      </c>
      <c r="K858" s="913">
        <v>16</v>
      </c>
      <c r="L858" s="913">
        <f t="shared" si="174"/>
        <v>113</v>
      </c>
      <c r="M858" s="1091">
        <v>46283</v>
      </c>
      <c r="N858" s="1091">
        <v>46281</v>
      </c>
      <c r="O858" s="1022"/>
      <c r="P858" s="904"/>
      <c r="Q858" s="904"/>
      <c r="R858" s="886">
        <v>46219</v>
      </c>
      <c r="S858" s="848" t="s">
        <v>107</v>
      </c>
      <c r="T858" s="848" t="s">
        <v>6542</v>
      </c>
      <c r="U858" s="848" t="s">
        <v>6543</v>
      </c>
      <c r="V858" s="906"/>
      <c r="W858" s="1025"/>
      <c r="X858" s="1028" t="s">
        <v>6547</v>
      </c>
      <c r="Y858" s="1024" t="s">
        <v>2269</v>
      </c>
      <c r="Z858" s="1026">
        <v>4.8226</v>
      </c>
      <c r="AA858" s="673">
        <f t="shared" si="177"/>
        <v>8719.2608</v>
      </c>
      <c r="AB858" s="910"/>
      <c r="AC858" s="1023" t="s">
        <v>6546</v>
      </c>
      <c r="AD858" s="912" t="s">
        <v>3804</v>
      </c>
      <c r="AE858" s="913">
        <f t="shared" si="175"/>
        <v>1808</v>
      </c>
      <c r="AF858" s="913"/>
      <c r="AG858" s="899"/>
      <c r="AH858" s="833">
        <f t="shared" si="176"/>
        <v>-1808</v>
      </c>
      <c r="AI858" s="904"/>
      <c r="AJ858" s="913"/>
      <c r="AK858" s="920"/>
      <c r="AL858" s="920"/>
      <c r="AM858" s="920">
        <f>I858</f>
        <v>1808</v>
      </c>
      <c r="AN858" s="920"/>
      <c r="AO858" s="673">
        <f>I858</f>
        <v>1808</v>
      </c>
      <c r="AP858" s="920"/>
      <c r="AQ858" s="673"/>
      <c r="AR858" s="673"/>
      <c r="AS858" s="673"/>
      <c r="AT858" s="673"/>
      <c r="AW858" s="672">
        <f>I858/8</f>
        <v>226</v>
      </c>
      <c r="AX858" s="673"/>
      <c r="AY858" s="673"/>
      <c r="AZ858" s="673"/>
      <c r="BA858" s="673"/>
      <c r="BB858" s="673"/>
      <c r="BC858" s="673"/>
      <c r="BD858" s="673"/>
      <c r="BE858" s="673"/>
      <c r="BF858" s="673"/>
      <c r="BG858" s="673"/>
      <c r="BH858" s="673"/>
      <c r="BI858" s="920"/>
    </row>
    <row r="859" s="672" customFormat="1" ht="31" customHeight="1" spans="1:108">
      <c r="A859" s="897">
        <v>46218</v>
      </c>
      <c r="B859" s="1022" t="s">
        <v>3383</v>
      </c>
      <c r="C859" s="913" t="s">
        <v>3384</v>
      </c>
      <c r="D859" s="673">
        <v>4500216614</v>
      </c>
      <c r="E859" s="913"/>
      <c r="F859" s="1089" t="s">
        <v>6548</v>
      </c>
      <c r="G859" s="1090" t="s">
        <v>6546</v>
      </c>
      <c r="H859" s="708" t="s">
        <v>3995</v>
      </c>
      <c r="I859" s="904">
        <v>5008</v>
      </c>
      <c r="J859" s="913">
        <v>0</v>
      </c>
      <c r="K859" s="913">
        <v>16</v>
      </c>
      <c r="L859" s="913">
        <f t="shared" si="174"/>
        <v>313</v>
      </c>
      <c r="M859" s="1091">
        <v>46283</v>
      </c>
      <c r="N859" s="1091">
        <v>46281</v>
      </c>
      <c r="O859" s="1022"/>
      <c r="P859" s="904"/>
      <c r="Q859" s="904"/>
      <c r="R859" s="886">
        <v>46219</v>
      </c>
      <c r="S859" s="848" t="s">
        <v>107</v>
      </c>
      <c r="T859" s="848" t="s">
        <v>6542</v>
      </c>
      <c r="U859" s="848" t="s">
        <v>6549</v>
      </c>
      <c r="V859" s="906"/>
      <c r="W859" s="1025"/>
      <c r="X859" s="1028" t="s">
        <v>6550</v>
      </c>
      <c r="Y859" s="1024" t="s">
        <v>2269</v>
      </c>
      <c r="Z859" s="1026">
        <v>4.8121</v>
      </c>
      <c r="AA859" s="673">
        <f t="shared" si="177"/>
        <v>24098.9968</v>
      </c>
      <c r="AB859" s="910"/>
      <c r="AC859" s="1023" t="s">
        <v>6546</v>
      </c>
      <c r="AD859" s="912" t="s">
        <v>3804</v>
      </c>
      <c r="AE859" s="913">
        <f t="shared" si="175"/>
        <v>5008</v>
      </c>
      <c r="AF859" s="913"/>
      <c r="AG859" s="899"/>
      <c r="AH859" s="833">
        <f t="shared" si="176"/>
        <v>-5008</v>
      </c>
      <c r="AI859" s="904"/>
      <c r="AJ859" s="913"/>
      <c r="AK859" s="920"/>
      <c r="AL859" s="920"/>
      <c r="AM859" s="920">
        <f>I859</f>
        <v>5008</v>
      </c>
      <c r="AN859" s="920"/>
      <c r="AO859" s="673">
        <f>I859</f>
        <v>5008</v>
      </c>
      <c r="AP859" s="920"/>
      <c r="AQ859" s="673"/>
      <c r="AR859" s="673"/>
      <c r="AS859" s="673"/>
      <c r="AT859" s="673"/>
      <c r="AW859" s="672">
        <f>I859/8</f>
        <v>626</v>
      </c>
      <c r="AX859" s="673"/>
      <c r="AY859" s="673"/>
      <c r="AZ859" s="673"/>
      <c r="BA859" s="673"/>
      <c r="BB859" s="673"/>
      <c r="BC859" s="673"/>
      <c r="BD859" s="673"/>
      <c r="BE859" s="673"/>
      <c r="BF859" s="673"/>
      <c r="BG859" s="673"/>
      <c r="BH859" s="673"/>
      <c r="BI859" s="920"/>
    </row>
    <row r="860" s="670" customFormat="1" ht="31" customHeight="1" spans="1:108">
      <c r="A860" s="951">
        <v>46232</v>
      </c>
      <c r="B860" s="952" t="s">
        <v>114</v>
      </c>
      <c r="C860" s="953" t="s">
        <v>115</v>
      </c>
      <c r="D860" s="669">
        <v>4500218115</v>
      </c>
      <c r="E860" s="953" t="s">
        <v>6551</v>
      </c>
      <c r="F860" s="669" t="s">
        <v>6552</v>
      </c>
      <c r="G860" s="955" t="s">
        <v>3980</v>
      </c>
      <c r="H860" s="956" t="s">
        <v>3978</v>
      </c>
      <c r="I860" s="957">
        <v>33000</v>
      </c>
      <c r="J860" s="953">
        <v>0</v>
      </c>
      <c r="K860" s="953">
        <v>8</v>
      </c>
      <c r="L860" s="953">
        <f t="shared" ref="L850:L866" si="178">I860/K860</f>
        <v>4125</v>
      </c>
      <c r="M860" s="958">
        <v>46283</v>
      </c>
      <c r="N860" s="958">
        <v>46279</v>
      </c>
      <c r="O860" s="952"/>
      <c r="P860" s="957"/>
      <c r="Q860" s="957"/>
      <c r="R860" s="886">
        <v>46248</v>
      </c>
      <c r="S860" s="848" t="s">
        <v>107</v>
      </c>
      <c r="T860" s="828" t="s">
        <v>3505</v>
      </c>
      <c r="U860" s="848"/>
      <c r="V860" s="828"/>
      <c r="W860" s="961"/>
      <c r="X860" s="961" t="s">
        <v>6553</v>
      </c>
      <c r="Y860" s="958" t="s">
        <v>123</v>
      </c>
      <c r="Z860" s="962">
        <v>2.8426</v>
      </c>
      <c r="AA860" s="669">
        <f t="shared" si="177"/>
        <v>93805.8</v>
      </c>
      <c r="AB860" s="927"/>
      <c r="AC860" s="836" t="s">
        <v>3980</v>
      </c>
      <c r="AD860" s="821" t="s">
        <v>112</v>
      </c>
      <c r="AE860" s="953">
        <f t="shared" si="175"/>
        <v>33000</v>
      </c>
      <c r="AF860" s="913"/>
      <c r="AG860" s="899"/>
      <c r="AH860" s="833">
        <f t="shared" ref="AH850:AH866" si="179">AG860-I860</f>
        <v>-33000</v>
      </c>
      <c r="AI860" s="957"/>
      <c r="AJ860" s="913"/>
      <c r="AK860" s="834">
        <f>I860</f>
        <v>33000</v>
      </c>
      <c r="AL860" s="822"/>
      <c r="AM860" s="822"/>
      <c r="AN860" s="834">
        <f t="shared" ref="AN858:AN869" si="180">I860</f>
        <v>33000</v>
      </c>
      <c r="AO860" s="669"/>
      <c r="AP860" s="822"/>
      <c r="AQ860" s="669"/>
      <c r="AR860" s="669"/>
      <c r="AS860" s="669"/>
      <c r="AT860" s="673">
        <f>I860/8</f>
        <v>4125</v>
      </c>
      <c r="AV860" s="834"/>
      <c r="AW860" s="834"/>
      <c r="AX860" s="834"/>
      <c r="AY860" s="834"/>
      <c r="AZ860" s="834"/>
      <c r="BA860" s="669"/>
      <c r="BB860" s="669"/>
      <c r="BC860" s="669"/>
      <c r="BD860" s="669"/>
      <c r="BE860" s="669"/>
      <c r="BF860" s="669"/>
      <c r="BG860" s="669"/>
      <c r="BH860" s="669"/>
      <c r="BI860" s="822"/>
    </row>
    <row r="861" s="670" customFormat="1" ht="31" customHeight="1" spans="1:108">
      <c r="A861" s="951">
        <v>46232</v>
      </c>
      <c r="B861" s="952" t="s">
        <v>114</v>
      </c>
      <c r="C861" s="953" t="s">
        <v>115</v>
      </c>
      <c r="D861" s="669">
        <v>4500218116</v>
      </c>
      <c r="E861" s="953" t="s">
        <v>6554</v>
      </c>
      <c r="F861" s="669" t="s">
        <v>6555</v>
      </c>
      <c r="G861" s="955" t="s">
        <v>3980</v>
      </c>
      <c r="H861" s="956" t="s">
        <v>3978</v>
      </c>
      <c r="I861" s="957">
        <v>19000</v>
      </c>
      <c r="J861" s="953">
        <v>0</v>
      </c>
      <c r="K861" s="953">
        <v>8</v>
      </c>
      <c r="L861" s="953">
        <f t="shared" si="178"/>
        <v>2375</v>
      </c>
      <c r="M861" s="958">
        <v>46283</v>
      </c>
      <c r="N861" s="958">
        <v>46279</v>
      </c>
      <c r="O861" s="952"/>
      <c r="P861" s="957"/>
      <c r="Q861" s="957"/>
      <c r="R861" s="886">
        <v>46248</v>
      </c>
      <c r="S861" s="848" t="s">
        <v>107</v>
      </c>
      <c r="T861" s="828" t="s">
        <v>3505</v>
      </c>
      <c r="U861" s="848"/>
      <c r="V861" s="828"/>
      <c r="W861" s="961"/>
      <c r="X861" s="961" t="s">
        <v>6556</v>
      </c>
      <c r="Y861" s="958" t="s">
        <v>123</v>
      </c>
      <c r="Z861" s="962">
        <v>2.8575</v>
      </c>
      <c r="AA861" s="669">
        <f t="shared" si="177"/>
        <v>54292.5</v>
      </c>
      <c r="AB861" s="927"/>
      <c r="AC861" s="836" t="s">
        <v>3980</v>
      </c>
      <c r="AD861" s="821" t="s">
        <v>112</v>
      </c>
      <c r="AE861" s="953">
        <f t="shared" si="175"/>
        <v>19000</v>
      </c>
      <c r="AF861" s="913"/>
      <c r="AG861" s="899"/>
      <c r="AH861" s="833">
        <f t="shared" si="179"/>
        <v>-19000</v>
      </c>
      <c r="AI861" s="957"/>
      <c r="AJ861" s="913"/>
      <c r="AK861" s="834">
        <f>I861</f>
        <v>19000</v>
      </c>
      <c r="AL861" s="822"/>
      <c r="AM861" s="822"/>
      <c r="AN861" s="834">
        <f t="shared" si="180"/>
        <v>19000</v>
      </c>
      <c r="AO861" s="669"/>
      <c r="AP861" s="822"/>
      <c r="AQ861" s="669"/>
      <c r="AR861" s="669"/>
      <c r="AS861" s="669"/>
      <c r="AT861" s="673">
        <f>I861/8</f>
        <v>2375</v>
      </c>
      <c r="AV861" s="834"/>
      <c r="AW861" s="834"/>
      <c r="AX861" s="834"/>
      <c r="AY861" s="834"/>
      <c r="AZ861" s="834"/>
      <c r="BA861" s="669"/>
      <c r="BB861" s="669"/>
      <c r="BC861" s="669"/>
      <c r="BD861" s="669"/>
      <c r="BE861" s="669"/>
      <c r="BF861" s="669"/>
      <c r="BG861" s="669"/>
      <c r="BH861" s="669"/>
      <c r="BI861" s="822"/>
    </row>
    <row r="862" s="670" customFormat="1" ht="31" customHeight="1" spans="1:108">
      <c r="A862" s="951">
        <v>46218</v>
      </c>
      <c r="B862" s="952" t="s">
        <v>114</v>
      </c>
      <c r="C862" s="953" t="s">
        <v>115</v>
      </c>
      <c r="D862" s="669">
        <v>4500216605</v>
      </c>
      <c r="E862" s="965" t="s">
        <v>6557</v>
      </c>
      <c r="F862" s="669" t="s">
        <v>6558</v>
      </c>
      <c r="G862" s="955" t="s">
        <v>3980</v>
      </c>
      <c r="H862" s="956" t="s">
        <v>3978</v>
      </c>
      <c r="I862" s="957">
        <v>18184</v>
      </c>
      <c r="J862" s="953">
        <v>0</v>
      </c>
      <c r="K862" s="953">
        <v>8</v>
      </c>
      <c r="L862" s="953">
        <f t="shared" si="178"/>
        <v>2273</v>
      </c>
      <c r="M862" s="958">
        <v>46283</v>
      </c>
      <c r="N862" s="958">
        <v>46279</v>
      </c>
      <c r="O862" s="952"/>
      <c r="P862" s="957"/>
      <c r="Q862" s="957"/>
      <c r="R862" s="886" t="s">
        <v>3064</v>
      </c>
      <c r="S862" s="848" t="s">
        <v>107</v>
      </c>
      <c r="T862" s="828" t="s">
        <v>3505</v>
      </c>
      <c r="U862" s="848"/>
      <c r="V862" s="829"/>
      <c r="W862" s="961"/>
      <c r="X862" s="961" t="s">
        <v>6158</v>
      </c>
      <c r="Y862" s="958" t="s">
        <v>123</v>
      </c>
      <c r="Z862" s="962">
        <v>2.8575</v>
      </c>
      <c r="AA862" s="669">
        <f t="shared" si="177"/>
        <v>51960.78</v>
      </c>
      <c r="AB862" s="831"/>
      <c r="AC862" s="895" t="s">
        <v>3980</v>
      </c>
      <c r="AD862" s="821" t="s">
        <v>112</v>
      </c>
      <c r="AE862" s="953">
        <f t="shared" si="175"/>
        <v>18184</v>
      </c>
      <c r="AF862" s="913" t="s">
        <v>5125</v>
      </c>
      <c r="AG862" s="899"/>
      <c r="AH862" s="833">
        <f t="shared" si="179"/>
        <v>-18184</v>
      </c>
      <c r="AI862" s="957"/>
      <c r="AJ862" s="913"/>
      <c r="AK862" s="822">
        <f>I862</f>
        <v>18184</v>
      </c>
      <c r="AL862" s="822"/>
      <c r="AM862" s="822"/>
      <c r="AN862" s="822">
        <f t="shared" si="180"/>
        <v>18184</v>
      </c>
      <c r="AO862" s="669"/>
      <c r="AP862" s="822"/>
      <c r="AQ862" s="669"/>
      <c r="AR862" s="669"/>
      <c r="AS862" s="669"/>
      <c r="AT862" s="673">
        <f>I862/8</f>
        <v>2273</v>
      </c>
      <c r="AV862" s="834"/>
      <c r="AW862" s="834"/>
      <c r="AX862" s="822"/>
      <c r="AY862" s="822"/>
      <c r="AZ862" s="822"/>
      <c r="BA862" s="669"/>
      <c r="BB862" s="669"/>
      <c r="BC862" s="669"/>
      <c r="BD862" s="669"/>
      <c r="BE862" s="669"/>
      <c r="BF862" s="669"/>
      <c r="BG862" s="669"/>
      <c r="BH862" s="669"/>
      <c r="BI862" s="822"/>
    </row>
    <row r="863" s="672" customFormat="1" ht="31" customHeight="1" spans="1:108">
      <c r="A863" s="897">
        <v>46219</v>
      </c>
      <c r="B863" s="1022" t="s">
        <v>1654</v>
      </c>
      <c r="C863" s="913" t="s">
        <v>1655</v>
      </c>
      <c r="D863" s="673">
        <v>4500216739</v>
      </c>
      <c r="E863" s="913" t="s">
        <v>3623</v>
      </c>
      <c r="F863" s="673" t="s">
        <v>6559</v>
      </c>
      <c r="G863" s="1023" t="s">
        <v>3973</v>
      </c>
      <c r="H863" s="899" t="s">
        <v>3995</v>
      </c>
      <c r="I863" s="904">
        <v>2000</v>
      </c>
      <c r="J863" s="913">
        <v>0</v>
      </c>
      <c r="K863" s="913">
        <v>16</v>
      </c>
      <c r="L863" s="913">
        <f t="shared" si="178"/>
        <v>125</v>
      </c>
      <c r="M863" s="1024">
        <v>46283</v>
      </c>
      <c r="N863" s="1024">
        <v>46279</v>
      </c>
      <c r="O863" s="1022"/>
      <c r="P863" s="904"/>
      <c r="Q863" s="904"/>
      <c r="R863" s="886">
        <v>46251</v>
      </c>
      <c r="S863" s="848" t="s">
        <v>107</v>
      </c>
      <c r="T863" s="848" t="s">
        <v>3625</v>
      </c>
      <c r="U863" s="848"/>
      <c r="V863" s="1025" t="s">
        <v>3626</v>
      </c>
      <c r="W863" s="1025"/>
      <c r="X863" s="1025" t="s">
        <v>3627</v>
      </c>
      <c r="Y863" s="1024" t="s">
        <v>295</v>
      </c>
      <c r="Z863" s="1026">
        <v>4.8226</v>
      </c>
      <c r="AA863" s="673">
        <f t="shared" si="177"/>
        <v>9645.2</v>
      </c>
      <c r="AB863" s="910"/>
      <c r="AC863" s="887" t="s">
        <v>4108</v>
      </c>
      <c r="AD863" s="912" t="s">
        <v>112</v>
      </c>
      <c r="AE863" s="913">
        <f t="shared" si="175"/>
        <v>2000</v>
      </c>
      <c r="AF863" s="913"/>
      <c r="AG863" s="899"/>
      <c r="AH863" s="833">
        <f t="shared" si="179"/>
        <v>-2000</v>
      </c>
      <c r="AI863" s="904"/>
      <c r="AJ863" s="913"/>
      <c r="AK863" s="920"/>
      <c r="AL863" s="1092">
        <f>I863</f>
        <v>2000</v>
      </c>
      <c r="AM863" s="920"/>
      <c r="AN863" s="920">
        <f t="shared" si="180"/>
        <v>2000</v>
      </c>
      <c r="AO863" s="673"/>
      <c r="AP863" s="920"/>
      <c r="AQ863" s="673"/>
      <c r="AR863" s="673"/>
      <c r="AS863" s="673"/>
      <c r="AT863" s="673"/>
      <c r="AU863" s="1059">
        <f>I863/8</f>
        <v>250</v>
      </c>
      <c r="AX863" s="673"/>
      <c r="AY863" s="673"/>
      <c r="AZ863" s="673"/>
      <c r="BA863" s="673"/>
      <c r="BB863" s="673"/>
      <c r="BC863" s="673"/>
      <c r="BD863" s="673"/>
      <c r="BE863" s="673"/>
      <c r="BF863" s="673"/>
      <c r="BG863" s="673"/>
      <c r="BH863" s="673"/>
      <c r="BI863" s="920"/>
    </row>
    <row r="864" s="672" customFormat="1" ht="31" customHeight="1" spans="1:108">
      <c r="A864" s="897">
        <v>46195</v>
      </c>
      <c r="B864" s="1022" t="s">
        <v>1567</v>
      </c>
      <c r="C864" s="913" t="s">
        <v>115</v>
      </c>
      <c r="D864" s="673" t="s">
        <v>6463</v>
      </c>
      <c r="E864" s="913" t="s">
        <v>1569</v>
      </c>
      <c r="F864" s="673" t="s">
        <v>6560</v>
      </c>
      <c r="G864" s="1023" t="s">
        <v>4414</v>
      </c>
      <c r="H864" s="821" t="s">
        <v>3978</v>
      </c>
      <c r="I864" s="904">
        <v>50000</v>
      </c>
      <c r="J864" s="913">
        <v>0</v>
      </c>
      <c r="K864" s="913">
        <v>8</v>
      </c>
      <c r="L864" s="913">
        <f t="shared" si="178"/>
        <v>6250</v>
      </c>
      <c r="M864" s="1024">
        <v>46283</v>
      </c>
      <c r="N864" s="1024">
        <v>46279</v>
      </c>
      <c r="O864" s="1022"/>
      <c r="P864" s="904"/>
      <c r="Q864" s="904"/>
      <c r="R864" s="886" t="s">
        <v>6465</v>
      </c>
      <c r="S864" s="848" t="s">
        <v>107</v>
      </c>
      <c r="T864" s="848" t="s">
        <v>2962</v>
      </c>
      <c r="U864" s="848"/>
      <c r="V864" s="1025"/>
      <c r="W864" s="1025"/>
      <c r="X864" s="1025" t="s">
        <v>6466</v>
      </c>
      <c r="Y864" s="1024" t="s">
        <v>1569</v>
      </c>
      <c r="Z864" s="1026"/>
      <c r="AA864" s="673"/>
      <c r="AB864" s="910"/>
      <c r="AC864" s="887" t="s">
        <v>4194</v>
      </c>
      <c r="AD864" s="912" t="s">
        <v>99</v>
      </c>
      <c r="AE864" s="913">
        <f t="shared" si="175"/>
        <v>50000</v>
      </c>
      <c r="AF864" s="913" t="s">
        <v>5125</v>
      </c>
      <c r="AG864" s="913"/>
      <c r="AH864" s="833">
        <f t="shared" si="179"/>
        <v>-50000</v>
      </c>
      <c r="AI864" s="904"/>
      <c r="AJ864" s="913"/>
      <c r="AK864" s="914">
        <f>I864</f>
        <v>50000</v>
      </c>
      <c r="AL864" s="920"/>
      <c r="AM864" s="920"/>
      <c r="AN864" s="914">
        <f t="shared" si="180"/>
        <v>50000</v>
      </c>
      <c r="AO864" s="673"/>
      <c r="AP864" s="920"/>
      <c r="AQ864" s="673"/>
      <c r="AR864" s="673"/>
      <c r="AS864" s="673"/>
      <c r="AT864" s="673">
        <f>I864/8</f>
        <v>6250</v>
      </c>
      <c r="AU864" s="673"/>
      <c r="AV864" s="673"/>
      <c r="AW864" s="673"/>
      <c r="AX864" s="673"/>
      <c r="AY864" s="673"/>
      <c r="AZ864" s="673"/>
      <c r="BA864" s="673"/>
      <c r="BB864" s="673"/>
      <c r="BC864" s="673"/>
      <c r="BD864" s="673"/>
      <c r="BE864" s="673"/>
      <c r="BF864" s="673"/>
      <c r="BG864" s="673"/>
      <c r="BH864" s="673"/>
      <c r="BI864" s="920"/>
      <c r="BJ864" s="673"/>
      <c r="BK864" s="673"/>
      <c r="BL864" s="673"/>
      <c r="BM864" s="673"/>
      <c r="BN864" s="673"/>
      <c r="BO864" s="673"/>
      <c r="BP864" s="673"/>
      <c r="BQ864" s="673"/>
      <c r="BR864" s="673"/>
      <c r="BS864" s="673"/>
      <c r="BT864" s="673"/>
      <c r="BU864" s="673"/>
      <c r="BV864" s="673"/>
      <c r="BW864" s="673"/>
      <c r="BX864" s="673"/>
      <c r="BY864" s="673"/>
      <c r="BZ864" s="673"/>
      <c r="CA864" s="673"/>
      <c r="CB864" s="673"/>
      <c r="CC864" s="673"/>
      <c r="CD864" s="673"/>
      <c r="CE864" s="673"/>
      <c r="CF864" s="673"/>
      <c r="CG864" s="673"/>
      <c r="CH864" s="673"/>
      <c r="CI864" s="673"/>
      <c r="CJ864" s="673"/>
      <c r="CK864" s="673"/>
      <c r="CL864" s="673"/>
      <c r="CM864" s="673"/>
      <c r="CN864" s="673"/>
      <c r="CO864" s="673"/>
      <c r="CP864" s="673"/>
      <c r="CQ864" s="673"/>
      <c r="CR864" s="673"/>
      <c r="CS864" s="673"/>
      <c r="CT864" s="673"/>
      <c r="CU864" s="673"/>
      <c r="CV864" s="673"/>
      <c r="CW864" s="673"/>
      <c r="CX864" s="673"/>
      <c r="CY864" s="673"/>
      <c r="CZ864" s="673"/>
      <c r="DA864" s="673"/>
      <c r="DB864" s="673"/>
      <c r="DC864" s="673"/>
      <c r="DD864" s="673"/>
    </row>
    <row r="865" s="667" customFormat="1" ht="31" customHeight="1" spans="1:108">
      <c r="A865" s="819">
        <v>46220</v>
      </c>
      <c r="B865" s="820" t="s">
        <v>3609</v>
      </c>
      <c r="C865" s="821" t="s">
        <v>1533</v>
      </c>
      <c r="D865" s="822">
        <v>4500216877</v>
      </c>
      <c r="E865" s="821" t="s">
        <v>3610</v>
      </c>
      <c r="F865" s="822" t="s">
        <v>6561</v>
      </c>
      <c r="G865" s="823" t="s">
        <v>3973</v>
      </c>
      <c r="H865" s="708" t="s">
        <v>3995</v>
      </c>
      <c r="I865" s="824">
        <v>1920</v>
      </c>
      <c r="J865" s="821">
        <v>0</v>
      </c>
      <c r="K865" s="821">
        <v>16</v>
      </c>
      <c r="L865" s="821">
        <f t="shared" si="178"/>
        <v>120</v>
      </c>
      <c r="M865" s="825">
        <v>46283</v>
      </c>
      <c r="N865" s="825">
        <v>46279</v>
      </c>
      <c r="O865" s="820"/>
      <c r="P865" s="824"/>
      <c r="Q865" s="824"/>
      <c r="R865" s="827" t="s">
        <v>3064</v>
      </c>
      <c r="S865" s="828" t="s">
        <v>107</v>
      </c>
      <c r="T865" s="828" t="s">
        <v>3612</v>
      </c>
      <c r="U865" s="828"/>
      <c r="V865" s="828"/>
      <c r="W865" s="828"/>
      <c r="X865" s="828" t="s">
        <v>6562</v>
      </c>
      <c r="Y865" s="825" t="s">
        <v>3614</v>
      </c>
      <c r="Z865" s="830">
        <v>4.8226</v>
      </c>
      <c r="AA865" s="822">
        <f>I865*Z865</f>
        <v>9259.392</v>
      </c>
      <c r="AB865" s="831"/>
      <c r="AC865" s="887" t="s">
        <v>4108</v>
      </c>
      <c r="AD865" s="821" t="s">
        <v>112</v>
      </c>
      <c r="AE865" s="821">
        <f t="shared" si="175"/>
        <v>1920</v>
      </c>
      <c r="AF865" s="1000"/>
      <c r="AG865" s="821"/>
      <c r="AH865" s="833">
        <f t="shared" si="179"/>
        <v>-1920</v>
      </c>
      <c r="AI865" s="824"/>
      <c r="AJ865" s="821"/>
      <c r="AK865" s="822"/>
      <c r="AL865" s="925">
        <f>I865</f>
        <v>1920</v>
      </c>
      <c r="AM865" s="822"/>
      <c r="AN865" s="822">
        <f t="shared" si="180"/>
        <v>1920</v>
      </c>
      <c r="AO865" s="822"/>
      <c r="AP865" s="822"/>
      <c r="AQ865" s="822"/>
      <c r="AR865" s="822"/>
      <c r="AS865" s="822"/>
      <c r="AT865" s="822"/>
      <c r="AU865" s="868">
        <f>I865/8</f>
        <v>240</v>
      </c>
      <c r="AV865" s="822"/>
      <c r="AW865" s="822"/>
      <c r="AX865" s="822"/>
      <c r="AY865" s="822"/>
      <c r="AZ865" s="822"/>
      <c r="BA865" s="822"/>
      <c r="BB865" s="822"/>
      <c r="BC865" s="822"/>
      <c r="BD865" s="822"/>
      <c r="BE865" s="822"/>
      <c r="BF865" s="822"/>
      <c r="BG865" s="822"/>
      <c r="BH865" s="822"/>
      <c r="BI865" s="822"/>
      <c r="BJ865" s="892"/>
      <c r="BK865" s="892"/>
      <c r="BL865" s="892"/>
      <c r="BM865" s="892"/>
      <c r="BN865" s="892"/>
      <c r="BO865" s="892"/>
      <c r="BP865" s="892"/>
      <c r="BQ865" s="892"/>
      <c r="BR865" s="892"/>
      <c r="BS865" s="892"/>
      <c r="BT865" s="892"/>
      <c r="BU865" s="892"/>
      <c r="BV865" s="892"/>
      <c r="BW865" s="892"/>
      <c r="BX865" s="892"/>
      <c r="BY865" s="892"/>
      <c r="BZ865" s="892"/>
      <c r="CA865" s="892"/>
      <c r="CB865" s="892"/>
      <c r="CC865" s="892"/>
      <c r="CD865" s="892"/>
      <c r="CE865" s="892"/>
      <c r="CF865" s="892"/>
      <c r="CG865" s="892"/>
      <c r="CH865" s="892"/>
      <c r="CI865" s="892"/>
      <c r="CJ865" s="892"/>
      <c r="CK865" s="892"/>
      <c r="CL865" s="892"/>
      <c r="CM865" s="892"/>
      <c r="CN865" s="892"/>
      <c r="CO865" s="892"/>
      <c r="CP865" s="892"/>
      <c r="CQ865" s="892"/>
      <c r="CR865" s="892"/>
      <c r="CS865" s="892"/>
      <c r="CT865" s="892"/>
      <c r="CU865" s="892"/>
      <c r="CV865" s="892"/>
      <c r="CW865" s="892"/>
      <c r="CX865" s="892"/>
      <c r="CY865" s="892"/>
      <c r="CZ865" s="892"/>
      <c r="DA865" s="892"/>
      <c r="DB865" s="892"/>
      <c r="DC865" s="892"/>
      <c r="DD865" s="892"/>
    </row>
    <row r="866" s="673" customFormat="1" ht="31" customHeight="1" spans="1:108">
      <c r="A866" s="897">
        <v>46220</v>
      </c>
      <c r="B866" s="1022" t="s">
        <v>3609</v>
      </c>
      <c r="C866" s="913" t="s">
        <v>1533</v>
      </c>
      <c r="D866" s="673">
        <v>4500216898</v>
      </c>
      <c r="E866" s="913" t="s">
        <v>3615</v>
      </c>
      <c r="F866" s="673" t="s">
        <v>6563</v>
      </c>
      <c r="G866" s="1023" t="s">
        <v>3973</v>
      </c>
      <c r="H866" s="708" t="s">
        <v>3995</v>
      </c>
      <c r="I866" s="904">
        <v>480</v>
      </c>
      <c r="J866" s="913">
        <v>0</v>
      </c>
      <c r="K866" s="913">
        <v>16</v>
      </c>
      <c r="L866" s="913">
        <f t="shared" si="178"/>
        <v>30</v>
      </c>
      <c r="M866" s="1024">
        <v>46283</v>
      </c>
      <c r="N866" s="1024">
        <v>46279</v>
      </c>
      <c r="O866" s="1022"/>
      <c r="P866" s="904"/>
      <c r="Q866" s="904"/>
      <c r="R866" s="886" t="s">
        <v>3064</v>
      </c>
      <c r="S866" s="848" t="s">
        <v>107</v>
      </c>
      <c r="T866" s="848" t="s">
        <v>3612</v>
      </c>
      <c r="U866" s="848"/>
      <c r="V866" s="1025"/>
      <c r="W866" s="1025"/>
      <c r="X866" s="1025" t="s">
        <v>6564</v>
      </c>
      <c r="Y866" s="1024" t="s">
        <v>3614</v>
      </c>
      <c r="Z866" s="1026">
        <v>4.7945</v>
      </c>
      <c r="AA866" s="673">
        <f>I866*Z866</f>
        <v>2301.36</v>
      </c>
      <c r="AB866" s="910"/>
      <c r="AC866" s="887" t="s">
        <v>4108</v>
      </c>
      <c r="AD866" s="912" t="s">
        <v>112</v>
      </c>
      <c r="AE866" s="913">
        <f t="shared" si="175"/>
        <v>480</v>
      </c>
      <c r="AF866" s="913"/>
      <c r="AG866" s="913"/>
      <c r="AH866" s="833">
        <f t="shared" si="179"/>
        <v>-480</v>
      </c>
      <c r="AI866" s="904"/>
      <c r="AJ866" s="913"/>
      <c r="AK866" s="920"/>
      <c r="AL866" s="1092">
        <f>I866</f>
        <v>480</v>
      </c>
      <c r="AM866" s="920"/>
      <c r="AN866" s="920">
        <f t="shared" si="180"/>
        <v>480</v>
      </c>
      <c r="AP866" s="920"/>
      <c r="AQ866" s="673"/>
      <c r="AR866" s="673"/>
      <c r="AS866" s="673"/>
      <c r="AT866" s="673"/>
      <c r="AU866" s="1059">
        <f>I866/8</f>
        <v>60</v>
      </c>
      <c r="BI866" s="920"/>
    </row>
    <row r="867" s="667" customFormat="1" ht="31" customHeight="1" spans="1:108">
      <c r="A867" s="819">
        <v>46239</v>
      </c>
      <c r="B867" s="820" t="s">
        <v>6565</v>
      </c>
      <c r="C867" s="821" t="s">
        <v>101</v>
      </c>
      <c r="D867" s="822">
        <v>4500218858</v>
      </c>
      <c r="E867" s="821"/>
      <c r="F867" s="822" t="s">
        <v>6566</v>
      </c>
      <c r="G867" s="823" t="s">
        <v>3980</v>
      </c>
      <c r="H867" s="821" t="s">
        <v>3978</v>
      </c>
      <c r="I867" s="824">
        <v>512</v>
      </c>
      <c r="J867" s="821">
        <v>0</v>
      </c>
      <c r="K867" s="821">
        <v>8</v>
      </c>
      <c r="L867" s="821">
        <v>64</v>
      </c>
      <c r="M867" s="825">
        <v>46286</v>
      </c>
      <c r="N867" s="825">
        <f>M867-4</f>
        <v>46282</v>
      </c>
      <c r="O867" s="820"/>
      <c r="P867" s="824"/>
      <c r="Q867" s="824"/>
      <c r="R867" s="827">
        <v>46240</v>
      </c>
      <c r="S867" s="829" t="s">
        <v>107</v>
      </c>
      <c r="T867" s="828" t="s">
        <v>3650</v>
      </c>
      <c r="U867" s="828"/>
      <c r="V867" s="828"/>
      <c r="W867" s="828"/>
      <c r="X867" s="1093" t="s">
        <v>6567</v>
      </c>
      <c r="Y867" s="825" t="s">
        <v>6568</v>
      </c>
      <c r="Z867" s="830">
        <v>4.7988</v>
      </c>
      <c r="AA867" s="822">
        <f>I867*Z867</f>
        <v>2456.9856</v>
      </c>
      <c r="AB867" s="831"/>
      <c r="AC867" s="1052" t="s">
        <v>3980</v>
      </c>
      <c r="AD867" s="821" t="s">
        <v>112</v>
      </c>
      <c r="AE867" s="821">
        <f t="shared" si="175"/>
        <v>512</v>
      </c>
      <c r="AF867" s="912"/>
      <c r="AG867" s="912"/>
      <c r="AH867" s="821"/>
      <c r="AI867" s="824"/>
      <c r="AJ867" s="912"/>
      <c r="AK867" s="834">
        <f>I867</f>
        <v>512</v>
      </c>
      <c r="AL867" s="822"/>
      <c r="AM867" s="822"/>
      <c r="AN867" s="834">
        <f t="shared" si="180"/>
        <v>512</v>
      </c>
      <c r="AO867" s="822"/>
      <c r="AP867" s="822"/>
      <c r="AQ867" s="822"/>
      <c r="AR867" s="822"/>
      <c r="AS867" s="822"/>
      <c r="AT867" s="822"/>
      <c r="AU867" s="822"/>
      <c r="AV867" s="822"/>
      <c r="AW867" s="822"/>
      <c r="AX867" s="834">
        <f>I867/8</f>
        <v>64</v>
      </c>
      <c r="AY867" s="834"/>
      <c r="AZ867" s="834"/>
      <c r="BA867" s="822"/>
      <c r="BB867" s="822"/>
      <c r="BC867" s="822"/>
      <c r="BD867" s="822"/>
      <c r="BE867" s="822"/>
      <c r="BF867" s="822"/>
      <c r="BG867" s="822"/>
      <c r="BH867" s="822"/>
      <c r="BI867" s="822"/>
    </row>
    <row r="868" s="673" customFormat="1" ht="31" customHeight="1" spans="1:108">
      <c r="A868" s="1094">
        <v>46216</v>
      </c>
      <c r="B868" s="898" t="s">
        <v>3671</v>
      </c>
      <c r="C868" s="899" t="s">
        <v>135</v>
      </c>
      <c r="D868" s="672">
        <v>4500216128</v>
      </c>
      <c r="E868" s="899" t="s">
        <v>6569</v>
      </c>
      <c r="F868" s="1095" t="s">
        <v>6570</v>
      </c>
      <c r="G868" s="1096" t="s">
        <v>6571</v>
      </c>
      <c r="H868" s="708" t="s">
        <v>3978</v>
      </c>
      <c r="I868" s="901">
        <v>504</v>
      </c>
      <c r="J868" s="899">
        <v>0</v>
      </c>
      <c r="K868" s="899">
        <v>8</v>
      </c>
      <c r="L868" s="913">
        <f t="shared" ref="L868:L877" si="181">I868/K868</f>
        <v>63</v>
      </c>
      <c r="M868" s="908">
        <v>46286</v>
      </c>
      <c r="N868" s="908">
        <v>46282</v>
      </c>
      <c r="O868" s="908"/>
      <c r="P868" s="901"/>
      <c r="Q868" s="901"/>
      <c r="R868" s="886" t="s">
        <v>3064</v>
      </c>
      <c r="S868" s="848" t="s">
        <v>107</v>
      </c>
      <c r="T868" s="848" t="s">
        <v>6572</v>
      </c>
      <c r="U868" s="848"/>
      <c r="V868" s="1022"/>
      <c r="W868" s="1022"/>
      <c r="X868" s="1097" t="s">
        <v>6573</v>
      </c>
      <c r="Y868" s="908" t="s">
        <v>288</v>
      </c>
      <c r="Z868" s="672">
        <v>4.8371</v>
      </c>
      <c r="AA868" s="673">
        <f>I868*Z868</f>
        <v>2437.8984</v>
      </c>
      <c r="AB868" s="1098"/>
      <c r="AC868" s="836" t="s">
        <v>3980</v>
      </c>
      <c r="AD868" s="912" t="s">
        <v>112</v>
      </c>
      <c r="AE868" s="913">
        <f t="shared" ref="AE838:AE908" si="182">I868</f>
        <v>504</v>
      </c>
      <c r="AF868" s="913" t="s">
        <v>5125</v>
      </c>
      <c r="AG868" s="901"/>
      <c r="AH868" s="833">
        <f>AG868-I868</f>
        <v>-504</v>
      </c>
      <c r="AI868" s="899"/>
      <c r="AJ868" s="899"/>
      <c r="AK868" s="920">
        <f>I868</f>
        <v>504</v>
      </c>
      <c r="AL868" s="920"/>
      <c r="AM868" s="920"/>
      <c r="AN868" s="920">
        <f t="shared" si="180"/>
        <v>504</v>
      </c>
      <c r="AO868" s="672"/>
      <c r="AP868" s="914"/>
      <c r="AQ868" s="1099"/>
      <c r="AR868" s="672"/>
      <c r="AS868" s="672"/>
      <c r="AT868" s="673">
        <f>I868/8</f>
        <v>63</v>
      </c>
      <c r="AU868" s="1100"/>
      <c r="AV868" s="1100"/>
      <c r="AW868" s="1100"/>
      <c r="AX868" s="672"/>
      <c r="AY868" s="672"/>
      <c r="AZ868" s="672"/>
      <c r="BA868" s="672"/>
      <c r="BB868" s="672"/>
      <c r="BC868" s="672"/>
      <c r="BD868" s="672"/>
      <c r="BE868" s="672"/>
      <c r="BF868" s="672"/>
      <c r="BG868" s="672"/>
      <c r="BH868" s="672"/>
      <c r="BI868" s="914"/>
      <c r="BJ868" s="672"/>
      <c r="BK868" s="672"/>
      <c r="BL868" s="672"/>
      <c r="BM868" s="672"/>
      <c r="BN868" s="672"/>
      <c r="BO868" s="672"/>
      <c r="BP868" s="672"/>
      <c r="BQ868" s="672"/>
      <c r="BR868" s="1057"/>
      <c r="BS868" s="672"/>
      <c r="BT868" s="672"/>
      <c r="BU868" s="672"/>
      <c r="BV868" s="672"/>
      <c r="BW868" s="672"/>
      <c r="BX868" s="1057"/>
      <c r="BY868" s="1057"/>
      <c r="BZ868" s="1057"/>
      <c r="CA868" s="1057"/>
      <c r="CB868" s="1057"/>
      <c r="CC868" s="1057"/>
      <c r="CD868" s="1057"/>
      <c r="CE868" s="1057"/>
      <c r="CF868" s="1057"/>
      <c r="CG868" s="672"/>
      <c r="CH868" s="1057"/>
      <c r="CI868" s="1057"/>
      <c r="CJ868" s="1057"/>
      <c r="CK868" s="672"/>
      <c r="CL868" s="672"/>
      <c r="CM868" s="672"/>
      <c r="CN868" s="1057"/>
      <c r="CO868" s="1057"/>
      <c r="CP868" s="1057"/>
      <c r="CQ868" s="1057"/>
      <c r="CR868" s="1057"/>
      <c r="CS868" s="1057"/>
      <c r="CT868" s="1057"/>
      <c r="CU868" s="1057"/>
      <c r="CV868" s="1057"/>
      <c r="CW868" s="1057"/>
      <c r="CX868" s="1057"/>
      <c r="CY868" s="1057"/>
      <c r="CZ868" s="1057"/>
      <c r="DA868" s="1057"/>
      <c r="DB868" s="1057"/>
      <c r="DC868" s="1057"/>
      <c r="DD868" s="1057"/>
    </row>
    <row r="869" s="673" customFormat="1" ht="31" customHeight="1" spans="1:108">
      <c r="A869" s="897">
        <v>46226</v>
      </c>
      <c r="B869" s="1022" t="s">
        <v>1821</v>
      </c>
      <c r="C869" s="913" t="s">
        <v>1822</v>
      </c>
      <c r="D869" s="673">
        <v>4500217585</v>
      </c>
      <c r="E869" s="913"/>
      <c r="F869" s="673" t="s">
        <v>6574</v>
      </c>
      <c r="G869" s="1023" t="s">
        <v>3973</v>
      </c>
      <c r="H869" s="708" t="s">
        <v>3995</v>
      </c>
      <c r="I869" s="904">
        <v>1600</v>
      </c>
      <c r="J869" s="913">
        <v>0</v>
      </c>
      <c r="K869" s="913">
        <v>16</v>
      </c>
      <c r="L869" s="913">
        <f t="shared" si="181"/>
        <v>100</v>
      </c>
      <c r="M869" s="1024">
        <v>46286</v>
      </c>
      <c r="N869" s="1024">
        <v>46282</v>
      </c>
      <c r="O869" s="1022"/>
      <c r="P869" s="904"/>
      <c r="Q869" s="904"/>
      <c r="R869" s="886" t="s">
        <v>3064</v>
      </c>
      <c r="S869" s="848" t="s">
        <v>107</v>
      </c>
      <c r="T869" s="848" t="s">
        <v>3666</v>
      </c>
      <c r="U869" s="848"/>
      <c r="V869" s="1025"/>
      <c r="W869" s="1025"/>
      <c r="X869" s="1025" t="s">
        <v>3667</v>
      </c>
      <c r="Y869" s="1024" t="s">
        <v>1252</v>
      </c>
      <c r="Z869" s="1026">
        <v>4.8226</v>
      </c>
      <c r="AA869" s="673">
        <f>I869*Z869</f>
        <v>7716.16</v>
      </c>
      <c r="AB869" s="910"/>
      <c r="AC869" s="887" t="s">
        <v>4108</v>
      </c>
      <c r="AD869" s="912" t="s">
        <v>112</v>
      </c>
      <c r="AE869" s="913">
        <f t="shared" si="182"/>
        <v>1600</v>
      </c>
      <c r="AF869" s="913"/>
      <c r="AG869" s="913"/>
      <c r="AH869" s="833">
        <f>AG869-I869</f>
        <v>-1600</v>
      </c>
      <c r="AI869" s="904"/>
      <c r="AJ869" s="913"/>
      <c r="AK869" s="920"/>
      <c r="AL869" s="1092">
        <f>I869</f>
        <v>1600</v>
      </c>
      <c r="AM869" s="920"/>
      <c r="AN869" s="834">
        <f t="shared" si="180"/>
        <v>1600</v>
      </c>
      <c r="AP869" s="920"/>
      <c r="AQ869" s="673"/>
      <c r="AR869" s="673"/>
      <c r="AS869" s="673"/>
      <c r="AT869" s="673"/>
      <c r="AU869" s="1059">
        <f>I869/8</f>
        <v>200</v>
      </c>
      <c r="BI869" s="920"/>
    </row>
    <row r="870" s="659" customFormat="1" ht="31" customHeight="1" spans="1:108">
      <c r="A870" s="819">
        <v>46163</v>
      </c>
      <c r="B870" s="820" t="s">
        <v>2896</v>
      </c>
      <c r="C870" s="821" t="s">
        <v>1439</v>
      </c>
      <c r="D870" s="917" t="s">
        <v>6341</v>
      </c>
      <c r="E870" s="821" t="s">
        <v>6575</v>
      </c>
      <c r="F870" s="822" t="s">
        <v>3669</v>
      </c>
      <c r="G870" s="823" t="s">
        <v>4341</v>
      </c>
      <c r="H870" s="708" t="s">
        <v>483</v>
      </c>
      <c r="I870" s="824">
        <v>1920</v>
      </c>
      <c r="J870" s="821">
        <v>0</v>
      </c>
      <c r="K870" s="821">
        <v>120</v>
      </c>
      <c r="L870" s="821">
        <f t="shared" si="181"/>
        <v>16</v>
      </c>
      <c r="M870" s="825">
        <v>46286</v>
      </c>
      <c r="N870" s="1101">
        <v>46282</v>
      </c>
      <c r="O870" s="1102" t="s">
        <v>6576</v>
      </c>
      <c r="P870" s="1103"/>
      <c r="Q870" s="824"/>
      <c r="R870" s="1055">
        <v>46227</v>
      </c>
      <c r="S870" s="829" t="s">
        <v>107</v>
      </c>
      <c r="T870" s="848" t="s">
        <v>2900</v>
      </c>
      <c r="U870" s="829"/>
      <c r="V870" s="829"/>
      <c r="W870" s="828"/>
      <c r="X870" s="991" t="s">
        <v>6343</v>
      </c>
      <c r="Y870" s="825" t="s">
        <v>730</v>
      </c>
      <c r="Z870" s="830">
        <v>1118</v>
      </c>
      <c r="AA870" s="822">
        <f>L870*Z870</f>
        <v>17888</v>
      </c>
      <c r="AB870" s="831"/>
      <c r="AC870" s="836" t="s">
        <v>490</v>
      </c>
      <c r="AD870" s="821" t="s">
        <v>112</v>
      </c>
      <c r="AE870" s="821">
        <f t="shared" si="182"/>
        <v>1920</v>
      </c>
      <c r="AF870" s="821"/>
      <c r="AG870" s="708"/>
      <c r="AH870" s="833">
        <f>AG870-I870</f>
        <v>-1920</v>
      </c>
      <c r="AI870" s="824"/>
      <c r="AJ870" s="821"/>
      <c r="AK870" s="822"/>
      <c r="AL870" s="834"/>
      <c r="AM870" s="822"/>
      <c r="AN870" s="834"/>
      <c r="AO870" s="822"/>
      <c r="AP870" s="822"/>
      <c r="AQ870" s="834">
        <f>I870</f>
        <v>1920</v>
      </c>
      <c r="AR870" s="834">
        <f>I870</f>
        <v>1920</v>
      </c>
      <c r="AS870" s="834">
        <f>I870/6</f>
        <v>320</v>
      </c>
      <c r="AT870" s="834"/>
      <c r="AU870" s="834"/>
      <c r="AV870" s="834"/>
      <c r="AW870" s="834"/>
      <c r="AX870" s="822"/>
      <c r="AY870" s="822"/>
      <c r="AZ870" s="822"/>
      <c r="BA870" s="822"/>
      <c r="BB870" s="822"/>
      <c r="BC870" s="822"/>
      <c r="BD870" s="822"/>
      <c r="BE870" s="822"/>
      <c r="BF870" s="822"/>
      <c r="BG870" s="822"/>
      <c r="BH870" s="822"/>
      <c r="BI870" s="822"/>
      <c r="BJ870" s="662"/>
      <c r="BK870" s="662"/>
      <c r="BL870" s="662"/>
      <c r="BM870" s="662"/>
      <c r="BN870" s="662"/>
      <c r="BO870" s="662"/>
      <c r="BP870" s="662"/>
      <c r="BQ870" s="662"/>
      <c r="BR870" s="662"/>
      <c r="BS870" s="662"/>
      <c r="BT870" s="662"/>
      <c r="BU870" s="662"/>
      <c r="BV870" s="662"/>
      <c r="BW870" s="662"/>
      <c r="BX870" s="662"/>
      <c r="BY870" s="662"/>
      <c r="BZ870" s="662"/>
      <c r="CA870" s="662"/>
      <c r="CB870" s="662"/>
      <c r="CC870" s="662"/>
      <c r="CD870" s="662"/>
      <c r="CE870" s="662"/>
      <c r="CF870" s="662"/>
      <c r="CG870" s="662"/>
      <c r="CH870" s="662"/>
      <c r="CI870" s="662"/>
      <c r="CJ870" s="662"/>
      <c r="CK870" s="662"/>
      <c r="CL870" s="662"/>
      <c r="CM870" s="662"/>
      <c r="CN870" s="662"/>
      <c r="CO870" s="662"/>
      <c r="CP870" s="662"/>
      <c r="CQ870" s="662"/>
      <c r="CR870" s="662"/>
    </row>
    <row r="871" s="667" customFormat="1" ht="31" customHeight="1" spans="1:108">
      <c r="A871" s="819">
        <v>46239</v>
      </c>
      <c r="B871" s="820" t="s">
        <v>1249</v>
      </c>
      <c r="C871" s="821" t="s">
        <v>291</v>
      </c>
      <c r="D871" s="822">
        <v>4500218890</v>
      </c>
      <c r="E871" s="821"/>
      <c r="F871" s="822" t="s">
        <v>6577</v>
      </c>
      <c r="G871" s="823" t="s">
        <v>3973</v>
      </c>
      <c r="H871" s="821" t="s">
        <v>3995</v>
      </c>
      <c r="I871" s="824">
        <v>4208</v>
      </c>
      <c r="J871" s="821">
        <v>0</v>
      </c>
      <c r="K871" s="821">
        <v>16</v>
      </c>
      <c r="L871" s="821">
        <f t="shared" si="181"/>
        <v>263</v>
      </c>
      <c r="M871" s="825">
        <v>46286</v>
      </c>
      <c r="N871" s="825">
        <v>46282</v>
      </c>
      <c r="O871" s="999"/>
      <c r="P871" s="824"/>
      <c r="Q871" s="824"/>
      <c r="R871" s="886" t="s">
        <v>3064</v>
      </c>
      <c r="S871" s="848" t="s">
        <v>107</v>
      </c>
      <c r="T871" s="828" t="s">
        <v>6578</v>
      </c>
      <c r="U871" s="828"/>
      <c r="V871" s="828" t="s">
        <v>6579</v>
      </c>
      <c r="W871" s="828"/>
      <c r="X871" s="1093" t="s">
        <v>6580</v>
      </c>
      <c r="Y871" s="825" t="s">
        <v>6581</v>
      </c>
      <c r="Z871" s="830">
        <v>4.784</v>
      </c>
      <c r="AA871" s="822">
        <f>I871*Z871</f>
        <v>20131.072</v>
      </c>
      <c r="AB871" s="831"/>
      <c r="AC871" s="822"/>
      <c r="AD871" s="821"/>
      <c r="AE871" s="821">
        <f t="shared" si="182"/>
        <v>4208</v>
      </c>
      <c r="AF871" s="912"/>
      <c r="AG871" s="912"/>
      <c r="AH871" s="821"/>
      <c r="AI871" s="824"/>
      <c r="AJ871" s="912"/>
      <c r="AK871" s="822"/>
      <c r="AL871" s="822"/>
      <c r="AM871" s="822"/>
      <c r="AN871" s="822"/>
      <c r="AO871" s="822"/>
      <c r="AP871" s="822"/>
      <c r="AQ871" s="822"/>
      <c r="AR871" s="822"/>
      <c r="AS871" s="822"/>
      <c r="AT871" s="822"/>
      <c r="AU871" s="822"/>
      <c r="AV871" s="822"/>
      <c r="AW871" s="822"/>
      <c r="AX871" s="822"/>
      <c r="AY871" s="822"/>
      <c r="AZ871" s="822"/>
      <c r="BA871" s="822"/>
      <c r="BB871" s="822"/>
      <c r="BC871" s="822"/>
      <c r="BD871" s="822"/>
      <c r="BE871" s="822"/>
      <c r="BF871" s="822"/>
      <c r="BG871" s="822"/>
      <c r="BH871" s="822"/>
      <c r="BI871" s="822"/>
    </row>
    <row r="872" s="662" customFormat="1" ht="31" customHeight="1" spans="1:108">
      <c r="A872" s="819">
        <v>46182</v>
      </c>
      <c r="B872" s="820" t="s">
        <v>378</v>
      </c>
      <c r="C872" s="821" t="s">
        <v>201</v>
      </c>
      <c r="D872" s="822">
        <v>4500210728</v>
      </c>
      <c r="E872" s="821">
        <v>7000992556</v>
      </c>
      <c r="F872" s="822" t="s">
        <v>6582</v>
      </c>
      <c r="G872" s="823" t="s">
        <v>3980</v>
      </c>
      <c r="H872" s="708" t="s">
        <v>3978</v>
      </c>
      <c r="I872" s="824">
        <v>856</v>
      </c>
      <c r="J872" s="821">
        <v>0</v>
      </c>
      <c r="K872" s="821">
        <v>8</v>
      </c>
      <c r="L872" s="821">
        <f t="shared" si="181"/>
        <v>107</v>
      </c>
      <c r="M872" s="825">
        <v>46288</v>
      </c>
      <c r="N872" s="825">
        <v>46284</v>
      </c>
      <c r="O872" s="820"/>
      <c r="P872" s="824"/>
      <c r="Q872" s="824"/>
      <c r="R872" s="827">
        <v>46240</v>
      </c>
      <c r="S872" s="828" t="s">
        <v>107</v>
      </c>
      <c r="T872" s="828" t="s">
        <v>5972</v>
      </c>
      <c r="U872" s="828"/>
      <c r="V872" s="829"/>
      <c r="W872" s="828"/>
      <c r="X872" s="828" t="s">
        <v>6583</v>
      </c>
      <c r="Y872" s="825" t="s">
        <v>384</v>
      </c>
      <c r="Z872" s="830">
        <v>4.6695</v>
      </c>
      <c r="AA872" s="822">
        <f>I872*Z872</f>
        <v>3997.092</v>
      </c>
      <c r="AB872" s="831"/>
      <c r="AC872" s="867" t="s">
        <v>4031</v>
      </c>
      <c r="AD872" s="821" t="s">
        <v>112</v>
      </c>
      <c r="AE872" s="821">
        <f t="shared" si="182"/>
        <v>856</v>
      </c>
      <c r="AF872" s="821"/>
      <c r="AG872" s="708"/>
      <c r="AH872" s="833">
        <f>AG872-I872</f>
        <v>-856</v>
      </c>
      <c r="AI872" s="824"/>
      <c r="AJ872" s="821"/>
      <c r="AK872" s="822"/>
      <c r="AL872" s="868">
        <f>I872</f>
        <v>856</v>
      </c>
      <c r="AM872" s="822"/>
      <c r="AN872" s="834">
        <f t="shared" ref="AN872:AN884" si="183">I872</f>
        <v>856</v>
      </c>
      <c r="AO872" s="822"/>
      <c r="AP872" s="822"/>
      <c r="AQ872" s="822"/>
      <c r="AR872" s="822"/>
      <c r="AS872" s="822"/>
      <c r="AT872" s="822"/>
      <c r="AU872" s="868">
        <f>I872/8</f>
        <v>107</v>
      </c>
      <c r="AV872" s="834"/>
      <c r="AW872" s="834"/>
      <c r="AX872" s="822"/>
      <c r="AY872" s="822"/>
      <c r="AZ872" s="822"/>
      <c r="BA872" s="822"/>
      <c r="BB872" s="822"/>
      <c r="BC872" s="822"/>
      <c r="BD872" s="822"/>
      <c r="BE872" s="822"/>
      <c r="BF872" s="822"/>
      <c r="BG872" s="822"/>
      <c r="BH872" s="822"/>
      <c r="BI872" s="822"/>
      <c r="BJ872" s="659"/>
      <c r="BK872" s="659"/>
      <c r="BL872" s="659"/>
      <c r="BM872" s="659"/>
      <c r="BN872" s="659"/>
      <c r="BO872" s="659"/>
      <c r="BP872" s="659"/>
      <c r="BQ872" s="659"/>
      <c r="BR872" s="659"/>
      <c r="BS872" s="659"/>
      <c r="BT872" s="659"/>
      <c r="BU872" s="659"/>
      <c r="BV872" s="659"/>
      <c r="BW872" s="659"/>
      <c r="BX872" s="659"/>
      <c r="BY872" s="659"/>
      <c r="BZ872" s="659"/>
      <c r="CA872" s="659"/>
      <c r="CB872" s="659"/>
      <c r="CC872" s="659"/>
      <c r="CD872" s="659"/>
      <c r="CE872" s="659"/>
      <c r="CF872" s="659"/>
      <c r="CG872" s="659"/>
      <c r="CH872" s="659"/>
      <c r="CI872" s="659"/>
      <c r="CJ872" s="659"/>
      <c r="CK872" s="659"/>
      <c r="CL872" s="659"/>
      <c r="CM872" s="659"/>
      <c r="CN872" s="659"/>
      <c r="CO872" s="659"/>
      <c r="CP872" s="659"/>
      <c r="CQ872" s="659"/>
      <c r="CR872" s="659"/>
    </row>
    <row r="873" s="667" customFormat="1" ht="31" customHeight="1" spans="1:108">
      <c r="A873" s="819">
        <v>46223</v>
      </c>
      <c r="B873" s="820" t="s">
        <v>346</v>
      </c>
      <c r="C873" s="821" t="s">
        <v>115</v>
      </c>
      <c r="D873" s="822">
        <v>4500217088</v>
      </c>
      <c r="E873" s="1915" t="s">
        <v>6584</v>
      </c>
      <c r="F873" s="822" t="s">
        <v>6585</v>
      </c>
      <c r="G873" s="823" t="s">
        <v>4414</v>
      </c>
      <c r="H873" s="821" t="s">
        <v>3978</v>
      </c>
      <c r="I873" s="824">
        <v>16384</v>
      </c>
      <c r="J873" s="821">
        <v>0</v>
      </c>
      <c r="K873" s="821">
        <v>512</v>
      </c>
      <c r="L873" s="821">
        <f t="shared" si="181"/>
        <v>32</v>
      </c>
      <c r="M873" s="825">
        <v>46289</v>
      </c>
      <c r="N873" s="825">
        <v>46286</v>
      </c>
      <c r="O873" s="820"/>
      <c r="P873" s="824"/>
      <c r="Q873" s="824"/>
      <c r="R873" s="827" t="s">
        <v>6465</v>
      </c>
      <c r="S873" s="848" t="s">
        <v>107</v>
      </c>
      <c r="T873" s="828" t="s">
        <v>6522</v>
      </c>
      <c r="U873" s="828"/>
      <c r="V873" s="828"/>
      <c r="W873" s="828"/>
      <c r="X873" s="828" t="s">
        <v>6586</v>
      </c>
      <c r="Y873" s="825" t="s">
        <v>354</v>
      </c>
      <c r="Z873" s="830">
        <v>1475.4991</v>
      </c>
      <c r="AA873" s="822">
        <f>Z873*L873</f>
        <v>47215.9712</v>
      </c>
      <c r="AB873" s="831"/>
      <c r="AC873" s="887" t="s">
        <v>4194</v>
      </c>
      <c r="AD873" s="821" t="s">
        <v>112</v>
      </c>
      <c r="AE873" s="821">
        <f t="shared" si="182"/>
        <v>16384</v>
      </c>
      <c r="AF873" s="1000"/>
      <c r="AG873" s="821"/>
      <c r="AH873" s="833">
        <f>AG873-I873</f>
        <v>-16384</v>
      </c>
      <c r="AI873" s="824"/>
      <c r="AJ873" s="821"/>
      <c r="AK873" s="834">
        <f t="shared" ref="AK873:AK882" si="184">I873</f>
        <v>16384</v>
      </c>
      <c r="AL873" s="822"/>
      <c r="AM873" s="822"/>
      <c r="AN873" s="834">
        <f t="shared" si="183"/>
        <v>16384</v>
      </c>
      <c r="AO873" s="822"/>
      <c r="AP873" s="822"/>
      <c r="AQ873" s="822"/>
      <c r="AR873" s="822"/>
      <c r="AS873" s="822"/>
      <c r="AT873" s="673">
        <f>I873/8</f>
        <v>2048</v>
      </c>
      <c r="AU873" s="822"/>
      <c r="AV873" s="822"/>
      <c r="AW873" s="822"/>
      <c r="AX873" s="822"/>
      <c r="AY873" s="822"/>
      <c r="AZ873" s="822"/>
      <c r="BA873" s="822"/>
      <c r="BB873" s="822"/>
      <c r="BC873" s="822"/>
      <c r="BD873" s="822"/>
      <c r="BE873" s="822"/>
      <c r="BF873" s="822"/>
      <c r="BG873" s="822"/>
      <c r="BH873" s="822"/>
      <c r="BI873" s="822"/>
    </row>
    <row r="874" s="672" customFormat="1" ht="31" customHeight="1" spans="1:108">
      <c r="A874" s="897">
        <v>46219</v>
      </c>
      <c r="B874" s="1022" t="s">
        <v>1176</v>
      </c>
      <c r="C874" s="913" t="s">
        <v>115</v>
      </c>
      <c r="D874" s="673">
        <v>4500216785</v>
      </c>
      <c r="E874" s="913" t="s">
        <v>3685</v>
      </c>
      <c r="F874" s="673" t="s">
        <v>6587</v>
      </c>
      <c r="G874" s="1023" t="s">
        <v>3973</v>
      </c>
      <c r="H874" s="708" t="s">
        <v>3995</v>
      </c>
      <c r="I874" s="904">
        <v>3008</v>
      </c>
      <c r="J874" s="913">
        <v>0</v>
      </c>
      <c r="K874" s="913">
        <v>16</v>
      </c>
      <c r="L874" s="913">
        <f t="shared" si="181"/>
        <v>188</v>
      </c>
      <c r="M874" s="1024">
        <v>46289</v>
      </c>
      <c r="N874" s="1024">
        <v>46286</v>
      </c>
      <c r="O874" s="1022"/>
      <c r="P874" s="904"/>
      <c r="Q874" s="904"/>
      <c r="R874" s="886" t="s">
        <v>3064</v>
      </c>
      <c r="S874" s="848" t="s">
        <v>107</v>
      </c>
      <c r="T874" s="848" t="s">
        <v>6588</v>
      </c>
      <c r="U874" s="848"/>
      <c r="V874" s="906"/>
      <c r="W874" s="1025"/>
      <c r="X874" s="1025" t="s">
        <v>1181</v>
      </c>
      <c r="Y874" s="1024" t="s">
        <v>2654</v>
      </c>
      <c r="Z874" s="1026">
        <v>2.8873</v>
      </c>
      <c r="AA874" s="673">
        <f>I874*Z874</f>
        <v>8684.9984</v>
      </c>
      <c r="AB874" s="910"/>
      <c r="AC874" s="820" t="s">
        <v>3973</v>
      </c>
      <c r="AD874" s="912" t="s">
        <v>112</v>
      </c>
      <c r="AE874" s="913">
        <f t="shared" si="182"/>
        <v>3008</v>
      </c>
      <c r="AF874" s="913" t="s">
        <v>5125</v>
      </c>
      <c r="AG874" s="899"/>
      <c r="AH874" s="833">
        <f>AG874-I874</f>
        <v>-3008</v>
      </c>
      <c r="AI874" s="904"/>
      <c r="AJ874" s="913"/>
      <c r="AK874" s="920">
        <f t="shared" si="184"/>
        <v>3008</v>
      </c>
      <c r="AL874" s="920"/>
      <c r="AM874" s="920"/>
      <c r="AN874" s="920">
        <f t="shared" si="183"/>
        <v>3008</v>
      </c>
      <c r="AO874" s="673"/>
      <c r="AP874" s="920"/>
      <c r="AQ874" s="673"/>
      <c r="AR874" s="673"/>
      <c r="AS874" s="673"/>
      <c r="AT874" s="673">
        <f>I874/8</f>
        <v>376</v>
      </c>
      <c r="AX874" s="673"/>
      <c r="AY874" s="673"/>
      <c r="AZ874" s="673"/>
      <c r="BA874" s="673"/>
      <c r="BB874" s="673"/>
      <c r="BC874" s="673"/>
      <c r="BD874" s="673"/>
      <c r="BE874" s="673"/>
      <c r="BF874" s="673"/>
      <c r="BG874" s="673"/>
      <c r="BH874" s="673"/>
      <c r="BI874" s="920"/>
    </row>
    <row r="875" s="673" customFormat="1" ht="31" customHeight="1" spans="1:108">
      <c r="A875" s="897">
        <v>46237</v>
      </c>
      <c r="B875" s="1022" t="s">
        <v>338</v>
      </c>
      <c r="C875" s="913" t="s">
        <v>135</v>
      </c>
      <c r="D875" s="673" t="s">
        <v>6589</v>
      </c>
      <c r="E875" s="913" t="s">
        <v>3694</v>
      </c>
      <c r="F875" s="673" t="s">
        <v>6590</v>
      </c>
      <c r="G875" s="1023" t="s">
        <v>3973</v>
      </c>
      <c r="H875" s="913" t="s">
        <v>3995</v>
      </c>
      <c r="I875" s="904">
        <v>13792</v>
      </c>
      <c r="J875" s="913">
        <v>0</v>
      </c>
      <c r="K875" s="913">
        <v>16</v>
      </c>
      <c r="L875" s="913">
        <f t="shared" si="181"/>
        <v>862</v>
      </c>
      <c r="M875" s="1024">
        <v>46289</v>
      </c>
      <c r="N875" s="1024">
        <v>46286</v>
      </c>
      <c r="O875" s="1022"/>
      <c r="P875" s="904"/>
      <c r="Q875" s="904"/>
      <c r="R875" s="886">
        <v>46237</v>
      </c>
      <c r="S875" s="848" t="s">
        <v>107</v>
      </c>
      <c r="T875" s="828" t="s">
        <v>4122</v>
      </c>
      <c r="U875" s="848"/>
      <c r="V875" s="1025"/>
      <c r="W875" s="1025"/>
      <c r="X875" s="828" t="s">
        <v>3696</v>
      </c>
      <c r="Y875" s="1024" t="s">
        <v>1130</v>
      </c>
      <c r="Z875" s="1026">
        <v>4.7968</v>
      </c>
      <c r="AA875" s="673">
        <f>I875*Z875</f>
        <v>66157.4656</v>
      </c>
      <c r="AB875" s="910"/>
      <c r="AC875" s="822" t="s">
        <v>3973</v>
      </c>
      <c r="AD875" s="912" t="s">
        <v>112</v>
      </c>
      <c r="AE875" s="913">
        <f t="shared" si="182"/>
        <v>13792</v>
      </c>
      <c r="AF875" s="913"/>
      <c r="AG875" s="913"/>
      <c r="AH875" s="821"/>
      <c r="AI875" s="904"/>
      <c r="AJ875" s="913"/>
      <c r="AK875" s="822">
        <f t="shared" si="184"/>
        <v>13792</v>
      </c>
      <c r="AL875" s="920"/>
      <c r="AM875" s="920"/>
      <c r="AN875" s="822">
        <f t="shared" si="183"/>
        <v>13792</v>
      </c>
      <c r="AP875" s="920"/>
      <c r="AQ875" s="822"/>
      <c r="AR875" s="822"/>
      <c r="AS875" s="822"/>
      <c r="AT875" s="822">
        <f>I875/8</f>
        <v>1724</v>
      </c>
      <c r="BI875" s="920"/>
    </row>
    <row r="876" s="673" customFormat="1" ht="31" customHeight="1" spans="1:108">
      <c r="A876" s="897">
        <v>46240</v>
      </c>
      <c r="B876" s="1022" t="s">
        <v>3568</v>
      </c>
      <c r="C876" s="913" t="s">
        <v>115</v>
      </c>
      <c r="D876" s="673">
        <v>4500219109</v>
      </c>
      <c r="E876" s="913">
        <v>5200011322</v>
      </c>
      <c r="F876" s="673" t="s">
        <v>6591</v>
      </c>
      <c r="G876" s="1023" t="s">
        <v>4141</v>
      </c>
      <c r="H876" s="913" t="s">
        <v>3969</v>
      </c>
      <c r="I876" s="904">
        <v>1600</v>
      </c>
      <c r="J876" s="913">
        <v>0</v>
      </c>
      <c r="K876" s="913">
        <v>16</v>
      </c>
      <c r="L876" s="913">
        <f t="shared" si="181"/>
        <v>100</v>
      </c>
      <c r="M876" s="1024">
        <v>46289</v>
      </c>
      <c r="N876" s="1024">
        <v>46286</v>
      </c>
      <c r="O876" s="1022"/>
      <c r="P876" s="904"/>
      <c r="Q876" s="904"/>
      <c r="R876" s="886">
        <v>46240</v>
      </c>
      <c r="S876" s="829" t="s">
        <v>107</v>
      </c>
      <c r="T876" s="828" t="s">
        <v>95</v>
      </c>
      <c r="U876" s="848"/>
      <c r="V876" s="1025"/>
      <c r="W876" s="1025"/>
      <c r="X876" s="828" t="s">
        <v>6592</v>
      </c>
      <c r="Y876" s="1024" t="s">
        <v>3573</v>
      </c>
      <c r="Z876" s="1026">
        <v>2.8292</v>
      </c>
      <c r="AA876" s="673">
        <f>L876*Z876</f>
        <v>282.92</v>
      </c>
      <c r="AB876" s="910"/>
      <c r="AC876" s="895" t="s">
        <v>3968</v>
      </c>
      <c r="AD876" s="821" t="s">
        <v>112</v>
      </c>
      <c r="AE876" s="913">
        <f t="shared" si="182"/>
        <v>1600</v>
      </c>
      <c r="AF876" s="913"/>
      <c r="AG876" s="913"/>
      <c r="AH876" s="821"/>
      <c r="AI876" s="904"/>
      <c r="AJ876" s="913"/>
      <c r="AK876" s="822">
        <f t="shared" si="184"/>
        <v>1600</v>
      </c>
      <c r="AL876" s="920"/>
      <c r="AM876" s="920"/>
      <c r="AN876" s="822">
        <f t="shared" si="183"/>
        <v>1600</v>
      </c>
      <c r="AP876" s="920"/>
      <c r="AQ876" s="822"/>
      <c r="AR876" s="822"/>
      <c r="AS876" s="822"/>
      <c r="AT876" s="673"/>
      <c r="AU876" s="673"/>
      <c r="BI876" s="920"/>
    </row>
    <row r="877" s="673" customFormat="1" ht="31" customHeight="1" spans="1:108">
      <c r="A877" s="897">
        <v>46241</v>
      </c>
      <c r="B877" s="1022" t="s">
        <v>114</v>
      </c>
      <c r="C877" s="913" t="s">
        <v>115</v>
      </c>
      <c r="D877" s="673">
        <v>4500218113</v>
      </c>
      <c r="E877" s="913" t="s">
        <v>6593</v>
      </c>
      <c r="F877" s="673" t="s">
        <v>6594</v>
      </c>
      <c r="G877" s="1023" t="s">
        <v>3980</v>
      </c>
      <c r="H877" s="913" t="s">
        <v>3978</v>
      </c>
      <c r="I877" s="904">
        <v>23464</v>
      </c>
      <c r="J877" s="913">
        <v>0</v>
      </c>
      <c r="K877" s="913">
        <v>8</v>
      </c>
      <c r="L877" s="913">
        <f t="shared" si="181"/>
        <v>2933</v>
      </c>
      <c r="M877" s="1024">
        <v>46289</v>
      </c>
      <c r="N877" s="1024">
        <f>M877-3</f>
        <v>46286</v>
      </c>
      <c r="O877" s="1022"/>
      <c r="P877" s="904"/>
      <c r="Q877" s="904"/>
      <c r="R877" s="886" t="s">
        <v>3064</v>
      </c>
      <c r="S877" s="848" t="s">
        <v>107</v>
      </c>
      <c r="T877" s="828" t="s">
        <v>3505</v>
      </c>
      <c r="U877" s="848"/>
      <c r="V877" s="1025"/>
      <c r="W877" s="1025"/>
      <c r="X877" s="828" t="s">
        <v>6448</v>
      </c>
      <c r="Y877" s="1024" t="s">
        <v>123</v>
      </c>
      <c r="Z877" s="1026">
        <v>2.8426</v>
      </c>
      <c r="AA877" s="673">
        <f>I877*Z877</f>
        <v>66698.7664</v>
      </c>
      <c r="AB877" s="910"/>
      <c r="AC877" s="895" t="s">
        <v>3980</v>
      </c>
      <c r="AD877" s="912" t="s">
        <v>112</v>
      </c>
      <c r="AE877" s="913">
        <f t="shared" si="182"/>
        <v>23464</v>
      </c>
      <c r="AF877" s="913"/>
      <c r="AG877" s="913"/>
      <c r="AH877" s="821"/>
      <c r="AI877" s="904"/>
      <c r="AJ877" s="913"/>
      <c r="AK877" s="822">
        <f t="shared" si="184"/>
        <v>23464</v>
      </c>
      <c r="AL877" s="920"/>
      <c r="AM877" s="920"/>
      <c r="AN877" s="822">
        <f t="shared" si="183"/>
        <v>23464</v>
      </c>
      <c r="AP877" s="920"/>
      <c r="AQ877" s="822"/>
      <c r="AR877" s="822"/>
      <c r="AS877" s="822"/>
      <c r="AT877" s="673">
        <f>I877/8</f>
        <v>2933</v>
      </c>
      <c r="BI877" s="920"/>
    </row>
    <row r="878" s="659" customFormat="1" ht="31" customHeight="1" spans="1:108">
      <c r="A878" s="819">
        <v>46223</v>
      </c>
      <c r="B878" s="820" t="s">
        <v>3423</v>
      </c>
      <c r="C878" s="821" t="s">
        <v>2638</v>
      </c>
      <c r="D878" s="822">
        <v>4500217107</v>
      </c>
      <c r="E878" s="821" t="s">
        <v>3424</v>
      </c>
      <c r="F878" s="822" t="s">
        <v>6595</v>
      </c>
      <c r="G878" s="823" t="s">
        <v>3968</v>
      </c>
      <c r="H878" s="708" t="s">
        <v>3969</v>
      </c>
      <c r="I878" s="824">
        <v>1008</v>
      </c>
      <c r="J878" s="821">
        <v>0</v>
      </c>
      <c r="K878" s="821">
        <v>16</v>
      </c>
      <c r="L878" s="821">
        <f t="shared" ref="L878:L884" si="185">I878/K878</f>
        <v>63</v>
      </c>
      <c r="M878" s="825">
        <v>46290</v>
      </c>
      <c r="N878" s="825">
        <v>46286</v>
      </c>
      <c r="O878" s="820"/>
      <c r="P878" s="824"/>
      <c r="Q878" s="824"/>
      <c r="R878" s="827">
        <v>46223</v>
      </c>
      <c r="S878" s="848" t="s">
        <v>107</v>
      </c>
      <c r="T878" s="828" t="s">
        <v>6596</v>
      </c>
      <c r="U878" s="828"/>
      <c r="V878" s="829"/>
      <c r="W878" s="828"/>
      <c r="X878" s="828" t="s">
        <v>6597</v>
      </c>
      <c r="Y878" s="825" t="s">
        <v>659</v>
      </c>
      <c r="Z878" s="830">
        <v>4.7154</v>
      </c>
      <c r="AA878" s="822">
        <f>Z878*L878</f>
        <v>297.0702</v>
      </c>
      <c r="AB878" s="831"/>
      <c r="AC878" s="846" t="s">
        <v>3968</v>
      </c>
      <c r="AD878" s="821" t="s">
        <v>112</v>
      </c>
      <c r="AE878" s="821">
        <f t="shared" si="182"/>
        <v>1008</v>
      </c>
      <c r="AF878" s="950"/>
      <c r="AG878" s="708"/>
      <c r="AH878" s="833">
        <f t="shared" ref="AH878:AH883" si="186">AG878-I878</f>
        <v>-1008</v>
      </c>
      <c r="AI878" s="824"/>
      <c r="AJ878" s="821"/>
      <c r="AK878" s="834">
        <f t="shared" si="184"/>
        <v>1008</v>
      </c>
      <c r="AL878" s="822"/>
      <c r="AM878" s="822"/>
      <c r="AN878" s="834">
        <f t="shared" si="183"/>
        <v>1008</v>
      </c>
      <c r="AO878" s="822"/>
      <c r="AP878" s="822"/>
      <c r="AQ878" s="822"/>
      <c r="AR878" s="822"/>
      <c r="AS878" s="822"/>
      <c r="AT878" s="673"/>
      <c r="AU878" s="834"/>
      <c r="AV878" s="834"/>
      <c r="AW878" s="834"/>
      <c r="AX878" s="822"/>
      <c r="AY878" s="822"/>
      <c r="AZ878" s="822"/>
      <c r="BA878" s="822"/>
      <c r="BB878" s="822"/>
      <c r="BC878" s="822"/>
      <c r="BD878" s="822"/>
      <c r="BE878" s="822"/>
      <c r="BF878" s="822"/>
      <c r="BG878" s="822"/>
      <c r="BH878" s="822"/>
      <c r="BI878" s="822"/>
    </row>
    <row r="879" s="667" customFormat="1" ht="31" customHeight="1" spans="1:108">
      <c r="A879" s="819">
        <v>46195</v>
      </c>
      <c r="B879" s="820" t="s">
        <v>1567</v>
      </c>
      <c r="C879" s="821" t="s">
        <v>115</v>
      </c>
      <c r="D879" s="822" t="s">
        <v>6463</v>
      </c>
      <c r="E879" s="821" t="s">
        <v>1569</v>
      </c>
      <c r="F879" s="822" t="s">
        <v>6598</v>
      </c>
      <c r="G879" s="823" t="s">
        <v>4414</v>
      </c>
      <c r="H879" s="821" t="s">
        <v>3978</v>
      </c>
      <c r="I879" s="824">
        <v>50000</v>
      </c>
      <c r="J879" s="821">
        <v>0</v>
      </c>
      <c r="K879" s="821">
        <v>8</v>
      </c>
      <c r="L879" s="821">
        <f t="shared" si="185"/>
        <v>6250</v>
      </c>
      <c r="M879" s="825">
        <v>46290</v>
      </c>
      <c r="N879" s="825">
        <v>46286</v>
      </c>
      <c r="O879" s="820"/>
      <c r="P879" s="824"/>
      <c r="Q879" s="824"/>
      <c r="R879" s="827" t="s">
        <v>6465</v>
      </c>
      <c r="S879" s="828" t="s">
        <v>107</v>
      </c>
      <c r="T879" s="828" t="s">
        <v>2962</v>
      </c>
      <c r="U879" s="828"/>
      <c r="V879" s="828"/>
      <c r="W879" s="828"/>
      <c r="X879" s="828" t="s">
        <v>6466</v>
      </c>
      <c r="Y879" s="825" t="s">
        <v>1569</v>
      </c>
      <c r="Z879" s="830"/>
      <c r="AA879" s="822"/>
      <c r="AB879" s="831"/>
      <c r="AC879" s="887" t="s">
        <v>4194</v>
      </c>
      <c r="AD879" s="821" t="s">
        <v>99</v>
      </c>
      <c r="AE879" s="821">
        <f t="shared" si="182"/>
        <v>50000</v>
      </c>
      <c r="AF879" s="1000" t="s">
        <v>5125</v>
      </c>
      <c r="AG879" s="821"/>
      <c r="AH879" s="833">
        <f t="shared" si="186"/>
        <v>-50000</v>
      </c>
      <c r="AI879" s="824"/>
      <c r="AJ879" s="821"/>
      <c r="AK879" s="834">
        <f t="shared" si="184"/>
        <v>50000</v>
      </c>
      <c r="AL879" s="822"/>
      <c r="AM879" s="822"/>
      <c r="AN879" s="834">
        <f t="shared" si="183"/>
        <v>50000</v>
      </c>
      <c r="AO879" s="822"/>
      <c r="AP879" s="822"/>
      <c r="AQ879" s="822"/>
      <c r="AR879" s="822"/>
      <c r="AS879" s="822"/>
      <c r="AT879" s="822">
        <f>I879/8</f>
        <v>6250</v>
      </c>
      <c r="AU879" s="822"/>
      <c r="AV879" s="822"/>
      <c r="AW879" s="822"/>
      <c r="AX879" s="822"/>
      <c r="AY879" s="822"/>
      <c r="AZ879" s="822"/>
      <c r="BA879" s="822"/>
      <c r="BB879" s="822"/>
      <c r="BC879" s="822"/>
      <c r="BD879" s="822"/>
      <c r="BE879" s="822"/>
      <c r="BF879" s="822"/>
      <c r="BG879" s="822"/>
      <c r="BH879" s="822"/>
      <c r="BI879" s="822"/>
    </row>
    <row r="880" s="667" customFormat="1" ht="31" customHeight="1" spans="1:108">
      <c r="A880" s="819">
        <v>46223</v>
      </c>
      <c r="B880" s="820" t="s">
        <v>346</v>
      </c>
      <c r="C880" s="821" t="s">
        <v>115</v>
      </c>
      <c r="D880" s="822">
        <v>4500217089</v>
      </c>
      <c r="E880" s="1915" t="s">
        <v>6599</v>
      </c>
      <c r="F880" s="822" t="s">
        <v>6600</v>
      </c>
      <c r="G880" s="823" t="s">
        <v>4414</v>
      </c>
      <c r="H880" s="821" t="s">
        <v>3978</v>
      </c>
      <c r="I880" s="824">
        <v>24064</v>
      </c>
      <c r="J880" s="821">
        <v>0</v>
      </c>
      <c r="K880" s="821">
        <v>512</v>
      </c>
      <c r="L880" s="821">
        <f t="shared" si="185"/>
        <v>47</v>
      </c>
      <c r="M880" s="825">
        <v>46293</v>
      </c>
      <c r="N880" s="825">
        <v>46289</v>
      </c>
      <c r="O880" s="820"/>
      <c r="P880" s="824"/>
      <c r="Q880" s="824"/>
      <c r="R880" s="827" t="s">
        <v>6465</v>
      </c>
      <c r="S880" s="848" t="s">
        <v>107</v>
      </c>
      <c r="T880" s="828" t="s">
        <v>6522</v>
      </c>
      <c r="U880" s="828"/>
      <c r="V880" s="828"/>
      <c r="W880" s="828"/>
      <c r="X880" s="828" t="s">
        <v>6586</v>
      </c>
      <c r="Y880" s="825" t="s">
        <v>354</v>
      </c>
      <c r="Z880" s="830">
        <v>1470.4917</v>
      </c>
      <c r="AA880" s="822">
        <f>Z880*L880</f>
        <v>69113.1099</v>
      </c>
      <c r="AB880" s="831"/>
      <c r="AC880" s="887" t="s">
        <v>4194</v>
      </c>
      <c r="AD880" s="821" t="s">
        <v>112</v>
      </c>
      <c r="AE880" s="821">
        <f t="shared" si="182"/>
        <v>24064</v>
      </c>
      <c r="AF880" s="1000"/>
      <c r="AG880" s="821"/>
      <c r="AH880" s="833">
        <f t="shared" si="186"/>
        <v>-24064</v>
      </c>
      <c r="AI880" s="824"/>
      <c r="AJ880" s="821"/>
      <c r="AK880" s="834">
        <f t="shared" si="184"/>
        <v>24064</v>
      </c>
      <c r="AL880" s="822"/>
      <c r="AM880" s="822"/>
      <c r="AN880" s="834">
        <f t="shared" si="183"/>
        <v>24064</v>
      </c>
      <c r="AO880" s="822"/>
      <c r="AP880" s="822"/>
      <c r="AQ880" s="822"/>
      <c r="AR880" s="822"/>
      <c r="AS880" s="822"/>
      <c r="AT880" s="673">
        <f>I880/8</f>
        <v>3008</v>
      </c>
      <c r="AU880" s="822"/>
      <c r="AV880" s="822"/>
      <c r="AW880" s="822"/>
      <c r="AX880" s="822"/>
      <c r="AY880" s="822"/>
      <c r="AZ880" s="822"/>
      <c r="BA880" s="822"/>
      <c r="BB880" s="822"/>
      <c r="BC880" s="822"/>
      <c r="BD880" s="822"/>
      <c r="BE880" s="822"/>
      <c r="BF880" s="822"/>
      <c r="BG880" s="822"/>
      <c r="BH880" s="822"/>
      <c r="BI880" s="822"/>
    </row>
    <row r="881" s="659" customFormat="1" ht="31" customHeight="1" spans="1:61">
      <c r="A881" s="819">
        <v>46191</v>
      </c>
      <c r="B881" s="820" t="s">
        <v>6197</v>
      </c>
      <c r="C881" s="821" t="s">
        <v>115</v>
      </c>
      <c r="D881" s="822" t="s">
        <v>6198</v>
      </c>
      <c r="E881" s="821" t="s">
        <v>6601</v>
      </c>
      <c r="F881" s="822" t="s">
        <v>6602</v>
      </c>
      <c r="G881" s="823" t="s">
        <v>3980</v>
      </c>
      <c r="H881" s="708" t="s">
        <v>3978</v>
      </c>
      <c r="I881" s="824">
        <v>1928</v>
      </c>
      <c r="J881" s="821">
        <v>0</v>
      </c>
      <c r="K881" s="821">
        <v>8</v>
      </c>
      <c r="L881" s="821">
        <f t="shared" si="185"/>
        <v>241</v>
      </c>
      <c r="M881" s="825">
        <v>46293</v>
      </c>
      <c r="N881" s="825">
        <v>46289</v>
      </c>
      <c r="O881" s="820"/>
      <c r="P881" s="824"/>
      <c r="Q881" s="824"/>
      <c r="R881" s="827">
        <v>46191</v>
      </c>
      <c r="S881" s="828" t="s">
        <v>107</v>
      </c>
      <c r="T881" s="828" t="s">
        <v>95</v>
      </c>
      <c r="U881" s="828"/>
      <c r="V881" s="829"/>
      <c r="W881" s="828"/>
      <c r="X881" s="828" t="s">
        <v>6202</v>
      </c>
      <c r="Y881" s="825" t="s">
        <v>6203</v>
      </c>
      <c r="Z881" s="830">
        <v>2.896</v>
      </c>
      <c r="AA881" s="822">
        <f>I881*Z881</f>
        <v>5583.488</v>
      </c>
      <c r="AB881" s="831"/>
      <c r="AC881" s="836" t="s">
        <v>3980</v>
      </c>
      <c r="AD881" s="821" t="s">
        <v>112</v>
      </c>
      <c r="AE881" s="821">
        <f t="shared" si="182"/>
        <v>1928</v>
      </c>
      <c r="AF881" s="1000" t="s">
        <v>5125</v>
      </c>
      <c r="AG881" s="708"/>
      <c r="AH881" s="833">
        <f t="shared" si="186"/>
        <v>-1928</v>
      </c>
      <c r="AI881" s="824"/>
      <c r="AJ881" s="821"/>
      <c r="AK881" s="834">
        <f t="shared" si="184"/>
        <v>1928</v>
      </c>
      <c r="AL881" s="822"/>
      <c r="AM881" s="822"/>
      <c r="AN881" s="834">
        <f t="shared" si="183"/>
        <v>1928</v>
      </c>
      <c r="AO881" s="822"/>
      <c r="AP881" s="822"/>
      <c r="AQ881" s="822"/>
      <c r="AR881" s="822"/>
      <c r="AS881" s="822"/>
      <c r="AT881" s="822">
        <f>I881/8</f>
        <v>241</v>
      </c>
      <c r="AU881" s="834"/>
      <c r="AV881" s="834"/>
      <c r="AW881" s="834"/>
      <c r="AX881" s="822"/>
      <c r="AY881" s="822"/>
      <c r="AZ881" s="822"/>
      <c r="BA881" s="822"/>
      <c r="BB881" s="822"/>
      <c r="BC881" s="822"/>
      <c r="BD881" s="822"/>
      <c r="BE881" s="822"/>
      <c r="BF881" s="822"/>
      <c r="BG881" s="822"/>
      <c r="BH881" s="822"/>
      <c r="BI881" s="822"/>
    </row>
    <row r="882" s="670" customFormat="1" ht="31" customHeight="1" spans="1:61">
      <c r="A882" s="951">
        <v>46204</v>
      </c>
      <c r="B882" s="952" t="s">
        <v>3173</v>
      </c>
      <c r="C882" s="953" t="s">
        <v>135</v>
      </c>
      <c r="D882" s="669" t="s">
        <v>6603</v>
      </c>
      <c r="E882" s="953" t="s">
        <v>3697</v>
      </c>
      <c r="F882" s="669" t="s">
        <v>6604</v>
      </c>
      <c r="G882" s="955" t="s">
        <v>3980</v>
      </c>
      <c r="H882" s="956" t="s">
        <v>3978</v>
      </c>
      <c r="I882" s="957">
        <v>3208</v>
      </c>
      <c r="J882" s="953">
        <v>0</v>
      </c>
      <c r="K882" s="953">
        <v>8</v>
      </c>
      <c r="L882" s="953">
        <f t="shared" si="185"/>
        <v>401</v>
      </c>
      <c r="M882" s="958">
        <v>46293</v>
      </c>
      <c r="N882" s="958">
        <v>46289</v>
      </c>
      <c r="O882" s="952"/>
      <c r="P882" s="957"/>
      <c r="Q882" s="957"/>
      <c r="R882" s="886"/>
      <c r="S882" s="848"/>
      <c r="T882" s="848"/>
      <c r="U882" s="848"/>
      <c r="V882" s="960"/>
      <c r="W882" s="961"/>
      <c r="X882" s="1073" t="s">
        <v>6605</v>
      </c>
      <c r="Y882" s="958" t="s">
        <v>3179</v>
      </c>
      <c r="Z882" s="962">
        <v>4.8266</v>
      </c>
      <c r="AA882" s="669">
        <f>I882*Z882</f>
        <v>15483.7328</v>
      </c>
      <c r="AB882" s="831"/>
      <c r="AC882" s="836" t="s">
        <v>3980</v>
      </c>
      <c r="AD882" s="821" t="s">
        <v>112</v>
      </c>
      <c r="AE882" s="953">
        <f t="shared" si="182"/>
        <v>3208</v>
      </c>
      <c r="AF882" s="1000" t="s">
        <v>5125</v>
      </c>
      <c r="AG882" s="956"/>
      <c r="AH882" s="833">
        <f t="shared" si="186"/>
        <v>-3208</v>
      </c>
      <c r="AI882" s="957"/>
      <c r="AJ882" s="953"/>
      <c r="AK882" s="834">
        <f t="shared" si="184"/>
        <v>3208</v>
      </c>
      <c r="AL882" s="822"/>
      <c r="AM882" s="822"/>
      <c r="AN882" s="834">
        <f t="shared" si="183"/>
        <v>3208</v>
      </c>
      <c r="AO882" s="669"/>
      <c r="AP882" s="822"/>
      <c r="AQ882" s="669"/>
      <c r="AR882" s="669"/>
      <c r="AS882" s="669"/>
      <c r="AT882" s="822">
        <f>I882/8</f>
        <v>401</v>
      </c>
      <c r="AX882" s="669"/>
      <c r="AY882" s="669"/>
      <c r="AZ882" s="669"/>
      <c r="BA882" s="669"/>
      <c r="BB882" s="669"/>
      <c r="BC882" s="669"/>
      <c r="BD882" s="669"/>
      <c r="BE882" s="669"/>
      <c r="BF882" s="669"/>
      <c r="BG882" s="669"/>
      <c r="BH882" s="669"/>
      <c r="BI882" s="822"/>
    </row>
    <row r="883" s="672" customFormat="1" ht="31" customHeight="1" spans="1:61">
      <c r="A883" s="897">
        <v>46227</v>
      </c>
      <c r="B883" s="1022" t="s">
        <v>6606</v>
      </c>
      <c r="C883" s="913" t="s">
        <v>608</v>
      </c>
      <c r="D883" s="673" t="s">
        <v>6607</v>
      </c>
      <c r="E883" s="913"/>
      <c r="F883" s="673" t="s">
        <v>3704</v>
      </c>
      <c r="G883" s="1023" t="s">
        <v>6608</v>
      </c>
      <c r="H883" s="899"/>
      <c r="I883" s="904">
        <v>22200</v>
      </c>
      <c r="J883" s="913">
        <v>0</v>
      </c>
      <c r="K883" s="913">
        <v>6</v>
      </c>
      <c r="L883" s="821">
        <f t="shared" si="185"/>
        <v>3700</v>
      </c>
      <c r="M883" s="1024">
        <v>46293</v>
      </c>
      <c r="N883" s="1024">
        <v>46289</v>
      </c>
      <c r="O883" s="1022"/>
      <c r="P883" s="904"/>
      <c r="Q883" s="904"/>
      <c r="R883" s="886">
        <v>46227</v>
      </c>
      <c r="S883" s="848" t="s">
        <v>107</v>
      </c>
      <c r="T883" s="828" t="s">
        <v>95</v>
      </c>
      <c r="U883" s="848"/>
      <c r="V883" s="906"/>
      <c r="W883" s="1025"/>
      <c r="X883" s="1104" t="s">
        <v>6609</v>
      </c>
      <c r="Y883" s="1024" t="s">
        <v>2037</v>
      </c>
      <c r="Z883" s="1026">
        <v>42.3955</v>
      </c>
      <c r="AA883" s="673">
        <f>Z883*I883</f>
        <v>941180.1</v>
      </c>
      <c r="AB883" s="910"/>
      <c r="AC883" s="1023" t="s">
        <v>6610</v>
      </c>
      <c r="AD883" s="912" t="s">
        <v>3804</v>
      </c>
      <c r="AE883" s="821">
        <f t="shared" si="182"/>
        <v>22200</v>
      </c>
      <c r="AF883" s="913"/>
      <c r="AG883" s="899"/>
      <c r="AH883" s="833">
        <f t="shared" si="186"/>
        <v>-22200</v>
      </c>
      <c r="AI883" s="904"/>
      <c r="AJ883" s="913"/>
      <c r="AK883" s="920"/>
      <c r="AL883" s="920"/>
      <c r="AM883" s="920">
        <f>I883</f>
        <v>22200</v>
      </c>
      <c r="AN883" s="834">
        <f t="shared" si="183"/>
        <v>22200</v>
      </c>
      <c r="AO883" s="673"/>
      <c r="AP883" s="920"/>
      <c r="AQ883" s="834"/>
      <c r="AR883" s="834"/>
      <c r="AS883" s="834"/>
      <c r="AT883" s="673"/>
      <c r="AX883" s="673"/>
      <c r="AY883" s="673">
        <f>I883/6</f>
        <v>3700</v>
      </c>
      <c r="AZ883" s="673"/>
      <c r="BA883" s="673"/>
      <c r="BB883" s="673"/>
      <c r="BC883" s="673"/>
      <c r="BD883" s="673"/>
      <c r="BE883" s="673"/>
      <c r="BF883" s="673"/>
      <c r="BG883" s="673"/>
      <c r="BH883" s="673"/>
      <c r="BI883" s="920"/>
    </row>
    <row r="884" s="677" customFormat="1" ht="31" customHeight="1" spans="1:61">
      <c r="A884" s="1030">
        <v>46246</v>
      </c>
      <c r="B884" s="1031" t="s">
        <v>6611</v>
      </c>
      <c r="C884" s="1032" t="s">
        <v>101</v>
      </c>
      <c r="D884" s="674" t="s">
        <v>6612</v>
      </c>
      <c r="E884" s="1032" t="s">
        <v>6613</v>
      </c>
      <c r="F884" s="674" t="s">
        <v>6614</v>
      </c>
      <c r="G884" s="1033" t="s">
        <v>3980</v>
      </c>
      <c r="H884" s="1043" t="s">
        <v>3978</v>
      </c>
      <c r="I884" s="1034">
        <v>1200</v>
      </c>
      <c r="J884" s="1032">
        <v>0</v>
      </c>
      <c r="K884" s="1032">
        <v>8</v>
      </c>
      <c r="L884" s="984">
        <f t="shared" si="185"/>
        <v>150</v>
      </c>
      <c r="M884" s="1035">
        <v>46293</v>
      </c>
      <c r="N884" s="1035">
        <v>46289</v>
      </c>
      <c r="O884" s="1031"/>
      <c r="P884" s="1034"/>
      <c r="Q884" s="1034"/>
      <c r="R884" s="1036">
        <v>46246</v>
      </c>
      <c r="S884" s="979" t="s">
        <v>107</v>
      </c>
      <c r="T884" s="977"/>
      <c r="U884" s="978"/>
      <c r="V884" s="1038"/>
      <c r="W884" s="1039"/>
      <c r="X884" s="1105" t="s">
        <v>6615</v>
      </c>
      <c r="Y884" s="1035" t="s">
        <v>6616</v>
      </c>
      <c r="Z884" s="1040">
        <v>4.7882</v>
      </c>
      <c r="AA884" s="674">
        <f>I884*Z884</f>
        <v>5745.84</v>
      </c>
      <c r="AB884" s="1041"/>
      <c r="AC884" s="1106" t="s">
        <v>3980</v>
      </c>
      <c r="AD884" s="821" t="s">
        <v>112</v>
      </c>
      <c r="AE884" s="984"/>
      <c r="AF884" s="1032"/>
      <c r="AG884" s="1043"/>
      <c r="AH884" s="986"/>
      <c r="AI884" s="1034"/>
      <c r="AJ884" s="1032"/>
      <c r="AK884" s="989">
        <f>I884</f>
        <v>1200</v>
      </c>
      <c r="AL884" s="1045"/>
      <c r="AM884" s="1045"/>
      <c r="AN884" s="989">
        <f t="shared" si="183"/>
        <v>1200</v>
      </c>
      <c r="AO884" s="674"/>
      <c r="AP884" s="1045"/>
      <c r="AQ884" s="989"/>
      <c r="AR884" s="989"/>
      <c r="AS884" s="989"/>
      <c r="AT884" s="674"/>
      <c r="AX884" s="989">
        <f>I884/8</f>
        <v>150</v>
      </c>
      <c r="AY884" s="1044"/>
      <c r="AZ884" s="1044"/>
      <c r="BA884" s="674"/>
      <c r="BB884" s="674"/>
      <c r="BC884" s="674"/>
      <c r="BD884" s="674"/>
      <c r="BE884" s="674"/>
      <c r="BF884" s="674"/>
      <c r="BG884" s="674"/>
      <c r="BH884" s="674"/>
      <c r="BI884" s="1045"/>
    </row>
    <row r="885" s="670" customFormat="1" ht="31" customHeight="1" spans="1:61">
      <c r="A885" s="951">
        <v>46203</v>
      </c>
      <c r="B885" s="952" t="s">
        <v>521</v>
      </c>
      <c r="C885" s="953" t="s">
        <v>101</v>
      </c>
      <c r="D885" s="669" t="s">
        <v>6617</v>
      </c>
      <c r="E885" s="953" t="s">
        <v>6618</v>
      </c>
      <c r="F885" s="669" t="s">
        <v>3739</v>
      </c>
      <c r="G885" s="955" t="s">
        <v>5786</v>
      </c>
      <c r="H885" s="956" t="s">
        <v>804</v>
      </c>
      <c r="I885" s="957">
        <v>108</v>
      </c>
      <c r="J885" s="953">
        <v>0</v>
      </c>
      <c r="K885" s="953">
        <v>6</v>
      </c>
      <c r="L885" s="953">
        <f>IF(K885=0,"",I885/K885)</f>
        <v>18</v>
      </c>
      <c r="M885" s="958">
        <v>46294</v>
      </c>
      <c r="N885" s="958">
        <v>46290</v>
      </c>
      <c r="O885" s="952"/>
      <c r="P885" s="957"/>
      <c r="Q885" s="957"/>
      <c r="R885" s="864" t="s">
        <v>3064</v>
      </c>
      <c r="S885" s="828" t="s">
        <v>107</v>
      </c>
      <c r="T885" s="828" t="s">
        <v>6482</v>
      </c>
      <c r="U885" s="848"/>
      <c r="V885" s="828" t="s">
        <v>6093</v>
      </c>
      <c r="W885" s="961"/>
      <c r="X885" s="1047" t="s">
        <v>6619</v>
      </c>
      <c r="Y885" s="958" t="s">
        <v>362</v>
      </c>
      <c r="Z885" s="962">
        <v>8.5</v>
      </c>
      <c r="AA885" s="669">
        <f>L885*Z885</f>
        <v>153</v>
      </c>
      <c r="AB885" s="831"/>
      <c r="AC885" s="1052" t="s">
        <v>2727</v>
      </c>
      <c r="AD885" s="821" t="s">
        <v>112</v>
      </c>
      <c r="AE885" s="953">
        <f t="shared" ref="AE885:AE909" si="187">I885</f>
        <v>108</v>
      </c>
      <c r="AF885" s="953"/>
      <c r="AG885" s="956"/>
      <c r="AH885" s="833">
        <f t="shared" ref="AH885:AH892" si="188">AG885-I885</f>
        <v>-108</v>
      </c>
      <c r="AI885" s="957"/>
      <c r="AJ885" s="953"/>
      <c r="AK885" s="822"/>
      <c r="AL885" s="822"/>
      <c r="AM885" s="822"/>
      <c r="AN885" s="834">
        <f t="shared" ref="AN885:AN894" si="189">I885</f>
        <v>108</v>
      </c>
      <c r="AO885" s="669"/>
      <c r="AP885" s="822"/>
      <c r="AQ885" s="669"/>
      <c r="AR885" s="669"/>
      <c r="AS885" s="669"/>
      <c r="AT885" s="669"/>
      <c r="AX885" s="669"/>
      <c r="AY885" s="669"/>
      <c r="AZ885" s="669"/>
      <c r="BA885" s="669"/>
      <c r="BB885" s="669"/>
      <c r="BC885" s="669"/>
      <c r="BD885" s="669"/>
      <c r="BE885" s="669"/>
      <c r="BF885" s="669"/>
      <c r="BG885" s="669"/>
      <c r="BH885" s="669"/>
      <c r="BI885" s="834">
        <f>I885</f>
        <v>108</v>
      </c>
    </row>
    <row r="886" s="670" customFormat="1" ht="31" customHeight="1" spans="1:61">
      <c r="A886" s="951">
        <v>46203</v>
      </c>
      <c r="B886" s="952" t="s">
        <v>525</v>
      </c>
      <c r="C886" s="953" t="s">
        <v>508</v>
      </c>
      <c r="D886" s="669" t="s">
        <v>6620</v>
      </c>
      <c r="E886" s="953" t="s">
        <v>6621</v>
      </c>
      <c r="F886" s="669" t="s">
        <v>3737</v>
      </c>
      <c r="G886" s="1107" t="s">
        <v>6408</v>
      </c>
      <c r="H886" s="956" t="s">
        <v>804</v>
      </c>
      <c r="I886" s="957">
        <v>1392</v>
      </c>
      <c r="J886" s="953">
        <v>0</v>
      </c>
      <c r="K886" s="953">
        <v>6</v>
      </c>
      <c r="L886" s="953">
        <f>IF(K886=0,"",I886/K886)</f>
        <v>232</v>
      </c>
      <c r="M886" s="958">
        <v>46294</v>
      </c>
      <c r="N886" s="958">
        <v>46290</v>
      </c>
      <c r="O886" s="952"/>
      <c r="P886" s="957"/>
      <c r="Q886" s="957"/>
      <c r="R886" s="864" t="s">
        <v>3064</v>
      </c>
      <c r="S886" s="828" t="s">
        <v>107</v>
      </c>
      <c r="T886" s="828" t="s">
        <v>6482</v>
      </c>
      <c r="U886" s="848"/>
      <c r="V886" s="828" t="s">
        <v>6093</v>
      </c>
      <c r="W886" s="961"/>
      <c r="X886" s="1047" t="s">
        <v>6622</v>
      </c>
      <c r="Y886" s="958" t="s">
        <v>362</v>
      </c>
      <c r="Z886" s="962">
        <v>8.5058</v>
      </c>
      <c r="AA886" s="669">
        <f>L886*Z886</f>
        <v>1973.3456</v>
      </c>
      <c r="AB886" s="831"/>
      <c r="AC886" s="1052" t="s">
        <v>2727</v>
      </c>
      <c r="AD886" s="821" t="s">
        <v>112</v>
      </c>
      <c r="AE886" s="953">
        <f t="shared" si="187"/>
        <v>1392</v>
      </c>
      <c r="AF886" s="953"/>
      <c r="AG886" s="956"/>
      <c r="AH886" s="833">
        <f t="shared" si="188"/>
        <v>-1392</v>
      </c>
      <c r="AI886" s="957"/>
      <c r="AJ886" s="953"/>
      <c r="AK886" s="822"/>
      <c r="AL886" s="822"/>
      <c r="AM886" s="822"/>
      <c r="AN886" s="834">
        <f t="shared" si="189"/>
        <v>1392</v>
      </c>
      <c r="AO886" s="669"/>
      <c r="AP886" s="822"/>
      <c r="AQ886" s="669"/>
      <c r="AR886" s="669"/>
      <c r="AS886" s="669"/>
      <c r="AT886" s="669"/>
      <c r="AX886" s="669"/>
      <c r="AY886" s="669"/>
      <c r="AZ886" s="669"/>
      <c r="BA886" s="669"/>
      <c r="BB886" s="669"/>
      <c r="BC886" s="669"/>
      <c r="BD886" s="669"/>
      <c r="BE886" s="669"/>
      <c r="BF886" s="669"/>
      <c r="BG886" s="669"/>
      <c r="BH886" s="669"/>
      <c r="BI886" s="834">
        <f>I886</f>
        <v>1392</v>
      </c>
    </row>
    <row r="887" s="667" customFormat="1" ht="31" customHeight="1" spans="1:61">
      <c r="A887" s="819">
        <v>46210</v>
      </c>
      <c r="B887" s="820" t="s">
        <v>1460</v>
      </c>
      <c r="C887" s="821" t="s">
        <v>1461</v>
      </c>
      <c r="D887" s="822">
        <v>4500214681</v>
      </c>
      <c r="E887" s="821"/>
      <c r="F887" s="822" t="s">
        <v>6623</v>
      </c>
      <c r="G887" s="823" t="s">
        <v>3973</v>
      </c>
      <c r="H887" s="708" t="s">
        <v>3995</v>
      </c>
      <c r="I887" s="824">
        <v>2512</v>
      </c>
      <c r="J887" s="821">
        <v>0</v>
      </c>
      <c r="K887" s="821">
        <v>16</v>
      </c>
      <c r="L887" s="821">
        <f t="shared" ref="L887:L909" si="190">I887/K887</f>
        <v>157</v>
      </c>
      <c r="M887" s="825">
        <v>46294</v>
      </c>
      <c r="N887" s="825">
        <v>46290</v>
      </c>
      <c r="O887" s="820"/>
      <c r="P887" s="824"/>
      <c r="Q887" s="824"/>
      <c r="R887" s="827" t="s">
        <v>3064</v>
      </c>
      <c r="S887" s="828" t="s">
        <v>107</v>
      </c>
      <c r="T887" s="828" t="s">
        <v>3735</v>
      </c>
      <c r="U887" s="828"/>
      <c r="V887" s="828"/>
      <c r="W887" s="828"/>
      <c r="X887" s="828" t="s">
        <v>3736</v>
      </c>
      <c r="Y887" s="825" t="s">
        <v>1466</v>
      </c>
      <c r="Z887" s="830">
        <v>4.8226</v>
      </c>
      <c r="AA887" s="822">
        <f>I887*Z887</f>
        <v>12114.3712</v>
      </c>
      <c r="AB887" s="831"/>
      <c r="AC887" s="820" t="s">
        <v>3973</v>
      </c>
      <c r="AD887" s="821" t="s">
        <v>112</v>
      </c>
      <c r="AE887" s="821">
        <f t="shared" si="187"/>
        <v>2512</v>
      </c>
      <c r="AF887" s="1000" t="s">
        <v>5125</v>
      </c>
      <c r="AG887" s="821"/>
      <c r="AH887" s="833">
        <f t="shared" si="188"/>
        <v>-2512</v>
      </c>
      <c r="AI887" s="824"/>
      <c r="AJ887" s="821"/>
      <c r="AK887" s="834">
        <f>I887</f>
        <v>2512</v>
      </c>
      <c r="AL887" s="822"/>
      <c r="AM887" s="822"/>
      <c r="AN887" s="834">
        <f t="shared" si="189"/>
        <v>2512</v>
      </c>
      <c r="AO887" s="822"/>
      <c r="AP887" s="822"/>
      <c r="AQ887" s="822"/>
      <c r="AR887" s="822"/>
      <c r="AS887" s="822"/>
      <c r="AT887" s="669">
        <f>I887/8</f>
        <v>314</v>
      </c>
      <c r="AU887" s="822"/>
      <c r="AV887" s="822"/>
      <c r="AW887" s="822"/>
      <c r="AX887" s="822"/>
      <c r="AY887" s="822"/>
      <c r="AZ887" s="822"/>
      <c r="BA887" s="822"/>
      <c r="BB887" s="822"/>
      <c r="BC887" s="822"/>
      <c r="BD887" s="822"/>
      <c r="BE887" s="822"/>
      <c r="BF887" s="822"/>
      <c r="BG887" s="822"/>
      <c r="BH887" s="822"/>
      <c r="BI887" s="822"/>
    </row>
    <row r="888" s="667" customFormat="1" ht="31" customHeight="1" spans="1:61">
      <c r="A888" s="998">
        <v>46232</v>
      </c>
      <c r="B888" s="999" t="s">
        <v>1940</v>
      </c>
      <c r="C888" s="1000" t="s">
        <v>148</v>
      </c>
      <c r="D888" s="1001">
        <v>4500218137</v>
      </c>
      <c r="E888" s="1000">
        <v>5200010463</v>
      </c>
      <c r="F888" s="1001" t="s">
        <v>6624</v>
      </c>
      <c r="G888" s="1002" t="s">
        <v>4028</v>
      </c>
      <c r="H888" s="1000" t="s">
        <v>3978</v>
      </c>
      <c r="I888" s="1004">
        <v>5000</v>
      </c>
      <c r="J888" s="1000">
        <v>0</v>
      </c>
      <c r="K888" s="1000">
        <v>8</v>
      </c>
      <c r="L888" s="821">
        <f t="shared" si="190"/>
        <v>625</v>
      </c>
      <c r="M888" s="1005">
        <v>46294</v>
      </c>
      <c r="N888" s="1005">
        <v>46290</v>
      </c>
      <c r="O888" s="999"/>
      <c r="P888" s="1004"/>
      <c r="Q888" s="1004"/>
      <c r="R888" s="827" t="s">
        <v>3064</v>
      </c>
      <c r="S888" s="1087" t="s">
        <v>107</v>
      </c>
      <c r="T888" s="1007" t="s">
        <v>6625</v>
      </c>
      <c r="U888" s="1007"/>
      <c r="V888" s="1007"/>
      <c r="W888" s="1007"/>
      <c r="X888" s="1007" t="s">
        <v>6626</v>
      </c>
      <c r="Y888" s="1005" t="s">
        <v>1945</v>
      </c>
      <c r="Z888" s="1010">
        <v>4.8161</v>
      </c>
      <c r="AA888" s="822">
        <f>Z888*I888</f>
        <v>24080.5</v>
      </c>
      <c r="AB888" s="1108"/>
      <c r="AC888" s="895" t="s">
        <v>4031</v>
      </c>
      <c r="AD888" s="821" t="s">
        <v>112</v>
      </c>
      <c r="AE888" s="821">
        <f t="shared" si="187"/>
        <v>5000</v>
      </c>
      <c r="AF888" s="913"/>
      <c r="AG888" s="899"/>
      <c r="AH888" s="833">
        <f t="shared" si="188"/>
        <v>-5000</v>
      </c>
      <c r="AI888" s="1004"/>
      <c r="AJ888" s="913"/>
      <c r="AK888" s="1001"/>
      <c r="AL888" s="1092">
        <f>I888</f>
        <v>5000</v>
      </c>
      <c r="AM888" s="822"/>
      <c r="AN888" s="920">
        <f t="shared" si="189"/>
        <v>5000</v>
      </c>
      <c r="AO888" s="1001"/>
      <c r="AP888" s="1001"/>
      <c r="AQ888" s="1001"/>
      <c r="AR888" s="1001"/>
      <c r="AS888" s="1001"/>
      <c r="AT888" s="1001"/>
      <c r="AU888" s="1081">
        <f>I888/8</f>
        <v>625</v>
      </c>
      <c r="AV888" s="1109"/>
      <c r="AW888" s="1001"/>
      <c r="AX888" s="1001"/>
      <c r="AY888" s="1001"/>
      <c r="AZ888" s="1001"/>
      <c r="BA888" s="1001"/>
      <c r="BB888" s="1001"/>
      <c r="BC888" s="1001"/>
      <c r="BD888" s="1001"/>
      <c r="BE888" s="1001"/>
      <c r="BF888" s="1001"/>
      <c r="BG888" s="1001"/>
      <c r="BH888" s="1001"/>
      <c r="BI888" s="1001"/>
    </row>
    <row r="889" s="670" customFormat="1" ht="31" customHeight="1" spans="1:61">
      <c r="A889" s="951">
        <v>46203</v>
      </c>
      <c r="B889" s="952" t="s">
        <v>525</v>
      </c>
      <c r="C889" s="953" t="s">
        <v>508</v>
      </c>
      <c r="D889" s="669" t="s">
        <v>6620</v>
      </c>
      <c r="E889" s="953" t="s">
        <v>6627</v>
      </c>
      <c r="F889" s="669" t="s">
        <v>6628</v>
      </c>
      <c r="G889" s="955" t="s">
        <v>3980</v>
      </c>
      <c r="H889" s="956" t="s">
        <v>3978</v>
      </c>
      <c r="I889" s="957">
        <v>3664</v>
      </c>
      <c r="J889" s="953">
        <v>0</v>
      </c>
      <c r="K889" s="953">
        <v>8</v>
      </c>
      <c r="L889" s="953">
        <f t="shared" si="190"/>
        <v>458</v>
      </c>
      <c r="M889" s="958">
        <v>46295</v>
      </c>
      <c r="N889" s="958">
        <v>46291</v>
      </c>
      <c r="O889" s="952"/>
      <c r="P889" s="957"/>
      <c r="Q889" s="957"/>
      <c r="R889" s="864" t="s">
        <v>3064</v>
      </c>
      <c r="S889" s="828" t="s">
        <v>107</v>
      </c>
      <c r="T889" s="828" t="s">
        <v>6482</v>
      </c>
      <c r="U889" s="848"/>
      <c r="V889" s="828" t="s">
        <v>6093</v>
      </c>
      <c r="W889" s="961"/>
      <c r="X889" s="961" t="s">
        <v>6629</v>
      </c>
      <c r="Y889" s="958" t="s">
        <v>362</v>
      </c>
      <c r="Z889" s="962">
        <v>4.9114</v>
      </c>
      <c r="AA889" s="669">
        <f t="shared" ref="AA889:AA894" si="191">I889*Z889</f>
        <v>17995.3696</v>
      </c>
      <c r="AB889" s="831"/>
      <c r="AC889" s="1052" t="s">
        <v>3980</v>
      </c>
      <c r="AD889" s="821" t="s">
        <v>112</v>
      </c>
      <c r="AE889" s="953">
        <f t="shared" si="187"/>
        <v>3664</v>
      </c>
      <c r="AF889" s="953" t="s">
        <v>5125</v>
      </c>
      <c r="AG889" s="956"/>
      <c r="AH889" s="833">
        <f t="shared" si="188"/>
        <v>-3664</v>
      </c>
      <c r="AI889" s="957"/>
      <c r="AJ889" s="953"/>
      <c r="AK889" s="834">
        <f t="shared" ref="AK889:AK895" si="192">I889</f>
        <v>3664</v>
      </c>
      <c r="AL889" s="822"/>
      <c r="AM889" s="822"/>
      <c r="AN889" s="834">
        <f t="shared" si="189"/>
        <v>3664</v>
      </c>
      <c r="AO889" s="669"/>
      <c r="AP889" s="822"/>
      <c r="AQ889" s="669"/>
      <c r="AR889" s="669"/>
      <c r="AS889" s="669"/>
      <c r="AT889" s="669"/>
      <c r="AV889" s="834"/>
      <c r="AW889" s="834"/>
      <c r="AX889" s="834">
        <f>I889/8</f>
        <v>458</v>
      </c>
      <c r="AY889" s="834"/>
      <c r="AZ889" s="834"/>
      <c r="BA889" s="669"/>
      <c r="BB889" s="669"/>
      <c r="BC889" s="669"/>
      <c r="BD889" s="669"/>
      <c r="BE889" s="669"/>
      <c r="BF889" s="669"/>
      <c r="BG889" s="669"/>
      <c r="BH889" s="669"/>
      <c r="BI889" s="822"/>
    </row>
    <row r="890" s="670" customFormat="1" ht="31" customHeight="1" spans="1:61">
      <c r="A890" s="951">
        <v>46203</v>
      </c>
      <c r="B890" s="952" t="s">
        <v>521</v>
      </c>
      <c r="C890" s="953" t="s">
        <v>101</v>
      </c>
      <c r="D890" s="669" t="s">
        <v>6617</v>
      </c>
      <c r="E890" s="953" t="s">
        <v>6630</v>
      </c>
      <c r="F890" s="669" t="s">
        <v>6631</v>
      </c>
      <c r="G890" s="955" t="s">
        <v>3980</v>
      </c>
      <c r="H890" s="956" t="s">
        <v>3978</v>
      </c>
      <c r="I890" s="957">
        <v>336</v>
      </c>
      <c r="J890" s="953">
        <v>0</v>
      </c>
      <c r="K890" s="953">
        <v>8</v>
      </c>
      <c r="L890" s="953">
        <f t="shared" si="190"/>
        <v>42</v>
      </c>
      <c r="M890" s="958">
        <v>46295</v>
      </c>
      <c r="N890" s="958">
        <v>46291</v>
      </c>
      <c r="O890" s="952"/>
      <c r="P890" s="957"/>
      <c r="Q890" s="957"/>
      <c r="R890" s="864" t="s">
        <v>3064</v>
      </c>
      <c r="S890" s="828" t="s">
        <v>107</v>
      </c>
      <c r="T890" s="828" t="s">
        <v>6482</v>
      </c>
      <c r="U890" s="848"/>
      <c r="V890" s="828" t="s">
        <v>6093</v>
      </c>
      <c r="W890" s="961"/>
      <c r="X890" s="961" t="s">
        <v>6632</v>
      </c>
      <c r="Y890" s="958" t="s">
        <v>362</v>
      </c>
      <c r="Z890" s="962">
        <v>4.9186</v>
      </c>
      <c r="AA890" s="669">
        <f t="shared" si="191"/>
        <v>1652.6496</v>
      </c>
      <c r="AB890" s="831"/>
      <c r="AC890" s="1052" t="s">
        <v>3980</v>
      </c>
      <c r="AD890" s="821" t="s">
        <v>112</v>
      </c>
      <c r="AE890" s="953">
        <f t="shared" si="187"/>
        <v>336</v>
      </c>
      <c r="AF890" s="1000" t="s">
        <v>5125</v>
      </c>
      <c r="AG890" s="956"/>
      <c r="AH890" s="833">
        <f t="shared" si="188"/>
        <v>-336</v>
      </c>
      <c r="AI890" s="957"/>
      <c r="AJ890" s="953"/>
      <c r="AK890" s="834">
        <f t="shared" si="192"/>
        <v>336</v>
      </c>
      <c r="AL890" s="822"/>
      <c r="AM890" s="822"/>
      <c r="AN890" s="834">
        <f t="shared" si="189"/>
        <v>336</v>
      </c>
      <c r="AO890" s="669"/>
      <c r="AP890" s="822"/>
      <c r="AQ890" s="669"/>
      <c r="AR890" s="669"/>
      <c r="AS890" s="669"/>
      <c r="AT890" s="669"/>
      <c r="AV890" s="834"/>
      <c r="AW890" s="834"/>
      <c r="AX890" s="834">
        <f>I890/8</f>
        <v>42</v>
      </c>
      <c r="AY890" s="834"/>
      <c r="AZ890" s="834"/>
      <c r="BA890" s="669"/>
      <c r="BB890" s="669"/>
      <c r="BC890" s="669"/>
      <c r="BD890" s="669"/>
      <c r="BE890" s="669"/>
      <c r="BF890" s="669"/>
      <c r="BG890" s="669"/>
      <c r="BH890" s="669"/>
      <c r="BI890" s="822"/>
    </row>
    <row r="891" s="670" customFormat="1" ht="31" customHeight="1" spans="1:61">
      <c r="A891" s="951">
        <v>46231</v>
      </c>
      <c r="B891" s="952" t="s">
        <v>507</v>
      </c>
      <c r="C891" s="953" t="s">
        <v>508</v>
      </c>
      <c r="D891" s="669">
        <v>4500217987</v>
      </c>
      <c r="E891" s="953">
        <v>2635328</v>
      </c>
      <c r="F891" s="669" t="s">
        <v>6633</v>
      </c>
      <c r="G891" s="955" t="s">
        <v>3980</v>
      </c>
      <c r="H891" s="956" t="s">
        <v>3978</v>
      </c>
      <c r="I891" s="957">
        <v>1512</v>
      </c>
      <c r="J891" s="953">
        <v>0</v>
      </c>
      <c r="K891" s="953">
        <v>8</v>
      </c>
      <c r="L891" s="953">
        <f t="shared" si="190"/>
        <v>189</v>
      </c>
      <c r="M891" s="958">
        <v>46295</v>
      </c>
      <c r="N891" s="958">
        <v>46291</v>
      </c>
      <c r="O891" s="952"/>
      <c r="P891" s="957"/>
      <c r="Q891" s="957"/>
      <c r="R891" s="864">
        <v>46231</v>
      </c>
      <c r="S891" s="828" t="s">
        <v>107</v>
      </c>
      <c r="T891" s="1007" t="s">
        <v>6399</v>
      </c>
      <c r="U891" s="848"/>
      <c r="V891" s="1007" t="s">
        <v>6093</v>
      </c>
      <c r="W891" s="961"/>
      <c r="X891" s="961" t="s">
        <v>6634</v>
      </c>
      <c r="Y891" s="958" t="s">
        <v>3041</v>
      </c>
      <c r="Z891" s="962">
        <v>4.7882</v>
      </c>
      <c r="AA891" s="669">
        <f t="shared" si="191"/>
        <v>7239.7584</v>
      </c>
      <c r="AB891" s="927"/>
      <c r="AC891" s="1110" t="s">
        <v>3980</v>
      </c>
      <c r="AD891" s="821" t="s">
        <v>112</v>
      </c>
      <c r="AE891" s="953">
        <f t="shared" si="187"/>
        <v>1512</v>
      </c>
      <c r="AF891" s="913"/>
      <c r="AG891" s="899"/>
      <c r="AH891" s="833">
        <f t="shared" si="188"/>
        <v>-1512</v>
      </c>
      <c r="AI891" s="957"/>
      <c r="AJ891" s="913"/>
      <c r="AK891" s="834">
        <f t="shared" si="192"/>
        <v>1512</v>
      </c>
      <c r="AL891" s="822"/>
      <c r="AM891" s="822"/>
      <c r="AN891" s="834">
        <f t="shared" si="189"/>
        <v>1512</v>
      </c>
      <c r="AO891" s="669"/>
      <c r="AP891" s="822"/>
      <c r="AQ891" s="669"/>
      <c r="AR891" s="669"/>
      <c r="AS891" s="669"/>
      <c r="AT891" s="669"/>
      <c r="AU891" s="670"/>
      <c r="AV891" s="834"/>
      <c r="AW891" s="834"/>
      <c r="AX891" s="1001">
        <f>I891/8</f>
        <v>189</v>
      </c>
      <c r="AY891" s="1001"/>
      <c r="AZ891" s="1001"/>
      <c r="BA891" s="669"/>
      <c r="BB891" s="669"/>
      <c r="BC891" s="669"/>
      <c r="BD891" s="669"/>
      <c r="BE891" s="669"/>
      <c r="BF891" s="669"/>
      <c r="BG891" s="669"/>
      <c r="BH891" s="669"/>
      <c r="BI891" s="822"/>
    </row>
    <row r="892" s="670" customFormat="1" ht="31" customHeight="1" spans="1:61">
      <c r="A892" s="951">
        <v>46232</v>
      </c>
      <c r="B892" s="952" t="s">
        <v>507</v>
      </c>
      <c r="C892" s="953" t="s">
        <v>508</v>
      </c>
      <c r="D892" s="669">
        <v>4500218134</v>
      </c>
      <c r="E892" s="953">
        <v>2654481</v>
      </c>
      <c r="F892" s="669" t="s">
        <v>6635</v>
      </c>
      <c r="G892" s="955" t="s">
        <v>3980</v>
      </c>
      <c r="H892" s="956" t="s">
        <v>3978</v>
      </c>
      <c r="I892" s="957">
        <v>4008</v>
      </c>
      <c r="J892" s="953">
        <v>0</v>
      </c>
      <c r="K892" s="953">
        <v>8</v>
      </c>
      <c r="L892" s="953">
        <f t="shared" si="190"/>
        <v>501</v>
      </c>
      <c r="M892" s="958">
        <v>46295</v>
      </c>
      <c r="N892" s="958">
        <v>46291</v>
      </c>
      <c r="O892" s="952"/>
      <c r="P892" s="957"/>
      <c r="Q892" s="957"/>
      <c r="R892" s="864">
        <v>46232</v>
      </c>
      <c r="S892" s="828" t="s">
        <v>107</v>
      </c>
      <c r="T892" s="1007" t="s">
        <v>6399</v>
      </c>
      <c r="U892" s="848"/>
      <c r="V892" s="1007" t="s">
        <v>6093</v>
      </c>
      <c r="W892" s="961"/>
      <c r="X892" s="961" t="s">
        <v>6636</v>
      </c>
      <c r="Y892" s="958" t="s">
        <v>673</v>
      </c>
      <c r="Z892" s="962">
        <v>4.9081</v>
      </c>
      <c r="AA892" s="669">
        <f t="shared" si="191"/>
        <v>19671.6648</v>
      </c>
      <c r="AB892" s="927"/>
      <c r="AC892" s="1110" t="s">
        <v>3980</v>
      </c>
      <c r="AD892" s="821" t="s">
        <v>112</v>
      </c>
      <c r="AE892" s="953">
        <f t="shared" si="187"/>
        <v>4008</v>
      </c>
      <c r="AF892" s="913"/>
      <c r="AG892" s="899"/>
      <c r="AH892" s="833">
        <f t="shared" si="188"/>
        <v>-4008</v>
      </c>
      <c r="AI892" s="957"/>
      <c r="AJ892" s="913"/>
      <c r="AK892" s="834">
        <f t="shared" si="192"/>
        <v>4008</v>
      </c>
      <c r="AL892" s="822"/>
      <c r="AM892" s="822"/>
      <c r="AN892" s="834">
        <f t="shared" si="189"/>
        <v>4008</v>
      </c>
      <c r="AO892" s="669"/>
      <c r="AP892" s="822"/>
      <c r="AQ892" s="669"/>
      <c r="AR892" s="669"/>
      <c r="AS892" s="669"/>
      <c r="AT892" s="669"/>
      <c r="AV892" s="834"/>
      <c r="AW892" s="834"/>
      <c r="AX892" s="1001">
        <f>I892/8</f>
        <v>501</v>
      </c>
      <c r="AY892" s="1001"/>
      <c r="AZ892" s="1001"/>
      <c r="BA892" s="669"/>
      <c r="BB892" s="669"/>
      <c r="BC892" s="669"/>
      <c r="BD892" s="669"/>
      <c r="BE892" s="669"/>
      <c r="BF892" s="669"/>
      <c r="BG892" s="669"/>
      <c r="BH892" s="669"/>
      <c r="BI892" s="822"/>
    </row>
    <row r="893" s="673" customFormat="1" ht="31" customHeight="1" spans="1:61">
      <c r="A893" s="897">
        <v>46241</v>
      </c>
      <c r="B893" s="1022" t="s">
        <v>114</v>
      </c>
      <c r="C893" s="913" t="s">
        <v>115</v>
      </c>
      <c r="D893" s="673">
        <v>4500219154</v>
      </c>
      <c r="E893" s="913" t="s">
        <v>6637</v>
      </c>
      <c r="F893" s="673" t="s">
        <v>6638</v>
      </c>
      <c r="G893" s="1023" t="s">
        <v>3980</v>
      </c>
      <c r="H893" s="913" t="s">
        <v>3978</v>
      </c>
      <c r="I893" s="904">
        <v>16536</v>
      </c>
      <c r="J893" s="913">
        <v>0</v>
      </c>
      <c r="K893" s="913">
        <v>8</v>
      </c>
      <c r="L893" s="913">
        <f t="shared" si="190"/>
        <v>2067</v>
      </c>
      <c r="M893" s="1024">
        <v>46295</v>
      </c>
      <c r="N893" s="1024">
        <f>M893-4</f>
        <v>46291</v>
      </c>
      <c r="O893" s="1022"/>
      <c r="P893" s="904"/>
      <c r="Q893" s="904"/>
      <c r="R893" s="886" t="s">
        <v>3064</v>
      </c>
      <c r="S893" s="848" t="s">
        <v>107</v>
      </c>
      <c r="T893" s="828" t="s">
        <v>3505</v>
      </c>
      <c r="U893" s="848"/>
      <c r="V893" s="1025"/>
      <c r="W893" s="1025"/>
      <c r="X893" s="828" t="s">
        <v>6639</v>
      </c>
      <c r="Y893" s="1024" t="s">
        <v>123</v>
      </c>
      <c r="Z893" s="1026">
        <v>2.8575</v>
      </c>
      <c r="AA893" s="673">
        <f t="shared" si="191"/>
        <v>47251.62</v>
      </c>
      <c r="AB893" s="910"/>
      <c r="AC893" s="895" t="s">
        <v>3980</v>
      </c>
      <c r="AD893" s="912" t="s">
        <v>112</v>
      </c>
      <c r="AE893" s="913">
        <f t="shared" si="187"/>
        <v>16536</v>
      </c>
      <c r="AF893" s="913"/>
      <c r="AG893" s="913"/>
      <c r="AH893" s="821"/>
      <c r="AI893" s="904"/>
      <c r="AJ893" s="913"/>
      <c r="AK893" s="822">
        <f t="shared" si="192"/>
        <v>16536</v>
      </c>
      <c r="AL893" s="920"/>
      <c r="AM893" s="920"/>
      <c r="AN893" s="822">
        <f t="shared" si="189"/>
        <v>16536</v>
      </c>
      <c r="AP893" s="920"/>
      <c r="AQ893" s="822"/>
      <c r="AR893" s="822"/>
      <c r="AS893" s="822"/>
      <c r="AT893" s="673">
        <f>I893/8</f>
        <v>2067</v>
      </c>
      <c r="BI893" s="920"/>
    </row>
    <row r="894" s="673" customFormat="1" ht="31" customHeight="1" spans="1:61">
      <c r="A894" s="897">
        <v>46241</v>
      </c>
      <c r="B894" s="1022" t="s">
        <v>114</v>
      </c>
      <c r="C894" s="913" t="s">
        <v>115</v>
      </c>
      <c r="D894" s="673">
        <v>4500219162</v>
      </c>
      <c r="E894" s="913" t="s">
        <v>6640</v>
      </c>
      <c r="F894" s="673" t="s">
        <v>6641</v>
      </c>
      <c r="G894" s="1023" t="s">
        <v>3980</v>
      </c>
      <c r="H894" s="913" t="s">
        <v>3978</v>
      </c>
      <c r="I894" s="904">
        <v>23464</v>
      </c>
      <c r="J894" s="913">
        <v>0</v>
      </c>
      <c r="K894" s="913">
        <v>8</v>
      </c>
      <c r="L894" s="913">
        <f t="shared" si="190"/>
        <v>2933</v>
      </c>
      <c r="M894" s="1024">
        <v>46303</v>
      </c>
      <c r="N894" s="1024">
        <f>M894-3</f>
        <v>46300</v>
      </c>
      <c r="O894" s="1022"/>
      <c r="P894" s="904"/>
      <c r="Q894" s="904"/>
      <c r="R894" s="886" t="s">
        <v>3064</v>
      </c>
      <c r="S894" s="848" t="s">
        <v>107</v>
      </c>
      <c r="T894" s="828" t="s">
        <v>3505</v>
      </c>
      <c r="U894" s="848"/>
      <c r="V894" s="1025"/>
      <c r="W894" s="1025"/>
      <c r="X894" s="828" t="s">
        <v>6639</v>
      </c>
      <c r="Y894" s="1024" t="s">
        <v>123</v>
      </c>
      <c r="Z894" s="1026">
        <v>2.8426</v>
      </c>
      <c r="AA894" s="673">
        <f t="shared" si="191"/>
        <v>66698.7664</v>
      </c>
      <c r="AB894" s="910"/>
      <c r="AC894" s="895" t="s">
        <v>3980</v>
      </c>
      <c r="AD894" s="912" t="s">
        <v>112</v>
      </c>
      <c r="AE894" s="913">
        <f t="shared" si="187"/>
        <v>23464</v>
      </c>
      <c r="AF894" s="913"/>
      <c r="AG894" s="913"/>
      <c r="AH894" s="821"/>
      <c r="AI894" s="904"/>
      <c r="AJ894" s="913"/>
      <c r="AK894" s="822">
        <f t="shared" si="192"/>
        <v>23464</v>
      </c>
      <c r="AL894" s="920"/>
      <c r="AM894" s="920"/>
      <c r="AN894" s="822">
        <f t="shared" si="189"/>
        <v>23464</v>
      </c>
      <c r="AP894" s="920"/>
      <c r="AQ894" s="822"/>
      <c r="AR894" s="822"/>
      <c r="AS894" s="822"/>
      <c r="AT894" s="673">
        <f>I894/8</f>
        <v>2933</v>
      </c>
      <c r="BI894" s="920"/>
    </row>
    <row r="895" s="667" customFormat="1" ht="31" customHeight="1" spans="1:61">
      <c r="A895" s="819">
        <v>46206</v>
      </c>
      <c r="B895" s="820" t="s">
        <v>3766</v>
      </c>
      <c r="C895" s="821" t="s">
        <v>115</v>
      </c>
      <c r="D895" s="822">
        <v>4500213343</v>
      </c>
      <c r="E895" s="821">
        <v>60304410</v>
      </c>
      <c r="F895" s="822" t="s">
        <v>3767</v>
      </c>
      <c r="G895" s="823" t="s">
        <v>4359</v>
      </c>
      <c r="H895" s="821" t="s">
        <v>804</v>
      </c>
      <c r="I895" s="824">
        <v>5400</v>
      </c>
      <c r="J895" s="821">
        <v>0</v>
      </c>
      <c r="K895" s="821">
        <v>6</v>
      </c>
      <c r="L895" s="821">
        <f t="shared" si="190"/>
        <v>900</v>
      </c>
      <c r="M895" s="825">
        <v>46303</v>
      </c>
      <c r="N895" s="825">
        <v>46300</v>
      </c>
      <c r="O895" s="820"/>
      <c r="P895" s="824"/>
      <c r="Q895" s="824"/>
      <c r="R895" s="886" t="s">
        <v>3064</v>
      </c>
      <c r="S895" s="848" t="s">
        <v>107</v>
      </c>
      <c r="T895" s="828" t="s">
        <v>3768</v>
      </c>
      <c r="U895" s="828"/>
      <c r="V895" s="828"/>
      <c r="W895" s="828"/>
      <c r="X895" s="828" t="s">
        <v>3769</v>
      </c>
      <c r="Y895" s="825" t="s">
        <v>3770</v>
      </c>
      <c r="Z895" s="830">
        <v>4.89</v>
      </c>
      <c r="AA895" s="822">
        <f>L895*Z895</f>
        <v>4401</v>
      </c>
      <c r="AB895" s="831"/>
      <c r="AC895" s="833" t="s">
        <v>806</v>
      </c>
      <c r="AD895" s="821" t="s">
        <v>112</v>
      </c>
      <c r="AE895" s="821">
        <f t="shared" si="187"/>
        <v>5400</v>
      </c>
      <c r="AF895" s="821"/>
      <c r="AG895" s="821"/>
      <c r="AH895" s="833">
        <f t="shared" ref="AH895:AH902" si="193">AG895-I895</f>
        <v>-5400</v>
      </c>
      <c r="AI895" s="824"/>
      <c r="AJ895" s="821"/>
      <c r="AK895" s="834">
        <f t="shared" si="192"/>
        <v>5400</v>
      </c>
      <c r="AL895" s="822"/>
      <c r="AM895" s="822"/>
      <c r="AN895" s="834">
        <f t="shared" ref="AN895:AN908" si="194">I895</f>
        <v>5400</v>
      </c>
      <c r="AO895" s="822"/>
      <c r="AP895" s="822"/>
      <c r="AQ895" s="822"/>
      <c r="AR895" s="822"/>
      <c r="AS895" s="822"/>
      <c r="AT895" s="822"/>
      <c r="AU895" s="822"/>
      <c r="AV895" s="822"/>
      <c r="AW895" s="822"/>
      <c r="AX895" s="822"/>
      <c r="AY895" s="822"/>
      <c r="AZ895" s="822"/>
      <c r="BA895" s="822"/>
      <c r="BB895" s="822"/>
      <c r="BC895" s="822"/>
      <c r="BD895" s="822"/>
      <c r="BE895" s="822"/>
      <c r="BF895" s="822"/>
      <c r="BG895" s="822"/>
      <c r="BH895" s="822"/>
      <c r="BI895" s="822">
        <f>I895</f>
        <v>5400</v>
      </c>
    </row>
    <row r="896" s="669" customFormat="1" ht="31" customHeight="1" spans="1:61">
      <c r="A896" s="951">
        <v>46212</v>
      </c>
      <c r="B896" s="952" t="s">
        <v>3774</v>
      </c>
      <c r="C896" s="953" t="s">
        <v>291</v>
      </c>
      <c r="D896" s="669">
        <v>4500215828</v>
      </c>
      <c r="E896" s="953"/>
      <c r="F896" s="669" t="s">
        <v>6642</v>
      </c>
      <c r="G896" s="955" t="s">
        <v>3973</v>
      </c>
      <c r="H896" s="708" t="s">
        <v>3995</v>
      </c>
      <c r="I896" s="957">
        <v>800</v>
      </c>
      <c r="J896" s="953">
        <v>0</v>
      </c>
      <c r="K896" s="953">
        <v>16</v>
      </c>
      <c r="L896" s="953">
        <f t="shared" si="190"/>
        <v>50</v>
      </c>
      <c r="M896" s="958">
        <v>46303</v>
      </c>
      <c r="N896" s="958">
        <v>46300</v>
      </c>
      <c r="O896" s="952"/>
      <c r="P896" s="957"/>
      <c r="Q896" s="957"/>
      <c r="R896" s="827" t="s">
        <v>3064</v>
      </c>
      <c r="S896" s="828" t="s">
        <v>107</v>
      </c>
      <c r="T896" s="961" t="s">
        <v>6643</v>
      </c>
      <c r="U896" s="961"/>
      <c r="V896" s="961"/>
      <c r="W896" s="961"/>
      <c r="X896" s="952" t="s">
        <v>6644</v>
      </c>
      <c r="Y896" s="958" t="s">
        <v>1169</v>
      </c>
      <c r="Z896" s="962">
        <v>4.7945</v>
      </c>
      <c r="AA896" s="669">
        <f>I896*Z896</f>
        <v>3835.6</v>
      </c>
      <c r="AB896" s="831"/>
      <c r="AC896" s="887" t="s">
        <v>4108</v>
      </c>
      <c r="AD896" s="953" t="s">
        <v>112</v>
      </c>
      <c r="AE896" s="953">
        <f t="shared" si="187"/>
        <v>800</v>
      </c>
      <c r="AF896" s="953"/>
      <c r="AG896" s="953"/>
      <c r="AH896" s="833">
        <f t="shared" si="193"/>
        <v>-800</v>
      </c>
      <c r="AI896" s="957"/>
      <c r="AJ896" s="953"/>
      <c r="AK896" s="822"/>
      <c r="AL896" s="868">
        <f>I896</f>
        <v>800</v>
      </c>
      <c r="AM896" s="822"/>
      <c r="AN896" s="834">
        <f t="shared" si="194"/>
        <v>800</v>
      </c>
      <c r="AT896" s="822"/>
      <c r="AU896" s="925">
        <f>I896/8</f>
        <v>100</v>
      </c>
      <c r="AV896" s="822"/>
      <c r="AW896" s="822"/>
    </row>
    <row r="897" s="667" customFormat="1" ht="31" customHeight="1" spans="1:61">
      <c r="A897" s="819">
        <v>46211</v>
      </c>
      <c r="B897" s="820" t="s">
        <v>3788</v>
      </c>
      <c r="C897" s="821" t="s">
        <v>508</v>
      </c>
      <c r="D897" s="822" t="s">
        <v>6645</v>
      </c>
      <c r="E897" s="994">
        <v>87271</v>
      </c>
      <c r="F897" s="822" t="s">
        <v>6646</v>
      </c>
      <c r="G897" s="823" t="s">
        <v>3980</v>
      </c>
      <c r="H897" s="821" t="s">
        <v>3978</v>
      </c>
      <c r="I897" s="1111">
        <v>6000</v>
      </c>
      <c r="J897" s="821">
        <v>0</v>
      </c>
      <c r="K897" s="821">
        <v>8</v>
      </c>
      <c r="L897" s="994">
        <f t="shared" si="190"/>
        <v>750</v>
      </c>
      <c r="M897" s="1088">
        <v>46295</v>
      </c>
      <c r="N897" s="1088">
        <v>46291</v>
      </c>
      <c r="O897" s="820"/>
      <c r="P897" s="824"/>
      <c r="Q897" s="824"/>
      <c r="R897" s="827" t="s">
        <v>3064</v>
      </c>
      <c r="S897" s="828" t="s">
        <v>107</v>
      </c>
      <c r="T897" s="828" t="s">
        <v>6647</v>
      </c>
      <c r="U897" s="828"/>
      <c r="V897" s="828"/>
      <c r="W897" s="828"/>
      <c r="X897" s="828" t="s">
        <v>6648</v>
      </c>
      <c r="Y897" s="825" t="s">
        <v>2378</v>
      </c>
      <c r="Z897" s="830">
        <v>4.8567</v>
      </c>
      <c r="AA897" s="822">
        <f>I897*Z897</f>
        <v>29140.2</v>
      </c>
      <c r="AB897" s="831"/>
      <c r="AC897" s="1052" t="s">
        <v>3980</v>
      </c>
      <c r="AD897" s="953" t="s">
        <v>112</v>
      </c>
      <c r="AE897" s="821">
        <f t="shared" si="187"/>
        <v>6000</v>
      </c>
      <c r="AF897" s="821"/>
      <c r="AG897" s="821"/>
      <c r="AH897" s="833">
        <f t="shared" si="193"/>
        <v>-6000</v>
      </c>
      <c r="AI897" s="824"/>
      <c r="AJ897" s="821"/>
      <c r="AK897" s="834">
        <f>I897</f>
        <v>6000</v>
      </c>
      <c r="AL897" s="822"/>
      <c r="AM897" s="822"/>
      <c r="AN897" s="834">
        <f t="shared" si="194"/>
        <v>6000</v>
      </c>
      <c r="AO897" s="822"/>
      <c r="AP897" s="822"/>
      <c r="AQ897" s="822"/>
      <c r="AR897" s="822"/>
      <c r="AS897" s="822"/>
      <c r="AT897" s="669"/>
      <c r="AU897" s="822"/>
      <c r="AV897" s="822"/>
      <c r="AW897" s="822"/>
      <c r="AX897" s="669">
        <f>I897/8</f>
        <v>750</v>
      </c>
      <c r="AY897" s="822"/>
      <c r="AZ897" s="822"/>
      <c r="BA897" s="822"/>
      <c r="BB897" s="822"/>
      <c r="BC897" s="822"/>
      <c r="BD897" s="822"/>
      <c r="BE897" s="822"/>
      <c r="BF897" s="822"/>
      <c r="BG897" s="822"/>
      <c r="BH897" s="822"/>
      <c r="BI897" s="822"/>
    </row>
    <row r="898" s="667" customFormat="1" ht="31" customHeight="1" spans="1:61">
      <c r="A898" s="819">
        <v>46206</v>
      </c>
      <c r="B898" s="820" t="s">
        <v>3766</v>
      </c>
      <c r="C898" s="821" t="s">
        <v>115</v>
      </c>
      <c r="D898" s="822">
        <v>4500213343</v>
      </c>
      <c r="E898" s="821">
        <v>60304417</v>
      </c>
      <c r="F898" s="822" t="s">
        <v>3771</v>
      </c>
      <c r="G898" s="823" t="s">
        <v>4359</v>
      </c>
      <c r="H898" s="821" t="s">
        <v>804</v>
      </c>
      <c r="I898" s="824">
        <v>10002</v>
      </c>
      <c r="J898" s="821">
        <v>0</v>
      </c>
      <c r="K898" s="821">
        <v>6</v>
      </c>
      <c r="L898" s="821">
        <f t="shared" si="190"/>
        <v>1667</v>
      </c>
      <c r="M898" s="825">
        <v>46303</v>
      </c>
      <c r="N898" s="825">
        <v>46300</v>
      </c>
      <c r="O898" s="820"/>
      <c r="P898" s="824"/>
      <c r="Q898" s="824"/>
      <c r="R898" s="886" t="s">
        <v>3064</v>
      </c>
      <c r="S898" s="848" t="s">
        <v>107</v>
      </c>
      <c r="T898" s="828" t="s">
        <v>3768</v>
      </c>
      <c r="U898" s="828"/>
      <c r="V898" s="828"/>
      <c r="W898" s="828"/>
      <c r="X898" s="828" t="s">
        <v>3769</v>
      </c>
      <c r="Y898" s="825" t="s">
        <v>3770</v>
      </c>
      <c r="Z898" s="830">
        <v>4.89</v>
      </c>
      <c r="AA898" s="822">
        <f>L898*Z898</f>
        <v>8151.63</v>
      </c>
      <c r="AB898" s="831"/>
      <c r="AC898" s="833" t="s">
        <v>806</v>
      </c>
      <c r="AD898" s="821" t="s">
        <v>112</v>
      </c>
      <c r="AE898" s="821">
        <f t="shared" si="187"/>
        <v>10002</v>
      </c>
      <c r="AF898" s="821"/>
      <c r="AG898" s="821"/>
      <c r="AH898" s="833">
        <f t="shared" si="193"/>
        <v>-10002</v>
      </c>
      <c r="AI898" s="824"/>
      <c r="AJ898" s="821"/>
      <c r="AK898" s="834">
        <f>I898</f>
        <v>10002</v>
      </c>
      <c r="AL898" s="822"/>
      <c r="AM898" s="822"/>
      <c r="AN898" s="834">
        <f t="shared" si="194"/>
        <v>10002</v>
      </c>
      <c r="AO898" s="822"/>
      <c r="AP898" s="822"/>
      <c r="AQ898" s="822"/>
      <c r="AR898" s="822"/>
      <c r="AS898" s="822"/>
      <c r="AT898" s="822"/>
      <c r="AU898" s="822"/>
      <c r="AV898" s="822"/>
      <c r="AW898" s="822"/>
      <c r="AX898" s="822"/>
      <c r="AY898" s="822"/>
      <c r="AZ898" s="822"/>
      <c r="BA898" s="822"/>
      <c r="BB898" s="822"/>
      <c r="BC898" s="822"/>
      <c r="BD898" s="822"/>
      <c r="BE898" s="822"/>
      <c r="BF898" s="822"/>
      <c r="BG898" s="822"/>
      <c r="BH898" s="822"/>
      <c r="BI898" s="822">
        <f>I898</f>
        <v>10002</v>
      </c>
    </row>
    <row r="899" s="672" customFormat="1" ht="31" customHeight="1" spans="1:61">
      <c r="A899" s="897">
        <v>46216</v>
      </c>
      <c r="B899" s="1022" t="s">
        <v>6649</v>
      </c>
      <c r="C899" s="913" t="s">
        <v>115</v>
      </c>
      <c r="D899" s="673">
        <v>4500216073</v>
      </c>
      <c r="E899" s="913">
        <v>70093950</v>
      </c>
      <c r="F899" s="673" t="s">
        <v>3778</v>
      </c>
      <c r="G899" s="1023" t="s">
        <v>4359</v>
      </c>
      <c r="H899" s="899" t="s">
        <v>804</v>
      </c>
      <c r="I899" s="904">
        <v>2400</v>
      </c>
      <c r="J899" s="913">
        <v>0</v>
      </c>
      <c r="K899" s="913">
        <v>6</v>
      </c>
      <c r="L899" s="913">
        <f t="shared" si="190"/>
        <v>400</v>
      </c>
      <c r="M899" s="958">
        <v>46303</v>
      </c>
      <c r="N899" s="958">
        <v>46300</v>
      </c>
      <c r="O899" s="1022"/>
      <c r="P899" s="904"/>
      <c r="Q899" s="904"/>
      <c r="R899" s="886" t="s">
        <v>3064</v>
      </c>
      <c r="S899" s="848" t="s">
        <v>107</v>
      </c>
      <c r="T899" s="848" t="s">
        <v>1960</v>
      </c>
      <c r="U899" s="848"/>
      <c r="V899" s="906"/>
      <c r="W899" s="1025"/>
      <c r="X899" s="1025" t="s">
        <v>3779</v>
      </c>
      <c r="Y899" s="1024" t="s">
        <v>6650</v>
      </c>
      <c r="Z899" s="1026">
        <v>4.89</v>
      </c>
      <c r="AA899" s="673">
        <f>L899*Z899</f>
        <v>1956</v>
      </c>
      <c r="AB899" s="910"/>
      <c r="AC899" s="821" t="s">
        <v>806</v>
      </c>
      <c r="AD899" s="912" t="s">
        <v>112</v>
      </c>
      <c r="AE899" s="913">
        <f t="shared" si="187"/>
        <v>2400</v>
      </c>
      <c r="AF899" s="913"/>
      <c r="AG899" s="899"/>
      <c r="AH899" s="833">
        <f t="shared" si="193"/>
        <v>-2400</v>
      </c>
      <c r="AI899" s="904"/>
      <c r="AJ899" s="913"/>
      <c r="AK899" s="920">
        <f>I899</f>
        <v>2400</v>
      </c>
      <c r="AL899" s="920"/>
      <c r="AM899" s="920"/>
      <c r="AN899" s="920">
        <f t="shared" si="194"/>
        <v>2400</v>
      </c>
      <c r="AO899" s="673"/>
      <c r="AP899" s="920"/>
      <c r="AQ899" s="673"/>
      <c r="AR899" s="673"/>
      <c r="AS899" s="673"/>
      <c r="AT899" s="673"/>
      <c r="AX899" s="673"/>
      <c r="AY899" s="673"/>
      <c r="AZ899" s="673"/>
      <c r="BA899" s="673"/>
      <c r="BB899" s="673"/>
      <c r="BC899" s="673"/>
      <c r="BD899" s="673"/>
      <c r="BE899" s="673"/>
      <c r="BF899" s="673"/>
      <c r="BG899" s="673"/>
      <c r="BH899" s="673"/>
      <c r="BI899" s="920">
        <f>I899</f>
        <v>2400</v>
      </c>
    </row>
    <row r="900" s="672" customFormat="1" ht="31" customHeight="1" spans="1:61">
      <c r="A900" s="897">
        <v>46217</v>
      </c>
      <c r="B900" s="1022" t="s">
        <v>1093</v>
      </c>
      <c r="C900" s="913" t="s">
        <v>1094</v>
      </c>
      <c r="D900" s="673">
        <v>4500216486</v>
      </c>
      <c r="E900" s="913" t="s">
        <v>3781</v>
      </c>
      <c r="F900" s="673" t="s">
        <v>6651</v>
      </c>
      <c r="G900" s="1023" t="s">
        <v>3973</v>
      </c>
      <c r="H900" s="708" t="s">
        <v>3995</v>
      </c>
      <c r="I900" s="904">
        <v>7200</v>
      </c>
      <c r="J900" s="913">
        <v>0</v>
      </c>
      <c r="K900" s="913">
        <v>16</v>
      </c>
      <c r="L900" s="913">
        <f t="shared" si="190"/>
        <v>450</v>
      </c>
      <c r="M900" s="958">
        <v>46303</v>
      </c>
      <c r="N900" s="958">
        <v>46300</v>
      </c>
      <c r="O900" s="1022"/>
      <c r="P900" s="904"/>
      <c r="Q900" s="904"/>
      <c r="R900" s="886">
        <v>46217</v>
      </c>
      <c r="S900" s="848" t="s">
        <v>107</v>
      </c>
      <c r="T900" s="848" t="s">
        <v>3783</v>
      </c>
      <c r="U900" s="848"/>
      <c r="V900" s="906"/>
      <c r="W900" s="1025"/>
      <c r="X900" s="1025" t="s">
        <v>6652</v>
      </c>
      <c r="Y900" s="1024" t="s">
        <v>659</v>
      </c>
      <c r="Z900" s="1026">
        <v>4.8423</v>
      </c>
      <c r="AA900" s="673">
        <f>I900*Z900</f>
        <v>34864.56</v>
      </c>
      <c r="AB900" s="910"/>
      <c r="AC900" s="820" t="s">
        <v>3973</v>
      </c>
      <c r="AD900" s="912" t="s">
        <v>112</v>
      </c>
      <c r="AE900" s="913">
        <f t="shared" si="187"/>
        <v>7200</v>
      </c>
      <c r="AF900" s="913"/>
      <c r="AG900" s="899"/>
      <c r="AH900" s="833">
        <f t="shared" si="193"/>
        <v>-7200</v>
      </c>
      <c r="AI900" s="904"/>
      <c r="AJ900" s="913"/>
      <c r="AK900" s="920">
        <f>I900</f>
        <v>7200</v>
      </c>
      <c r="AL900" s="920"/>
      <c r="AM900" s="920"/>
      <c r="AN900" s="920">
        <f t="shared" si="194"/>
        <v>7200</v>
      </c>
      <c r="AO900" s="673"/>
      <c r="AP900" s="920"/>
      <c r="AQ900" s="673"/>
      <c r="AR900" s="673"/>
      <c r="AS900" s="673"/>
      <c r="AT900" s="673">
        <f>I900/8</f>
        <v>900</v>
      </c>
      <c r="AX900" s="673"/>
      <c r="AY900" s="673"/>
      <c r="AZ900" s="673"/>
      <c r="BA900" s="673"/>
      <c r="BB900" s="673"/>
      <c r="BC900" s="673"/>
      <c r="BD900" s="673"/>
      <c r="BE900" s="673"/>
      <c r="BF900" s="673"/>
      <c r="BG900" s="673"/>
      <c r="BH900" s="673"/>
      <c r="BI900" s="920"/>
    </row>
    <row r="901" s="672" customFormat="1" ht="31" customHeight="1" spans="1:61">
      <c r="A901" s="897">
        <v>46219</v>
      </c>
      <c r="B901" s="1022" t="s">
        <v>427</v>
      </c>
      <c r="C901" s="913" t="s">
        <v>115</v>
      </c>
      <c r="D901" s="673">
        <v>4500216689</v>
      </c>
      <c r="E901" s="913">
        <v>5723</v>
      </c>
      <c r="F901" s="673" t="s">
        <v>6653</v>
      </c>
      <c r="G901" s="1023" t="s">
        <v>3973</v>
      </c>
      <c r="H901" s="708" t="s">
        <v>3995</v>
      </c>
      <c r="I901" s="904">
        <v>1600</v>
      </c>
      <c r="J901" s="913">
        <v>0</v>
      </c>
      <c r="K901" s="913">
        <v>16</v>
      </c>
      <c r="L901" s="913">
        <f t="shared" si="190"/>
        <v>100</v>
      </c>
      <c r="M901" s="1024">
        <v>46303</v>
      </c>
      <c r="N901" s="1024">
        <v>46300</v>
      </c>
      <c r="O901" s="1022"/>
      <c r="P901" s="904"/>
      <c r="Q901" s="904"/>
      <c r="R901" s="886" t="s">
        <v>3064</v>
      </c>
      <c r="S901" s="848" t="s">
        <v>107</v>
      </c>
      <c r="T901" s="848" t="s">
        <v>95</v>
      </c>
      <c r="U901" s="848"/>
      <c r="V901" s="906"/>
      <c r="W901" s="1025"/>
      <c r="X901" s="1025" t="s">
        <v>3773</v>
      </c>
      <c r="Y901" s="1024" t="s">
        <v>2297</v>
      </c>
      <c r="Z901" s="1026">
        <v>2.8936</v>
      </c>
      <c r="AA901" s="673">
        <f>I901*Z901</f>
        <v>4629.76</v>
      </c>
      <c r="AB901" s="910"/>
      <c r="AC901" s="820" t="s">
        <v>3973</v>
      </c>
      <c r="AD901" s="912" t="s">
        <v>112</v>
      </c>
      <c r="AE901" s="913">
        <f t="shared" si="187"/>
        <v>1600</v>
      </c>
      <c r="AF901" s="913"/>
      <c r="AG901" s="899"/>
      <c r="AH901" s="833">
        <f t="shared" si="193"/>
        <v>-1600</v>
      </c>
      <c r="AI901" s="904"/>
      <c r="AJ901" s="913"/>
      <c r="AK901" s="920">
        <f>I901</f>
        <v>1600</v>
      </c>
      <c r="AL901" s="920"/>
      <c r="AM901" s="920"/>
      <c r="AN901" s="920">
        <f t="shared" si="194"/>
        <v>1600</v>
      </c>
      <c r="AO901" s="673"/>
      <c r="AP901" s="920"/>
      <c r="AQ901" s="673"/>
      <c r="AR901" s="673"/>
      <c r="AS901" s="673"/>
      <c r="AT901" s="673">
        <f>I901/8</f>
        <v>200</v>
      </c>
      <c r="AX901" s="673"/>
      <c r="AY901" s="673"/>
      <c r="AZ901" s="673"/>
      <c r="BA901" s="673"/>
      <c r="BB901" s="673"/>
      <c r="BC901" s="673"/>
      <c r="BD901" s="673"/>
      <c r="BE901" s="673"/>
      <c r="BF901" s="673"/>
      <c r="BG901" s="673"/>
      <c r="BH901" s="673"/>
      <c r="BI901" s="920"/>
    </row>
    <row r="902" s="669" customFormat="1" ht="31" customHeight="1" spans="1:61">
      <c r="A902" s="951">
        <v>46233</v>
      </c>
      <c r="B902" s="952" t="s">
        <v>2755</v>
      </c>
      <c r="C902" s="953" t="s">
        <v>164</v>
      </c>
      <c r="D902" s="669">
        <v>4500218217</v>
      </c>
      <c r="E902" s="953">
        <v>5200011018</v>
      </c>
      <c r="F902" s="669" t="s">
        <v>6654</v>
      </c>
      <c r="G902" s="955" t="s">
        <v>4028</v>
      </c>
      <c r="H902" s="953" t="s">
        <v>3978</v>
      </c>
      <c r="I902" s="957">
        <v>5000</v>
      </c>
      <c r="J902" s="953">
        <v>0</v>
      </c>
      <c r="K902" s="953">
        <v>8</v>
      </c>
      <c r="L902" s="953">
        <f t="shared" si="190"/>
        <v>625</v>
      </c>
      <c r="M902" s="958">
        <v>46303</v>
      </c>
      <c r="N902" s="958">
        <f>M902-3</f>
        <v>46300</v>
      </c>
      <c r="O902" s="952"/>
      <c r="P902" s="957"/>
      <c r="Q902" s="957"/>
      <c r="R902" s="1112">
        <v>46233</v>
      </c>
      <c r="S902" s="828" t="s">
        <v>107</v>
      </c>
      <c r="T902" s="961" t="s">
        <v>6655</v>
      </c>
      <c r="U902" s="961"/>
      <c r="V902" s="961"/>
      <c r="W902" s="961"/>
      <c r="X902" s="961" t="s">
        <v>6656</v>
      </c>
      <c r="Y902" s="958" t="s">
        <v>2761</v>
      </c>
      <c r="Z902" s="962">
        <v>4.8161</v>
      </c>
      <c r="AA902" s="669">
        <f>Z902*I902</f>
        <v>24080.5</v>
      </c>
      <c r="AB902" s="927"/>
      <c r="AC902" s="867" t="s">
        <v>4031</v>
      </c>
      <c r="AD902" s="821" t="s">
        <v>112</v>
      </c>
      <c r="AE902" s="953">
        <f t="shared" si="187"/>
        <v>5000</v>
      </c>
      <c r="AF902" s="913"/>
      <c r="AG902" s="899"/>
      <c r="AH902" s="833">
        <f t="shared" si="193"/>
        <v>-5000</v>
      </c>
      <c r="AI902" s="957"/>
      <c r="AJ902" s="913"/>
      <c r="AL902" s="868">
        <f>I902</f>
        <v>5000</v>
      </c>
      <c r="AN902" s="834">
        <f t="shared" si="194"/>
        <v>5000</v>
      </c>
      <c r="AU902" s="868">
        <f>I902/8</f>
        <v>625</v>
      </c>
      <c r="AV902" s="822"/>
    </row>
    <row r="903" s="678" customFormat="1" ht="31" customHeight="1" spans="1:61">
      <c r="A903" s="1113">
        <v>46244</v>
      </c>
      <c r="B903" s="1114" t="s">
        <v>3760</v>
      </c>
      <c r="C903" s="984" t="s">
        <v>115</v>
      </c>
      <c r="D903" s="988">
        <v>4500219585</v>
      </c>
      <c r="E903" s="984">
        <v>219712447</v>
      </c>
      <c r="F903" s="988" t="s">
        <v>6657</v>
      </c>
      <c r="G903" s="1115" t="s">
        <v>3980</v>
      </c>
      <c r="H903" s="984" t="s">
        <v>3978</v>
      </c>
      <c r="I903" s="1116">
        <v>3192</v>
      </c>
      <c r="J903" s="984">
        <v>0</v>
      </c>
      <c r="K903" s="984">
        <v>8</v>
      </c>
      <c r="L903" s="984">
        <f t="shared" si="190"/>
        <v>399</v>
      </c>
      <c r="M903" s="1117">
        <v>46303</v>
      </c>
      <c r="N903" s="1117">
        <v>46300</v>
      </c>
      <c r="O903" s="1114"/>
      <c r="P903" s="1116"/>
      <c r="Q903" s="1116"/>
      <c r="R903" s="976" t="s">
        <v>3064</v>
      </c>
      <c r="S903" s="977" t="s">
        <v>107</v>
      </c>
      <c r="T903" s="977" t="s">
        <v>95</v>
      </c>
      <c r="U903" s="977"/>
      <c r="V903" s="977"/>
      <c r="W903" s="977"/>
      <c r="X903" s="977" t="s">
        <v>3763</v>
      </c>
      <c r="Y903" s="1117" t="s">
        <v>6658</v>
      </c>
      <c r="Z903" s="1118">
        <v>2.8729</v>
      </c>
      <c r="AA903" s="988">
        <f>I903*Z903</f>
        <v>9170.2968</v>
      </c>
      <c r="AB903" s="982"/>
      <c r="AC903" s="1119" t="s">
        <v>3980</v>
      </c>
      <c r="AD903" s="821" t="s">
        <v>112</v>
      </c>
      <c r="AE903" s="984">
        <f t="shared" si="187"/>
        <v>3192</v>
      </c>
      <c r="AF903" s="984"/>
      <c r="AG903" s="984"/>
      <c r="AH903" s="986"/>
      <c r="AI903" s="1116"/>
      <c r="AJ903" s="984"/>
      <c r="AK903" s="988">
        <f t="shared" ref="AK903:AK909" si="195">I903</f>
        <v>3192</v>
      </c>
      <c r="AL903" s="988"/>
      <c r="AM903" s="988"/>
      <c r="AN903" s="988">
        <f t="shared" si="194"/>
        <v>3192</v>
      </c>
      <c r="AO903" s="988"/>
      <c r="AP903" s="988"/>
      <c r="AQ903" s="988"/>
      <c r="AR903" s="988"/>
      <c r="AS903" s="988"/>
      <c r="AT903" s="988">
        <f t="shared" ref="AT903:AT909" si="196">I903/8</f>
        <v>399</v>
      </c>
      <c r="AU903" s="988"/>
      <c r="AV903" s="988"/>
      <c r="AW903" s="988"/>
      <c r="AX903" s="989"/>
      <c r="AY903" s="989"/>
      <c r="AZ903" s="989"/>
      <c r="BA903" s="988"/>
      <c r="BB903" s="988"/>
      <c r="BC903" s="988"/>
      <c r="BD903" s="988"/>
      <c r="BE903" s="988"/>
      <c r="BF903" s="988"/>
      <c r="BG903" s="988"/>
      <c r="BH903" s="988"/>
      <c r="BI903" s="988"/>
    </row>
    <row r="904" s="678" customFormat="1" ht="31" customHeight="1" spans="1:61">
      <c r="A904" s="1113">
        <v>46244</v>
      </c>
      <c r="B904" s="1114" t="s">
        <v>3760</v>
      </c>
      <c r="C904" s="984" t="s">
        <v>115</v>
      </c>
      <c r="D904" s="988">
        <v>4500219585</v>
      </c>
      <c r="E904" s="984">
        <v>219712464</v>
      </c>
      <c r="F904" s="988" t="s">
        <v>6659</v>
      </c>
      <c r="G904" s="1115" t="s">
        <v>3980</v>
      </c>
      <c r="H904" s="984" t="s">
        <v>3978</v>
      </c>
      <c r="I904" s="1116">
        <v>2096</v>
      </c>
      <c r="J904" s="984">
        <v>0</v>
      </c>
      <c r="K904" s="984">
        <v>8</v>
      </c>
      <c r="L904" s="984">
        <f t="shared" si="190"/>
        <v>262</v>
      </c>
      <c r="M904" s="1117">
        <v>46303</v>
      </c>
      <c r="N904" s="1117">
        <v>46300</v>
      </c>
      <c r="O904" s="1114"/>
      <c r="P904" s="1116"/>
      <c r="Q904" s="1116"/>
      <c r="R904" s="976" t="s">
        <v>3064</v>
      </c>
      <c r="S904" s="977" t="s">
        <v>107</v>
      </c>
      <c r="T904" s="977" t="s">
        <v>95</v>
      </c>
      <c r="U904" s="977"/>
      <c r="V904" s="977"/>
      <c r="W904" s="977"/>
      <c r="X904" s="977" t="s">
        <v>3763</v>
      </c>
      <c r="Y904" s="1117" t="s">
        <v>6658</v>
      </c>
      <c r="Z904" s="1118">
        <v>2.896</v>
      </c>
      <c r="AA904" s="988">
        <f>I904*Z904</f>
        <v>6070.016</v>
      </c>
      <c r="AB904" s="982"/>
      <c r="AC904" s="1119" t="s">
        <v>3980</v>
      </c>
      <c r="AD904" s="821" t="s">
        <v>112</v>
      </c>
      <c r="AE904" s="984">
        <f t="shared" si="187"/>
        <v>2096</v>
      </c>
      <c r="AF904" s="984"/>
      <c r="AG904" s="984"/>
      <c r="AH904" s="986"/>
      <c r="AI904" s="1116"/>
      <c r="AJ904" s="984"/>
      <c r="AK904" s="988">
        <f t="shared" si="195"/>
        <v>2096</v>
      </c>
      <c r="AL904" s="988"/>
      <c r="AM904" s="988"/>
      <c r="AN904" s="988">
        <f t="shared" si="194"/>
        <v>2096</v>
      </c>
      <c r="AO904" s="988"/>
      <c r="AP904" s="988"/>
      <c r="AQ904" s="988"/>
      <c r="AR904" s="988"/>
      <c r="AS904" s="988"/>
      <c r="AT904" s="988">
        <f t="shared" si="196"/>
        <v>262</v>
      </c>
      <c r="AU904" s="988"/>
      <c r="AV904" s="988"/>
      <c r="AW904" s="988"/>
      <c r="AX904" s="989"/>
      <c r="AY904" s="989"/>
      <c r="AZ904" s="989"/>
      <c r="BA904" s="988"/>
      <c r="BB904" s="988"/>
      <c r="BC904" s="988"/>
      <c r="BD904" s="988"/>
      <c r="BE904" s="988"/>
      <c r="BF904" s="988"/>
      <c r="BG904" s="988"/>
      <c r="BH904" s="988"/>
      <c r="BI904" s="988"/>
    </row>
    <row r="905" s="674" customFormat="1" ht="31" customHeight="1" spans="1:61">
      <c r="A905" s="1030">
        <v>46244</v>
      </c>
      <c r="B905" s="1031" t="s">
        <v>3792</v>
      </c>
      <c r="C905" s="1032" t="s">
        <v>115</v>
      </c>
      <c r="D905" s="674">
        <v>4500219357</v>
      </c>
      <c r="E905" s="1919" t="s">
        <v>3793</v>
      </c>
      <c r="F905" s="674" t="s">
        <v>6660</v>
      </c>
      <c r="G905" s="1033" t="s">
        <v>3973</v>
      </c>
      <c r="H905" s="987" t="s">
        <v>3995</v>
      </c>
      <c r="I905" s="1034">
        <v>1408</v>
      </c>
      <c r="J905" s="1032">
        <v>0</v>
      </c>
      <c r="K905" s="1032">
        <v>16</v>
      </c>
      <c r="L905" s="1032">
        <f t="shared" si="190"/>
        <v>88</v>
      </c>
      <c r="M905" s="1035">
        <v>46304</v>
      </c>
      <c r="N905" s="1035">
        <f>M905-4</f>
        <v>46300</v>
      </c>
      <c r="O905" s="1031"/>
      <c r="P905" s="1034"/>
      <c r="Q905" s="1034"/>
      <c r="R905" s="1036">
        <v>46244</v>
      </c>
      <c r="S905" s="978" t="s">
        <v>107</v>
      </c>
      <c r="T905" s="1920" t="s">
        <v>6661</v>
      </c>
      <c r="U905" s="978"/>
      <c r="V905" s="1039"/>
      <c r="W905" s="1039"/>
      <c r="X905" s="977" t="s">
        <v>6662</v>
      </c>
      <c r="Y905" s="1035" t="s">
        <v>6663</v>
      </c>
      <c r="Z905" s="1040">
        <v>2.9427</v>
      </c>
      <c r="AA905" s="674">
        <f>Z905*I905</f>
        <v>4143.3216</v>
      </c>
      <c r="AB905" s="1041"/>
      <c r="AC905" s="1114" t="s">
        <v>3973</v>
      </c>
      <c r="AD905" s="1121" t="s">
        <v>112</v>
      </c>
      <c r="AE905" s="1032">
        <f t="shared" si="187"/>
        <v>1408</v>
      </c>
      <c r="AF905" s="1032"/>
      <c r="AG905" s="1043"/>
      <c r="AH905" s="986"/>
      <c r="AI905" s="1034"/>
      <c r="AJ905" s="1032"/>
      <c r="AK905" s="1045">
        <f t="shared" si="195"/>
        <v>1408</v>
      </c>
      <c r="AL905" s="1044"/>
      <c r="AM905" s="1045"/>
      <c r="AN905" s="1045">
        <f t="shared" si="194"/>
        <v>1408</v>
      </c>
      <c r="AP905" s="1045"/>
      <c r="AQ905" s="988"/>
      <c r="AR905" s="988"/>
      <c r="AS905" s="988"/>
      <c r="AT905" s="674">
        <f t="shared" si="196"/>
        <v>176</v>
      </c>
      <c r="AU905" s="1044"/>
      <c r="AV905" s="1045"/>
      <c r="BI905" s="1045"/>
    </row>
    <row r="906" s="674" customFormat="1" ht="31" customHeight="1" spans="1:61">
      <c r="A906" s="1030">
        <v>46244</v>
      </c>
      <c r="B906" s="1031" t="s">
        <v>3792</v>
      </c>
      <c r="C906" s="1032" t="s">
        <v>115</v>
      </c>
      <c r="D906" s="674">
        <v>4500219357</v>
      </c>
      <c r="E906" s="1921" t="s">
        <v>3798</v>
      </c>
      <c r="F906" s="674" t="s">
        <v>6664</v>
      </c>
      <c r="G906" s="1033" t="s">
        <v>3973</v>
      </c>
      <c r="H906" s="987" t="s">
        <v>3995</v>
      </c>
      <c r="I906" s="1034">
        <v>608</v>
      </c>
      <c r="J906" s="1032">
        <v>0</v>
      </c>
      <c r="K906" s="1032">
        <v>16</v>
      </c>
      <c r="L906" s="1032">
        <f t="shared" si="190"/>
        <v>38</v>
      </c>
      <c r="M906" s="1035">
        <v>46304</v>
      </c>
      <c r="N906" s="1035">
        <f>M906-4</f>
        <v>46300</v>
      </c>
      <c r="O906" s="1031"/>
      <c r="P906" s="1034"/>
      <c r="Q906" s="1034"/>
      <c r="R906" s="1036">
        <v>46244</v>
      </c>
      <c r="S906" s="978" t="s">
        <v>107</v>
      </c>
      <c r="T906" s="1920" t="s">
        <v>6661</v>
      </c>
      <c r="U906" s="978"/>
      <c r="V906" s="1039"/>
      <c r="W906" s="1039"/>
      <c r="X906" s="977" t="s">
        <v>6662</v>
      </c>
      <c r="Y906" s="1035" t="s">
        <v>6663</v>
      </c>
      <c r="Z906" s="1040">
        <v>2.949</v>
      </c>
      <c r="AA906" s="674">
        <f>I906*Z906</f>
        <v>1792.992</v>
      </c>
      <c r="AB906" s="1041"/>
      <c r="AC906" s="1114" t="s">
        <v>3973</v>
      </c>
      <c r="AD906" s="1121" t="s">
        <v>112</v>
      </c>
      <c r="AE906" s="1032">
        <f t="shared" si="187"/>
        <v>608</v>
      </c>
      <c r="AF906" s="1032"/>
      <c r="AG906" s="1043"/>
      <c r="AH906" s="986"/>
      <c r="AI906" s="1034"/>
      <c r="AJ906" s="1032"/>
      <c r="AK906" s="1045">
        <f t="shared" si="195"/>
        <v>608</v>
      </c>
      <c r="AL906" s="1044"/>
      <c r="AM906" s="1045"/>
      <c r="AN906" s="1045">
        <f t="shared" si="194"/>
        <v>608</v>
      </c>
      <c r="AP906" s="1045"/>
      <c r="AQ906" s="988"/>
      <c r="AR906" s="988"/>
      <c r="AS906" s="988"/>
      <c r="AT906" s="674">
        <f t="shared" si="196"/>
        <v>76</v>
      </c>
      <c r="AU906" s="1044"/>
      <c r="AV906" s="1045"/>
      <c r="BI906" s="1045"/>
    </row>
    <row r="907" s="678" customFormat="1" ht="31" customHeight="1" spans="1:61">
      <c r="A907" s="1113">
        <v>46245</v>
      </c>
      <c r="B907" s="1114" t="s">
        <v>3718</v>
      </c>
      <c r="C907" s="984" t="s">
        <v>135</v>
      </c>
      <c r="D907" s="988">
        <v>4500219553</v>
      </c>
      <c r="E907" s="984"/>
      <c r="F907" s="988" t="s">
        <v>6665</v>
      </c>
      <c r="G907" s="1115" t="s">
        <v>3973</v>
      </c>
      <c r="H907" s="984" t="s">
        <v>3995</v>
      </c>
      <c r="I907" s="1116">
        <v>512</v>
      </c>
      <c r="J907" s="984">
        <v>0</v>
      </c>
      <c r="K907" s="984">
        <v>16</v>
      </c>
      <c r="L907" s="984">
        <f t="shared" si="190"/>
        <v>32</v>
      </c>
      <c r="M907" s="1117">
        <v>46304</v>
      </c>
      <c r="N907" s="1117">
        <v>46300</v>
      </c>
      <c r="O907" s="1114"/>
      <c r="P907" s="1116"/>
      <c r="Q907" s="1116"/>
      <c r="R907" s="976" t="s">
        <v>3064</v>
      </c>
      <c r="S907" s="978" t="s">
        <v>107</v>
      </c>
      <c r="T907" s="977" t="s">
        <v>3721</v>
      </c>
      <c r="U907" s="977"/>
      <c r="V907" s="977"/>
      <c r="W907" s="977"/>
      <c r="X907" s="977" t="s">
        <v>6666</v>
      </c>
      <c r="Y907" s="1117" t="s">
        <v>3455</v>
      </c>
      <c r="Z907" s="1118">
        <v>4.8331</v>
      </c>
      <c r="AA907" s="988">
        <f>I907*Z907</f>
        <v>2474.5472</v>
      </c>
      <c r="AB907" s="982"/>
      <c r="AC907" s="1114" t="s">
        <v>3973</v>
      </c>
      <c r="AD907" s="1121" t="s">
        <v>112</v>
      </c>
      <c r="AE907" s="984">
        <f t="shared" si="187"/>
        <v>512</v>
      </c>
      <c r="AF907" s="984"/>
      <c r="AG907" s="984"/>
      <c r="AH907" s="986"/>
      <c r="AI907" s="1116"/>
      <c r="AJ907" s="984"/>
      <c r="AK907" s="1045">
        <f t="shared" si="195"/>
        <v>512</v>
      </c>
      <c r="AL907" s="988"/>
      <c r="AM907" s="988"/>
      <c r="AN907" s="1045">
        <f t="shared" si="194"/>
        <v>512</v>
      </c>
      <c r="AO907" s="988"/>
      <c r="AP907" s="988"/>
      <c r="AQ907" s="988"/>
      <c r="AR907" s="988"/>
      <c r="AS907" s="988"/>
      <c r="AT907" s="674">
        <f t="shared" si="196"/>
        <v>64</v>
      </c>
      <c r="AU907" s="988"/>
      <c r="AV907" s="988"/>
      <c r="AW907" s="988"/>
      <c r="AX907" s="989"/>
      <c r="AY907" s="989"/>
      <c r="AZ907" s="989"/>
      <c r="BA907" s="988"/>
      <c r="BB907" s="988"/>
      <c r="BC907" s="988"/>
      <c r="BD907" s="988"/>
      <c r="BE907" s="988"/>
      <c r="BF907" s="988"/>
      <c r="BG907" s="988"/>
      <c r="BH907" s="988"/>
      <c r="BI907" s="988"/>
    </row>
    <row r="908" s="673" customFormat="1" ht="31" customHeight="1" spans="1:61">
      <c r="A908" s="897">
        <v>46241</v>
      </c>
      <c r="B908" s="1022" t="s">
        <v>989</v>
      </c>
      <c r="C908" s="913" t="s">
        <v>115</v>
      </c>
      <c r="D908" s="673">
        <v>4500219195</v>
      </c>
      <c r="E908" s="913"/>
      <c r="F908" s="673" t="s">
        <v>6667</v>
      </c>
      <c r="G908" s="1023" t="s">
        <v>3973</v>
      </c>
      <c r="H908" s="913" t="s">
        <v>3995</v>
      </c>
      <c r="I908" s="904">
        <v>96</v>
      </c>
      <c r="J908" s="913">
        <v>0</v>
      </c>
      <c r="K908" s="913">
        <v>16</v>
      </c>
      <c r="L908" s="913">
        <f t="shared" ref="L908:L934" si="197">I908/K908</f>
        <v>6</v>
      </c>
      <c r="M908" s="1024">
        <v>46304</v>
      </c>
      <c r="N908" s="1024">
        <f>M908-4</f>
        <v>46300</v>
      </c>
      <c r="O908" s="1022"/>
      <c r="P908" s="904"/>
      <c r="Q908" s="904"/>
      <c r="R908" s="886" t="s">
        <v>3064</v>
      </c>
      <c r="S908" s="1122" t="s">
        <v>107</v>
      </c>
      <c r="T908" s="828" t="s">
        <v>95</v>
      </c>
      <c r="U908" s="848"/>
      <c r="V908" s="1025"/>
      <c r="W908" s="1025"/>
      <c r="X908" s="828" t="s">
        <v>3836</v>
      </c>
      <c r="Y908" s="1024" t="s">
        <v>178</v>
      </c>
      <c r="Z908" s="1026">
        <v>2.949</v>
      </c>
      <c r="AA908" s="673">
        <f>I908*Z908</f>
        <v>283.104</v>
      </c>
      <c r="AB908" s="910"/>
      <c r="AC908" s="895" t="s">
        <v>3973</v>
      </c>
      <c r="AD908" s="912" t="s">
        <v>112</v>
      </c>
      <c r="AE908" s="913">
        <f t="shared" ref="AE908:AE934" si="198">I908</f>
        <v>96</v>
      </c>
      <c r="AF908" s="913"/>
      <c r="AG908" s="913"/>
      <c r="AH908" s="821"/>
      <c r="AI908" s="904"/>
      <c r="AJ908" s="913"/>
      <c r="AK908" s="822">
        <f t="shared" si="195"/>
        <v>96</v>
      </c>
      <c r="AL908" s="920"/>
      <c r="AM908" s="920"/>
      <c r="AN908" s="822">
        <f t="shared" ref="AN908:AN913" si="199">I908</f>
        <v>96</v>
      </c>
      <c r="AP908" s="920"/>
      <c r="AQ908" s="822"/>
      <c r="AR908" s="822"/>
      <c r="AS908" s="822"/>
      <c r="AT908" s="822">
        <f t="shared" si="196"/>
        <v>12</v>
      </c>
      <c r="BI908" s="920"/>
    </row>
    <row r="909" s="667" customFormat="1" ht="31" customHeight="1" spans="1:61">
      <c r="A909" s="819">
        <v>46232</v>
      </c>
      <c r="B909" s="820" t="s">
        <v>3807</v>
      </c>
      <c r="C909" s="821" t="s">
        <v>115</v>
      </c>
      <c r="D909" s="822">
        <v>4500218058</v>
      </c>
      <c r="E909" s="821" t="s">
        <v>3808</v>
      </c>
      <c r="F909" s="822" t="s">
        <v>6668</v>
      </c>
      <c r="G909" s="823" t="s">
        <v>6669</v>
      </c>
      <c r="H909" s="821" t="s">
        <v>3978</v>
      </c>
      <c r="I909" s="824">
        <v>2592</v>
      </c>
      <c r="J909" s="821">
        <v>0</v>
      </c>
      <c r="K909" s="821">
        <v>432</v>
      </c>
      <c r="L909" s="821">
        <f t="shared" si="197"/>
        <v>6</v>
      </c>
      <c r="M909" s="825">
        <v>46304</v>
      </c>
      <c r="N909" s="825">
        <v>46300</v>
      </c>
      <c r="O909" s="820"/>
      <c r="P909" s="824"/>
      <c r="Q909" s="824"/>
      <c r="R909" s="886" t="s">
        <v>3064</v>
      </c>
      <c r="S909" s="848" t="s">
        <v>107</v>
      </c>
      <c r="T909" s="828" t="s">
        <v>95</v>
      </c>
      <c r="U909" s="828"/>
      <c r="V909" s="828"/>
      <c r="W909" s="828"/>
      <c r="X909" s="828" t="s">
        <v>6670</v>
      </c>
      <c r="Y909" s="825" t="s">
        <v>3812</v>
      </c>
      <c r="Z909" s="830">
        <v>1243.315</v>
      </c>
      <c r="AA909" s="822">
        <f>Z909*L909</f>
        <v>7459.89</v>
      </c>
      <c r="AB909" s="927"/>
      <c r="AC909" s="823" t="s">
        <v>6669</v>
      </c>
      <c r="AD909" s="821" t="s">
        <v>112</v>
      </c>
      <c r="AE909" s="821">
        <f t="shared" si="198"/>
        <v>2592</v>
      </c>
      <c r="AF909" s="913"/>
      <c r="AG909" s="899"/>
      <c r="AH909" s="833">
        <f t="shared" ref="AH909:AH917" si="200">AG909-I909</f>
        <v>-2592</v>
      </c>
      <c r="AI909" s="824"/>
      <c r="AJ909" s="913"/>
      <c r="AK909" s="822">
        <f t="shared" si="195"/>
        <v>2592</v>
      </c>
      <c r="AL909" s="822"/>
      <c r="AM909" s="822"/>
      <c r="AN909" s="834">
        <f t="shared" si="199"/>
        <v>2592</v>
      </c>
      <c r="AO909" s="822"/>
      <c r="AP909" s="822"/>
      <c r="AQ909" s="822"/>
      <c r="AR909" s="822"/>
      <c r="AS909" s="822"/>
      <c r="AT909" s="673">
        <f t="shared" si="196"/>
        <v>324</v>
      </c>
      <c r="AU909" s="822"/>
      <c r="AV909" s="822"/>
      <c r="AW909" s="822"/>
      <c r="AX909" s="822"/>
      <c r="AY909" s="822"/>
      <c r="AZ909" s="822"/>
      <c r="BA909" s="822"/>
      <c r="BB909" s="822"/>
      <c r="BC909" s="822"/>
      <c r="BD909" s="822"/>
      <c r="BE909" s="822"/>
      <c r="BF909" s="822"/>
      <c r="BG909" s="822"/>
      <c r="BH909" s="822"/>
      <c r="BI909" s="822"/>
    </row>
    <row r="910" s="673" customFormat="1" ht="31" customHeight="1" spans="1:61">
      <c r="A910" s="897">
        <v>46226</v>
      </c>
      <c r="B910" s="1022" t="s">
        <v>3813</v>
      </c>
      <c r="C910" s="913" t="s">
        <v>3814</v>
      </c>
      <c r="D910" s="673">
        <v>4500217564</v>
      </c>
      <c r="E910" s="913">
        <v>57158</v>
      </c>
      <c r="F910" s="673" t="s">
        <v>6671</v>
      </c>
      <c r="G910" s="1023" t="s">
        <v>3973</v>
      </c>
      <c r="H910" s="708" t="s">
        <v>3995</v>
      </c>
      <c r="I910" s="904">
        <v>752</v>
      </c>
      <c r="J910" s="913">
        <v>0</v>
      </c>
      <c r="K910" s="913">
        <v>16</v>
      </c>
      <c r="L910" s="913">
        <f t="shared" si="197"/>
        <v>47</v>
      </c>
      <c r="M910" s="1024">
        <v>46304</v>
      </c>
      <c r="N910" s="1024">
        <v>46300</v>
      </c>
      <c r="O910" s="1022"/>
      <c r="P910" s="904"/>
      <c r="Q910" s="904"/>
      <c r="R910" s="886" t="s">
        <v>6223</v>
      </c>
      <c r="S910" s="848" t="s">
        <v>107</v>
      </c>
      <c r="T910" s="848" t="s">
        <v>3525</v>
      </c>
      <c r="U910" s="848"/>
      <c r="V910" s="1025"/>
      <c r="W910" s="1025"/>
      <c r="X910" s="1025" t="s">
        <v>3817</v>
      </c>
      <c r="Y910" s="1024" t="s">
        <v>2269</v>
      </c>
      <c r="Z910" s="1026">
        <v>4.8331</v>
      </c>
      <c r="AA910" s="673">
        <f>I910*Z910</f>
        <v>3634.4912</v>
      </c>
      <c r="AB910" s="910"/>
      <c r="AC910" s="820" t="s">
        <v>3973</v>
      </c>
      <c r="AD910" s="912" t="s">
        <v>112</v>
      </c>
      <c r="AE910" s="913">
        <f t="shared" si="198"/>
        <v>752</v>
      </c>
      <c r="AF910" s="913"/>
      <c r="AG910" s="913"/>
      <c r="AH910" s="833">
        <f t="shared" si="200"/>
        <v>-752</v>
      </c>
      <c r="AI910" s="904"/>
      <c r="AJ910" s="913"/>
      <c r="AK910" s="834">
        <f t="shared" ref="AK910:AK922" si="201">I910</f>
        <v>752</v>
      </c>
      <c r="AL910" s="822"/>
      <c r="AM910" s="822"/>
      <c r="AN910" s="834">
        <f t="shared" si="199"/>
        <v>752</v>
      </c>
      <c r="AP910" s="920"/>
      <c r="AQ910" s="673"/>
      <c r="AR910" s="673"/>
      <c r="AS910" s="673"/>
      <c r="AT910" s="673">
        <f t="shared" ref="AT910:AT915" si="202">I910/8</f>
        <v>94</v>
      </c>
      <c r="AU910" s="672"/>
      <c r="BI910" s="920"/>
    </row>
    <row r="911" s="672" customFormat="1" ht="31" customHeight="1" spans="1:61">
      <c r="A911" s="897">
        <v>46219</v>
      </c>
      <c r="B911" s="1022" t="s">
        <v>230</v>
      </c>
      <c r="C911" s="913" t="s">
        <v>135</v>
      </c>
      <c r="D911" s="673">
        <v>4500216668</v>
      </c>
      <c r="E911" s="913" t="s">
        <v>3462</v>
      </c>
      <c r="F911" s="673" t="s">
        <v>6672</v>
      </c>
      <c r="G911" s="1023" t="s">
        <v>3973</v>
      </c>
      <c r="H911" s="708" t="s">
        <v>3995</v>
      </c>
      <c r="I911" s="904">
        <v>1600</v>
      </c>
      <c r="J911" s="913">
        <v>0</v>
      </c>
      <c r="K911" s="913">
        <v>16</v>
      </c>
      <c r="L911" s="913">
        <f t="shared" si="197"/>
        <v>100</v>
      </c>
      <c r="M911" s="1024">
        <v>46304</v>
      </c>
      <c r="N911" s="1024">
        <v>46300</v>
      </c>
      <c r="O911" s="1022"/>
      <c r="P911" s="904"/>
      <c r="Q911" s="904"/>
      <c r="R911" s="886">
        <v>46219</v>
      </c>
      <c r="S911" s="848" t="s">
        <v>107</v>
      </c>
      <c r="T911" s="848" t="s">
        <v>6673</v>
      </c>
      <c r="U911" s="848"/>
      <c r="V911" s="906"/>
      <c r="W911" s="1025"/>
      <c r="X911" s="1025" t="s">
        <v>6674</v>
      </c>
      <c r="Y911" s="1024" t="s">
        <v>236</v>
      </c>
      <c r="Z911" s="1026">
        <v>4.8226</v>
      </c>
      <c r="AA911" s="673">
        <f>I911*Z911</f>
        <v>7716.16</v>
      </c>
      <c r="AB911" s="910"/>
      <c r="AC911" s="820" t="s">
        <v>3973</v>
      </c>
      <c r="AD911" s="912" t="s">
        <v>112</v>
      </c>
      <c r="AE911" s="913">
        <f t="shared" si="198"/>
        <v>1600</v>
      </c>
      <c r="AF911" s="913"/>
      <c r="AG911" s="899"/>
      <c r="AH911" s="833">
        <f t="shared" si="200"/>
        <v>-1600</v>
      </c>
      <c r="AI911" s="904"/>
      <c r="AJ911" s="913"/>
      <c r="AK911" s="920">
        <f t="shared" si="201"/>
        <v>1600</v>
      </c>
      <c r="AL911" s="920"/>
      <c r="AM911" s="920"/>
      <c r="AN911" s="920">
        <f t="shared" si="199"/>
        <v>1600</v>
      </c>
      <c r="AO911" s="673"/>
      <c r="AP911" s="920"/>
      <c r="AQ911" s="673"/>
      <c r="AR911" s="673"/>
      <c r="AS911" s="673"/>
      <c r="AT911" s="673">
        <f t="shared" si="202"/>
        <v>200</v>
      </c>
      <c r="AX911" s="673"/>
      <c r="AY911" s="673"/>
      <c r="AZ911" s="673"/>
      <c r="BA911" s="673"/>
      <c r="BB911" s="673"/>
      <c r="BC911" s="673"/>
      <c r="BD911" s="673"/>
      <c r="BE911" s="673"/>
      <c r="BF911" s="673"/>
      <c r="BG911" s="673"/>
      <c r="BH911" s="673"/>
      <c r="BI911" s="920"/>
    </row>
    <row r="912" s="670" customFormat="1" ht="31" customHeight="1" spans="1:61">
      <c r="A912" s="951">
        <v>46205</v>
      </c>
      <c r="B912" s="952" t="s">
        <v>280</v>
      </c>
      <c r="C912" s="953" t="s">
        <v>135</v>
      </c>
      <c r="D912" s="669" t="s">
        <v>6305</v>
      </c>
      <c r="E912" s="953" t="s">
        <v>3821</v>
      </c>
      <c r="F912" s="669" t="s">
        <v>6675</v>
      </c>
      <c r="G912" s="955" t="s">
        <v>3980</v>
      </c>
      <c r="H912" s="956" t="s">
        <v>3978</v>
      </c>
      <c r="I912" s="957">
        <v>11000</v>
      </c>
      <c r="J912" s="953">
        <v>0</v>
      </c>
      <c r="K912" s="953">
        <v>8</v>
      </c>
      <c r="L912" s="953">
        <f t="shared" si="197"/>
        <v>1375</v>
      </c>
      <c r="M912" s="958">
        <v>46304</v>
      </c>
      <c r="N912" s="958">
        <v>46300</v>
      </c>
      <c r="O912" s="952"/>
      <c r="P912" s="957"/>
      <c r="Q912" s="957"/>
      <c r="R912" s="886"/>
      <c r="S912" s="848"/>
      <c r="T912" s="848"/>
      <c r="U912" s="848"/>
      <c r="V912" s="960"/>
      <c r="W912" s="961"/>
      <c r="X912" s="966" t="s">
        <v>6307</v>
      </c>
      <c r="Y912" s="958" t="s">
        <v>288</v>
      </c>
      <c r="Z912" s="962">
        <v>4.8161</v>
      </c>
      <c r="AA912" s="669">
        <f>I912*Z912</f>
        <v>52977.1</v>
      </c>
      <c r="AB912" s="831"/>
      <c r="AC912" s="1052" t="s">
        <v>3980</v>
      </c>
      <c r="AD912" s="821" t="s">
        <v>112</v>
      </c>
      <c r="AE912" s="953">
        <f t="shared" si="198"/>
        <v>11000</v>
      </c>
      <c r="AF912" s="953"/>
      <c r="AG912" s="956"/>
      <c r="AH912" s="833">
        <f t="shared" si="200"/>
        <v>-11000</v>
      </c>
      <c r="AI912" s="957"/>
      <c r="AJ912" s="953"/>
      <c r="AK912" s="834">
        <f t="shared" si="201"/>
        <v>11000</v>
      </c>
      <c r="AL912" s="834"/>
      <c r="AM912" s="822"/>
      <c r="AN912" s="834">
        <f t="shared" si="199"/>
        <v>11000</v>
      </c>
      <c r="AO912" s="669"/>
      <c r="AP912" s="822"/>
      <c r="AQ912" s="669"/>
      <c r="AR912" s="669"/>
      <c r="AS912" s="669"/>
      <c r="AT912" s="822">
        <f t="shared" si="202"/>
        <v>1375</v>
      </c>
      <c r="AX912" s="669"/>
      <c r="AY912" s="669"/>
      <c r="AZ912" s="669"/>
      <c r="BA912" s="669"/>
      <c r="BB912" s="669"/>
      <c r="BC912" s="669"/>
      <c r="BD912" s="669"/>
      <c r="BE912" s="669"/>
      <c r="BF912" s="669"/>
      <c r="BG912" s="669"/>
      <c r="BH912" s="669"/>
      <c r="BI912" s="822"/>
    </row>
    <row r="913" s="670" customFormat="1" ht="31" customHeight="1" spans="1:61">
      <c r="A913" s="951">
        <v>46205</v>
      </c>
      <c r="B913" s="952" t="s">
        <v>280</v>
      </c>
      <c r="C913" s="953" t="s">
        <v>135</v>
      </c>
      <c r="D913" s="669" t="s">
        <v>6305</v>
      </c>
      <c r="E913" s="953" t="s">
        <v>3823</v>
      </c>
      <c r="F913" s="669" t="s">
        <v>6676</v>
      </c>
      <c r="G913" s="955" t="s">
        <v>3980</v>
      </c>
      <c r="H913" s="956" t="s">
        <v>3978</v>
      </c>
      <c r="I913" s="957">
        <v>11000</v>
      </c>
      <c r="J913" s="953">
        <v>0</v>
      </c>
      <c r="K913" s="953">
        <v>8</v>
      </c>
      <c r="L913" s="953">
        <f t="shared" si="197"/>
        <v>1375</v>
      </c>
      <c r="M913" s="958">
        <v>46304</v>
      </c>
      <c r="N913" s="958">
        <v>46300</v>
      </c>
      <c r="O913" s="952"/>
      <c r="P913" s="957"/>
      <c r="Q913" s="957"/>
      <c r="R913" s="886"/>
      <c r="S913" s="848"/>
      <c r="T913" s="848"/>
      <c r="U913" s="848"/>
      <c r="V913" s="960"/>
      <c r="W913" s="961"/>
      <c r="X913" s="966" t="s">
        <v>6307</v>
      </c>
      <c r="Y913" s="958" t="s">
        <v>288</v>
      </c>
      <c r="Z913" s="962">
        <v>4.8266</v>
      </c>
      <c r="AA913" s="669">
        <f>I913*Z913</f>
        <v>53092.6</v>
      </c>
      <c r="AB913" s="831"/>
      <c r="AC913" s="1052" t="s">
        <v>3980</v>
      </c>
      <c r="AD913" s="821" t="s">
        <v>112</v>
      </c>
      <c r="AE913" s="953">
        <f t="shared" si="198"/>
        <v>11000</v>
      </c>
      <c r="AF913" s="953"/>
      <c r="AG913" s="956"/>
      <c r="AH913" s="833">
        <f t="shared" si="200"/>
        <v>-11000</v>
      </c>
      <c r="AI913" s="957"/>
      <c r="AJ913" s="953"/>
      <c r="AK913" s="834">
        <f t="shared" si="201"/>
        <v>11000</v>
      </c>
      <c r="AL913" s="834"/>
      <c r="AM913" s="822"/>
      <c r="AN913" s="834">
        <f t="shared" si="199"/>
        <v>11000</v>
      </c>
      <c r="AO913" s="669"/>
      <c r="AP913" s="822"/>
      <c r="AQ913" s="669"/>
      <c r="AR913" s="669"/>
      <c r="AS913" s="669"/>
      <c r="AT913" s="822">
        <f t="shared" si="202"/>
        <v>1375</v>
      </c>
      <c r="AX913" s="669"/>
      <c r="AY913" s="669"/>
      <c r="AZ913" s="669"/>
      <c r="BA913" s="669"/>
      <c r="BB913" s="669"/>
      <c r="BC913" s="669"/>
      <c r="BD913" s="669"/>
      <c r="BE913" s="669"/>
      <c r="BF913" s="669"/>
      <c r="BG913" s="669"/>
      <c r="BH913" s="669"/>
      <c r="BI913" s="822"/>
    </row>
    <row r="914" s="659" customFormat="1" ht="31" customHeight="1" spans="1:61">
      <c r="A914" s="819">
        <v>46189</v>
      </c>
      <c r="B914" s="820" t="s">
        <v>3527</v>
      </c>
      <c r="C914" s="821" t="s">
        <v>2458</v>
      </c>
      <c r="D914" s="822" t="s">
        <v>6677</v>
      </c>
      <c r="E914" s="821" t="s">
        <v>6678</v>
      </c>
      <c r="F914" s="822" t="s">
        <v>6679</v>
      </c>
      <c r="G914" s="823" t="s">
        <v>5874</v>
      </c>
      <c r="H914" s="708" t="s">
        <v>3978</v>
      </c>
      <c r="I914" s="824">
        <v>2400</v>
      </c>
      <c r="J914" s="821">
        <v>0</v>
      </c>
      <c r="K914" s="821">
        <v>8</v>
      </c>
      <c r="L914" s="821">
        <f t="shared" si="197"/>
        <v>300</v>
      </c>
      <c r="M914" s="825">
        <v>46304</v>
      </c>
      <c r="N914" s="825">
        <v>46300</v>
      </c>
      <c r="O914" s="922" t="s">
        <v>2463</v>
      </c>
      <c r="P914" s="824"/>
      <c r="Q914" s="824"/>
      <c r="R914" s="827" t="s">
        <v>6020</v>
      </c>
      <c r="S914" s="828" t="s">
        <v>107</v>
      </c>
      <c r="T914" s="828" t="s">
        <v>5876</v>
      </c>
      <c r="U914" s="828"/>
      <c r="V914" s="829" t="s">
        <v>4056</v>
      </c>
      <c r="W914" s="828"/>
      <c r="X914" s="828" t="s">
        <v>6680</v>
      </c>
      <c r="Y914" s="825" t="s">
        <v>3531</v>
      </c>
      <c r="Z914" s="830">
        <v>4.4941</v>
      </c>
      <c r="AA914" s="822">
        <f>Z914*I914</f>
        <v>10785.84</v>
      </c>
      <c r="AB914" s="831"/>
      <c r="AC914" s="846" t="s">
        <v>5874</v>
      </c>
      <c r="AD914" s="821" t="s">
        <v>112</v>
      </c>
      <c r="AE914" s="821">
        <f t="shared" si="198"/>
        <v>2400</v>
      </c>
      <c r="AF914" s="821"/>
      <c r="AG914" s="708"/>
      <c r="AH914" s="833">
        <f t="shared" si="200"/>
        <v>-2400</v>
      </c>
      <c r="AI914" s="824"/>
      <c r="AJ914" s="821"/>
      <c r="AK914" s="834">
        <f t="shared" si="201"/>
        <v>2400</v>
      </c>
      <c r="AL914" s="822"/>
      <c r="AM914" s="822"/>
      <c r="AN914" s="822"/>
      <c r="AO914" s="822"/>
      <c r="AP914" s="822">
        <f>I914</f>
        <v>2400</v>
      </c>
      <c r="AQ914" s="822"/>
      <c r="AR914" s="822"/>
      <c r="AS914" s="822"/>
      <c r="AT914" s="822">
        <f t="shared" si="202"/>
        <v>300</v>
      </c>
      <c r="AU914" s="834"/>
      <c r="AV914" s="834"/>
      <c r="AW914" s="834"/>
      <c r="AX914" s="822"/>
      <c r="AY914" s="822"/>
      <c r="AZ914" s="822"/>
      <c r="BA914" s="822"/>
      <c r="BB914" s="822"/>
      <c r="BC914" s="822"/>
      <c r="BD914" s="822"/>
      <c r="BE914" s="822"/>
      <c r="BF914" s="822"/>
      <c r="BG914" s="822"/>
      <c r="BH914" s="822"/>
      <c r="BI914" s="822"/>
    </row>
    <row r="915" s="672" customFormat="1" ht="31" customHeight="1" spans="1:61">
      <c r="A915" s="897">
        <v>46219</v>
      </c>
      <c r="B915" s="1022" t="s">
        <v>1176</v>
      </c>
      <c r="C915" s="913" t="s">
        <v>115</v>
      </c>
      <c r="D915" s="673">
        <v>4500216785</v>
      </c>
      <c r="E915" s="913" t="s">
        <v>3685</v>
      </c>
      <c r="F915" s="673" t="s">
        <v>6681</v>
      </c>
      <c r="G915" s="1023" t="s">
        <v>3973</v>
      </c>
      <c r="H915" s="708" t="s">
        <v>3995</v>
      </c>
      <c r="I915" s="904">
        <v>2992</v>
      </c>
      <c r="J915" s="913">
        <v>0</v>
      </c>
      <c r="K915" s="913">
        <v>16</v>
      </c>
      <c r="L915" s="913">
        <f t="shared" si="197"/>
        <v>187</v>
      </c>
      <c r="M915" s="1024">
        <v>46304</v>
      </c>
      <c r="N915" s="1024">
        <v>46300</v>
      </c>
      <c r="O915" s="1022"/>
      <c r="P915" s="904"/>
      <c r="Q915" s="904"/>
      <c r="R915" s="886" t="s">
        <v>3064</v>
      </c>
      <c r="S915" s="848" t="s">
        <v>107</v>
      </c>
      <c r="T915" s="848" t="s">
        <v>6588</v>
      </c>
      <c r="U915" s="848"/>
      <c r="V915" s="906"/>
      <c r="W915" s="1025"/>
      <c r="X915" s="1025" t="s">
        <v>1181</v>
      </c>
      <c r="Y915" s="1024" t="s">
        <v>2654</v>
      </c>
      <c r="Z915" s="1026">
        <v>2.8873</v>
      </c>
      <c r="AA915" s="673">
        <f>I915*Z915</f>
        <v>8638.8016</v>
      </c>
      <c r="AB915" s="910"/>
      <c r="AC915" s="820" t="s">
        <v>3973</v>
      </c>
      <c r="AD915" s="912" t="s">
        <v>112</v>
      </c>
      <c r="AE915" s="913">
        <f t="shared" si="198"/>
        <v>2992</v>
      </c>
      <c r="AF915" s="913"/>
      <c r="AG915" s="899"/>
      <c r="AH915" s="833">
        <f t="shared" si="200"/>
        <v>-2992</v>
      </c>
      <c r="AI915" s="904"/>
      <c r="AJ915" s="913"/>
      <c r="AK915" s="920">
        <f t="shared" si="201"/>
        <v>2992</v>
      </c>
      <c r="AL915" s="920"/>
      <c r="AM915" s="920"/>
      <c r="AN915" s="920">
        <f t="shared" ref="AN915:AN925" si="203">I915</f>
        <v>2992</v>
      </c>
      <c r="AO915" s="673"/>
      <c r="AP915" s="920"/>
      <c r="AQ915" s="673"/>
      <c r="AR915" s="673"/>
      <c r="AS915" s="673"/>
      <c r="AT915" s="673">
        <f t="shared" si="202"/>
        <v>374</v>
      </c>
      <c r="AX915" s="673"/>
      <c r="AY915" s="673"/>
      <c r="AZ915" s="673"/>
      <c r="BA915" s="673"/>
      <c r="BB915" s="673"/>
      <c r="BC915" s="673"/>
      <c r="BD915" s="673"/>
      <c r="BE915" s="673"/>
      <c r="BF915" s="673"/>
      <c r="BG915" s="673"/>
      <c r="BH915" s="673"/>
      <c r="BI915" s="920"/>
    </row>
    <row r="916" s="673" customFormat="1" ht="31" customHeight="1" spans="1:61">
      <c r="A916" s="897">
        <v>46233</v>
      </c>
      <c r="B916" s="1022" t="s">
        <v>2326</v>
      </c>
      <c r="C916" s="913" t="s">
        <v>319</v>
      </c>
      <c r="D916" s="673">
        <v>4500218190</v>
      </c>
      <c r="E916" s="913" t="s">
        <v>3826</v>
      </c>
      <c r="F916" s="1123" t="s">
        <v>3827</v>
      </c>
      <c r="G916" s="1124" t="s">
        <v>6408</v>
      </c>
      <c r="H916" s="913" t="s">
        <v>804</v>
      </c>
      <c r="I916" s="904">
        <v>2400</v>
      </c>
      <c r="J916" s="913">
        <v>0</v>
      </c>
      <c r="K916" s="913">
        <v>6</v>
      </c>
      <c r="L916" s="913">
        <f t="shared" si="197"/>
        <v>400</v>
      </c>
      <c r="M916" s="1024">
        <v>46304</v>
      </c>
      <c r="N916" s="1024">
        <f>M916-4</f>
        <v>46300</v>
      </c>
      <c r="O916" s="1022"/>
      <c r="P916" s="904"/>
      <c r="Q916" s="904"/>
      <c r="R916" s="886">
        <v>46233</v>
      </c>
      <c r="S916" s="848" t="s">
        <v>107</v>
      </c>
      <c r="T916" s="848" t="s">
        <v>3828</v>
      </c>
      <c r="U916" s="848"/>
      <c r="V916" s="829"/>
      <c r="W916" s="1025"/>
      <c r="X916" s="865" t="s">
        <v>6682</v>
      </c>
      <c r="Y916" s="1024" t="s">
        <v>2332</v>
      </c>
      <c r="Z916" s="1026">
        <v>8.15</v>
      </c>
      <c r="AA916" s="673">
        <f>L916*Z916</f>
        <v>3260</v>
      </c>
      <c r="AB916" s="1080"/>
      <c r="AC916" s="821" t="s">
        <v>806</v>
      </c>
      <c r="AD916" s="912" t="s">
        <v>4118</v>
      </c>
      <c r="AE916" s="913">
        <f t="shared" si="198"/>
        <v>2400</v>
      </c>
      <c r="AF916" s="913"/>
      <c r="AG916" s="899"/>
      <c r="AH916" s="833">
        <f t="shared" si="200"/>
        <v>-2400</v>
      </c>
      <c r="AI916" s="904"/>
      <c r="AJ916" s="913"/>
      <c r="AK916" s="920">
        <f t="shared" si="201"/>
        <v>2400</v>
      </c>
      <c r="AL916" s="920"/>
      <c r="AM916" s="920"/>
      <c r="AN916" s="920">
        <f t="shared" si="203"/>
        <v>2400</v>
      </c>
      <c r="AP916" s="920"/>
      <c r="AQ916" s="673"/>
      <c r="AR916" s="673"/>
      <c r="AS916" s="673"/>
      <c r="AT916" s="673"/>
      <c r="BI916" s="920"/>
    </row>
    <row r="917" s="669" customFormat="1" ht="31" customHeight="1" spans="1:61">
      <c r="A917" s="951">
        <v>46233</v>
      </c>
      <c r="B917" s="952" t="s">
        <v>2326</v>
      </c>
      <c r="C917" s="953" t="s">
        <v>217</v>
      </c>
      <c r="D917" s="669">
        <v>4500218190</v>
      </c>
      <c r="E917" s="953" t="s">
        <v>3830</v>
      </c>
      <c r="F917" s="1123" t="s">
        <v>3831</v>
      </c>
      <c r="G917" s="1124" t="s">
        <v>6408</v>
      </c>
      <c r="H917" s="953" t="s">
        <v>804</v>
      </c>
      <c r="I917" s="957">
        <v>1500</v>
      </c>
      <c r="J917" s="953">
        <v>0</v>
      </c>
      <c r="K917" s="953">
        <v>6</v>
      </c>
      <c r="L917" s="953">
        <f t="shared" si="197"/>
        <v>250</v>
      </c>
      <c r="M917" s="958">
        <v>46304</v>
      </c>
      <c r="N917" s="958">
        <f>M917-4</f>
        <v>46300</v>
      </c>
      <c r="O917" s="952"/>
      <c r="P917" s="957"/>
      <c r="Q917" s="957"/>
      <c r="R917" s="886">
        <v>46233</v>
      </c>
      <c r="S917" s="848" t="s">
        <v>107</v>
      </c>
      <c r="T917" s="961" t="s">
        <v>3832</v>
      </c>
      <c r="U917" s="961"/>
      <c r="V917" s="829"/>
      <c r="W917" s="961"/>
      <c r="X917" s="865" t="s">
        <v>6683</v>
      </c>
      <c r="Y917" s="958" t="s">
        <v>2332</v>
      </c>
      <c r="Z917" s="962">
        <v>8.15</v>
      </c>
      <c r="AA917" s="669">
        <f>L917*Z917</f>
        <v>2037.5</v>
      </c>
      <c r="AB917" s="927"/>
      <c r="AC917" s="821" t="s">
        <v>806</v>
      </c>
      <c r="AD917" s="912" t="s">
        <v>4118</v>
      </c>
      <c r="AE917" s="953">
        <f t="shared" si="198"/>
        <v>1500</v>
      </c>
      <c r="AF917" s="913"/>
      <c r="AG917" s="899"/>
      <c r="AH917" s="833">
        <f t="shared" si="200"/>
        <v>-1500</v>
      </c>
      <c r="AI917" s="957"/>
      <c r="AJ917" s="913"/>
      <c r="AK917" s="920">
        <f t="shared" si="201"/>
        <v>1500</v>
      </c>
      <c r="AN917" s="920">
        <f t="shared" si="203"/>
        <v>1500</v>
      </c>
    </row>
    <row r="918" s="673" customFormat="1" ht="31" customHeight="1" spans="1:61">
      <c r="A918" s="897">
        <v>46238</v>
      </c>
      <c r="B918" s="1022" t="s">
        <v>6684</v>
      </c>
      <c r="C918" s="913" t="s">
        <v>115</v>
      </c>
      <c r="D918" s="673" t="s">
        <v>6685</v>
      </c>
      <c r="E918" s="913" t="s">
        <v>6686</v>
      </c>
      <c r="F918" s="673" t="s">
        <v>6687</v>
      </c>
      <c r="G918" s="1023" t="s">
        <v>3980</v>
      </c>
      <c r="H918" s="913" t="s">
        <v>3978</v>
      </c>
      <c r="I918" s="904">
        <v>400</v>
      </c>
      <c r="J918" s="913">
        <v>0</v>
      </c>
      <c r="K918" s="913">
        <v>8</v>
      </c>
      <c r="L918" s="913">
        <f t="shared" si="197"/>
        <v>50</v>
      </c>
      <c r="M918" s="1024">
        <v>46304</v>
      </c>
      <c r="N918" s="1024">
        <v>46300</v>
      </c>
      <c r="O918" s="1022"/>
      <c r="P918" s="904"/>
      <c r="Q918" s="904"/>
      <c r="R918" s="827" t="s">
        <v>2339</v>
      </c>
      <c r="S918" s="829" t="s">
        <v>107</v>
      </c>
      <c r="T918" s="828" t="s">
        <v>3839</v>
      </c>
      <c r="U918" s="848"/>
      <c r="V918" s="1025"/>
      <c r="W918" s="1025"/>
      <c r="X918" s="828" t="s">
        <v>3840</v>
      </c>
      <c r="Y918" s="1024" t="s">
        <v>6688</v>
      </c>
      <c r="Z918" s="1026">
        <v>2.9023</v>
      </c>
      <c r="AA918" s="673">
        <f t="shared" ref="AA918:AA925" si="204">I918*Z918</f>
        <v>1160.92</v>
      </c>
      <c r="AB918" s="910"/>
      <c r="AC918" s="895" t="s">
        <v>3980</v>
      </c>
      <c r="AD918" s="912" t="s">
        <v>112</v>
      </c>
      <c r="AE918" s="913">
        <f t="shared" si="198"/>
        <v>400</v>
      </c>
      <c r="AF918" s="913"/>
      <c r="AG918" s="913"/>
      <c r="AH918" s="821"/>
      <c r="AI918" s="904"/>
      <c r="AJ918" s="913"/>
      <c r="AK918" s="834">
        <f t="shared" si="201"/>
        <v>400</v>
      </c>
      <c r="AL918" s="920"/>
      <c r="AM918" s="920"/>
      <c r="AN918" s="834">
        <f t="shared" si="203"/>
        <v>400</v>
      </c>
      <c r="AP918" s="920"/>
      <c r="AQ918" s="822"/>
      <c r="AR918" s="822"/>
      <c r="AS918" s="822"/>
      <c r="AT918" s="822">
        <f>I918/8</f>
        <v>50</v>
      </c>
      <c r="BI918" s="920"/>
    </row>
    <row r="919" s="673" customFormat="1" ht="31" customHeight="1" spans="1:61">
      <c r="A919" s="897">
        <v>46238</v>
      </c>
      <c r="B919" s="1022" t="s">
        <v>6684</v>
      </c>
      <c r="C919" s="913" t="s">
        <v>115</v>
      </c>
      <c r="D919" s="673" t="s">
        <v>6689</v>
      </c>
      <c r="E919" s="913" t="s">
        <v>6690</v>
      </c>
      <c r="F919" s="673" t="s">
        <v>6691</v>
      </c>
      <c r="G919" s="1023" t="s">
        <v>3980</v>
      </c>
      <c r="H919" s="913" t="s">
        <v>3978</v>
      </c>
      <c r="I919" s="904">
        <v>4600</v>
      </c>
      <c r="J919" s="913">
        <v>0</v>
      </c>
      <c r="K919" s="913">
        <v>8</v>
      </c>
      <c r="L919" s="913">
        <f t="shared" si="197"/>
        <v>575</v>
      </c>
      <c r="M919" s="1024">
        <v>46304</v>
      </c>
      <c r="N919" s="1024">
        <v>46300</v>
      </c>
      <c r="O919" s="1022"/>
      <c r="P919" s="904"/>
      <c r="Q919" s="904"/>
      <c r="R919" s="827" t="s">
        <v>2339</v>
      </c>
      <c r="S919" s="829" t="s">
        <v>107</v>
      </c>
      <c r="T919" s="828" t="s">
        <v>6692</v>
      </c>
      <c r="U919" s="848"/>
      <c r="V919" s="1025"/>
      <c r="W919" s="1025"/>
      <c r="X919" s="828" t="s">
        <v>3844</v>
      </c>
      <c r="Y919" s="1024" t="s">
        <v>6688</v>
      </c>
      <c r="Z919" s="1026">
        <v>2.896</v>
      </c>
      <c r="AA919" s="673">
        <f t="shared" si="204"/>
        <v>13321.6</v>
      </c>
      <c r="AB919" s="910"/>
      <c r="AC919" s="895" t="s">
        <v>3980</v>
      </c>
      <c r="AD919" s="912" t="s">
        <v>112</v>
      </c>
      <c r="AE919" s="913">
        <f t="shared" si="198"/>
        <v>4600</v>
      </c>
      <c r="AF919" s="913"/>
      <c r="AG919" s="913"/>
      <c r="AH919" s="821"/>
      <c r="AI919" s="904"/>
      <c r="AJ919" s="913"/>
      <c r="AK919" s="834">
        <f t="shared" si="201"/>
        <v>4600</v>
      </c>
      <c r="AL919" s="920"/>
      <c r="AM919" s="920"/>
      <c r="AN919" s="834">
        <f t="shared" si="203"/>
        <v>4600</v>
      </c>
      <c r="AP919" s="920"/>
      <c r="AQ919" s="822"/>
      <c r="AR919" s="822"/>
      <c r="AS919" s="822"/>
      <c r="AT919" s="822">
        <f>I919/8</f>
        <v>575</v>
      </c>
      <c r="BI919" s="920"/>
    </row>
    <row r="920" s="679" customFormat="1" ht="31" customHeight="1" spans="1:61">
      <c r="A920" s="1125">
        <v>46212</v>
      </c>
      <c r="B920" s="1126" t="s">
        <v>1110</v>
      </c>
      <c r="C920" s="1127" t="s">
        <v>1111</v>
      </c>
      <c r="D920" s="679">
        <v>4500215780</v>
      </c>
      <c r="E920" s="1127"/>
      <c r="F920" s="679" t="s">
        <v>6693</v>
      </c>
      <c r="G920" s="1128" t="s">
        <v>3973</v>
      </c>
      <c r="H920" s="1003" t="s">
        <v>3995</v>
      </c>
      <c r="I920" s="1129">
        <v>2048</v>
      </c>
      <c r="J920" s="1127">
        <v>0</v>
      </c>
      <c r="K920" s="1127">
        <v>16</v>
      </c>
      <c r="L920" s="1127">
        <f t="shared" si="197"/>
        <v>128</v>
      </c>
      <c r="M920" s="1130">
        <v>46305</v>
      </c>
      <c r="N920" s="1130">
        <v>46301</v>
      </c>
      <c r="O920" s="1126"/>
      <c r="P920" s="1129"/>
      <c r="Q920" s="1129"/>
      <c r="R920" s="1131">
        <v>46211</v>
      </c>
      <c r="S920" s="1007" t="s">
        <v>107</v>
      </c>
      <c r="T920" s="1132" t="s">
        <v>95</v>
      </c>
      <c r="U920" s="1132"/>
      <c r="V920" s="1132"/>
      <c r="W920" s="1132"/>
      <c r="X920" s="1126" t="s">
        <v>3820</v>
      </c>
      <c r="Y920" s="1130" t="s">
        <v>222</v>
      </c>
      <c r="Z920" s="1133">
        <v>4.784</v>
      </c>
      <c r="AA920" s="679">
        <f t="shared" si="204"/>
        <v>9797.632</v>
      </c>
      <c r="AB920" s="1011"/>
      <c r="AC920" s="999" t="s">
        <v>3973</v>
      </c>
      <c r="AD920" s="1127" t="s">
        <v>112</v>
      </c>
      <c r="AE920" s="1127">
        <f t="shared" si="198"/>
        <v>2048</v>
      </c>
      <c r="AF920" s="1127"/>
      <c r="AG920" s="1127"/>
      <c r="AH920" s="833">
        <f>AG920-I920</f>
        <v>-2048</v>
      </c>
      <c r="AI920" s="1129"/>
      <c r="AJ920" s="1127"/>
      <c r="AK920" s="1014">
        <f t="shared" si="201"/>
        <v>2048</v>
      </c>
      <c r="AL920" s="1001"/>
      <c r="AM920" s="1001"/>
      <c r="AN920" s="1014">
        <f t="shared" si="203"/>
        <v>2048</v>
      </c>
      <c r="AT920" s="679">
        <f>I920/8</f>
        <v>256</v>
      </c>
    </row>
    <row r="921" s="667" customFormat="1" ht="31" customHeight="1" spans="1:61">
      <c r="A921" s="819">
        <v>46211</v>
      </c>
      <c r="B921" s="820" t="s">
        <v>2379</v>
      </c>
      <c r="C921" s="821" t="s">
        <v>508</v>
      </c>
      <c r="D921" s="822" t="s">
        <v>6694</v>
      </c>
      <c r="E921" s="821" t="s">
        <v>6695</v>
      </c>
      <c r="F921" s="822" t="s">
        <v>6696</v>
      </c>
      <c r="G921" s="823" t="s">
        <v>3980</v>
      </c>
      <c r="H921" s="821" t="s">
        <v>3978</v>
      </c>
      <c r="I921" s="824">
        <v>2736</v>
      </c>
      <c r="J921" s="821">
        <v>0</v>
      </c>
      <c r="K921" s="821">
        <v>8</v>
      </c>
      <c r="L921" s="821">
        <f t="shared" si="197"/>
        <v>342</v>
      </c>
      <c r="M921" s="825">
        <v>46307</v>
      </c>
      <c r="N921" s="825">
        <v>46303</v>
      </c>
      <c r="O921" s="820"/>
      <c r="P921" s="824"/>
      <c r="Q921" s="824"/>
      <c r="R921" s="864" t="s">
        <v>3064</v>
      </c>
      <c r="S921" s="828" t="s">
        <v>107</v>
      </c>
      <c r="T921" s="828" t="s">
        <v>6482</v>
      </c>
      <c r="U921" s="828"/>
      <c r="V921" s="828" t="s">
        <v>6093</v>
      </c>
      <c r="W921" s="828"/>
      <c r="X921" s="828" t="s">
        <v>6697</v>
      </c>
      <c r="Y921" s="825" t="s">
        <v>2378</v>
      </c>
      <c r="Z921" s="830">
        <v>4.9081</v>
      </c>
      <c r="AA921" s="822">
        <f t="shared" si="204"/>
        <v>13428.5616</v>
      </c>
      <c r="AB921" s="831"/>
      <c r="AC921" s="1052" t="s">
        <v>3980</v>
      </c>
      <c r="AD921" s="953" t="s">
        <v>112</v>
      </c>
      <c r="AE921" s="821">
        <f t="shared" si="198"/>
        <v>2736</v>
      </c>
      <c r="AF921" s="821"/>
      <c r="AG921" s="821"/>
      <c r="AH921" s="833">
        <f>AG921-I921</f>
        <v>-2736</v>
      </c>
      <c r="AI921" s="824"/>
      <c r="AJ921" s="821"/>
      <c r="AK921" s="834">
        <f t="shared" si="201"/>
        <v>2736</v>
      </c>
      <c r="AL921" s="822"/>
      <c r="AM921" s="822"/>
      <c r="AN921" s="834">
        <f t="shared" si="203"/>
        <v>2736</v>
      </c>
      <c r="AO921" s="822"/>
      <c r="AP921" s="822"/>
      <c r="AQ921" s="822"/>
      <c r="AR921" s="822"/>
      <c r="AS921" s="822"/>
      <c r="AT921" s="822"/>
      <c r="AU921" s="822"/>
      <c r="AV921" s="822"/>
      <c r="AW921" s="822"/>
      <c r="AX921" s="834">
        <f>I921/8</f>
        <v>342</v>
      </c>
      <c r="AY921" s="834"/>
      <c r="AZ921" s="834"/>
      <c r="BA921" s="822"/>
      <c r="BB921" s="822"/>
      <c r="BC921" s="822"/>
      <c r="BD921" s="822"/>
      <c r="BE921" s="822"/>
      <c r="BF921" s="822"/>
      <c r="BG921" s="822"/>
      <c r="BH921" s="822"/>
      <c r="BI921" s="822"/>
    </row>
    <row r="922" s="667" customFormat="1" ht="31" customHeight="1" spans="1:61">
      <c r="A922" s="819">
        <v>46211</v>
      </c>
      <c r="B922" s="820" t="s">
        <v>2373</v>
      </c>
      <c r="C922" s="821" t="s">
        <v>101</v>
      </c>
      <c r="D922" s="822" t="s">
        <v>6698</v>
      </c>
      <c r="E922" s="821" t="s">
        <v>6699</v>
      </c>
      <c r="F922" s="822" t="s">
        <v>6700</v>
      </c>
      <c r="G922" s="823" t="s">
        <v>3980</v>
      </c>
      <c r="H922" s="821" t="s">
        <v>3978</v>
      </c>
      <c r="I922" s="824">
        <v>256</v>
      </c>
      <c r="J922" s="821">
        <v>0</v>
      </c>
      <c r="K922" s="821">
        <v>8</v>
      </c>
      <c r="L922" s="821">
        <f t="shared" si="197"/>
        <v>32</v>
      </c>
      <c r="M922" s="825">
        <v>46307</v>
      </c>
      <c r="N922" s="825">
        <v>46303</v>
      </c>
      <c r="O922" s="820"/>
      <c r="P922" s="824"/>
      <c r="Q922" s="824"/>
      <c r="R922" s="864" t="s">
        <v>3064</v>
      </c>
      <c r="S922" s="828" t="s">
        <v>107</v>
      </c>
      <c r="T922" s="828" t="s">
        <v>6482</v>
      </c>
      <c r="U922" s="828"/>
      <c r="V922" s="828" t="s">
        <v>6093</v>
      </c>
      <c r="W922" s="828"/>
      <c r="X922" s="828" t="s">
        <v>6701</v>
      </c>
      <c r="Y922" s="825" t="s">
        <v>2378</v>
      </c>
      <c r="Z922" s="830">
        <v>4.9186</v>
      </c>
      <c r="AA922" s="822">
        <f t="shared" si="204"/>
        <v>1259.1616</v>
      </c>
      <c r="AB922" s="831"/>
      <c r="AC922" s="1052" t="s">
        <v>3980</v>
      </c>
      <c r="AD922" s="953" t="s">
        <v>112</v>
      </c>
      <c r="AE922" s="821">
        <f t="shared" si="198"/>
        <v>256</v>
      </c>
      <c r="AF922" s="821"/>
      <c r="AG922" s="821"/>
      <c r="AH922" s="833">
        <f>AG922-I922</f>
        <v>-256</v>
      </c>
      <c r="AI922" s="824"/>
      <c r="AJ922" s="821"/>
      <c r="AK922" s="834">
        <f t="shared" si="201"/>
        <v>256</v>
      </c>
      <c r="AL922" s="822"/>
      <c r="AM922" s="822"/>
      <c r="AN922" s="834">
        <f t="shared" si="203"/>
        <v>256</v>
      </c>
      <c r="AO922" s="822"/>
      <c r="AP922" s="822"/>
      <c r="AQ922" s="822"/>
      <c r="AR922" s="822"/>
      <c r="AS922" s="822"/>
      <c r="AT922" s="822"/>
      <c r="AU922" s="822"/>
      <c r="AV922" s="822"/>
      <c r="AW922" s="822"/>
      <c r="AX922" s="834">
        <f>I922/8</f>
        <v>32</v>
      </c>
      <c r="AY922" s="834"/>
      <c r="AZ922" s="834"/>
      <c r="BA922" s="822"/>
      <c r="BB922" s="822"/>
      <c r="BC922" s="822"/>
      <c r="BD922" s="822"/>
      <c r="BE922" s="822"/>
      <c r="BF922" s="822"/>
      <c r="BG922" s="822"/>
      <c r="BH922" s="822"/>
      <c r="BI922" s="822"/>
    </row>
    <row r="923" s="672" customFormat="1" ht="31" customHeight="1" spans="1:61">
      <c r="A923" s="897">
        <v>46219</v>
      </c>
      <c r="B923" s="1022" t="s">
        <v>200</v>
      </c>
      <c r="C923" s="913" t="s">
        <v>201</v>
      </c>
      <c r="D923" s="673">
        <v>4500216771</v>
      </c>
      <c r="E923" s="913">
        <v>4552740904</v>
      </c>
      <c r="F923" s="673" t="s">
        <v>6702</v>
      </c>
      <c r="G923" s="1023" t="s">
        <v>3980</v>
      </c>
      <c r="H923" s="899" t="s">
        <v>3978</v>
      </c>
      <c r="I923" s="904">
        <v>12000</v>
      </c>
      <c r="J923" s="913">
        <v>0</v>
      </c>
      <c r="K923" s="913">
        <v>8</v>
      </c>
      <c r="L923" s="913">
        <f t="shared" si="197"/>
        <v>1500</v>
      </c>
      <c r="M923" s="1024">
        <v>46307</v>
      </c>
      <c r="N923" s="1024">
        <v>46303</v>
      </c>
      <c r="O923" s="1022"/>
      <c r="P923" s="904"/>
      <c r="Q923" s="904"/>
      <c r="R923" s="886" t="s">
        <v>3064</v>
      </c>
      <c r="S923" s="848" t="s">
        <v>107</v>
      </c>
      <c r="T923" s="848" t="s">
        <v>5778</v>
      </c>
      <c r="U923" s="848"/>
      <c r="V923" s="906"/>
      <c r="W923" s="1025"/>
      <c r="X923" s="1025" t="s">
        <v>6703</v>
      </c>
      <c r="Y923" s="1024" t="s">
        <v>204</v>
      </c>
      <c r="Z923" s="1026">
        <v>4.8009</v>
      </c>
      <c r="AA923" s="673">
        <f t="shared" si="204"/>
        <v>57610.8</v>
      </c>
      <c r="AB923" s="910"/>
      <c r="AC923" s="1052" t="s">
        <v>4031</v>
      </c>
      <c r="AD923" s="912" t="s">
        <v>112</v>
      </c>
      <c r="AE923" s="913">
        <f t="shared" si="198"/>
        <v>12000</v>
      </c>
      <c r="AF923" s="913"/>
      <c r="AG923" s="899"/>
      <c r="AH923" s="833">
        <f>AG923-I923</f>
        <v>-12000</v>
      </c>
      <c r="AI923" s="904"/>
      <c r="AJ923" s="913"/>
      <c r="AK923" s="920"/>
      <c r="AL923" s="1092">
        <f>I923</f>
        <v>12000</v>
      </c>
      <c r="AM923" s="920"/>
      <c r="AN923" s="920">
        <f t="shared" si="203"/>
        <v>12000</v>
      </c>
      <c r="AO923" s="673"/>
      <c r="AP923" s="920"/>
      <c r="AQ923" s="673"/>
      <c r="AR923" s="673"/>
      <c r="AS923" s="673"/>
      <c r="AT923" s="673"/>
      <c r="AU923" s="1059">
        <f>I923/8</f>
        <v>1500</v>
      </c>
      <c r="AX923" s="673"/>
      <c r="AY923" s="673"/>
      <c r="AZ923" s="673"/>
      <c r="BA923" s="673"/>
      <c r="BB923" s="673"/>
      <c r="BC923" s="673"/>
      <c r="BD923" s="673"/>
      <c r="BE923" s="673"/>
      <c r="BF923" s="673"/>
      <c r="BG923" s="673"/>
      <c r="BH923" s="673"/>
      <c r="BI923" s="920"/>
    </row>
    <row r="924" s="678" customFormat="1" ht="31" customHeight="1" spans="1:61">
      <c r="A924" s="1113">
        <v>46244</v>
      </c>
      <c r="B924" s="1114" t="s">
        <v>3037</v>
      </c>
      <c r="C924" s="984" t="s">
        <v>508</v>
      </c>
      <c r="D924" s="988">
        <v>4500219288</v>
      </c>
      <c r="E924" s="984">
        <v>2654482</v>
      </c>
      <c r="F924" s="988" t="s">
        <v>6704</v>
      </c>
      <c r="G924" s="1115" t="s">
        <v>3980</v>
      </c>
      <c r="H924" s="984" t="s">
        <v>3978</v>
      </c>
      <c r="I924" s="1116">
        <v>3504</v>
      </c>
      <c r="J924" s="984">
        <v>0</v>
      </c>
      <c r="K924" s="984">
        <v>8</v>
      </c>
      <c r="L924" s="984">
        <f t="shared" si="197"/>
        <v>438</v>
      </c>
      <c r="M924" s="1117">
        <v>46307</v>
      </c>
      <c r="N924" s="1117">
        <v>46303</v>
      </c>
      <c r="O924" s="1114"/>
      <c r="P924" s="1116"/>
      <c r="Q924" s="1116"/>
      <c r="R924" s="1134">
        <v>46245</v>
      </c>
      <c r="S924" s="977" t="s">
        <v>107</v>
      </c>
      <c r="T924" s="977" t="s">
        <v>6705</v>
      </c>
      <c r="U924" s="977"/>
      <c r="V924" s="977" t="s">
        <v>6093</v>
      </c>
      <c r="W924" s="977"/>
      <c r="X924" s="977" t="s">
        <v>6706</v>
      </c>
      <c r="Y924" s="1117" t="s">
        <v>6707</v>
      </c>
      <c r="Z924" s="1118">
        <v>4.9081</v>
      </c>
      <c r="AA924" s="988">
        <f t="shared" si="204"/>
        <v>17197.9824</v>
      </c>
      <c r="AB924" s="982"/>
      <c r="AC924" s="1106" t="s">
        <v>3980</v>
      </c>
      <c r="AD924" s="821" t="s">
        <v>112</v>
      </c>
      <c r="AE924" s="984">
        <f t="shared" si="198"/>
        <v>3504</v>
      </c>
      <c r="AF924" s="984"/>
      <c r="AG924" s="984"/>
      <c r="AH924" s="986"/>
      <c r="AI924" s="1116"/>
      <c r="AJ924" s="984"/>
      <c r="AK924" s="989">
        <f>I924</f>
        <v>3504</v>
      </c>
      <c r="AL924" s="988"/>
      <c r="AM924" s="988"/>
      <c r="AN924" s="989">
        <f t="shared" si="203"/>
        <v>3504</v>
      </c>
      <c r="AO924" s="988"/>
      <c r="AP924" s="988"/>
      <c r="AQ924" s="988"/>
      <c r="AR924" s="988"/>
      <c r="AS924" s="988"/>
      <c r="AT924" s="988"/>
      <c r="AU924" s="988"/>
      <c r="AV924" s="988"/>
      <c r="AW924" s="988"/>
      <c r="AX924" s="989">
        <f>I924/8</f>
        <v>438</v>
      </c>
      <c r="AY924" s="989"/>
      <c r="AZ924" s="989"/>
      <c r="BA924" s="988"/>
      <c r="BB924" s="988"/>
      <c r="BC924" s="988"/>
      <c r="BD924" s="988"/>
      <c r="BE924" s="988"/>
      <c r="BF924" s="988"/>
      <c r="BG924" s="988"/>
      <c r="BH924" s="988"/>
      <c r="BI924" s="988"/>
    </row>
    <row r="925" s="673" customFormat="1" ht="31" customHeight="1" spans="1:61">
      <c r="A925" s="897">
        <v>46237</v>
      </c>
      <c r="B925" s="1022" t="s">
        <v>338</v>
      </c>
      <c r="C925" s="913" t="s">
        <v>135</v>
      </c>
      <c r="D925" s="673" t="s">
        <v>6589</v>
      </c>
      <c r="E925" s="913" t="s">
        <v>3857</v>
      </c>
      <c r="F925" s="673" t="s">
        <v>6708</v>
      </c>
      <c r="G925" s="1023" t="s">
        <v>3973</v>
      </c>
      <c r="H925" s="913" t="s">
        <v>3995</v>
      </c>
      <c r="I925" s="904">
        <v>16608</v>
      </c>
      <c r="J925" s="913">
        <v>0</v>
      </c>
      <c r="K925" s="913">
        <v>16</v>
      </c>
      <c r="L925" s="913">
        <f t="shared" si="197"/>
        <v>1038</v>
      </c>
      <c r="M925" s="1024">
        <v>46308</v>
      </c>
      <c r="N925" s="1024">
        <v>46304</v>
      </c>
      <c r="O925" s="1022"/>
      <c r="P925" s="904"/>
      <c r="Q925" s="904"/>
      <c r="R925" s="886">
        <v>46237</v>
      </c>
      <c r="S925" s="848" t="s">
        <v>107</v>
      </c>
      <c r="T925" s="828" t="s">
        <v>4122</v>
      </c>
      <c r="U925" s="848"/>
      <c r="V925" s="1025"/>
      <c r="W925" s="1025"/>
      <c r="X925" s="828" t="s">
        <v>3696</v>
      </c>
      <c r="Y925" s="1024" t="s">
        <v>1130</v>
      </c>
      <c r="Z925" s="1026">
        <v>4.7968</v>
      </c>
      <c r="AA925" s="673">
        <f t="shared" si="204"/>
        <v>79665.2544</v>
      </c>
      <c r="AB925" s="910"/>
      <c r="AC925" s="822" t="s">
        <v>3973</v>
      </c>
      <c r="AD925" s="912" t="s">
        <v>112</v>
      </c>
      <c r="AE925" s="913">
        <f t="shared" si="198"/>
        <v>16608</v>
      </c>
      <c r="AF925" s="913"/>
      <c r="AG925" s="913"/>
      <c r="AH925" s="821"/>
      <c r="AI925" s="904"/>
      <c r="AJ925" s="913"/>
      <c r="AK925" s="822">
        <f>I925</f>
        <v>16608</v>
      </c>
      <c r="AL925" s="920"/>
      <c r="AM925" s="920"/>
      <c r="AN925" s="822">
        <f t="shared" si="203"/>
        <v>16608</v>
      </c>
      <c r="AP925" s="920"/>
      <c r="AQ925" s="822"/>
      <c r="AR925" s="822"/>
      <c r="AS925" s="822"/>
      <c r="AT925" s="822">
        <f>I925/8</f>
        <v>2076</v>
      </c>
      <c r="BI925" s="920"/>
    </row>
    <row r="926" s="659" customFormat="1" ht="31" customHeight="1" spans="1:61">
      <c r="A926" s="819">
        <v>46189</v>
      </c>
      <c r="B926" s="820" t="s">
        <v>3527</v>
      </c>
      <c r="C926" s="821" t="s">
        <v>2458</v>
      </c>
      <c r="D926" s="822" t="s">
        <v>6677</v>
      </c>
      <c r="E926" s="821" t="s">
        <v>6678</v>
      </c>
      <c r="F926" s="822" t="s">
        <v>6709</v>
      </c>
      <c r="G926" s="823" t="s">
        <v>5874</v>
      </c>
      <c r="H926" s="708" t="s">
        <v>3978</v>
      </c>
      <c r="I926" s="824">
        <v>12000</v>
      </c>
      <c r="J926" s="821">
        <v>0</v>
      </c>
      <c r="K926" s="821">
        <v>8</v>
      </c>
      <c r="L926" s="821">
        <f t="shared" si="197"/>
        <v>1500</v>
      </c>
      <c r="M926" s="825">
        <v>46309</v>
      </c>
      <c r="N926" s="825">
        <v>46305</v>
      </c>
      <c r="O926" s="922" t="s">
        <v>2463</v>
      </c>
      <c r="P926" s="824"/>
      <c r="Q926" s="824"/>
      <c r="R926" s="827" t="s">
        <v>6020</v>
      </c>
      <c r="S926" s="828" t="s">
        <v>107</v>
      </c>
      <c r="T926" s="828" t="s">
        <v>5876</v>
      </c>
      <c r="U926" s="828"/>
      <c r="V926" s="829" t="s">
        <v>4056</v>
      </c>
      <c r="W926" s="828"/>
      <c r="X926" s="828" t="s">
        <v>6680</v>
      </c>
      <c r="Y926" s="825" t="s">
        <v>3531</v>
      </c>
      <c r="Z926" s="830">
        <v>4.4941</v>
      </c>
      <c r="AA926" s="822">
        <f>Z926*I926</f>
        <v>53929.2</v>
      </c>
      <c r="AB926" s="831"/>
      <c r="AC926" s="846" t="s">
        <v>5874</v>
      </c>
      <c r="AD926" s="821" t="s">
        <v>112</v>
      </c>
      <c r="AE926" s="821">
        <f t="shared" si="198"/>
        <v>12000</v>
      </c>
      <c r="AF926" s="821"/>
      <c r="AG926" s="708"/>
      <c r="AH926" s="833">
        <f>AG926-I926</f>
        <v>-12000</v>
      </c>
      <c r="AI926" s="824"/>
      <c r="AJ926" s="821"/>
      <c r="AK926" s="834">
        <f>I926</f>
        <v>12000</v>
      </c>
      <c r="AL926" s="822"/>
      <c r="AM926" s="822"/>
      <c r="AN926" s="822"/>
      <c r="AO926" s="822"/>
      <c r="AP926" s="822">
        <f>I926</f>
        <v>12000</v>
      </c>
      <c r="AQ926" s="822"/>
      <c r="AR926" s="822"/>
      <c r="AS926" s="822"/>
      <c r="AT926" s="822">
        <f>I926/8</f>
        <v>1500</v>
      </c>
      <c r="AU926" s="834"/>
      <c r="AV926" s="834"/>
      <c r="AW926" s="834"/>
      <c r="AX926" s="822"/>
      <c r="AY926" s="822"/>
      <c r="AZ926" s="822"/>
      <c r="BA926" s="822"/>
      <c r="BB926" s="822"/>
      <c r="BC926" s="822"/>
      <c r="BD926" s="822"/>
      <c r="BE926" s="822"/>
      <c r="BF926" s="822"/>
      <c r="BG926" s="822"/>
      <c r="BH926" s="822"/>
      <c r="BI926" s="822"/>
    </row>
    <row r="927" s="673" customFormat="1" ht="31" customHeight="1" spans="1:61">
      <c r="A927" s="897">
        <v>46232</v>
      </c>
      <c r="B927" s="1022" t="s">
        <v>3859</v>
      </c>
      <c r="C927" s="913" t="s">
        <v>291</v>
      </c>
      <c r="D927" s="673">
        <v>4500217692</v>
      </c>
      <c r="E927" s="913"/>
      <c r="F927" s="673" t="s">
        <v>6710</v>
      </c>
      <c r="G927" s="1023" t="s">
        <v>3973</v>
      </c>
      <c r="H927" s="821" t="s">
        <v>3995</v>
      </c>
      <c r="I927" s="904">
        <v>1120</v>
      </c>
      <c r="J927" s="913">
        <v>0</v>
      </c>
      <c r="K927" s="913">
        <v>16</v>
      </c>
      <c r="L927" s="913">
        <f t="shared" si="197"/>
        <v>70</v>
      </c>
      <c r="M927" s="1024">
        <v>46309</v>
      </c>
      <c r="N927" s="1024">
        <v>46305</v>
      </c>
      <c r="O927" s="1022"/>
      <c r="P927" s="904"/>
      <c r="Q927" s="904"/>
      <c r="R927" s="827" t="s">
        <v>3064</v>
      </c>
      <c r="S927" s="828" t="s">
        <v>107</v>
      </c>
      <c r="T927" s="848" t="s">
        <v>6711</v>
      </c>
      <c r="U927" s="848"/>
      <c r="V927" s="1025"/>
      <c r="W927" s="1025"/>
      <c r="X927" s="1025" t="s">
        <v>6712</v>
      </c>
      <c r="Y927" s="1024" t="s">
        <v>2269</v>
      </c>
      <c r="Z927" s="1026">
        <v>4.8226</v>
      </c>
      <c r="AA927" s="673">
        <f t="shared" ref="AA927:AA933" si="205">I927*Z927</f>
        <v>5401.312</v>
      </c>
      <c r="AB927" s="1080"/>
      <c r="AC927" s="887" t="s">
        <v>4108</v>
      </c>
      <c r="AD927" s="912" t="s">
        <v>112</v>
      </c>
      <c r="AE927" s="913">
        <f t="shared" si="198"/>
        <v>1120</v>
      </c>
      <c r="AF927" s="913"/>
      <c r="AG927" s="913"/>
      <c r="AH927" s="833">
        <f>AG927-I927</f>
        <v>-1120</v>
      </c>
      <c r="AI927" s="904"/>
      <c r="AJ927" s="913"/>
      <c r="AK927" s="920"/>
      <c r="AL927" s="868">
        <f>I927</f>
        <v>1120</v>
      </c>
      <c r="AM927" s="920"/>
      <c r="AN927" s="834">
        <f t="shared" ref="AN927:AN933" si="206">I927</f>
        <v>1120</v>
      </c>
      <c r="AP927" s="920"/>
      <c r="AQ927" s="673"/>
      <c r="AR927" s="673"/>
      <c r="AS927" s="673"/>
      <c r="AT927" s="673"/>
      <c r="AU927" s="925">
        <f>I927/8</f>
        <v>140</v>
      </c>
      <c r="AV927" s="920"/>
      <c r="BI927" s="920"/>
    </row>
    <row r="928" s="667" customFormat="1" ht="31" customHeight="1" spans="1:61">
      <c r="A928" s="819">
        <v>46239</v>
      </c>
      <c r="B928" s="820" t="s">
        <v>6713</v>
      </c>
      <c r="C928" s="821" t="s">
        <v>115</v>
      </c>
      <c r="D928" s="822">
        <v>4500218843</v>
      </c>
      <c r="E928" s="821">
        <v>37015</v>
      </c>
      <c r="F928" s="822" t="s">
        <v>6714</v>
      </c>
      <c r="G928" s="823" t="s">
        <v>3973</v>
      </c>
      <c r="H928" s="821" t="s">
        <v>3995</v>
      </c>
      <c r="I928" s="824">
        <v>2400</v>
      </c>
      <c r="J928" s="821">
        <v>0</v>
      </c>
      <c r="K928" s="821">
        <v>16</v>
      </c>
      <c r="L928" s="821">
        <f t="shared" si="197"/>
        <v>150</v>
      </c>
      <c r="M928" s="825">
        <v>46310</v>
      </c>
      <c r="N928" s="825">
        <v>46307</v>
      </c>
      <c r="O928" s="820"/>
      <c r="P928" s="824"/>
      <c r="Q928" s="824"/>
      <c r="R928" s="827" t="s">
        <v>3064</v>
      </c>
      <c r="S928" s="828" t="s">
        <v>107</v>
      </c>
      <c r="T928" s="828" t="s">
        <v>95</v>
      </c>
      <c r="U928" s="828"/>
      <c r="V928" s="828"/>
      <c r="W928" s="828"/>
      <c r="X928" s="1093" t="s">
        <v>6715</v>
      </c>
      <c r="Y928" s="825" t="s">
        <v>6716</v>
      </c>
      <c r="Z928" s="830">
        <v>2.8936</v>
      </c>
      <c r="AA928" s="822">
        <f t="shared" si="205"/>
        <v>6944.64</v>
      </c>
      <c r="AB928" s="831"/>
      <c r="AC928" s="895" t="s">
        <v>3973</v>
      </c>
      <c r="AD928" s="912" t="s">
        <v>112</v>
      </c>
      <c r="AE928" s="821">
        <f t="shared" si="198"/>
        <v>2400</v>
      </c>
      <c r="AF928" s="912"/>
      <c r="AG928" s="912"/>
      <c r="AH928" s="821"/>
      <c r="AI928" s="824"/>
      <c r="AJ928" s="912"/>
      <c r="AK928" s="822">
        <f>I928</f>
        <v>2400</v>
      </c>
      <c r="AL928" s="822"/>
      <c r="AM928" s="822"/>
      <c r="AN928" s="822">
        <f t="shared" si="206"/>
        <v>2400</v>
      </c>
      <c r="AO928" s="822"/>
      <c r="AP928" s="822"/>
      <c r="AQ928" s="822"/>
      <c r="AR928" s="822"/>
      <c r="AS928" s="822"/>
      <c r="AT928" s="822">
        <f>I928/8</f>
        <v>300</v>
      </c>
      <c r="AU928" s="822"/>
      <c r="AV928" s="822"/>
      <c r="AW928" s="822"/>
      <c r="AX928" s="822"/>
      <c r="AY928" s="822"/>
      <c r="AZ928" s="822"/>
      <c r="BA928" s="822"/>
      <c r="BB928" s="822"/>
      <c r="BC928" s="822"/>
      <c r="BD928" s="822"/>
      <c r="BE928" s="822"/>
      <c r="BF928" s="822"/>
      <c r="BG928" s="822"/>
      <c r="BH928" s="822"/>
      <c r="BI928" s="822"/>
    </row>
    <row r="929" s="673" customFormat="1" ht="31" customHeight="1" spans="1:96">
      <c r="A929" s="897">
        <v>46237</v>
      </c>
      <c r="B929" s="1022" t="s">
        <v>3863</v>
      </c>
      <c r="C929" s="913" t="s">
        <v>1461</v>
      </c>
      <c r="D929" s="673" t="s">
        <v>6717</v>
      </c>
      <c r="E929" s="913"/>
      <c r="F929" s="673" t="s">
        <v>6718</v>
      </c>
      <c r="G929" s="1023" t="s">
        <v>3973</v>
      </c>
      <c r="H929" s="913" t="s">
        <v>3995</v>
      </c>
      <c r="I929" s="904">
        <v>320</v>
      </c>
      <c r="J929" s="913">
        <v>0</v>
      </c>
      <c r="K929" s="913">
        <v>16</v>
      </c>
      <c r="L929" s="913">
        <f t="shared" si="197"/>
        <v>20</v>
      </c>
      <c r="M929" s="1024">
        <v>46310</v>
      </c>
      <c r="N929" s="1024">
        <v>46307</v>
      </c>
      <c r="O929" s="1022"/>
      <c r="P929" s="904"/>
      <c r="Q929" s="904"/>
      <c r="R929" s="886">
        <v>46237</v>
      </c>
      <c r="S929" s="828" t="s">
        <v>107</v>
      </c>
      <c r="T929" s="828" t="s">
        <v>6719</v>
      </c>
      <c r="U929" s="848"/>
      <c r="V929" s="1025"/>
      <c r="W929" s="1025"/>
      <c r="X929" s="828" t="s">
        <v>6720</v>
      </c>
      <c r="Y929" s="1024" t="s">
        <v>337</v>
      </c>
      <c r="Z929" s="1026">
        <v>4.7945</v>
      </c>
      <c r="AA929" s="673">
        <f t="shared" si="205"/>
        <v>1534.24</v>
      </c>
      <c r="AB929" s="910"/>
      <c r="AC929" s="820" t="s">
        <v>3973</v>
      </c>
      <c r="AD929" s="912" t="s">
        <v>112</v>
      </c>
      <c r="AE929" s="913">
        <f t="shared" si="198"/>
        <v>320</v>
      </c>
      <c r="AF929" s="913"/>
      <c r="AG929" s="913"/>
      <c r="AH929" s="821"/>
      <c r="AI929" s="904"/>
      <c r="AJ929" s="913"/>
      <c r="AK929" s="834">
        <f>I929</f>
        <v>320</v>
      </c>
      <c r="AL929" s="920"/>
      <c r="AM929" s="920"/>
      <c r="AN929" s="834">
        <f t="shared" si="206"/>
        <v>320</v>
      </c>
      <c r="AP929" s="920"/>
      <c r="AQ929" s="822"/>
      <c r="AR929" s="822"/>
      <c r="AS929" s="822"/>
      <c r="AT929" s="669">
        <f>I929/8</f>
        <v>40</v>
      </c>
      <c r="BI929" s="920"/>
    </row>
    <row r="930" s="673" customFormat="1" ht="31" customHeight="1" spans="1:96">
      <c r="A930" s="897">
        <v>46233</v>
      </c>
      <c r="B930" s="1022" t="s">
        <v>3729</v>
      </c>
      <c r="C930" s="913" t="s">
        <v>201</v>
      </c>
      <c r="D930" s="673">
        <v>4500218310</v>
      </c>
      <c r="E930" s="913">
        <v>43738</v>
      </c>
      <c r="F930" s="673" t="s">
        <v>6721</v>
      </c>
      <c r="G930" s="1023" t="s">
        <v>3973</v>
      </c>
      <c r="H930" s="821" t="s">
        <v>3995</v>
      </c>
      <c r="I930" s="904">
        <v>2400</v>
      </c>
      <c r="J930" s="913">
        <v>0</v>
      </c>
      <c r="K930" s="913">
        <v>16</v>
      </c>
      <c r="L930" s="913">
        <f t="shared" si="197"/>
        <v>150</v>
      </c>
      <c r="M930" s="1024">
        <v>46311</v>
      </c>
      <c r="N930" s="1024">
        <f>M930-4</f>
        <v>46307</v>
      </c>
      <c r="O930" s="1022"/>
      <c r="P930" s="904"/>
      <c r="Q930" s="904"/>
      <c r="R930" s="886">
        <v>46240</v>
      </c>
      <c r="S930" s="848" t="s">
        <v>107</v>
      </c>
      <c r="T930" s="848" t="s">
        <v>5224</v>
      </c>
      <c r="U930" s="848"/>
      <c r="V930" s="1025"/>
      <c r="W930" s="1025"/>
      <c r="X930" s="1025" t="s">
        <v>5225</v>
      </c>
      <c r="Y930" s="1024" t="s">
        <v>3461</v>
      </c>
      <c r="Z930" s="1026">
        <v>4.784</v>
      </c>
      <c r="AA930" s="673">
        <f t="shared" si="205"/>
        <v>11481.6</v>
      </c>
      <c r="AB930" s="1080"/>
      <c r="AC930" s="832" t="s">
        <v>4108</v>
      </c>
      <c r="AD930" s="912" t="s">
        <v>112</v>
      </c>
      <c r="AE930" s="913">
        <f t="shared" si="198"/>
        <v>2400</v>
      </c>
      <c r="AF930" s="821" t="s">
        <v>4109</v>
      </c>
      <c r="AG930" s="913"/>
      <c r="AH930" s="833">
        <f>AG930-I930</f>
        <v>-2400</v>
      </c>
      <c r="AI930" s="904"/>
      <c r="AJ930" s="913"/>
      <c r="AK930" s="920"/>
      <c r="AL930" s="925">
        <f>I930</f>
        <v>2400</v>
      </c>
      <c r="AM930" s="920"/>
      <c r="AN930" s="822">
        <f t="shared" si="206"/>
        <v>2400</v>
      </c>
      <c r="AP930" s="920"/>
      <c r="AQ930" s="673"/>
      <c r="AR930" s="673"/>
      <c r="AS930" s="673"/>
      <c r="AT930" s="673"/>
      <c r="AU930" s="925">
        <f>I930/8</f>
        <v>300</v>
      </c>
      <c r="AV930" s="920"/>
      <c r="BI930" s="920"/>
    </row>
    <row r="931" s="673" customFormat="1" ht="31" customHeight="1" spans="1:96">
      <c r="A931" s="897">
        <v>46220</v>
      </c>
      <c r="B931" s="1022" t="s">
        <v>2578</v>
      </c>
      <c r="C931" s="913" t="s">
        <v>115</v>
      </c>
      <c r="D931" s="673">
        <v>4500216909</v>
      </c>
      <c r="E931" s="1922" t="s">
        <v>6722</v>
      </c>
      <c r="F931" s="673" t="s">
        <v>6723</v>
      </c>
      <c r="G931" s="1023" t="s">
        <v>3973</v>
      </c>
      <c r="H931" s="708" t="s">
        <v>3995</v>
      </c>
      <c r="I931" s="904">
        <v>64</v>
      </c>
      <c r="J931" s="913">
        <v>0</v>
      </c>
      <c r="K931" s="913">
        <v>16</v>
      </c>
      <c r="L931" s="913">
        <f t="shared" si="197"/>
        <v>4</v>
      </c>
      <c r="M931" s="1024">
        <v>46311</v>
      </c>
      <c r="N931" s="1024">
        <v>46307</v>
      </c>
      <c r="O931" s="1022"/>
      <c r="P931" s="904"/>
      <c r="Q931" s="904"/>
      <c r="R931" s="886" t="s">
        <v>3064</v>
      </c>
      <c r="S931" s="848" t="s">
        <v>107</v>
      </c>
      <c r="T931" s="848" t="s">
        <v>6724</v>
      </c>
      <c r="U931" s="848"/>
      <c r="V931" s="1025"/>
      <c r="W931" s="1025"/>
      <c r="X931" s="1025" t="s">
        <v>2582</v>
      </c>
      <c r="Y931" s="1024" t="s">
        <v>421</v>
      </c>
      <c r="Z931" s="1026">
        <v>2.8998</v>
      </c>
      <c r="AA931" s="673">
        <f t="shared" si="205"/>
        <v>185.5872</v>
      </c>
      <c r="AB931" s="910"/>
      <c r="AC931" s="820" t="s">
        <v>3973</v>
      </c>
      <c r="AD931" s="912" t="s">
        <v>112</v>
      </c>
      <c r="AE931" s="913">
        <f t="shared" si="198"/>
        <v>64</v>
      </c>
      <c r="AF931" s="913"/>
      <c r="AG931" s="913"/>
      <c r="AH931" s="833">
        <f>AG931-I931</f>
        <v>-64</v>
      </c>
      <c r="AI931" s="904"/>
      <c r="AJ931" s="913"/>
      <c r="AK931" s="920">
        <f t="shared" ref="AK931:AK938" si="207">I931</f>
        <v>64</v>
      </c>
      <c r="AL931" s="920"/>
      <c r="AM931" s="920"/>
      <c r="AN931" s="920">
        <f t="shared" si="206"/>
        <v>64</v>
      </c>
      <c r="AP931" s="920"/>
      <c r="AQ931" s="673"/>
      <c r="AR931" s="673"/>
      <c r="AS931" s="673"/>
      <c r="AT931" s="673">
        <f>I931/8</f>
        <v>8</v>
      </c>
      <c r="BI931" s="920"/>
    </row>
    <row r="932" s="673" customFormat="1" ht="31" customHeight="1" spans="1:96">
      <c r="A932" s="897">
        <v>46220</v>
      </c>
      <c r="B932" s="1022" t="s">
        <v>2578</v>
      </c>
      <c r="C932" s="913" t="s">
        <v>115</v>
      </c>
      <c r="D932" s="673">
        <v>4500216909</v>
      </c>
      <c r="E932" s="1922" t="s">
        <v>6725</v>
      </c>
      <c r="F932" s="673" t="s">
        <v>6726</v>
      </c>
      <c r="G932" s="1023" t="s">
        <v>3973</v>
      </c>
      <c r="H932" s="708" t="s">
        <v>3995</v>
      </c>
      <c r="I932" s="904">
        <v>48</v>
      </c>
      <c r="J932" s="913">
        <v>0</v>
      </c>
      <c r="K932" s="913">
        <v>16</v>
      </c>
      <c r="L932" s="913">
        <f t="shared" si="197"/>
        <v>3</v>
      </c>
      <c r="M932" s="1024">
        <v>46311</v>
      </c>
      <c r="N932" s="1024">
        <v>46307</v>
      </c>
      <c r="O932" s="1022"/>
      <c r="P932" s="904"/>
      <c r="Q932" s="904"/>
      <c r="R932" s="886" t="s">
        <v>3064</v>
      </c>
      <c r="S932" s="848" t="s">
        <v>107</v>
      </c>
      <c r="T932" s="848" t="s">
        <v>6724</v>
      </c>
      <c r="U932" s="848"/>
      <c r="V932" s="1025"/>
      <c r="W932" s="1025"/>
      <c r="X932" s="1025" t="s">
        <v>2582</v>
      </c>
      <c r="Y932" s="1024" t="s">
        <v>421</v>
      </c>
      <c r="Z932" s="1026">
        <v>2.8998</v>
      </c>
      <c r="AA932" s="673">
        <f t="shared" si="205"/>
        <v>139.1904</v>
      </c>
      <c r="AB932" s="910"/>
      <c r="AC932" s="820" t="s">
        <v>3973</v>
      </c>
      <c r="AD932" s="912" t="s">
        <v>112</v>
      </c>
      <c r="AE932" s="913">
        <f t="shared" si="198"/>
        <v>48</v>
      </c>
      <c r="AF932" s="913"/>
      <c r="AG932" s="913"/>
      <c r="AH932" s="833">
        <f>AG932-I932</f>
        <v>-48</v>
      </c>
      <c r="AI932" s="904"/>
      <c r="AJ932" s="913"/>
      <c r="AK932" s="920">
        <f t="shared" si="207"/>
        <v>48</v>
      </c>
      <c r="AL932" s="920"/>
      <c r="AM932" s="920"/>
      <c r="AN932" s="920">
        <f t="shared" si="206"/>
        <v>48</v>
      </c>
      <c r="AP932" s="920"/>
      <c r="AQ932" s="673"/>
      <c r="AR932" s="673"/>
      <c r="AS932" s="673"/>
      <c r="AT932" s="673">
        <f>I932/8</f>
        <v>6</v>
      </c>
      <c r="BI932" s="920"/>
    </row>
    <row r="933" s="673" customFormat="1" ht="31" customHeight="1" spans="1:96">
      <c r="A933" s="897">
        <v>46220</v>
      </c>
      <c r="B933" s="1022" t="s">
        <v>2578</v>
      </c>
      <c r="C933" s="913" t="s">
        <v>115</v>
      </c>
      <c r="D933" s="673">
        <v>4500216909</v>
      </c>
      <c r="E933" s="1922" t="s">
        <v>6727</v>
      </c>
      <c r="F933" s="673" t="s">
        <v>6728</v>
      </c>
      <c r="G933" s="1023" t="s">
        <v>3973</v>
      </c>
      <c r="H933" s="708" t="s">
        <v>3995</v>
      </c>
      <c r="I933" s="904">
        <v>64</v>
      </c>
      <c r="J933" s="913">
        <v>0</v>
      </c>
      <c r="K933" s="913">
        <v>16</v>
      </c>
      <c r="L933" s="913">
        <f t="shared" si="197"/>
        <v>4</v>
      </c>
      <c r="M933" s="1024">
        <v>46311</v>
      </c>
      <c r="N933" s="1024">
        <v>46307</v>
      </c>
      <c r="O933" s="1022"/>
      <c r="P933" s="904"/>
      <c r="Q933" s="904"/>
      <c r="R933" s="886" t="s">
        <v>3064</v>
      </c>
      <c r="S933" s="848" t="s">
        <v>107</v>
      </c>
      <c r="T933" s="848" t="s">
        <v>6724</v>
      </c>
      <c r="U933" s="848"/>
      <c r="V933" s="1025"/>
      <c r="W933" s="1025"/>
      <c r="X933" s="1025" t="s">
        <v>2582</v>
      </c>
      <c r="Y933" s="1024" t="s">
        <v>421</v>
      </c>
      <c r="Z933" s="1026">
        <v>2.8998</v>
      </c>
      <c r="AA933" s="673">
        <f t="shared" si="205"/>
        <v>185.5872</v>
      </c>
      <c r="AB933" s="910"/>
      <c r="AC933" s="820" t="s">
        <v>3973</v>
      </c>
      <c r="AD933" s="912" t="s">
        <v>112</v>
      </c>
      <c r="AE933" s="913">
        <f t="shared" si="198"/>
        <v>64</v>
      </c>
      <c r="AF933" s="913"/>
      <c r="AG933" s="913"/>
      <c r="AH933" s="833">
        <f>AG933-I933</f>
        <v>-64</v>
      </c>
      <c r="AI933" s="904"/>
      <c r="AJ933" s="913"/>
      <c r="AK933" s="920">
        <f t="shared" si="207"/>
        <v>64</v>
      </c>
      <c r="AL933" s="920"/>
      <c r="AM933" s="920"/>
      <c r="AN933" s="920">
        <f t="shared" si="206"/>
        <v>64</v>
      </c>
      <c r="AP933" s="920"/>
      <c r="AQ933" s="673"/>
      <c r="AR933" s="673"/>
      <c r="AS933" s="673"/>
      <c r="AT933" s="673">
        <f>I933/8</f>
        <v>8</v>
      </c>
      <c r="BI933" s="920"/>
    </row>
    <row r="934" s="659" customFormat="1" ht="31" customHeight="1" spans="1:96">
      <c r="A934" s="819">
        <v>46189</v>
      </c>
      <c r="B934" s="820" t="s">
        <v>3527</v>
      </c>
      <c r="C934" s="821" t="s">
        <v>2458</v>
      </c>
      <c r="D934" s="822" t="s">
        <v>6677</v>
      </c>
      <c r="E934" s="821" t="s">
        <v>6678</v>
      </c>
      <c r="F934" s="822" t="s">
        <v>6729</v>
      </c>
      <c r="G934" s="823" t="s">
        <v>5874</v>
      </c>
      <c r="H934" s="708" t="s">
        <v>3978</v>
      </c>
      <c r="I934" s="824">
        <v>4800</v>
      </c>
      <c r="J934" s="821">
        <v>0</v>
      </c>
      <c r="K934" s="821">
        <v>8</v>
      </c>
      <c r="L934" s="821">
        <f t="shared" si="197"/>
        <v>600</v>
      </c>
      <c r="M934" s="825">
        <v>46311</v>
      </c>
      <c r="N934" s="825">
        <v>46307</v>
      </c>
      <c r="O934" s="922" t="s">
        <v>2463</v>
      </c>
      <c r="P934" s="824"/>
      <c r="Q934" s="824"/>
      <c r="R934" s="827" t="s">
        <v>6020</v>
      </c>
      <c r="S934" s="828" t="s">
        <v>107</v>
      </c>
      <c r="T934" s="828" t="s">
        <v>5876</v>
      </c>
      <c r="U934" s="828"/>
      <c r="V934" s="829" t="s">
        <v>4056</v>
      </c>
      <c r="W934" s="828"/>
      <c r="X934" s="828" t="s">
        <v>6680</v>
      </c>
      <c r="Y934" s="825" t="s">
        <v>3531</v>
      </c>
      <c r="Z934" s="830">
        <v>4.4941</v>
      </c>
      <c r="AA934" s="822">
        <f>Z934*I934</f>
        <v>21571.68</v>
      </c>
      <c r="AB934" s="831"/>
      <c r="AC934" s="846" t="s">
        <v>5874</v>
      </c>
      <c r="AD934" s="821" t="s">
        <v>112</v>
      </c>
      <c r="AE934" s="821">
        <f t="shared" si="198"/>
        <v>4800</v>
      </c>
      <c r="AF934" s="821"/>
      <c r="AG934" s="708"/>
      <c r="AH934" s="833">
        <f>AG934-I934</f>
        <v>-4800</v>
      </c>
      <c r="AI934" s="824"/>
      <c r="AJ934" s="821"/>
      <c r="AK934" s="834">
        <f t="shared" si="207"/>
        <v>4800</v>
      </c>
      <c r="AL934" s="822"/>
      <c r="AM934" s="822"/>
      <c r="AN934" s="822"/>
      <c r="AO934" s="822"/>
      <c r="AP934" s="822">
        <f>I934</f>
        <v>4800</v>
      </c>
      <c r="AQ934" s="822"/>
      <c r="AR934" s="822"/>
      <c r="AS934" s="822"/>
      <c r="AT934" s="822">
        <f>I934/8</f>
        <v>600</v>
      </c>
      <c r="AU934" s="834"/>
      <c r="AV934" s="834"/>
      <c r="AW934" s="834"/>
      <c r="AX934" s="822"/>
      <c r="AY934" s="822"/>
      <c r="AZ934" s="822"/>
      <c r="BA934" s="822"/>
      <c r="BB934" s="822"/>
      <c r="BC934" s="822"/>
      <c r="BD934" s="822"/>
      <c r="BE934" s="822"/>
      <c r="BF934" s="822"/>
      <c r="BG934" s="822"/>
      <c r="BH934" s="822"/>
      <c r="BI934" s="822"/>
    </row>
    <row r="935" s="673" customFormat="1" ht="31" customHeight="1" spans="1:96">
      <c r="A935" s="897">
        <v>46237</v>
      </c>
      <c r="B935" s="1022" t="s">
        <v>507</v>
      </c>
      <c r="C935" s="913" t="s">
        <v>508</v>
      </c>
      <c r="D935" s="673" t="s">
        <v>6730</v>
      </c>
      <c r="E935" s="913" t="s">
        <v>6731</v>
      </c>
      <c r="F935" s="673" t="s">
        <v>3881</v>
      </c>
      <c r="G935" s="1023" t="s">
        <v>6732</v>
      </c>
      <c r="H935" s="913" t="s">
        <v>6733</v>
      </c>
      <c r="I935" s="904">
        <v>2400</v>
      </c>
      <c r="J935" s="913">
        <v>0</v>
      </c>
      <c r="K935" s="913">
        <v>24</v>
      </c>
      <c r="L935" s="913">
        <v>100</v>
      </c>
      <c r="M935" s="1024">
        <v>46314</v>
      </c>
      <c r="N935" s="1024">
        <v>46310</v>
      </c>
      <c r="O935" s="1022"/>
      <c r="P935" s="904"/>
      <c r="Q935" s="904"/>
      <c r="R935" s="886">
        <v>46237</v>
      </c>
      <c r="S935" s="828" t="s">
        <v>107</v>
      </c>
      <c r="T935" s="828" t="s">
        <v>6734</v>
      </c>
      <c r="U935" s="848"/>
      <c r="V935" s="1025"/>
      <c r="W935" s="1025"/>
      <c r="X935" s="828" t="s">
        <v>6735</v>
      </c>
      <c r="Y935" s="1024" t="s">
        <v>676</v>
      </c>
      <c r="Z935" s="1026">
        <v>250.0421</v>
      </c>
      <c r="AA935" s="673">
        <v>25004.21</v>
      </c>
      <c r="AB935" s="910"/>
      <c r="AC935" s="1023" t="s">
        <v>6732</v>
      </c>
      <c r="AD935" s="912" t="s">
        <v>3804</v>
      </c>
      <c r="AE935" s="913"/>
      <c r="AF935" s="913"/>
      <c r="AG935" s="913"/>
      <c r="AH935" s="821"/>
      <c r="AI935" s="904"/>
      <c r="AJ935" s="913"/>
      <c r="AK935" s="834">
        <f t="shared" si="207"/>
        <v>2400</v>
      </c>
      <c r="AL935" s="920"/>
      <c r="AM935" s="920"/>
      <c r="AN935" s="834">
        <f>I935</f>
        <v>2400</v>
      </c>
      <c r="AP935" s="920"/>
      <c r="AQ935" s="822"/>
      <c r="AR935" s="822"/>
      <c r="AS935" s="822"/>
      <c r="AT935" s="673"/>
      <c r="AX935" s="834">
        <f>I935/8</f>
        <v>300</v>
      </c>
      <c r="AY935" s="914"/>
      <c r="AZ935" s="914"/>
      <c r="BI935" s="920"/>
    </row>
    <row r="936" s="667" customFormat="1" ht="31" customHeight="1" spans="1:96">
      <c r="A936" s="819">
        <v>46211</v>
      </c>
      <c r="B936" s="820" t="s">
        <v>2379</v>
      </c>
      <c r="C936" s="821" t="s">
        <v>508</v>
      </c>
      <c r="D936" s="822" t="s">
        <v>3871</v>
      </c>
      <c r="E936" s="821" t="s">
        <v>6736</v>
      </c>
      <c r="F936" s="822" t="s">
        <v>6737</v>
      </c>
      <c r="G936" s="823" t="s">
        <v>3980</v>
      </c>
      <c r="H936" s="821" t="s">
        <v>3978</v>
      </c>
      <c r="I936" s="824">
        <v>2736</v>
      </c>
      <c r="J936" s="821">
        <v>0</v>
      </c>
      <c r="K936" s="821">
        <v>8</v>
      </c>
      <c r="L936" s="821">
        <f>I936/K936</f>
        <v>342</v>
      </c>
      <c r="M936" s="825">
        <v>46314</v>
      </c>
      <c r="N936" s="825">
        <v>46310</v>
      </c>
      <c r="O936" s="820"/>
      <c r="P936" s="824"/>
      <c r="Q936" s="824"/>
      <c r="R936" s="864" t="s">
        <v>3064</v>
      </c>
      <c r="S936" s="828" t="s">
        <v>107</v>
      </c>
      <c r="T936" s="828" t="s">
        <v>6482</v>
      </c>
      <c r="U936" s="828"/>
      <c r="V936" s="828" t="s">
        <v>6093</v>
      </c>
      <c r="W936" s="828"/>
      <c r="X936" s="828" t="s">
        <v>6738</v>
      </c>
      <c r="Y936" s="825" t="s">
        <v>2378</v>
      </c>
      <c r="Z936" s="830">
        <v>4.9081</v>
      </c>
      <c r="AA936" s="822">
        <f>I936*Z936</f>
        <v>13428.5616</v>
      </c>
      <c r="AB936" s="831"/>
      <c r="AC936" s="1052" t="s">
        <v>3980</v>
      </c>
      <c r="AD936" s="953" t="s">
        <v>112</v>
      </c>
      <c r="AE936" s="821">
        <f>I936</f>
        <v>2736</v>
      </c>
      <c r="AF936" s="821"/>
      <c r="AG936" s="821"/>
      <c r="AH936" s="833">
        <f>AG936-I936</f>
        <v>-2736</v>
      </c>
      <c r="AI936" s="824"/>
      <c r="AJ936" s="821"/>
      <c r="AK936" s="834">
        <f t="shared" si="207"/>
        <v>2736</v>
      </c>
      <c r="AL936" s="822"/>
      <c r="AM936" s="822"/>
      <c r="AN936" s="834">
        <f>I936</f>
        <v>2736</v>
      </c>
      <c r="AO936" s="822"/>
      <c r="AP936" s="822"/>
      <c r="AQ936" s="822"/>
      <c r="AR936" s="822"/>
      <c r="AS936" s="822"/>
      <c r="AT936" s="822"/>
      <c r="AU936" s="822"/>
      <c r="AV936" s="822"/>
      <c r="AW936" s="822"/>
      <c r="AX936" s="834">
        <f>I936/8</f>
        <v>342</v>
      </c>
      <c r="AY936" s="834"/>
      <c r="AZ936" s="834"/>
      <c r="BA936" s="822"/>
      <c r="BB936" s="822"/>
      <c r="BC936" s="822"/>
      <c r="BD936" s="822"/>
      <c r="BE936" s="822"/>
      <c r="BF936" s="822"/>
      <c r="BG936" s="822"/>
      <c r="BH936" s="822"/>
      <c r="BI936" s="822"/>
    </row>
    <row r="937" s="667" customFormat="1" ht="31" customHeight="1" spans="1:96">
      <c r="A937" s="819">
        <v>46211</v>
      </c>
      <c r="B937" s="820" t="s">
        <v>2373</v>
      </c>
      <c r="C937" s="821" t="s">
        <v>101</v>
      </c>
      <c r="D937" s="822" t="s">
        <v>3876</v>
      </c>
      <c r="E937" s="821" t="s">
        <v>6739</v>
      </c>
      <c r="F937" s="822" t="s">
        <v>6740</v>
      </c>
      <c r="G937" s="823" t="s">
        <v>3980</v>
      </c>
      <c r="H937" s="821" t="s">
        <v>3978</v>
      </c>
      <c r="I937" s="824">
        <v>256</v>
      </c>
      <c r="J937" s="821">
        <v>0</v>
      </c>
      <c r="K937" s="821">
        <v>8</v>
      </c>
      <c r="L937" s="821">
        <f>I937/K937</f>
        <v>32</v>
      </c>
      <c r="M937" s="825">
        <v>46314</v>
      </c>
      <c r="N937" s="825">
        <v>46310</v>
      </c>
      <c r="O937" s="820"/>
      <c r="P937" s="824"/>
      <c r="Q937" s="824"/>
      <c r="R937" s="864" t="s">
        <v>3064</v>
      </c>
      <c r="S937" s="828" t="s">
        <v>107</v>
      </c>
      <c r="T937" s="828" t="s">
        <v>6482</v>
      </c>
      <c r="U937" s="828"/>
      <c r="V937" s="828" t="s">
        <v>6093</v>
      </c>
      <c r="W937" s="828"/>
      <c r="X937" s="828" t="s">
        <v>6741</v>
      </c>
      <c r="Y937" s="825" t="s">
        <v>2378</v>
      </c>
      <c r="Z937" s="830">
        <v>4.9186</v>
      </c>
      <c r="AA937" s="822">
        <f>I937*Z937</f>
        <v>1259.1616</v>
      </c>
      <c r="AB937" s="831"/>
      <c r="AC937" s="1052" t="s">
        <v>3980</v>
      </c>
      <c r="AD937" s="953" t="s">
        <v>112</v>
      </c>
      <c r="AE937" s="821">
        <f>I937</f>
        <v>256</v>
      </c>
      <c r="AF937" s="821"/>
      <c r="AG937" s="821"/>
      <c r="AH937" s="833">
        <f>AG937-I937</f>
        <v>-256</v>
      </c>
      <c r="AI937" s="824"/>
      <c r="AJ937" s="821"/>
      <c r="AK937" s="834">
        <f t="shared" si="207"/>
        <v>256</v>
      </c>
      <c r="AL937" s="822"/>
      <c r="AM937" s="822"/>
      <c r="AN937" s="834">
        <f>I937</f>
        <v>256</v>
      </c>
      <c r="AO937" s="822"/>
      <c r="AP937" s="822"/>
      <c r="AQ937" s="822"/>
      <c r="AR937" s="822"/>
      <c r="AS937" s="822"/>
      <c r="AT937" s="822"/>
      <c r="AU937" s="822"/>
      <c r="AV937" s="822"/>
      <c r="AW937" s="822"/>
      <c r="AX937" s="834">
        <f>I937/8</f>
        <v>32</v>
      </c>
      <c r="AY937" s="834"/>
      <c r="AZ937" s="834"/>
      <c r="BA937" s="822"/>
      <c r="BB937" s="822"/>
      <c r="BC937" s="822"/>
      <c r="BD937" s="822"/>
      <c r="BE937" s="822"/>
      <c r="BF937" s="822"/>
      <c r="BG937" s="822"/>
      <c r="BH937" s="822"/>
      <c r="BI937" s="822"/>
    </row>
    <row r="938" s="678" customFormat="1" ht="31" customHeight="1" spans="1:96">
      <c r="A938" s="1113">
        <v>46244</v>
      </c>
      <c r="B938" s="1114" t="s">
        <v>3037</v>
      </c>
      <c r="C938" s="984" t="s">
        <v>508</v>
      </c>
      <c r="D938" s="988">
        <v>4500219288</v>
      </c>
      <c r="E938" s="984">
        <v>2654483</v>
      </c>
      <c r="F938" s="988" t="s">
        <v>6742</v>
      </c>
      <c r="G938" s="1115" t="s">
        <v>3980</v>
      </c>
      <c r="H938" s="984" t="s">
        <v>3978</v>
      </c>
      <c r="I938" s="1116">
        <v>1104</v>
      </c>
      <c r="J938" s="984">
        <v>0</v>
      </c>
      <c r="K938" s="984">
        <v>8</v>
      </c>
      <c r="L938" s="984">
        <f>I938/K938</f>
        <v>138</v>
      </c>
      <c r="M938" s="1117">
        <v>46314</v>
      </c>
      <c r="N938" s="1117">
        <v>46310</v>
      </c>
      <c r="O938" s="1114"/>
      <c r="P938" s="1116"/>
      <c r="Q938" s="1116"/>
      <c r="R938" s="1134">
        <v>46245</v>
      </c>
      <c r="S938" s="977" t="s">
        <v>107</v>
      </c>
      <c r="T938" s="977" t="s">
        <v>6705</v>
      </c>
      <c r="U938" s="977"/>
      <c r="V938" s="977" t="s">
        <v>6093</v>
      </c>
      <c r="W938" s="977"/>
      <c r="X938" s="977" t="s">
        <v>6743</v>
      </c>
      <c r="Y938" s="1117" t="s">
        <v>6707</v>
      </c>
      <c r="Z938" s="1118">
        <v>4.9081</v>
      </c>
      <c r="AA938" s="988">
        <f>I938*Z938</f>
        <v>5418.5424</v>
      </c>
      <c r="AB938" s="982"/>
      <c r="AC938" s="1106" t="s">
        <v>3980</v>
      </c>
      <c r="AD938" s="821" t="s">
        <v>112</v>
      </c>
      <c r="AE938" s="984">
        <f>I938</f>
        <v>1104</v>
      </c>
      <c r="AF938" s="984"/>
      <c r="AG938" s="984"/>
      <c r="AH938" s="986"/>
      <c r="AI938" s="1116"/>
      <c r="AJ938" s="984"/>
      <c r="AK938" s="989">
        <f t="shared" si="207"/>
        <v>1104</v>
      </c>
      <c r="AL938" s="988"/>
      <c r="AM938" s="988"/>
      <c r="AN938" s="989">
        <f>I938</f>
        <v>1104</v>
      </c>
      <c r="AO938" s="988"/>
      <c r="AP938" s="988"/>
      <c r="AQ938" s="988"/>
      <c r="AR938" s="988"/>
      <c r="AS938" s="988"/>
      <c r="AT938" s="988"/>
      <c r="AU938" s="988"/>
      <c r="AV938" s="988"/>
      <c r="AW938" s="988"/>
      <c r="AX938" s="989">
        <f>I938/8</f>
        <v>138</v>
      </c>
      <c r="AY938" s="989"/>
      <c r="AZ938" s="989"/>
      <c r="BA938" s="988"/>
      <c r="BB938" s="988"/>
      <c r="BC938" s="988"/>
      <c r="BD938" s="988"/>
      <c r="BE938" s="988"/>
      <c r="BF938" s="988"/>
      <c r="BG938" s="988"/>
      <c r="BH938" s="988"/>
      <c r="BI938" s="988"/>
    </row>
    <row r="939" s="672" customFormat="1" ht="31" customHeight="1" spans="1:96">
      <c r="A939" s="897">
        <v>46219</v>
      </c>
      <c r="B939" s="1022" t="s">
        <v>3527</v>
      </c>
      <c r="C939" s="913" t="s">
        <v>2458</v>
      </c>
      <c r="D939" s="673">
        <v>4500206065</v>
      </c>
      <c r="E939" s="913">
        <v>5000002205</v>
      </c>
      <c r="F939" s="673" t="s">
        <v>6744</v>
      </c>
      <c r="G939" s="1023" t="s">
        <v>5874</v>
      </c>
      <c r="H939" s="899" t="s">
        <v>3978</v>
      </c>
      <c r="I939" s="904">
        <v>1600</v>
      </c>
      <c r="J939" s="913">
        <v>0</v>
      </c>
      <c r="K939" s="913">
        <v>8</v>
      </c>
      <c r="L939" s="913">
        <f t="shared" ref="L939:L955" si="208">I939/K939</f>
        <v>200</v>
      </c>
      <c r="M939" s="1024">
        <v>46315</v>
      </c>
      <c r="N939" s="1024">
        <v>46311</v>
      </c>
      <c r="O939" s="922" t="s">
        <v>2463</v>
      </c>
      <c r="P939" s="904"/>
      <c r="Q939" s="904"/>
      <c r="R939" s="864" t="s">
        <v>6020</v>
      </c>
      <c r="S939" s="828" t="s">
        <v>107</v>
      </c>
      <c r="T939" s="828" t="s">
        <v>5876</v>
      </c>
      <c r="U939" s="848"/>
      <c r="V939" s="829" t="s">
        <v>4056</v>
      </c>
      <c r="W939" s="1025"/>
      <c r="X939" s="1025" t="s">
        <v>6745</v>
      </c>
      <c r="Y939" s="1024" t="s">
        <v>3531</v>
      </c>
      <c r="Z939" s="1026">
        <v>4.4754</v>
      </c>
      <c r="AA939" s="673">
        <f>Z939*I939</f>
        <v>7160.64</v>
      </c>
      <c r="AB939" s="910"/>
      <c r="AC939" s="1135"/>
      <c r="AD939" s="912"/>
      <c r="AE939" s="913">
        <f t="shared" ref="AE939:AE955" si="209">I939</f>
        <v>1600</v>
      </c>
      <c r="AF939" s="913"/>
      <c r="AG939" s="899"/>
      <c r="AH939" s="833">
        <f t="shared" ref="AH939:AH946" si="210">AG939-I939</f>
        <v>-1600</v>
      </c>
      <c r="AI939" s="904"/>
      <c r="AJ939" s="913"/>
      <c r="AK939" s="920"/>
      <c r="AL939" s="920"/>
      <c r="AM939" s="920"/>
      <c r="AN939" s="920"/>
      <c r="AO939" s="673"/>
      <c r="AP939" s="822">
        <f>I939</f>
        <v>1600</v>
      </c>
      <c r="AQ939" s="673"/>
      <c r="AR939" s="673"/>
      <c r="AS939" s="673"/>
      <c r="AT939" s="822">
        <f>I939/8</f>
        <v>200</v>
      </c>
      <c r="AX939" s="673"/>
      <c r="AY939" s="673"/>
      <c r="AZ939" s="673"/>
      <c r="BA939" s="673"/>
      <c r="BB939" s="673"/>
      <c r="BC939" s="673"/>
      <c r="BD939" s="673"/>
      <c r="BE939" s="673"/>
      <c r="BF939" s="673"/>
      <c r="BG939" s="673"/>
      <c r="BH939" s="673"/>
      <c r="BI939" s="920"/>
    </row>
    <row r="940" s="672" customFormat="1" ht="31" customHeight="1" spans="1:96">
      <c r="A940" s="897">
        <v>46218</v>
      </c>
      <c r="B940" s="1022" t="s">
        <v>3527</v>
      </c>
      <c r="C940" s="913" t="s">
        <v>2458</v>
      </c>
      <c r="D940" s="673">
        <v>4500206065</v>
      </c>
      <c r="E940" s="913">
        <v>5000002205</v>
      </c>
      <c r="F940" s="673" t="s">
        <v>6746</v>
      </c>
      <c r="G940" s="1023" t="s">
        <v>5874</v>
      </c>
      <c r="H940" s="899" t="s">
        <v>3978</v>
      </c>
      <c r="I940" s="904">
        <v>8864</v>
      </c>
      <c r="J940" s="913">
        <v>0</v>
      </c>
      <c r="K940" s="913">
        <v>8</v>
      </c>
      <c r="L940" s="913">
        <f t="shared" si="208"/>
        <v>1108</v>
      </c>
      <c r="M940" s="1024">
        <v>46315</v>
      </c>
      <c r="N940" s="1024">
        <v>46311</v>
      </c>
      <c r="O940" s="922" t="s">
        <v>2463</v>
      </c>
      <c r="P940" s="904"/>
      <c r="Q940" s="904"/>
      <c r="R940" s="864" t="s">
        <v>6020</v>
      </c>
      <c r="S940" s="828" t="s">
        <v>107</v>
      </c>
      <c r="T940" s="828" t="s">
        <v>5876</v>
      </c>
      <c r="U940" s="848"/>
      <c r="V940" s="829" t="s">
        <v>4056</v>
      </c>
      <c r="W940" s="1025"/>
      <c r="X940" s="1025" t="s">
        <v>6747</v>
      </c>
      <c r="Y940" s="1024" t="s">
        <v>3531</v>
      </c>
      <c r="Z940" s="1026">
        <v>4.4754</v>
      </c>
      <c r="AA940" s="673">
        <f>Z940*I940</f>
        <v>39669.9456</v>
      </c>
      <c r="AB940" s="910"/>
      <c r="AC940" s="1135"/>
      <c r="AD940" s="912"/>
      <c r="AE940" s="913">
        <f t="shared" si="209"/>
        <v>8864</v>
      </c>
      <c r="AF940" s="913"/>
      <c r="AG940" s="899"/>
      <c r="AH940" s="833">
        <f t="shared" si="210"/>
        <v>-8864</v>
      </c>
      <c r="AI940" s="904"/>
      <c r="AJ940" s="913"/>
      <c r="AK940" s="920"/>
      <c r="AL940" s="920"/>
      <c r="AM940" s="920"/>
      <c r="AN940" s="920"/>
      <c r="AO940" s="673"/>
      <c r="AP940" s="822">
        <f>I940</f>
        <v>8864</v>
      </c>
      <c r="AQ940" s="673"/>
      <c r="AR940" s="673"/>
      <c r="AS940" s="673"/>
      <c r="AT940" s="822">
        <f>I940/8</f>
        <v>1108</v>
      </c>
      <c r="AX940" s="673"/>
      <c r="AY940" s="673"/>
      <c r="AZ940" s="673"/>
      <c r="BA940" s="673"/>
      <c r="BB940" s="673"/>
      <c r="BC940" s="673"/>
      <c r="BD940" s="673"/>
      <c r="BE940" s="673"/>
      <c r="BF940" s="673"/>
      <c r="BG940" s="673"/>
      <c r="BH940" s="673"/>
      <c r="BI940" s="920"/>
    </row>
    <row r="941" s="673" customFormat="1" ht="31" customHeight="1" spans="1:96">
      <c r="A941" s="897">
        <v>46220</v>
      </c>
      <c r="B941" s="1022" t="s">
        <v>3456</v>
      </c>
      <c r="C941" s="913" t="s">
        <v>201</v>
      </c>
      <c r="D941" s="673">
        <v>4500216956</v>
      </c>
      <c r="E941" s="913"/>
      <c r="F941" s="673" t="s">
        <v>6748</v>
      </c>
      <c r="G941" s="1023" t="s">
        <v>3980</v>
      </c>
      <c r="H941" s="913" t="s">
        <v>3978</v>
      </c>
      <c r="I941" s="904">
        <v>1200</v>
      </c>
      <c r="J941" s="913">
        <v>0</v>
      </c>
      <c r="K941" s="913">
        <v>8</v>
      </c>
      <c r="L941" s="913">
        <f t="shared" si="208"/>
        <v>150</v>
      </c>
      <c r="M941" s="1024">
        <v>46315</v>
      </c>
      <c r="N941" s="1024">
        <v>46311</v>
      </c>
      <c r="O941" s="1022"/>
      <c r="P941" s="904"/>
      <c r="Q941" s="904"/>
      <c r="R941" s="886" t="s">
        <v>3064</v>
      </c>
      <c r="S941" s="848" t="s">
        <v>107</v>
      </c>
      <c r="T941" s="848" t="s">
        <v>6749</v>
      </c>
      <c r="U941" s="848"/>
      <c r="V941" s="1025"/>
      <c r="W941" s="1025"/>
      <c r="X941" s="1025" t="s">
        <v>6750</v>
      </c>
      <c r="Y941" s="1024" t="s">
        <v>3461</v>
      </c>
      <c r="Z941" s="1026">
        <v>4.8266</v>
      </c>
      <c r="AA941" s="673">
        <f>I941*Z941</f>
        <v>5791.92</v>
      </c>
      <c r="AB941" s="910"/>
      <c r="AC941" s="1052" t="s">
        <v>4031</v>
      </c>
      <c r="AD941" s="912" t="s">
        <v>112</v>
      </c>
      <c r="AE941" s="913">
        <f t="shared" si="209"/>
        <v>1200</v>
      </c>
      <c r="AF941" s="913"/>
      <c r="AG941" s="913"/>
      <c r="AH941" s="833">
        <f t="shared" si="210"/>
        <v>-1200</v>
      </c>
      <c r="AI941" s="904"/>
      <c r="AJ941" s="913"/>
      <c r="AK941" s="920"/>
      <c r="AL941" s="1092">
        <f>I941</f>
        <v>1200</v>
      </c>
      <c r="AM941" s="920"/>
      <c r="AN941" s="920">
        <f>I941</f>
        <v>1200</v>
      </c>
      <c r="AP941" s="920"/>
      <c r="AQ941" s="673"/>
      <c r="AR941" s="673"/>
      <c r="AS941" s="673"/>
      <c r="AT941" s="673"/>
      <c r="AU941" s="1059">
        <f>I941/8</f>
        <v>150</v>
      </c>
      <c r="BI941" s="920"/>
    </row>
    <row r="942" s="672" customFormat="1" ht="31" customHeight="1" spans="1:96">
      <c r="A942" s="897">
        <v>46189</v>
      </c>
      <c r="B942" s="1022" t="s">
        <v>3527</v>
      </c>
      <c r="C942" s="913" t="s">
        <v>2458</v>
      </c>
      <c r="D942" s="673" t="s">
        <v>6677</v>
      </c>
      <c r="E942" s="913" t="s">
        <v>6678</v>
      </c>
      <c r="F942" s="673" t="s">
        <v>3886</v>
      </c>
      <c r="G942" s="1023" t="s">
        <v>4359</v>
      </c>
      <c r="H942" s="708" t="s">
        <v>804</v>
      </c>
      <c r="I942" s="904">
        <v>1200</v>
      </c>
      <c r="J942" s="913">
        <v>0</v>
      </c>
      <c r="K942" s="913">
        <v>6</v>
      </c>
      <c r="L942" s="821">
        <f t="shared" si="208"/>
        <v>200</v>
      </c>
      <c r="M942" s="1024">
        <v>46317</v>
      </c>
      <c r="N942" s="1024">
        <v>46314</v>
      </c>
      <c r="O942" s="922" t="s">
        <v>2463</v>
      </c>
      <c r="P942" s="904"/>
      <c r="Q942" s="904"/>
      <c r="R942" s="886" t="s">
        <v>5875</v>
      </c>
      <c r="S942" s="848" t="s">
        <v>95</v>
      </c>
      <c r="T942" s="828" t="s">
        <v>3887</v>
      </c>
      <c r="U942" s="848"/>
      <c r="V942" s="906" t="s">
        <v>4056</v>
      </c>
      <c r="W942" s="1025"/>
      <c r="X942" s="1025" t="s">
        <v>3888</v>
      </c>
      <c r="Y942" s="1024" t="s">
        <v>3531</v>
      </c>
      <c r="Z942" s="1026">
        <v>8.15</v>
      </c>
      <c r="AA942" s="822">
        <f>L942*Z942</f>
        <v>1630</v>
      </c>
      <c r="AB942" s="910"/>
      <c r="AC942" s="1078" t="s">
        <v>3498</v>
      </c>
      <c r="AD942" s="912" t="s">
        <v>112</v>
      </c>
      <c r="AE942" s="821">
        <f t="shared" si="209"/>
        <v>1200</v>
      </c>
      <c r="AF942" s="913"/>
      <c r="AG942" s="899"/>
      <c r="AH942" s="833">
        <f t="shared" si="210"/>
        <v>-1200</v>
      </c>
      <c r="AI942" s="904"/>
      <c r="AJ942" s="913"/>
      <c r="AK942" s="914">
        <f t="shared" ref="AK942:AK948" si="211">I942</f>
        <v>1200</v>
      </c>
      <c r="AL942" s="920"/>
      <c r="AM942" s="920"/>
      <c r="AN942" s="822"/>
      <c r="AO942" s="673"/>
      <c r="AP942" s="920">
        <f>I942</f>
        <v>1200</v>
      </c>
      <c r="AQ942" s="822"/>
      <c r="AR942" s="822"/>
      <c r="AS942" s="822"/>
      <c r="AT942" s="673"/>
      <c r="AU942" s="672"/>
      <c r="AX942" s="673"/>
      <c r="AY942" s="673"/>
      <c r="AZ942" s="673"/>
      <c r="BA942" s="673"/>
      <c r="BB942" s="673"/>
      <c r="BC942" s="673"/>
      <c r="BD942" s="673"/>
      <c r="BE942" s="673"/>
      <c r="BF942" s="673"/>
      <c r="BG942" s="673"/>
      <c r="BH942" s="673"/>
      <c r="BI942" s="920">
        <f>I942</f>
        <v>1200</v>
      </c>
    </row>
    <row r="943" s="659" customFormat="1" ht="31" customHeight="1" spans="1:96">
      <c r="A943" s="819">
        <v>46189</v>
      </c>
      <c r="B943" s="820" t="s">
        <v>3527</v>
      </c>
      <c r="C943" s="821" t="s">
        <v>2458</v>
      </c>
      <c r="D943" s="822" t="s">
        <v>6677</v>
      </c>
      <c r="E943" s="821" t="s">
        <v>6678</v>
      </c>
      <c r="F943" s="822" t="s">
        <v>3889</v>
      </c>
      <c r="G943" s="823" t="s">
        <v>4359</v>
      </c>
      <c r="H943" s="708" t="s">
        <v>804</v>
      </c>
      <c r="I943" s="824">
        <v>9996</v>
      </c>
      <c r="J943" s="821">
        <v>0</v>
      </c>
      <c r="K943" s="821">
        <v>6</v>
      </c>
      <c r="L943" s="821">
        <f t="shared" si="208"/>
        <v>1666</v>
      </c>
      <c r="M943" s="825">
        <v>46317</v>
      </c>
      <c r="N943" s="825">
        <v>46314</v>
      </c>
      <c r="O943" s="922" t="s">
        <v>2463</v>
      </c>
      <c r="P943" s="824"/>
      <c r="Q943" s="824"/>
      <c r="R943" s="827" t="s">
        <v>5875</v>
      </c>
      <c r="S943" s="848" t="s">
        <v>95</v>
      </c>
      <c r="T943" s="848" t="s">
        <v>3887</v>
      </c>
      <c r="U943" s="848"/>
      <c r="V943" s="829" t="s">
        <v>4056</v>
      </c>
      <c r="W943" s="828"/>
      <c r="X943" s="828" t="s">
        <v>3888</v>
      </c>
      <c r="Y943" s="825" t="s">
        <v>3531</v>
      </c>
      <c r="Z943" s="830">
        <v>8.15</v>
      </c>
      <c r="AA943" s="822">
        <f>L943*Z943</f>
        <v>13577.9</v>
      </c>
      <c r="AB943" s="831"/>
      <c r="AC943" s="1078" t="s">
        <v>3498</v>
      </c>
      <c r="AD943" s="821" t="s">
        <v>112</v>
      </c>
      <c r="AE943" s="821">
        <f t="shared" si="209"/>
        <v>9996</v>
      </c>
      <c r="AF943" s="821"/>
      <c r="AG943" s="708"/>
      <c r="AH943" s="833">
        <f t="shared" si="210"/>
        <v>-9996</v>
      </c>
      <c r="AI943" s="824"/>
      <c r="AJ943" s="821"/>
      <c r="AK943" s="834">
        <f t="shared" si="211"/>
        <v>9996</v>
      </c>
      <c r="AL943" s="822"/>
      <c r="AM943" s="822"/>
      <c r="AN943" s="822"/>
      <c r="AO943" s="822"/>
      <c r="AP943" s="822">
        <f>I943</f>
        <v>9996</v>
      </c>
      <c r="AQ943" s="822"/>
      <c r="AR943" s="822"/>
      <c r="AS943" s="822"/>
      <c r="AT943" s="822"/>
      <c r="AU943" s="834"/>
      <c r="AV943" s="834"/>
      <c r="AW943" s="834"/>
      <c r="AX943" s="822"/>
      <c r="AY943" s="822"/>
      <c r="AZ943" s="822"/>
      <c r="BA943" s="822"/>
      <c r="BB943" s="822"/>
      <c r="BC943" s="822"/>
      <c r="BD943" s="822"/>
      <c r="BE943" s="822"/>
      <c r="BF943" s="822"/>
      <c r="BG943" s="822"/>
      <c r="BH943" s="822"/>
      <c r="BI943" s="822">
        <f>I943</f>
        <v>9996</v>
      </c>
    </row>
    <row r="944" s="659" customFormat="1" ht="31" customHeight="1" spans="1:96">
      <c r="A944" s="819">
        <v>46189</v>
      </c>
      <c r="B944" s="820" t="s">
        <v>3527</v>
      </c>
      <c r="C944" s="821" t="s">
        <v>2458</v>
      </c>
      <c r="D944" s="822" t="s">
        <v>6677</v>
      </c>
      <c r="E944" s="821" t="s">
        <v>6678</v>
      </c>
      <c r="F944" s="822" t="s">
        <v>3890</v>
      </c>
      <c r="G944" s="823" t="s">
        <v>4359</v>
      </c>
      <c r="H944" s="708" t="s">
        <v>804</v>
      </c>
      <c r="I944" s="824">
        <v>12000</v>
      </c>
      <c r="J944" s="821">
        <v>0</v>
      </c>
      <c r="K944" s="821">
        <v>6</v>
      </c>
      <c r="L944" s="821">
        <f t="shared" si="208"/>
        <v>2000</v>
      </c>
      <c r="M944" s="825">
        <v>46317</v>
      </c>
      <c r="N944" s="825">
        <v>46314</v>
      </c>
      <c r="O944" s="922" t="s">
        <v>2463</v>
      </c>
      <c r="P944" s="824"/>
      <c r="Q944" s="824"/>
      <c r="R944" s="827" t="s">
        <v>5875</v>
      </c>
      <c r="S944" s="848" t="s">
        <v>95</v>
      </c>
      <c r="T944" s="848" t="s">
        <v>3887</v>
      </c>
      <c r="U944" s="848"/>
      <c r="V944" s="829" t="s">
        <v>4056</v>
      </c>
      <c r="W944" s="828"/>
      <c r="X944" s="828" t="s">
        <v>3888</v>
      </c>
      <c r="Y944" s="825" t="s">
        <v>3531</v>
      </c>
      <c r="Z944" s="830">
        <v>8.15</v>
      </c>
      <c r="AA944" s="822">
        <f>L944*Z944</f>
        <v>16300</v>
      </c>
      <c r="AB944" s="831"/>
      <c r="AC944" s="1078" t="s">
        <v>3498</v>
      </c>
      <c r="AD944" s="821" t="s">
        <v>112</v>
      </c>
      <c r="AE944" s="821">
        <f t="shared" si="209"/>
        <v>12000</v>
      </c>
      <c r="AF944" s="821"/>
      <c r="AG944" s="708"/>
      <c r="AH944" s="833">
        <f t="shared" si="210"/>
        <v>-12000</v>
      </c>
      <c r="AI944" s="824"/>
      <c r="AJ944" s="821"/>
      <c r="AK944" s="834">
        <f t="shared" si="211"/>
        <v>12000</v>
      </c>
      <c r="AL944" s="822"/>
      <c r="AM944" s="822"/>
      <c r="AN944" s="822"/>
      <c r="AO944" s="822"/>
      <c r="AP944" s="822">
        <f>I944</f>
        <v>12000</v>
      </c>
      <c r="AQ944" s="822"/>
      <c r="AR944" s="822"/>
      <c r="AS944" s="822"/>
      <c r="AT944" s="822"/>
      <c r="AU944" s="834"/>
      <c r="AV944" s="834"/>
      <c r="AW944" s="834"/>
      <c r="AX944" s="822"/>
      <c r="AY944" s="822"/>
      <c r="AZ944" s="822"/>
      <c r="BA944" s="822"/>
      <c r="BB944" s="822"/>
      <c r="BC944" s="822"/>
      <c r="BD944" s="822"/>
      <c r="BE944" s="822"/>
      <c r="BF944" s="822"/>
      <c r="BG944" s="822"/>
      <c r="BH944" s="822"/>
      <c r="BI944" s="822">
        <f>I944</f>
        <v>12000</v>
      </c>
      <c r="BJ944" s="835"/>
      <c r="BK944" s="835"/>
      <c r="BL944" s="835"/>
      <c r="BM944" s="835"/>
      <c r="BN944" s="835"/>
      <c r="BO944" s="835"/>
      <c r="BP944" s="835"/>
      <c r="BQ944" s="835"/>
      <c r="BR944" s="835"/>
      <c r="BS944" s="835"/>
      <c r="BT944" s="835"/>
      <c r="BU944" s="835"/>
      <c r="BV944" s="835"/>
      <c r="BW944" s="835"/>
      <c r="BX944" s="835"/>
      <c r="BY944" s="835"/>
      <c r="BZ944" s="835"/>
      <c r="CA944" s="835"/>
      <c r="CB944" s="835"/>
      <c r="CC944" s="835"/>
      <c r="CD944" s="835"/>
      <c r="CE944" s="835"/>
      <c r="CF944" s="835"/>
      <c r="CG944" s="835"/>
      <c r="CH944" s="835"/>
      <c r="CI944" s="835"/>
      <c r="CJ944" s="835"/>
      <c r="CK944" s="835"/>
      <c r="CL944" s="835"/>
      <c r="CM944" s="835"/>
      <c r="CN944" s="835"/>
      <c r="CO944" s="835"/>
      <c r="CP944" s="835"/>
      <c r="CQ944" s="835"/>
      <c r="CR944" s="835"/>
    </row>
    <row r="945" s="659" customFormat="1" ht="31" customHeight="1" spans="1:108">
      <c r="A945" s="1136">
        <v>46211</v>
      </c>
      <c r="B945" s="992" t="s">
        <v>2379</v>
      </c>
      <c r="C945" s="912" t="s">
        <v>508</v>
      </c>
      <c r="D945" s="920" t="s">
        <v>3898</v>
      </c>
      <c r="E945" s="912" t="s">
        <v>6751</v>
      </c>
      <c r="F945" s="920" t="s">
        <v>6752</v>
      </c>
      <c r="G945" s="1137" t="s">
        <v>3980</v>
      </c>
      <c r="H945" s="912" t="s">
        <v>3978</v>
      </c>
      <c r="I945" s="1138">
        <v>4576</v>
      </c>
      <c r="J945" s="912">
        <v>0</v>
      </c>
      <c r="K945" s="912">
        <v>8</v>
      </c>
      <c r="L945" s="912">
        <f t="shared" si="208"/>
        <v>572</v>
      </c>
      <c r="M945" s="826">
        <v>46321</v>
      </c>
      <c r="N945" s="826">
        <v>46317</v>
      </c>
      <c r="O945" s="992"/>
      <c r="P945" s="1138"/>
      <c r="Q945" s="1138"/>
      <c r="R945" s="864" t="s">
        <v>3064</v>
      </c>
      <c r="S945" s="848" t="s">
        <v>107</v>
      </c>
      <c r="T945" s="865" t="s">
        <v>6753</v>
      </c>
      <c r="U945" s="848"/>
      <c r="V945" s="828" t="s">
        <v>6093</v>
      </c>
      <c r="W945" s="848"/>
      <c r="X945" s="848" t="s">
        <v>6754</v>
      </c>
      <c r="Y945" s="826" t="s">
        <v>2378</v>
      </c>
      <c r="Z945" s="1139">
        <v>4.9081</v>
      </c>
      <c r="AA945" s="920">
        <f>I945*Z945</f>
        <v>22459.4656</v>
      </c>
      <c r="AB945" s="910"/>
      <c r="AC945" s="1052" t="s">
        <v>3980</v>
      </c>
      <c r="AD945" s="821" t="s">
        <v>112</v>
      </c>
      <c r="AE945" s="912">
        <f t="shared" si="209"/>
        <v>4576</v>
      </c>
      <c r="AF945" s="912"/>
      <c r="AG945" s="912"/>
      <c r="AH945" s="833">
        <f t="shared" si="210"/>
        <v>-4576</v>
      </c>
      <c r="AI945" s="1138"/>
      <c r="AJ945" s="912"/>
      <c r="AK945" s="834">
        <f t="shared" si="211"/>
        <v>4576</v>
      </c>
      <c r="AL945" s="822"/>
      <c r="AM945" s="822"/>
      <c r="AN945" s="834">
        <f>I945</f>
        <v>4576</v>
      </c>
      <c r="AO945" s="920"/>
      <c r="AP945" s="822"/>
      <c r="AQ945" s="920"/>
      <c r="AR945" s="920"/>
      <c r="AS945" s="920"/>
      <c r="AT945" s="920"/>
      <c r="AU945" s="920"/>
      <c r="AV945" s="920"/>
      <c r="AW945" s="920"/>
      <c r="AX945" s="834">
        <f>I945/8</f>
        <v>572</v>
      </c>
      <c r="AY945" s="914"/>
      <c r="AZ945" s="914"/>
      <c r="BA945" s="920"/>
      <c r="BB945" s="920"/>
      <c r="BC945" s="920"/>
      <c r="BD945" s="920"/>
      <c r="BE945" s="920"/>
      <c r="BF945" s="920"/>
      <c r="BG945" s="920"/>
      <c r="BH945" s="920"/>
      <c r="BI945" s="822"/>
      <c r="BJ945" s="667"/>
      <c r="BK945" s="667"/>
      <c r="BL945" s="667"/>
      <c r="BM945" s="667"/>
      <c r="BN945" s="667"/>
      <c r="BO945" s="667"/>
      <c r="BP945" s="667"/>
      <c r="BQ945" s="667"/>
      <c r="BR945" s="667"/>
      <c r="BS945" s="667"/>
      <c r="BT945" s="667"/>
      <c r="BU945" s="667"/>
      <c r="BV945" s="667"/>
      <c r="BW945" s="667"/>
      <c r="BX945" s="667"/>
      <c r="BY945" s="667"/>
      <c r="BZ945" s="667"/>
      <c r="CA945" s="667"/>
      <c r="CB945" s="667"/>
      <c r="CC945" s="667"/>
      <c r="CD945" s="667"/>
      <c r="CE945" s="667"/>
      <c r="CF945" s="667"/>
      <c r="CG945" s="667"/>
      <c r="CH945" s="667"/>
      <c r="CI945" s="667"/>
      <c r="CJ945" s="667"/>
      <c r="CK945" s="667"/>
      <c r="CL945" s="667"/>
      <c r="CM945" s="667"/>
      <c r="CN945" s="667"/>
      <c r="CO945" s="667"/>
      <c r="CP945" s="667"/>
      <c r="CQ945" s="667"/>
      <c r="CR945" s="667"/>
      <c r="CS945" s="667"/>
      <c r="CT945" s="667"/>
      <c r="CU945" s="667"/>
      <c r="CV945" s="667"/>
      <c r="CW945" s="667"/>
      <c r="CX945" s="667"/>
      <c r="CY945" s="667"/>
      <c r="CZ945" s="667"/>
      <c r="DA945" s="667"/>
      <c r="DB945" s="667"/>
      <c r="DC945" s="667"/>
      <c r="DD945" s="667"/>
    </row>
    <row r="946" s="667" customFormat="1" ht="31" customHeight="1" spans="1:108">
      <c r="A946" s="819">
        <v>46211</v>
      </c>
      <c r="B946" s="820" t="s">
        <v>2373</v>
      </c>
      <c r="C946" s="821" t="s">
        <v>101</v>
      </c>
      <c r="D946" s="822" t="s">
        <v>3904</v>
      </c>
      <c r="E946" s="821" t="s">
        <v>6755</v>
      </c>
      <c r="F946" s="822" t="s">
        <v>6756</v>
      </c>
      <c r="G946" s="823" t="s">
        <v>3980</v>
      </c>
      <c r="H946" s="821" t="s">
        <v>3978</v>
      </c>
      <c r="I946" s="824">
        <v>424</v>
      </c>
      <c r="J946" s="821">
        <v>0</v>
      </c>
      <c r="K946" s="821">
        <v>8</v>
      </c>
      <c r="L946" s="821">
        <f t="shared" si="208"/>
        <v>53</v>
      </c>
      <c r="M946" s="825">
        <v>46321</v>
      </c>
      <c r="N946" s="825">
        <v>46317</v>
      </c>
      <c r="O946" s="820"/>
      <c r="P946" s="824"/>
      <c r="Q946" s="824"/>
      <c r="R946" s="864" t="s">
        <v>3064</v>
      </c>
      <c r="S946" s="828" t="s">
        <v>107</v>
      </c>
      <c r="T946" s="828" t="s">
        <v>6482</v>
      </c>
      <c r="U946" s="828"/>
      <c r="V946" s="828" t="s">
        <v>6093</v>
      </c>
      <c r="W946" s="828"/>
      <c r="X946" s="828" t="s">
        <v>6757</v>
      </c>
      <c r="Y946" s="825" t="s">
        <v>2378</v>
      </c>
      <c r="Z946" s="830">
        <v>4.9186</v>
      </c>
      <c r="AA946" s="822">
        <f>I946*Z946</f>
        <v>2085.4864</v>
      </c>
      <c r="AB946" s="831"/>
      <c r="AC946" s="1052" t="s">
        <v>3980</v>
      </c>
      <c r="AD946" s="953" t="s">
        <v>112</v>
      </c>
      <c r="AE946" s="821">
        <f t="shared" si="209"/>
        <v>424</v>
      </c>
      <c r="AF946" s="821"/>
      <c r="AG946" s="821"/>
      <c r="AH946" s="833">
        <f t="shared" si="210"/>
        <v>-424</v>
      </c>
      <c r="AI946" s="824"/>
      <c r="AJ946" s="821"/>
      <c r="AK946" s="834">
        <f t="shared" si="211"/>
        <v>424</v>
      </c>
      <c r="AL946" s="822"/>
      <c r="AM946" s="822"/>
      <c r="AN946" s="834">
        <f>I946</f>
        <v>424</v>
      </c>
      <c r="AO946" s="822"/>
      <c r="AP946" s="822"/>
      <c r="AQ946" s="822"/>
      <c r="AR946" s="822"/>
      <c r="AS946" s="822"/>
      <c r="AT946" s="822"/>
      <c r="AU946" s="822"/>
      <c r="AV946" s="822"/>
      <c r="AW946" s="822"/>
      <c r="AX946" s="834">
        <f>I946/8</f>
        <v>53</v>
      </c>
      <c r="AY946" s="834"/>
      <c r="AZ946" s="834"/>
      <c r="BA946" s="822"/>
      <c r="BB946" s="822"/>
      <c r="BC946" s="822"/>
      <c r="BD946" s="822"/>
      <c r="BE946" s="822"/>
      <c r="BF946" s="822"/>
      <c r="BG946" s="822"/>
      <c r="BH946" s="822"/>
      <c r="BI946" s="822"/>
    </row>
    <row r="947" s="678" customFormat="1" ht="31" customHeight="1" spans="1:108">
      <c r="A947" s="1113">
        <v>46244</v>
      </c>
      <c r="B947" s="1114" t="s">
        <v>3037</v>
      </c>
      <c r="C947" s="984" t="s">
        <v>508</v>
      </c>
      <c r="D947" s="988">
        <v>4500219288</v>
      </c>
      <c r="E947" s="984">
        <v>2654484</v>
      </c>
      <c r="F947" s="988" t="s">
        <v>6758</v>
      </c>
      <c r="G947" s="1115" t="s">
        <v>3980</v>
      </c>
      <c r="H947" s="984" t="s">
        <v>3978</v>
      </c>
      <c r="I947" s="1116">
        <v>1512</v>
      </c>
      <c r="J947" s="984">
        <v>0</v>
      </c>
      <c r="K947" s="984">
        <v>8</v>
      </c>
      <c r="L947" s="984">
        <f t="shared" si="208"/>
        <v>189</v>
      </c>
      <c r="M947" s="1117">
        <v>46321</v>
      </c>
      <c r="N947" s="1117">
        <v>46317</v>
      </c>
      <c r="O947" s="1114"/>
      <c r="P947" s="1116"/>
      <c r="Q947" s="1116"/>
      <c r="R947" s="1134">
        <v>46245</v>
      </c>
      <c r="S947" s="977" t="s">
        <v>107</v>
      </c>
      <c r="T947" s="977" t="s">
        <v>6705</v>
      </c>
      <c r="U947" s="977"/>
      <c r="V947" s="977" t="s">
        <v>6093</v>
      </c>
      <c r="W947" s="977"/>
      <c r="X947" s="977" t="s">
        <v>6759</v>
      </c>
      <c r="Y947" s="1117" t="s">
        <v>6707</v>
      </c>
      <c r="Z947" s="1118">
        <v>4.9081</v>
      </c>
      <c r="AA947" s="988">
        <f>I947*Z947</f>
        <v>7421.0472</v>
      </c>
      <c r="AB947" s="982"/>
      <c r="AC947" s="1106" t="s">
        <v>3980</v>
      </c>
      <c r="AD947" s="821" t="s">
        <v>112</v>
      </c>
      <c r="AE947" s="984">
        <f t="shared" si="209"/>
        <v>1512</v>
      </c>
      <c r="AF947" s="984"/>
      <c r="AG947" s="984"/>
      <c r="AH947" s="986"/>
      <c r="AI947" s="1116"/>
      <c r="AJ947" s="984"/>
      <c r="AK947" s="989">
        <f t="shared" si="211"/>
        <v>1512</v>
      </c>
      <c r="AL947" s="988"/>
      <c r="AM947" s="988"/>
      <c r="AN947" s="989">
        <f>I947</f>
        <v>1512</v>
      </c>
      <c r="AO947" s="988"/>
      <c r="AP947" s="988"/>
      <c r="AQ947" s="988"/>
      <c r="AR947" s="988"/>
      <c r="AS947" s="988"/>
      <c r="AT947" s="988"/>
      <c r="AU947" s="988"/>
      <c r="AV947" s="988"/>
      <c r="AW947" s="988"/>
      <c r="AX947" s="989">
        <f>I947/8</f>
        <v>189</v>
      </c>
      <c r="AY947" s="989"/>
      <c r="AZ947" s="989"/>
      <c r="BA947" s="988"/>
      <c r="BB947" s="988"/>
      <c r="BC947" s="988"/>
      <c r="BD947" s="988"/>
      <c r="BE947" s="988"/>
      <c r="BF947" s="988"/>
      <c r="BG947" s="988"/>
      <c r="BH947" s="988"/>
      <c r="BI947" s="988"/>
    </row>
    <row r="948" s="667" customFormat="1" ht="31" customHeight="1" spans="1:108">
      <c r="A948" s="819">
        <v>46189</v>
      </c>
      <c r="B948" s="820" t="s">
        <v>3527</v>
      </c>
      <c r="C948" s="821" t="s">
        <v>2458</v>
      </c>
      <c r="D948" s="822" t="s">
        <v>6677</v>
      </c>
      <c r="E948" s="821" t="s">
        <v>6678</v>
      </c>
      <c r="F948" s="822" t="s">
        <v>3908</v>
      </c>
      <c r="G948" s="823" t="s">
        <v>4359</v>
      </c>
      <c r="H948" s="708" t="s">
        <v>804</v>
      </c>
      <c r="I948" s="824">
        <v>60000</v>
      </c>
      <c r="J948" s="821">
        <v>0</v>
      </c>
      <c r="K948" s="821">
        <v>6</v>
      </c>
      <c r="L948" s="821">
        <f t="shared" si="208"/>
        <v>10000</v>
      </c>
      <c r="M948" s="825">
        <v>46322</v>
      </c>
      <c r="N948" s="825">
        <v>46318</v>
      </c>
      <c r="O948" s="922" t="s">
        <v>2463</v>
      </c>
      <c r="P948" s="824"/>
      <c r="Q948" s="824"/>
      <c r="R948" s="827" t="s">
        <v>5875</v>
      </c>
      <c r="S948" s="828" t="s">
        <v>95</v>
      </c>
      <c r="T948" s="828" t="s">
        <v>3887</v>
      </c>
      <c r="U948" s="828"/>
      <c r="V948" s="829" t="s">
        <v>4056</v>
      </c>
      <c r="W948" s="828"/>
      <c r="X948" s="828" t="s">
        <v>3888</v>
      </c>
      <c r="Y948" s="825" t="s">
        <v>3531</v>
      </c>
      <c r="Z948" s="830">
        <v>8.15</v>
      </c>
      <c r="AA948" s="822">
        <f>L948*Z948</f>
        <v>81500</v>
      </c>
      <c r="AB948" s="831"/>
      <c r="AC948" s="1078" t="s">
        <v>3498</v>
      </c>
      <c r="AD948" s="953" t="s">
        <v>112</v>
      </c>
      <c r="AE948" s="821">
        <f t="shared" si="209"/>
        <v>60000</v>
      </c>
      <c r="AF948" s="821"/>
      <c r="AG948" s="708"/>
      <c r="AH948" s="833">
        <f>AG948-I948</f>
        <v>-60000</v>
      </c>
      <c r="AI948" s="824"/>
      <c r="AJ948" s="821"/>
      <c r="AK948" s="834">
        <f t="shared" si="211"/>
        <v>60000</v>
      </c>
      <c r="AL948" s="822"/>
      <c r="AM948" s="822"/>
      <c r="AN948" s="822"/>
      <c r="AO948" s="822"/>
      <c r="AP948" s="822">
        <f>I948</f>
        <v>60000</v>
      </c>
      <c r="AQ948" s="822"/>
      <c r="AR948" s="822"/>
      <c r="AS948" s="822"/>
      <c r="AT948" s="822"/>
      <c r="AU948" s="834"/>
      <c r="AV948" s="834"/>
      <c r="AW948" s="834"/>
      <c r="AX948" s="822"/>
      <c r="AY948" s="822"/>
      <c r="AZ948" s="822"/>
      <c r="BA948" s="822"/>
      <c r="BB948" s="822"/>
      <c r="BC948" s="822"/>
      <c r="BD948" s="822"/>
      <c r="BE948" s="822"/>
      <c r="BF948" s="822"/>
      <c r="BG948" s="822"/>
      <c r="BH948" s="822"/>
      <c r="BI948" s="822">
        <f>I948</f>
        <v>60000</v>
      </c>
      <c r="BJ948" s="835"/>
      <c r="BK948" s="835"/>
      <c r="BL948" s="835"/>
      <c r="BM948" s="835"/>
      <c r="BN948" s="835"/>
      <c r="BO948" s="835"/>
      <c r="BP948" s="835"/>
      <c r="BQ948" s="835"/>
      <c r="BR948" s="835"/>
      <c r="BS948" s="835"/>
      <c r="BT948" s="835"/>
      <c r="BU948" s="835"/>
      <c r="BV948" s="835"/>
      <c r="BW948" s="835"/>
      <c r="BX948" s="835"/>
      <c r="BY948" s="835"/>
      <c r="BZ948" s="835"/>
      <c r="CA948" s="835"/>
      <c r="CB948" s="835"/>
      <c r="CC948" s="835"/>
      <c r="CD948" s="835"/>
      <c r="CE948" s="835"/>
      <c r="CF948" s="835"/>
      <c r="CG948" s="835"/>
      <c r="CH948" s="835"/>
      <c r="CI948" s="835"/>
      <c r="CJ948" s="835"/>
      <c r="CK948" s="835"/>
      <c r="CL948" s="835"/>
      <c r="CM948" s="835"/>
      <c r="CN948" s="835"/>
      <c r="CO948" s="835"/>
      <c r="CP948" s="835"/>
      <c r="CQ948" s="835"/>
      <c r="CR948" s="835"/>
      <c r="CS948" s="835"/>
      <c r="CT948" s="835"/>
      <c r="CU948" s="835"/>
      <c r="CV948" s="835"/>
      <c r="CW948" s="835"/>
      <c r="CX948" s="835"/>
      <c r="CY948" s="835"/>
      <c r="CZ948" s="835"/>
      <c r="DA948" s="835"/>
      <c r="DB948" s="835"/>
      <c r="DC948" s="835"/>
      <c r="DD948" s="835"/>
    </row>
    <row r="949" s="672" customFormat="1" ht="31" customHeight="1" spans="1:108">
      <c r="A949" s="897">
        <v>46225</v>
      </c>
      <c r="B949" s="1022" t="s">
        <v>378</v>
      </c>
      <c r="C949" s="913" t="s">
        <v>201</v>
      </c>
      <c r="D949" s="673" t="s">
        <v>6760</v>
      </c>
      <c r="E949" s="913" t="s">
        <v>6761</v>
      </c>
      <c r="F949" s="673" t="s">
        <v>6762</v>
      </c>
      <c r="G949" s="1023" t="s">
        <v>3980</v>
      </c>
      <c r="H949" s="913" t="s">
        <v>3978</v>
      </c>
      <c r="I949" s="904">
        <v>3424</v>
      </c>
      <c r="J949" s="913">
        <v>0</v>
      </c>
      <c r="K949" s="913">
        <v>8</v>
      </c>
      <c r="L949" s="913">
        <f t="shared" si="208"/>
        <v>428</v>
      </c>
      <c r="M949" s="1024">
        <v>46325</v>
      </c>
      <c r="N949" s="1024">
        <v>46321</v>
      </c>
      <c r="O949" s="1022"/>
      <c r="P949" s="904"/>
      <c r="Q949" s="904"/>
      <c r="R949" s="827" t="s">
        <v>3064</v>
      </c>
      <c r="S949" s="848" t="s">
        <v>107</v>
      </c>
      <c r="T949" s="848" t="s">
        <v>3320</v>
      </c>
      <c r="U949" s="848"/>
      <c r="V949" s="829"/>
      <c r="W949" s="1025"/>
      <c r="X949" s="1025" t="s">
        <v>6763</v>
      </c>
      <c r="Y949" s="1024" t="s">
        <v>384</v>
      </c>
      <c r="Z949" s="1026">
        <v>4.8266</v>
      </c>
      <c r="AA949" s="673">
        <f>I949*Z949</f>
        <v>16526.2784</v>
      </c>
      <c r="AB949" s="910"/>
      <c r="AC949" s="1135" t="s">
        <v>4031</v>
      </c>
      <c r="AD949" s="912" t="s">
        <v>112</v>
      </c>
      <c r="AE949" s="912">
        <f t="shared" si="209"/>
        <v>3424</v>
      </c>
      <c r="AF949" s="913"/>
      <c r="AG949" s="899"/>
      <c r="AH949" s="833">
        <f>AG949-I949</f>
        <v>-3424</v>
      </c>
      <c r="AI949" s="904"/>
      <c r="AJ949" s="913"/>
      <c r="AK949" s="822"/>
      <c r="AL949" s="1092">
        <f>I949</f>
        <v>3424</v>
      </c>
      <c r="AM949" s="920"/>
      <c r="AN949" s="914">
        <f>I949</f>
        <v>3424</v>
      </c>
      <c r="AO949" s="673"/>
      <c r="AP949" s="920"/>
      <c r="AQ949" s="672"/>
      <c r="AR949" s="672"/>
      <c r="AS949" s="672"/>
      <c r="AT949" s="673"/>
      <c r="AU949" s="1059">
        <f>I949/8</f>
        <v>428</v>
      </c>
      <c r="AX949" s="673"/>
      <c r="AY949" s="673"/>
      <c r="AZ949" s="673"/>
      <c r="BA949" s="673"/>
      <c r="BB949" s="673"/>
      <c r="BC949" s="673"/>
      <c r="BD949" s="673"/>
      <c r="BE949" s="673"/>
      <c r="BF949" s="673"/>
      <c r="BG949" s="673"/>
      <c r="BH949" s="673"/>
      <c r="BI949" s="920"/>
    </row>
    <row r="950" s="678" customFormat="1" ht="31" customHeight="1" spans="1:108">
      <c r="A950" s="1113">
        <v>46244</v>
      </c>
      <c r="B950" s="1114" t="s">
        <v>3037</v>
      </c>
      <c r="C950" s="984" t="s">
        <v>508</v>
      </c>
      <c r="D950" s="988">
        <v>4500219289</v>
      </c>
      <c r="E950" s="984">
        <v>2654485</v>
      </c>
      <c r="F950" s="988" t="s">
        <v>6764</v>
      </c>
      <c r="G950" s="1115" t="s">
        <v>3980</v>
      </c>
      <c r="H950" s="984" t="s">
        <v>3978</v>
      </c>
      <c r="I950" s="1116">
        <v>1512</v>
      </c>
      <c r="J950" s="984">
        <v>0</v>
      </c>
      <c r="K950" s="984">
        <v>8</v>
      </c>
      <c r="L950" s="984">
        <f t="shared" si="208"/>
        <v>189</v>
      </c>
      <c r="M950" s="1117">
        <v>46328</v>
      </c>
      <c r="N950" s="1117">
        <v>46324</v>
      </c>
      <c r="O950" s="1114"/>
      <c r="P950" s="1116"/>
      <c r="Q950" s="1116"/>
      <c r="R950" s="1134">
        <v>46245</v>
      </c>
      <c r="S950" s="977" t="s">
        <v>107</v>
      </c>
      <c r="T950" s="977" t="s">
        <v>6705</v>
      </c>
      <c r="U950" s="977"/>
      <c r="V950" s="977" t="s">
        <v>6093</v>
      </c>
      <c r="W950" s="977"/>
      <c r="X950" s="977" t="s">
        <v>6765</v>
      </c>
      <c r="Y950" s="1117" t="s">
        <v>6707</v>
      </c>
      <c r="Z950" s="1118">
        <v>4.9081</v>
      </c>
      <c r="AA950" s="988">
        <f>I950*Z950</f>
        <v>7421.0472</v>
      </c>
      <c r="AB950" s="982"/>
      <c r="AC950" s="1106" t="s">
        <v>3980</v>
      </c>
      <c r="AD950" s="821" t="s">
        <v>112</v>
      </c>
      <c r="AE950" s="984">
        <f t="shared" si="209"/>
        <v>1512</v>
      </c>
      <c r="AF950" s="984"/>
      <c r="AG950" s="984"/>
      <c r="AH950" s="986"/>
      <c r="AI950" s="1116"/>
      <c r="AJ950" s="984"/>
      <c r="AK950" s="989">
        <f>I950</f>
        <v>1512</v>
      </c>
      <c r="AL950" s="988"/>
      <c r="AM950" s="988"/>
      <c r="AN950" s="989">
        <f>I950</f>
        <v>1512</v>
      </c>
      <c r="AO950" s="988"/>
      <c r="AP950" s="988"/>
      <c r="AQ950" s="988"/>
      <c r="AR950" s="988"/>
      <c r="AS950" s="988"/>
      <c r="AT950" s="988"/>
      <c r="AU950" s="988"/>
      <c r="AV950" s="988"/>
      <c r="AW950" s="988"/>
      <c r="AX950" s="989">
        <f>I950/8</f>
        <v>189</v>
      </c>
      <c r="AY950" s="989"/>
      <c r="AZ950" s="989"/>
      <c r="BA950" s="988"/>
      <c r="BB950" s="988"/>
      <c r="BC950" s="988"/>
      <c r="BD950" s="988"/>
      <c r="BE950" s="988"/>
      <c r="BF950" s="988"/>
      <c r="BG950" s="988"/>
      <c r="BH950" s="988"/>
      <c r="BI950" s="988"/>
    </row>
    <row r="951" s="672" customFormat="1" ht="31" customHeight="1" spans="1:108">
      <c r="A951" s="897">
        <v>46232</v>
      </c>
      <c r="B951" s="1022" t="s">
        <v>418</v>
      </c>
      <c r="C951" s="913" t="s">
        <v>115</v>
      </c>
      <c r="D951" s="673">
        <v>4500217836</v>
      </c>
      <c r="E951" s="1922" t="s">
        <v>6766</v>
      </c>
      <c r="F951" s="673" t="s">
        <v>6767</v>
      </c>
      <c r="G951" s="1023" t="s">
        <v>3968</v>
      </c>
      <c r="H951" s="821" t="s">
        <v>3969</v>
      </c>
      <c r="I951" s="904">
        <v>9344</v>
      </c>
      <c r="J951" s="913">
        <v>0</v>
      </c>
      <c r="K951" s="913">
        <v>16</v>
      </c>
      <c r="L951" s="821">
        <f t="shared" si="208"/>
        <v>584</v>
      </c>
      <c r="M951" s="1024">
        <v>46332</v>
      </c>
      <c r="N951" s="1024">
        <v>46328</v>
      </c>
      <c r="O951" s="1022"/>
      <c r="P951" s="904"/>
      <c r="Q951" s="904"/>
      <c r="R951" s="886" t="s">
        <v>3064</v>
      </c>
      <c r="S951" s="848" t="s">
        <v>107</v>
      </c>
      <c r="T951" s="828" t="s">
        <v>95</v>
      </c>
      <c r="U951" s="848"/>
      <c r="V951" s="1025"/>
      <c r="W951" s="1025"/>
      <c r="X951" s="1025" t="s">
        <v>3911</v>
      </c>
      <c r="Y951" s="1024" t="s">
        <v>421</v>
      </c>
      <c r="Z951" s="1026">
        <v>2.8229</v>
      </c>
      <c r="AA951" s="822">
        <f>I951*Z951</f>
        <v>26377.1776</v>
      </c>
      <c r="AB951" s="1080"/>
      <c r="AC951" s="936" t="s">
        <v>3968</v>
      </c>
      <c r="AD951" s="912" t="s">
        <v>112</v>
      </c>
      <c r="AE951" s="821">
        <f t="shared" si="209"/>
        <v>9344</v>
      </c>
      <c r="AF951" s="913"/>
      <c r="AG951" s="913"/>
      <c r="AH951" s="833">
        <f>AG951-I951</f>
        <v>-9344</v>
      </c>
      <c r="AI951" s="904"/>
      <c r="AJ951" s="913"/>
      <c r="AK951" s="914">
        <f>I951</f>
        <v>9344</v>
      </c>
      <c r="AL951" s="920"/>
      <c r="AM951" s="920"/>
      <c r="AN951" s="822">
        <f>I951</f>
        <v>9344</v>
      </c>
      <c r="AO951" s="673"/>
      <c r="AP951" s="920"/>
      <c r="AQ951" s="822"/>
      <c r="AR951" s="822"/>
      <c r="AS951" s="822"/>
      <c r="AT951" s="673"/>
      <c r="AU951" s="673"/>
      <c r="AV951" s="673"/>
      <c r="AW951" s="673"/>
      <c r="AX951" s="673"/>
      <c r="AY951" s="673"/>
      <c r="AZ951" s="673"/>
      <c r="BA951" s="673"/>
      <c r="BB951" s="673"/>
      <c r="BC951" s="673"/>
      <c r="BD951" s="673"/>
      <c r="BE951" s="673"/>
      <c r="BF951" s="673"/>
      <c r="BG951" s="673"/>
      <c r="BH951" s="673"/>
      <c r="BI951" s="920"/>
      <c r="BJ951" s="673"/>
      <c r="BK951" s="673"/>
      <c r="BL951" s="673"/>
      <c r="BM951" s="673"/>
      <c r="BN951" s="673"/>
      <c r="BO951" s="673"/>
      <c r="BP951" s="673"/>
      <c r="BQ951" s="673"/>
      <c r="BR951" s="673"/>
      <c r="BS951" s="673"/>
      <c r="BT951" s="673"/>
      <c r="BU951" s="673"/>
      <c r="BV951" s="673"/>
      <c r="BW951" s="673"/>
      <c r="BX951" s="673"/>
      <c r="BY951" s="673"/>
      <c r="BZ951" s="673"/>
      <c r="CA951" s="673"/>
      <c r="CB951" s="673"/>
      <c r="CC951" s="673"/>
      <c r="CD951" s="673"/>
      <c r="CE951" s="673"/>
      <c r="CF951" s="673"/>
      <c r="CG951" s="673"/>
      <c r="CH951" s="673"/>
      <c r="CI951" s="673"/>
      <c r="CJ951" s="673"/>
      <c r="CK951" s="673"/>
      <c r="CL951" s="673"/>
      <c r="CM951" s="673"/>
      <c r="CN951" s="673"/>
      <c r="CO951" s="673"/>
      <c r="CP951" s="673"/>
      <c r="CQ951" s="673"/>
      <c r="CR951" s="673"/>
      <c r="CS951" s="673"/>
      <c r="CT951" s="673"/>
      <c r="CU951" s="673"/>
      <c r="CV951" s="673"/>
      <c r="CW951" s="673"/>
      <c r="CX951" s="673"/>
      <c r="CY951" s="673"/>
      <c r="CZ951" s="673"/>
      <c r="DA951" s="673"/>
      <c r="DB951" s="673"/>
      <c r="DC951" s="673"/>
      <c r="DD951" s="673"/>
    </row>
    <row r="952" s="667" customFormat="1" ht="31" customHeight="1" spans="1:108">
      <c r="A952" s="819">
        <v>46128</v>
      </c>
      <c r="B952" s="820" t="s">
        <v>6768</v>
      </c>
      <c r="C952" s="821" t="s">
        <v>3913</v>
      </c>
      <c r="D952" s="822" t="s">
        <v>6769</v>
      </c>
      <c r="E952" s="821" t="s">
        <v>628</v>
      </c>
      <c r="F952" s="822" t="s">
        <v>6770</v>
      </c>
      <c r="G952" s="823" t="s">
        <v>3973</v>
      </c>
      <c r="H952" s="708" t="s">
        <v>3995</v>
      </c>
      <c r="I952" s="1086">
        <v>5008</v>
      </c>
      <c r="J952" s="821">
        <v>0</v>
      </c>
      <c r="K952" s="821">
        <v>16</v>
      </c>
      <c r="L952" s="821">
        <f t="shared" si="208"/>
        <v>313</v>
      </c>
      <c r="M952" s="863">
        <v>46339</v>
      </c>
      <c r="N952" s="863">
        <f>M952-4</f>
        <v>46335</v>
      </c>
      <c r="O952" s="820"/>
      <c r="P952" s="824"/>
      <c r="Q952" s="824"/>
      <c r="R952" s="827">
        <v>46181</v>
      </c>
      <c r="S952" s="829" t="s">
        <v>107</v>
      </c>
      <c r="T952" s="829" t="s">
        <v>3525</v>
      </c>
      <c r="U952" s="829"/>
      <c r="V952" s="829" t="s">
        <v>4056</v>
      </c>
      <c r="W952" s="828"/>
      <c r="X952" s="828" t="s">
        <v>6771</v>
      </c>
      <c r="Y952" s="825" t="s">
        <v>6772</v>
      </c>
      <c r="Z952" s="830">
        <v>4.5847</v>
      </c>
      <c r="AA952" s="822">
        <f>I952*Z952</f>
        <v>22960.1776</v>
      </c>
      <c r="AB952" s="831"/>
      <c r="AC952" s="887" t="s">
        <v>4108</v>
      </c>
      <c r="AD952" s="821" t="s">
        <v>112</v>
      </c>
      <c r="AE952" s="994">
        <f t="shared" si="209"/>
        <v>5008</v>
      </c>
      <c r="AF952" s="821"/>
      <c r="AG952" s="708"/>
      <c r="AH952" s="833">
        <f>AG952-I952</f>
        <v>-5008</v>
      </c>
      <c r="AI952" s="824"/>
      <c r="AJ952" s="821"/>
      <c r="AK952" s="822"/>
      <c r="AL952" s="868">
        <f>I952</f>
        <v>5008</v>
      </c>
      <c r="AM952" s="822"/>
      <c r="AN952" s="834">
        <f>I952</f>
        <v>5008</v>
      </c>
      <c r="AO952" s="822"/>
      <c r="AP952" s="822"/>
      <c r="AQ952" s="822"/>
      <c r="AR952" s="822"/>
      <c r="AS952" s="822"/>
      <c r="AT952" s="822"/>
      <c r="AU952" s="868">
        <f>I952/8</f>
        <v>626</v>
      </c>
      <c r="AV952" s="834"/>
      <c r="AW952" s="834"/>
      <c r="AX952" s="822"/>
      <c r="AY952" s="822"/>
      <c r="AZ952" s="822"/>
      <c r="BA952" s="822"/>
      <c r="BB952" s="822"/>
      <c r="BC952" s="822"/>
      <c r="BD952" s="822"/>
      <c r="BE952" s="822"/>
      <c r="BF952" s="822"/>
      <c r="BG952" s="822"/>
      <c r="BH952" s="822"/>
      <c r="BI952" s="822"/>
      <c r="BJ952" s="659"/>
      <c r="BK952" s="659"/>
      <c r="BL952" s="659"/>
      <c r="BM952" s="659"/>
      <c r="BN952" s="659"/>
      <c r="BO952" s="659"/>
      <c r="BP952" s="659"/>
      <c r="BQ952" s="659"/>
      <c r="BR952" s="659"/>
      <c r="BS952" s="659"/>
      <c r="BT952" s="659"/>
      <c r="BU952" s="659"/>
      <c r="BV952" s="659"/>
      <c r="BW952" s="659"/>
      <c r="BX952" s="659"/>
      <c r="BY952" s="659"/>
      <c r="BZ952" s="659"/>
      <c r="CA952" s="659"/>
      <c r="CB952" s="659"/>
      <c r="CC952" s="659"/>
      <c r="CD952" s="659"/>
      <c r="CE952" s="659"/>
      <c r="CF952" s="659"/>
      <c r="CG952" s="659"/>
      <c r="CH952" s="659"/>
      <c r="CI952" s="659"/>
      <c r="CJ952" s="659"/>
      <c r="CK952" s="659"/>
      <c r="CL952" s="659"/>
      <c r="CM952" s="659"/>
      <c r="CN952" s="659"/>
      <c r="CO952" s="659"/>
      <c r="CP952" s="659"/>
      <c r="CQ952" s="659"/>
      <c r="CR952" s="659"/>
      <c r="CS952" s="662"/>
      <c r="CT952" s="662"/>
      <c r="CU952" s="662"/>
      <c r="CV952" s="662"/>
      <c r="CW952" s="662"/>
      <c r="CX952" s="662"/>
      <c r="CY952" s="662"/>
      <c r="CZ952" s="662"/>
      <c r="DA952" s="662"/>
      <c r="DB952" s="662"/>
      <c r="DC952" s="662"/>
      <c r="DD952" s="662"/>
    </row>
    <row r="953" s="662" customFormat="1" ht="31" customHeight="1" spans="1:108">
      <c r="A953" s="819">
        <v>46216</v>
      </c>
      <c r="B953" s="820" t="s">
        <v>2680</v>
      </c>
      <c r="C953" s="821" t="s">
        <v>2638</v>
      </c>
      <c r="D953" s="822">
        <v>4500209374</v>
      </c>
      <c r="E953" s="821"/>
      <c r="F953" s="822" t="s">
        <v>3917</v>
      </c>
      <c r="G953" s="823" t="s">
        <v>4215</v>
      </c>
      <c r="H953" s="708" t="s">
        <v>483</v>
      </c>
      <c r="I953" s="824">
        <v>1920</v>
      </c>
      <c r="J953" s="821">
        <v>0</v>
      </c>
      <c r="K953" s="821">
        <v>120</v>
      </c>
      <c r="L953" s="821">
        <f t="shared" si="208"/>
        <v>16</v>
      </c>
      <c r="M953" s="825">
        <v>46341</v>
      </c>
      <c r="N953" s="825">
        <v>46337</v>
      </c>
      <c r="O953" s="820" t="s">
        <v>5814</v>
      </c>
      <c r="P953" s="824"/>
      <c r="Q953" s="824"/>
      <c r="R953" s="827" t="s">
        <v>5815</v>
      </c>
      <c r="S953" s="828" t="s">
        <v>107</v>
      </c>
      <c r="T953" s="829" t="s">
        <v>95</v>
      </c>
      <c r="U953" s="828"/>
      <c r="V953" s="829"/>
      <c r="W953" s="828"/>
      <c r="X953" s="894" t="s">
        <v>5816</v>
      </c>
      <c r="Y953" s="825" t="s">
        <v>2685</v>
      </c>
      <c r="Z953" s="830">
        <v>1058.7359</v>
      </c>
      <c r="AA953" s="822">
        <f>L953*Z953</f>
        <v>16939.7744</v>
      </c>
      <c r="AB953" s="831"/>
      <c r="AC953" s="832" t="s">
        <v>490</v>
      </c>
      <c r="AD953" s="821" t="s">
        <v>112</v>
      </c>
      <c r="AE953" s="821">
        <f t="shared" si="209"/>
        <v>1920</v>
      </c>
      <c r="AF953" s="821"/>
      <c r="AG953" s="708"/>
      <c r="AH953" s="833">
        <f>AG953-I953</f>
        <v>-1920</v>
      </c>
      <c r="AI953" s="824"/>
      <c r="AJ953" s="821"/>
      <c r="AK953" s="822"/>
      <c r="AL953" s="822"/>
      <c r="AM953" s="822"/>
      <c r="AN953" s="822"/>
      <c r="AO953" s="822"/>
      <c r="AP953" s="822"/>
      <c r="AQ953" s="834">
        <f>I953</f>
        <v>1920</v>
      </c>
      <c r="AR953" s="834">
        <f>I953</f>
        <v>1920</v>
      </c>
      <c r="AS953" s="834">
        <f>I953/6</f>
        <v>320</v>
      </c>
      <c r="AT953" s="822"/>
      <c r="AU953" s="834"/>
      <c r="AV953" s="834"/>
      <c r="AW953" s="834"/>
      <c r="AX953" s="822"/>
      <c r="AY953" s="822"/>
      <c r="AZ953" s="822"/>
      <c r="BA953" s="822"/>
      <c r="BB953" s="822"/>
      <c r="BC953" s="822"/>
      <c r="BD953" s="822"/>
      <c r="BE953" s="822"/>
      <c r="BF953" s="822"/>
      <c r="BG953" s="822"/>
      <c r="BH953" s="822"/>
      <c r="BI953" s="822"/>
      <c r="BJ953" s="835"/>
      <c r="BK953" s="835"/>
      <c r="BL953" s="835"/>
      <c r="BM953" s="835"/>
      <c r="BN953" s="835"/>
      <c r="BO953" s="835"/>
      <c r="BP953" s="835"/>
      <c r="BQ953" s="835"/>
      <c r="BR953" s="835"/>
      <c r="BS953" s="835"/>
      <c r="BT953" s="835"/>
      <c r="BU953" s="835"/>
      <c r="BV953" s="835"/>
      <c r="BW953" s="835"/>
      <c r="BX953" s="835"/>
      <c r="BY953" s="835"/>
      <c r="BZ953" s="835"/>
      <c r="CA953" s="835"/>
      <c r="CB953" s="835"/>
      <c r="CC953" s="835"/>
      <c r="CD953" s="835"/>
      <c r="CE953" s="835"/>
      <c r="CF953" s="835"/>
      <c r="CG953" s="835"/>
      <c r="CH953" s="835"/>
      <c r="CI953" s="835"/>
      <c r="CJ953" s="835"/>
      <c r="CK953" s="835"/>
      <c r="CL953" s="835"/>
      <c r="CM953" s="835"/>
      <c r="CN953" s="835"/>
      <c r="CO953" s="835"/>
      <c r="CP953" s="835"/>
      <c r="CQ953" s="835"/>
      <c r="CR953" s="835"/>
      <c r="CS953" s="835"/>
      <c r="CT953" s="835"/>
      <c r="CU953" s="835"/>
      <c r="CV953" s="835"/>
      <c r="CW953" s="835"/>
      <c r="CX953" s="835"/>
      <c r="CY953" s="835"/>
      <c r="CZ953" s="835"/>
      <c r="DA953" s="835"/>
      <c r="DB953" s="835"/>
      <c r="DC953" s="835"/>
      <c r="DD953" s="835"/>
    </row>
    <row r="954" s="672" customFormat="1" ht="31" customHeight="1" spans="1:108">
      <c r="A954" s="897">
        <v>46216</v>
      </c>
      <c r="B954" s="1022" t="s">
        <v>2680</v>
      </c>
      <c r="C954" s="913" t="s">
        <v>2638</v>
      </c>
      <c r="D954" s="673">
        <v>4500209374</v>
      </c>
      <c r="E954" s="913"/>
      <c r="F954" s="673" t="s">
        <v>3919</v>
      </c>
      <c r="G954" s="1023" t="s">
        <v>4215</v>
      </c>
      <c r="H954" s="899" t="s">
        <v>483</v>
      </c>
      <c r="I954" s="904">
        <v>1920</v>
      </c>
      <c r="J954" s="913">
        <v>0</v>
      </c>
      <c r="K954" s="913">
        <v>120</v>
      </c>
      <c r="L954" s="913">
        <f t="shared" si="208"/>
        <v>16</v>
      </c>
      <c r="M954" s="1024">
        <v>46341</v>
      </c>
      <c r="N954" s="1024">
        <v>46337</v>
      </c>
      <c r="O954" s="820" t="s">
        <v>5814</v>
      </c>
      <c r="P954" s="904"/>
      <c r="Q954" s="904"/>
      <c r="R954" s="886" t="s">
        <v>5815</v>
      </c>
      <c r="S954" s="828" t="s">
        <v>107</v>
      </c>
      <c r="T954" s="829" t="s">
        <v>95</v>
      </c>
      <c r="U954" s="848"/>
      <c r="V954" s="906"/>
      <c r="W954" s="1025"/>
      <c r="X954" s="894" t="s">
        <v>5816</v>
      </c>
      <c r="Y954" s="1024" t="s">
        <v>2685</v>
      </c>
      <c r="Z954" s="1026">
        <v>1058.7359</v>
      </c>
      <c r="AA954" s="673">
        <f>L954*Z954</f>
        <v>16939.7744</v>
      </c>
      <c r="AB954" s="910"/>
      <c r="AC954" s="1135" t="s">
        <v>490</v>
      </c>
      <c r="AD954" s="912" t="s">
        <v>112</v>
      </c>
      <c r="AE954" s="913">
        <f t="shared" si="209"/>
        <v>1920</v>
      </c>
      <c r="AF954" s="913"/>
      <c r="AG954" s="899"/>
      <c r="AH954" s="833">
        <f>AG954-I954</f>
        <v>-1920</v>
      </c>
      <c r="AI954" s="904"/>
      <c r="AJ954" s="913"/>
      <c r="AK954" s="920"/>
      <c r="AL954" s="920"/>
      <c r="AM954" s="920"/>
      <c r="AN954" s="920"/>
      <c r="AO954" s="673"/>
      <c r="AP954" s="920"/>
      <c r="AQ954" s="834">
        <f>I954</f>
        <v>1920</v>
      </c>
      <c r="AR954" s="834">
        <f>I954</f>
        <v>1920</v>
      </c>
      <c r="AS954" s="834">
        <f>I954/6</f>
        <v>320</v>
      </c>
      <c r="AT954" s="673"/>
      <c r="AX954" s="673"/>
      <c r="AY954" s="673"/>
      <c r="AZ954" s="673"/>
      <c r="BA954" s="673"/>
      <c r="BB954" s="673"/>
      <c r="BC954" s="673"/>
      <c r="BD954" s="673"/>
      <c r="BE954" s="673"/>
      <c r="BF954" s="673"/>
      <c r="BG954" s="673"/>
      <c r="BH954" s="673"/>
      <c r="BI954" s="920"/>
    </row>
    <row r="955" s="672" customFormat="1" ht="31" customHeight="1" spans="1:108">
      <c r="A955" s="897">
        <v>46225</v>
      </c>
      <c r="B955" s="1022" t="s">
        <v>378</v>
      </c>
      <c r="C955" s="913" t="s">
        <v>201</v>
      </c>
      <c r="D955" s="673" t="s">
        <v>6773</v>
      </c>
      <c r="E955" s="913" t="s">
        <v>6774</v>
      </c>
      <c r="F955" s="673" t="s">
        <v>6775</v>
      </c>
      <c r="G955" s="1023" t="s">
        <v>3980</v>
      </c>
      <c r="H955" s="913" t="s">
        <v>3978</v>
      </c>
      <c r="I955" s="904">
        <v>3424</v>
      </c>
      <c r="J955" s="913">
        <v>0</v>
      </c>
      <c r="K955" s="913">
        <v>8</v>
      </c>
      <c r="L955" s="913">
        <f t="shared" si="208"/>
        <v>428</v>
      </c>
      <c r="M955" s="1024">
        <v>46346</v>
      </c>
      <c r="N955" s="1024">
        <v>46342</v>
      </c>
      <c r="O955" s="820"/>
      <c r="P955" s="904"/>
      <c r="Q955" s="904"/>
      <c r="R955" s="886" t="s">
        <v>3064</v>
      </c>
      <c r="S955" s="828" t="s">
        <v>107</v>
      </c>
      <c r="T955" s="828" t="s">
        <v>3320</v>
      </c>
      <c r="U955" s="848"/>
      <c r="V955" s="906"/>
      <c r="W955" s="1025"/>
      <c r="X955" s="828" t="s">
        <v>6776</v>
      </c>
      <c r="Y955" s="1024" t="s">
        <v>384</v>
      </c>
      <c r="Z955" s="1026">
        <v>4.8266</v>
      </c>
      <c r="AA955" s="673">
        <f>I955*Z955</f>
        <v>16526.2784</v>
      </c>
      <c r="AB955" s="910"/>
      <c r="AC955" s="1135" t="s">
        <v>4031</v>
      </c>
      <c r="AD955" s="912" t="s">
        <v>112</v>
      </c>
      <c r="AE955" s="913">
        <f t="shared" si="209"/>
        <v>3424</v>
      </c>
      <c r="AF955" s="913"/>
      <c r="AG955" s="899"/>
      <c r="AH955" s="833">
        <f>AG955-I955</f>
        <v>-3424</v>
      </c>
      <c r="AI955" s="904"/>
      <c r="AJ955" s="913"/>
      <c r="AK955" s="920"/>
      <c r="AL955" s="1092">
        <f>I955</f>
        <v>3424</v>
      </c>
      <c r="AM955" s="920"/>
      <c r="AN955" s="914">
        <f>I955</f>
        <v>3424</v>
      </c>
      <c r="AO955" s="673"/>
      <c r="AP955" s="920"/>
      <c r="AQ955" s="834"/>
      <c r="AR955" s="834"/>
      <c r="AS955" s="834"/>
      <c r="AT955" s="673"/>
      <c r="AU955" s="1059">
        <f>I955/8</f>
        <v>428</v>
      </c>
      <c r="AX955" s="673"/>
      <c r="AY955" s="673"/>
      <c r="AZ955" s="673"/>
      <c r="BA955" s="673"/>
      <c r="BB955" s="673"/>
      <c r="BC955" s="673"/>
      <c r="BD955" s="673"/>
      <c r="BE955" s="673"/>
      <c r="BF955" s="673"/>
      <c r="BG955" s="673"/>
      <c r="BH955" s="673"/>
      <c r="BI955" s="920"/>
    </row>
    <row r="956" s="672" customFormat="1" ht="31" customHeight="1" spans="1:108">
      <c r="A956" s="897"/>
      <c r="B956" s="1022"/>
      <c r="C956" s="913"/>
      <c r="D956" s="673"/>
      <c r="E956" s="913"/>
      <c r="F956" s="673"/>
      <c r="G956" s="1023"/>
      <c r="H956" s="899"/>
      <c r="I956" s="904"/>
      <c r="J956" s="913"/>
      <c r="K956" s="913"/>
      <c r="L956" s="913"/>
      <c r="M956" s="1024"/>
      <c r="N956" s="1024"/>
      <c r="O956" s="1022"/>
      <c r="P956" s="904"/>
      <c r="Q956" s="904"/>
      <c r="R956" s="886"/>
      <c r="S956" s="828"/>
      <c r="T956" s="829"/>
      <c r="U956" s="848"/>
      <c r="V956" s="906"/>
      <c r="W956" s="1025"/>
      <c r="X956" s="848"/>
      <c r="Y956" s="1024"/>
      <c r="Z956" s="1026"/>
      <c r="AA956" s="673"/>
      <c r="AB956" s="910"/>
      <c r="AC956" s="1135"/>
      <c r="AD956" s="912"/>
      <c r="AE956" s="913"/>
      <c r="AF956" s="913"/>
      <c r="AG956" s="899"/>
      <c r="AH956" s="833"/>
      <c r="AI956" s="904"/>
      <c r="AJ956" s="913"/>
      <c r="AK956" s="920"/>
      <c r="AL956" s="920"/>
      <c r="AM956" s="920"/>
      <c r="AN956" s="920"/>
      <c r="AO956" s="673"/>
      <c r="AP956" s="920"/>
      <c r="AQ956" s="834"/>
      <c r="AR956" s="834"/>
      <c r="AS956" s="834"/>
      <c r="AT956" s="673"/>
      <c r="AX956" s="673"/>
      <c r="AY956" s="673"/>
      <c r="AZ956" s="673"/>
      <c r="BA956" s="673"/>
      <c r="BB956" s="673"/>
      <c r="BC956" s="673"/>
      <c r="BD956" s="673"/>
      <c r="BE956" s="673"/>
      <c r="BF956" s="673"/>
      <c r="BG956" s="673"/>
      <c r="BH956" s="673"/>
      <c r="BI956" s="920"/>
    </row>
    <row r="957" s="672" customFormat="1" ht="31" customHeight="1" spans="1:108">
      <c r="A957" s="897"/>
      <c r="B957" s="1022"/>
      <c r="C957" s="913"/>
      <c r="D957" s="673"/>
      <c r="E957" s="913"/>
      <c r="F957" s="673"/>
      <c r="G957" s="1023"/>
      <c r="H957" s="899"/>
      <c r="I957" s="904"/>
      <c r="J957" s="913"/>
      <c r="K957" s="913"/>
      <c r="L957" s="913"/>
      <c r="M957" s="1024"/>
      <c r="N957" s="1024"/>
      <c r="O957" s="1022"/>
      <c r="P957" s="904"/>
      <c r="Q957" s="904"/>
      <c r="R957" s="886"/>
      <c r="S957" s="828"/>
      <c r="T957" s="829"/>
      <c r="U957" s="848"/>
      <c r="V957" s="906"/>
      <c r="W957" s="1025"/>
      <c r="X957" s="1025"/>
      <c r="Y957" s="1024"/>
      <c r="Z957" s="1026"/>
      <c r="AA957" s="673"/>
      <c r="AB957" s="910"/>
      <c r="AC957" s="1135"/>
      <c r="AD957" s="912"/>
      <c r="AE957" s="913"/>
      <c r="AF957" s="913"/>
      <c r="AG957" s="899"/>
      <c r="AH957" s="708"/>
      <c r="AI957" s="904"/>
      <c r="AJ957" s="913"/>
      <c r="AK957" s="920"/>
      <c r="AL957" s="920"/>
      <c r="AM957" s="920"/>
      <c r="AN957" s="920"/>
      <c r="AO957" s="673"/>
      <c r="AP957" s="920"/>
      <c r="AQ957" s="834"/>
      <c r="AR957" s="834"/>
      <c r="AS957" s="834"/>
      <c r="AT957" s="673"/>
      <c r="AX957" s="673"/>
      <c r="AY957" s="673"/>
      <c r="AZ957" s="673"/>
      <c r="BA957" s="673"/>
      <c r="BB957" s="673"/>
      <c r="BC957" s="673"/>
      <c r="BD957" s="673"/>
      <c r="BE957" s="673"/>
      <c r="BF957" s="673"/>
      <c r="BG957" s="673"/>
      <c r="BH957" s="673"/>
      <c r="BI957" s="920"/>
    </row>
    <row r="958" s="672" customFormat="1" ht="31" customHeight="1" spans="1:108">
      <c r="A958" s="897"/>
      <c r="B958" s="1022"/>
      <c r="C958" s="913"/>
      <c r="D958" s="673"/>
      <c r="E958" s="913"/>
      <c r="F958" s="673"/>
      <c r="G958" s="1023"/>
      <c r="H958" s="899"/>
      <c r="I958" s="904"/>
      <c r="J958" s="913"/>
      <c r="K958" s="913"/>
      <c r="L958" s="913"/>
      <c r="M958" s="1024"/>
      <c r="N958" s="1024"/>
      <c r="O958" s="1022"/>
      <c r="P958" s="904"/>
      <c r="Q958" s="904"/>
      <c r="R958" s="886"/>
      <c r="S958" s="828"/>
      <c r="T958" s="829"/>
      <c r="U958" s="848"/>
      <c r="V958" s="906"/>
      <c r="W958" s="1025"/>
      <c r="X958" s="1025"/>
      <c r="Y958" s="1024"/>
      <c r="Z958" s="1026"/>
      <c r="AA958" s="673"/>
      <c r="AB958" s="910"/>
      <c r="AC958" s="1135"/>
      <c r="AD958" s="912"/>
      <c r="AE958" s="913"/>
      <c r="AF958" s="913"/>
      <c r="AG958" s="899"/>
      <c r="AH958" s="708"/>
      <c r="AI958" s="904"/>
      <c r="AJ958" s="913"/>
      <c r="AK958" s="920"/>
      <c r="AL958" s="920"/>
      <c r="AM958" s="920"/>
      <c r="AN958" s="920"/>
      <c r="AO958" s="673"/>
      <c r="AP958" s="920"/>
      <c r="AQ958" s="834"/>
      <c r="AR958" s="834"/>
      <c r="AS958" s="834"/>
      <c r="AT958" s="673"/>
      <c r="AX958" s="673"/>
      <c r="AY958" s="673"/>
      <c r="AZ958" s="673"/>
      <c r="BA958" s="673"/>
      <c r="BB958" s="673"/>
      <c r="BC958" s="673"/>
      <c r="BD958" s="673"/>
      <c r="BE958" s="673"/>
      <c r="BF958" s="673"/>
      <c r="BG958" s="673"/>
      <c r="BH958" s="673"/>
      <c r="BI958" s="920"/>
    </row>
    <row r="959" s="670" customFormat="1" ht="31" customHeight="1" spans="1:108">
      <c r="A959" s="951"/>
      <c r="B959" s="952"/>
      <c r="C959" s="953"/>
      <c r="D959" s="669"/>
      <c r="E959" s="953"/>
      <c r="F959" s="669"/>
      <c r="G959" s="955"/>
      <c r="H959" s="956"/>
      <c r="I959" s="957"/>
      <c r="J959" s="953"/>
      <c r="K959" s="953"/>
      <c r="L959" s="953"/>
      <c r="M959" s="958"/>
      <c r="N959" s="958"/>
      <c r="O959" s="952"/>
      <c r="P959" s="957"/>
      <c r="Q959" s="957"/>
      <c r="R959" s="1112"/>
      <c r="S959" s="961"/>
      <c r="T959" s="961"/>
      <c r="U959" s="961"/>
      <c r="V959" s="960"/>
      <c r="W959" s="961"/>
      <c r="X959" s="961"/>
      <c r="Y959" s="958"/>
      <c r="Z959" s="962"/>
      <c r="AA959" s="669"/>
      <c r="AB959" s="831"/>
      <c r="AC959" s="1078"/>
      <c r="AD959" s="953"/>
      <c r="AE959" s="953"/>
      <c r="AF959" s="953"/>
      <c r="AG959" s="956"/>
      <c r="AH959" s="956"/>
      <c r="AI959" s="957"/>
      <c r="AJ959" s="953"/>
      <c r="AK959" s="669"/>
      <c r="AL959" s="669"/>
      <c r="AM959" s="669"/>
      <c r="AN959" s="669"/>
      <c r="AO959" s="669"/>
      <c r="AP959" s="669"/>
      <c r="AQ959" s="669"/>
      <c r="AR959" s="669"/>
      <c r="AS959" s="669"/>
      <c r="AT959" s="669"/>
      <c r="AU959" s="670"/>
      <c r="AX959" s="669"/>
      <c r="AY959" s="669"/>
      <c r="AZ959" s="669"/>
      <c r="BA959" s="669"/>
      <c r="BB959" s="669"/>
      <c r="BC959" s="669"/>
      <c r="BD959" s="669"/>
      <c r="BE959" s="669"/>
      <c r="BF959" s="669"/>
      <c r="BG959" s="669"/>
      <c r="BH959" s="669"/>
      <c r="BI959" s="669"/>
    </row>
    <row r="960" s="670" customFormat="1" ht="31" customHeight="1" spans="1:108">
      <c r="A960" s="951"/>
      <c r="B960" s="952"/>
      <c r="C960" s="953"/>
      <c r="D960" s="669"/>
      <c r="E960" s="953"/>
      <c r="F960" s="669"/>
      <c r="G960" s="955"/>
      <c r="H960" s="956"/>
      <c r="I960" s="957"/>
      <c r="J960" s="953"/>
      <c r="K960" s="953"/>
      <c r="L960" s="953"/>
      <c r="M960" s="958"/>
      <c r="N960" s="958"/>
      <c r="O960" s="952"/>
      <c r="P960" s="957"/>
      <c r="Q960" s="957"/>
      <c r="R960" s="1112"/>
      <c r="S960" s="961"/>
      <c r="T960" s="961"/>
      <c r="U960" s="961"/>
      <c r="V960" s="960"/>
      <c r="W960" s="961"/>
      <c r="X960" s="961"/>
      <c r="Y960" s="958"/>
      <c r="Z960" s="962"/>
      <c r="AA960" s="669"/>
      <c r="AB960" s="831"/>
      <c r="AC960" s="1078"/>
      <c r="AD960" s="953"/>
      <c r="AE960" s="953"/>
      <c r="AF960" s="953"/>
      <c r="AG960" s="956"/>
      <c r="AH960" s="956"/>
      <c r="AI960" s="957"/>
      <c r="AJ960" s="953"/>
      <c r="AK960" s="669"/>
      <c r="AL960" s="669"/>
      <c r="AM960" s="669"/>
      <c r="AN960" s="669"/>
      <c r="AO960" s="669"/>
      <c r="AP960" s="669"/>
      <c r="AQ960" s="669"/>
      <c r="AR960" s="669"/>
      <c r="AS960" s="669"/>
      <c r="AT960" s="669"/>
      <c r="AU960" s="670"/>
      <c r="AX960" s="669"/>
      <c r="AY960" s="669"/>
      <c r="AZ960" s="669"/>
      <c r="BA960" s="669"/>
      <c r="BB960" s="669"/>
      <c r="BC960" s="669"/>
      <c r="BD960" s="669"/>
      <c r="BE960" s="669"/>
      <c r="BF960" s="669"/>
      <c r="BG960" s="669"/>
      <c r="BH960" s="669"/>
      <c r="BI960" s="669"/>
    </row>
    <row r="961" s="649" customFormat="1" spans="1:96">
      <c r="A961" s="1140"/>
      <c r="B961" s="1141"/>
      <c r="C961" s="767"/>
      <c r="D961" s="724"/>
      <c r="E961" s="767"/>
      <c r="F961" s="767"/>
      <c r="G961" s="818"/>
      <c r="H961" s="767"/>
      <c r="I961" s="1142"/>
      <c r="J961" s="767"/>
      <c r="K961" s="767"/>
      <c r="L961" s="1143"/>
      <c r="M961" s="818"/>
      <c r="N961" s="818"/>
      <c r="O961" s="1142"/>
      <c r="P961" s="1142"/>
      <c r="Q961" s="767"/>
      <c r="R961" s="1144"/>
      <c r="S961" s="1144"/>
      <c r="T961" s="1144"/>
      <c r="U961" s="1144"/>
      <c r="V961" s="1144"/>
      <c r="W961" s="1144"/>
      <c r="X961" s="724"/>
      <c r="Y961" s="818"/>
      <c r="Z961" s="1145"/>
      <c r="AA961" s="1146"/>
      <c r="AB961" s="1147"/>
      <c r="AC961" s="767"/>
      <c r="AD961" s="767"/>
      <c r="AE961" s="724"/>
      <c r="AF961" s="724"/>
      <c r="AG961" s="724"/>
      <c r="AH961" s="724"/>
      <c r="AI961" s="724"/>
      <c r="AJ961" s="767"/>
      <c r="AK961" s="724"/>
      <c r="AL961" s="724"/>
      <c r="AM961" s="724"/>
      <c r="AN961" s="724"/>
      <c r="AO961" s="1148"/>
      <c r="AP961" s="1148"/>
      <c r="AQ961" s="724"/>
      <c r="AR961" s="724"/>
      <c r="AS961" s="724"/>
      <c r="AT961" s="724"/>
      <c r="AU961" s="724"/>
      <c r="AV961" s="724"/>
      <c r="AW961" s="724"/>
      <c r="AX961" s="724"/>
      <c r="AY961" s="724"/>
      <c r="AZ961" s="724"/>
      <c r="BA961" s="724"/>
      <c r="BB961" s="724"/>
      <c r="BC961" s="724"/>
      <c r="BD961" s="724"/>
      <c r="BE961" s="724"/>
      <c r="BF961" s="724"/>
      <c r="BG961" s="724"/>
      <c r="BH961" s="724"/>
      <c r="BI961" s="724"/>
      <c r="BJ961" s="724"/>
      <c r="BK961" s="724"/>
      <c r="BL961" s="724"/>
      <c r="BM961" s="724"/>
      <c r="BN961" s="724"/>
      <c r="BO961" s="724"/>
      <c r="BP961" s="724"/>
      <c r="BQ961" s="724"/>
      <c r="BR961" s="724"/>
      <c r="BS961" s="724"/>
      <c r="BT961" s="724"/>
      <c r="BU961" s="724"/>
      <c r="BV961" s="724"/>
      <c r="BW961" s="724"/>
      <c r="BX961" s="724"/>
      <c r="BY961" s="724"/>
      <c r="BZ961" s="724"/>
      <c r="CA961" s="724"/>
      <c r="CB961" s="724"/>
      <c r="CC961" s="724"/>
      <c r="CD961" s="724"/>
      <c r="CE961" s="1149"/>
      <c r="CF961" s="1149"/>
      <c r="CG961" s="1149"/>
      <c r="CH961" s="1149"/>
      <c r="CI961" s="1149"/>
      <c r="CJ961" s="724"/>
      <c r="CK961" s="724"/>
      <c r="CL961" s="724"/>
      <c r="CM961" s="1149"/>
      <c r="CN961" s="1149"/>
      <c r="CO961" s="1149"/>
      <c r="CP961" s="1149"/>
      <c r="CQ961" s="1149"/>
      <c r="CR961" s="1149"/>
    </row>
    <row r="962" s="649" customFormat="1" spans="1:96">
      <c r="A962" s="680"/>
      <c r="E962" s="681"/>
      <c r="G962" s="887"/>
      <c r="I962" s="1150"/>
      <c r="O962" s="681"/>
      <c r="Z962" s="683"/>
      <c r="AA962" s="684"/>
      <c r="AB962" s="1151"/>
      <c r="AC962" s="685"/>
      <c r="AD962" s="650"/>
      <c r="AE962" s="887"/>
      <c r="AG962" s="686"/>
      <c r="AH962" s="686"/>
      <c r="AI962" s="687"/>
      <c r="AJ962" s="650"/>
      <c r="AK962" s="887"/>
      <c r="AL962" s="887"/>
      <c r="AM962" s="887"/>
      <c r="AN962" s="887"/>
      <c r="AO962" s="1152"/>
      <c r="AP962" s="1152"/>
      <c r="AQ962" s="887"/>
      <c r="AR962" s="887"/>
      <c r="AS962" s="887"/>
      <c r="AT962" s="887"/>
      <c r="AU962" s="887"/>
      <c r="AV962" s="887"/>
      <c r="AW962" s="887"/>
      <c r="AX962" s="887"/>
      <c r="AY962" s="887"/>
      <c r="AZ962" s="887"/>
      <c r="BA962" s="887"/>
      <c r="BB962" s="887"/>
      <c r="BC962" s="887"/>
      <c r="BD962" s="887"/>
      <c r="BE962" s="887"/>
      <c r="BF962" s="887"/>
      <c r="BG962" s="887"/>
      <c r="BH962" s="887"/>
      <c r="BI962" s="887"/>
      <c r="BJ962" s="887"/>
      <c r="BK962" s="887"/>
      <c r="BL962" s="887"/>
      <c r="BM962" s="887"/>
      <c r="BN962" s="887"/>
      <c r="BO962" s="887"/>
      <c r="BP962" s="887"/>
      <c r="BQ962" s="887"/>
      <c r="BR962" s="887"/>
      <c r="BS962" s="887"/>
      <c r="BT962" s="887"/>
      <c r="BU962" s="887"/>
      <c r="BV962" s="887"/>
      <c r="BW962" s="887"/>
      <c r="BX962" s="887"/>
      <c r="BY962" s="887"/>
      <c r="BZ962" s="887"/>
      <c r="CA962" s="887"/>
      <c r="CB962" s="887"/>
      <c r="CC962" s="887"/>
      <c r="CD962" s="887"/>
      <c r="CE962" s="1153"/>
      <c r="CF962" s="1153"/>
      <c r="CG962" s="1153"/>
      <c r="CH962" s="1153"/>
      <c r="CI962" s="1153"/>
      <c r="CJ962" s="887"/>
      <c r="CK962" s="887"/>
      <c r="CL962" s="887"/>
      <c r="CM962" s="1153"/>
      <c r="CN962" s="1153"/>
      <c r="CO962" s="1153"/>
      <c r="CP962" s="1153"/>
      <c r="CQ962" s="1153"/>
      <c r="CR962" s="689"/>
    </row>
    <row r="963" s="659" customFormat="1" spans="1:96">
      <c r="A963" s="680"/>
      <c r="B963" s="649"/>
      <c r="C963" s="649"/>
      <c r="D963" s="649"/>
      <c r="E963" s="681"/>
      <c r="F963" s="649"/>
      <c r="G963" s="1154" t="s">
        <v>3942</v>
      </c>
      <c r="H963" s="649"/>
      <c r="I963" s="1155">
        <f>SUM(I5:I962)</f>
        <v>4417014</v>
      </c>
      <c r="J963" s="649"/>
      <c r="K963" s="649"/>
      <c r="L963" s="649"/>
      <c r="M963" s="649"/>
      <c r="N963" s="649"/>
      <c r="O963" s="681"/>
      <c r="P963" s="649"/>
      <c r="Q963" s="649"/>
      <c r="R963" s="649"/>
      <c r="S963" s="649"/>
      <c r="T963" s="649"/>
      <c r="U963" s="649"/>
      <c r="V963" s="649"/>
      <c r="W963" s="649"/>
      <c r="X963" s="649"/>
      <c r="Y963" s="649"/>
      <c r="Z963" s="683"/>
      <c r="AA963" s="684"/>
      <c r="AB963" s="1151"/>
      <c r="AC963" s="685"/>
      <c r="AD963" s="650"/>
      <c r="AE963" s="1154">
        <f>SUM(AE5:AE962)</f>
        <v>4405954</v>
      </c>
      <c r="AF963" s="649"/>
      <c r="AG963" s="686"/>
      <c r="AH963" s="686"/>
      <c r="AI963" s="687"/>
      <c r="AJ963" s="650"/>
      <c r="AK963" s="1154">
        <f t="shared" ref="AK963:AU963" si="212">SUM(AK5:AK962)</f>
        <v>3151982</v>
      </c>
      <c r="AL963" s="1154">
        <f t="shared" si="212"/>
        <v>630690</v>
      </c>
      <c r="AM963" s="1154">
        <f t="shared" si="212"/>
        <v>111800</v>
      </c>
      <c r="AN963" s="1154">
        <f t="shared" si="212"/>
        <v>3710860</v>
      </c>
      <c r="AO963" s="1156">
        <f t="shared" si="212"/>
        <v>10440</v>
      </c>
      <c r="AP963" s="1156">
        <f t="shared" si="212"/>
        <v>253364</v>
      </c>
      <c r="AQ963" s="1154">
        <f t="shared" si="212"/>
        <v>415680</v>
      </c>
      <c r="AR963" s="1154">
        <f t="shared" si="212"/>
        <v>415680</v>
      </c>
      <c r="AS963" s="1154">
        <f t="shared" si="212"/>
        <v>69280</v>
      </c>
      <c r="AT963" s="1154">
        <f t="shared" si="212"/>
        <v>322183</v>
      </c>
      <c r="AU963" s="1154">
        <f t="shared" si="212"/>
        <v>71958</v>
      </c>
      <c r="AV963" s="1154"/>
      <c r="AW963" s="1154"/>
      <c r="AX963" s="1154">
        <f>SUM(AX5:AX962)</f>
        <v>15173</v>
      </c>
      <c r="AY963" s="1154"/>
      <c r="AZ963" s="1154"/>
      <c r="BA963" s="1154">
        <f>SUM(BA5:BA962)</f>
        <v>2846</v>
      </c>
      <c r="BB963" s="1154"/>
      <c r="BC963" s="1154">
        <f t="shared" ref="BC963:CD963" si="213">SUM(BC5:BC962)</f>
        <v>0</v>
      </c>
      <c r="BD963" s="1154">
        <f t="shared" si="213"/>
        <v>490</v>
      </c>
      <c r="BE963" s="1154">
        <f t="shared" si="213"/>
        <v>353</v>
      </c>
      <c r="BF963" s="1154">
        <f t="shared" si="213"/>
        <v>2000</v>
      </c>
      <c r="BG963" s="1154">
        <f t="shared" si="213"/>
        <v>2000</v>
      </c>
      <c r="BH963" s="1154">
        <f t="shared" si="213"/>
        <v>1860</v>
      </c>
      <c r="BI963" s="1154">
        <f t="shared" si="213"/>
        <v>169216</v>
      </c>
      <c r="BJ963" s="1154">
        <f t="shared" si="213"/>
        <v>0</v>
      </c>
      <c r="BK963" s="1154">
        <f t="shared" si="213"/>
        <v>0</v>
      </c>
      <c r="BL963" s="1154">
        <f t="shared" si="213"/>
        <v>0</v>
      </c>
      <c r="BM963" s="1154">
        <f t="shared" si="213"/>
        <v>0</v>
      </c>
      <c r="BN963" s="1154">
        <f t="shared" si="213"/>
        <v>0</v>
      </c>
      <c r="BO963" s="1154">
        <f t="shared" si="213"/>
        <v>0</v>
      </c>
      <c r="BP963" s="1154">
        <f t="shared" si="213"/>
        <v>0</v>
      </c>
      <c r="BQ963" s="1154">
        <f t="shared" si="213"/>
        <v>0</v>
      </c>
      <c r="BR963" s="1154">
        <f t="shared" si="213"/>
        <v>0</v>
      </c>
      <c r="BS963" s="1154">
        <f t="shared" si="213"/>
        <v>0</v>
      </c>
      <c r="BT963" s="1154">
        <f t="shared" si="213"/>
        <v>0</v>
      </c>
      <c r="BU963" s="1154">
        <f t="shared" si="213"/>
        <v>0</v>
      </c>
      <c r="BV963" s="1154">
        <f t="shared" si="213"/>
        <v>0</v>
      </c>
      <c r="BW963" s="1154">
        <f t="shared" si="213"/>
        <v>0</v>
      </c>
      <c r="BX963" s="1154">
        <f t="shared" si="213"/>
        <v>0</v>
      </c>
      <c r="BY963" s="1154">
        <f t="shared" si="213"/>
        <v>0</v>
      </c>
      <c r="BZ963" s="1154">
        <f t="shared" si="213"/>
        <v>0</v>
      </c>
      <c r="CA963" s="1154">
        <f t="shared" si="213"/>
        <v>0</v>
      </c>
      <c r="CB963" s="1154">
        <f t="shared" si="213"/>
        <v>0</v>
      </c>
      <c r="CC963" s="1154">
        <f t="shared" si="213"/>
        <v>0</v>
      </c>
      <c r="CD963" s="1154">
        <f t="shared" si="213"/>
        <v>0</v>
      </c>
      <c r="CE963" s="1157"/>
      <c r="CF963" s="1157"/>
      <c r="CG963" s="1157"/>
      <c r="CH963" s="1157">
        <f>SUM(CH5:CH962)</f>
        <v>0</v>
      </c>
      <c r="CI963" s="1157">
        <f>SUM(CI5:CI962)</f>
        <v>0</v>
      </c>
      <c r="CJ963" s="1154">
        <f>SUM(CJ5:CJ962)</f>
        <v>0</v>
      </c>
      <c r="CK963" s="1154"/>
      <c r="CL963" s="1154">
        <f>SUM(CL5:CL962)</f>
        <v>0</v>
      </c>
      <c r="CM963" s="1157"/>
      <c r="CN963" s="1157">
        <f>SUM(CN5:CN962)</f>
        <v>0</v>
      </c>
      <c r="CO963" s="1157">
        <f>SUM(CO5:CO962)</f>
        <v>0</v>
      </c>
      <c r="CP963" s="1157">
        <f>SUM(CP5:CP962)</f>
        <v>0</v>
      </c>
      <c r="CQ963" s="1157">
        <f>SUM(CQ5:CQ962)</f>
        <v>0</v>
      </c>
      <c r="CR963" s="689"/>
    </row>
    <row r="964" s="649" customFormat="1" spans="1:96">
      <c r="A964" s="1158"/>
      <c r="B964" s="659"/>
      <c r="C964" s="659"/>
      <c r="D964" s="659"/>
      <c r="E964" s="1159"/>
      <c r="F964" s="659"/>
      <c r="G964" s="659"/>
      <c r="H964" s="659"/>
      <c r="I964" s="1160"/>
      <c r="J964" s="659"/>
      <c r="K964" s="659"/>
      <c r="L964" s="659"/>
      <c r="M964" s="659"/>
      <c r="N964" s="659"/>
      <c r="O964" s="1159"/>
      <c r="P964" s="659"/>
      <c r="Q964" s="659"/>
      <c r="R964" s="659"/>
      <c r="S964" s="659"/>
      <c r="T964" s="659"/>
      <c r="U964" s="659"/>
      <c r="V964" s="659"/>
      <c r="W964" s="659"/>
      <c r="X964" s="1159"/>
      <c r="Y964" s="659"/>
      <c r="Z964" s="1161"/>
      <c r="AA964" s="1162"/>
      <c r="AB964" s="1163"/>
      <c r="AC964" s="1159"/>
      <c r="AD964" s="659"/>
      <c r="AE964" s="659"/>
      <c r="AF964" s="659"/>
      <c r="AG964" s="1160"/>
      <c r="AH964" s="1160"/>
      <c r="AI964" s="1164"/>
      <c r="AJ964" s="659"/>
      <c r="AK964" s="659"/>
      <c r="AL964" s="659"/>
      <c r="AM964" s="659"/>
      <c r="AN964" s="659"/>
      <c r="AO964" s="1165"/>
      <c r="AP964" s="1165"/>
      <c r="AQ964" s="659"/>
      <c r="AR964" s="659"/>
      <c r="AS964" s="659"/>
      <c r="AT964" s="659"/>
      <c r="AU964" s="659"/>
      <c r="AV964" s="659"/>
      <c r="AW964" s="659"/>
      <c r="AX964" s="659"/>
      <c r="AY964" s="659"/>
      <c r="AZ964" s="659"/>
      <c r="BA964" s="659"/>
      <c r="BB964" s="659"/>
      <c r="BC964" s="659"/>
      <c r="BD964" s="659"/>
      <c r="BE964" s="659"/>
      <c r="BF964" s="659"/>
      <c r="BG964" s="659"/>
      <c r="BH964" s="659"/>
      <c r="BI964" s="659"/>
      <c r="BJ964" s="659"/>
      <c r="BK964" s="659"/>
      <c r="BL964" s="659"/>
      <c r="BM964" s="659"/>
      <c r="BN964" s="659"/>
      <c r="BO964" s="659"/>
      <c r="BP964" s="659"/>
      <c r="BQ964" s="659"/>
      <c r="BR964" s="659"/>
      <c r="BS964" s="659"/>
      <c r="BT964" s="659"/>
      <c r="BU964" s="659"/>
      <c r="BV964" s="659"/>
      <c r="BW964" s="659"/>
      <c r="BX964" s="659"/>
      <c r="BY964" s="659"/>
      <c r="BZ964" s="659"/>
      <c r="CA964" s="659"/>
      <c r="CB964" s="659"/>
      <c r="CC964" s="659"/>
      <c r="CD964" s="659"/>
      <c r="CE964" s="1166"/>
      <c r="CF964" s="1166"/>
      <c r="CG964" s="1166"/>
      <c r="CH964" s="1166"/>
      <c r="CI964" s="1166"/>
      <c r="CJ964" s="659"/>
      <c r="CK964" s="659"/>
      <c r="CL964" s="659"/>
      <c r="CM964" s="1166"/>
      <c r="CN964" s="1166"/>
      <c r="CO964" s="1166"/>
      <c r="CP964" s="1166"/>
      <c r="CQ964" s="1166"/>
      <c r="CR964" s="1166"/>
    </row>
    <row r="965" s="649" customFormat="1" spans="1:96">
      <c r="A965" s="680"/>
      <c r="E965" s="1159"/>
      <c r="I965" s="682"/>
      <c r="M965" s="687"/>
      <c r="N965" s="1167"/>
      <c r="O965" s="681"/>
      <c r="S965" s="659"/>
      <c r="T965" s="659"/>
      <c r="U965" s="659"/>
      <c r="Z965" s="683"/>
      <c r="AA965" s="684"/>
      <c r="AB965" s="1151"/>
      <c r="AC965" s="685"/>
      <c r="AD965" s="650"/>
      <c r="AE965" s="649"/>
      <c r="AG965" s="686"/>
      <c r="AH965" s="686"/>
      <c r="AJ965" s="650"/>
      <c r="AK965" s="649"/>
      <c r="AO965" s="688"/>
      <c r="AP965" s="688"/>
      <c r="CE965" s="689"/>
      <c r="CF965" s="689"/>
      <c r="CG965" s="689"/>
      <c r="CH965" s="689"/>
      <c r="CI965" s="689"/>
      <c r="CM965" s="689"/>
      <c r="CN965" s="689"/>
      <c r="CO965" s="689"/>
      <c r="CP965" s="689"/>
      <c r="CQ965" s="689"/>
      <c r="CR965" s="689"/>
    </row>
    <row r="966" s="649" customFormat="1" ht="11" customHeight="1" spans="1:96">
      <c r="A966" s="680"/>
      <c r="E966" s="681"/>
      <c r="I966" s="682"/>
      <c r="O966" s="681"/>
      <c r="Z966" s="683"/>
      <c r="AA966" s="684"/>
      <c r="AB966" s="1151"/>
      <c r="AC966" s="685"/>
      <c r="AD966" s="650"/>
      <c r="AE966" s="1167"/>
      <c r="AI966" s="686"/>
      <c r="AJ966" s="650"/>
      <c r="AK966" s="1167"/>
      <c r="AO966" s="688"/>
      <c r="AP966" s="688"/>
      <c r="CE966" s="689"/>
      <c r="CF966" s="689"/>
      <c r="CG966" s="689"/>
      <c r="CH966" s="689"/>
      <c r="CI966" s="689"/>
      <c r="CM966" s="689"/>
      <c r="CN966" s="689"/>
      <c r="CO966" s="689"/>
      <c r="CP966" s="689"/>
      <c r="CQ966" s="689"/>
      <c r="CR966" s="689"/>
    </row>
    <row r="967" s="649" customFormat="1" spans="1:96">
      <c r="A967" s="680"/>
      <c r="E967" s="681"/>
      <c r="I967" s="682"/>
      <c r="O967" s="681"/>
      <c r="Z967" s="683"/>
      <c r="AA967" s="684"/>
      <c r="AB967" s="1151"/>
      <c r="AC967" s="685"/>
      <c r="AD967" s="650"/>
      <c r="AE967" s="1167"/>
      <c r="AI967" s="686"/>
      <c r="AJ967" s="650"/>
      <c r="AK967" s="1167"/>
      <c r="AO967" s="688"/>
      <c r="AP967" s="688"/>
      <c r="CE967" s="689"/>
      <c r="CF967" s="689"/>
      <c r="CG967" s="689"/>
      <c r="CH967" s="689"/>
      <c r="CI967" s="689"/>
      <c r="CM967" s="689"/>
      <c r="CN967" s="689"/>
      <c r="CO967" s="689"/>
      <c r="CP967" s="689"/>
      <c r="CQ967" s="689"/>
      <c r="CR967" s="689"/>
    </row>
    <row r="968" s="649" customFormat="1" spans="1:96">
      <c r="A968" s="680"/>
      <c r="E968" s="681"/>
      <c r="I968" s="682"/>
      <c r="O968" s="681"/>
      <c r="Z968" s="683"/>
      <c r="AA968" s="684"/>
      <c r="AB968" s="1151"/>
      <c r="AC968" s="685"/>
      <c r="AD968" s="650"/>
      <c r="AE968" s="1167"/>
      <c r="AI968" s="686"/>
      <c r="AJ968" s="650"/>
      <c r="AK968" s="1167"/>
      <c r="AO968" s="688"/>
      <c r="AP968" s="688"/>
      <c r="CE968" s="689"/>
      <c r="CF968" s="689"/>
      <c r="CG968" s="689"/>
      <c r="CH968" s="689"/>
      <c r="CI968" s="689"/>
      <c r="CM968" s="689"/>
      <c r="CN968" s="689"/>
      <c r="CO968" s="689"/>
      <c r="CP968" s="689"/>
      <c r="CQ968" s="689"/>
      <c r="CR968" s="689"/>
    </row>
    <row r="969" s="649" customFormat="1" spans="1:96">
      <c r="A969" s="680"/>
      <c r="E969" s="681"/>
      <c r="I969" s="682"/>
      <c r="O969" s="681"/>
      <c r="Z969" s="683"/>
      <c r="AA969" s="684"/>
      <c r="AB969" s="1151"/>
      <c r="AC969" s="685"/>
      <c r="AD969" s="650"/>
      <c r="AG969" s="686"/>
      <c r="AH969" s="686"/>
      <c r="AI969" s="687"/>
      <c r="AJ969" s="650"/>
      <c r="AO969" s="688"/>
      <c r="AP969" s="688"/>
      <c r="CE969" s="689"/>
      <c r="CF969" s="689"/>
      <c r="CG969" s="689"/>
      <c r="CH969" s="689"/>
      <c r="CI969" s="689"/>
      <c r="CM969" s="689"/>
      <c r="CN969" s="689"/>
      <c r="CO969" s="689"/>
      <c r="CP969" s="689"/>
      <c r="CQ969" s="689"/>
      <c r="CR969" s="689"/>
    </row>
    <row r="970" s="649" customFormat="1" ht="4" customHeight="1" spans="1:96">
      <c r="A970" s="680"/>
      <c r="E970" s="681"/>
      <c r="I970" s="682"/>
      <c r="O970" s="681"/>
      <c r="P970" s="649"/>
      <c r="Q970" s="649"/>
      <c r="Z970" s="683"/>
      <c r="AA970" s="684"/>
      <c r="AB970" s="1151"/>
      <c r="AC970" s="685"/>
      <c r="AD970" s="650"/>
      <c r="AG970" s="686"/>
      <c r="AH970" s="686"/>
      <c r="AI970" s="687"/>
      <c r="AJ970" s="650"/>
      <c r="AO970" s="688"/>
      <c r="AP970" s="688"/>
      <c r="CE970" s="689"/>
      <c r="CF970" s="689"/>
      <c r="CG970" s="689"/>
      <c r="CH970" s="689"/>
      <c r="CI970" s="689"/>
      <c r="CM970" s="689"/>
      <c r="CN970" s="689"/>
      <c r="CO970" s="689"/>
      <c r="CP970" s="689"/>
      <c r="CQ970" s="689"/>
      <c r="CR970" s="689"/>
    </row>
    <row r="971" s="649" customFormat="1" spans="1:96">
      <c r="A971" s="680"/>
      <c r="E971" s="681"/>
      <c r="I971" s="682"/>
      <c r="L971" s="683"/>
      <c r="M971" s="684"/>
      <c r="N971" s="650"/>
      <c r="O971" s="685"/>
      <c r="P971" s="650"/>
      <c r="Q971" s="650"/>
      <c r="S971" s="686"/>
      <c r="T971" s="686"/>
      <c r="U971" s="686"/>
      <c r="AB971" s="1163"/>
      <c r="AC971" s="681"/>
      <c r="AI971" s="687"/>
      <c r="AO971" s="688"/>
      <c r="AP971" s="688"/>
      <c r="CE971" s="689"/>
      <c r="CF971" s="689"/>
      <c r="CG971" s="689"/>
      <c r="CH971" s="689"/>
      <c r="CI971" s="689"/>
      <c r="CM971" s="689"/>
      <c r="CN971" s="689"/>
      <c r="CO971" s="689"/>
      <c r="CP971" s="689"/>
      <c r="CQ971" s="689"/>
      <c r="CR971" s="689"/>
    </row>
    <row r="972" s="649" customFormat="1" spans="1:96">
      <c r="A972" s="680"/>
      <c r="B972" s="649"/>
      <c r="C972" s="649"/>
      <c r="D972" s="649"/>
      <c r="E972" s="681"/>
      <c r="F972" s="649"/>
      <c r="G972" s="649"/>
      <c r="H972" s="649"/>
      <c r="I972" s="682"/>
      <c r="J972" s="649"/>
      <c r="K972" s="649"/>
      <c r="L972" s="683"/>
      <c r="M972" s="684"/>
      <c r="N972" s="650"/>
      <c r="O972" s="685"/>
      <c r="P972" s="650"/>
      <c r="Q972" s="650"/>
      <c r="R972" s="649"/>
      <c r="S972" s="686"/>
      <c r="T972" s="686"/>
      <c r="U972" s="686"/>
      <c r="V972" s="649"/>
      <c r="W972" s="649"/>
      <c r="X972" s="649"/>
      <c r="Y972" s="649"/>
      <c r="Z972" s="649"/>
      <c r="AA972" s="649"/>
      <c r="AB972" s="1163"/>
      <c r="AC972" s="681"/>
      <c r="AD972" s="649"/>
      <c r="AE972" s="649"/>
      <c r="AI972" s="687"/>
      <c r="AJ972" s="649"/>
      <c r="AK972" s="649"/>
      <c r="AL972" s="649"/>
      <c r="AM972" s="649"/>
      <c r="AN972" s="649"/>
      <c r="AO972" s="688"/>
      <c r="AP972" s="688"/>
      <c r="AQ972" s="649"/>
      <c r="AR972" s="649"/>
      <c r="AS972" s="649"/>
      <c r="AT972" s="649"/>
      <c r="AU972" s="649"/>
      <c r="CE972" s="689"/>
      <c r="CF972" s="689"/>
      <c r="CG972" s="689"/>
      <c r="CH972" s="689"/>
      <c r="CI972" s="689"/>
      <c r="CJ972" s="649"/>
      <c r="CK972" s="649"/>
      <c r="CL972" s="649"/>
      <c r="CM972" s="689"/>
      <c r="CN972" s="689"/>
      <c r="CO972" s="689"/>
      <c r="CP972" s="689"/>
      <c r="CQ972" s="689"/>
      <c r="CR972" s="689"/>
    </row>
    <row r="973" s="649" customFormat="1" spans="1:96">
      <c r="A973" s="680"/>
      <c r="B973" s="649"/>
      <c r="C973" s="649"/>
      <c r="D973" s="649"/>
      <c r="E973" s="681"/>
      <c r="F973" s="649"/>
      <c r="G973" s="649"/>
      <c r="H973" s="649"/>
      <c r="I973" s="682"/>
      <c r="J973" s="649"/>
      <c r="K973" s="649"/>
      <c r="L973" s="683"/>
      <c r="M973" s="684"/>
      <c r="N973" s="650"/>
      <c r="O973" s="685"/>
      <c r="P973" s="650"/>
      <c r="Q973" s="650"/>
      <c r="R973" s="649"/>
      <c r="S973" s="686"/>
      <c r="T973" s="686"/>
      <c r="U973" s="686"/>
      <c r="V973" s="649"/>
      <c r="W973" s="649"/>
      <c r="X973" s="649"/>
      <c r="Y973" s="649"/>
      <c r="Z973" s="683"/>
      <c r="AA973" s="684"/>
      <c r="AB973" s="1151"/>
      <c r="AC973" s="685"/>
      <c r="AD973" s="650"/>
      <c r="AE973" s="649"/>
      <c r="AG973" s="686"/>
      <c r="AH973" s="686"/>
      <c r="AI973" s="687"/>
      <c r="AJ973" s="650"/>
      <c r="AK973" s="649"/>
      <c r="AL973" s="649"/>
      <c r="AM973" s="649"/>
      <c r="AN973" s="649"/>
      <c r="AO973" s="688"/>
      <c r="AP973" s="688"/>
      <c r="AQ973" s="649"/>
      <c r="AR973" s="649"/>
      <c r="AS973" s="649"/>
      <c r="AT973" s="649"/>
      <c r="AU973" s="649"/>
      <c r="CE973" s="689"/>
      <c r="CF973" s="689"/>
      <c r="CG973" s="689"/>
      <c r="CH973" s="689"/>
      <c r="CI973" s="689"/>
      <c r="CJ973" s="649"/>
      <c r="CK973" s="649"/>
      <c r="CL973" s="649"/>
      <c r="CM973" s="689"/>
      <c r="CN973" s="689"/>
      <c r="CO973" s="689"/>
      <c r="CP973" s="689"/>
      <c r="CQ973" s="689"/>
      <c r="CR973" s="689"/>
    </row>
    <row r="974" s="649" customFormat="1" spans="1:96">
      <c r="A974" s="680"/>
      <c r="B974" s="649"/>
      <c r="C974" s="649"/>
      <c r="D974" s="649"/>
      <c r="E974" s="681"/>
      <c r="F974" s="649"/>
      <c r="G974" s="649"/>
      <c r="H974" s="649"/>
      <c r="I974" s="682"/>
      <c r="J974" s="649"/>
      <c r="K974" s="649"/>
      <c r="L974" s="649"/>
      <c r="M974" s="649"/>
      <c r="N974" s="649"/>
      <c r="O974" s="681"/>
      <c r="P974" s="649"/>
      <c r="Q974" s="650"/>
      <c r="R974" s="649"/>
      <c r="S974" s="649"/>
      <c r="T974" s="649"/>
      <c r="U974" s="649"/>
      <c r="V974" s="649"/>
      <c r="W974" s="649"/>
      <c r="X974" s="681"/>
      <c r="Y974" s="649"/>
      <c r="Z974" s="683"/>
      <c r="AA974" s="684"/>
      <c r="AB974" s="1151"/>
      <c r="AC974" s="685"/>
      <c r="AD974" s="650"/>
      <c r="AE974" s="649"/>
      <c r="AG974" s="686"/>
      <c r="AH974" s="686"/>
      <c r="AI974" s="687"/>
      <c r="AJ974" s="650"/>
      <c r="AK974" s="649"/>
      <c r="AL974" s="649"/>
      <c r="AM974" s="649"/>
      <c r="AN974" s="649"/>
      <c r="AO974" s="688"/>
      <c r="AP974" s="688"/>
      <c r="AQ974" s="649"/>
      <c r="AR974" s="649"/>
      <c r="AS974" s="649"/>
      <c r="AT974" s="649"/>
      <c r="AU974" s="649"/>
      <c r="CE974" s="689"/>
      <c r="CF974" s="689"/>
      <c r="CG974" s="689"/>
      <c r="CH974" s="689"/>
      <c r="CI974" s="689"/>
      <c r="CJ974" s="649"/>
      <c r="CK974" s="649"/>
      <c r="CL974" s="649"/>
      <c r="CM974" s="689"/>
      <c r="CN974" s="689"/>
      <c r="CO974" s="689"/>
      <c r="CP974" s="689"/>
      <c r="CQ974" s="689"/>
      <c r="CR974" s="689"/>
    </row>
    <row r="975" s="649" customFormat="1" spans="1:96">
      <c r="A975" s="680"/>
      <c r="B975" s="649"/>
      <c r="C975" s="649"/>
      <c r="D975" s="649"/>
      <c r="E975" s="681"/>
      <c r="F975" s="649"/>
      <c r="G975" s="649"/>
      <c r="H975" s="649"/>
      <c r="I975" s="682"/>
      <c r="J975" s="649"/>
      <c r="K975" s="649"/>
      <c r="L975" s="649"/>
      <c r="M975" s="649"/>
      <c r="N975" s="649"/>
      <c r="O975" s="681"/>
      <c r="P975" s="649"/>
      <c r="Q975" s="649"/>
      <c r="R975" s="649"/>
      <c r="S975" s="649"/>
      <c r="T975" s="649"/>
      <c r="U975" s="649"/>
      <c r="V975" s="649"/>
      <c r="W975" s="649"/>
      <c r="X975" s="649"/>
      <c r="Y975" s="649"/>
      <c r="Z975" s="683"/>
      <c r="AA975" s="684"/>
      <c r="AB975" s="1151"/>
      <c r="AC975" s="685"/>
      <c r="AD975" s="650"/>
      <c r="AE975" s="649"/>
      <c r="AG975" s="686"/>
      <c r="AH975" s="686"/>
      <c r="AI975" s="687"/>
      <c r="AJ975" s="650"/>
      <c r="AK975" s="649"/>
      <c r="AL975" s="649"/>
      <c r="AM975" s="649"/>
      <c r="AN975" s="649"/>
      <c r="AO975" s="688"/>
      <c r="AP975" s="688"/>
      <c r="AQ975" s="649"/>
      <c r="AR975" s="649"/>
      <c r="AS975" s="649"/>
      <c r="AT975" s="649"/>
      <c r="AU975" s="649"/>
      <c r="CE975" s="689"/>
      <c r="CF975" s="689"/>
      <c r="CG975" s="689"/>
      <c r="CH975" s="689"/>
      <c r="CI975" s="689"/>
      <c r="CJ975" s="649"/>
      <c r="CK975" s="649"/>
      <c r="CL975" s="649"/>
      <c r="CM975" s="689"/>
      <c r="CN975" s="689"/>
      <c r="CO975" s="689"/>
      <c r="CP975" s="689"/>
      <c r="CQ975" s="689"/>
      <c r="CR975" s="689"/>
    </row>
    <row r="976" s="649" customFormat="1" spans="1:96">
      <c r="A976" s="680"/>
      <c r="B976" s="649"/>
      <c r="C976" s="649"/>
      <c r="D976" s="649"/>
      <c r="E976" s="681"/>
      <c r="F976" s="649"/>
      <c r="G976" s="649"/>
      <c r="H976" s="649"/>
      <c r="I976" s="682"/>
      <c r="J976" s="649"/>
      <c r="K976" s="649"/>
      <c r="L976" s="649"/>
      <c r="M976" s="649"/>
      <c r="N976" s="649"/>
      <c r="O976" s="681"/>
      <c r="P976" s="649"/>
      <c r="Q976" s="649"/>
      <c r="R976" s="649"/>
      <c r="S976" s="649"/>
      <c r="T976" s="649"/>
      <c r="U976" s="649"/>
      <c r="V976" s="649"/>
      <c r="W976" s="649"/>
      <c r="X976" s="649"/>
      <c r="Y976" s="649"/>
      <c r="Z976" s="683"/>
      <c r="AA976" s="684"/>
      <c r="AB976" s="1151"/>
      <c r="AC976" s="685"/>
      <c r="AD976" s="650"/>
      <c r="AE976" s="649"/>
      <c r="AG976" s="686"/>
      <c r="AH976" s="686"/>
      <c r="AI976" s="687"/>
      <c r="AJ976" s="650"/>
      <c r="AK976" s="649"/>
      <c r="AL976" s="649"/>
      <c r="AM976" s="649"/>
      <c r="AN976" s="649"/>
      <c r="AO976" s="688"/>
      <c r="AP976" s="688"/>
      <c r="AQ976" s="649"/>
      <c r="AR976" s="649"/>
      <c r="AS976" s="649"/>
      <c r="AT976" s="649"/>
      <c r="AU976" s="649"/>
      <c r="CE976" s="689"/>
      <c r="CF976" s="689"/>
      <c r="CG976" s="689"/>
      <c r="CH976" s="689"/>
      <c r="CI976" s="689"/>
      <c r="CJ976" s="649"/>
      <c r="CK976" s="649"/>
      <c r="CL976" s="649"/>
      <c r="CM976" s="689"/>
      <c r="CN976" s="689"/>
      <c r="CO976" s="689"/>
      <c r="CP976" s="689"/>
      <c r="CQ976" s="689"/>
      <c r="CR976" s="689"/>
    </row>
    <row r="977" s="649" customFormat="1" spans="1:96">
      <c r="A977" s="680"/>
      <c r="B977" s="649"/>
      <c r="C977" s="649"/>
      <c r="D977" s="649"/>
      <c r="E977" s="681"/>
      <c r="F977" s="649"/>
      <c r="G977" s="649"/>
      <c r="H977" s="649"/>
      <c r="I977" s="682"/>
      <c r="J977" s="649"/>
      <c r="K977" s="649"/>
      <c r="L977" s="649"/>
      <c r="M977" s="649"/>
      <c r="N977" s="649"/>
      <c r="O977" s="681"/>
      <c r="P977" s="649"/>
      <c r="Q977" s="649"/>
      <c r="R977" s="649"/>
      <c r="S977" s="649"/>
      <c r="T977" s="649"/>
      <c r="U977" s="649"/>
      <c r="V977" s="649"/>
      <c r="W977" s="649"/>
      <c r="X977" s="649"/>
      <c r="Y977" s="649"/>
      <c r="Z977" s="683"/>
      <c r="AA977" s="684"/>
      <c r="AB977" s="1151"/>
      <c r="AC977" s="685"/>
      <c r="AD977" s="650"/>
      <c r="AE977" s="649"/>
      <c r="AG977" s="686"/>
      <c r="AH977" s="686"/>
      <c r="AI977" s="687"/>
      <c r="AJ977" s="650"/>
      <c r="AK977" s="649"/>
      <c r="AL977" s="649"/>
      <c r="AM977" s="649"/>
      <c r="AN977" s="649"/>
      <c r="AO977" s="688"/>
      <c r="AP977" s="688"/>
      <c r="AQ977" s="649"/>
      <c r="AR977" s="649"/>
      <c r="AS977" s="649"/>
      <c r="AT977" s="649"/>
      <c r="AU977" s="649"/>
      <c r="CE977" s="689"/>
      <c r="CF977" s="689"/>
      <c r="CG977" s="689"/>
      <c r="CH977" s="689"/>
      <c r="CI977" s="689"/>
      <c r="CJ977" s="649"/>
      <c r="CK977" s="649"/>
      <c r="CL977" s="649"/>
      <c r="CM977" s="689"/>
      <c r="CN977" s="689"/>
      <c r="CO977" s="689"/>
      <c r="CP977" s="689"/>
      <c r="CQ977" s="689"/>
      <c r="CR977" s="689"/>
    </row>
    <row r="978" s="649" customFormat="1" spans="1:96">
      <c r="A978" s="680"/>
      <c r="B978" s="649"/>
      <c r="C978" s="649"/>
      <c r="D978" s="649"/>
      <c r="E978" s="681"/>
      <c r="F978" s="649"/>
      <c r="G978" s="649"/>
      <c r="H978" s="649"/>
      <c r="I978" s="682"/>
      <c r="J978" s="649"/>
      <c r="K978" s="649"/>
      <c r="L978" s="649"/>
      <c r="M978" s="649"/>
      <c r="N978" s="649"/>
      <c r="O978" s="681"/>
      <c r="P978" s="649"/>
      <c r="Q978" s="649"/>
      <c r="R978" s="649"/>
      <c r="S978" s="649"/>
      <c r="T978" s="649"/>
      <c r="U978" s="649"/>
      <c r="V978" s="649"/>
      <c r="W978" s="649"/>
      <c r="X978" s="649"/>
      <c r="Y978" s="649"/>
      <c r="Z978" s="683"/>
      <c r="AA978" s="684"/>
      <c r="AB978" s="1151"/>
      <c r="AC978" s="685"/>
      <c r="AD978" s="650"/>
      <c r="AE978" s="649"/>
      <c r="AG978" s="686"/>
      <c r="AH978" s="686"/>
      <c r="AI978" s="687"/>
      <c r="AJ978" s="650"/>
      <c r="AK978" s="649"/>
      <c r="AL978" s="649"/>
      <c r="AM978" s="649"/>
      <c r="AN978" s="649"/>
      <c r="AO978" s="688"/>
      <c r="AP978" s="688"/>
      <c r="AQ978" s="649"/>
      <c r="AR978" s="649"/>
      <c r="AS978" s="649"/>
      <c r="AT978" s="649"/>
      <c r="AU978" s="649"/>
      <c r="CE978" s="689"/>
      <c r="CF978" s="689"/>
      <c r="CG978" s="689"/>
      <c r="CH978" s="689"/>
      <c r="CI978" s="689"/>
      <c r="CJ978" s="649"/>
      <c r="CK978" s="649"/>
      <c r="CL978" s="649"/>
      <c r="CM978" s="689"/>
      <c r="CN978" s="689"/>
      <c r="CO978" s="689"/>
      <c r="CP978" s="689"/>
      <c r="CQ978" s="689"/>
      <c r="CR978" s="689"/>
    </row>
    <row r="979" s="649" customFormat="1" spans="1:96">
      <c r="A979" s="680"/>
      <c r="B979" s="649"/>
      <c r="C979" s="649"/>
      <c r="D979" s="649"/>
      <c r="E979" s="681"/>
      <c r="F979" s="649"/>
      <c r="G979" s="649"/>
      <c r="H979" s="649"/>
      <c r="I979" s="682"/>
      <c r="J979" s="649"/>
      <c r="K979" s="649"/>
      <c r="L979" s="649"/>
      <c r="M979" s="649"/>
      <c r="N979" s="649"/>
      <c r="O979" s="681"/>
      <c r="P979" s="649"/>
      <c r="Q979" s="649"/>
      <c r="R979" s="649"/>
      <c r="S979" s="649"/>
      <c r="T979" s="649"/>
      <c r="U979" s="649"/>
      <c r="V979" s="649"/>
      <c r="W979" s="649"/>
      <c r="X979" s="649"/>
      <c r="Y979" s="649"/>
      <c r="Z979" s="683"/>
      <c r="AA979" s="684"/>
      <c r="AB979" s="1151"/>
      <c r="AC979" s="685"/>
      <c r="AD979" s="650"/>
      <c r="AE979" s="649"/>
      <c r="AG979" s="686"/>
      <c r="AH979" s="686"/>
      <c r="AI979" s="687"/>
      <c r="AJ979" s="650"/>
      <c r="AK979" s="649"/>
      <c r="AL979" s="649"/>
      <c r="AM979" s="649"/>
      <c r="AN979" s="649"/>
      <c r="AO979" s="688"/>
      <c r="AP979" s="688"/>
      <c r="AQ979" s="649"/>
      <c r="AR979" s="649"/>
      <c r="AS979" s="649"/>
      <c r="AT979" s="649"/>
      <c r="AU979" s="649"/>
      <c r="CE979" s="689"/>
      <c r="CF979" s="689"/>
      <c r="CG979" s="689"/>
      <c r="CH979" s="689"/>
      <c r="CI979" s="689"/>
      <c r="CJ979" s="649"/>
      <c r="CK979" s="649"/>
      <c r="CL979" s="649"/>
      <c r="CM979" s="689"/>
      <c r="CN979" s="689"/>
      <c r="CO979" s="689"/>
      <c r="CP979" s="689"/>
      <c r="CQ979" s="689"/>
      <c r="CR979" s="689"/>
    </row>
    <row r="980" s="649" customFormat="1" spans="1:96">
      <c r="A980" s="680"/>
      <c r="B980" s="649"/>
      <c r="C980" s="649"/>
      <c r="D980" s="649"/>
      <c r="E980" s="681"/>
      <c r="F980" s="649"/>
      <c r="G980" s="649"/>
      <c r="H980" s="649"/>
      <c r="I980" s="682"/>
      <c r="J980" s="649"/>
      <c r="K980" s="649"/>
      <c r="L980" s="649"/>
      <c r="M980" s="649"/>
      <c r="N980" s="649"/>
      <c r="O980" s="681"/>
      <c r="P980" s="649"/>
      <c r="Q980" s="649"/>
      <c r="R980" s="649"/>
      <c r="S980" s="649"/>
      <c r="T980" s="649"/>
      <c r="U980" s="649"/>
      <c r="V980" s="649"/>
      <c r="W980" s="649"/>
      <c r="X980" s="649"/>
      <c r="Y980" s="649"/>
      <c r="Z980" s="683"/>
      <c r="AA980" s="684"/>
      <c r="AB980" s="1151"/>
      <c r="AC980" s="685"/>
      <c r="AD980" s="650"/>
      <c r="AE980" s="649"/>
      <c r="AG980" s="686"/>
      <c r="AH980" s="686"/>
      <c r="AI980" s="687"/>
      <c r="AJ980" s="650"/>
      <c r="AK980" s="649"/>
      <c r="AL980" s="649"/>
      <c r="AM980" s="649"/>
      <c r="AN980" s="649"/>
      <c r="AO980" s="688"/>
      <c r="AP980" s="688"/>
      <c r="AQ980" s="649"/>
      <c r="AR980" s="649"/>
      <c r="AS980" s="649"/>
      <c r="AT980" s="649"/>
      <c r="AU980" s="649"/>
      <c r="CE980" s="689"/>
      <c r="CF980" s="689"/>
      <c r="CG980" s="689"/>
      <c r="CH980" s="689"/>
      <c r="CI980" s="689"/>
      <c r="CJ980" s="649"/>
      <c r="CK980" s="649"/>
      <c r="CL980" s="649"/>
      <c r="CM980" s="689"/>
      <c r="CN980" s="689"/>
      <c r="CO980" s="689"/>
      <c r="CP980" s="689"/>
      <c r="CQ980" s="689"/>
      <c r="CR980" s="689"/>
    </row>
    <row r="981" s="649" customFormat="1" spans="1:96">
      <c r="A981" s="680"/>
      <c r="B981" s="649"/>
      <c r="C981" s="649"/>
      <c r="D981" s="649"/>
      <c r="E981" s="681"/>
      <c r="F981" s="649"/>
      <c r="G981" s="649"/>
      <c r="H981" s="649"/>
      <c r="I981" s="682"/>
      <c r="J981" s="649"/>
      <c r="K981" s="649"/>
      <c r="L981" s="649"/>
      <c r="M981" s="649"/>
      <c r="N981" s="649"/>
      <c r="O981" s="681"/>
      <c r="P981" s="649"/>
      <c r="Q981" s="649"/>
      <c r="R981" s="649"/>
      <c r="S981" s="649"/>
      <c r="T981" s="649"/>
      <c r="U981" s="649"/>
      <c r="V981" s="649"/>
      <c r="W981" s="649"/>
      <c r="X981" s="649"/>
      <c r="Y981" s="649"/>
      <c r="Z981" s="683"/>
      <c r="AA981" s="684"/>
      <c r="AB981" s="1151"/>
      <c r="AC981" s="685"/>
      <c r="AD981" s="650"/>
      <c r="AE981" s="649"/>
      <c r="AG981" s="686"/>
      <c r="AH981" s="686"/>
      <c r="AI981" s="687"/>
      <c r="AJ981" s="650"/>
      <c r="AK981" s="649"/>
      <c r="AL981" s="649"/>
      <c r="AM981" s="649"/>
      <c r="AN981" s="649"/>
      <c r="AO981" s="688"/>
      <c r="AP981" s="688"/>
      <c r="AQ981" s="649"/>
      <c r="AR981" s="649"/>
      <c r="AS981" s="649"/>
      <c r="AT981" s="649"/>
      <c r="AU981" s="649"/>
      <c r="CE981" s="689"/>
      <c r="CF981" s="689"/>
      <c r="CG981" s="689"/>
      <c r="CH981" s="689"/>
      <c r="CI981" s="689"/>
      <c r="CJ981" s="649"/>
      <c r="CK981" s="649"/>
      <c r="CL981" s="649"/>
      <c r="CM981" s="689"/>
      <c r="CN981" s="689"/>
      <c r="CO981" s="689"/>
      <c r="CP981" s="689"/>
      <c r="CQ981" s="689"/>
      <c r="CR981" s="689"/>
    </row>
    <row r="982" s="649" customFormat="1" spans="1:96">
      <c r="A982" s="680"/>
      <c r="B982" s="649"/>
      <c r="C982" s="649"/>
      <c r="D982" s="649"/>
      <c r="E982" s="681"/>
      <c r="F982" s="649"/>
      <c r="G982" s="649"/>
      <c r="H982" s="649"/>
      <c r="I982" s="682"/>
      <c r="J982" s="649"/>
      <c r="K982" s="649"/>
      <c r="L982" s="649"/>
      <c r="M982" s="649"/>
      <c r="N982" s="649"/>
      <c r="O982" s="681"/>
      <c r="P982" s="649"/>
      <c r="Q982" s="649"/>
      <c r="R982" s="649"/>
      <c r="S982" s="649"/>
      <c r="T982" s="649"/>
      <c r="U982" s="649"/>
      <c r="V982" s="649"/>
      <c r="W982" s="649"/>
      <c r="X982" s="649"/>
      <c r="Y982" s="649"/>
      <c r="Z982" s="683"/>
      <c r="AA982" s="684"/>
      <c r="AB982" s="1151"/>
      <c r="AC982" s="685"/>
      <c r="AD982" s="650"/>
      <c r="AE982" s="649"/>
      <c r="AG982" s="686"/>
      <c r="AH982" s="686"/>
      <c r="AI982" s="687"/>
      <c r="AJ982" s="650"/>
      <c r="AK982" s="649"/>
      <c r="AL982" s="649"/>
      <c r="AM982" s="649"/>
      <c r="AN982" s="649"/>
      <c r="AO982" s="688"/>
      <c r="AP982" s="688"/>
      <c r="AQ982" s="649"/>
      <c r="AR982" s="649"/>
      <c r="AS982" s="649"/>
      <c r="AT982" s="649"/>
      <c r="AU982" s="649"/>
      <c r="CE982" s="689"/>
      <c r="CF982" s="689"/>
      <c r="CG982" s="689"/>
      <c r="CH982" s="689"/>
      <c r="CI982" s="689"/>
      <c r="CJ982" s="649"/>
      <c r="CK982" s="649"/>
      <c r="CL982" s="649"/>
      <c r="CM982" s="689"/>
      <c r="CN982" s="689"/>
      <c r="CO982" s="689"/>
      <c r="CP982" s="689"/>
      <c r="CQ982" s="689"/>
      <c r="CR982" s="689"/>
    </row>
    <row r="983" s="649" customFormat="1" spans="1:96">
      <c r="A983" s="680"/>
      <c r="B983" s="649"/>
      <c r="C983" s="649"/>
      <c r="D983" s="649"/>
      <c r="E983" s="681"/>
      <c r="F983" s="649"/>
      <c r="G983" s="649"/>
      <c r="H983" s="649"/>
      <c r="I983" s="682"/>
      <c r="J983" s="649"/>
      <c r="K983" s="649"/>
      <c r="L983" s="649"/>
      <c r="M983" s="649"/>
      <c r="N983" s="649"/>
      <c r="O983" s="681"/>
      <c r="P983" s="649"/>
      <c r="Q983" s="649"/>
      <c r="R983" s="649"/>
      <c r="S983" s="649"/>
      <c r="T983" s="649"/>
      <c r="U983" s="649"/>
      <c r="V983" s="649"/>
      <c r="W983" s="649"/>
      <c r="X983" s="649"/>
      <c r="Y983" s="649"/>
      <c r="Z983" s="683"/>
      <c r="AA983" s="684"/>
      <c r="AB983" s="1151"/>
      <c r="AC983" s="685"/>
      <c r="AD983" s="650"/>
      <c r="AE983" s="649"/>
      <c r="AG983" s="686"/>
      <c r="AH983" s="686"/>
      <c r="AI983" s="687"/>
      <c r="AJ983" s="650"/>
      <c r="AK983" s="649"/>
      <c r="AL983" s="649"/>
      <c r="AM983" s="649"/>
      <c r="AN983" s="649"/>
      <c r="AO983" s="688"/>
      <c r="AP983" s="688"/>
      <c r="AQ983" s="649"/>
      <c r="AR983" s="649"/>
      <c r="AS983" s="649"/>
      <c r="AT983" s="649"/>
      <c r="AU983" s="649"/>
      <c r="CE983" s="689"/>
      <c r="CF983" s="689"/>
      <c r="CG983" s="689"/>
      <c r="CH983" s="689"/>
      <c r="CI983" s="689"/>
      <c r="CJ983" s="649"/>
      <c r="CK983" s="649"/>
      <c r="CL983" s="649"/>
      <c r="CM983" s="689"/>
      <c r="CN983" s="689"/>
      <c r="CO983" s="689"/>
      <c r="CP983" s="689"/>
      <c r="CQ983" s="689"/>
      <c r="CR983" s="689"/>
    </row>
    <row r="984" s="649" customFormat="1" spans="1:96">
      <c r="A984" s="680"/>
      <c r="B984" s="649"/>
      <c r="C984" s="649"/>
      <c r="D984" s="649"/>
      <c r="E984" s="681"/>
      <c r="F984" s="649"/>
      <c r="G984" s="649"/>
      <c r="H984" s="649"/>
      <c r="I984" s="682"/>
      <c r="J984" s="649"/>
      <c r="K984" s="649"/>
      <c r="L984" s="649"/>
      <c r="M984" s="649"/>
      <c r="N984" s="649"/>
      <c r="O984" s="681"/>
      <c r="P984" s="649"/>
      <c r="Q984" s="649"/>
      <c r="R984" s="649"/>
      <c r="S984" s="649"/>
      <c r="T984" s="649"/>
      <c r="U984" s="649"/>
      <c r="V984" s="649"/>
      <c r="W984" s="649"/>
      <c r="X984" s="649"/>
      <c r="Y984" s="649"/>
      <c r="Z984" s="683"/>
      <c r="AA984" s="684"/>
      <c r="AB984" s="1151"/>
      <c r="AC984" s="685"/>
      <c r="AD984" s="650"/>
      <c r="AE984" s="649"/>
      <c r="AG984" s="686"/>
      <c r="AH984" s="686"/>
      <c r="AI984" s="687"/>
      <c r="AJ984" s="650"/>
      <c r="AK984" s="649"/>
      <c r="AL984" s="649"/>
      <c r="AM984" s="649"/>
      <c r="AN984" s="649"/>
      <c r="AO984" s="688"/>
      <c r="AP984" s="688"/>
      <c r="AQ984" s="649"/>
      <c r="AR984" s="649"/>
      <c r="AS984" s="649"/>
      <c r="AT984" s="649"/>
      <c r="AU984" s="649"/>
      <c r="CE984" s="689"/>
      <c r="CF984" s="689"/>
      <c r="CG984" s="689"/>
      <c r="CH984" s="689"/>
      <c r="CI984" s="689"/>
      <c r="CJ984" s="649"/>
      <c r="CK984" s="649"/>
      <c r="CL984" s="649"/>
      <c r="CM984" s="689"/>
      <c r="CN984" s="689"/>
      <c r="CO984" s="689"/>
      <c r="CP984" s="689"/>
      <c r="CQ984" s="689"/>
      <c r="CR984" s="689"/>
    </row>
    <row r="985" s="649" customFormat="1" spans="1:96">
      <c r="A985" s="680"/>
      <c r="B985" s="649"/>
      <c r="C985" s="649"/>
      <c r="D985" s="649"/>
      <c r="E985" s="681"/>
      <c r="F985" s="649"/>
      <c r="G985" s="649"/>
      <c r="H985" s="649"/>
      <c r="I985" s="682"/>
      <c r="J985" s="649"/>
      <c r="K985" s="649"/>
      <c r="L985" s="649"/>
      <c r="M985" s="649"/>
      <c r="N985" s="649"/>
      <c r="O985" s="681"/>
      <c r="P985" s="649"/>
      <c r="Q985" s="649"/>
      <c r="R985" s="649"/>
      <c r="S985" s="649"/>
      <c r="T985" s="649"/>
      <c r="U985" s="649"/>
      <c r="V985" s="649"/>
      <c r="W985" s="649"/>
      <c r="X985" s="649"/>
      <c r="Y985" s="649"/>
      <c r="Z985" s="683"/>
      <c r="AA985" s="684"/>
      <c r="AB985" s="1151"/>
      <c r="AC985" s="685"/>
      <c r="AD985" s="650"/>
      <c r="AE985" s="649"/>
      <c r="AG985" s="686"/>
      <c r="AH985" s="686"/>
      <c r="AI985" s="687"/>
      <c r="AJ985" s="650"/>
      <c r="AK985" s="649"/>
      <c r="AL985" s="649"/>
      <c r="AM985" s="649"/>
      <c r="AN985" s="649"/>
      <c r="AO985" s="688"/>
      <c r="AP985" s="688"/>
      <c r="AQ985" s="649"/>
      <c r="AR985" s="649"/>
      <c r="AS985" s="649"/>
      <c r="AT985" s="649"/>
      <c r="AU985" s="649"/>
      <c r="CE985" s="689"/>
      <c r="CF985" s="689"/>
      <c r="CG985" s="689"/>
      <c r="CH985" s="689"/>
      <c r="CI985" s="689"/>
      <c r="CJ985" s="649"/>
      <c r="CK985" s="649"/>
      <c r="CL985" s="649"/>
      <c r="CM985" s="689"/>
      <c r="CN985" s="689"/>
      <c r="CO985" s="689"/>
      <c r="CP985" s="689"/>
      <c r="CQ985" s="689"/>
      <c r="CR985" s="689"/>
    </row>
    <row r="986" s="649" customFormat="1" spans="1:96">
      <c r="A986" s="680"/>
      <c r="B986" s="649"/>
      <c r="C986" s="649"/>
      <c r="D986" s="649"/>
      <c r="E986" s="681"/>
      <c r="F986" s="649"/>
      <c r="G986" s="649"/>
      <c r="H986" s="649"/>
      <c r="I986" s="682"/>
      <c r="J986" s="649"/>
      <c r="K986" s="649"/>
      <c r="L986" s="649"/>
      <c r="M986" s="649"/>
      <c r="N986" s="649"/>
      <c r="O986" s="681"/>
      <c r="P986" s="649"/>
      <c r="Q986" s="649"/>
      <c r="R986" s="649"/>
      <c r="S986" s="649"/>
      <c r="T986" s="649"/>
      <c r="U986" s="649"/>
      <c r="V986" s="649"/>
      <c r="W986" s="649"/>
      <c r="X986" s="649"/>
      <c r="Y986" s="649"/>
      <c r="Z986" s="683"/>
      <c r="AA986" s="684"/>
      <c r="AB986" s="1151"/>
      <c r="AC986" s="685"/>
      <c r="AD986" s="650"/>
      <c r="AE986" s="649"/>
      <c r="AG986" s="686"/>
      <c r="AH986" s="686"/>
      <c r="AI986" s="687"/>
      <c r="AJ986" s="650"/>
      <c r="AK986" s="649"/>
      <c r="AL986" s="649"/>
      <c r="AM986" s="649"/>
      <c r="AN986" s="649"/>
      <c r="AO986" s="688"/>
      <c r="AP986" s="688"/>
      <c r="AQ986" s="649"/>
      <c r="AR986" s="649"/>
      <c r="AS986" s="649"/>
      <c r="AT986" s="649"/>
      <c r="AU986" s="649"/>
      <c r="CE986" s="689"/>
      <c r="CF986" s="689"/>
      <c r="CG986" s="689"/>
      <c r="CH986" s="689"/>
      <c r="CI986" s="689"/>
      <c r="CJ986" s="649"/>
      <c r="CK986" s="649"/>
      <c r="CL986" s="649"/>
      <c r="CM986" s="689"/>
      <c r="CN986" s="689"/>
      <c r="CO986" s="689"/>
      <c r="CP986" s="689"/>
      <c r="CQ986" s="689"/>
      <c r="CR986" s="689"/>
    </row>
    <row r="987" s="649" customFormat="1" spans="1:96">
      <c r="A987" s="680"/>
      <c r="B987" s="649"/>
      <c r="C987" s="649"/>
      <c r="D987" s="649"/>
      <c r="E987" s="681"/>
      <c r="F987" s="649"/>
      <c r="G987" s="649"/>
      <c r="H987" s="649"/>
      <c r="I987" s="682"/>
      <c r="J987" s="649"/>
      <c r="K987" s="649"/>
      <c r="L987" s="649"/>
      <c r="M987" s="649"/>
      <c r="N987" s="649"/>
      <c r="O987" s="681"/>
      <c r="P987" s="649"/>
      <c r="Q987" s="649"/>
      <c r="R987" s="649"/>
      <c r="S987" s="649"/>
      <c r="T987" s="649"/>
      <c r="U987" s="649"/>
      <c r="V987" s="649"/>
      <c r="W987" s="649"/>
      <c r="X987" s="649"/>
      <c r="Y987" s="649"/>
      <c r="Z987" s="683"/>
      <c r="AA987" s="684"/>
      <c r="AB987" s="1151"/>
      <c r="AC987" s="685"/>
      <c r="AD987" s="650"/>
      <c r="AE987" s="649"/>
      <c r="AG987" s="686"/>
      <c r="AH987" s="686"/>
      <c r="AI987" s="687"/>
      <c r="AJ987" s="650"/>
      <c r="AK987" s="649"/>
      <c r="AL987" s="649"/>
      <c r="AM987" s="649"/>
      <c r="AN987" s="649"/>
      <c r="AO987" s="688"/>
      <c r="AP987" s="688"/>
      <c r="AQ987" s="649"/>
      <c r="AR987" s="649"/>
      <c r="AS987" s="649"/>
      <c r="AT987" s="649"/>
      <c r="AU987" s="649"/>
      <c r="CE987" s="689"/>
      <c r="CF987" s="689"/>
      <c r="CG987" s="689"/>
      <c r="CH987" s="689"/>
      <c r="CI987" s="689"/>
      <c r="CJ987" s="649"/>
      <c r="CK987" s="649"/>
      <c r="CL987" s="649"/>
      <c r="CM987" s="689"/>
      <c r="CN987" s="689"/>
      <c r="CO987" s="689"/>
      <c r="CP987" s="689"/>
      <c r="CQ987" s="689"/>
      <c r="CR987" s="689"/>
    </row>
    <row r="988" s="649" customFormat="1" spans="1:96">
      <c r="A988" s="680"/>
      <c r="B988" s="649"/>
      <c r="C988" s="649"/>
      <c r="D988" s="649"/>
      <c r="E988" s="681"/>
      <c r="F988" s="649"/>
      <c r="G988" s="649"/>
      <c r="H988" s="649"/>
      <c r="I988" s="682"/>
      <c r="J988" s="649"/>
      <c r="K988" s="649"/>
      <c r="L988" s="649"/>
      <c r="M988" s="649"/>
      <c r="N988" s="649"/>
      <c r="O988" s="681"/>
      <c r="P988" s="649"/>
      <c r="Q988" s="649"/>
      <c r="R988" s="649"/>
      <c r="S988" s="649"/>
      <c r="T988" s="649"/>
      <c r="U988" s="649"/>
      <c r="V988" s="649"/>
      <c r="W988" s="649"/>
      <c r="X988" s="649"/>
      <c r="Y988" s="649"/>
      <c r="Z988" s="683"/>
      <c r="AA988" s="684"/>
      <c r="AB988" s="1151"/>
      <c r="AC988" s="685"/>
      <c r="AD988" s="650"/>
      <c r="AE988" s="649"/>
      <c r="AG988" s="686"/>
      <c r="AH988" s="686"/>
      <c r="AI988" s="687"/>
      <c r="AJ988" s="650"/>
      <c r="AK988" s="649"/>
      <c r="AL988" s="649"/>
      <c r="AM988" s="649"/>
      <c r="AN988" s="649"/>
      <c r="AO988" s="688"/>
      <c r="AP988" s="688"/>
      <c r="AQ988" s="649"/>
      <c r="AR988" s="649"/>
      <c r="AS988" s="649"/>
      <c r="AT988" s="649"/>
      <c r="AU988" s="649"/>
      <c r="CE988" s="689"/>
      <c r="CF988" s="689"/>
      <c r="CG988" s="689"/>
      <c r="CH988" s="689"/>
      <c r="CI988" s="689"/>
      <c r="CJ988" s="649"/>
      <c r="CK988" s="649"/>
      <c r="CL988" s="649"/>
      <c r="CM988" s="689"/>
      <c r="CN988" s="689"/>
      <c r="CO988" s="689"/>
      <c r="CP988" s="689"/>
      <c r="CQ988" s="689"/>
      <c r="CR988" s="689"/>
    </row>
    <row r="989" s="649" customFormat="1" spans="1:96">
      <c r="A989" s="680"/>
      <c r="B989" s="649"/>
      <c r="C989" s="649"/>
      <c r="D989" s="649"/>
      <c r="E989" s="681"/>
      <c r="F989" s="649"/>
      <c r="G989" s="649"/>
      <c r="H989" s="649"/>
      <c r="I989" s="682"/>
      <c r="J989" s="649"/>
      <c r="K989" s="649"/>
      <c r="L989" s="649"/>
      <c r="M989" s="649"/>
      <c r="N989" s="649"/>
      <c r="O989" s="681"/>
      <c r="P989" s="649"/>
      <c r="Q989" s="649"/>
      <c r="R989" s="649"/>
      <c r="S989" s="649"/>
      <c r="T989" s="649"/>
      <c r="U989" s="649"/>
      <c r="V989" s="649"/>
      <c r="W989" s="649">
        <v>212215</v>
      </c>
      <c r="X989" s="649"/>
      <c r="Y989" s="649"/>
      <c r="Z989" s="683"/>
      <c r="AA989" s="684"/>
      <c r="AB989" s="1151"/>
      <c r="AC989" s="685"/>
      <c r="AD989" s="650"/>
      <c r="AE989" s="649"/>
      <c r="AG989" s="686"/>
      <c r="AH989" s="686"/>
      <c r="AI989" s="687"/>
      <c r="AJ989" s="650"/>
      <c r="AK989" s="649"/>
      <c r="AL989" s="649"/>
      <c r="AM989" s="649"/>
      <c r="AN989" s="649"/>
      <c r="AO989" s="688"/>
      <c r="AP989" s="688"/>
      <c r="AQ989" s="649"/>
      <c r="AR989" s="649"/>
      <c r="AS989" s="649"/>
      <c r="AT989" s="649"/>
      <c r="AU989" s="649"/>
      <c r="CE989" s="689"/>
      <c r="CF989" s="689"/>
      <c r="CG989" s="689"/>
      <c r="CH989" s="689"/>
      <c r="CI989" s="689"/>
      <c r="CJ989" s="649"/>
      <c r="CK989" s="649"/>
      <c r="CL989" s="649"/>
      <c r="CM989" s="689"/>
      <c r="CN989" s="689"/>
      <c r="CO989" s="689"/>
      <c r="CP989" s="689"/>
      <c r="CQ989" s="689"/>
      <c r="CR989" s="689"/>
    </row>
    <row r="990" spans="1:96">
      <c r="T990" s="649" t="s">
        <v>6777</v>
      </c>
      <c r="AB990" s="1151"/>
    </row>
    <row r="991" spans="1:96">
      <c r="T991" s="1923" t="s">
        <v>6778</v>
      </c>
      <c r="AB991" s="1151"/>
    </row>
    <row r="992" spans="1:96">
      <c r="AB992" s="1151"/>
    </row>
    <row r="993" spans="28:28">
      <c r="AB993" s="1151"/>
    </row>
    <row r="994" spans="28:28">
      <c r="AB994" s="1151"/>
    </row>
    <row r="995" spans="28:28">
      <c r="AB995" s="1151"/>
    </row>
    <row r="996" spans="28:28">
      <c r="AB996" s="1151"/>
    </row>
    <row r="997" spans="28:28">
      <c r="AB997" s="1151"/>
    </row>
    <row r="998" spans="28:28">
      <c r="AB998" s="1151"/>
    </row>
    <row r="999" spans="28:28">
      <c r="AB999" s="1151"/>
    </row>
    <row r="1000" spans="28:28">
      <c r="AB1000" s="1151"/>
    </row>
    <row r="1001" spans="28:28">
      <c r="AB1001" s="1151"/>
    </row>
    <row r="1002" spans="28:28">
      <c r="AB1002" s="1151"/>
    </row>
    <row r="1003" spans="28:28">
      <c r="AB1003" s="1151"/>
    </row>
    <row r="1004" spans="28:28">
      <c r="AB1004" s="1151"/>
    </row>
    <row r="1005" spans="28:28">
      <c r="AB1005" s="1151"/>
    </row>
    <row r="1006" spans="28:28">
      <c r="AB1006" s="1151"/>
    </row>
    <row r="1007" spans="28:28">
      <c r="AB1007" s="1151"/>
    </row>
    <row r="1008" spans="28:28">
      <c r="AB1008" s="1151"/>
    </row>
    <row r="1009" spans="9:28">
      <c r="AB1009" s="1151"/>
    </row>
    <row r="1010" spans="9:28">
      <c r="AB1010" s="1151"/>
    </row>
    <row r="1011" spans="9:28">
      <c r="AB1011" s="1151"/>
    </row>
    <row r="1012" spans="9:28">
      <c r="AB1012" s="1151"/>
    </row>
    <row r="1013" spans="9:28">
      <c r="AB1013" s="1151"/>
    </row>
    <row r="1014" spans="9:28">
      <c r="AB1014" s="1151"/>
    </row>
    <row r="1015" spans="9:28">
      <c r="AB1015" s="1151"/>
    </row>
    <row r="1016" spans="9:28">
      <c r="AB1016" s="1151"/>
    </row>
    <row r="1017" spans="9:28">
      <c r="AB1017" s="1151"/>
    </row>
    <row r="1018" spans="9:28">
      <c r="AB1018" s="1151"/>
    </row>
    <row r="1019" spans="9:28">
      <c r="AB1019" s="1151"/>
    </row>
    <row r="1020" spans="9:28">
      <c r="AB1020" s="1151"/>
    </row>
    <row r="1021" spans="9:28">
      <c r="AB1021" s="1151"/>
    </row>
    <row r="1022" spans="9:28">
      <c r="I1022" s="649"/>
      <c r="AB1022" s="1151"/>
    </row>
    <row r="1023" spans="9:28">
      <c r="AB1023" s="1151"/>
    </row>
    <row r="1024" spans="9:28">
      <c r="AB1024" s="1151"/>
    </row>
    <row r="1025" spans="7:28">
      <c r="AB1025" s="1151"/>
    </row>
    <row r="1026" spans="7:28">
      <c r="AB1026" s="1151"/>
    </row>
    <row r="1027" spans="7:28">
      <c r="G1027" s="667" t="s">
        <v>6779</v>
      </c>
      <c r="AB1027" s="1151"/>
    </row>
    <row r="1028" spans="7:28">
      <c r="AB1028" s="1151"/>
    </row>
    <row r="1029" spans="7:28">
      <c r="AB1029" s="1151"/>
    </row>
    <row r="1030" spans="7:28">
      <c r="AB1030" s="1151"/>
    </row>
    <row r="1031" spans="7:28">
      <c r="AB1031" s="1151"/>
    </row>
    <row r="1032" spans="7:28">
      <c r="AB1032" s="1151"/>
    </row>
    <row r="1033" spans="7:28">
      <c r="AB1033" s="1151"/>
    </row>
    <row r="1034" spans="7:28">
      <c r="AB1034" s="1151"/>
    </row>
    <row r="1035" spans="7:28">
      <c r="AB1035" s="1151"/>
    </row>
    <row r="1036" spans="7:28">
      <c r="AB1036" s="1151"/>
    </row>
    <row r="1037" spans="7:28">
      <c r="AB1037" s="1151"/>
    </row>
    <row r="1038" spans="7:28">
      <c r="AB1038" s="1151"/>
    </row>
    <row r="1039" spans="7:28">
      <c r="AB1039" s="1151"/>
    </row>
    <row r="1040" spans="7:28">
      <c r="AB1040" s="1151"/>
    </row>
    <row r="1041" spans="28:28">
      <c r="AB1041" s="1151"/>
    </row>
    <row r="1042" spans="28:28">
      <c r="AB1042" s="1151"/>
    </row>
    <row r="1043" spans="28:28">
      <c r="AB1043" s="1151"/>
    </row>
    <row r="1044" spans="28:28">
      <c r="AB1044" s="1151"/>
    </row>
    <row r="1045" spans="28:28">
      <c r="AB1045" s="1151"/>
    </row>
    <row r="1046" spans="28:28">
      <c r="AB1046" s="1151"/>
    </row>
    <row r="1047" spans="28:28">
      <c r="AB1047" s="1151"/>
    </row>
    <row r="1048" spans="28:28">
      <c r="AB1048" s="1151"/>
    </row>
    <row r="1049" spans="28:28">
      <c r="AB1049" s="1151"/>
    </row>
    <row r="1050" spans="28:28">
      <c r="AB1050" s="1151"/>
    </row>
    <row r="1051" spans="28:28">
      <c r="AB1051" s="1151"/>
    </row>
    <row r="1052" spans="28:28">
      <c r="AB1052" s="1151"/>
    </row>
    <row r="1053" spans="28:28">
      <c r="AB1053" s="1151"/>
    </row>
    <row r="1054" spans="28:28">
      <c r="AB1054" s="1151"/>
    </row>
    <row r="1055" spans="28:28">
      <c r="AB1055" s="1151"/>
    </row>
    <row r="1056" spans="28:28">
      <c r="AB1056" s="1151"/>
    </row>
    <row r="1057" spans="28:28">
      <c r="AB1057" s="1151"/>
    </row>
    <row r="1058" spans="28:28">
      <c r="AB1058" s="1151"/>
    </row>
    <row r="1059" spans="28:28">
      <c r="AB1059" s="1151"/>
    </row>
    <row r="1060" spans="28:28">
      <c r="AB1060" s="1151"/>
    </row>
    <row r="1061" spans="28:28">
      <c r="AB1061" s="1151"/>
    </row>
    <row r="1062" spans="28:28">
      <c r="AB1062" s="1151"/>
    </row>
    <row r="1063" spans="28:28">
      <c r="AB1063" s="1151"/>
    </row>
    <row r="1064" spans="28:28">
      <c r="AB1064" s="1151"/>
    </row>
    <row r="1065" spans="28:28">
      <c r="AB1065" s="1151"/>
    </row>
    <row r="1066" spans="28:28">
      <c r="AB1066" s="1151"/>
    </row>
    <row r="1067" spans="28:28">
      <c r="AB1067" s="1151"/>
    </row>
    <row r="1068" spans="28:28">
      <c r="AB1068" s="1151"/>
    </row>
    <row r="1069" spans="28:28">
      <c r="AB1069" s="1151"/>
    </row>
    <row r="1070" spans="28:28">
      <c r="AB1070" s="1151"/>
    </row>
    <row r="1071" spans="28:28">
      <c r="AB1071" s="1151"/>
    </row>
    <row r="1072" spans="28:28">
      <c r="AB1072" s="1151"/>
    </row>
    <row r="1073" spans="28:28">
      <c r="AB1073" s="1151"/>
    </row>
    <row r="1074" spans="28:28">
      <c r="AB1074" s="1151"/>
    </row>
    <row r="1075" spans="28:28">
      <c r="AB1075" s="1151"/>
    </row>
    <row r="1076" spans="28:28">
      <c r="AB1076" s="1151"/>
    </row>
    <row r="1077" spans="28:28">
      <c r="AB1077" s="1151"/>
    </row>
    <row r="1078" spans="28:28">
      <c r="AB1078" s="1151"/>
    </row>
    <row r="1079" spans="28:28">
      <c r="AB1079" s="1151"/>
    </row>
    <row r="1080" spans="28:28">
      <c r="AB1080" s="1151"/>
    </row>
    <row r="1081" spans="28:28">
      <c r="AB1081" s="1151"/>
    </row>
    <row r="1082" spans="28:28">
      <c r="AB1082" s="1151"/>
    </row>
    <row r="1083" spans="28:28">
      <c r="AB1083" s="1151"/>
    </row>
    <row r="1084" spans="28:28">
      <c r="AB1084" s="1151"/>
    </row>
    <row r="1085" spans="28:28">
      <c r="AB1085" s="1151"/>
    </row>
    <row r="1086" spans="28:28">
      <c r="AB1086" s="1151"/>
    </row>
    <row r="1087" spans="28:28">
      <c r="AB1087" s="1151"/>
    </row>
    <row r="1088" spans="28:28">
      <c r="AB1088" s="1151"/>
    </row>
    <row r="1089" spans="28:28">
      <c r="AB1089" s="1151"/>
    </row>
    <row r="1090" spans="28:28">
      <c r="AB1090" s="1151"/>
    </row>
    <row r="1091" spans="28:28">
      <c r="AB1091" s="1151"/>
    </row>
    <row r="1092" spans="28:28">
      <c r="AB1092" s="1151"/>
    </row>
    <row r="1093" spans="28:28">
      <c r="AB1093" s="1151"/>
    </row>
    <row r="1094" spans="28:28">
      <c r="AB1094" s="1151"/>
    </row>
    <row r="1095" spans="28:28">
      <c r="AB1095" s="1151"/>
    </row>
    <row r="1096" spans="28:28">
      <c r="AB1096" s="1151"/>
    </row>
    <row r="1097" spans="28:28">
      <c r="AB1097" s="1151"/>
    </row>
    <row r="1098" spans="28:28">
      <c r="AB1098" s="1151"/>
    </row>
    <row r="1099" spans="28:28">
      <c r="AB1099" s="1151"/>
    </row>
    <row r="1100" spans="28:28">
      <c r="AB1100" s="1151"/>
    </row>
    <row r="1101" spans="28:28">
      <c r="AB1101" s="1151"/>
    </row>
    <row r="1102" spans="28:28">
      <c r="AB1102" s="1151"/>
    </row>
    <row r="1103" spans="28:28">
      <c r="AB1103" s="1151"/>
    </row>
    <row r="1104" spans="28:28">
      <c r="AB1104" s="1151"/>
    </row>
    <row r="1105" spans="28:28">
      <c r="AB1105" s="1151"/>
    </row>
    <row r="1106" spans="28:28">
      <c r="AB1106" s="1151"/>
    </row>
    <row r="1107" spans="28:28">
      <c r="AB1107" s="1151"/>
    </row>
    <row r="1108" spans="28:28">
      <c r="AB1108" s="1151"/>
    </row>
    <row r="1109" spans="28:28">
      <c r="AB1109" s="1151"/>
    </row>
    <row r="1110" spans="28:28">
      <c r="AB1110" s="1151"/>
    </row>
    <row r="1111" spans="28:28">
      <c r="AB1111" s="1151"/>
    </row>
    <row r="1112" spans="28:28">
      <c r="AB1112" s="1151"/>
    </row>
    <row r="1113" spans="28:28">
      <c r="AB1113" s="1151"/>
    </row>
    <row r="1114" spans="28:28">
      <c r="AB1114" s="1151"/>
    </row>
    <row r="1115" spans="28:28">
      <c r="AB1115" s="1151"/>
    </row>
    <row r="1116" spans="28:28">
      <c r="AB1116" s="1151"/>
    </row>
    <row r="1117" spans="28:28">
      <c r="AB1117" s="1151"/>
    </row>
    <row r="1118" spans="28:28">
      <c r="AB1118" s="1151"/>
    </row>
    <row r="1119" spans="28:28">
      <c r="AB1119" s="1151"/>
    </row>
    <row r="1120" spans="28:28">
      <c r="AB1120" s="1151"/>
    </row>
    <row r="1121" spans="28:28">
      <c r="AB1121" s="1151"/>
    </row>
    <row r="1122" spans="28:28">
      <c r="AB1122" s="1151"/>
    </row>
    <row r="1123" spans="28:28">
      <c r="AB1123" s="1151"/>
    </row>
    <row r="1124" spans="28:28">
      <c r="AB1124" s="1151"/>
    </row>
    <row r="1125" spans="28:28">
      <c r="AB1125" s="1151"/>
    </row>
    <row r="1126" spans="28:28">
      <c r="AB1126" s="1151"/>
    </row>
    <row r="1127" spans="28:28">
      <c r="AB1127" s="1151"/>
    </row>
    <row r="1128" spans="28:28">
      <c r="AB1128" s="1151"/>
    </row>
    <row r="1129" spans="28:28">
      <c r="AB1129" s="1151"/>
    </row>
    <row r="1130" spans="28:28">
      <c r="AB1130" s="1151"/>
    </row>
    <row r="1131" spans="28:28">
      <c r="AB1131" s="1151"/>
    </row>
    <row r="1132" spans="28:28">
      <c r="AB1132" s="1151"/>
    </row>
    <row r="1133" spans="28:28">
      <c r="AB1133" s="1151"/>
    </row>
    <row r="1134" spans="28:28">
      <c r="AB1134" s="1151"/>
    </row>
    <row r="1135" spans="28:28">
      <c r="AB1135" s="1151"/>
    </row>
    <row r="1136" spans="28:28">
      <c r="AB1136" s="1151"/>
    </row>
    <row r="1137" spans="28:28">
      <c r="AB1137" s="1151"/>
    </row>
    <row r="1138" spans="28:28">
      <c r="AB1138" s="1151"/>
    </row>
    <row r="1139" spans="28:28">
      <c r="AB1139" s="1151"/>
    </row>
    <row r="1140" spans="28:28">
      <c r="AB1140" s="1151"/>
    </row>
    <row r="1141" spans="28:28">
      <c r="AB1141" s="1151"/>
    </row>
    <row r="1142" spans="28:28">
      <c r="AB1142" s="1151"/>
    </row>
    <row r="1143" spans="28:28">
      <c r="AB1143" s="1151"/>
    </row>
    <row r="1144" spans="28:28">
      <c r="AB1144" s="1151"/>
    </row>
    <row r="1145" spans="28:28">
      <c r="AB1145" s="1151"/>
    </row>
    <row r="1146" spans="28:28">
      <c r="AB1146" s="1151"/>
    </row>
    <row r="1147" spans="28:28">
      <c r="AB1147" s="1151"/>
    </row>
    <row r="1148" spans="28:28">
      <c r="AB1148" s="1151"/>
    </row>
    <row r="1149" spans="28:28">
      <c r="AB1149" s="1151"/>
    </row>
    <row r="1150" spans="28:28">
      <c r="AB1150" s="1151"/>
    </row>
    <row r="1151" spans="28:28">
      <c r="AB1151" s="1151"/>
    </row>
    <row r="1152" spans="28:28">
      <c r="AB1152" s="1151"/>
    </row>
    <row r="1153" spans="28:28">
      <c r="AB1153" s="1151"/>
    </row>
    <row r="1154" spans="28:28">
      <c r="AB1154" s="1151"/>
    </row>
    <row r="1155" spans="28:28">
      <c r="AB1155" s="1151"/>
    </row>
    <row r="1156" spans="28:28">
      <c r="AB1156" s="1151"/>
    </row>
    <row r="1157" spans="28:28">
      <c r="AB1157" s="1151"/>
    </row>
    <row r="1158" spans="28:28">
      <c r="AB1158" s="1151"/>
    </row>
    <row r="1159" spans="28:28">
      <c r="AB1159" s="1151"/>
    </row>
    <row r="1160" spans="28:28">
      <c r="AB1160" s="1151"/>
    </row>
    <row r="1161" spans="28:28">
      <c r="AB1161" s="1151"/>
    </row>
    <row r="1162" spans="28:28">
      <c r="AB1162" s="1151"/>
    </row>
    <row r="1163" spans="28:28">
      <c r="AB1163" s="1151"/>
    </row>
    <row r="1164" spans="28:28">
      <c r="AB1164" s="1151"/>
    </row>
    <row r="1165" spans="28:28">
      <c r="AB1165" s="1151"/>
    </row>
    <row r="1166" spans="28:28">
      <c r="AB1166" s="1151"/>
    </row>
    <row r="1167" spans="28:28">
      <c r="AB1167" s="1151"/>
    </row>
    <row r="1168" spans="28:28">
      <c r="AB1168" s="1151"/>
    </row>
    <row r="1169" spans="28:28">
      <c r="AB1169" s="1151"/>
    </row>
    <row r="1170" spans="28:28">
      <c r="AB1170" s="1151"/>
    </row>
    <row r="1171" spans="28:28">
      <c r="AB1171" s="1151"/>
    </row>
    <row r="1172" spans="28:28">
      <c r="AB1172" s="1151"/>
    </row>
    <row r="1173" spans="28:28">
      <c r="AB1173" s="1151"/>
    </row>
    <row r="1174" spans="28:28">
      <c r="AB1174" s="1151"/>
    </row>
    <row r="1175" spans="28:28">
      <c r="AB1175" s="1151"/>
    </row>
    <row r="1176" spans="28:28">
      <c r="AB1176" s="1151"/>
    </row>
    <row r="1177" spans="28:28">
      <c r="AB1177" s="1151"/>
    </row>
    <row r="1178" spans="28:28">
      <c r="AB1178" s="1151"/>
    </row>
    <row r="1179" spans="28:28">
      <c r="AB1179" s="1151"/>
    </row>
    <row r="1180" spans="28:28">
      <c r="AB1180" s="1151"/>
    </row>
    <row r="1181" spans="28:28">
      <c r="AB1181" s="1151"/>
    </row>
    <row r="1182" spans="28:28">
      <c r="AB1182" s="1151"/>
    </row>
    <row r="1183" spans="28:28">
      <c r="AB1183" s="1151"/>
    </row>
    <row r="1184" spans="28:28">
      <c r="AB1184" s="1151"/>
    </row>
    <row r="1185" spans="28:28">
      <c r="AB1185" s="1151"/>
    </row>
    <row r="1186" spans="28:28">
      <c r="AB1186" s="1151"/>
    </row>
    <row r="1187" spans="28:28">
      <c r="AB1187" s="1151"/>
    </row>
    <row r="1188" spans="28:28">
      <c r="AB1188" s="1151"/>
    </row>
    <row r="1189" spans="28:28">
      <c r="AB1189" s="1151"/>
    </row>
    <row r="1190" spans="28:28">
      <c r="AB1190" s="1151"/>
    </row>
    <row r="1191" spans="28:28">
      <c r="AB1191" s="1151"/>
    </row>
    <row r="1192" spans="28:28">
      <c r="AB1192" s="1151"/>
    </row>
    <row r="1193" spans="28:28">
      <c r="AB1193" s="1151"/>
    </row>
    <row r="1194" spans="28:28">
      <c r="AB1194" s="1151"/>
    </row>
    <row r="1195" spans="28:28">
      <c r="AB1195" s="1151"/>
    </row>
    <row r="1196" spans="28:28">
      <c r="AB1196" s="1151"/>
    </row>
    <row r="1197" spans="28:28">
      <c r="AB1197" s="1151"/>
    </row>
    <row r="1198" spans="28:28">
      <c r="AB1198" s="1151"/>
    </row>
    <row r="1199" spans="28:28">
      <c r="AB1199" s="1151"/>
    </row>
    <row r="1200" spans="28:28">
      <c r="AB1200" s="1151"/>
    </row>
    <row r="1201" spans="28:28">
      <c r="AB1201" s="1151"/>
    </row>
    <row r="1202" spans="28:28">
      <c r="AB1202" s="1151"/>
    </row>
    <row r="1203" spans="28:28">
      <c r="AB1203" s="1151"/>
    </row>
    <row r="1204" spans="28:28">
      <c r="AB1204" s="1151"/>
    </row>
    <row r="1205" spans="28:28">
      <c r="AB1205" s="1151"/>
    </row>
    <row r="1206" spans="28:28">
      <c r="AB1206" s="1151"/>
    </row>
    <row r="1207" spans="28:28">
      <c r="AB1207" s="1151"/>
    </row>
    <row r="1208" spans="28:28">
      <c r="AB1208" s="1151"/>
    </row>
    <row r="1209" spans="28:28">
      <c r="AB1209" s="1151"/>
    </row>
    <row r="1210" spans="28:28">
      <c r="AB1210" s="1151"/>
    </row>
    <row r="1211" spans="28:28">
      <c r="AB1211" s="1151"/>
    </row>
    <row r="1212" spans="28:28">
      <c r="AB1212" s="1151"/>
    </row>
    <row r="1213" spans="28:28">
      <c r="AB1213" s="1151"/>
    </row>
    <row r="1214" spans="28:28">
      <c r="AB1214" s="1151"/>
    </row>
    <row r="1215" spans="28:28">
      <c r="AB1215" s="1151"/>
    </row>
    <row r="1216" spans="28:28">
      <c r="AB1216" s="1151"/>
    </row>
    <row r="1217" spans="28:28">
      <c r="AB1217" s="1151"/>
    </row>
    <row r="1218" spans="28:28">
      <c r="AB1218" s="1151"/>
    </row>
    <row r="1219" spans="28:28">
      <c r="AB1219" s="1151"/>
    </row>
    <row r="1220" spans="28:28">
      <c r="AB1220" s="1151"/>
    </row>
    <row r="1221" spans="28:28">
      <c r="AB1221" s="1151"/>
    </row>
    <row r="1222" spans="28:28">
      <c r="AB1222" s="1151"/>
    </row>
    <row r="1223" spans="28:28">
      <c r="AB1223" s="1151"/>
    </row>
    <row r="1224" spans="28:28">
      <c r="AB1224" s="1151"/>
    </row>
    <row r="1225" spans="28:28">
      <c r="AB1225" s="1151"/>
    </row>
    <row r="1226" spans="28:28">
      <c r="AB1226" s="1151"/>
    </row>
    <row r="1227" spans="28:28">
      <c r="AB1227" s="1151"/>
    </row>
    <row r="1228" spans="28:28">
      <c r="AB1228" s="1151"/>
    </row>
    <row r="1229" spans="28:28">
      <c r="AB1229" s="1151"/>
    </row>
    <row r="1230" spans="28:28">
      <c r="AB1230" s="1151"/>
    </row>
    <row r="1231" spans="28:28">
      <c r="AB1231" s="1151"/>
    </row>
    <row r="1232" spans="28:28">
      <c r="AB1232" s="1151"/>
    </row>
    <row r="1233" spans="28:28">
      <c r="AB1233" s="1151"/>
    </row>
    <row r="1234" spans="28:28">
      <c r="AB1234" s="1151"/>
    </row>
    <row r="1235" spans="28:28">
      <c r="AB1235" s="1151"/>
    </row>
    <row r="1236" spans="28:28">
      <c r="AB1236" s="1151"/>
    </row>
    <row r="1237" spans="28:28">
      <c r="AB1237" s="1151"/>
    </row>
    <row r="1238" spans="28:28">
      <c r="AB1238" s="1151"/>
    </row>
    <row r="1239" spans="28:28">
      <c r="AB1239" s="1151"/>
    </row>
    <row r="1240" spans="28:28">
      <c r="AB1240" s="1151"/>
    </row>
    <row r="1241" spans="28:28">
      <c r="AB1241" s="1151"/>
    </row>
    <row r="1242" spans="28:28">
      <c r="AB1242" s="1151"/>
    </row>
    <row r="1243" spans="28:28">
      <c r="AB1243" s="1151"/>
    </row>
    <row r="1244" spans="28:28">
      <c r="AB1244" s="1151"/>
    </row>
    <row r="1245" spans="28:28">
      <c r="AB1245" s="1151"/>
    </row>
    <row r="1246" spans="28:28">
      <c r="AB1246" s="1151"/>
    </row>
    <row r="1247" spans="28:28">
      <c r="AB1247" s="1151"/>
    </row>
    <row r="1248" spans="28:28">
      <c r="AB1248" s="1151"/>
    </row>
    <row r="1249" spans="28:28">
      <c r="AB1249" s="1151"/>
    </row>
    <row r="1250" spans="28:28">
      <c r="AB1250" s="1151"/>
    </row>
    <row r="1251" spans="28:28">
      <c r="AB1251" s="1151"/>
    </row>
    <row r="1252" spans="28:28">
      <c r="AB1252" s="1151"/>
    </row>
    <row r="1253" spans="28:28">
      <c r="AB1253" s="1151"/>
    </row>
    <row r="1254" spans="28:28">
      <c r="AB1254" s="1151"/>
    </row>
    <row r="1255" spans="28:28">
      <c r="AB1255" s="1151"/>
    </row>
    <row r="1256" spans="28:28">
      <c r="AB1256" s="1151"/>
    </row>
    <row r="1257" spans="28:28">
      <c r="AB1257" s="1151"/>
    </row>
    <row r="1258" spans="28:28">
      <c r="AB1258" s="1151"/>
    </row>
    <row r="1259" spans="28:28">
      <c r="AB1259" s="1151"/>
    </row>
    <row r="1260" spans="28:28">
      <c r="AB1260" s="1151"/>
    </row>
    <row r="1261" spans="28:28">
      <c r="AB1261" s="1151"/>
    </row>
    <row r="1262" spans="28:28">
      <c r="AB1262" s="1151"/>
    </row>
    <row r="1263" spans="28:28">
      <c r="AB1263" s="1151"/>
    </row>
    <row r="1264" spans="28:28">
      <c r="AB1264" s="1151"/>
    </row>
    <row r="1265" spans="28:28">
      <c r="AB1265" s="1151"/>
    </row>
    <row r="1266" spans="28:28">
      <c r="AB1266" s="1151"/>
    </row>
    <row r="1267" spans="28:28">
      <c r="AB1267" s="1151"/>
    </row>
    <row r="1268" spans="28:28">
      <c r="AB1268" s="1151"/>
    </row>
    <row r="1269" spans="28:28">
      <c r="AB1269" s="1151"/>
    </row>
    <row r="1270" spans="28:28">
      <c r="AB1270" s="1151"/>
    </row>
    <row r="1271" spans="28:28">
      <c r="AB1271" s="1151"/>
    </row>
    <row r="1272" spans="28:28">
      <c r="AB1272" s="1151"/>
    </row>
    <row r="1273" spans="28:28">
      <c r="AB1273" s="1151"/>
    </row>
    <row r="1274" spans="28:28">
      <c r="AB1274" s="1151"/>
    </row>
    <row r="1275" spans="28:28">
      <c r="AB1275" s="1151"/>
    </row>
    <row r="1276" spans="28:28">
      <c r="AB1276" s="1151"/>
    </row>
    <row r="1277" spans="28:28">
      <c r="AB1277" s="1151"/>
    </row>
    <row r="1278" spans="28:28">
      <c r="AB1278" s="1151"/>
    </row>
    <row r="1279" spans="28:28">
      <c r="AB1279" s="1151"/>
    </row>
    <row r="1280" spans="28:28">
      <c r="AB1280" s="1151"/>
    </row>
    <row r="1281" spans="28:28">
      <c r="AB1281" s="1151"/>
    </row>
    <row r="1282" spans="28:28">
      <c r="AB1282" s="1151"/>
    </row>
    <row r="1283" spans="28:28">
      <c r="AB1283" s="1151"/>
    </row>
    <row r="1284" spans="28:28">
      <c r="AB1284" s="1151"/>
    </row>
    <row r="1285" spans="28:28">
      <c r="AB1285" s="1151"/>
    </row>
    <row r="1286" spans="28:28">
      <c r="AB1286" s="1151"/>
    </row>
    <row r="1287" spans="28:28">
      <c r="AB1287" s="1151"/>
    </row>
    <row r="1288" spans="28:28">
      <c r="AB1288" s="1151"/>
    </row>
    <row r="1289" spans="28:28">
      <c r="AB1289" s="1151"/>
    </row>
    <row r="1290" spans="28:28">
      <c r="AB1290" s="1151"/>
    </row>
    <row r="1291" spans="28:28">
      <c r="AB1291" s="1151"/>
    </row>
    <row r="1292" spans="28:28">
      <c r="AB1292" s="1151"/>
    </row>
    <row r="1293" spans="28:28">
      <c r="AB1293" s="1151"/>
    </row>
    <row r="1294" spans="28:28">
      <c r="AB1294" s="1151"/>
    </row>
    <row r="1295" spans="28:28">
      <c r="AB1295" s="1151"/>
    </row>
    <row r="1296" spans="28:28">
      <c r="AB1296" s="1151"/>
    </row>
    <row r="1297" spans="28:28">
      <c r="AB1297" s="1151"/>
    </row>
    <row r="1298" spans="28:28">
      <c r="AB1298" s="1151"/>
    </row>
    <row r="1299" spans="28:28">
      <c r="AB1299" s="1151"/>
    </row>
    <row r="1300" spans="28:28">
      <c r="AB1300" s="1151"/>
    </row>
    <row r="1301" spans="28:28">
      <c r="AB1301" s="1151"/>
    </row>
    <row r="1302" spans="28:28">
      <c r="AB1302" s="1151"/>
    </row>
    <row r="1303" spans="28:28">
      <c r="AB1303" s="1151"/>
    </row>
    <row r="1304" spans="28:28">
      <c r="AB1304" s="1151"/>
    </row>
    <row r="1305" spans="28:28">
      <c r="AB1305" s="1151"/>
    </row>
    <row r="1306" spans="28:28">
      <c r="AB1306" s="1151"/>
    </row>
    <row r="1307" spans="28:28">
      <c r="AB1307" s="1151"/>
    </row>
    <row r="1308" spans="28:28">
      <c r="AB1308" s="1151"/>
    </row>
    <row r="1309" spans="28:28">
      <c r="AB1309" s="1151"/>
    </row>
    <row r="1310" spans="28:28">
      <c r="AB1310" s="1151"/>
    </row>
    <row r="1311" spans="28:28">
      <c r="AB1311" s="1151"/>
    </row>
    <row r="1312" spans="28:28">
      <c r="AB1312" s="1151"/>
    </row>
    <row r="1313" spans="28:28">
      <c r="AB1313" s="1151"/>
    </row>
    <row r="1314" spans="28:28">
      <c r="AB1314" s="1151"/>
    </row>
    <row r="1315" spans="28:28">
      <c r="AB1315" s="1151"/>
    </row>
    <row r="1316" spans="28:28">
      <c r="AB1316" s="1151"/>
    </row>
    <row r="1317" spans="28:28">
      <c r="AB1317" s="1151"/>
    </row>
    <row r="1318" spans="28:28">
      <c r="AB1318" s="1151"/>
    </row>
    <row r="1319" spans="28:28">
      <c r="AB1319" s="1151"/>
    </row>
    <row r="1320" spans="28:28">
      <c r="AB1320" s="1151"/>
    </row>
    <row r="1321" spans="28:28">
      <c r="AB1321" s="1151"/>
    </row>
    <row r="1322" spans="28:28">
      <c r="AB1322" s="1151"/>
    </row>
    <row r="1323" spans="28:28">
      <c r="AB1323" s="1151"/>
    </row>
    <row r="1324" spans="28:28">
      <c r="AB1324" s="1151"/>
    </row>
    <row r="1325" spans="28:28">
      <c r="AB1325" s="1151"/>
    </row>
    <row r="1326" spans="28:28">
      <c r="AB1326" s="1151"/>
    </row>
    <row r="1327" spans="28:28">
      <c r="AB1327" s="1151"/>
    </row>
    <row r="1328" spans="28:28">
      <c r="AB1328" s="1151"/>
    </row>
    <row r="1329" spans="28:28">
      <c r="AB1329" s="1151"/>
    </row>
    <row r="1330" spans="28:28">
      <c r="AB1330" s="1151"/>
    </row>
    <row r="1331" spans="28:28">
      <c r="AB1331" s="1151"/>
    </row>
    <row r="1332" spans="28:28">
      <c r="AB1332" s="1151"/>
    </row>
    <row r="1333" spans="28:28">
      <c r="AB1333" s="1151"/>
    </row>
    <row r="1334" spans="28:28">
      <c r="AB1334" s="1151"/>
    </row>
    <row r="1335" spans="28:28">
      <c r="AB1335" s="1151"/>
    </row>
    <row r="1336" spans="28:28">
      <c r="AB1336" s="1151"/>
    </row>
    <row r="1337" spans="28:28">
      <c r="AB1337" s="1151"/>
    </row>
    <row r="1338" spans="28:28">
      <c r="AB1338" s="1151"/>
    </row>
    <row r="1339" spans="28:28">
      <c r="AB1339" s="1151"/>
    </row>
    <row r="1340" spans="28:28">
      <c r="AB1340" s="1151"/>
    </row>
    <row r="1341" spans="28:28">
      <c r="AB1341" s="1151"/>
    </row>
    <row r="1342" spans="28:28">
      <c r="AB1342" s="1151"/>
    </row>
    <row r="1343" spans="28:28">
      <c r="AB1343" s="1151"/>
    </row>
    <row r="1344" spans="28:28">
      <c r="AB1344" s="1151"/>
    </row>
    <row r="1345" spans="28:28">
      <c r="AB1345" s="1151"/>
    </row>
    <row r="1346" spans="28:28">
      <c r="AB1346" s="1151"/>
    </row>
    <row r="1347" spans="28:28">
      <c r="AB1347" s="1151"/>
    </row>
    <row r="1348" spans="28:28">
      <c r="AB1348" s="1151"/>
    </row>
    <row r="1349" spans="28:28">
      <c r="AB1349" s="1151"/>
    </row>
    <row r="1350" spans="28:28">
      <c r="AB1350" s="1151"/>
    </row>
    <row r="1351" spans="28:28">
      <c r="AB1351" s="1151"/>
    </row>
    <row r="1352" spans="28:28">
      <c r="AB1352" s="1151"/>
    </row>
    <row r="1353" spans="28:28">
      <c r="AB1353" s="1151"/>
    </row>
    <row r="1354" spans="28:28">
      <c r="AB1354" s="1151"/>
    </row>
    <row r="1355" spans="28:28">
      <c r="AB1355" s="1151"/>
    </row>
    <row r="1356" spans="28:28">
      <c r="AB1356" s="1151"/>
    </row>
    <row r="1357" spans="28:28">
      <c r="AB1357" s="1151"/>
    </row>
    <row r="1358" spans="28:28">
      <c r="AB1358" s="1151"/>
    </row>
    <row r="1359" spans="28:28">
      <c r="AB1359" s="1151"/>
    </row>
    <row r="1360" spans="28:28">
      <c r="AB1360" s="1151"/>
    </row>
    <row r="1361" spans="28:28">
      <c r="AB1361" s="1151"/>
    </row>
    <row r="1362" spans="28:28">
      <c r="AB1362" s="1151"/>
    </row>
    <row r="1363" spans="28:28">
      <c r="AB1363" s="1151"/>
    </row>
    <row r="1364" spans="28:28">
      <c r="AB1364" s="1151"/>
    </row>
    <row r="1365" spans="28:28">
      <c r="AB1365" s="1151"/>
    </row>
    <row r="1366" spans="28:28">
      <c r="AB1366" s="1151"/>
    </row>
    <row r="1367" spans="28:28">
      <c r="AB1367" s="1151"/>
    </row>
    <row r="1368" spans="28:28">
      <c r="AB1368" s="1151"/>
    </row>
    <row r="1369" spans="28:28">
      <c r="AB1369" s="1151"/>
    </row>
    <row r="1370" spans="28:28">
      <c r="AB1370" s="1151"/>
    </row>
    <row r="1371" spans="28:28">
      <c r="AB1371" s="1151"/>
    </row>
    <row r="1372" spans="28:28">
      <c r="AB1372" s="1151"/>
    </row>
    <row r="1373" spans="28:28">
      <c r="AB1373" s="1151"/>
    </row>
    <row r="1374" spans="28:28">
      <c r="AB1374" s="1151"/>
    </row>
    <row r="1375" spans="28:28">
      <c r="AB1375" s="1151"/>
    </row>
    <row r="1376" spans="28:28">
      <c r="AB1376" s="1151"/>
    </row>
    <row r="1377" spans="28:28">
      <c r="AB1377" s="1151"/>
    </row>
    <row r="1378" spans="28:28">
      <c r="AB1378" s="1151"/>
    </row>
    <row r="1379" spans="28:28">
      <c r="AB1379" s="1151"/>
    </row>
    <row r="1380" spans="28:28">
      <c r="AB1380" s="1151"/>
    </row>
    <row r="1381" spans="28:28">
      <c r="AB1381" s="1151"/>
    </row>
    <row r="1382" spans="28:28">
      <c r="AB1382" s="1151"/>
    </row>
    <row r="1383" spans="28:28">
      <c r="AB1383" s="1151"/>
    </row>
    <row r="1384" spans="28:28">
      <c r="AB1384" s="1151"/>
    </row>
    <row r="1385" spans="28:28">
      <c r="AB1385" s="1151"/>
    </row>
    <row r="1386" spans="28:28">
      <c r="AB1386" s="1151"/>
    </row>
    <row r="1387" spans="28:28">
      <c r="AB1387" s="1151"/>
    </row>
    <row r="1388" spans="28:28">
      <c r="AB1388" s="1151"/>
    </row>
    <row r="1389" spans="28:28">
      <c r="AB1389" s="1151"/>
    </row>
    <row r="1390" spans="28:28">
      <c r="AB1390" s="1151"/>
    </row>
    <row r="1391" spans="28:28">
      <c r="AB1391" s="1151"/>
    </row>
    <row r="1392" spans="28:28">
      <c r="AB1392" s="1151"/>
    </row>
    <row r="1393" spans="28:28">
      <c r="AB1393" s="1151"/>
    </row>
    <row r="1394" spans="28:28">
      <c r="AB1394" s="1151"/>
    </row>
    <row r="1395" spans="28:28">
      <c r="AB1395" s="1151"/>
    </row>
    <row r="1396" spans="28:28">
      <c r="AB1396" s="1151"/>
    </row>
    <row r="1397" spans="28:28">
      <c r="AB1397" s="1151"/>
    </row>
    <row r="1398" spans="28:28">
      <c r="AB1398" s="1151"/>
    </row>
    <row r="1399" spans="28:28">
      <c r="AB1399" s="1151"/>
    </row>
    <row r="1400" spans="28:28">
      <c r="AB1400" s="1151"/>
    </row>
    <row r="1401" spans="28:28">
      <c r="AB1401" s="1151"/>
    </row>
    <row r="1402" spans="28:28">
      <c r="AB1402" s="1151"/>
    </row>
    <row r="1403" spans="28:28">
      <c r="AB1403" s="1151"/>
    </row>
    <row r="1404" spans="28:28">
      <c r="AB1404" s="1151"/>
    </row>
    <row r="1405" spans="28:28">
      <c r="AB1405" s="1151"/>
    </row>
    <row r="1406" spans="28:28">
      <c r="AB1406" s="1151"/>
    </row>
    <row r="1407" spans="28:28">
      <c r="AB1407" s="1151"/>
    </row>
    <row r="1408" spans="28:28">
      <c r="AB1408" s="1151"/>
    </row>
    <row r="1409" spans="28:28">
      <c r="AB1409" s="1151"/>
    </row>
    <row r="1410" spans="28:28">
      <c r="AB1410" s="1151"/>
    </row>
    <row r="1411" spans="28:28">
      <c r="AB1411" s="1151"/>
    </row>
    <row r="1412" spans="28:28">
      <c r="AB1412" s="1151"/>
    </row>
    <row r="1413" spans="28:28">
      <c r="AB1413" s="1151"/>
    </row>
    <row r="1414" spans="28:28">
      <c r="AB1414" s="1151"/>
    </row>
    <row r="1415" spans="28:28">
      <c r="AB1415" s="1151"/>
    </row>
    <row r="1416" spans="28:28">
      <c r="AB1416" s="1151"/>
    </row>
    <row r="1417" spans="28:28">
      <c r="AB1417" s="1151"/>
    </row>
    <row r="1418" spans="28:28">
      <c r="AB1418" s="1151"/>
    </row>
    <row r="1419" spans="28:28">
      <c r="AB1419" s="1151"/>
    </row>
    <row r="1420" spans="28:28">
      <c r="AB1420" s="1151"/>
    </row>
    <row r="1421" spans="28:28">
      <c r="AB1421" s="1151"/>
    </row>
    <row r="1422" spans="28:28">
      <c r="AB1422" s="1151"/>
    </row>
    <row r="1423" spans="28:28">
      <c r="AB1423" s="1151"/>
    </row>
    <row r="1424" spans="28:28">
      <c r="AB1424" s="1151"/>
    </row>
    <row r="1425" spans="28:28">
      <c r="AB1425" s="1151"/>
    </row>
    <row r="1426" spans="28:28">
      <c r="AB1426" s="1151"/>
    </row>
    <row r="1427" spans="28:28">
      <c r="AB1427" s="1151"/>
    </row>
    <row r="1428" spans="28:28">
      <c r="AB1428" s="1151"/>
    </row>
    <row r="1429" spans="28:28">
      <c r="AB1429" s="1151"/>
    </row>
    <row r="1430" spans="28:28">
      <c r="AB1430" s="1151"/>
    </row>
    <row r="1431" spans="28:28">
      <c r="AB1431" s="1151"/>
    </row>
    <row r="1432" spans="28:28">
      <c r="AB1432" s="1151"/>
    </row>
    <row r="1433" spans="28:28">
      <c r="AB1433" s="1151"/>
    </row>
    <row r="1434" spans="28:28">
      <c r="AB1434" s="1151"/>
    </row>
    <row r="1435" spans="28:28">
      <c r="AB1435" s="1151"/>
    </row>
    <row r="1436" spans="28:28">
      <c r="AB1436" s="1151"/>
    </row>
    <row r="1437" spans="28:28">
      <c r="AB1437" s="1151"/>
    </row>
    <row r="1438" spans="28:28">
      <c r="AB1438" s="1151"/>
    </row>
    <row r="1439" spans="28:28">
      <c r="AB1439" s="1151"/>
    </row>
    <row r="1440" spans="28:28">
      <c r="AB1440" s="1151"/>
    </row>
    <row r="1441" spans="28:28">
      <c r="AB1441" s="1151"/>
    </row>
    <row r="1442" spans="28:28">
      <c r="AB1442" s="1151"/>
    </row>
    <row r="1443" spans="28:28">
      <c r="AB1443" s="1151"/>
    </row>
    <row r="1444" spans="28:28">
      <c r="AB1444" s="1151"/>
    </row>
    <row r="1445" spans="28:28">
      <c r="AB1445" s="1151"/>
    </row>
    <row r="1446" spans="28:28">
      <c r="AB1446" s="1151"/>
    </row>
    <row r="1447" spans="28:28">
      <c r="AB1447" s="1151"/>
    </row>
    <row r="1448" spans="28:28">
      <c r="AB1448" s="1151"/>
    </row>
    <row r="1449" spans="28:28">
      <c r="AB1449" s="1151"/>
    </row>
    <row r="1450" spans="28:28">
      <c r="AB1450" s="1151"/>
    </row>
    <row r="1451" spans="28:28">
      <c r="AB1451" s="1151"/>
    </row>
    <row r="1452" spans="28:28">
      <c r="AB1452" s="1151"/>
    </row>
    <row r="1453" spans="28:28">
      <c r="AB1453" s="1151"/>
    </row>
    <row r="1454" spans="28:28">
      <c r="AB1454" s="1151"/>
    </row>
    <row r="1455" spans="28:28">
      <c r="AB1455" s="1151"/>
    </row>
    <row r="1456" spans="28:28">
      <c r="AB1456" s="1151"/>
    </row>
    <row r="1457" spans="28:28">
      <c r="AB1457" s="1151"/>
    </row>
    <row r="1458" spans="28:28">
      <c r="AB1458" s="1151"/>
    </row>
    <row r="1459" spans="28:28">
      <c r="AB1459" s="1151"/>
    </row>
    <row r="1460" spans="28:28">
      <c r="AB1460" s="1151"/>
    </row>
    <row r="1461" spans="28:28">
      <c r="AB1461" s="1151"/>
    </row>
    <row r="1462" spans="28:28">
      <c r="AB1462" s="1151"/>
    </row>
    <row r="1463" spans="28:28">
      <c r="AB1463" s="1151"/>
    </row>
    <row r="1464" spans="28:28">
      <c r="AB1464" s="1151"/>
    </row>
    <row r="1465" spans="28:28">
      <c r="AB1465" s="1151"/>
    </row>
    <row r="1466" spans="28:28">
      <c r="AB1466" s="1151"/>
    </row>
    <row r="1467" spans="28:28">
      <c r="AB1467" s="1151"/>
    </row>
    <row r="1468" spans="28:28">
      <c r="AB1468" s="1151"/>
    </row>
    <row r="1469" spans="28:28">
      <c r="AB1469" s="1151"/>
    </row>
    <row r="1470" spans="28:28">
      <c r="AB1470" s="1151"/>
    </row>
    <row r="1471" spans="28:28">
      <c r="AB1471" s="1151"/>
    </row>
    <row r="1472" spans="28:28">
      <c r="AB1472" s="1151"/>
    </row>
    <row r="1473" spans="28:28">
      <c r="AB1473" s="1151"/>
    </row>
    <row r="1474" spans="28:28">
      <c r="AB1474" s="1151"/>
    </row>
    <row r="1475" spans="28:28">
      <c r="AB1475" s="1151"/>
    </row>
    <row r="1476" spans="28:28">
      <c r="AB1476" s="1151"/>
    </row>
    <row r="1477" spans="28:28">
      <c r="AB1477" s="1151"/>
    </row>
    <row r="1478" spans="28:28">
      <c r="AB1478" s="1151"/>
    </row>
    <row r="1479" spans="28:28">
      <c r="AB1479" s="1151"/>
    </row>
    <row r="1480" spans="28:28">
      <c r="AB1480" s="1151"/>
    </row>
    <row r="1481" spans="28:28">
      <c r="AB1481" s="1151"/>
    </row>
    <row r="1482" spans="28:28">
      <c r="AB1482" s="1151"/>
    </row>
    <row r="1483" spans="28:28">
      <c r="AB1483" s="1151"/>
    </row>
    <row r="1484" spans="28:28">
      <c r="AB1484" s="1151"/>
    </row>
    <row r="1485" spans="28:28">
      <c r="AB1485" s="1151"/>
    </row>
    <row r="1486" spans="28:28">
      <c r="AB1486" s="1151"/>
    </row>
    <row r="1487" spans="28:28">
      <c r="AB1487" s="1151"/>
    </row>
    <row r="1488" spans="28:28">
      <c r="AB1488" s="1151"/>
    </row>
    <row r="1489" spans="28:28">
      <c r="AB1489" s="1151"/>
    </row>
    <row r="1490" spans="28:28">
      <c r="AB1490" s="1151"/>
    </row>
    <row r="1491" spans="28:28">
      <c r="AB1491" s="1151"/>
    </row>
    <row r="1492" spans="28:28">
      <c r="AB1492" s="1151"/>
    </row>
    <row r="1493" spans="28:28">
      <c r="AB1493" s="1151"/>
    </row>
    <row r="1494" spans="28:28">
      <c r="AB1494" s="1151"/>
    </row>
    <row r="1495" spans="28:28">
      <c r="AB1495" s="1151"/>
    </row>
    <row r="1496" spans="28:28">
      <c r="AB1496" s="1151"/>
    </row>
    <row r="1497" spans="28:28">
      <c r="AB1497" s="1151"/>
    </row>
    <row r="1498" spans="28:28">
      <c r="AB1498" s="1151"/>
    </row>
    <row r="1499" spans="28:28">
      <c r="AB1499" s="1151"/>
    </row>
    <row r="1500" spans="28:28">
      <c r="AB1500" s="1151"/>
    </row>
    <row r="1501" spans="28:28">
      <c r="AB1501" s="1151"/>
    </row>
    <row r="1502" spans="28:28">
      <c r="AB1502" s="1151"/>
    </row>
    <row r="1503" spans="28:28">
      <c r="AB1503" s="1151"/>
    </row>
    <row r="1504" spans="28:28">
      <c r="AB1504" s="1151"/>
    </row>
    <row r="1505" spans="28:28">
      <c r="AB1505" s="1151"/>
    </row>
    <row r="1506" spans="28:28">
      <c r="AB1506" s="1151"/>
    </row>
    <row r="1507" spans="28:28">
      <c r="AB1507" s="1151"/>
    </row>
    <row r="1508" spans="28:28">
      <c r="AB1508" s="1151"/>
    </row>
    <row r="1509" spans="28:28">
      <c r="AB1509" s="1151"/>
    </row>
    <row r="1510" spans="28:28">
      <c r="AB1510" s="1151"/>
    </row>
    <row r="1511" spans="28:28">
      <c r="AB1511" s="1151"/>
    </row>
    <row r="1512" spans="28:28">
      <c r="AB1512" s="1151"/>
    </row>
    <row r="1513" spans="28:28">
      <c r="AB1513" s="1151"/>
    </row>
    <row r="1514" spans="28:28">
      <c r="AB1514" s="1151"/>
    </row>
    <row r="1515" spans="28:28">
      <c r="AB1515" s="1151"/>
    </row>
    <row r="1516" spans="28:28">
      <c r="AB1516" s="1151"/>
    </row>
    <row r="1517" spans="28:28">
      <c r="AB1517" s="1151"/>
    </row>
    <row r="1518" spans="28:28">
      <c r="AB1518" s="1151"/>
    </row>
    <row r="1519" spans="28:28">
      <c r="AB1519" s="1151"/>
    </row>
    <row r="1520" spans="28:28">
      <c r="AB1520" s="1151"/>
    </row>
    <row r="1521" spans="28:28">
      <c r="AB1521" s="1151"/>
    </row>
    <row r="1522" spans="28:28">
      <c r="AB1522" s="1151"/>
    </row>
    <row r="1523" spans="28:28">
      <c r="AB1523" s="1151"/>
    </row>
    <row r="1524" spans="28:28">
      <c r="AB1524" s="1151"/>
    </row>
    <row r="1525" spans="28:28">
      <c r="AB1525" s="1151"/>
    </row>
    <row r="1526" spans="28:28">
      <c r="AB1526" s="1151"/>
    </row>
    <row r="1527" spans="28:28">
      <c r="AB1527" s="1151"/>
    </row>
    <row r="1528" spans="28:28">
      <c r="AB1528" s="1151"/>
    </row>
    <row r="1529" spans="28:28">
      <c r="AB1529" s="1151"/>
    </row>
    <row r="1530" spans="28:28">
      <c r="AB1530" s="1151"/>
    </row>
    <row r="1531" spans="28:28">
      <c r="AB1531" s="1151"/>
    </row>
    <row r="1532" spans="28:28">
      <c r="AB1532" s="1151"/>
    </row>
    <row r="1533" spans="28:28">
      <c r="AB1533" s="1151"/>
    </row>
    <row r="1534" spans="28:28">
      <c r="AB1534" s="1151"/>
    </row>
    <row r="1535" spans="28:28">
      <c r="AB1535" s="1151"/>
    </row>
    <row r="1536" spans="28:28">
      <c r="AB1536" s="1151"/>
    </row>
    <row r="1537" spans="28:28">
      <c r="AB1537" s="1151"/>
    </row>
    <row r="1538" spans="28:28">
      <c r="AB1538" s="1151"/>
    </row>
    <row r="1539" spans="28:28">
      <c r="AB1539" s="1151"/>
    </row>
    <row r="1540" spans="28:28">
      <c r="AB1540" s="1151"/>
    </row>
    <row r="1541" spans="28:28">
      <c r="AB1541" s="1151"/>
    </row>
    <row r="1542" spans="28:28">
      <c r="AB1542" s="1151"/>
    </row>
    <row r="1543" spans="28:28">
      <c r="AB1543" s="1151"/>
    </row>
    <row r="1544" spans="28:28">
      <c r="AB1544" s="1151"/>
    </row>
    <row r="1545" spans="28:28">
      <c r="AB1545" s="1151"/>
    </row>
    <row r="1546" spans="28:28">
      <c r="AB1546" s="1151"/>
    </row>
    <row r="1547" spans="28:28">
      <c r="AB1547" s="1151"/>
    </row>
    <row r="1548" spans="28:28">
      <c r="AB1548" s="1151"/>
    </row>
    <row r="1549" spans="28:28">
      <c r="AB1549" s="1151"/>
    </row>
    <row r="1550" spans="28:28">
      <c r="AB1550" s="1151"/>
    </row>
    <row r="1551" spans="28:28">
      <c r="AB1551" s="1151"/>
    </row>
    <row r="1552" spans="28:28">
      <c r="AB1552" s="1151"/>
    </row>
    <row r="1553" spans="28:28">
      <c r="AB1553" s="1151"/>
    </row>
    <row r="1554" spans="28:28">
      <c r="AB1554" s="1151"/>
    </row>
    <row r="1555" spans="28:28">
      <c r="AB1555" s="1151"/>
    </row>
    <row r="1556" spans="28:28">
      <c r="AB1556" s="1151"/>
    </row>
    <row r="1557" spans="28:28">
      <c r="AB1557" s="1151"/>
    </row>
    <row r="1558" spans="28:28">
      <c r="AB1558" s="1151"/>
    </row>
    <row r="1559" spans="28:28">
      <c r="AB1559" s="1151"/>
    </row>
    <row r="1560" spans="28:28">
      <c r="AB1560" s="1151"/>
    </row>
    <row r="1561" spans="28:28">
      <c r="AB1561" s="1151"/>
    </row>
    <row r="1562" spans="28:28">
      <c r="AB1562" s="1151"/>
    </row>
    <row r="1563" spans="28:28">
      <c r="AB1563" s="1151"/>
    </row>
    <row r="1564" spans="28:28">
      <c r="AB1564" s="1151"/>
    </row>
    <row r="1565" spans="28:28">
      <c r="AB1565" s="1151"/>
    </row>
    <row r="1566" spans="28:28">
      <c r="AB1566" s="1151"/>
    </row>
    <row r="1567" spans="28:28">
      <c r="AB1567" s="1151"/>
    </row>
    <row r="1568" spans="28:28">
      <c r="AB1568" s="1151"/>
    </row>
    <row r="1569" spans="28:28">
      <c r="AB1569" s="1151"/>
    </row>
    <row r="1570" spans="28:28">
      <c r="AB1570" s="1151"/>
    </row>
    <row r="1571" spans="28:28">
      <c r="AB1571" s="1151"/>
    </row>
    <row r="1572" spans="28:28">
      <c r="AB1572" s="1151"/>
    </row>
    <row r="1573" spans="28:28">
      <c r="AB1573" s="1151"/>
    </row>
    <row r="1574" spans="28:28">
      <c r="AB1574" s="1151"/>
    </row>
    <row r="1575" spans="28:28">
      <c r="AB1575" s="1151"/>
    </row>
    <row r="1576" spans="28:28">
      <c r="AB1576" s="1151"/>
    </row>
    <row r="1577" spans="28:28">
      <c r="AB1577" s="1151"/>
    </row>
    <row r="1578" spans="28:28">
      <c r="AB1578" s="1151"/>
    </row>
    <row r="1579" spans="28:28">
      <c r="AB1579" s="1151"/>
    </row>
    <row r="1580" spans="28:28">
      <c r="AB1580" s="1151"/>
    </row>
    <row r="1581" spans="28:28">
      <c r="AB1581" s="1151"/>
    </row>
    <row r="1582" spans="28:28">
      <c r="AB1582" s="1151"/>
    </row>
    <row r="1583" spans="28:28">
      <c r="AB1583" s="1151"/>
    </row>
    <row r="1584" spans="28:28">
      <c r="AB1584" s="1151"/>
    </row>
    <row r="1585" spans="28:28">
      <c r="AB1585" s="1151"/>
    </row>
    <row r="1586" spans="28:28">
      <c r="AB1586" s="1151"/>
    </row>
    <row r="1587" spans="28:28">
      <c r="AB1587" s="1151"/>
    </row>
    <row r="1588" spans="28:28">
      <c r="AB1588" s="1151"/>
    </row>
    <row r="1589" spans="28:28">
      <c r="AB1589" s="1151"/>
    </row>
    <row r="1590" spans="28:28">
      <c r="AB1590" s="1151"/>
    </row>
    <row r="1591" spans="28:28">
      <c r="AB1591" s="1151"/>
    </row>
    <row r="1592" spans="28:28">
      <c r="AB1592" s="1151"/>
    </row>
    <row r="1593" spans="28:28">
      <c r="AB1593" s="1151"/>
    </row>
    <row r="1594" spans="28:28">
      <c r="AB1594" s="1151"/>
    </row>
    <row r="1595" spans="28:28">
      <c r="AB1595" s="1151"/>
    </row>
    <row r="1596" spans="28:28">
      <c r="AB1596" s="1151"/>
    </row>
    <row r="1597" spans="28:28">
      <c r="AB1597" s="1151"/>
    </row>
    <row r="1598" spans="28:28">
      <c r="AB1598" s="1151"/>
    </row>
    <row r="1599" spans="28:28">
      <c r="AB1599" s="1151"/>
    </row>
    <row r="1600" spans="28:28">
      <c r="AB1600" s="1151"/>
    </row>
    <row r="1601" spans="28:28">
      <c r="AB1601" s="1151"/>
    </row>
    <row r="1602" spans="28:28">
      <c r="AB1602" s="1151"/>
    </row>
    <row r="1603" spans="28:28">
      <c r="AB1603" s="1151"/>
    </row>
    <row r="1604" spans="28:28">
      <c r="AB1604" s="1151"/>
    </row>
    <row r="1605" spans="28:28">
      <c r="AB1605" s="1151"/>
    </row>
    <row r="1606" spans="28:28">
      <c r="AB1606" s="1151"/>
    </row>
    <row r="1607" spans="28:28">
      <c r="AB1607" s="1151"/>
    </row>
    <row r="1608" spans="28:28">
      <c r="AB1608" s="1151"/>
    </row>
    <row r="1609" spans="28:28">
      <c r="AB1609" s="1151"/>
    </row>
    <row r="1610" spans="28:28">
      <c r="AB1610" s="1151"/>
    </row>
    <row r="1611" spans="28:28">
      <c r="AB1611" s="1151"/>
    </row>
    <row r="1612" spans="28:28">
      <c r="AB1612" s="1151"/>
    </row>
    <row r="1613" spans="28:28">
      <c r="AB1613" s="1151"/>
    </row>
    <row r="1614" spans="28:28">
      <c r="AB1614" s="1151"/>
    </row>
    <row r="1615" spans="28:28">
      <c r="AB1615" s="1151"/>
    </row>
    <row r="1616" spans="28:28">
      <c r="AB1616" s="1151"/>
    </row>
    <row r="1617" spans="28:28">
      <c r="AB1617" s="1151"/>
    </row>
    <row r="1618" spans="28:28">
      <c r="AB1618" s="1151"/>
    </row>
    <row r="1619" spans="28:28">
      <c r="AB1619" s="1151"/>
    </row>
    <row r="1620" spans="28:28">
      <c r="AB1620" s="1151"/>
    </row>
    <row r="1621" spans="28:28">
      <c r="AB1621" s="1151"/>
    </row>
    <row r="1622" spans="28:28">
      <c r="AB1622" s="1151"/>
    </row>
    <row r="1623" spans="28:28">
      <c r="AB1623" s="1151"/>
    </row>
    <row r="1624" spans="28:28">
      <c r="AB1624" s="1151"/>
    </row>
    <row r="1625" spans="28:28">
      <c r="AB1625" s="1151"/>
    </row>
    <row r="1626" spans="28:28">
      <c r="AB1626" s="1151"/>
    </row>
    <row r="1627" spans="28:28">
      <c r="AB1627" s="1151"/>
    </row>
    <row r="1628" spans="28:28">
      <c r="AB1628" s="1151"/>
    </row>
    <row r="1629" spans="28:28">
      <c r="AB1629" s="1151"/>
    </row>
    <row r="1630" spans="28:28">
      <c r="AB1630" s="1151"/>
    </row>
    <row r="1631" spans="28:28">
      <c r="AB1631" s="1151"/>
    </row>
    <row r="1632" spans="28:28">
      <c r="AB1632" s="1151"/>
    </row>
    <row r="1633" spans="28:28">
      <c r="AB1633" s="1151"/>
    </row>
    <row r="1634" spans="28:28">
      <c r="AB1634" s="1151"/>
    </row>
    <row r="1635" spans="28:28">
      <c r="AB1635" s="1151"/>
    </row>
    <row r="1636" spans="28:28">
      <c r="AB1636" s="1151"/>
    </row>
    <row r="1637" spans="28:28">
      <c r="AB1637" s="1151"/>
    </row>
    <row r="1638" spans="28:28">
      <c r="AB1638" s="1151"/>
    </row>
    <row r="1639" spans="28:28">
      <c r="AB1639" s="1151"/>
    </row>
    <row r="1640" spans="28:28">
      <c r="AB1640" s="1151"/>
    </row>
    <row r="1641" spans="28:28">
      <c r="AB1641" s="1151"/>
    </row>
    <row r="1642" spans="28:28">
      <c r="AB1642" s="1151"/>
    </row>
    <row r="1643" spans="28:28">
      <c r="AB1643" s="1151"/>
    </row>
    <row r="1644" spans="28:28">
      <c r="AB1644" s="1151"/>
    </row>
    <row r="1645" spans="28:28">
      <c r="AB1645" s="1151"/>
    </row>
    <row r="1646" spans="28:28">
      <c r="AB1646" s="1151"/>
    </row>
    <row r="1647" spans="28:28">
      <c r="AB1647" s="1151"/>
    </row>
    <row r="1648" spans="28:28">
      <c r="AB1648" s="1151"/>
    </row>
    <row r="1649" spans="28:28">
      <c r="AB1649" s="1151"/>
    </row>
    <row r="1650" spans="28:28">
      <c r="AB1650" s="1151"/>
    </row>
    <row r="1651" spans="28:28">
      <c r="AB1651" s="1151"/>
    </row>
    <row r="1652" spans="28:28">
      <c r="AB1652" s="1151"/>
    </row>
    <row r="1653" spans="28:28">
      <c r="AB1653" s="1151"/>
    </row>
    <row r="1654" spans="28:28">
      <c r="AB1654" s="1151"/>
    </row>
    <row r="1655" spans="28:28">
      <c r="AB1655" s="1151"/>
    </row>
    <row r="1656" spans="28:28">
      <c r="AB1656" s="1151"/>
    </row>
    <row r="1657" spans="28:28">
      <c r="AB1657" s="1151"/>
    </row>
    <row r="1658" spans="28:28">
      <c r="AB1658" s="1151"/>
    </row>
    <row r="1659" spans="28:28">
      <c r="AB1659" s="1151"/>
    </row>
    <row r="1660" spans="28:28">
      <c r="AB1660" s="1151"/>
    </row>
    <row r="1661" spans="28:28">
      <c r="AB1661" s="1151"/>
    </row>
    <row r="1662" spans="28:28">
      <c r="AB1662" s="1151"/>
    </row>
    <row r="1663" spans="28:28">
      <c r="AB1663" s="1151"/>
    </row>
    <row r="1664" spans="28:28">
      <c r="AB1664" s="1151"/>
    </row>
    <row r="1665" spans="28:28">
      <c r="AB1665" s="1151"/>
    </row>
    <row r="1666" spans="28:28">
      <c r="AB1666" s="1151"/>
    </row>
    <row r="1667" spans="28:28">
      <c r="AB1667" s="1151"/>
    </row>
    <row r="1668" spans="28:28">
      <c r="AB1668" s="1151"/>
    </row>
    <row r="1669" spans="28:28">
      <c r="AB1669" s="1151"/>
    </row>
    <row r="1670" spans="28:28">
      <c r="AB1670" s="1151"/>
    </row>
    <row r="1671" spans="28:28">
      <c r="AB1671" s="1151"/>
    </row>
    <row r="1672" spans="28:28">
      <c r="AB1672" s="1151"/>
    </row>
    <row r="1673" spans="28:28">
      <c r="AB1673" s="1151"/>
    </row>
    <row r="1674" spans="28:28">
      <c r="AB1674" s="1151"/>
    </row>
    <row r="1675" spans="28:28">
      <c r="AB1675" s="1151"/>
    </row>
    <row r="1676" spans="28:28">
      <c r="AB1676" s="1151"/>
    </row>
    <row r="1677" spans="28:28">
      <c r="AB1677" s="1151"/>
    </row>
    <row r="1678" spans="28:28">
      <c r="AB1678" s="1151"/>
    </row>
    <row r="1679" spans="28:28">
      <c r="AB1679" s="1151"/>
    </row>
    <row r="1680" spans="28:28">
      <c r="AB1680" s="1151"/>
    </row>
    <row r="1681" spans="28:28">
      <c r="AB1681" s="1151"/>
    </row>
    <row r="1682" spans="28:28">
      <c r="AB1682" s="1151"/>
    </row>
    <row r="1683" spans="28:28">
      <c r="AB1683" s="1151"/>
    </row>
    <row r="1684" spans="28:28">
      <c r="AB1684" s="1151"/>
    </row>
    <row r="1685" spans="28:28">
      <c r="AB1685" s="1151"/>
    </row>
    <row r="1686" spans="28:28">
      <c r="AB1686" s="1151"/>
    </row>
    <row r="1687" spans="28:28">
      <c r="AB1687" s="1151"/>
    </row>
    <row r="1688" spans="28:28">
      <c r="AB1688" s="1151"/>
    </row>
    <row r="1689" spans="28:28">
      <c r="AB1689" s="1151"/>
    </row>
    <row r="1690" spans="28:28">
      <c r="AB1690" s="1151"/>
    </row>
    <row r="1691" spans="28:28">
      <c r="AB1691" s="1151"/>
    </row>
    <row r="1692" spans="28:28">
      <c r="AB1692" s="1151"/>
    </row>
    <row r="1693" spans="28:28">
      <c r="AB1693" s="1151"/>
    </row>
    <row r="1694" spans="28:28">
      <c r="AB1694" s="1151"/>
    </row>
    <row r="1695" spans="28:28">
      <c r="AB1695" s="1151"/>
    </row>
    <row r="1696" spans="28:28">
      <c r="AB1696" s="1151"/>
    </row>
    <row r="1697" spans="28:28">
      <c r="AB1697" s="1151"/>
    </row>
    <row r="1698" spans="28:28">
      <c r="AB1698" s="1151"/>
    </row>
    <row r="1699" spans="28:28">
      <c r="AB1699" s="1151"/>
    </row>
    <row r="1700" spans="28:28">
      <c r="AB1700" s="1151"/>
    </row>
    <row r="1701" spans="28:28">
      <c r="AB1701" s="1151"/>
    </row>
    <row r="1702" spans="28:28">
      <c r="AB1702" s="1151"/>
    </row>
    <row r="1703" spans="28:28">
      <c r="AB1703" s="1151"/>
    </row>
    <row r="1704" spans="28:28">
      <c r="AB1704" s="1151"/>
    </row>
    <row r="1705" spans="28:28">
      <c r="AB1705" s="1151"/>
    </row>
    <row r="1706" spans="28:28">
      <c r="AB1706" s="1151"/>
    </row>
    <row r="1707" spans="28:28">
      <c r="AB1707" s="1151"/>
    </row>
    <row r="1708" spans="28:28">
      <c r="AB1708" s="1151"/>
    </row>
    <row r="1709" spans="28:28">
      <c r="AB1709" s="1151"/>
    </row>
    <row r="1710" spans="28:28">
      <c r="AB1710" s="1151"/>
    </row>
    <row r="1711" spans="28:28">
      <c r="AB1711" s="1151"/>
    </row>
    <row r="1712" spans="28:28">
      <c r="AB1712" s="1151"/>
    </row>
    <row r="1713" spans="28:28">
      <c r="AB1713" s="1151"/>
    </row>
    <row r="1714" spans="28:28">
      <c r="AB1714" s="1151"/>
    </row>
    <row r="1715" spans="28:28">
      <c r="AB1715" s="1151"/>
    </row>
    <row r="1716" spans="28:28">
      <c r="AB1716" s="1151"/>
    </row>
    <row r="1717" spans="28:28">
      <c r="AB1717" s="1151"/>
    </row>
    <row r="1718" spans="28:28">
      <c r="AB1718" s="1151"/>
    </row>
    <row r="1719" spans="28:28">
      <c r="AB1719" s="1151"/>
    </row>
    <row r="1720" spans="28:28">
      <c r="AB1720" s="1151"/>
    </row>
    <row r="1721" spans="28:28">
      <c r="AB1721" s="1151"/>
    </row>
    <row r="1722" spans="28:28">
      <c r="AB1722" s="1151"/>
    </row>
    <row r="1723" spans="28:28">
      <c r="AB1723" s="1151"/>
    </row>
    <row r="1724" spans="28:28">
      <c r="AB1724" s="1151"/>
    </row>
    <row r="1725" spans="28:28">
      <c r="AB1725" s="1151"/>
    </row>
    <row r="1726" spans="28:28">
      <c r="AB1726" s="1151"/>
    </row>
    <row r="1727" spans="28:28">
      <c r="AB1727" s="1151"/>
    </row>
    <row r="1728" spans="28:28">
      <c r="AB1728" s="1151"/>
    </row>
    <row r="1729" spans="28:28">
      <c r="AB1729" s="1151"/>
    </row>
    <row r="1730" spans="28:28">
      <c r="AB1730" s="1151"/>
    </row>
    <row r="1731" spans="28:28">
      <c r="AB1731" s="1151"/>
    </row>
    <row r="1732" spans="28:28">
      <c r="AB1732" s="1151"/>
    </row>
    <row r="1733" spans="28:28">
      <c r="AB1733" s="1151"/>
    </row>
    <row r="1734" spans="28:28">
      <c r="AB1734" s="1151"/>
    </row>
    <row r="1735" spans="28:28">
      <c r="AB1735" s="1151"/>
    </row>
    <row r="1736" spans="28:28">
      <c r="AB1736" s="1151"/>
    </row>
    <row r="1737" spans="28:28">
      <c r="AB1737" s="1151"/>
    </row>
    <row r="1738" spans="28:28">
      <c r="AB1738" s="1151"/>
    </row>
    <row r="1739" spans="28:28">
      <c r="AB1739" s="1151"/>
    </row>
    <row r="1740" spans="28:28">
      <c r="AB1740" s="1151"/>
    </row>
    <row r="1741" spans="28:28">
      <c r="AB1741" s="1151"/>
    </row>
    <row r="1742" spans="28:28">
      <c r="AB1742" s="1151"/>
    </row>
    <row r="1743" spans="28:28">
      <c r="AB1743" s="1151"/>
    </row>
    <row r="1744" spans="28:28">
      <c r="AB1744" s="1151"/>
    </row>
    <row r="1745" spans="28:28">
      <c r="AB1745" s="1151"/>
    </row>
    <row r="1746" spans="28:28">
      <c r="AB1746" s="1151"/>
    </row>
    <row r="1747" spans="28:28">
      <c r="AB1747" s="1151"/>
    </row>
    <row r="1748" spans="28:28">
      <c r="AB1748" s="1151"/>
    </row>
    <row r="1749" spans="28:28">
      <c r="AB1749" s="1151"/>
    </row>
    <row r="1750" spans="28:28">
      <c r="AB1750" s="1151"/>
    </row>
    <row r="1751" spans="28:28">
      <c r="AB1751" s="1151"/>
    </row>
    <row r="1752" spans="28:28">
      <c r="AB1752" s="1151"/>
    </row>
    <row r="1753" spans="28:28">
      <c r="AB1753" s="1151"/>
    </row>
    <row r="1754" spans="28:28">
      <c r="AB1754" s="1151"/>
    </row>
    <row r="1755" spans="28:28">
      <c r="AB1755" s="1151"/>
    </row>
    <row r="1756" spans="28:28">
      <c r="AB1756" s="1151"/>
    </row>
    <row r="1757" spans="28:28">
      <c r="AB1757" s="1151"/>
    </row>
    <row r="1758" spans="28:28">
      <c r="AB1758" s="1151"/>
    </row>
    <row r="1759" spans="28:28">
      <c r="AB1759" s="1151"/>
    </row>
    <row r="1760" spans="28:28">
      <c r="AB1760" s="1151"/>
    </row>
    <row r="1761" spans="28:28">
      <c r="AB1761" s="1151"/>
    </row>
    <row r="1762" spans="28:28">
      <c r="AB1762" s="1151"/>
    </row>
    <row r="1763" spans="28:28">
      <c r="AB1763" s="1151"/>
    </row>
    <row r="1764" spans="28:28">
      <c r="AB1764" s="1151"/>
    </row>
    <row r="1765" spans="28:28">
      <c r="AB1765" s="1151"/>
    </row>
    <row r="1766" spans="28:28">
      <c r="AB1766" s="1151"/>
    </row>
    <row r="1767" spans="28:28">
      <c r="AB1767" s="1151"/>
    </row>
    <row r="1768" spans="28:28">
      <c r="AB1768" s="1151"/>
    </row>
    <row r="1769" spans="28:28">
      <c r="AB1769" s="1151"/>
    </row>
    <row r="1770" spans="28:28">
      <c r="AB1770" s="1151"/>
    </row>
    <row r="1771" spans="28:28">
      <c r="AB1771" s="1151"/>
    </row>
    <row r="1772" spans="28:28">
      <c r="AB1772" s="1151"/>
    </row>
    <row r="1773" spans="28:28">
      <c r="AB1773" s="1151"/>
    </row>
    <row r="1774" spans="28:28">
      <c r="AB1774" s="1151"/>
    </row>
    <row r="1775" spans="28:28">
      <c r="AB1775" s="1151"/>
    </row>
    <row r="1776" spans="28:28">
      <c r="AB1776" s="1151"/>
    </row>
    <row r="1777" spans="28:28">
      <c r="AB1777" s="1151"/>
    </row>
    <row r="1778" spans="28:28">
      <c r="AB1778" s="1151"/>
    </row>
    <row r="1779" spans="28:28">
      <c r="AB1779" s="1151"/>
    </row>
    <row r="1780" spans="28:28">
      <c r="AB1780" s="1151"/>
    </row>
    <row r="1781" spans="28:28">
      <c r="AB1781" s="1151"/>
    </row>
    <row r="1782" spans="28:28">
      <c r="AB1782" s="1151"/>
    </row>
    <row r="1783" spans="28:28">
      <c r="AB1783" s="1151"/>
    </row>
    <row r="1784" spans="28:28">
      <c r="AB1784" s="1151"/>
    </row>
    <row r="1785" spans="28:28">
      <c r="AB1785" s="1151"/>
    </row>
    <row r="1786" spans="28:28">
      <c r="AB1786" s="1151"/>
    </row>
    <row r="1787" spans="28:28">
      <c r="AB1787" s="1151"/>
    </row>
    <row r="1788" spans="28:28">
      <c r="AB1788" s="1151"/>
    </row>
    <row r="1789" spans="28:28">
      <c r="AB1789" s="1151"/>
    </row>
    <row r="1790" spans="28:28">
      <c r="AB1790" s="1151"/>
    </row>
    <row r="1791" spans="28:28">
      <c r="AB1791" s="1151"/>
    </row>
    <row r="1792" spans="28:28">
      <c r="AB1792" s="1151"/>
    </row>
    <row r="1793" spans="28:28">
      <c r="AB1793" s="1151"/>
    </row>
    <row r="1794" spans="28:28">
      <c r="AB1794" s="1151"/>
    </row>
    <row r="1795" spans="28:28">
      <c r="AB1795" s="1151"/>
    </row>
    <row r="1796" spans="28:28">
      <c r="AB1796" s="1151"/>
    </row>
    <row r="1797" spans="28:28">
      <c r="AB1797" s="1151"/>
    </row>
    <row r="1798" spans="28:28">
      <c r="AB1798" s="1151"/>
    </row>
    <row r="1799" spans="28:28">
      <c r="AB1799" s="1151"/>
    </row>
    <row r="1800" spans="28:28">
      <c r="AB1800" s="1151"/>
    </row>
    <row r="1801" spans="28:28">
      <c r="AB1801" s="1151"/>
    </row>
    <row r="1802" spans="28:28">
      <c r="AB1802" s="1151"/>
    </row>
    <row r="1803" spans="28:28">
      <c r="AB1803" s="1151"/>
    </row>
    <row r="1804" spans="28:28">
      <c r="AB1804" s="1151"/>
    </row>
    <row r="1805" spans="28:28">
      <c r="AB1805" s="1151"/>
    </row>
    <row r="1806" spans="28:28">
      <c r="AB1806" s="1151"/>
    </row>
    <row r="1807" spans="28:28">
      <c r="AB1807" s="1151"/>
    </row>
    <row r="1808" spans="28:28">
      <c r="AB1808" s="1151"/>
    </row>
    <row r="1809" spans="28:28">
      <c r="AB1809" s="1151"/>
    </row>
    <row r="1810" spans="28:28">
      <c r="AB1810" s="1151"/>
    </row>
    <row r="1811" spans="28:28">
      <c r="AB1811" s="1151"/>
    </row>
    <row r="1812" spans="28:28">
      <c r="AB1812" s="1151"/>
    </row>
    <row r="1813" spans="28:28">
      <c r="AB1813" s="1151"/>
    </row>
    <row r="1814" spans="28:28">
      <c r="AB1814" s="1151"/>
    </row>
    <row r="1815" spans="28:28">
      <c r="AB1815" s="1151"/>
    </row>
    <row r="1816" spans="28:28">
      <c r="AB1816" s="1151"/>
    </row>
    <row r="1817" spans="28:28">
      <c r="AB1817" s="1151"/>
    </row>
    <row r="1818" spans="28:28">
      <c r="AB1818" s="1151"/>
    </row>
    <row r="1819" spans="28:28">
      <c r="AB1819" s="1151"/>
    </row>
    <row r="1820" spans="28:28">
      <c r="AB1820" s="1151"/>
    </row>
    <row r="1821" spans="28:28">
      <c r="AB1821" s="1151"/>
    </row>
    <row r="1822" spans="28:28">
      <c r="AB1822" s="1151"/>
    </row>
    <row r="1823" spans="28:28">
      <c r="AB1823" s="1151"/>
    </row>
    <row r="1824" spans="28:28">
      <c r="AB1824" s="1151"/>
    </row>
    <row r="1825" spans="28:28">
      <c r="AB1825" s="1151"/>
    </row>
    <row r="1826" spans="28:28">
      <c r="AB1826" s="1151"/>
    </row>
    <row r="1827" spans="28:28">
      <c r="AB1827" s="1151"/>
    </row>
    <row r="1828" spans="28:28">
      <c r="AB1828" s="1151"/>
    </row>
    <row r="1829" spans="28:28">
      <c r="AB1829" s="1151"/>
    </row>
    <row r="1830" spans="28:28">
      <c r="AB1830" s="1151"/>
    </row>
    <row r="1831" spans="28:28">
      <c r="AB1831" s="1151"/>
    </row>
    <row r="1832" spans="28:28">
      <c r="AB1832" s="1151"/>
    </row>
    <row r="1833" spans="28:28">
      <c r="AB1833" s="1151"/>
    </row>
    <row r="1834" spans="28:28">
      <c r="AB1834" s="1151"/>
    </row>
    <row r="1835" spans="28:28">
      <c r="AB1835" s="1151"/>
    </row>
    <row r="1836" spans="28:28">
      <c r="AB1836" s="1151"/>
    </row>
    <row r="1837" spans="28:28">
      <c r="AB1837" s="1151"/>
    </row>
    <row r="1838" spans="28:28">
      <c r="AB1838" s="1151"/>
    </row>
    <row r="1839" spans="28:28">
      <c r="AB1839" s="1151"/>
    </row>
    <row r="1840" spans="28:28">
      <c r="AB1840" s="1151"/>
    </row>
    <row r="1841" spans="28:28">
      <c r="AB1841" s="1151"/>
    </row>
    <row r="1842" spans="28:28">
      <c r="AB1842" s="1151"/>
    </row>
    <row r="1843" spans="28:28">
      <c r="AB1843" s="1151"/>
    </row>
    <row r="1844" spans="28:28">
      <c r="AB1844" s="1151"/>
    </row>
    <row r="1845" spans="28:28">
      <c r="AB1845" s="1151"/>
    </row>
    <row r="1846" spans="28:28">
      <c r="AB1846" s="1151"/>
    </row>
    <row r="1847" spans="28:28">
      <c r="AB1847" s="1151"/>
    </row>
    <row r="1848" spans="28:28">
      <c r="AB1848" s="1151"/>
    </row>
    <row r="1849" spans="28:28">
      <c r="AB1849" s="1151"/>
    </row>
    <row r="1850" spans="28:28">
      <c r="AB1850" s="1151"/>
    </row>
    <row r="1851" spans="28:28">
      <c r="AB1851" s="1151"/>
    </row>
    <row r="1852" spans="28:28">
      <c r="AB1852" s="1151"/>
    </row>
    <row r="1853" spans="28:28">
      <c r="AB1853" s="1151"/>
    </row>
    <row r="1854" spans="28:28">
      <c r="AB1854" s="1151"/>
    </row>
    <row r="1855" spans="28:28">
      <c r="AB1855" s="1151"/>
    </row>
    <row r="1856" spans="28:28">
      <c r="AB1856" s="1151"/>
    </row>
    <row r="1857" spans="28:28">
      <c r="AB1857" s="1151"/>
    </row>
    <row r="1858" spans="28:28">
      <c r="AB1858" s="1151"/>
    </row>
    <row r="1859" spans="28:28">
      <c r="AB1859" s="1151"/>
    </row>
    <row r="1860" spans="28:28">
      <c r="AB1860" s="1151"/>
    </row>
    <row r="1861" spans="28:28">
      <c r="AB1861" s="1151"/>
    </row>
    <row r="1862" spans="28:28">
      <c r="AB1862" s="1151"/>
    </row>
    <row r="1863" spans="28:28">
      <c r="AB1863" s="1151"/>
    </row>
    <row r="1864" spans="28:28">
      <c r="AB1864" s="1151"/>
    </row>
    <row r="1865" spans="28:28">
      <c r="AB1865" s="1151"/>
    </row>
    <row r="1866" spans="28:28">
      <c r="AB1866" s="1151"/>
    </row>
    <row r="1867" spans="28:28">
      <c r="AB1867" s="1151"/>
    </row>
    <row r="1868" spans="28:28">
      <c r="AB1868" s="1151"/>
    </row>
    <row r="1869" spans="28:28">
      <c r="AB1869" s="1151"/>
    </row>
    <row r="1870" spans="28:28">
      <c r="AB1870" s="1151"/>
    </row>
    <row r="1871" spans="28:28">
      <c r="AB1871" s="1151"/>
    </row>
    <row r="1872" spans="28:28">
      <c r="AB1872" s="1151"/>
    </row>
    <row r="1873" spans="28:28">
      <c r="AB1873" s="1151"/>
    </row>
    <row r="1874" spans="28:28">
      <c r="AB1874" s="1151"/>
    </row>
    <row r="1875" spans="28:28">
      <c r="AB1875" s="1151"/>
    </row>
    <row r="1876" spans="28:28">
      <c r="AB1876" s="1151"/>
    </row>
    <row r="1877" spans="28:28">
      <c r="AB1877" s="1151"/>
    </row>
    <row r="1878" spans="28:28">
      <c r="AB1878" s="1151"/>
    </row>
    <row r="1879" spans="28:28">
      <c r="AB1879" s="1151"/>
    </row>
    <row r="1880" spans="28:28">
      <c r="AB1880" s="1151"/>
    </row>
    <row r="1881" spans="28:28">
      <c r="AB1881" s="1151"/>
    </row>
    <row r="1882" spans="28:28">
      <c r="AB1882" s="1151"/>
    </row>
    <row r="1883" spans="28:28">
      <c r="AB1883" s="1151"/>
    </row>
    <row r="1884" spans="28:28">
      <c r="AB1884" s="1151"/>
    </row>
    <row r="1885" spans="28:28">
      <c r="AB1885" s="1151"/>
    </row>
    <row r="1886" spans="28:28">
      <c r="AB1886" s="1151"/>
    </row>
    <row r="1887" spans="28:28">
      <c r="AB1887" s="1151"/>
    </row>
    <row r="1888" spans="28:28">
      <c r="AB1888" s="1151"/>
    </row>
    <row r="1889" spans="28:28">
      <c r="AB1889" s="1151"/>
    </row>
    <row r="1890" spans="28:28">
      <c r="AB1890" s="1151"/>
    </row>
    <row r="1891" spans="28:28">
      <c r="AB1891" s="1151"/>
    </row>
    <row r="1892" spans="28:28">
      <c r="AB1892" s="1151"/>
    </row>
    <row r="1893" spans="28:28">
      <c r="AB1893" s="1151"/>
    </row>
    <row r="1894" spans="28:28">
      <c r="AB1894" s="1151"/>
    </row>
    <row r="1895" spans="28:28">
      <c r="AB1895" s="1151"/>
    </row>
    <row r="1896" spans="28:28">
      <c r="AB1896" s="1151"/>
    </row>
    <row r="1897" spans="28:28">
      <c r="AB1897" s="1151"/>
    </row>
    <row r="1898" spans="28:28">
      <c r="AB1898" s="1151"/>
    </row>
    <row r="1899" spans="28:28">
      <c r="AB1899" s="1151"/>
    </row>
    <row r="1900" spans="28:28">
      <c r="AB1900" s="1151"/>
    </row>
    <row r="1901" spans="28:28">
      <c r="AB1901" s="1151"/>
    </row>
    <row r="1902" spans="28:28">
      <c r="AB1902" s="1151"/>
    </row>
    <row r="1903" spans="28:28">
      <c r="AB1903" s="1151"/>
    </row>
    <row r="1904" spans="28:28">
      <c r="AB1904" s="1151"/>
    </row>
    <row r="1905" spans="28:28">
      <c r="AB1905" s="1151"/>
    </row>
    <row r="1906" spans="28:28">
      <c r="AB1906" s="1151"/>
    </row>
    <row r="1907" spans="28:28">
      <c r="AB1907" s="1151"/>
    </row>
    <row r="1908" spans="28:28">
      <c r="AB1908" s="1151"/>
    </row>
    <row r="1909" spans="28:28">
      <c r="AB1909" s="1151"/>
    </row>
    <row r="1910" spans="28:28">
      <c r="AB1910" s="1151"/>
    </row>
    <row r="1911" spans="28:28">
      <c r="AB1911" s="1151"/>
    </row>
    <row r="1912" spans="28:28">
      <c r="AB1912" s="1151"/>
    </row>
    <row r="1913" spans="28:28">
      <c r="AB1913" s="1151"/>
    </row>
    <row r="1914" spans="28:28">
      <c r="AB1914" s="1151"/>
    </row>
    <row r="1915" spans="28:28">
      <c r="AB1915" s="1151"/>
    </row>
    <row r="1916" spans="28:28">
      <c r="AB1916" s="1151"/>
    </row>
    <row r="1917" spans="28:28">
      <c r="AB1917" s="1151"/>
    </row>
    <row r="1918" spans="28:28">
      <c r="AB1918" s="1151"/>
    </row>
    <row r="1919" spans="28:28">
      <c r="AB1919" s="1151"/>
    </row>
    <row r="1920" spans="28:28">
      <c r="AB1920" s="1151"/>
    </row>
    <row r="1921" spans="28:28">
      <c r="AB1921" s="1151"/>
    </row>
    <row r="1922" spans="28:28">
      <c r="AB1922" s="1151"/>
    </row>
    <row r="1923" spans="28:28">
      <c r="AB1923" s="1151"/>
    </row>
    <row r="1924" spans="28:28">
      <c r="AB1924" s="1151"/>
    </row>
    <row r="1925" spans="28:28">
      <c r="AB1925" s="1151"/>
    </row>
    <row r="1926" spans="28:28">
      <c r="AB1926" s="1151"/>
    </row>
    <row r="1927" spans="28:28">
      <c r="AB1927" s="1151"/>
    </row>
    <row r="1928" spans="28:28">
      <c r="AB1928" s="1151"/>
    </row>
    <row r="1929" spans="28:28">
      <c r="AB1929" s="1151"/>
    </row>
    <row r="1930" spans="28:28">
      <c r="AB1930" s="1151"/>
    </row>
    <row r="1931" spans="28:28">
      <c r="AB1931" s="1151"/>
    </row>
    <row r="1932" spans="28:28">
      <c r="AB1932" s="1151"/>
    </row>
    <row r="1933" spans="28:28">
      <c r="AB1933" s="1151"/>
    </row>
    <row r="1934" spans="28:28">
      <c r="AB1934" s="1151"/>
    </row>
    <row r="1935" spans="28:28">
      <c r="AB1935" s="1151"/>
    </row>
    <row r="1936" spans="28:28">
      <c r="AB1936" s="1151"/>
    </row>
    <row r="1937" spans="28:28">
      <c r="AB1937" s="1151"/>
    </row>
    <row r="1938" spans="28:28">
      <c r="AB1938" s="1151"/>
    </row>
    <row r="1939" spans="28:28">
      <c r="AB1939" s="1151"/>
    </row>
    <row r="1940" spans="28:28">
      <c r="AB1940" s="1151"/>
    </row>
    <row r="1941" spans="28:28">
      <c r="AB1941" s="1151"/>
    </row>
    <row r="1942" spans="28:28">
      <c r="AB1942" s="1151"/>
    </row>
    <row r="1943" spans="28:28">
      <c r="AB1943" s="1151"/>
    </row>
    <row r="1944" spans="28:28">
      <c r="AB1944" s="1151"/>
    </row>
    <row r="1945" spans="28:28">
      <c r="AB1945" s="1151"/>
    </row>
    <row r="1946" spans="28:28">
      <c r="AB1946" s="1151"/>
    </row>
    <row r="1947" spans="28:28">
      <c r="AB1947" s="1151"/>
    </row>
    <row r="1948" spans="28:28">
      <c r="AB1948" s="1151"/>
    </row>
    <row r="1949" spans="28:28">
      <c r="AB1949" s="1151"/>
    </row>
    <row r="1950" spans="28:28">
      <c r="AB1950" s="1151"/>
    </row>
    <row r="1951" spans="28:28">
      <c r="AB1951" s="1151"/>
    </row>
    <row r="1952" spans="28:28">
      <c r="AB1952" s="1151"/>
    </row>
    <row r="1953" spans="28:28">
      <c r="AB1953" s="1151"/>
    </row>
    <row r="1954" spans="28:28">
      <c r="AB1954" s="1151"/>
    </row>
    <row r="1955" spans="28:28">
      <c r="AB1955" s="1151"/>
    </row>
    <row r="1956" spans="28:28">
      <c r="AB1956" s="1151"/>
    </row>
    <row r="1957" spans="28:28">
      <c r="AB1957" s="1151"/>
    </row>
    <row r="1958" spans="28:28">
      <c r="AB1958" s="1151"/>
    </row>
    <row r="1959" spans="28:28">
      <c r="AB1959" s="1151"/>
    </row>
    <row r="1960" spans="28:28">
      <c r="AB1960" s="1151"/>
    </row>
    <row r="1961" spans="28:28">
      <c r="AB1961" s="1151"/>
    </row>
    <row r="1962" spans="28:28">
      <c r="AB1962" s="1151"/>
    </row>
    <row r="1963" spans="28:28">
      <c r="AB1963" s="1151"/>
    </row>
    <row r="1964" spans="28:28">
      <c r="AB1964" s="1151"/>
    </row>
    <row r="1965" spans="28:28">
      <c r="AB1965" s="1151"/>
    </row>
    <row r="1966" spans="28:28">
      <c r="AB1966" s="1151"/>
    </row>
    <row r="1967" spans="28:28">
      <c r="AB1967" s="1151"/>
    </row>
    <row r="1968" spans="28:28">
      <c r="AB1968" s="1151"/>
    </row>
    <row r="1969" spans="28:28">
      <c r="AB1969" s="1151"/>
    </row>
    <row r="1970" spans="28:28">
      <c r="AB1970" s="1151"/>
    </row>
    <row r="1971" spans="28:28">
      <c r="AB1971" s="1151"/>
    </row>
    <row r="1972" spans="28:28">
      <c r="AB1972" s="1151"/>
    </row>
    <row r="1973" spans="28:28">
      <c r="AB1973" s="1151"/>
    </row>
    <row r="1974" spans="28:28">
      <c r="AB1974" s="1151"/>
    </row>
    <row r="1975" spans="28:28">
      <c r="AB1975" s="1151"/>
    </row>
    <row r="1976" spans="28:28">
      <c r="AB1976" s="1151"/>
    </row>
    <row r="1977" spans="28:28">
      <c r="AB1977" s="1151"/>
    </row>
    <row r="1978" spans="28:28">
      <c r="AB1978" s="1151"/>
    </row>
    <row r="1979" spans="28:28">
      <c r="AB1979" s="1151"/>
    </row>
    <row r="1980" spans="28:28">
      <c r="AB1980" s="1151"/>
    </row>
    <row r="1981" spans="28:28">
      <c r="AB1981" s="1151"/>
    </row>
    <row r="1982" spans="28:28">
      <c r="AB1982" s="1151"/>
    </row>
    <row r="1983" spans="28:28">
      <c r="AB1983" s="1151"/>
    </row>
    <row r="1984" spans="28:28">
      <c r="AB1984" s="1151"/>
    </row>
    <row r="1985" spans="28:28">
      <c r="AB1985" s="1151"/>
    </row>
    <row r="1986" spans="28:28">
      <c r="AB1986" s="1151"/>
    </row>
    <row r="1987" spans="28:28">
      <c r="AB1987" s="1151"/>
    </row>
    <row r="1988" spans="28:28">
      <c r="AB1988" s="1151"/>
    </row>
    <row r="1989" spans="28:28">
      <c r="AB1989" s="1151"/>
    </row>
    <row r="1990" spans="28:28">
      <c r="AB1990" s="1151"/>
    </row>
    <row r="1991" spans="28:28">
      <c r="AB1991" s="1151"/>
    </row>
    <row r="1992" spans="28:28">
      <c r="AB1992" s="1151"/>
    </row>
    <row r="1993" spans="28:28">
      <c r="AB1993" s="1151"/>
    </row>
    <row r="1994" spans="28:28">
      <c r="AB1994" s="1151"/>
    </row>
    <row r="1995" spans="28:28">
      <c r="AB1995" s="1151"/>
    </row>
    <row r="1996" spans="28:28">
      <c r="AB1996" s="1151"/>
    </row>
    <row r="1997" spans="28:28">
      <c r="AB1997" s="1151"/>
    </row>
    <row r="1998" spans="28:28">
      <c r="AB1998" s="1151"/>
    </row>
    <row r="1999" spans="28:28">
      <c r="AB1999" s="1151"/>
    </row>
    <row r="2000" spans="28:28">
      <c r="AB2000" s="1151"/>
    </row>
    <row r="2001" spans="28:28">
      <c r="AB2001" s="1151"/>
    </row>
    <row r="2002" spans="28:28">
      <c r="AB2002" s="1151"/>
    </row>
    <row r="2003" spans="28:28">
      <c r="AB2003" s="1151"/>
    </row>
    <row r="2004" spans="28:28">
      <c r="AB2004" s="1151"/>
    </row>
    <row r="2005" spans="28:28">
      <c r="AB2005" s="1151"/>
    </row>
    <row r="2006" spans="28:28">
      <c r="AB2006" s="1151"/>
    </row>
    <row r="2007" spans="28:28">
      <c r="AB2007" s="1151"/>
    </row>
    <row r="2008" spans="28:28">
      <c r="AB2008" s="1151"/>
    </row>
    <row r="2009" spans="28:28">
      <c r="AB2009" s="1151"/>
    </row>
    <row r="2010" spans="28:28">
      <c r="AB2010" s="1151"/>
    </row>
    <row r="2011" spans="28:28">
      <c r="AB2011" s="1151"/>
    </row>
    <row r="2012" spans="28:28">
      <c r="AB2012" s="1151"/>
    </row>
    <row r="2013" spans="28:28">
      <c r="AB2013" s="1151"/>
    </row>
    <row r="2014" spans="28:28">
      <c r="AB2014" s="1151"/>
    </row>
    <row r="2015" spans="28:28">
      <c r="AB2015" s="1151"/>
    </row>
    <row r="2016" spans="28:28">
      <c r="AB2016" s="1151"/>
    </row>
    <row r="2017" spans="28:28">
      <c r="AB2017" s="1151"/>
    </row>
    <row r="2018" spans="28:28">
      <c r="AB2018" s="1151"/>
    </row>
    <row r="2019" spans="28:28">
      <c r="AB2019" s="1151"/>
    </row>
    <row r="2020" spans="28:28">
      <c r="AB2020" s="1151"/>
    </row>
    <row r="2021" spans="28:28">
      <c r="AB2021" s="1151"/>
    </row>
    <row r="2022" spans="28:28">
      <c r="AB2022" s="1151"/>
    </row>
    <row r="2023" spans="28:28">
      <c r="AB2023" s="1151"/>
    </row>
    <row r="2024" spans="28:28">
      <c r="AB2024" s="1151"/>
    </row>
    <row r="2025" spans="28:28">
      <c r="AB2025" s="1151"/>
    </row>
    <row r="2026" spans="28:28">
      <c r="AB2026" s="1151"/>
    </row>
    <row r="2027" spans="28:28">
      <c r="AB2027" s="1151"/>
    </row>
    <row r="2028" spans="28:28">
      <c r="AB2028" s="1151"/>
    </row>
    <row r="2029" spans="28:28">
      <c r="AB2029" s="1151"/>
    </row>
    <row r="2030" spans="28:28">
      <c r="AB2030" s="1151"/>
    </row>
    <row r="2031" spans="28:28">
      <c r="AB2031" s="1151"/>
    </row>
    <row r="2032" spans="28:28">
      <c r="AB2032" s="1151"/>
    </row>
    <row r="2033" spans="28:28">
      <c r="AB2033" s="1151"/>
    </row>
    <row r="2034" spans="28:28">
      <c r="AB2034" s="1151"/>
    </row>
    <row r="2035" spans="28:28">
      <c r="AB2035" s="1151"/>
    </row>
    <row r="2036" spans="28:28">
      <c r="AB2036" s="1151"/>
    </row>
    <row r="2037" spans="28:28">
      <c r="AB2037" s="1151"/>
    </row>
    <row r="2038" spans="28:28">
      <c r="AB2038" s="1151"/>
    </row>
    <row r="2039" spans="28:28">
      <c r="AB2039" s="1151"/>
    </row>
    <row r="2040" spans="28:28">
      <c r="AB2040" s="1151"/>
    </row>
    <row r="2041" spans="28:28">
      <c r="AB2041" s="1151"/>
    </row>
    <row r="2042" spans="28:28">
      <c r="AB2042" s="1151"/>
    </row>
    <row r="2043" spans="28:28">
      <c r="AB2043" s="1151"/>
    </row>
    <row r="2044" spans="28:28">
      <c r="AB2044" s="1151"/>
    </row>
    <row r="2045" spans="28:28">
      <c r="AB2045" s="1151"/>
    </row>
    <row r="2046" spans="28:28">
      <c r="AB2046" s="1151"/>
    </row>
    <row r="2047" spans="28:28">
      <c r="AB2047" s="1151"/>
    </row>
    <row r="2048" spans="28:28">
      <c r="AB2048" s="1151"/>
    </row>
    <row r="2049" spans="28:28">
      <c r="AB2049" s="1151"/>
    </row>
    <row r="2050" spans="28:28">
      <c r="AB2050" s="1151"/>
    </row>
    <row r="2051" spans="28:28">
      <c r="AB2051" s="1151"/>
    </row>
    <row r="2052" spans="28:28">
      <c r="AB2052" s="1151"/>
    </row>
    <row r="2053" spans="28:28">
      <c r="AB2053" s="1151"/>
    </row>
    <row r="2054" spans="28:28">
      <c r="AB2054" s="1151"/>
    </row>
    <row r="2055" spans="28:28">
      <c r="AB2055" s="1151"/>
    </row>
    <row r="2056" spans="28:28">
      <c r="AB2056" s="1151"/>
    </row>
    <row r="2057" spans="28:28">
      <c r="AB2057" s="1151"/>
    </row>
    <row r="2058" spans="28:28">
      <c r="AB2058" s="1151"/>
    </row>
    <row r="2059" spans="28:28">
      <c r="AB2059" s="1151"/>
    </row>
    <row r="2060" spans="28:28">
      <c r="AB2060" s="1151"/>
    </row>
    <row r="2061" spans="28:28">
      <c r="AB2061" s="1151"/>
    </row>
    <row r="2062" spans="28:28">
      <c r="AB2062" s="1151"/>
    </row>
    <row r="2063" spans="28:28">
      <c r="AB2063" s="1151"/>
    </row>
    <row r="2064" spans="28:28">
      <c r="AB2064" s="1151"/>
    </row>
    <row r="2065" spans="28:28">
      <c r="AB2065" s="1151"/>
    </row>
    <row r="2066" spans="28:28">
      <c r="AB2066" s="1151"/>
    </row>
    <row r="2067" spans="28:28">
      <c r="AB2067" s="1151"/>
    </row>
    <row r="2068" spans="28:28">
      <c r="AB2068" s="1151"/>
    </row>
    <row r="2069" spans="28:28">
      <c r="AB2069" s="1151"/>
    </row>
    <row r="2070" spans="28:28">
      <c r="AB2070" s="1151"/>
    </row>
    <row r="2071" spans="28:28">
      <c r="AB2071" s="1151"/>
    </row>
    <row r="2072" spans="28:28">
      <c r="AB2072" s="1151"/>
    </row>
    <row r="2073" spans="28:28">
      <c r="AB2073" s="1151"/>
    </row>
    <row r="2074" spans="28:28">
      <c r="AB2074" s="1151"/>
    </row>
    <row r="2075" spans="28:28">
      <c r="AB2075" s="1151"/>
    </row>
    <row r="2076" spans="28:28">
      <c r="AB2076" s="1151"/>
    </row>
    <row r="2077" spans="28:28">
      <c r="AB2077" s="1151"/>
    </row>
    <row r="2078" spans="28:28">
      <c r="AB2078" s="1151"/>
    </row>
    <row r="2079" spans="28:28">
      <c r="AB2079" s="1151"/>
    </row>
    <row r="2080" spans="28:28">
      <c r="AB2080" s="1151"/>
    </row>
    <row r="2081" spans="28:28">
      <c r="AB2081" s="1151"/>
    </row>
    <row r="2082" spans="28:28">
      <c r="AB2082" s="1151"/>
    </row>
    <row r="2083" spans="28:28">
      <c r="AB2083" s="1151"/>
    </row>
    <row r="2084" spans="28:28">
      <c r="AB2084" s="1151"/>
    </row>
    <row r="2085" spans="28:28">
      <c r="AB2085" s="1151"/>
    </row>
    <row r="2086" spans="28:28">
      <c r="AB2086" s="1151"/>
    </row>
    <row r="2087" spans="28:28">
      <c r="AB2087" s="1151"/>
    </row>
    <row r="2088" spans="28:28">
      <c r="AB2088" s="1151"/>
    </row>
    <row r="2089" spans="28:28">
      <c r="AB2089" s="1151"/>
    </row>
    <row r="2090" spans="28:28">
      <c r="AB2090" s="1151"/>
    </row>
    <row r="2091" spans="28:28">
      <c r="AB2091" s="1151"/>
    </row>
    <row r="2092" spans="28:28">
      <c r="AB2092" s="1151"/>
    </row>
    <row r="2093" spans="28:28">
      <c r="AB2093" s="1151"/>
    </row>
    <row r="2094" spans="28:28">
      <c r="AB2094" s="1151"/>
    </row>
    <row r="2095" spans="28:28">
      <c r="AB2095" s="1151"/>
    </row>
    <row r="2096" spans="28:28">
      <c r="AB2096" s="1151"/>
    </row>
    <row r="2097" spans="28:28">
      <c r="AB2097" s="1151"/>
    </row>
    <row r="2098" spans="28:28">
      <c r="AB2098" s="1151"/>
    </row>
    <row r="2099" spans="28:28">
      <c r="AB2099" s="1151"/>
    </row>
    <row r="2100" spans="28:28">
      <c r="AB2100" s="1151"/>
    </row>
    <row r="2101" spans="28:28">
      <c r="AB2101" s="1151"/>
    </row>
    <row r="2102" spans="28:28">
      <c r="AB2102" s="1151"/>
    </row>
    <row r="2103" spans="28:28">
      <c r="AB2103" s="1151"/>
    </row>
    <row r="2104" spans="28:28">
      <c r="AB2104" s="1151"/>
    </row>
    <row r="2105" spans="28:28">
      <c r="AB2105" s="1151"/>
    </row>
    <row r="2106" spans="28:28">
      <c r="AB2106" s="1151"/>
    </row>
    <row r="2107" spans="28:28">
      <c r="AB2107" s="1151"/>
    </row>
    <row r="2108" spans="28:28">
      <c r="AB2108" s="1151"/>
    </row>
    <row r="2109" spans="28:28">
      <c r="AB2109" s="1151"/>
    </row>
    <row r="2110" spans="28:28">
      <c r="AB2110" s="1151"/>
    </row>
    <row r="2111" spans="28:28">
      <c r="AB2111" s="1151"/>
    </row>
    <row r="2112" spans="28:28">
      <c r="AB2112" s="1151"/>
    </row>
    <row r="2113" spans="28:28">
      <c r="AB2113" s="1151"/>
    </row>
    <row r="2114" spans="28:28">
      <c r="AB2114" s="1151"/>
    </row>
    <row r="2115" spans="28:28">
      <c r="AB2115" s="1151"/>
    </row>
    <row r="2116" spans="28:28">
      <c r="AB2116" s="1151"/>
    </row>
    <row r="2117" spans="28:28">
      <c r="AB2117" s="1151"/>
    </row>
    <row r="2118" spans="28:28">
      <c r="AB2118" s="1151"/>
    </row>
    <row r="2119" spans="28:28">
      <c r="AB2119" s="1151"/>
    </row>
    <row r="2120" spans="28:28">
      <c r="AB2120" s="1151"/>
    </row>
    <row r="2121" spans="28:28">
      <c r="AB2121" s="1151"/>
    </row>
    <row r="2122" spans="28:28">
      <c r="AB2122" s="1151"/>
    </row>
    <row r="2123" spans="28:28">
      <c r="AB2123" s="1151"/>
    </row>
    <row r="2124" spans="28:28">
      <c r="AB2124" s="1151"/>
    </row>
    <row r="2125" spans="28:28">
      <c r="AB2125" s="1151"/>
    </row>
    <row r="2126" spans="28:28">
      <c r="AB2126" s="1151"/>
    </row>
    <row r="2127" spans="28:28">
      <c r="AB2127" s="1151"/>
    </row>
    <row r="2128" spans="28:28">
      <c r="AB2128" s="1151"/>
    </row>
    <row r="2129" spans="28:28">
      <c r="AB2129" s="1151"/>
    </row>
    <row r="2130" spans="28:28">
      <c r="AB2130" s="1151"/>
    </row>
    <row r="2131" spans="28:28">
      <c r="AB2131" s="1151"/>
    </row>
    <row r="2132" spans="28:28">
      <c r="AB2132" s="1151"/>
    </row>
    <row r="2133" spans="28:28">
      <c r="AB2133" s="1151"/>
    </row>
    <row r="2134" spans="28:28">
      <c r="AB2134" s="1151"/>
    </row>
    <row r="2135" spans="28:28">
      <c r="AB2135" s="1151"/>
    </row>
    <row r="2136" spans="28:28">
      <c r="AB2136" s="1151"/>
    </row>
    <row r="2137" spans="28:28">
      <c r="AB2137" s="1151"/>
    </row>
    <row r="2138" spans="28:28">
      <c r="AB2138" s="1151"/>
    </row>
    <row r="2139" spans="28:28">
      <c r="AB2139" s="1151"/>
    </row>
    <row r="2140" spans="28:28">
      <c r="AB2140" s="1151"/>
    </row>
    <row r="2141" spans="28:28">
      <c r="AB2141" s="1151"/>
    </row>
    <row r="2142" spans="28:28">
      <c r="AB2142" s="1151"/>
    </row>
    <row r="2143" spans="28:28">
      <c r="AB2143" s="1151"/>
    </row>
    <row r="2144" spans="28:28">
      <c r="AB2144" s="1151"/>
    </row>
    <row r="2145" spans="28:28">
      <c r="AB2145" s="1151"/>
    </row>
    <row r="2146" spans="28:28">
      <c r="AB2146" s="1151"/>
    </row>
    <row r="2147" spans="28:28">
      <c r="AB2147" s="1151"/>
    </row>
    <row r="2148" spans="28:28">
      <c r="AB2148" s="1151"/>
    </row>
    <row r="2149" spans="28:28">
      <c r="AB2149" s="1151"/>
    </row>
    <row r="2150" spans="28:28">
      <c r="AB2150" s="1151"/>
    </row>
    <row r="2151" spans="28:28">
      <c r="AB2151" s="1151"/>
    </row>
    <row r="2152" spans="28:28">
      <c r="AB2152" s="1151"/>
    </row>
    <row r="2153" spans="28:28">
      <c r="AB2153" s="1151"/>
    </row>
    <row r="2154" spans="28:28">
      <c r="AB2154" s="1151"/>
    </row>
    <row r="2155" spans="28:28">
      <c r="AB2155" s="1151"/>
    </row>
    <row r="2156" spans="28:28">
      <c r="AB2156" s="1151"/>
    </row>
    <row r="2157" spans="28:28">
      <c r="AB2157" s="1151"/>
    </row>
    <row r="2158" spans="28:28">
      <c r="AB2158" s="1151"/>
    </row>
    <row r="2159" spans="28:28">
      <c r="AB2159" s="1151"/>
    </row>
    <row r="2160" spans="28:28">
      <c r="AB2160" s="1151"/>
    </row>
    <row r="2161" spans="28:28">
      <c r="AB2161" s="1151"/>
    </row>
    <row r="2162" spans="28:28">
      <c r="AB2162" s="1151"/>
    </row>
    <row r="2163" spans="28:28">
      <c r="AB2163" s="1151"/>
    </row>
    <row r="2164" spans="28:28">
      <c r="AB2164" s="1151"/>
    </row>
    <row r="2165" spans="28:28">
      <c r="AB2165" s="1151"/>
    </row>
    <row r="2166" spans="28:28">
      <c r="AB2166" s="1151"/>
    </row>
    <row r="2167" spans="28:28">
      <c r="AB2167" s="1151"/>
    </row>
    <row r="2168" spans="28:28">
      <c r="AB2168" s="1151"/>
    </row>
    <row r="2169" spans="28:28">
      <c r="AB2169" s="1151"/>
    </row>
    <row r="2170" spans="28:28">
      <c r="AB2170" s="1151"/>
    </row>
    <row r="2171" spans="28:28">
      <c r="AB2171" s="1151"/>
    </row>
    <row r="2172" spans="28:28">
      <c r="AB2172" s="1151"/>
    </row>
    <row r="2173" spans="28:28">
      <c r="AB2173" s="1151"/>
    </row>
    <row r="2174" spans="28:28">
      <c r="AB2174" s="1151"/>
    </row>
    <row r="2175" spans="28:28">
      <c r="AB2175" s="1151"/>
    </row>
    <row r="2176" spans="28:28">
      <c r="AB2176" s="1151"/>
    </row>
    <row r="2177" spans="28:28">
      <c r="AB2177" s="1151"/>
    </row>
    <row r="2178" spans="28:28">
      <c r="AB2178" s="1151"/>
    </row>
    <row r="2179" spans="28:28">
      <c r="AB2179" s="1151"/>
    </row>
    <row r="2180" spans="28:28">
      <c r="AB2180" s="1151"/>
    </row>
    <row r="2181" spans="28:28">
      <c r="AB2181" s="1151"/>
    </row>
    <row r="2182" spans="28:28">
      <c r="AB2182" s="1151"/>
    </row>
    <row r="2183" spans="28:28">
      <c r="AB2183" s="1151"/>
    </row>
    <row r="2184" spans="28:28">
      <c r="AB2184" s="1151"/>
    </row>
    <row r="2185" spans="28:28">
      <c r="AB2185" s="1151"/>
    </row>
    <row r="2186" spans="28:28">
      <c r="AB2186" s="1151"/>
    </row>
    <row r="2187" spans="28:28">
      <c r="AB2187" s="1151"/>
    </row>
    <row r="2188" spans="28:28">
      <c r="AB2188" s="1151"/>
    </row>
    <row r="2189" spans="28:28">
      <c r="AB2189" s="1151"/>
    </row>
    <row r="2190" spans="28:28">
      <c r="AB2190" s="1151"/>
    </row>
    <row r="2191" spans="28:28">
      <c r="AB2191" s="1151"/>
    </row>
    <row r="2192" spans="28:28">
      <c r="AB2192" s="1151"/>
    </row>
    <row r="2193" spans="28:28">
      <c r="AB2193" s="1151"/>
    </row>
    <row r="2194" spans="28:28">
      <c r="AB2194" s="1151"/>
    </row>
    <row r="2195" spans="28:28">
      <c r="AB2195" s="1151"/>
    </row>
    <row r="2196" spans="28:28">
      <c r="AB2196" s="1151"/>
    </row>
    <row r="2197" spans="28:28">
      <c r="AB2197" s="1151"/>
    </row>
    <row r="2198" spans="28:28">
      <c r="AB2198" s="1151"/>
    </row>
    <row r="2199" spans="28:28">
      <c r="AB2199" s="1151"/>
    </row>
    <row r="2200" spans="28:28">
      <c r="AB2200" s="1151"/>
    </row>
    <row r="2201" spans="28:28">
      <c r="AB2201" s="1151"/>
    </row>
    <row r="2202" spans="28:28">
      <c r="AB2202" s="1151"/>
    </row>
    <row r="2203" spans="28:28">
      <c r="AB2203" s="1151"/>
    </row>
    <row r="2204" spans="28:28">
      <c r="AB2204" s="1151"/>
    </row>
    <row r="2205" spans="28:28">
      <c r="AB2205" s="1151"/>
    </row>
    <row r="2206" spans="28:28">
      <c r="AB2206" s="1151"/>
    </row>
    <row r="2207" spans="28:28">
      <c r="AB2207" s="1151"/>
    </row>
    <row r="2208" spans="28:28">
      <c r="AB2208" s="1151"/>
    </row>
    <row r="2209" spans="28:28">
      <c r="AB2209" s="1151"/>
    </row>
    <row r="2210" spans="28:28">
      <c r="AB2210" s="1151"/>
    </row>
    <row r="2211" spans="28:28">
      <c r="AB2211" s="1151"/>
    </row>
    <row r="2212" spans="28:28">
      <c r="AB2212" s="1151"/>
    </row>
    <row r="2213" spans="28:28">
      <c r="AB2213" s="1151"/>
    </row>
    <row r="2214" spans="28:28">
      <c r="AB2214" s="1151"/>
    </row>
    <row r="2215" spans="28:28">
      <c r="AB2215" s="1151"/>
    </row>
    <row r="2216" spans="28:28">
      <c r="AB2216" s="1151"/>
    </row>
    <row r="2217" spans="28:28">
      <c r="AB2217" s="1151"/>
    </row>
    <row r="2218" spans="28:28">
      <c r="AB2218" s="1151"/>
    </row>
    <row r="2219" spans="28:28">
      <c r="AB2219" s="1151"/>
    </row>
    <row r="2220" spans="28:28">
      <c r="AB2220" s="1151"/>
    </row>
    <row r="2221" spans="28:28">
      <c r="AB2221" s="1151"/>
    </row>
    <row r="2222" spans="28:28">
      <c r="AB2222" s="1151"/>
    </row>
    <row r="2223" spans="28:28">
      <c r="AB2223" s="1151"/>
    </row>
    <row r="2224" spans="28:28">
      <c r="AB2224" s="1151"/>
    </row>
    <row r="2225" spans="28:28">
      <c r="AB2225" s="1151"/>
    </row>
    <row r="2226" spans="28:28">
      <c r="AB2226" s="1151"/>
    </row>
    <row r="2227" spans="28:28">
      <c r="AB2227" s="1151"/>
    </row>
    <row r="2228" spans="28:28">
      <c r="AB2228" s="1151"/>
    </row>
    <row r="2229" spans="28:28">
      <c r="AB2229" s="1151"/>
    </row>
    <row r="2230" spans="28:28">
      <c r="AB2230" s="1151"/>
    </row>
    <row r="2231" spans="28:28">
      <c r="AB2231" s="1151"/>
    </row>
    <row r="2232" spans="28:28">
      <c r="AB2232" s="1151"/>
    </row>
    <row r="2233" spans="28:28">
      <c r="AB2233" s="1151"/>
    </row>
    <row r="2234" spans="28:28">
      <c r="AB2234" s="1151"/>
    </row>
    <row r="2235" spans="28:28">
      <c r="AB2235" s="1151"/>
    </row>
    <row r="2236" spans="28:28">
      <c r="AB2236" s="1151"/>
    </row>
    <row r="2237" spans="28:28">
      <c r="AB2237" s="1151"/>
    </row>
    <row r="2238" spans="28:28">
      <c r="AB2238" s="1151"/>
    </row>
    <row r="2239" spans="28:28">
      <c r="AB2239" s="1151"/>
    </row>
    <row r="2240" spans="28:28">
      <c r="AB2240" s="1151"/>
    </row>
    <row r="2241" spans="28:28">
      <c r="AB2241" s="1151"/>
    </row>
    <row r="2242" spans="28:28">
      <c r="AB2242" s="1151"/>
    </row>
    <row r="2243" spans="28:28">
      <c r="AB2243" s="1151"/>
    </row>
    <row r="2244" spans="28:28">
      <c r="AB2244" s="1151"/>
    </row>
    <row r="2245" spans="28:28">
      <c r="AB2245" s="1151"/>
    </row>
    <row r="2246" spans="28:28">
      <c r="AB2246" s="1151"/>
    </row>
    <row r="2247" spans="28:28">
      <c r="AB2247" s="1151"/>
    </row>
    <row r="2248" spans="28:28">
      <c r="AB2248" s="1151"/>
    </row>
    <row r="2249" spans="28:28">
      <c r="AB2249" s="1151"/>
    </row>
    <row r="2250" spans="28:28">
      <c r="AB2250" s="1151"/>
    </row>
    <row r="2251" spans="28:28">
      <c r="AB2251" s="1151"/>
    </row>
    <row r="2252" spans="28:28">
      <c r="AB2252" s="1151"/>
    </row>
    <row r="2253" spans="28:28">
      <c r="AB2253" s="1151"/>
    </row>
    <row r="2254" spans="28:28">
      <c r="AB2254" s="1151"/>
    </row>
    <row r="2255" spans="28:28">
      <c r="AB2255" s="1151"/>
    </row>
    <row r="2256" spans="28:28">
      <c r="AB2256" s="1151"/>
    </row>
    <row r="2257" spans="28:28">
      <c r="AB2257" s="1151"/>
    </row>
    <row r="2258" spans="28:28">
      <c r="AB2258" s="1151"/>
    </row>
    <row r="2259" spans="28:28">
      <c r="AB2259" s="1151"/>
    </row>
    <row r="2260" spans="28:28">
      <c r="AB2260" s="1151"/>
    </row>
    <row r="2261" spans="28:28">
      <c r="AB2261" s="1151"/>
    </row>
    <row r="2262" spans="28:28">
      <c r="AB2262" s="1151"/>
    </row>
    <row r="2263" spans="28:28">
      <c r="AB2263" s="1151"/>
    </row>
    <row r="2264" spans="28:28">
      <c r="AB2264" s="1151"/>
    </row>
    <row r="2265" spans="28:28">
      <c r="AB2265" s="1151"/>
    </row>
    <row r="2266" spans="28:28">
      <c r="AB2266" s="1151"/>
    </row>
    <row r="2267" spans="28:28">
      <c r="AB2267" s="1151"/>
    </row>
    <row r="2268" spans="28:28">
      <c r="AB2268" s="1151"/>
    </row>
    <row r="2269" spans="28:28">
      <c r="AB2269" s="1151"/>
    </row>
    <row r="2270" spans="28:28">
      <c r="AB2270" s="1151"/>
    </row>
    <row r="2271" spans="28:28">
      <c r="AB2271" s="1151"/>
    </row>
    <row r="2272" spans="28:28">
      <c r="AB2272" s="1151"/>
    </row>
    <row r="2273" spans="28:28">
      <c r="AB2273" s="1151"/>
    </row>
    <row r="2274" spans="28:28">
      <c r="AB2274" s="1151"/>
    </row>
    <row r="2275" spans="28:28">
      <c r="AB2275" s="1151"/>
    </row>
    <row r="2276" spans="28:28">
      <c r="AB2276" s="1151"/>
    </row>
    <row r="2277" spans="28:28">
      <c r="AB2277" s="1151"/>
    </row>
    <row r="2278" spans="28:28">
      <c r="AB2278" s="1151"/>
    </row>
    <row r="2279" spans="28:28">
      <c r="AB2279" s="1151"/>
    </row>
    <row r="2280" spans="28:28">
      <c r="AB2280" s="1151"/>
    </row>
    <row r="2281" spans="28:28">
      <c r="AB2281" s="1151"/>
    </row>
    <row r="2282" spans="28:28">
      <c r="AB2282" s="1151"/>
    </row>
    <row r="2283" spans="28:28">
      <c r="AB2283" s="1151"/>
    </row>
    <row r="2284" spans="28:28">
      <c r="AB2284" s="1151"/>
    </row>
    <row r="2285" spans="28:28">
      <c r="AB2285" s="1151"/>
    </row>
    <row r="2286" spans="28:28">
      <c r="AB2286" s="1151"/>
    </row>
    <row r="2287" spans="28:28">
      <c r="AB2287" s="1151"/>
    </row>
    <row r="2288" spans="28:28">
      <c r="AB2288" s="1151"/>
    </row>
    <row r="2289" spans="28:28">
      <c r="AB2289" s="1151"/>
    </row>
    <row r="2290" spans="28:28">
      <c r="AB2290" s="1151"/>
    </row>
    <row r="2291" spans="28:28">
      <c r="AB2291" s="1151"/>
    </row>
    <row r="2292" spans="28:28">
      <c r="AB2292" s="1151"/>
    </row>
    <row r="2293" spans="28:28">
      <c r="AB2293" s="1151"/>
    </row>
    <row r="2294" spans="28:28">
      <c r="AB2294" s="1151"/>
    </row>
    <row r="2295" spans="28:28">
      <c r="AB2295" s="1151"/>
    </row>
    <row r="2296" spans="28:28">
      <c r="AB2296" s="1151"/>
    </row>
    <row r="2297" spans="28:28">
      <c r="AB2297" s="1151"/>
    </row>
    <row r="2298" spans="28:28">
      <c r="AB2298" s="1151"/>
    </row>
    <row r="2299" spans="28:28">
      <c r="AB2299" s="1151"/>
    </row>
    <row r="2300" spans="28:28">
      <c r="AB2300" s="1151"/>
    </row>
    <row r="2301" spans="28:28">
      <c r="AB2301" s="1151"/>
    </row>
    <row r="2302" spans="28:28">
      <c r="AB2302" s="1151"/>
    </row>
    <row r="2303" spans="28:28">
      <c r="AB2303" s="1151"/>
    </row>
    <row r="2304" spans="28:28">
      <c r="AB2304" s="1151"/>
    </row>
    <row r="2305" spans="28:28">
      <c r="AB2305" s="1151"/>
    </row>
    <row r="2306" spans="28:28">
      <c r="AB2306" s="1151"/>
    </row>
    <row r="2307" spans="28:28">
      <c r="AB2307" s="1151"/>
    </row>
    <row r="2308" spans="28:28">
      <c r="AB2308" s="1151"/>
    </row>
    <row r="2309" spans="28:28">
      <c r="AB2309" s="1151"/>
    </row>
    <row r="2310" spans="28:28">
      <c r="AB2310" s="1151"/>
    </row>
    <row r="2311" spans="28:28">
      <c r="AB2311" s="1151"/>
    </row>
    <row r="2312" spans="28:28">
      <c r="AB2312" s="1151"/>
    </row>
    <row r="2313" spans="28:28">
      <c r="AB2313" s="1151"/>
    </row>
    <row r="2314" spans="28:28">
      <c r="AB2314" s="1151"/>
    </row>
    <row r="2315" spans="28:28">
      <c r="AB2315" s="1151"/>
    </row>
    <row r="2316" spans="28:28">
      <c r="AB2316" s="1151"/>
    </row>
    <row r="2317" spans="28:28">
      <c r="AB2317" s="1151"/>
    </row>
    <row r="2318" spans="28:28">
      <c r="AB2318" s="1151"/>
    </row>
    <row r="2319" spans="28:28">
      <c r="AB2319" s="1151"/>
    </row>
    <row r="2320" spans="28:28">
      <c r="AB2320" s="1151"/>
    </row>
    <row r="2321" spans="28:28">
      <c r="AB2321" s="1151"/>
    </row>
    <row r="2322" spans="28:28">
      <c r="AB2322" s="1151"/>
    </row>
    <row r="2323" spans="28:28">
      <c r="AB2323" s="1151"/>
    </row>
    <row r="2324" spans="28:28">
      <c r="AB2324" s="1151"/>
    </row>
    <row r="2325" spans="28:28">
      <c r="AB2325" s="1151"/>
    </row>
    <row r="2326" spans="28:28">
      <c r="AB2326" s="1151"/>
    </row>
    <row r="2327" spans="28:28">
      <c r="AB2327" s="1151"/>
    </row>
    <row r="2328" spans="28:28">
      <c r="AB2328" s="1151"/>
    </row>
    <row r="2329" spans="28:28">
      <c r="AB2329" s="1151"/>
    </row>
    <row r="2330" spans="28:28">
      <c r="AB2330" s="1151"/>
    </row>
    <row r="2331" spans="28:28">
      <c r="AB2331" s="1151"/>
    </row>
    <row r="2332" spans="28:28">
      <c r="AB2332" s="1151"/>
    </row>
    <row r="2333" spans="28:28">
      <c r="AB2333" s="1151"/>
    </row>
    <row r="2334" spans="28:28">
      <c r="AB2334" s="1151"/>
    </row>
    <row r="2335" spans="28:28">
      <c r="AB2335" s="1151"/>
    </row>
    <row r="2336" spans="28:28">
      <c r="AB2336" s="1151"/>
    </row>
    <row r="2337" spans="28:28">
      <c r="AB2337" s="1151"/>
    </row>
    <row r="2338" spans="28:28">
      <c r="AB2338" s="1151"/>
    </row>
    <row r="2339" spans="28:28">
      <c r="AB2339" s="1151"/>
    </row>
    <row r="2340" spans="28:28">
      <c r="AB2340" s="1151"/>
    </row>
    <row r="2341" spans="28:28">
      <c r="AB2341" s="1151"/>
    </row>
    <row r="2342" spans="28:28">
      <c r="AB2342" s="1151"/>
    </row>
    <row r="2343" spans="28:28">
      <c r="AB2343" s="1151"/>
    </row>
    <row r="2344" spans="28:28">
      <c r="AB2344" s="1151"/>
    </row>
    <row r="2345" spans="28:28">
      <c r="AB2345" s="1151"/>
    </row>
    <row r="2346" spans="28:28">
      <c r="AB2346" s="1151"/>
    </row>
    <row r="2347" spans="28:28">
      <c r="AB2347" s="1151"/>
    </row>
    <row r="2348" spans="28:28">
      <c r="AB2348" s="1151"/>
    </row>
    <row r="2349" spans="28:28">
      <c r="AB2349" s="1151"/>
    </row>
    <row r="2350" spans="28:28">
      <c r="AB2350" s="1151"/>
    </row>
    <row r="2351" spans="28:28">
      <c r="AB2351" s="1151"/>
    </row>
    <row r="2352" spans="28:28">
      <c r="AB2352" s="1151"/>
    </row>
    <row r="2353" spans="28:28">
      <c r="AB2353" s="1151"/>
    </row>
    <row r="2354" spans="28:28">
      <c r="AB2354" s="1151"/>
    </row>
    <row r="2355" spans="28:28">
      <c r="AB2355" s="1151"/>
    </row>
    <row r="2356" spans="28:28">
      <c r="AB2356" s="1151"/>
    </row>
    <row r="2357" spans="28:28">
      <c r="AB2357" s="1151"/>
    </row>
    <row r="2358" spans="28:28">
      <c r="AB2358" s="1151"/>
    </row>
    <row r="2359" spans="28:28">
      <c r="AB2359" s="1151"/>
    </row>
    <row r="2360" spans="28:28">
      <c r="AB2360" s="1151"/>
    </row>
    <row r="2361" spans="28:28">
      <c r="AB2361" s="1151"/>
    </row>
    <row r="2362" spans="28:28">
      <c r="AB2362" s="1151"/>
    </row>
    <row r="2363" spans="28:28">
      <c r="AB2363" s="1151"/>
    </row>
    <row r="2364" spans="28:28">
      <c r="AB2364" s="1151"/>
    </row>
    <row r="2365" spans="28:28">
      <c r="AB2365" s="1151"/>
    </row>
    <row r="2366" spans="28:28">
      <c r="AB2366" s="1151"/>
    </row>
    <row r="2367" spans="28:28">
      <c r="AB2367" s="1151"/>
    </row>
    <row r="2368" spans="28:28">
      <c r="AB2368" s="1151"/>
    </row>
    <row r="2369" spans="28:28">
      <c r="AB2369" s="1151"/>
    </row>
    <row r="2370" spans="28:28">
      <c r="AB2370" s="1151"/>
    </row>
    <row r="2371" spans="28:28">
      <c r="AB2371" s="1151"/>
    </row>
    <row r="2372" spans="28:28">
      <c r="AB2372" s="1151"/>
    </row>
    <row r="2373" spans="28:28">
      <c r="AB2373" s="1151"/>
    </row>
    <row r="2374" spans="28:28">
      <c r="AB2374" s="1151"/>
    </row>
    <row r="2375" spans="28:28">
      <c r="AB2375" s="1151"/>
    </row>
    <row r="2376" spans="28:28">
      <c r="AB2376" s="1151"/>
    </row>
    <row r="2377" spans="28:28">
      <c r="AB2377" s="1151"/>
    </row>
    <row r="2378" spans="28:28">
      <c r="AB2378" s="1151"/>
    </row>
    <row r="2379" ht="13.95" customHeight="1" spans="28:28">
      <c r="AB2379" s="1151"/>
    </row>
  </sheetData>
  <sheetProtection formatCells="0" formatColumns="0" formatRows="0" insertRows="0" insertColumns="0" insertHyperlinks="0" deleteColumns="0" deleteRows="0" sort="0" autoFilter="0" pivotTables="0"/>
  <protectedRanges>
    <protectedRange sqref="AJ$1:AJ$1048576" name="Range1"/>
    <protectedRange sqref="A$1:AE$1048576 AK$1:BI$1048576" name="Range2"/>
  </protectedRanges>
  <autoFilter xmlns:etc="http://www.wps.cn/officeDocument/2017/etCustomData" ref="A1:DD2379" etc:filterBottomFollowUsedRange="1">
    <extLst/>
  </autoFilter>
  <sortState ref="A2:BO538">
    <sortCondition ref="AC132"/>
  </sortState>
  <conditionalFormatting sqref="R1:W1">
    <cfRule type="cellIs" dxfId="0" priority="22992" operator="equal">
      <formula>"欠"</formula>
    </cfRule>
  </conditionalFormatting>
  <conditionalFormatting sqref="S2">
    <cfRule type="containsText" dxfId="0" priority="7875" operator="between" text="欠">
      <formula>NOT(ISERROR(SEARCH("欠",S2)))</formula>
    </cfRule>
    <cfRule type="cellIs" dxfId="0" priority="7882" operator="equal">
      <formula>"欠"</formula>
    </cfRule>
  </conditionalFormatting>
  <conditionalFormatting sqref="T2:U2">
    <cfRule type="cellIs" dxfId="0" priority="7874" operator="equal">
      <formula>"欠"</formula>
    </cfRule>
  </conditionalFormatting>
  <conditionalFormatting sqref="V2:X2">
    <cfRule type="cellIs" dxfId="0" priority="7879" operator="equal">
      <formula>"欠"</formula>
    </cfRule>
  </conditionalFormatting>
  <conditionalFormatting sqref="V2:W2">
    <cfRule type="containsText" dxfId="0" priority="7876" operator="between" text="欠">
      <formula>NOT(ISERROR(SEARCH("欠",V2)))</formula>
    </cfRule>
    <cfRule type="containsText" dxfId="1" priority="7877" operator="between" text="欠">
      <formula>NOT(ISERROR(SEARCH("欠",V2)))</formula>
    </cfRule>
  </conditionalFormatting>
  <conditionalFormatting sqref="AE2">
    <cfRule type="cellIs" dxfId="2" priority="7880" operator="equal">
      <formula>"未完成"</formula>
    </cfRule>
    <cfRule type="cellIs" dxfId="0" priority="7881" operator="equal">
      <formula>"未完成"</formula>
    </cfRule>
  </conditionalFormatting>
  <conditionalFormatting sqref="R3">
    <cfRule type="containsText" dxfId="0" priority="7844" operator="between" text="欠">
      <formula>NOT(ISERROR(SEARCH("欠",R3)))</formula>
    </cfRule>
  </conditionalFormatting>
  <conditionalFormatting sqref="T3:U3">
    <cfRule type="containsText" dxfId="0" priority="7843" operator="between" text="欠">
      <formula>NOT(ISERROR(SEARCH("欠",T3)))</formula>
    </cfRule>
    <cfRule type="cellIs" dxfId="0" priority="7845" operator="equal">
      <formula>"欠"</formula>
    </cfRule>
  </conditionalFormatting>
  <conditionalFormatting sqref="V3:X3">
    <cfRule type="cellIs" dxfId="0" priority="7850" operator="equal">
      <formula>"欠"</formula>
    </cfRule>
  </conditionalFormatting>
  <conditionalFormatting sqref="V3:W3">
    <cfRule type="containsText" dxfId="0" priority="7847" operator="between" text="欠">
      <formula>NOT(ISERROR(SEARCH("欠",V3)))</formula>
    </cfRule>
    <cfRule type="containsText" dxfId="1" priority="7848" operator="between" text="欠">
      <formula>NOT(ISERROR(SEARCH("欠",V3)))</formula>
    </cfRule>
  </conditionalFormatting>
  <conditionalFormatting sqref="AE3">
    <cfRule type="cellIs" dxfId="2" priority="7851" operator="equal">
      <formula>"未完成"</formula>
    </cfRule>
    <cfRule type="cellIs" dxfId="0" priority="7852" operator="equal">
      <formula>"未完成"</formula>
    </cfRule>
  </conditionalFormatting>
  <conditionalFormatting sqref="R4">
    <cfRule type="containsText" dxfId="0" priority="7004" operator="between" text="欠">
      <formula>NOT(ISERROR(SEARCH("欠",R4)))</formula>
    </cfRule>
  </conditionalFormatting>
  <conditionalFormatting sqref="T4:U4">
    <cfRule type="containsText" dxfId="0" priority="7003" operator="between" text="欠">
      <formula>NOT(ISERROR(SEARCH("欠",T4)))</formula>
    </cfRule>
    <cfRule type="cellIs" dxfId="0" priority="7005" operator="equal">
      <formula>"欠"</formula>
    </cfRule>
  </conditionalFormatting>
  <conditionalFormatting sqref="V4:X4">
    <cfRule type="cellIs" dxfId="0" priority="7010" operator="equal">
      <formula>"欠"</formula>
    </cfRule>
  </conditionalFormatting>
  <conditionalFormatting sqref="V4:W4">
    <cfRule type="containsText" dxfId="0" priority="7007" operator="between" text="欠">
      <formula>NOT(ISERROR(SEARCH("欠",V4)))</formula>
    </cfRule>
    <cfRule type="containsText" dxfId="1" priority="7008" operator="between" text="欠">
      <formula>NOT(ISERROR(SEARCH("欠",V4)))</formula>
    </cfRule>
  </conditionalFormatting>
  <conditionalFormatting sqref="AE4">
    <cfRule type="cellIs" dxfId="2" priority="7011" operator="equal">
      <formula>"未完成"</formula>
    </cfRule>
    <cfRule type="cellIs" dxfId="0" priority="7012" operator="equal">
      <formula>"未完成"</formula>
    </cfRule>
  </conditionalFormatting>
  <conditionalFormatting sqref="R5">
    <cfRule type="containsText" dxfId="0" priority="6599" operator="between" text="欠">
      <formula>NOT(ISERROR(SEARCH("欠",R5)))</formula>
    </cfRule>
  </conditionalFormatting>
  <conditionalFormatting sqref="T5:U5">
    <cfRule type="containsText" dxfId="0" priority="6595" operator="between" text="欠">
      <formula>NOT(ISERROR(SEARCH("欠",T5)))</formula>
    </cfRule>
    <cfRule type="cellIs" dxfId="0" priority="6603" operator="equal">
      <formula>"欠"</formula>
    </cfRule>
  </conditionalFormatting>
  <conditionalFormatting sqref="V5:X5">
    <cfRule type="cellIs" dxfId="0" priority="6623" operator="equal">
      <formula>"欠"</formula>
    </cfRule>
  </conditionalFormatting>
  <conditionalFormatting sqref="V5:W5">
    <cfRule type="containsText" dxfId="0" priority="6611" operator="between" text="欠">
      <formula>NOT(ISERROR(SEARCH("欠",V5)))</formula>
    </cfRule>
    <cfRule type="containsText" dxfId="1" priority="6615" operator="between" text="欠">
      <formula>NOT(ISERROR(SEARCH("欠",V5)))</formula>
    </cfRule>
  </conditionalFormatting>
  <conditionalFormatting sqref="AE5">
    <cfRule type="cellIs" dxfId="2" priority="6627" operator="equal">
      <formula>"未完成"</formula>
    </cfRule>
    <cfRule type="cellIs" dxfId="0" priority="6631" operator="equal">
      <formula>"未完成"</formula>
    </cfRule>
  </conditionalFormatting>
  <conditionalFormatting sqref="R6">
    <cfRule type="containsText" dxfId="0" priority="6598" operator="between" text="欠">
      <formula>NOT(ISERROR(SEARCH("欠",R6)))</formula>
    </cfRule>
  </conditionalFormatting>
  <conditionalFormatting sqref="T6:U6">
    <cfRule type="containsText" dxfId="0" priority="6594" operator="between" text="欠">
      <formula>NOT(ISERROR(SEARCH("欠",T6)))</formula>
    </cfRule>
    <cfRule type="cellIs" dxfId="0" priority="6602" operator="equal">
      <formula>"欠"</formula>
    </cfRule>
  </conditionalFormatting>
  <conditionalFormatting sqref="V6:X6">
    <cfRule type="cellIs" dxfId="0" priority="6622" operator="equal">
      <formula>"欠"</formula>
    </cfRule>
  </conditionalFormatting>
  <conditionalFormatting sqref="V6:W6">
    <cfRule type="containsText" dxfId="0" priority="6610" operator="between" text="欠">
      <formula>NOT(ISERROR(SEARCH("欠",V6)))</formula>
    </cfRule>
    <cfRule type="containsText" dxfId="1" priority="6614" operator="between" text="欠">
      <formula>NOT(ISERROR(SEARCH("欠",V6)))</formula>
    </cfRule>
  </conditionalFormatting>
  <conditionalFormatting sqref="T7:U7">
    <cfRule type="containsText" dxfId="0" priority="7687" operator="between" text="欠">
      <formula>NOT(ISERROR(SEARCH("欠",T7)))</formula>
    </cfRule>
    <cfRule type="cellIs" dxfId="0" priority="7695" operator="equal">
      <formula>"欠"</formula>
    </cfRule>
  </conditionalFormatting>
  <conditionalFormatting sqref="V7:X7">
    <cfRule type="cellIs" dxfId="0" priority="7714" operator="equal">
      <formula>"欠"</formula>
    </cfRule>
  </conditionalFormatting>
  <conditionalFormatting sqref="V7:W7">
    <cfRule type="containsText" dxfId="0" priority="7702" operator="between" text="欠">
      <formula>NOT(ISERROR(SEARCH("欠",V7)))</formula>
    </cfRule>
    <cfRule type="containsText" dxfId="1" priority="7706" operator="between" text="欠">
      <formula>NOT(ISERROR(SEARCH("欠",V7)))</formula>
    </cfRule>
  </conditionalFormatting>
  <conditionalFormatting sqref="R8">
    <cfRule type="containsText" dxfId="0" priority="6597" operator="between" text="欠">
      <formula>NOT(ISERROR(SEARCH("欠",R8)))</formula>
    </cfRule>
  </conditionalFormatting>
  <conditionalFormatting sqref="T8:U8">
    <cfRule type="containsText" dxfId="0" priority="6593" operator="between" text="欠">
      <formula>NOT(ISERROR(SEARCH("欠",T8)))</formula>
    </cfRule>
    <cfRule type="cellIs" dxfId="0" priority="6601" operator="equal">
      <formula>"欠"</formula>
    </cfRule>
  </conditionalFormatting>
  <conditionalFormatting sqref="V8:X8">
    <cfRule type="cellIs" dxfId="0" priority="6621" operator="equal">
      <formula>"欠"</formula>
    </cfRule>
  </conditionalFormatting>
  <conditionalFormatting sqref="V8:W8">
    <cfRule type="containsText" dxfId="0" priority="6609" operator="between" text="欠">
      <formula>NOT(ISERROR(SEARCH("欠",V8)))</formula>
    </cfRule>
    <cfRule type="containsText" dxfId="1" priority="6613" operator="between" text="欠">
      <formula>NOT(ISERROR(SEARCH("欠",V8)))</formula>
    </cfRule>
  </conditionalFormatting>
  <conditionalFormatting sqref="R9">
    <cfRule type="containsText" dxfId="0" priority="6596" operator="between" text="欠">
      <formula>NOT(ISERROR(SEARCH("欠",R9)))</formula>
    </cfRule>
  </conditionalFormatting>
  <conditionalFormatting sqref="T9:U9">
    <cfRule type="containsText" dxfId="0" priority="6592" operator="between" text="欠">
      <formula>NOT(ISERROR(SEARCH("欠",T9)))</formula>
    </cfRule>
    <cfRule type="cellIs" dxfId="0" priority="6600" operator="equal">
      <formula>"欠"</formula>
    </cfRule>
  </conditionalFormatting>
  <conditionalFormatting sqref="V9:X9">
    <cfRule type="cellIs" dxfId="0" priority="6620" operator="equal">
      <formula>"欠"</formula>
    </cfRule>
  </conditionalFormatting>
  <conditionalFormatting sqref="V9:W9">
    <cfRule type="containsText" dxfId="0" priority="6608" operator="between" text="欠">
      <formula>NOT(ISERROR(SEARCH("欠",V9)))</formula>
    </cfRule>
    <cfRule type="containsText" dxfId="1" priority="6612" operator="between" text="欠">
      <formula>NOT(ISERROR(SEARCH("欠",V9)))</formula>
    </cfRule>
  </conditionalFormatting>
  <conditionalFormatting sqref="V10:X10">
    <cfRule type="cellIs" dxfId="0" priority="7715" operator="equal">
      <formula>"欠"</formula>
    </cfRule>
  </conditionalFormatting>
  <conditionalFormatting sqref="V10:W10">
    <cfRule type="containsText" dxfId="0" priority="7703" operator="between" text="欠">
      <formula>NOT(ISERROR(SEARCH("欠",V10)))</formula>
    </cfRule>
    <cfRule type="containsText" dxfId="1" priority="7707" operator="between" text="欠">
      <formula>NOT(ISERROR(SEARCH("欠",V10)))</formula>
    </cfRule>
  </conditionalFormatting>
  <conditionalFormatting sqref="V12:X12">
    <cfRule type="cellIs" dxfId="0" priority="7617" operator="equal">
      <formula>"欠"</formula>
    </cfRule>
  </conditionalFormatting>
  <conditionalFormatting sqref="V12:W12">
    <cfRule type="containsText" dxfId="0" priority="7596" operator="between" text="欠">
      <formula>NOT(ISERROR(SEARCH("欠",V12)))</formula>
    </cfRule>
    <cfRule type="containsText" dxfId="1" priority="7603" operator="between" text="欠">
      <formula>NOT(ISERROR(SEARCH("欠",V12)))</formula>
    </cfRule>
  </conditionalFormatting>
  <conditionalFormatting sqref="R13">
    <cfRule type="containsText" dxfId="0" priority="7285" operator="between" text="欠">
      <formula>NOT(ISERROR(SEARCH("欠",R13)))</formula>
    </cfRule>
  </conditionalFormatting>
  <conditionalFormatting sqref="T13:U13">
    <cfRule type="containsText" dxfId="0" priority="7284" operator="between" text="欠">
      <formula>NOT(ISERROR(SEARCH("欠",T13)))</formula>
    </cfRule>
    <cfRule type="cellIs" dxfId="0" priority="7286" operator="equal">
      <formula>"欠"</formula>
    </cfRule>
  </conditionalFormatting>
  <conditionalFormatting sqref="V13:X13">
    <cfRule type="cellIs" dxfId="0" priority="7291" operator="equal">
      <formula>"欠"</formula>
    </cfRule>
  </conditionalFormatting>
  <conditionalFormatting sqref="V13:W13">
    <cfRule type="containsText" dxfId="0" priority="7288" operator="between" text="欠">
      <formula>NOT(ISERROR(SEARCH("欠",V13)))</formula>
    </cfRule>
    <cfRule type="containsText" dxfId="1" priority="7289" operator="between" text="欠">
      <formula>NOT(ISERROR(SEARCH("欠",V13)))</formula>
    </cfRule>
  </conditionalFormatting>
  <conditionalFormatting sqref="R14">
    <cfRule type="containsText" dxfId="0" priority="5795" operator="between" text="欠">
      <formula>NOT(ISERROR(SEARCH("欠",R14)))</formula>
    </cfRule>
  </conditionalFormatting>
  <conditionalFormatting sqref="S14">
    <cfRule type="containsText" dxfId="0" priority="5801" operator="between" text="欠">
      <formula>NOT(ISERROR(SEARCH("欠",S14)))</formula>
    </cfRule>
    <cfRule type="cellIs" dxfId="0" priority="5807" operator="equal">
      <formula>"欠"</formula>
    </cfRule>
  </conditionalFormatting>
  <conditionalFormatting sqref="T14:U14">
    <cfRule type="containsText" dxfId="0" priority="5747" operator="between" text="欠">
      <formula>NOT(ISERROR(SEARCH("欠",T14)))</formula>
    </cfRule>
    <cfRule type="cellIs" dxfId="0" priority="5753" operator="equal">
      <formula>"欠"</formula>
    </cfRule>
  </conditionalFormatting>
  <conditionalFormatting sqref="V14:X14">
    <cfRule type="cellIs" dxfId="0" priority="5777" operator="equal">
      <formula>"欠"</formula>
    </cfRule>
  </conditionalFormatting>
  <conditionalFormatting sqref="V14:W14">
    <cfRule type="containsText" dxfId="0" priority="5765" operator="between" text="欠">
      <formula>NOT(ISERROR(SEARCH("欠",V14)))</formula>
    </cfRule>
    <cfRule type="containsText" dxfId="1" priority="5771" operator="between" text="欠">
      <formula>NOT(ISERROR(SEARCH("欠",V14)))</formula>
    </cfRule>
  </conditionalFormatting>
  <conditionalFormatting sqref="R15">
    <cfRule type="containsText" dxfId="0" priority="5794" operator="between" text="欠">
      <formula>NOT(ISERROR(SEARCH("欠",R15)))</formula>
    </cfRule>
  </conditionalFormatting>
  <conditionalFormatting sqref="S15">
    <cfRule type="containsText" dxfId="0" priority="5800" operator="between" text="欠">
      <formula>NOT(ISERROR(SEARCH("欠",S15)))</formula>
    </cfRule>
    <cfRule type="cellIs" dxfId="0" priority="5806" operator="equal">
      <formula>"欠"</formula>
    </cfRule>
  </conditionalFormatting>
  <conditionalFormatting sqref="U15">
    <cfRule type="containsText" dxfId="0" priority="5746" operator="between" text="欠">
      <formula>NOT(ISERROR(SEARCH("欠",U15)))</formula>
    </cfRule>
    <cfRule type="cellIs" dxfId="0" priority="5752" operator="equal">
      <formula>"欠"</formula>
    </cfRule>
  </conditionalFormatting>
  <conditionalFormatting sqref="V15:X15">
    <cfRule type="cellIs" dxfId="0" priority="5776" operator="equal">
      <formula>"欠"</formula>
    </cfRule>
  </conditionalFormatting>
  <conditionalFormatting sqref="V15:W15">
    <cfRule type="containsText" dxfId="0" priority="5764" operator="between" text="欠">
      <formula>NOT(ISERROR(SEARCH("欠",V15)))</formula>
    </cfRule>
    <cfRule type="containsText" dxfId="1" priority="5770" operator="between" text="欠">
      <formula>NOT(ISERROR(SEARCH("欠",V15)))</formula>
    </cfRule>
  </conditionalFormatting>
  <conditionalFormatting sqref="R16">
    <cfRule type="containsText" dxfId="0" priority="5793" operator="between" text="欠">
      <formula>NOT(ISERROR(SEARCH("欠",R16)))</formula>
    </cfRule>
  </conditionalFormatting>
  <conditionalFormatting sqref="S16">
    <cfRule type="containsText" dxfId="0" priority="5799" operator="between" text="欠">
      <formula>NOT(ISERROR(SEARCH("欠",S16)))</formula>
    </cfRule>
    <cfRule type="cellIs" dxfId="0" priority="5805" operator="equal">
      <formula>"欠"</formula>
    </cfRule>
  </conditionalFormatting>
  <conditionalFormatting sqref="T16:U16">
    <cfRule type="containsText" dxfId="0" priority="5745" operator="between" text="欠">
      <formula>NOT(ISERROR(SEARCH("欠",T16)))</formula>
    </cfRule>
    <cfRule type="cellIs" dxfId="0" priority="5751" operator="equal">
      <formula>"欠"</formula>
    </cfRule>
  </conditionalFormatting>
  <conditionalFormatting sqref="V16:X16">
    <cfRule type="cellIs" dxfId="0" priority="5775" operator="equal">
      <formula>"欠"</formula>
    </cfRule>
  </conditionalFormatting>
  <conditionalFormatting sqref="V16:W16">
    <cfRule type="containsText" dxfId="0" priority="5763" operator="between" text="欠">
      <formula>NOT(ISERROR(SEARCH("欠",V16)))</formula>
    </cfRule>
    <cfRule type="containsText" dxfId="1" priority="5769" operator="between" text="欠">
      <formula>NOT(ISERROR(SEARCH("欠",V16)))</formula>
    </cfRule>
  </conditionalFormatting>
  <conditionalFormatting sqref="R17">
    <cfRule type="containsText" dxfId="0" priority="5792" operator="between" text="欠">
      <formula>NOT(ISERROR(SEARCH("欠",R17)))</formula>
    </cfRule>
  </conditionalFormatting>
  <conditionalFormatting sqref="S17">
    <cfRule type="containsText" dxfId="0" priority="5798" operator="between" text="欠">
      <formula>NOT(ISERROR(SEARCH("欠",S17)))</formula>
    </cfRule>
    <cfRule type="cellIs" dxfId="0" priority="5804" operator="equal">
      <formula>"欠"</formula>
    </cfRule>
  </conditionalFormatting>
  <conditionalFormatting sqref="T17:U17">
    <cfRule type="containsText" dxfId="0" priority="5744" operator="between" text="欠">
      <formula>NOT(ISERROR(SEARCH("欠",T17)))</formula>
    </cfRule>
    <cfRule type="cellIs" dxfId="0" priority="5750" operator="equal">
      <formula>"欠"</formula>
    </cfRule>
  </conditionalFormatting>
  <conditionalFormatting sqref="V17:X17">
    <cfRule type="cellIs" dxfId="0" priority="5774" operator="equal">
      <formula>"欠"</formula>
    </cfRule>
  </conditionalFormatting>
  <conditionalFormatting sqref="V17:W17">
    <cfRule type="containsText" dxfId="0" priority="5762" operator="between" text="欠">
      <formula>NOT(ISERROR(SEARCH("欠",V17)))</formula>
    </cfRule>
    <cfRule type="containsText" dxfId="1" priority="5768" operator="between" text="欠">
      <formula>NOT(ISERROR(SEARCH("欠",V17)))</formula>
    </cfRule>
  </conditionalFormatting>
  <conditionalFormatting sqref="W18">
    <cfRule type="containsText" dxfId="0" priority="7594" operator="between" text="欠">
      <formula>NOT(ISERROR(SEARCH("欠",W18)))</formula>
    </cfRule>
    <cfRule type="containsText" dxfId="1" priority="7601" operator="between" text="欠">
      <formula>NOT(ISERROR(SEARCH("欠",W18)))</formula>
    </cfRule>
  </conditionalFormatting>
  <conditionalFormatting sqref="V19:X19">
    <cfRule type="cellIs" dxfId="0" priority="7618" operator="equal">
      <formula>"欠"</formula>
    </cfRule>
  </conditionalFormatting>
  <conditionalFormatting sqref="V19:W19">
    <cfRule type="containsText" dxfId="0" priority="7597" operator="between" text="欠">
      <formula>NOT(ISERROR(SEARCH("欠",V19)))</formula>
    </cfRule>
    <cfRule type="containsText" dxfId="1" priority="7604" operator="between" text="欠">
      <formula>NOT(ISERROR(SEARCH("欠",V19)))</formula>
    </cfRule>
  </conditionalFormatting>
  <conditionalFormatting sqref="R20">
    <cfRule type="containsText" dxfId="0" priority="5790" operator="between" text="欠">
      <formula>NOT(ISERROR(SEARCH("欠",R20)))</formula>
    </cfRule>
  </conditionalFormatting>
  <conditionalFormatting sqref="S20">
    <cfRule type="containsText" dxfId="0" priority="5796" operator="between" text="欠">
      <formula>NOT(ISERROR(SEARCH("欠",S20)))</formula>
    </cfRule>
    <cfRule type="cellIs" dxfId="0" priority="5802" operator="equal">
      <formula>"欠"</formula>
    </cfRule>
  </conditionalFormatting>
  <conditionalFormatting sqref="T20:U20">
    <cfRule type="containsText" dxfId="0" priority="5742" operator="between" text="欠">
      <formula>NOT(ISERROR(SEARCH("欠",T20)))</formula>
    </cfRule>
    <cfRule type="cellIs" dxfId="0" priority="5748" operator="equal">
      <formula>"欠"</formula>
    </cfRule>
  </conditionalFormatting>
  <conditionalFormatting sqref="W20:X20">
    <cfRule type="cellIs" dxfId="0" priority="5772" operator="equal">
      <formula>"欠"</formula>
    </cfRule>
  </conditionalFormatting>
  <conditionalFormatting sqref="W20">
    <cfRule type="containsText" dxfId="0" priority="5760" operator="between" text="欠">
      <formula>NOT(ISERROR(SEARCH("欠",W20)))</formula>
    </cfRule>
    <cfRule type="containsText" dxfId="1" priority="5766" operator="between" text="欠">
      <formula>NOT(ISERROR(SEARCH("欠",W20)))</formula>
    </cfRule>
  </conditionalFormatting>
  <conditionalFormatting sqref="R21">
    <cfRule type="containsText" dxfId="0" priority="7184" operator="between" text="欠">
      <formula>NOT(ISERROR(SEARCH("欠",R21)))</formula>
    </cfRule>
  </conditionalFormatting>
  <conditionalFormatting sqref="T21:U21">
    <cfRule type="containsText" dxfId="0" priority="7340" operator="between" text="欠">
      <formula>NOT(ISERROR(SEARCH("欠",T21)))</formula>
    </cfRule>
    <cfRule type="cellIs" dxfId="0" priority="7342" operator="equal">
      <formula>"欠"</formula>
    </cfRule>
  </conditionalFormatting>
  <conditionalFormatting sqref="V21:X21">
    <cfRule type="cellIs" dxfId="0" priority="7347" operator="equal">
      <formula>"欠"</formula>
    </cfRule>
  </conditionalFormatting>
  <conditionalFormatting sqref="V21:W21">
    <cfRule type="containsText" dxfId="0" priority="7344" operator="between" text="欠">
      <formula>NOT(ISERROR(SEARCH("欠",V21)))</formula>
    </cfRule>
    <cfRule type="containsText" dxfId="1" priority="7345" operator="between" text="欠">
      <formula>NOT(ISERROR(SEARCH("欠",V21)))</formula>
    </cfRule>
  </conditionalFormatting>
  <conditionalFormatting sqref="R22">
    <cfRule type="containsText" dxfId="0" priority="5352" operator="between" text="欠">
      <formula>NOT(ISERROR(SEARCH("欠",R22)))</formula>
    </cfRule>
  </conditionalFormatting>
  <conditionalFormatting sqref="S22">
    <cfRule type="containsText" dxfId="0" priority="5392" operator="between" text="欠">
      <formula>NOT(ISERROR(SEARCH("欠",S22)))</formula>
    </cfRule>
    <cfRule type="cellIs" dxfId="0" priority="5397" operator="equal">
      <formula>"欠"</formula>
    </cfRule>
  </conditionalFormatting>
  <conditionalFormatting sqref="T22:U22">
    <cfRule type="containsText" dxfId="0" priority="5357" operator="between" text="欠">
      <formula>NOT(ISERROR(SEARCH("欠",T22)))</formula>
    </cfRule>
    <cfRule type="cellIs" dxfId="0" priority="5362" operator="equal">
      <formula>"欠"</formula>
    </cfRule>
  </conditionalFormatting>
  <conditionalFormatting sqref="V22:X22">
    <cfRule type="cellIs" dxfId="0" priority="5377" operator="equal">
      <formula>"欠"</formula>
    </cfRule>
  </conditionalFormatting>
  <conditionalFormatting sqref="V22:W22">
    <cfRule type="containsText" dxfId="0" priority="5367" operator="between" text="欠">
      <formula>NOT(ISERROR(SEARCH("欠",V22)))</formula>
    </cfRule>
    <cfRule type="containsText" dxfId="1" priority="5372" operator="between" text="欠">
      <formula>NOT(ISERROR(SEARCH("欠",V22)))</formula>
    </cfRule>
  </conditionalFormatting>
  <conditionalFormatting sqref="R23">
    <cfRule type="containsText" dxfId="0" priority="5351" operator="between" text="欠">
      <formula>NOT(ISERROR(SEARCH("欠",R23)))</formula>
    </cfRule>
  </conditionalFormatting>
  <conditionalFormatting sqref="S23">
    <cfRule type="containsText" dxfId="0" priority="5391" operator="between" text="欠">
      <formula>NOT(ISERROR(SEARCH("欠",S23)))</formula>
    </cfRule>
    <cfRule type="cellIs" dxfId="0" priority="5396" operator="equal">
      <formula>"欠"</formula>
    </cfRule>
  </conditionalFormatting>
  <conditionalFormatting sqref="T23:U23">
    <cfRule type="containsText" dxfId="0" priority="5356" operator="between" text="欠">
      <formula>NOT(ISERROR(SEARCH("欠",T23)))</formula>
    </cfRule>
    <cfRule type="cellIs" dxfId="0" priority="5361" operator="equal">
      <formula>"欠"</formula>
    </cfRule>
  </conditionalFormatting>
  <conditionalFormatting sqref="V23:X23">
    <cfRule type="cellIs" dxfId="0" priority="5376" operator="equal">
      <formula>"欠"</formula>
    </cfRule>
  </conditionalFormatting>
  <conditionalFormatting sqref="V23:W23">
    <cfRule type="containsText" dxfId="0" priority="5366" operator="between" text="欠">
      <formula>NOT(ISERROR(SEARCH("欠",V23)))</formula>
    </cfRule>
    <cfRule type="containsText" dxfId="1" priority="5371" operator="between" text="欠">
      <formula>NOT(ISERROR(SEARCH("欠",V23)))</formula>
    </cfRule>
  </conditionalFormatting>
  <conditionalFormatting sqref="R24">
    <cfRule type="containsText" dxfId="0" priority="5350" operator="between" text="欠">
      <formula>NOT(ISERROR(SEARCH("欠",R24)))</formula>
    </cfRule>
  </conditionalFormatting>
  <conditionalFormatting sqref="S24">
    <cfRule type="containsText" dxfId="0" priority="5390" operator="between" text="欠">
      <formula>NOT(ISERROR(SEARCH("欠",S24)))</formula>
    </cfRule>
    <cfRule type="cellIs" dxfId="0" priority="5395" operator="equal">
      <formula>"欠"</formula>
    </cfRule>
  </conditionalFormatting>
  <conditionalFormatting sqref="T24:U24">
    <cfRule type="containsText" dxfId="0" priority="5355" operator="between" text="欠">
      <formula>NOT(ISERROR(SEARCH("欠",T24)))</formula>
    </cfRule>
    <cfRule type="cellIs" dxfId="0" priority="5360" operator="equal">
      <formula>"欠"</formula>
    </cfRule>
  </conditionalFormatting>
  <conditionalFormatting sqref="V24:X24">
    <cfRule type="cellIs" dxfId="0" priority="5375" operator="equal">
      <formula>"欠"</formula>
    </cfRule>
  </conditionalFormatting>
  <conditionalFormatting sqref="V24:W24">
    <cfRule type="containsText" dxfId="0" priority="5365" operator="between" text="欠">
      <formula>NOT(ISERROR(SEARCH("欠",V24)))</formula>
    </cfRule>
    <cfRule type="containsText" dxfId="1" priority="5370" operator="between" text="欠">
      <formula>NOT(ISERROR(SEARCH("欠",V24)))</formula>
    </cfRule>
  </conditionalFormatting>
  <conditionalFormatting sqref="R25">
    <cfRule type="containsText" dxfId="0" priority="5349" operator="between" text="欠">
      <formula>NOT(ISERROR(SEARCH("欠",R25)))</formula>
    </cfRule>
  </conditionalFormatting>
  <conditionalFormatting sqref="S25">
    <cfRule type="containsText" dxfId="0" priority="5389" operator="between" text="欠">
      <formula>NOT(ISERROR(SEARCH("欠",S25)))</formula>
    </cfRule>
    <cfRule type="cellIs" dxfId="0" priority="5394" operator="equal">
      <formula>"欠"</formula>
    </cfRule>
  </conditionalFormatting>
  <conditionalFormatting sqref="T25:U25">
    <cfRule type="containsText" dxfId="0" priority="5354" operator="between" text="欠">
      <formula>NOT(ISERROR(SEARCH("欠",T25)))</formula>
    </cfRule>
    <cfRule type="cellIs" dxfId="0" priority="5359" operator="equal">
      <formula>"欠"</formula>
    </cfRule>
  </conditionalFormatting>
  <conditionalFormatting sqref="V25:X25">
    <cfRule type="cellIs" dxfId="0" priority="5374" operator="equal">
      <formula>"欠"</formula>
    </cfRule>
  </conditionalFormatting>
  <conditionalFormatting sqref="V25:W25">
    <cfRule type="containsText" dxfId="0" priority="5364" operator="between" text="欠">
      <formula>NOT(ISERROR(SEARCH("欠",V25)))</formula>
    </cfRule>
    <cfRule type="containsText" dxfId="1" priority="5369" operator="between" text="欠">
      <formula>NOT(ISERROR(SEARCH("欠",V25)))</formula>
    </cfRule>
  </conditionalFormatting>
  <conditionalFormatting sqref="R26">
    <cfRule type="containsText" dxfId="0" priority="5334" operator="between" text="欠">
      <formula>NOT(ISERROR(SEARCH("欠",R26)))</formula>
    </cfRule>
  </conditionalFormatting>
  <conditionalFormatting sqref="S26">
    <cfRule type="containsText" dxfId="0" priority="5342" operator="between" text="欠">
      <formula>NOT(ISERROR(SEARCH("欠",S26)))</formula>
    </cfRule>
    <cfRule type="cellIs" dxfId="0" priority="5343" operator="equal">
      <formula>"欠"</formula>
    </cfRule>
  </conditionalFormatting>
  <conditionalFormatting sqref="T26:U26">
    <cfRule type="containsText" dxfId="0" priority="5335" operator="between" text="欠">
      <formula>NOT(ISERROR(SEARCH("欠",T26)))</formula>
    </cfRule>
    <cfRule type="cellIs" dxfId="0" priority="5336" operator="equal">
      <formula>"欠"</formula>
    </cfRule>
  </conditionalFormatting>
  <conditionalFormatting sqref="V26:X26">
    <cfRule type="cellIs" dxfId="0" priority="5339" operator="equal">
      <formula>"欠"</formula>
    </cfRule>
  </conditionalFormatting>
  <conditionalFormatting sqref="V26:W26">
    <cfRule type="containsText" dxfId="0" priority="5337" operator="between" text="欠">
      <formula>NOT(ISERROR(SEARCH("欠",V26)))</formula>
    </cfRule>
    <cfRule type="containsText" dxfId="1" priority="5338" operator="between" text="欠">
      <formula>NOT(ISERROR(SEARCH("欠",V26)))</formula>
    </cfRule>
  </conditionalFormatting>
  <conditionalFormatting sqref="R27">
    <cfRule type="containsText" dxfId="0" priority="5313" operator="between" text="欠">
      <formula>NOT(ISERROR(SEARCH("欠",R27)))</formula>
    </cfRule>
  </conditionalFormatting>
  <conditionalFormatting sqref="S27">
    <cfRule type="containsText" dxfId="0" priority="5329" operator="between" text="欠">
      <formula>NOT(ISERROR(SEARCH("欠",S27)))</formula>
    </cfRule>
    <cfRule type="cellIs" dxfId="0" priority="5331" operator="equal">
      <formula>"欠"</formula>
    </cfRule>
  </conditionalFormatting>
  <conditionalFormatting sqref="T27:U27">
    <cfRule type="containsText" dxfId="0" priority="5315" operator="between" text="欠">
      <formula>NOT(ISERROR(SEARCH("欠",T27)))</formula>
    </cfRule>
    <cfRule type="cellIs" dxfId="0" priority="5317" operator="equal">
      <formula>"欠"</formula>
    </cfRule>
  </conditionalFormatting>
  <conditionalFormatting sqref="V27:X27">
    <cfRule type="cellIs" dxfId="0" priority="5323" operator="equal">
      <formula>"欠"</formula>
    </cfRule>
  </conditionalFormatting>
  <conditionalFormatting sqref="V27:W27">
    <cfRule type="containsText" dxfId="0" priority="5319" operator="between" text="欠">
      <formula>NOT(ISERROR(SEARCH("欠",V27)))</formula>
    </cfRule>
    <cfRule type="containsText" dxfId="1" priority="5321" operator="between" text="欠">
      <formula>NOT(ISERROR(SEARCH("欠",V27)))</formula>
    </cfRule>
  </conditionalFormatting>
  <conditionalFormatting sqref="R28">
    <cfRule type="containsText" dxfId="0" priority="4504" operator="between" text="欠">
      <formula>NOT(ISERROR(SEARCH("欠",R28)))</formula>
    </cfRule>
  </conditionalFormatting>
  <conditionalFormatting sqref="S28">
    <cfRule type="containsText" dxfId="0" priority="4528" operator="between" text="欠">
      <formula>NOT(ISERROR(SEARCH("欠",S28)))</formula>
    </cfRule>
    <cfRule type="cellIs" dxfId="0" priority="4531" operator="equal">
      <formula>"欠"</formula>
    </cfRule>
  </conditionalFormatting>
  <conditionalFormatting sqref="T28:U28">
    <cfRule type="containsText" dxfId="0" priority="4507" operator="between" text="欠">
      <formula>NOT(ISERROR(SEARCH("欠",T28)))</formula>
    </cfRule>
    <cfRule type="cellIs" dxfId="0" priority="4510" operator="equal">
      <formula>"欠"</formula>
    </cfRule>
  </conditionalFormatting>
  <conditionalFormatting sqref="V28:X28">
    <cfRule type="cellIs" dxfId="0" priority="4519" operator="equal">
      <formula>"欠"</formula>
    </cfRule>
  </conditionalFormatting>
  <conditionalFormatting sqref="V28:W28">
    <cfRule type="containsText" dxfId="0" priority="4513" operator="between" text="欠">
      <formula>NOT(ISERROR(SEARCH("欠",V28)))</formula>
    </cfRule>
    <cfRule type="containsText" dxfId="1" priority="4516" operator="between" text="欠">
      <formula>NOT(ISERROR(SEARCH("欠",V28)))</formula>
    </cfRule>
  </conditionalFormatting>
  <conditionalFormatting sqref="R29">
    <cfRule type="containsText" dxfId="0" priority="4503" operator="between" text="欠">
      <formula>NOT(ISERROR(SEARCH("欠",R29)))</formula>
    </cfRule>
  </conditionalFormatting>
  <conditionalFormatting sqref="S29">
    <cfRule type="containsText" dxfId="0" priority="4527" operator="between" text="欠">
      <formula>NOT(ISERROR(SEARCH("欠",S29)))</formula>
    </cfRule>
    <cfRule type="cellIs" dxfId="0" priority="4530" operator="equal">
      <formula>"欠"</formula>
    </cfRule>
  </conditionalFormatting>
  <conditionalFormatting sqref="T29:U29">
    <cfRule type="containsText" dxfId="0" priority="4506" operator="between" text="欠">
      <formula>NOT(ISERROR(SEARCH("欠",T29)))</formula>
    </cfRule>
    <cfRule type="cellIs" dxfId="0" priority="4509" operator="equal">
      <formula>"欠"</formula>
    </cfRule>
  </conditionalFormatting>
  <conditionalFormatting sqref="V29:X29">
    <cfRule type="cellIs" dxfId="0" priority="4518" operator="equal">
      <formula>"欠"</formula>
    </cfRule>
  </conditionalFormatting>
  <conditionalFormatting sqref="V29:W29">
    <cfRule type="containsText" dxfId="0" priority="4512" operator="between" text="欠">
      <formula>NOT(ISERROR(SEARCH("欠",V29)))</formula>
    </cfRule>
    <cfRule type="containsText" dxfId="1" priority="4515" operator="between" text="欠">
      <formula>NOT(ISERROR(SEARCH("欠",V29)))</formula>
    </cfRule>
  </conditionalFormatting>
  <conditionalFormatting sqref="R30">
    <cfRule type="containsText" dxfId="0" priority="4502" operator="between" text="欠">
      <formula>NOT(ISERROR(SEARCH("欠",R30)))</formula>
    </cfRule>
  </conditionalFormatting>
  <conditionalFormatting sqref="S30">
    <cfRule type="containsText" dxfId="0" priority="4526" operator="between" text="欠">
      <formula>NOT(ISERROR(SEARCH("欠",S30)))</formula>
    </cfRule>
    <cfRule type="cellIs" dxfId="0" priority="4529" operator="equal">
      <formula>"欠"</formula>
    </cfRule>
  </conditionalFormatting>
  <conditionalFormatting sqref="T30:U30">
    <cfRule type="containsText" dxfId="0" priority="4505" operator="between" text="欠">
      <formula>NOT(ISERROR(SEARCH("欠",T30)))</formula>
    </cfRule>
    <cfRule type="cellIs" dxfId="0" priority="4508" operator="equal">
      <formula>"欠"</formula>
    </cfRule>
  </conditionalFormatting>
  <conditionalFormatting sqref="V30:X30">
    <cfRule type="cellIs" dxfId="0" priority="4517" operator="equal">
      <formula>"欠"</formula>
    </cfRule>
  </conditionalFormatting>
  <conditionalFormatting sqref="V30:W30">
    <cfRule type="containsText" dxfId="0" priority="4511" operator="between" text="欠">
      <formula>NOT(ISERROR(SEARCH("欠",V30)))</formula>
    </cfRule>
    <cfRule type="containsText" dxfId="1" priority="4514" operator="between" text="欠">
      <formula>NOT(ISERROR(SEARCH("欠",V30)))</formula>
    </cfRule>
  </conditionalFormatting>
  <conditionalFormatting sqref="R31">
    <cfRule type="containsText" dxfId="0" priority="4471" operator="between" text="欠">
      <formula>NOT(ISERROR(SEARCH("欠",R31)))</formula>
    </cfRule>
  </conditionalFormatting>
  <conditionalFormatting sqref="S31">
    <cfRule type="containsText" dxfId="0" priority="4495" operator="between" text="欠">
      <formula>NOT(ISERROR(SEARCH("欠",S31)))</formula>
    </cfRule>
    <cfRule type="cellIs" dxfId="0" priority="4498" operator="equal">
      <formula>"欠"</formula>
    </cfRule>
  </conditionalFormatting>
  <conditionalFormatting sqref="T31:U31">
    <cfRule type="containsText" dxfId="0" priority="4474" operator="between" text="欠">
      <formula>NOT(ISERROR(SEARCH("欠",T31)))</formula>
    </cfRule>
    <cfRule type="cellIs" dxfId="0" priority="4477" operator="equal">
      <formula>"欠"</formula>
    </cfRule>
  </conditionalFormatting>
  <conditionalFormatting sqref="V31:X31">
    <cfRule type="cellIs" dxfId="0" priority="4486" operator="equal">
      <formula>"欠"</formula>
    </cfRule>
  </conditionalFormatting>
  <conditionalFormatting sqref="V31:W31">
    <cfRule type="containsText" dxfId="0" priority="4480" operator="between" text="欠">
      <formula>NOT(ISERROR(SEARCH("欠",V31)))</formula>
    </cfRule>
    <cfRule type="containsText" dxfId="1" priority="4483" operator="between" text="欠">
      <formula>NOT(ISERROR(SEARCH("欠",V31)))</formula>
    </cfRule>
  </conditionalFormatting>
  <conditionalFormatting sqref="R32">
    <cfRule type="containsText" dxfId="0" priority="4470" operator="between" text="欠">
      <formula>NOT(ISERROR(SEARCH("欠",R32)))</formula>
    </cfRule>
  </conditionalFormatting>
  <conditionalFormatting sqref="S32">
    <cfRule type="containsText" dxfId="0" priority="4494" operator="between" text="欠">
      <formula>NOT(ISERROR(SEARCH("欠",S32)))</formula>
    </cfRule>
    <cfRule type="cellIs" dxfId="0" priority="4497" operator="equal">
      <formula>"欠"</formula>
    </cfRule>
  </conditionalFormatting>
  <conditionalFormatting sqref="T32:U32">
    <cfRule type="containsText" dxfId="0" priority="4473" operator="between" text="欠">
      <formula>NOT(ISERROR(SEARCH("欠",T32)))</formula>
    </cfRule>
    <cfRule type="cellIs" dxfId="0" priority="4476" operator="equal">
      <formula>"欠"</formula>
    </cfRule>
  </conditionalFormatting>
  <conditionalFormatting sqref="V32:X32">
    <cfRule type="cellIs" dxfId="0" priority="4485" operator="equal">
      <formula>"欠"</formula>
    </cfRule>
  </conditionalFormatting>
  <conditionalFormatting sqref="V32:W32">
    <cfRule type="containsText" dxfId="0" priority="4479" operator="between" text="欠">
      <formula>NOT(ISERROR(SEARCH("欠",V32)))</formula>
    </cfRule>
    <cfRule type="containsText" dxfId="1" priority="4482" operator="between" text="欠">
      <formula>NOT(ISERROR(SEARCH("欠",V32)))</formula>
    </cfRule>
  </conditionalFormatting>
  <conditionalFormatting sqref="R33">
    <cfRule type="containsText" dxfId="0" priority="4456" operator="between" text="欠">
      <formula>NOT(ISERROR(SEARCH("欠",R33)))</formula>
    </cfRule>
  </conditionalFormatting>
  <conditionalFormatting sqref="S33">
    <cfRule type="containsText" dxfId="0" priority="4464" operator="between" text="欠">
      <formula>NOT(ISERROR(SEARCH("欠",S33)))</formula>
    </cfRule>
    <cfRule type="cellIs" dxfId="0" priority="4465" operator="equal">
      <formula>"欠"</formula>
    </cfRule>
  </conditionalFormatting>
  <conditionalFormatting sqref="T33:U33">
    <cfRule type="containsText" dxfId="0" priority="4457" operator="between" text="欠">
      <formula>NOT(ISERROR(SEARCH("欠",T33)))</formula>
    </cfRule>
    <cfRule type="cellIs" dxfId="0" priority="4458" operator="equal">
      <formula>"欠"</formula>
    </cfRule>
  </conditionalFormatting>
  <conditionalFormatting sqref="V33:X33">
    <cfRule type="cellIs" dxfId="0" priority="4461" operator="equal">
      <formula>"欠"</formula>
    </cfRule>
  </conditionalFormatting>
  <conditionalFormatting sqref="V33:W33">
    <cfRule type="containsText" dxfId="0" priority="4459" operator="between" text="欠">
      <formula>NOT(ISERROR(SEARCH("欠",V33)))</formula>
    </cfRule>
    <cfRule type="containsText" dxfId="1" priority="4460" operator="between" text="欠">
      <formula>NOT(ISERROR(SEARCH("欠",V33)))</formula>
    </cfRule>
  </conditionalFormatting>
  <conditionalFormatting sqref="V34:X34">
    <cfRule type="cellIs" dxfId="0" priority="7382" operator="equal">
      <formula>"欠"</formula>
    </cfRule>
  </conditionalFormatting>
  <conditionalFormatting sqref="V34:W34">
    <cfRule type="containsText" dxfId="0" priority="7379" operator="between" text="欠">
      <formula>NOT(ISERROR(SEARCH("欠",V34)))</formula>
    </cfRule>
    <cfRule type="containsText" dxfId="1" priority="7380" operator="between" text="欠">
      <formula>NOT(ISERROR(SEARCH("欠",V34)))</formula>
    </cfRule>
  </conditionalFormatting>
  <conditionalFormatting sqref="V35:X35">
    <cfRule type="cellIs" dxfId="0" priority="7426" operator="equal">
      <formula>"欠"</formula>
    </cfRule>
  </conditionalFormatting>
  <conditionalFormatting sqref="V35:W35">
    <cfRule type="containsText" dxfId="0" priority="7423" operator="between" text="欠">
      <formula>NOT(ISERROR(SEARCH("欠",V35)))</formula>
    </cfRule>
    <cfRule type="containsText" dxfId="1" priority="7424" operator="between" text="欠">
      <formula>NOT(ISERROR(SEARCH("欠",V35)))</formula>
    </cfRule>
  </conditionalFormatting>
  <conditionalFormatting sqref="R36">
    <cfRule type="containsText" dxfId="0" priority="4407" operator="between" text="欠">
      <formula>NOT(ISERROR(SEARCH("欠",R36)))</formula>
    </cfRule>
  </conditionalFormatting>
  <conditionalFormatting sqref="S36">
    <cfRule type="containsText" dxfId="0" priority="4447" operator="between" text="欠">
      <formula>NOT(ISERROR(SEARCH("欠",S36)))</formula>
    </cfRule>
    <cfRule type="cellIs" dxfId="0" priority="4452" operator="equal">
      <formula>"欠"</formula>
    </cfRule>
  </conditionalFormatting>
  <conditionalFormatting sqref="T36:U36">
    <cfRule type="containsText" dxfId="0" priority="4412" operator="between" text="欠">
      <formula>NOT(ISERROR(SEARCH("欠",T36)))</formula>
    </cfRule>
    <cfRule type="cellIs" dxfId="0" priority="4417" operator="equal">
      <formula>"欠"</formula>
    </cfRule>
  </conditionalFormatting>
  <conditionalFormatting sqref="V36:X36">
    <cfRule type="cellIs" dxfId="0" priority="4432" operator="equal">
      <formula>"欠"</formula>
    </cfRule>
  </conditionalFormatting>
  <conditionalFormatting sqref="V36:W36">
    <cfRule type="containsText" dxfId="0" priority="4422" operator="between" text="欠">
      <formula>NOT(ISERROR(SEARCH("欠",V36)))</formula>
    </cfRule>
    <cfRule type="containsText" dxfId="1" priority="4427" operator="between" text="欠">
      <formula>NOT(ISERROR(SEARCH("欠",V36)))</formula>
    </cfRule>
  </conditionalFormatting>
  <conditionalFormatting sqref="R37">
    <cfRule type="containsText" dxfId="0" priority="4405" operator="between" text="欠">
      <formula>NOT(ISERROR(SEARCH("欠",R37)))</formula>
    </cfRule>
  </conditionalFormatting>
  <conditionalFormatting sqref="S37">
    <cfRule type="containsText" dxfId="0" priority="4445" operator="between" text="欠">
      <formula>NOT(ISERROR(SEARCH("欠",S37)))</formula>
    </cfRule>
    <cfRule type="cellIs" dxfId="0" priority="4450" operator="equal">
      <formula>"欠"</formula>
    </cfRule>
  </conditionalFormatting>
  <conditionalFormatting sqref="T37:U37">
    <cfRule type="containsText" dxfId="0" priority="4410" operator="between" text="欠">
      <formula>NOT(ISERROR(SEARCH("欠",T37)))</formula>
    </cfRule>
    <cfRule type="cellIs" dxfId="0" priority="4415" operator="equal">
      <formula>"欠"</formula>
    </cfRule>
  </conditionalFormatting>
  <conditionalFormatting sqref="V37:X37">
    <cfRule type="cellIs" dxfId="0" priority="4430" operator="equal">
      <formula>"欠"</formula>
    </cfRule>
  </conditionalFormatting>
  <conditionalFormatting sqref="V37:W37">
    <cfRule type="containsText" dxfId="0" priority="4420" operator="between" text="欠">
      <formula>NOT(ISERROR(SEARCH("欠",V37)))</formula>
    </cfRule>
    <cfRule type="containsText" dxfId="1" priority="4425" operator="between" text="欠">
      <formula>NOT(ISERROR(SEARCH("欠",V37)))</formula>
    </cfRule>
  </conditionalFormatting>
  <conditionalFormatting sqref="R39">
    <cfRule type="containsText" dxfId="0" priority="4406" operator="between" text="欠">
      <formula>NOT(ISERROR(SEARCH("欠",R39)))</formula>
    </cfRule>
  </conditionalFormatting>
  <conditionalFormatting sqref="S39">
    <cfRule type="containsText" dxfId="0" priority="4446" operator="between" text="欠">
      <formula>NOT(ISERROR(SEARCH("欠",S39)))</formula>
    </cfRule>
    <cfRule type="cellIs" dxfId="0" priority="4451" operator="equal">
      <formula>"欠"</formula>
    </cfRule>
  </conditionalFormatting>
  <conditionalFormatting sqref="T39:U39">
    <cfRule type="containsText" dxfId="0" priority="4411" operator="between" text="欠">
      <formula>NOT(ISERROR(SEARCH("欠",T39)))</formula>
    </cfRule>
    <cfRule type="cellIs" dxfId="0" priority="4416" operator="equal">
      <formula>"欠"</formula>
    </cfRule>
  </conditionalFormatting>
  <conditionalFormatting sqref="V39:X39">
    <cfRule type="cellIs" dxfId="0" priority="4431" operator="equal">
      <formula>"欠"</formula>
    </cfRule>
  </conditionalFormatting>
  <conditionalFormatting sqref="V39:W39">
    <cfRule type="containsText" dxfId="0" priority="4421" operator="between" text="欠">
      <formula>NOT(ISERROR(SEARCH("欠",V39)))</formula>
    </cfRule>
    <cfRule type="containsText" dxfId="1" priority="4426" operator="between" text="欠">
      <formula>NOT(ISERROR(SEARCH("欠",V39)))</formula>
    </cfRule>
  </conditionalFormatting>
  <conditionalFormatting sqref="R41">
    <cfRule type="containsText" dxfId="0" priority="6774" operator="between" text="欠">
      <formula>NOT(ISERROR(SEARCH("欠",R41)))</formula>
    </cfRule>
  </conditionalFormatting>
  <conditionalFormatting sqref="T41:U41">
    <cfRule type="containsText" dxfId="0" priority="6775" operator="between" text="欠">
      <formula>NOT(ISERROR(SEARCH("欠",T41)))</formula>
    </cfRule>
    <cfRule type="cellIs" dxfId="0" priority="6776" operator="equal">
      <formula>"欠"</formula>
    </cfRule>
  </conditionalFormatting>
  <conditionalFormatting sqref="V41:X41">
    <cfRule type="cellIs" dxfId="0" priority="6780" operator="equal">
      <formula>"欠"</formula>
    </cfRule>
  </conditionalFormatting>
  <conditionalFormatting sqref="V41:W41">
    <cfRule type="containsText" dxfId="0" priority="6778" operator="between" text="欠">
      <formula>NOT(ISERROR(SEARCH("欠",V41)))</formula>
    </cfRule>
    <cfRule type="containsText" dxfId="1" priority="6779" operator="between" text="欠">
      <formula>NOT(ISERROR(SEARCH("欠",V41)))</formula>
    </cfRule>
  </conditionalFormatting>
  <conditionalFormatting sqref="R42">
    <cfRule type="containsText" dxfId="0" priority="6785" operator="between" text="欠">
      <formula>NOT(ISERROR(SEARCH("欠",R42)))</formula>
    </cfRule>
  </conditionalFormatting>
  <conditionalFormatting sqref="R47">
    <cfRule type="containsText" dxfId="0" priority="4469" operator="between" text="欠">
      <formula>NOT(ISERROR(SEARCH("欠",R47)))</formula>
    </cfRule>
  </conditionalFormatting>
  <conditionalFormatting sqref="S47">
    <cfRule type="containsText" dxfId="0" priority="4493" operator="between" text="欠">
      <formula>NOT(ISERROR(SEARCH("欠",S47)))</formula>
    </cfRule>
    <cfRule type="cellIs" dxfId="0" priority="4496" operator="equal">
      <formula>"欠"</formula>
    </cfRule>
  </conditionalFormatting>
  <conditionalFormatting sqref="V47:X47">
    <cfRule type="cellIs" dxfId="0" priority="4484" operator="equal">
      <formula>"欠"</formula>
    </cfRule>
  </conditionalFormatting>
  <conditionalFormatting sqref="V47:W47">
    <cfRule type="containsText" dxfId="0" priority="4478" operator="between" text="欠">
      <formula>NOT(ISERROR(SEARCH("欠",V47)))</formula>
    </cfRule>
    <cfRule type="containsText" dxfId="1" priority="4481" operator="between" text="欠">
      <formula>NOT(ISERROR(SEARCH("欠",V47)))</formula>
    </cfRule>
  </conditionalFormatting>
  <conditionalFormatting sqref="R49">
    <cfRule type="containsText" dxfId="0" priority="3831" operator="between" text="欠">
      <formula>NOT(ISERROR(SEARCH("欠",R49)))</formula>
    </cfRule>
  </conditionalFormatting>
  <conditionalFormatting sqref="S49">
    <cfRule type="containsText" dxfId="0" priority="4397" operator="between" text="欠">
      <formula>NOT(ISERROR(SEARCH("欠",S49)))</formula>
    </cfRule>
    <cfRule type="cellIs" dxfId="0" priority="4399" operator="equal">
      <formula>"欠"</formula>
    </cfRule>
  </conditionalFormatting>
  <conditionalFormatting sqref="T49:U49">
    <cfRule type="containsText" dxfId="0" priority="4381" operator="between" text="欠">
      <formula>NOT(ISERROR(SEARCH("欠",T49)))</formula>
    </cfRule>
    <cfRule type="cellIs" dxfId="0" priority="4385" operator="equal">
      <formula>"欠"</formula>
    </cfRule>
  </conditionalFormatting>
  <conditionalFormatting sqref="V49">
    <cfRule type="containsText" dxfId="0" priority="4375" operator="between" text="欠">
      <formula>NOT(ISERROR(SEARCH("欠",V49)))</formula>
    </cfRule>
    <cfRule type="containsText" dxfId="1" priority="4377" operator="between" text="欠">
      <formula>NOT(ISERROR(SEARCH("欠",V49)))</formula>
    </cfRule>
    <cfRule type="cellIs" dxfId="0" priority="4379" operator="equal">
      <formula>"欠"</formula>
    </cfRule>
  </conditionalFormatting>
  <conditionalFormatting sqref="W49:X49">
    <cfRule type="cellIs" dxfId="0" priority="4391" operator="equal">
      <formula>"欠"</formula>
    </cfRule>
  </conditionalFormatting>
  <conditionalFormatting sqref="W49">
    <cfRule type="containsText" dxfId="0" priority="4387" operator="between" text="欠">
      <formula>NOT(ISERROR(SEARCH("欠",W49)))</formula>
    </cfRule>
    <cfRule type="containsText" dxfId="1" priority="4389" operator="between" text="欠">
      <formula>NOT(ISERROR(SEARCH("欠",W49)))</formula>
    </cfRule>
  </conditionalFormatting>
  <conditionalFormatting sqref="R50">
    <cfRule type="containsText" dxfId="0" priority="3830" operator="between" text="欠">
      <formula>NOT(ISERROR(SEARCH("欠",R50)))</formula>
    </cfRule>
  </conditionalFormatting>
  <conditionalFormatting sqref="S50">
    <cfRule type="containsText" dxfId="0" priority="4396" operator="between" text="欠">
      <formula>NOT(ISERROR(SEARCH("欠",S50)))</formula>
    </cfRule>
    <cfRule type="cellIs" dxfId="0" priority="4398" operator="equal">
      <formula>"欠"</formula>
    </cfRule>
  </conditionalFormatting>
  <conditionalFormatting sqref="T50:U50">
    <cfRule type="containsText" dxfId="0" priority="4380" operator="between" text="欠">
      <formula>NOT(ISERROR(SEARCH("欠",T50)))</formula>
    </cfRule>
    <cfRule type="cellIs" dxfId="0" priority="4384" operator="equal">
      <formula>"欠"</formula>
    </cfRule>
  </conditionalFormatting>
  <conditionalFormatting sqref="V50">
    <cfRule type="containsText" dxfId="0" priority="4374" operator="between" text="欠">
      <formula>NOT(ISERROR(SEARCH("欠",V50)))</formula>
    </cfRule>
    <cfRule type="containsText" dxfId="1" priority="4376" operator="between" text="欠">
      <formula>NOT(ISERROR(SEARCH("欠",V50)))</formula>
    </cfRule>
    <cfRule type="cellIs" dxfId="0" priority="4378" operator="equal">
      <formula>"欠"</formula>
    </cfRule>
  </conditionalFormatting>
  <conditionalFormatting sqref="W50:X50">
    <cfRule type="cellIs" dxfId="0" priority="4390" operator="equal">
      <formula>"欠"</formula>
    </cfRule>
  </conditionalFormatting>
  <conditionalFormatting sqref="W50">
    <cfRule type="containsText" dxfId="0" priority="4386" operator="between" text="欠">
      <formula>NOT(ISERROR(SEARCH("欠",W50)))</formula>
    </cfRule>
    <cfRule type="containsText" dxfId="1" priority="4388" operator="between" text="欠">
      <formula>NOT(ISERROR(SEARCH("欠",W50)))</formula>
    </cfRule>
  </conditionalFormatting>
  <conditionalFormatting sqref="R51">
    <cfRule type="containsText" dxfId="0" priority="6784" operator="between" text="欠">
      <formula>NOT(ISERROR(SEARCH("欠",R51)))</formula>
    </cfRule>
  </conditionalFormatting>
  <conditionalFormatting sqref="R52">
    <cfRule type="containsText" dxfId="0" priority="6404" operator="between" text="欠">
      <formula>NOT(ISERROR(SEARCH("欠",R52)))</formula>
    </cfRule>
  </conditionalFormatting>
  <conditionalFormatting sqref="V53:X53">
    <cfRule type="cellIs" dxfId="0" priority="6822" operator="equal">
      <formula>"欠"</formula>
    </cfRule>
  </conditionalFormatting>
  <conditionalFormatting sqref="V53:W53">
    <cfRule type="containsText" dxfId="0" priority="6820" operator="between" text="欠">
      <formula>NOT(ISERROR(SEARCH("欠",V53)))</formula>
    </cfRule>
    <cfRule type="containsText" dxfId="1" priority="6821" operator="between" text="欠">
      <formula>NOT(ISERROR(SEARCH("欠",V53)))</formula>
    </cfRule>
  </conditionalFormatting>
  <conditionalFormatting sqref="R55">
    <cfRule type="containsText" dxfId="0" priority="2370" operator="between" text="欠">
      <formula>NOT(ISERROR(SEARCH("欠",R55)))</formula>
    </cfRule>
  </conditionalFormatting>
  <conditionalFormatting sqref="S55">
    <cfRule type="containsText" dxfId="0" priority="2378" operator="between" text="欠">
      <formula>NOT(ISERROR(SEARCH("欠",S55)))</formula>
    </cfRule>
    <cfRule type="cellIs" dxfId="0" priority="2379" operator="equal">
      <formula>"欠"</formula>
    </cfRule>
  </conditionalFormatting>
  <conditionalFormatting sqref="T55:U55">
    <cfRule type="containsText" dxfId="0" priority="2373" operator="between" text="欠">
      <formula>NOT(ISERROR(SEARCH("欠",T55)))</formula>
    </cfRule>
    <cfRule type="cellIs" dxfId="0" priority="2374" operator="equal">
      <formula>"欠"</formula>
    </cfRule>
  </conditionalFormatting>
  <conditionalFormatting sqref="V55:W55">
    <cfRule type="containsText" dxfId="0" priority="2375" operator="between" text="欠">
      <formula>NOT(ISERROR(SEARCH("欠",V55)))</formula>
    </cfRule>
    <cfRule type="containsText" dxfId="1" priority="2376" operator="between" text="欠">
      <formula>NOT(ISERROR(SEARCH("欠",V55)))</formula>
    </cfRule>
    <cfRule type="cellIs" dxfId="0" priority="2377" operator="equal">
      <formula>"欠"</formula>
    </cfRule>
  </conditionalFormatting>
  <conditionalFormatting sqref="X55">
    <cfRule type="cellIs" dxfId="0" priority="2369" operator="equal">
      <formula>"欠"</formula>
    </cfRule>
  </conditionalFormatting>
  <conditionalFormatting sqref="R56">
    <cfRule type="containsText" dxfId="0" priority="7531" operator="between" text="欠">
      <formula>NOT(ISERROR(SEARCH("欠",R56)))</formula>
    </cfRule>
  </conditionalFormatting>
  <conditionalFormatting sqref="T56:U56">
    <cfRule type="containsText" dxfId="0" priority="7530" operator="between" text="欠">
      <formula>NOT(ISERROR(SEARCH("欠",T56)))</formula>
    </cfRule>
    <cfRule type="cellIs" dxfId="0" priority="7532" operator="equal">
      <formula>"欠"</formula>
    </cfRule>
  </conditionalFormatting>
  <conditionalFormatting sqref="R58">
    <cfRule type="containsText" dxfId="0" priority="6387" operator="between" text="欠">
      <formula>NOT(ISERROR(SEARCH("欠",R58)))</formula>
    </cfRule>
  </conditionalFormatting>
  <conditionalFormatting sqref="S58">
    <cfRule type="containsText" dxfId="0" priority="6389" operator="between" text="欠">
      <formula>NOT(ISERROR(SEARCH("欠",S58)))</formula>
    </cfRule>
    <cfRule type="cellIs" dxfId="0" priority="6390" operator="equal">
      <formula>"欠"</formula>
    </cfRule>
  </conditionalFormatting>
  <conditionalFormatting sqref="V58:W58">
    <cfRule type="containsText" dxfId="0" priority="6382" operator="between" text="欠">
      <formula>NOT(ISERROR(SEARCH("欠",V58)))</formula>
    </cfRule>
    <cfRule type="containsText" dxfId="1" priority="6383" operator="between" text="欠">
      <formula>NOT(ISERROR(SEARCH("欠",V58)))</formula>
    </cfRule>
    <cfRule type="cellIs" dxfId="0" priority="6384" operator="equal">
      <formula>"欠"</formula>
    </cfRule>
  </conditionalFormatting>
  <conditionalFormatting sqref="T60:U60">
    <cfRule type="containsText" dxfId="0" priority="6325" operator="between" text="欠">
      <formula>NOT(ISERROR(SEARCH("欠",T60)))</formula>
    </cfRule>
    <cfRule type="cellIs" dxfId="0" priority="6326" operator="equal">
      <formula>"欠"</formula>
    </cfRule>
  </conditionalFormatting>
  <conditionalFormatting sqref="V60">
    <cfRule type="containsText" dxfId="0" priority="6327" operator="between" text="欠">
      <formula>NOT(ISERROR(SEARCH("欠",V60)))</formula>
    </cfRule>
    <cfRule type="containsText" dxfId="1" priority="6328" operator="between" text="欠">
      <formula>NOT(ISERROR(SEARCH("欠",V60)))</formula>
    </cfRule>
    <cfRule type="cellIs" dxfId="0" priority="6329" operator="equal">
      <formula>"欠"</formula>
    </cfRule>
  </conditionalFormatting>
  <conditionalFormatting sqref="W60">
    <cfRule type="containsText" dxfId="0" priority="6321" operator="between" text="欠">
      <formula>NOT(ISERROR(SEARCH("欠",W60)))</formula>
    </cfRule>
    <cfRule type="containsText" dxfId="1" priority="6322" operator="between" text="欠">
      <formula>NOT(ISERROR(SEARCH("欠",W60)))</formula>
    </cfRule>
    <cfRule type="cellIs" dxfId="0" priority="6323" operator="equal">
      <formula>"欠"</formula>
    </cfRule>
  </conditionalFormatting>
  <conditionalFormatting sqref="V61:W61">
    <cfRule type="containsText" dxfId="0" priority="6700" operator="between" text="欠">
      <formula>NOT(ISERROR(SEARCH("欠",V61)))</formula>
    </cfRule>
    <cfRule type="containsText" dxfId="1" priority="6701" operator="between" text="欠">
      <formula>NOT(ISERROR(SEARCH("欠",V61)))</formula>
    </cfRule>
  </conditionalFormatting>
  <conditionalFormatting sqref="R62">
    <cfRule type="containsText" dxfId="0" priority="5791" operator="between" text="欠">
      <formula>NOT(ISERROR(SEARCH("欠",R62)))</formula>
    </cfRule>
  </conditionalFormatting>
  <conditionalFormatting sqref="W62:X62">
    <cfRule type="cellIs" dxfId="0" priority="5773" operator="equal">
      <formula>"欠"</formula>
    </cfRule>
  </conditionalFormatting>
  <conditionalFormatting sqref="W62">
    <cfRule type="containsText" dxfId="0" priority="5761" operator="between" text="欠">
      <formula>NOT(ISERROR(SEARCH("欠",W62)))</formula>
    </cfRule>
    <cfRule type="containsText" dxfId="1" priority="5767" operator="between" text="欠">
      <formula>NOT(ISERROR(SEARCH("欠",W62)))</formula>
    </cfRule>
  </conditionalFormatting>
  <conditionalFormatting sqref="R63">
    <cfRule type="containsText" dxfId="0" priority="5353" operator="between" text="欠">
      <formula>NOT(ISERROR(SEARCH("欠",R63)))</formula>
    </cfRule>
  </conditionalFormatting>
  <conditionalFormatting sqref="S63">
    <cfRule type="containsText" dxfId="0" priority="5393" operator="between" text="欠">
      <formula>NOT(ISERROR(SEARCH("欠",S63)))</formula>
    </cfRule>
    <cfRule type="cellIs" dxfId="0" priority="5398" operator="equal">
      <formula>"欠"</formula>
    </cfRule>
  </conditionalFormatting>
  <conditionalFormatting sqref="T63:U63">
    <cfRule type="containsText" dxfId="0" priority="5358" operator="between" text="欠">
      <formula>NOT(ISERROR(SEARCH("欠",T63)))</formula>
    </cfRule>
    <cfRule type="cellIs" dxfId="0" priority="5363" operator="equal">
      <formula>"欠"</formula>
    </cfRule>
  </conditionalFormatting>
  <conditionalFormatting sqref="W63:X63">
    <cfRule type="cellIs" dxfId="0" priority="5378" operator="equal">
      <formula>"欠"</formula>
    </cfRule>
  </conditionalFormatting>
  <conditionalFormatting sqref="W63">
    <cfRule type="containsText" dxfId="0" priority="5368" operator="between" text="欠">
      <formula>NOT(ISERROR(SEARCH("欠",W63)))</formula>
    </cfRule>
    <cfRule type="containsText" dxfId="1" priority="5373" operator="between" text="欠">
      <formula>NOT(ISERROR(SEARCH("欠",W63)))</formula>
    </cfRule>
  </conditionalFormatting>
  <conditionalFormatting sqref="R64">
    <cfRule type="containsText" dxfId="0" priority="4532" operator="between" text="欠">
      <formula>NOT(ISERROR(SEARCH("欠",R64)))</formula>
    </cfRule>
  </conditionalFormatting>
  <conditionalFormatting sqref="T64:U64">
    <cfRule type="containsText" dxfId="0" priority="4533" operator="between" text="欠">
      <formula>NOT(ISERROR(SEARCH("欠",T64)))</formula>
    </cfRule>
    <cfRule type="cellIs" dxfId="0" priority="4534" operator="equal">
      <formula>"欠"</formula>
    </cfRule>
  </conditionalFormatting>
  <conditionalFormatting sqref="V64:W64">
    <cfRule type="containsText" dxfId="0" priority="4538" operator="between" text="欠">
      <formula>NOT(ISERROR(SEARCH("欠",V64)))</formula>
    </cfRule>
    <cfRule type="containsText" dxfId="1" priority="4539" operator="between" text="欠">
      <formula>NOT(ISERROR(SEARCH("欠",V64)))</formula>
    </cfRule>
    <cfRule type="cellIs" dxfId="0" priority="4540" operator="equal">
      <formula>"欠"</formula>
    </cfRule>
  </conditionalFormatting>
  <conditionalFormatting sqref="X64">
    <cfRule type="cellIs" dxfId="0" priority="4541" operator="equal">
      <formula>"欠"</formula>
    </cfRule>
  </conditionalFormatting>
  <conditionalFormatting sqref="W68">
    <cfRule type="containsText" dxfId="0" priority="6364" operator="between" text="欠">
      <formula>NOT(ISERROR(SEARCH("欠",W68)))</formula>
    </cfRule>
    <cfRule type="containsText" dxfId="1" priority="6366" operator="between" text="欠">
      <formula>NOT(ISERROR(SEARCH("欠",W68)))</formula>
    </cfRule>
    <cfRule type="cellIs" dxfId="0" priority="6368" operator="equal">
      <formula>"欠"</formula>
    </cfRule>
  </conditionalFormatting>
  <conditionalFormatting sqref="X68">
    <cfRule type="cellIs" dxfId="0" priority="6370" operator="equal">
      <formula>"欠"</formula>
    </cfRule>
  </conditionalFormatting>
  <conditionalFormatting sqref="V69:W69">
    <cfRule type="containsText" dxfId="0" priority="7466" operator="between" text="欠">
      <formula>NOT(ISERROR(SEARCH("欠",V69)))</formula>
    </cfRule>
    <cfRule type="containsText" dxfId="1" priority="7467" operator="between" text="欠">
      <formula>NOT(ISERROR(SEARCH("欠",V69)))</formula>
    </cfRule>
    <cfRule type="cellIs" dxfId="0" priority="7469" operator="equal">
      <formula>"欠"</formula>
    </cfRule>
  </conditionalFormatting>
  <conditionalFormatting sqref="X69">
    <cfRule type="cellIs" dxfId="0" priority="6788" operator="equal">
      <formula>"欠"</formula>
    </cfRule>
  </conditionalFormatting>
  <conditionalFormatting sqref="V70:X70">
    <cfRule type="cellIs" dxfId="0" priority="7449" operator="equal">
      <formula>"欠"</formula>
    </cfRule>
  </conditionalFormatting>
  <conditionalFormatting sqref="V70:W70">
    <cfRule type="containsText" dxfId="0" priority="7446" operator="between" text="欠">
      <formula>NOT(ISERROR(SEARCH("欠",V70)))</formula>
    </cfRule>
    <cfRule type="containsText" dxfId="1" priority="7447" operator="between" text="欠">
      <formula>NOT(ISERROR(SEARCH("欠",V70)))</formula>
    </cfRule>
  </conditionalFormatting>
  <conditionalFormatting sqref="V73:X73">
    <cfRule type="cellIs" dxfId="0" priority="6843" operator="equal">
      <formula>"欠"</formula>
    </cfRule>
  </conditionalFormatting>
  <conditionalFormatting sqref="V73:W73">
    <cfRule type="containsText" dxfId="0" priority="6841" operator="between" text="欠">
      <formula>NOT(ISERROR(SEARCH("欠",V73)))</formula>
    </cfRule>
    <cfRule type="containsText" dxfId="1" priority="6842" operator="between" text="欠">
      <formula>NOT(ISERROR(SEARCH("欠",V73)))</formula>
    </cfRule>
  </conditionalFormatting>
  <conditionalFormatting sqref="V77:W77">
    <cfRule type="containsText" dxfId="0" priority="6722" operator="between" text="欠">
      <formula>NOT(ISERROR(SEARCH("欠",V77)))</formula>
    </cfRule>
    <cfRule type="containsText" dxfId="1" priority="6723" operator="between" text="欠">
      <formula>NOT(ISERROR(SEARCH("欠",V77)))</formula>
    </cfRule>
  </conditionalFormatting>
  <conditionalFormatting sqref="R81">
    <cfRule type="containsText" dxfId="0" priority="3832" operator="between" text="欠">
      <formula>NOT(ISERROR(SEARCH("欠",R81)))</formula>
    </cfRule>
  </conditionalFormatting>
  <conditionalFormatting sqref="T81:U81">
    <cfRule type="containsText" dxfId="0" priority="6146" operator="between" text="欠">
      <formula>NOT(ISERROR(SEARCH("欠",T81)))</formula>
    </cfRule>
    <cfRule type="cellIs" dxfId="0" priority="6147" operator="equal">
      <formula>"欠"</formula>
    </cfRule>
  </conditionalFormatting>
  <conditionalFormatting sqref="V81">
    <cfRule type="containsText" dxfId="0" priority="6148" operator="between" text="欠">
      <formula>NOT(ISERROR(SEARCH("欠",V81)))</formula>
    </cfRule>
    <cfRule type="containsText" dxfId="1" priority="6149" operator="between" text="欠">
      <formula>NOT(ISERROR(SEARCH("欠",V81)))</formula>
    </cfRule>
    <cfRule type="cellIs" dxfId="0" priority="6150" operator="equal">
      <formula>"欠"</formula>
    </cfRule>
  </conditionalFormatting>
  <conditionalFormatting sqref="W81">
    <cfRule type="containsText" dxfId="0" priority="6142" operator="between" text="欠">
      <formula>NOT(ISERROR(SEARCH("欠",W81)))</formula>
    </cfRule>
    <cfRule type="containsText" dxfId="1" priority="6143" operator="between" text="欠">
      <formula>NOT(ISERROR(SEARCH("欠",W81)))</formula>
    </cfRule>
  </conditionalFormatting>
  <conditionalFormatting sqref="W81:X81">
    <cfRule type="cellIs" dxfId="0" priority="6144" operator="equal">
      <formula>"欠"</formula>
    </cfRule>
  </conditionalFormatting>
  <conditionalFormatting sqref="V87:W87">
    <cfRule type="containsText" dxfId="0" priority="6519" operator="between" text="欠">
      <formula>NOT(ISERROR(SEARCH("欠",V87)))</formula>
    </cfRule>
    <cfRule type="containsText" dxfId="1" priority="6520" operator="between" text="欠">
      <formula>NOT(ISERROR(SEARCH("欠",V87)))</formula>
    </cfRule>
    <cfRule type="cellIs" dxfId="0" priority="6521" operator="equal">
      <formula>"欠"</formula>
    </cfRule>
  </conditionalFormatting>
  <conditionalFormatting sqref="X87">
    <cfRule type="cellIs" dxfId="0" priority="6522" operator="equal">
      <formula>"欠"</formula>
    </cfRule>
  </conditionalFormatting>
  <conditionalFormatting sqref="V88:W88">
    <cfRule type="containsText" dxfId="0" priority="6507" operator="between" text="欠">
      <formula>NOT(ISERROR(SEARCH("欠",V88)))</formula>
    </cfRule>
    <cfRule type="containsText" dxfId="1" priority="6508" operator="between" text="欠">
      <formula>NOT(ISERROR(SEARCH("欠",V88)))</formula>
    </cfRule>
    <cfRule type="cellIs" dxfId="0" priority="6509" operator="equal">
      <formula>"欠"</formula>
    </cfRule>
  </conditionalFormatting>
  <conditionalFormatting sqref="X88">
    <cfRule type="cellIs" dxfId="0" priority="6510" operator="equal">
      <formula>"欠"</formula>
    </cfRule>
  </conditionalFormatting>
  <conditionalFormatting sqref="R93">
    <cfRule type="containsText" dxfId="0" priority="3194" operator="between" text="欠">
      <formula>NOT(ISERROR(SEARCH("欠",R93)))</formula>
    </cfRule>
  </conditionalFormatting>
  <conditionalFormatting sqref="S93">
    <cfRule type="containsText" dxfId="0" priority="3201" operator="between" text="欠">
      <formula>NOT(ISERROR(SEARCH("欠",S93)))</formula>
    </cfRule>
    <cfRule type="cellIs" dxfId="0" priority="3202" operator="equal">
      <formula>"欠"</formula>
    </cfRule>
  </conditionalFormatting>
  <conditionalFormatting sqref="T93:U93">
    <cfRule type="containsText" dxfId="0" priority="3193" operator="between" text="欠">
      <formula>NOT(ISERROR(SEARCH("欠",T93)))</formula>
    </cfRule>
    <cfRule type="cellIs" dxfId="0" priority="3195" operator="equal">
      <formula>"欠"</formula>
    </cfRule>
  </conditionalFormatting>
  <conditionalFormatting sqref="V93">
    <cfRule type="containsText" dxfId="0" priority="3190" operator="between" text="欠">
      <formula>NOT(ISERROR(SEARCH("欠",V93)))</formula>
    </cfRule>
    <cfRule type="containsText" dxfId="1" priority="3191" operator="between" text="欠">
      <formula>NOT(ISERROR(SEARCH("欠",V93)))</formula>
    </cfRule>
    <cfRule type="cellIs" dxfId="0" priority="3192" operator="equal">
      <formula>"欠"</formula>
    </cfRule>
  </conditionalFormatting>
  <conditionalFormatting sqref="W93:X93">
    <cfRule type="cellIs" dxfId="0" priority="3198" operator="equal">
      <formula>"欠"</formula>
    </cfRule>
  </conditionalFormatting>
  <conditionalFormatting sqref="W93">
    <cfRule type="containsText" dxfId="0" priority="3196" operator="between" text="欠">
      <formula>NOT(ISERROR(SEARCH("欠",W93)))</formula>
    </cfRule>
    <cfRule type="containsText" dxfId="1" priority="3197" operator="between" text="欠">
      <formula>NOT(ISERROR(SEARCH("欠",W93)))</formula>
    </cfRule>
  </conditionalFormatting>
  <conditionalFormatting sqref="R94">
    <cfRule type="containsText" dxfId="0" priority="4077" operator="between" text="欠">
      <formula>NOT(ISERROR(SEARCH("欠",R94)))</formula>
    </cfRule>
  </conditionalFormatting>
  <conditionalFormatting sqref="S94">
    <cfRule type="containsText" dxfId="0" priority="4087" operator="between" text="欠">
      <formula>NOT(ISERROR(SEARCH("欠",S94)))</formula>
    </cfRule>
    <cfRule type="cellIs" dxfId="0" priority="4088" operator="equal">
      <formula>"欠"</formula>
    </cfRule>
  </conditionalFormatting>
  <conditionalFormatting sqref="T94:U94">
    <cfRule type="containsText" dxfId="0" priority="4081" operator="between" text="欠">
      <formula>NOT(ISERROR(SEARCH("欠",T94)))</formula>
    </cfRule>
    <cfRule type="cellIs" dxfId="0" priority="4082" operator="equal">
      <formula>"欠"</formula>
    </cfRule>
  </conditionalFormatting>
  <conditionalFormatting sqref="V94:W94">
    <cfRule type="containsText" dxfId="0" priority="4083" operator="between" text="欠">
      <formula>NOT(ISERROR(SEARCH("欠",V94)))</formula>
    </cfRule>
    <cfRule type="containsText" dxfId="1" priority="4084" operator="between" text="欠">
      <formula>NOT(ISERROR(SEARCH("欠",V94)))</formula>
    </cfRule>
    <cfRule type="cellIs" dxfId="0" priority="4085" operator="equal">
      <formula>"欠"</formula>
    </cfRule>
  </conditionalFormatting>
  <conditionalFormatting sqref="X94">
    <cfRule type="cellIs" dxfId="0" priority="4086" operator="equal">
      <formula>"欠"</formula>
    </cfRule>
  </conditionalFormatting>
  <conditionalFormatting sqref="R99">
    <cfRule type="containsText" dxfId="0" priority="6675" operator="between" text="欠">
      <formula>NOT(ISERROR(SEARCH("欠",R99)))</formula>
    </cfRule>
  </conditionalFormatting>
  <conditionalFormatting sqref="V99:W99">
    <cfRule type="containsText" dxfId="0" priority="6678" operator="between" text="欠">
      <formula>NOT(ISERROR(SEARCH("欠",V99)))</formula>
    </cfRule>
    <cfRule type="containsText" dxfId="1" priority="6679" operator="between" text="欠">
      <formula>NOT(ISERROR(SEARCH("欠",V99)))</formula>
    </cfRule>
  </conditionalFormatting>
  <conditionalFormatting sqref="V99:X99">
    <cfRule type="cellIs" dxfId="0" priority="6681" operator="equal">
      <formula>"欠"</formula>
    </cfRule>
  </conditionalFormatting>
  <conditionalFormatting sqref="R100">
    <cfRule type="containsText" dxfId="0" priority="6491" operator="between" text="欠">
      <formula>NOT(ISERROR(SEARCH("欠",R100)))</formula>
    </cfRule>
  </conditionalFormatting>
  <conditionalFormatting sqref="V100:W100">
    <cfRule type="containsText" dxfId="0" priority="6495" operator="between" text="欠">
      <formula>NOT(ISERROR(SEARCH("欠",V100)))</formula>
    </cfRule>
    <cfRule type="containsText" dxfId="1" priority="6496" operator="between" text="欠">
      <formula>NOT(ISERROR(SEARCH("欠",V100)))</formula>
    </cfRule>
    <cfRule type="cellIs" dxfId="0" priority="6497" operator="equal">
      <formula>"欠"</formula>
    </cfRule>
  </conditionalFormatting>
  <conditionalFormatting sqref="R101">
    <cfRule type="containsText" dxfId="0" priority="6571" operator="between" text="欠">
      <formula>NOT(ISERROR(SEARCH("欠",R101)))</formula>
    </cfRule>
  </conditionalFormatting>
  <conditionalFormatting sqref="V101:W101">
    <cfRule type="containsText" dxfId="0" priority="6575" operator="between" text="欠">
      <formula>NOT(ISERROR(SEARCH("欠",V101)))</formula>
    </cfRule>
    <cfRule type="containsText" dxfId="1" priority="6576" operator="between" text="欠">
      <formula>NOT(ISERROR(SEARCH("欠",V101)))</formula>
    </cfRule>
  </conditionalFormatting>
  <conditionalFormatting sqref="V101:X101">
    <cfRule type="cellIs" dxfId="0" priority="6577" operator="equal">
      <formula>"欠"</formula>
    </cfRule>
  </conditionalFormatting>
  <conditionalFormatting sqref="V102:W102">
    <cfRule type="containsText" dxfId="0" priority="6744" operator="between" text="欠">
      <formula>NOT(ISERROR(SEARCH("欠",V102)))</formula>
    </cfRule>
    <cfRule type="containsText" dxfId="1" priority="6745" operator="between" text="欠">
      <formula>NOT(ISERROR(SEARCH("欠",V102)))</formula>
    </cfRule>
  </conditionalFormatting>
  <conditionalFormatting sqref="R109">
    <cfRule type="containsText" dxfId="0" priority="4288" operator="between" text="欠">
      <formula>NOT(ISERROR(SEARCH("欠",R109)))</formula>
    </cfRule>
  </conditionalFormatting>
  <conditionalFormatting sqref="T109:U109">
    <cfRule type="containsText" dxfId="0" priority="4290" operator="between" text="欠">
      <formula>NOT(ISERROR(SEARCH("欠",T109)))</formula>
    </cfRule>
    <cfRule type="cellIs" dxfId="0" priority="4291" operator="equal">
      <formula>"欠"</formula>
    </cfRule>
  </conditionalFormatting>
  <conditionalFormatting sqref="V109">
    <cfRule type="containsText" dxfId="0" priority="4285" operator="between" text="欠">
      <formula>NOT(ISERROR(SEARCH("欠",V109)))</formula>
    </cfRule>
    <cfRule type="containsText" dxfId="1" priority="4286" operator="between" text="欠">
      <formula>NOT(ISERROR(SEARCH("欠",V109)))</formula>
    </cfRule>
    <cfRule type="cellIs" dxfId="0" priority="4287" operator="equal">
      <formula>"欠"</formula>
    </cfRule>
  </conditionalFormatting>
  <conditionalFormatting sqref="W109">
    <cfRule type="containsText" dxfId="0" priority="4292" operator="between" text="欠">
      <formula>NOT(ISERROR(SEARCH("欠",W109)))</formula>
    </cfRule>
    <cfRule type="containsText" dxfId="1" priority="4293" operator="between" text="欠">
      <formula>NOT(ISERROR(SEARCH("欠",W109)))</formula>
    </cfRule>
    <cfRule type="cellIs" dxfId="0" priority="4294" operator="equal">
      <formula>"欠"</formula>
    </cfRule>
  </conditionalFormatting>
  <conditionalFormatting sqref="X109">
    <cfRule type="cellIs" dxfId="0" priority="4295" operator="equal">
      <formula>"欠"</formula>
    </cfRule>
  </conditionalFormatting>
  <conditionalFormatting sqref="T110:U110">
    <cfRule type="containsText" dxfId="0" priority="3711" operator="between" text="欠">
      <formula>NOT(ISERROR(SEARCH("欠",T110)))</formula>
    </cfRule>
    <cfRule type="cellIs" dxfId="0" priority="3727" operator="equal">
      <formula>"欠"</formula>
    </cfRule>
  </conditionalFormatting>
  <conditionalFormatting sqref="W110">
    <cfRule type="containsText" dxfId="0" priority="3743" operator="between" text="欠">
      <formula>NOT(ISERROR(SEARCH("欠",W110)))</formula>
    </cfRule>
    <cfRule type="containsText" dxfId="1" priority="3759" operator="between" text="欠">
      <formula>NOT(ISERROR(SEARCH("欠",W110)))</formula>
    </cfRule>
    <cfRule type="cellIs" dxfId="0" priority="3775" operator="equal">
      <formula>"欠"</formula>
    </cfRule>
  </conditionalFormatting>
  <conditionalFormatting sqref="X110">
    <cfRule type="cellIs" dxfId="0" priority="3791" operator="equal">
      <formula>"欠"</formula>
    </cfRule>
  </conditionalFormatting>
  <conditionalFormatting sqref="V111:W111">
    <cfRule type="containsText" dxfId="0" priority="6050" operator="between" text="欠">
      <formula>NOT(ISERROR(SEARCH("欠",V111)))</formula>
    </cfRule>
    <cfRule type="containsText" dxfId="1" priority="6060" operator="between" text="欠">
      <formula>NOT(ISERROR(SEARCH("欠",V111)))</formula>
    </cfRule>
    <cfRule type="cellIs" dxfId="0" priority="6070" operator="equal">
      <formula>"欠"</formula>
    </cfRule>
  </conditionalFormatting>
  <conditionalFormatting sqref="X111">
    <cfRule type="cellIs" dxfId="0" priority="6080" operator="equal">
      <formula>"欠"</formula>
    </cfRule>
  </conditionalFormatting>
  <conditionalFormatting sqref="R115">
    <cfRule type="containsText" dxfId="0" priority="6160" operator="between" text="欠">
      <formula>NOT(ISERROR(SEARCH("欠",R115)))</formula>
    </cfRule>
  </conditionalFormatting>
  <conditionalFormatting sqref="T115:U115">
    <cfRule type="containsText" dxfId="0" priority="6158" operator="between" text="欠">
      <formula>NOT(ISERROR(SEARCH("欠",T115)))</formula>
    </cfRule>
    <cfRule type="cellIs" dxfId="0" priority="6162" operator="equal">
      <formula>"欠"</formula>
    </cfRule>
  </conditionalFormatting>
  <conditionalFormatting sqref="V115:W115">
    <cfRule type="containsText" dxfId="0" priority="6164" operator="between" text="欠">
      <formula>NOT(ISERROR(SEARCH("欠",V115)))</formula>
    </cfRule>
    <cfRule type="containsText" dxfId="1" priority="6166" operator="between" text="欠">
      <formula>NOT(ISERROR(SEARCH("欠",V115)))</formula>
    </cfRule>
  </conditionalFormatting>
  <conditionalFormatting sqref="V115:X115">
    <cfRule type="cellIs" dxfId="0" priority="6168" operator="equal">
      <formula>"欠"</formula>
    </cfRule>
  </conditionalFormatting>
  <conditionalFormatting sqref="V116">
    <cfRule type="containsText" dxfId="0" priority="508" operator="between" text="欠">
      <formula>NOT(ISERROR(SEARCH("欠",V116)))</formula>
    </cfRule>
    <cfRule type="containsText" dxfId="1" priority="509" operator="between" text="欠">
      <formula>NOT(ISERROR(SEARCH("欠",V116)))</formula>
    </cfRule>
    <cfRule type="cellIs" dxfId="0" priority="510" operator="equal">
      <formula>"欠"</formula>
    </cfRule>
  </conditionalFormatting>
  <conditionalFormatting sqref="W116">
    <cfRule type="containsText" dxfId="0" priority="7189" operator="between" text="欠">
      <formula>NOT(ISERROR(SEARCH("欠",W116)))</formula>
    </cfRule>
    <cfRule type="containsText" dxfId="1" priority="7190" operator="between" text="欠">
      <formula>NOT(ISERROR(SEARCH("欠",W116)))</formula>
    </cfRule>
  </conditionalFormatting>
  <conditionalFormatting sqref="S117">
    <cfRule type="containsText" dxfId="0" priority="4980" operator="between" text="欠">
      <formula>NOT(ISERROR(SEARCH("欠",S117)))</formula>
    </cfRule>
    <cfRule type="cellIs" dxfId="0" priority="4981" operator="equal">
      <formula>"欠"</formula>
    </cfRule>
  </conditionalFormatting>
  <conditionalFormatting sqref="T117:U117">
    <cfRule type="containsText" dxfId="0" priority="4978" operator="between" text="欠">
      <formula>NOT(ISERROR(SEARCH("欠",T117)))</formula>
    </cfRule>
    <cfRule type="cellIs" dxfId="0" priority="4979" operator="equal">
      <formula>"欠"</formula>
    </cfRule>
  </conditionalFormatting>
  <conditionalFormatting sqref="V117:W117">
    <cfRule type="containsText" dxfId="0" priority="5151" operator="between" text="欠">
      <formula>NOT(ISERROR(SEARCH("欠",V117)))</formula>
    </cfRule>
    <cfRule type="containsText" dxfId="1" priority="5163" operator="between" text="欠">
      <formula>NOT(ISERROR(SEARCH("欠",V117)))</formula>
    </cfRule>
    <cfRule type="cellIs" dxfId="0" priority="5175" operator="equal">
      <formula>"欠"</formula>
    </cfRule>
  </conditionalFormatting>
  <conditionalFormatting sqref="X117">
    <cfRule type="cellIs" dxfId="0" priority="5187" operator="equal">
      <formula>"欠"</formula>
    </cfRule>
  </conditionalFormatting>
  <conditionalFormatting sqref="V118:W118">
    <cfRule type="containsText" dxfId="0" priority="7070" operator="between" text="欠">
      <formula>NOT(ISERROR(SEARCH("欠",V118)))</formula>
    </cfRule>
    <cfRule type="containsText" dxfId="1" priority="7082" operator="between" text="欠">
      <formula>NOT(ISERROR(SEARCH("欠",V118)))</formula>
    </cfRule>
  </conditionalFormatting>
  <conditionalFormatting sqref="V118:X118">
    <cfRule type="cellIs" dxfId="0" priority="7106" operator="equal">
      <formula>"欠"</formula>
    </cfRule>
  </conditionalFormatting>
  <conditionalFormatting sqref="T119:U119">
    <cfRule type="containsText" dxfId="0" priority="7363" operator="between" text="欠">
      <formula>NOT(ISERROR(SEARCH("欠",T119)))</formula>
    </cfRule>
    <cfRule type="cellIs" dxfId="0" priority="7369" operator="equal">
      <formula>"欠"</formula>
    </cfRule>
  </conditionalFormatting>
  <conditionalFormatting sqref="V119:W119">
    <cfRule type="containsText" dxfId="0" priority="7368" operator="between" text="欠">
      <formula>NOT(ISERROR(SEARCH("欠",V119)))</formula>
    </cfRule>
    <cfRule type="containsText" dxfId="1" priority="7370" operator="between" text="欠">
      <formula>NOT(ISERROR(SEARCH("欠",V119)))</formula>
    </cfRule>
    <cfRule type="cellIs" dxfId="0" priority="7371" operator="equal">
      <formula>"欠"</formula>
    </cfRule>
  </conditionalFormatting>
  <conditionalFormatting sqref="X119">
    <cfRule type="cellIs" dxfId="0" priority="7366" operator="equal">
      <formula>"欠"</formula>
    </cfRule>
  </conditionalFormatting>
  <conditionalFormatting sqref="T120:U120">
    <cfRule type="containsText" dxfId="0" priority="6751" operator="between" text="欠">
      <formula>NOT(ISERROR(SEARCH("欠",T120)))</formula>
    </cfRule>
    <cfRule type="cellIs" dxfId="0" priority="6753" operator="equal">
      <formula>"欠"</formula>
    </cfRule>
  </conditionalFormatting>
  <conditionalFormatting sqref="V120:W120">
    <cfRule type="containsText" dxfId="0" priority="6755" operator="between" text="欠">
      <formula>NOT(ISERROR(SEARCH("欠",V120)))</formula>
    </cfRule>
    <cfRule type="containsText" dxfId="1" priority="6756" operator="between" text="欠">
      <formula>NOT(ISERROR(SEARCH("欠",V120)))</formula>
    </cfRule>
  </conditionalFormatting>
  <conditionalFormatting sqref="V120:X120">
    <cfRule type="cellIs" dxfId="0" priority="6758" operator="equal">
      <formula>"欠"</formula>
    </cfRule>
  </conditionalFormatting>
  <conditionalFormatting sqref="X121">
    <cfRule type="cellIs" dxfId="0" priority="5226" operator="equal">
      <formula>"欠"</formula>
    </cfRule>
  </conditionalFormatting>
  <conditionalFormatting sqref="V122:W122">
    <cfRule type="containsText" dxfId="0" priority="6049" operator="between" text="欠">
      <formula>NOT(ISERROR(SEARCH("欠",V122)))</formula>
    </cfRule>
    <cfRule type="containsText" dxfId="1" priority="6059" operator="between" text="欠">
      <formula>NOT(ISERROR(SEARCH("欠",V122)))</formula>
    </cfRule>
    <cfRule type="cellIs" dxfId="0" priority="6069" operator="equal">
      <formula>"欠"</formula>
    </cfRule>
  </conditionalFormatting>
  <conditionalFormatting sqref="X122">
    <cfRule type="cellIs" dxfId="0" priority="6079" operator="equal">
      <formula>"欠"</formula>
    </cfRule>
  </conditionalFormatting>
  <conditionalFormatting sqref="V123:W123">
    <cfRule type="containsText" dxfId="0" priority="7069" operator="between" text="欠">
      <formula>NOT(ISERROR(SEARCH("欠",V123)))</formula>
    </cfRule>
    <cfRule type="containsText" dxfId="1" priority="7081" operator="between" text="欠">
      <formula>NOT(ISERROR(SEARCH("欠",V123)))</formula>
    </cfRule>
  </conditionalFormatting>
  <conditionalFormatting sqref="V123:X123">
    <cfRule type="cellIs" dxfId="0" priority="7105" operator="equal">
      <formula>"欠"</formula>
    </cfRule>
  </conditionalFormatting>
  <conditionalFormatting sqref="V124:W124">
    <cfRule type="containsText" dxfId="0" priority="7067" operator="between" text="欠">
      <formula>NOT(ISERROR(SEARCH("欠",V124)))</formula>
    </cfRule>
    <cfRule type="containsText" dxfId="1" priority="7079" operator="between" text="欠">
      <formula>NOT(ISERROR(SEARCH("欠",V124)))</formula>
    </cfRule>
  </conditionalFormatting>
  <conditionalFormatting sqref="V124:X124">
    <cfRule type="cellIs" dxfId="0" priority="7103" operator="equal">
      <formula>"欠"</formula>
    </cfRule>
  </conditionalFormatting>
  <conditionalFormatting sqref="V125:W125">
    <cfRule type="containsText" dxfId="0" priority="6484" operator="between" text="欠">
      <formula>NOT(ISERROR(SEARCH("欠",V125)))</formula>
    </cfRule>
    <cfRule type="containsText" dxfId="1" priority="6485" operator="between" text="欠">
      <formula>NOT(ISERROR(SEARCH("欠",V125)))</formula>
    </cfRule>
    <cfRule type="cellIs" dxfId="0" priority="6486" operator="equal">
      <formula>"欠"</formula>
    </cfRule>
  </conditionalFormatting>
  <conditionalFormatting sqref="X125">
    <cfRule type="cellIs" dxfId="0" priority="6487" operator="equal">
      <formula>"欠"</formula>
    </cfRule>
  </conditionalFormatting>
  <conditionalFormatting sqref="T127:U127">
    <cfRule type="containsText" dxfId="0" priority="6030" operator="between" text="欠">
      <formula>NOT(ISERROR(SEARCH("欠",T127)))</formula>
    </cfRule>
    <cfRule type="cellIs" dxfId="0" priority="6040" operator="equal">
      <formula>"欠"</formula>
    </cfRule>
  </conditionalFormatting>
  <conditionalFormatting sqref="V127:W127">
    <cfRule type="containsText" dxfId="0" priority="6053" operator="between" text="欠">
      <formula>NOT(ISERROR(SEARCH("欠",V127)))</formula>
    </cfRule>
    <cfRule type="containsText" dxfId="1" priority="6063" operator="between" text="欠">
      <formula>NOT(ISERROR(SEARCH("欠",V127)))</formula>
    </cfRule>
    <cfRule type="cellIs" dxfId="0" priority="6073" operator="equal">
      <formula>"欠"</formula>
    </cfRule>
  </conditionalFormatting>
  <conditionalFormatting sqref="X127">
    <cfRule type="cellIs" dxfId="0" priority="6083" operator="equal">
      <formula>"欠"</formula>
    </cfRule>
  </conditionalFormatting>
  <conditionalFormatting sqref="V128:W128">
    <cfRule type="containsText" dxfId="0" priority="4566" operator="between" text="欠">
      <formula>NOT(ISERROR(SEARCH("欠",V128)))</formula>
    </cfRule>
    <cfRule type="containsText" dxfId="1" priority="4572" operator="between" text="欠">
      <formula>NOT(ISERROR(SEARCH("欠",V128)))</formula>
    </cfRule>
  </conditionalFormatting>
  <conditionalFormatting sqref="V128:X128">
    <cfRule type="cellIs" dxfId="0" priority="4578" operator="equal">
      <formula>"欠"</formula>
    </cfRule>
  </conditionalFormatting>
  <conditionalFormatting sqref="T131:U131">
    <cfRule type="containsText" dxfId="0" priority="3847" operator="between" text="欠">
      <formula>NOT(ISERROR(SEARCH("欠",T131)))</formula>
    </cfRule>
    <cfRule type="cellIs" dxfId="0" priority="3848" operator="equal">
      <formula>"欠"</formula>
    </cfRule>
  </conditionalFormatting>
  <conditionalFormatting sqref="V131">
    <cfRule type="containsText" dxfId="0" priority="4270" operator="between" text="欠">
      <formula>NOT(ISERROR(SEARCH("欠",V131)))</formula>
    </cfRule>
    <cfRule type="containsText" dxfId="1" priority="4271" operator="between" text="欠">
      <formula>NOT(ISERROR(SEARCH("欠",V131)))</formula>
    </cfRule>
    <cfRule type="cellIs" dxfId="0" priority="4272" operator="equal">
      <formula>"欠"</formula>
    </cfRule>
  </conditionalFormatting>
  <conditionalFormatting sqref="W131">
    <cfRule type="containsText" dxfId="0" priority="4277" operator="between" text="欠">
      <formula>NOT(ISERROR(SEARCH("欠",W131)))</formula>
    </cfRule>
    <cfRule type="containsText" dxfId="1" priority="4278" operator="between" text="欠">
      <formula>NOT(ISERROR(SEARCH("欠",W131)))</formula>
    </cfRule>
    <cfRule type="cellIs" dxfId="0" priority="4279" operator="equal">
      <formula>"欠"</formula>
    </cfRule>
  </conditionalFormatting>
  <conditionalFormatting sqref="X131">
    <cfRule type="cellIs" dxfId="0" priority="4280" operator="equal">
      <formula>"欠"</formula>
    </cfRule>
  </conditionalFormatting>
  <conditionalFormatting sqref="R132">
    <cfRule type="containsText" dxfId="0" priority="5813" operator="between" text="欠">
      <formula>NOT(ISERROR(SEARCH("欠",R132)))</formula>
    </cfRule>
  </conditionalFormatting>
  <conditionalFormatting sqref="S132">
    <cfRule type="containsText" dxfId="0" priority="5814" operator="between" text="欠">
      <formula>NOT(ISERROR(SEARCH("欠",S132)))</formula>
    </cfRule>
    <cfRule type="cellIs" dxfId="0" priority="5815" operator="equal">
      <formula>"欠"</formula>
    </cfRule>
  </conditionalFormatting>
  <conditionalFormatting sqref="T132:U132">
    <cfRule type="containsText" dxfId="0" priority="5811" operator="between" text="欠">
      <formula>NOT(ISERROR(SEARCH("欠",T132)))</formula>
    </cfRule>
    <cfRule type="cellIs" dxfId="0" priority="5812" operator="equal">
      <formula>"欠"</formula>
    </cfRule>
  </conditionalFormatting>
  <conditionalFormatting sqref="R134">
    <cfRule type="containsText" dxfId="0" priority="6011" operator="between" text="欠">
      <formula>NOT(ISERROR(SEARCH("欠",R134)))</formula>
    </cfRule>
  </conditionalFormatting>
  <conditionalFormatting sqref="W136">
    <cfRule type="containsText" dxfId="0" priority="5664" operator="between" text="欠">
      <formula>NOT(ISERROR(SEARCH("欠",W136)))</formula>
    </cfRule>
    <cfRule type="containsText" dxfId="1" priority="5665" operator="between" text="欠">
      <formula>NOT(ISERROR(SEARCH("欠",W136)))</formula>
    </cfRule>
    <cfRule type="cellIs" dxfId="0" priority="5666" operator="equal">
      <formula>"欠"</formula>
    </cfRule>
  </conditionalFormatting>
  <conditionalFormatting sqref="X136">
    <cfRule type="cellIs" dxfId="0" priority="5667" operator="equal">
      <formula>"欠"</formula>
    </cfRule>
  </conditionalFormatting>
  <conditionalFormatting sqref="S137">
    <cfRule type="containsText" dxfId="0" priority="6007" operator="between" text="欠">
      <formula>NOT(ISERROR(SEARCH("欠",S137)))</formula>
    </cfRule>
    <cfRule type="cellIs" dxfId="0" priority="6008" operator="equal">
      <formula>"欠"</formula>
    </cfRule>
  </conditionalFormatting>
  <conditionalFormatting sqref="T137:U137">
    <cfRule type="containsText" dxfId="0" priority="6005" operator="between" text="欠">
      <formula>NOT(ISERROR(SEARCH("欠",T137)))</formula>
    </cfRule>
    <cfRule type="cellIs" dxfId="0" priority="6006" operator="equal">
      <formula>"欠"</formula>
    </cfRule>
  </conditionalFormatting>
  <conditionalFormatting sqref="V137:W137">
    <cfRule type="containsText" dxfId="0" priority="6001" operator="between" text="欠">
      <formula>NOT(ISERROR(SEARCH("欠",V137)))</formula>
    </cfRule>
    <cfRule type="containsText" dxfId="1" priority="6002" operator="between" text="欠">
      <formula>NOT(ISERROR(SEARCH("欠",V137)))</formula>
    </cfRule>
  </conditionalFormatting>
  <conditionalFormatting sqref="V137:X137">
    <cfRule type="cellIs" dxfId="0" priority="6003" operator="equal">
      <formula>"欠"</formula>
    </cfRule>
  </conditionalFormatting>
  <conditionalFormatting sqref="R138">
    <cfRule type="containsText" dxfId="0" priority="1488" operator="between" text="欠">
      <formula>NOT(ISERROR(SEARCH("欠",R138)))</formula>
    </cfRule>
  </conditionalFormatting>
  <conditionalFormatting sqref="V138:W138">
    <cfRule type="containsText" dxfId="0" priority="1494" operator="between" text="欠">
      <formula>NOT(ISERROR(SEARCH("欠",V138)))</formula>
    </cfRule>
    <cfRule type="containsText" dxfId="1" priority="1495" operator="between" text="欠">
      <formula>NOT(ISERROR(SEARCH("欠",V138)))</formula>
    </cfRule>
    <cfRule type="cellIs" dxfId="0" priority="1496" operator="equal">
      <formula>"欠"</formula>
    </cfRule>
  </conditionalFormatting>
  <conditionalFormatting sqref="X138">
    <cfRule type="cellIs" dxfId="0" priority="1497" operator="equal">
      <formula>"欠"</formula>
    </cfRule>
  </conditionalFormatting>
  <conditionalFormatting sqref="T139:U139">
    <cfRule type="containsText" dxfId="0" priority="6762" operator="between" text="欠">
      <formula>NOT(ISERROR(SEARCH("欠",T139)))</formula>
    </cfRule>
    <cfRule type="cellIs" dxfId="0" priority="6764" operator="equal">
      <formula>"欠"</formula>
    </cfRule>
  </conditionalFormatting>
  <conditionalFormatting sqref="V139:W139">
    <cfRule type="containsText" dxfId="0" priority="6766" operator="between" text="欠">
      <formula>NOT(ISERROR(SEARCH("欠",V139)))</formula>
    </cfRule>
    <cfRule type="containsText" dxfId="1" priority="6767" operator="between" text="欠">
      <formula>NOT(ISERROR(SEARCH("欠",V139)))</formula>
    </cfRule>
  </conditionalFormatting>
  <conditionalFormatting sqref="V139:X139">
    <cfRule type="cellIs" dxfId="0" priority="6769" operator="equal">
      <formula>"欠"</formula>
    </cfRule>
  </conditionalFormatting>
  <conditionalFormatting sqref="R140">
    <cfRule type="containsText" dxfId="0" priority="3851" operator="between" text="欠">
      <formula>NOT(ISERROR(SEARCH("欠",R140)))</formula>
    </cfRule>
  </conditionalFormatting>
  <conditionalFormatting sqref="T140:U140">
    <cfRule type="containsText" dxfId="0" priority="3852" operator="between" text="欠">
      <formula>NOT(ISERROR(SEARCH("欠",T140)))</formula>
    </cfRule>
    <cfRule type="cellIs" dxfId="0" priority="3853" operator="equal">
      <formula>"欠"</formula>
    </cfRule>
  </conditionalFormatting>
  <conditionalFormatting sqref="V140:W140">
    <cfRule type="containsText" dxfId="0" priority="4095" operator="between" text="欠">
      <formula>NOT(ISERROR(SEARCH("欠",V140)))</formula>
    </cfRule>
    <cfRule type="containsText" dxfId="1" priority="4096" operator="between" text="欠">
      <formula>NOT(ISERROR(SEARCH("欠",V140)))</formula>
    </cfRule>
    <cfRule type="cellIs" dxfId="0" priority="4097" operator="equal">
      <formula>"欠"</formula>
    </cfRule>
  </conditionalFormatting>
  <conditionalFormatting sqref="X140">
    <cfRule type="cellIs" dxfId="0" priority="4098" operator="equal">
      <formula>"欠"</formula>
    </cfRule>
  </conditionalFormatting>
  <conditionalFormatting sqref="V141:W141">
    <cfRule type="containsText" dxfId="0" priority="7066" operator="between" text="欠">
      <formula>NOT(ISERROR(SEARCH("欠",V141)))</formula>
    </cfRule>
    <cfRule type="containsText" dxfId="1" priority="7078" operator="between" text="欠">
      <formula>NOT(ISERROR(SEARCH("欠",V141)))</formula>
    </cfRule>
  </conditionalFormatting>
  <conditionalFormatting sqref="V141:X141">
    <cfRule type="cellIs" dxfId="0" priority="7102" operator="equal">
      <formula>"欠"</formula>
    </cfRule>
  </conditionalFormatting>
  <conditionalFormatting sqref="V142:W142">
    <cfRule type="containsText" dxfId="0" priority="7065" operator="between" text="欠">
      <formula>NOT(ISERROR(SEARCH("欠",V142)))</formula>
    </cfRule>
    <cfRule type="containsText" dxfId="1" priority="7077" operator="between" text="欠">
      <formula>NOT(ISERROR(SEARCH("欠",V142)))</formula>
    </cfRule>
  </conditionalFormatting>
  <conditionalFormatting sqref="V142:X142">
    <cfRule type="cellIs" dxfId="0" priority="7101" operator="equal">
      <formula>"欠"</formula>
    </cfRule>
  </conditionalFormatting>
  <conditionalFormatting sqref="V143:W143">
    <cfRule type="containsText" dxfId="0" priority="7062" operator="between" text="欠">
      <formula>NOT(ISERROR(SEARCH("欠",V143)))</formula>
    </cfRule>
    <cfRule type="containsText" dxfId="1" priority="7074" operator="between" text="欠">
      <formula>NOT(ISERROR(SEARCH("欠",V143)))</formula>
    </cfRule>
  </conditionalFormatting>
  <conditionalFormatting sqref="V143:X143">
    <cfRule type="cellIs" dxfId="0" priority="7098" operator="equal">
      <formula>"欠"</formula>
    </cfRule>
  </conditionalFormatting>
  <conditionalFormatting sqref="S144">
    <cfRule type="containsText" dxfId="0" priority="5017" operator="between" text="欠">
      <formula>NOT(ISERROR(SEARCH("欠",S144)))</formula>
    </cfRule>
    <cfRule type="cellIs" dxfId="0" priority="5018" operator="equal">
      <formula>"欠"</formula>
    </cfRule>
  </conditionalFormatting>
  <conditionalFormatting sqref="T144:U144">
    <cfRule type="containsText" dxfId="0" priority="5011" operator="between" text="欠">
      <formula>NOT(ISERROR(SEARCH("欠",T144)))</formula>
    </cfRule>
    <cfRule type="cellIs" dxfId="0" priority="5012" operator="equal">
      <formula>"欠"</formula>
    </cfRule>
  </conditionalFormatting>
  <conditionalFormatting sqref="V144:W144">
    <cfRule type="containsText" dxfId="0" priority="5013" operator="between" text="欠">
      <formula>NOT(ISERROR(SEARCH("欠",V144)))</formula>
    </cfRule>
    <cfRule type="containsText" dxfId="1" priority="5014" operator="between" text="欠">
      <formula>NOT(ISERROR(SEARCH("欠",V144)))</formula>
    </cfRule>
    <cfRule type="cellIs" dxfId="0" priority="5015" operator="equal">
      <formula>"欠"</formula>
    </cfRule>
  </conditionalFormatting>
  <conditionalFormatting sqref="X144">
    <cfRule type="cellIs" dxfId="0" priority="5016" operator="equal">
      <formula>"欠"</formula>
    </cfRule>
  </conditionalFormatting>
  <conditionalFormatting sqref="V147:X147">
    <cfRule type="cellIs" dxfId="0" priority="4615" operator="equal">
      <formula>"欠"</formula>
    </cfRule>
  </conditionalFormatting>
  <conditionalFormatting sqref="V147:W147">
    <cfRule type="containsText" dxfId="0" priority="4613" operator="between" text="欠">
      <formula>NOT(ISERROR(SEARCH("欠",V147)))</formula>
    </cfRule>
    <cfRule type="containsText" dxfId="1" priority="4614" operator="between" text="欠">
      <formula>NOT(ISERROR(SEARCH("欠",V147)))</formula>
    </cfRule>
  </conditionalFormatting>
  <conditionalFormatting sqref="T150:U150">
    <cfRule type="containsText" dxfId="0" priority="5686" operator="between" text="欠">
      <formula>NOT(ISERROR(SEARCH("欠",T150)))</formula>
    </cfRule>
    <cfRule type="cellIs" dxfId="0" priority="5687" operator="equal">
      <formula>"欠"</formula>
    </cfRule>
  </conditionalFormatting>
  <conditionalFormatting sqref="W150">
    <cfRule type="containsText" dxfId="0" priority="5688" operator="between" text="欠">
      <formula>NOT(ISERROR(SEARCH("欠",W150)))</formula>
    </cfRule>
    <cfRule type="containsText" dxfId="1" priority="5689" operator="between" text="欠">
      <formula>NOT(ISERROR(SEARCH("欠",W150)))</formula>
    </cfRule>
    <cfRule type="cellIs" dxfId="0" priority="5690" operator="equal">
      <formula>"欠"</formula>
    </cfRule>
  </conditionalFormatting>
  <conditionalFormatting sqref="X150">
    <cfRule type="cellIs" dxfId="0" priority="5691" operator="equal">
      <formula>"欠"</formula>
    </cfRule>
  </conditionalFormatting>
  <conditionalFormatting sqref="V151:W151">
    <cfRule type="containsText" dxfId="0" priority="4265" operator="between" text="欠">
      <formula>NOT(ISERROR(SEARCH("欠",V151)))</formula>
    </cfRule>
    <cfRule type="containsText" dxfId="1" priority="4266" operator="between" text="欠">
      <formula>NOT(ISERROR(SEARCH("欠",V151)))</formula>
    </cfRule>
    <cfRule type="cellIs" dxfId="0" priority="4267" operator="equal">
      <formula>"欠"</formula>
    </cfRule>
  </conditionalFormatting>
  <conditionalFormatting sqref="T152:U152">
    <cfRule type="containsText" dxfId="0" priority="4688" operator="between" text="欠">
      <formula>NOT(ISERROR(SEARCH("欠",T152)))</formula>
    </cfRule>
    <cfRule type="cellIs" dxfId="0" priority="4695" operator="equal">
      <formula>"欠"</formula>
    </cfRule>
  </conditionalFormatting>
  <conditionalFormatting sqref="V152:W152">
    <cfRule type="containsText" dxfId="0" priority="4723" operator="between" text="欠">
      <formula>NOT(ISERROR(SEARCH("欠",V152)))</formula>
    </cfRule>
    <cfRule type="containsText" dxfId="1" priority="4730" operator="between" text="欠">
      <formula>NOT(ISERROR(SEARCH("欠",V152)))</formula>
    </cfRule>
    <cfRule type="cellIs" dxfId="0" priority="4737" operator="equal">
      <formula>"欠"</formula>
    </cfRule>
  </conditionalFormatting>
  <conditionalFormatting sqref="X152">
    <cfRule type="cellIs" dxfId="0" priority="4744" operator="equal">
      <formula>"欠"</formula>
    </cfRule>
  </conditionalFormatting>
  <conditionalFormatting sqref="R153">
    <cfRule type="containsText" dxfId="0" priority="2514" operator="between" text="欠">
      <formula>NOT(ISERROR(SEARCH("欠",R153)))</formula>
    </cfRule>
  </conditionalFormatting>
  <conditionalFormatting sqref="S153:U153">
    <cfRule type="containsText" dxfId="0" priority="2512" operator="between" text="欠">
      <formula>NOT(ISERROR(SEARCH("欠",S153)))</formula>
    </cfRule>
    <cfRule type="cellIs" dxfId="0" priority="2513" operator="equal">
      <formula>"欠"</formula>
    </cfRule>
  </conditionalFormatting>
  <conditionalFormatting sqref="V153:W153">
    <cfRule type="containsText" dxfId="0" priority="2517" operator="between" text="欠">
      <formula>NOT(ISERROR(SEARCH("欠",V153)))</formula>
    </cfRule>
    <cfRule type="containsText" dxfId="1" priority="2518" operator="between" text="欠">
      <formula>NOT(ISERROR(SEARCH("欠",V153)))</formula>
    </cfRule>
    <cfRule type="cellIs" dxfId="0" priority="2519" operator="equal">
      <formula>"欠"</formula>
    </cfRule>
  </conditionalFormatting>
  <conditionalFormatting sqref="X153">
    <cfRule type="cellIs" dxfId="0" priority="2520" operator="equal">
      <formula>"欠"</formula>
    </cfRule>
  </conditionalFormatting>
  <conditionalFormatting sqref="R165">
    <cfRule type="containsText" dxfId="0" priority="3291" operator="between" text="欠">
      <formula>NOT(ISERROR(SEARCH("欠",R165)))</formula>
    </cfRule>
  </conditionalFormatting>
  <conditionalFormatting sqref="S165">
    <cfRule type="containsText" dxfId="0" priority="3300" operator="between" text="欠">
      <formula>NOT(ISERROR(SEARCH("欠",S165)))</formula>
    </cfRule>
    <cfRule type="cellIs" dxfId="0" priority="3301" operator="equal">
      <formula>"欠"</formula>
    </cfRule>
  </conditionalFormatting>
  <conditionalFormatting sqref="T165:U165">
    <cfRule type="containsText" dxfId="0" priority="3292" operator="between" text="欠">
      <formula>NOT(ISERROR(SEARCH("欠",T165)))</formula>
    </cfRule>
    <cfRule type="cellIs" dxfId="0" priority="3293" operator="equal">
      <formula>"欠"</formula>
    </cfRule>
  </conditionalFormatting>
  <conditionalFormatting sqref="V165">
    <cfRule type="containsText" dxfId="0" priority="3288" operator="between" text="欠">
      <formula>NOT(ISERROR(SEARCH("欠",V165)))</formula>
    </cfRule>
    <cfRule type="containsText" dxfId="1" priority="3289" operator="between" text="欠">
      <formula>NOT(ISERROR(SEARCH("欠",V165)))</formula>
    </cfRule>
    <cfRule type="cellIs" dxfId="0" priority="3290" operator="equal">
      <formula>"欠"</formula>
    </cfRule>
  </conditionalFormatting>
  <conditionalFormatting sqref="W165">
    <cfRule type="containsText" dxfId="0" priority="3294" operator="between" text="欠">
      <formula>NOT(ISERROR(SEARCH("欠",W165)))</formula>
    </cfRule>
    <cfRule type="containsText" dxfId="1" priority="3295" operator="between" text="欠">
      <formula>NOT(ISERROR(SEARCH("欠",W165)))</formula>
    </cfRule>
    <cfRule type="cellIs" dxfId="0" priority="3296" operator="equal">
      <formula>"欠"</formula>
    </cfRule>
  </conditionalFormatting>
  <conditionalFormatting sqref="X165">
    <cfRule type="cellIs" dxfId="0" priority="3297" operator="equal">
      <formula>"欠"</formula>
    </cfRule>
  </conditionalFormatting>
  <conditionalFormatting sqref="V167">
    <cfRule type="containsText" dxfId="0" priority="4621" operator="between" text="欠">
      <formula>NOT(ISERROR(SEARCH("欠",V167)))</formula>
    </cfRule>
    <cfRule type="containsText" dxfId="1" priority="4622" operator="between" text="欠">
      <formula>NOT(ISERROR(SEARCH("欠",V167)))</formula>
    </cfRule>
    <cfRule type="cellIs" dxfId="0" priority="4623" operator="equal">
      <formula>"欠"</formula>
    </cfRule>
  </conditionalFormatting>
  <conditionalFormatting sqref="W167">
    <cfRule type="containsText" dxfId="0" priority="4628" operator="between" text="欠">
      <formula>NOT(ISERROR(SEARCH("欠",W167)))</formula>
    </cfRule>
    <cfRule type="containsText" dxfId="1" priority="4629" operator="between" text="欠">
      <formula>NOT(ISERROR(SEARCH("欠",W167)))</formula>
    </cfRule>
    <cfRule type="cellIs" dxfId="0" priority="4630" operator="equal">
      <formula>"欠"</formula>
    </cfRule>
  </conditionalFormatting>
  <conditionalFormatting sqref="X167">
    <cfRule type="cellIs" dxfId="0" priority="4631" operator="equal">
      <formula>"欠"</formula>
    </cfRule>
  </conditionalFormatting>
  <conditionalFormatting sqref="V168:W168">
    <cfRule type="containsText" dxfId="0" priority="4565" operator="between" text="欠">
      <formula>NOT(ISERROR(SEARCH("欠",V168)))</formula>
    </cfRule>
    <cfRule type="containsText" dxfId="1" priority="4571" operator="between" text="欠">
      <formula>NOT(ISERROR(SEARCH("欠",V168)))</formula>
    </cfRule>
  </conditionalFormatting>
  <conditionalFormatting sqref="V168:X168">
    <cfRule type="cellIs" dxfId="0" priority="4577" operator="equal">
      <formula>"欠"</formula>
    </cfRule>
  </conditionalFormatting>
  <conditionalFormatting sqref="R169">
    <cfRule type="containsText" dxfId="0" priority="612" operator="between" text="欠">
      <formula>NOT(ISERROR(SEARCH("欠",R169)))</formula>
    </cfRule>
  </conditionalFormatting>
  <conditionalFormatting sqref="S169">
    <cfRule type="containsText" dxfId="0" priority="610" operator="between" text="欠">
      <formula>NOT(ISERROR(SEARCH("欠",S169)))</formula>
    </cfRule>
    <cfRule type="cellIs" dxfId="0" priority="611" operator="equal">
      <formula>"欠"</formula>
    </cfRule>
  </conditionalFormatting>
  <conditionalFormatting sqref="V169">
    <cfRule type="containsText" dxfId="0" priority="607" operator="between" text="欠">
      <formula>NOT(ISERROR(SEARCH("欠",V169)))</formula>
    </cfRule>
    <cfRule type="containsText" dxfId="1" priority="608" operator="between" text="欠">
      <formula>NOT(ISERROR(SEARCH("欠",V169)))</formula>
    </cfRule>
    <cfRule type="cellIs" dxfId="0" priority="609" operator="equal">
      <formula>"欠"</formula>
    </cfRule>
  </conditionalFormatting>
  <conditionalFormatting sqref="W169">
    <cfRule type="containsText" dxfId="0" priority="617" operator="between" text="欠">
      <formula>NOT(ISERROR(SEARCH("欠",W169)))</formula>
    </cfRule>
    <cfRule type="containsText" dxfId="1" priority="618" operator="between" text="欠">
      <formula>NOT(ISERROR(SEARCH("欠",W169)))</formula>
    </cfRule>
    <cfRule type="cellIs" dxfId="0" priority="619" operator="equal">
      <formula>"欠"</formula>
    </cfRule>
  </conditionalFormatting>
  <conditionalFormatting sqref="X169">
    <cfRule type="cellIs" dxfId="0" priority="620" operator="equal">
      <formula>"欠"</formula>
    </cfRule>
  </conditionalFormatting>
  <conditionalFormatting sqref="V170:W170">
    <cfRule type="containsText" dxfId="0" priority="4564" operator="between" text="欠">
      <formula>NOT(ISERROR(SEARCH("欠",V170)))</formula>
    </cfRule>
    <cfRule type="containsText" dxfId="1" priority="4570" operator="between" text="欠">
      <formula>NOT(ISERROR(SEARCH("欠",V170)))</formula>
    </cfRule>
  </conditionalFormatting>
  <conditionalFormatting sqref="V170:X170">
    <cfRule type="cellIs" dxfId="0" priority="4576" operator="equal">
      <formula>"欠"</formula>
    </cfRule>
  </conditionalFormatting>
  <conditionalFormatting sqref="V171:W171">
    <cfRule type="containsText" dxfId="0" priority="4562" operator="between" text="欠">
      <formula>NOT(ISERROR(SEARCH("欠",V171)))</formula>
    </cfRule>
    <cfRule type="containsText" dxfId="1" priority="4568" operator="between" text="欠">
      <formula>NOT(ISERROR(SEARCH("欠",V171)))</formula>
    </cfRule>
  </conditionalFormatting>
  <conditionalFormatting sqref="V171:X171">
    <cfRule type="cellIs" dxfId="0" priority="4574" operator="equal">
      <formula>"欠"</formula>
    </cfRule>
  </conditionalFormatting>
  <conditionalFormatting sqref="V172:W172">
    <cfRule type="containsText" dxfId="0" priority="4204" operator="between" text="欠">
      <formula>NOT(ISERROR(SEARCH("欠",V172)))</formula>
    </cfRule>
    <cfRule type="containsText" dxfId="1" priority="4217" operator="between" text="欠">
      <formula>NOT(ISERROR(SEARCH("欠",V172)))</formula>
    </cfRule>
    <cfRule type="cellIs" dxfId="0" priority="4230" operator="equal">
      <formula>"欠"</formula>
    </cfRule>
  </conditionalFormatting>
  <conditionalFormatting sqref="V173">
    <cfRule type="containsText" dxfId="0" priority="3861" operator="between" text="欠">
      <formula>NOT(ISERROR(SEARCH("欠",V173)))</formula>
    </cfRule>
    <cfRule type="containsText" dxfId="1" priority="3862" operator="between" text="欠">
      <formula>NOT(ISERROR(SEARCH("欠",V173)))</formula>
    </cfRule>
    <cfRule type="cellIs" dxfId="0" priority="3863" operator="equal">
      <formula>"欠"</formula>
    </cfRule>
  </conditionalFormatting>
  <conditionalFormatting sqref="W173">
    <cfRule type="containsText" dxfId="0" priority="3868" operator="between" text="欠">
      <formula>NOT(ISERROR(SEARCH("欠",W173)))</formula>
    </cfRule>
    <cfRule type="containsText" dxfId="1" priority="3869" operator="between" text="欠">
      <formula>NOT(ISERROR(SEARCH("欠",W173)))</formula>
    </cfRule>
    <cfRule type="cellIs" dxfId="0" priority="3870" operator="equal">
      <formula>"欠"</formula>
    </cfRule>
  </conditionalFormatting>
  <conditionalFormatting sqref="X173">
    <cfRule type="cellIs" dxfId="0" priority="3871" operator="equal">
      <formula>"欠"</formula>
    </cfRule>
  </conditionalFormatting>
  <conditionalFormatting sqref="T174:U174">
    <cfRule type="containsText" dxfId="0" priority="5674" operator="between" text="欠">
      <formula>NOT(ISERROR(SEARCH("欠",T174)))</formula>
    </cfRule>
    <cfRule type="cellIs" dxfId="0" priority="5675" operator="equal">
      <formula>"欠"</formula>
    </cfRule>
  </conditionalFormatting>
  <conditionalFormatting sqref="W174">
    <cfRule type="containsText" dxfId="0" priority="5676" operator="between" text="欠">
      <formula>NOT(ISERROR(SEARCH("欠",W174)))</formula>
    </cfRule>
    <cfRule type="containsText" dxfId="1" priority="5677" operator="between" text="欠">
      <formula>NOT(ISERROR(SEARCH("欠",W174)))</formula>
    </cfRule>
    <cfRule type="cellIs" dxfId="0" priority="5678" operator="equal">
      <formula>"欠"</formula>
    </cfRule>
  </conditionalFormatting>
  <conditionalFormatting sqref="X174">
    <cfRule type="cellIs" dxfId="0" priority="5679" operator="equal">
      <formula>"欠"</formula>
    </cfRule>
  </conditionalFormatting>
  <conditionalFormatting sqref="V175:W175">
    <cfRule type="containsText" dxfId="0" priority="6448" operator="between" text="欠">
      <formula>NOT(ISERROR(SEARCH("欠",V175)))</formula>
    </cfRule>
    <cfRule type="containsText" dxfId="1" priority="6449" operator="between" text="欠">
      <formula>NOT(ISERROR(SEARCH("欠",V175)))</formula>
    </cfRule>
    <cfRule type="cellIs" dxfId="0" priority="6450" operator="equal">
      <formula>"欠"</formula>
    </cfRule>
  </conditionalFormatting>
  <conditionalFormatting sqref="X175">
    <cfRule type="cellIs" dxfId="0" priority="6451" operator="equal">
      <formula>"欠"</formula>
    </cfRule>
  </conditionalFormatting>
  <conditionalFormatting sqref="V176:W176">
    <cfRule type="containsText" dxfId="0" priority="4203" operator="between" text="欠">
      <formula>NOT(ISERROR(SEARCH("欠",V176)))</formula>
    </cfRule>
    <cfRule type="containsText" dxfId="1" priority="4216" operator="between" text="欠">
      <formula>NOT(ISERROR(SEARCH("欠",V176)))</formula>
    </cfRule>
    <cfRule type="cellIs" dxfId="0" priority="4229" operator="equal">
      <formula>"欠"</formula>
    </cfRule>
  </conditionalFormatting>
  <conditionalFormatting sqref="W178">
    <cfRule type="containsText" dxfId="0" priority="5593" operator="between" text="欠">
      <formula>NOT(ISERROR(SEARCH("欠",W178)))</formula>
    </cfRule>
    <cfRule type="containsText" dxfId="1" priority="5598" operator="between" text="欠">
      <formula>NOT(ISERROR(SEARCH("欠",W178)))</formula>
    </cfRule>
    <cfRule type="cellIs" dxfId="0" priority="5603" operator="equal">
      <formula>"欠"</formula>
    </cfRule>
  </conditionalFormatting>
  <conditionalFormatting sqref="X178">
    <cfRule type="cellIs" dxfId="0" priority="5608" operator="equal">
      <formula>"欠"</formula>
    </cfRule>
  </conditionalFormatting>
  <conditionalFormatting sqref="R179">
    <cfRule type="containsText" dxfId="0" priority="1402" operator="between" text="欠">
      <formula>NOT(ISERROR(SEARCH("欠",R179)))</formula>
    </cfRule>
  </conditionalFormatting>
  <conditionalFormatting sqref="T179:U179">
    <cfRule type="containsText" dxfId="0" priority="1406" operator="between" text="欠">
      <formula>NOT(ISERROR(SEARCH("欠",T179)))</formula>
    </cfRule>
    <cfRule type="cellIs" dxfId="0" priority="1407" operator="equal">
      <formula>"欠"</formula>
    </cfRule>
  </conditionalFormatting>
  <conditionalFormatting sqref="V179:W179">
    <cfRule type="containsText" dxfId="0" priority="1408" operator="between" text="欠">
      <formula>NOT(ISERROR(SEARCH("欠",V179)))</formula>
    </cfRule>
    <cfRule type="containsText" dxfId="1" priority="1409" operator="between" text="欠">
      <formula>NOT(ISERROR(SEARCH("欠",V179)))</formula>
    </cfRule>
    <cfRule type="cellIs" dxfId="0" priority="1410" operator="equal">
      <formula>"欠"</formula>
    </cfRule>
  </conditionalFormatting>
  <conditionalFormatting sqref="X179">
    <cfRule type="cellIs" dxfId="0" priority="1411" operator="equal">
      <formula>"欠"</formula>
    </cfRule>
  </conditionalFormatting>
  <conditionalFormatting sqref="W180">
    <cfRule type="containsText" dxfId="0" priority="5596" operator="between" text="欠">
      <formula>NOT(ISERROR(SEARCH("欠",W180)))</formula>
    </cfRule>
    <cfRule type="containsText" dxfId="1" priority="5601" operator="between" text="欠">
      <formula>NOT(ISERROR(SEARCH("欠",W180)))</formula>
    </cfRule>
    <cfRule type="cellIs" dxfId="0" priority="5606" operator="equal">
      <formula>"欠"</formula>
    </cfRule>
  </conditionalFormatting>
  <conditionalFormatting sqref="X180">
    <cfRule type="cellIs" dxfId="0" priority="5611" operator="equal">
      <formula>"欠"</formula>
    </cfRule>
  </conditionalFormatting>
  <conditionalFormatting sqref="V181:W181">
    <cfRule type="containsText" dxfId="0" priority="4205" operator="between" text="欠">
      <formula>NOT(ISERROR(SEARCH("欠",V181)))</formula>
    </cfRule>
    <cfRule type="containsText" dxfId="1" priority="4218" operator="between" text="欠">
      <formula>NOT(ISERROR(SEARCH("欠",V181)))</formula>
    </cfRule>
    <cfRule type="cellIs" dxfId="0" priority="4231" operator="equal">
      <formula>"欠"</formula>
    </cfRule>
  </conditionalFormatting>
  <conditionalFormatting sqref="T183:U183">
    <cfRule type="containsText" dxfId="0" priority="3854" operator="between" text="欠">
      <formula>NOT(ISERROR(SEARCH("欠",T183)))</formula>
    </cfRule>
    <cfRule type="cellIs" dxfId="0" priority="3855" operator="equal">
      <formula>"欠"</formula>
    </cfRule>
  </conditionalFormatting>
  <conditionalFormatting sqref="V183">
    <cfRule type="containsText" dxfId="0" priority="3900" operator="between" text="欠">
      <formula>NOT(ISERROR(SEARCH("欠",V183)))</formula>
    </cfRule>
    <cfRule type="containsText" dxfId="1" priority="3901" operator="between" text="欠">
      <formula>NOT(ISERROR(SEARCH("欠",V183)))</formula>
    </cfRule>
    <cfRule type="cellIs" dxfId="0" priority="3902" operator="equal">
      <formula>"欠"</formula>
    </cfRule>
  </conditionalFormatting>
  <conditionalFormatting sqref="W183">
    <cfRule type="containsText" dxfId="0" priority="3907" operator="between" text="欠">
      <formula>NOT(ISERROR(SEARCH("欠",W183)))</formula>
    </cfRule>
    <cfRule type="containsText" dxfId="1" priority="3908" operator="between" text="欠">
      <formula>NOT(ISERROR(SEARCH("欠",W183)))</formula>
    </cfRule>
    <cfRule type="cellIs" dxfId="0" priority="3909" operator="equal">
      <formula>"欠"</formula>
    </cfRule>
  </conditionalFormatting>
  <conditionalFormatting sqref="X183">
    <cfRule type="cellIs" dxfId="0" priority="3910" operator="equal">
      <formula>"欠"</formula>
    </cfRule>
  </conditionalFormatting>
  <conditionalFormatting sqref="V184:W184">
    <cfRule type="containsText" dxfId="0" priority="4567" operator="between" text="欠">
      <formula>NOT(ISERROR(SEARCH("欠",V184)))</formula>
    </cfRule>
    <cfRule type="containsText" dxfId="1" priority="4573" operator="between" text="欠">
      <formula>NOT(ISERROR(SEARCH("欠",V184)))</formula>
    </cfRule>
  </conditionalFormatting>
  <conditionalFormatting sqref="V184:X184">
    <cfRule type="cellIs" dxfId="0" priority="4579" operator="equal">
      <formula>"欠"</formula>
    </cfRule>
  </conditionalFormatting>
  <conditionalFormatting sqref="R185">
    <cfRule type="containsText" dxfId="0" priority="4262" operator="between" text="欠">
      <formula>NOT(ISERROR(SEARCH("欠",R185)))</formula>
    </cfRule>
  </conditionalFormatting>
  <conditionalFormatting sqref="V185:W185">
    <cfRule type="containsText" dxfId="0" priority="4206" operator="between" text="欠">
      <formula>NOT(ISERROR(SEARCH("欠",V185)))</formula>
    </cfRule>
    <cfRule type="containsText" dxfId="1" priority="4219" operator="between" text="欠">
      <formula>NOT(ISERROR(SEARCH("欠",V185)))</formula>
    </cfRule>
    <cfRule type="cellIs" dxfId="0" priority="4232" operator="equal">
      <formula>"欠"</formula>
    </cfRule>
  </conditionalFormatting>
  <conditionalFormatting sqref="T187:U187">
    <cfRule type="containsText" dxfId="0" priority="3845" operator="between" text="欠">
      <formula>NOT(ISERROR(SEARCH("欠",T187)))</formula>
    </cfRule>
    <cfRule type="cellIs" dxfId="0" priority="3846" operator="equal">
      <formula>"欠"</formula>
    </cfRule>
  </conditionalFormatting>
  <conditionalFormatting sqref="V187">
    <cfRule type="containsText" dxfId="0" priority="4636" operator="between" text="欠">
      <formula>NOT(ISERROR(SEARCH("欠",V187)))</formula>
    </cfRule>
    <cfRule type="containsText" dxfId="1" priority="4637" operator="between" text="欠">
      <formula>NOT(ISERROR(SEARCH("欠",V187)))</formula>
    </cfRule>
    <cfRule type="cellIs" dxfId="0" priority="4638" operator="equal">
      <formula>"欠"</formula>
    </cfRule>
  </conditionalFormatting>
  <conditionalFormatting sqref="W187">
    <cfRule type="containsText" dxfId="0" priority="4643" operator="between" text="欠">
      <formula>NOT(ISERROR(SEARCH("欠",W187)))</formula>
    </cfRule>
    <cfRule type="containsText" dxfId="1" priority="4644" operator="between" text="欠">
      <formula>NOT(ISERROR(SEARCH("欠",W187)))</formula>
    </cfRule>
    <cfRule type="cellIs" dxfId="0" priority="4645" operator="equal">
      <formula>"欠"</formula>
    </cfRule>
  </conditionalFormatting>
  <conditionalFormatting sqref="W188">
    <cfRule type="containsText" dxfId="0" priority="5594" operator="between" text="欠">
      <formula>NOT(ISERROR(SEARCH("欠",W188)))</formula>
    </cfRule>
    <cfRule type="containsText" dxfId="1" priority="5599" operator="between" text="欠">
      <formula>NOT(ISERROR(SEARCH("欠",W188)))</formula>
    </cfRule>
    <cfRule type="cellIs" dxfId="0" priority="5604" operator="equal">
      <formula>"欠"</formula>
    </cfRule>
  </conditionalFormatting>
  <conditionalFormatting sqref="V189:W189">
    <cfRule type="containsText" dxfId="0" priority="6460" operator="between" text="欠">
      <formula>NOT(ISERROR(SEARCH("欠",V189)))</formula>
    </cfRule>
    <cfRule type="containsText" dxfId="1" priority="6461" operator="between" text="欠">
      <formula>NOT(ISERROR(SEARCH("欠",V189)))</formula>
    </cfRule>
    <cfRule type="cellIs" dxfId="0" priority="6462" operator="equal">
      <formula>"欠"</formula>
    </cfRule>
  </conditionalFormatting>
  <conditionalFormatting sqref="X189">
    <cfRule type="cellIs" dxfId="0" priority="6463" operator="equal">
      <formula>"欠"</formula>
    </cfRule>
  </conditionalFormatting>
  <conditionalFormatting sqref="V190:W190">
    <cfRule type="containsText" dxfId="0" priority="4201" operator="between" text="欠">
      <formula>NOT(ISERROR(SEARCH("欠",V190)))</formula>
    </cfRule>
    <cfRule type="containsText" dxfId="1" priority="4214" operator="between" text="欠">
      <formula>NOT(ISERROR(SEARCH("欠",V190)))</formula>
    </cfRule>
    <cfRule type="cellIs" dxfId="0" priority="4227" operator="equal">
      <formula>"欠"</formula>
    </cfRule>
  </conditionalFormatting>
  <conditionalFormatting sqref="T192:U192">
    <cfRule type="containsText" dxfId="0" priority="7147" operator="between" text="欠">
      <formula>NOT(ISERROR(SEARCH("欠",T192)))</formula>
    </cfRule>
    <cfRule type="cellIs" dxfId="0" priority="7148" operator="equal">
      <formula>"欠"</formula>
    </cfRule>
  </conditionalFormatting>
  <conditionalFormatting sqref="V192:W192">
    <cfRule type="containsText" dxfId="0" priority="7150" operator="between" text="欠">
      <formula>NOT(ISERROR(SEARCH("欠",V192)))</formula>
    </cfRule>
    <cfRule type="containsText" dxfId="1" priority="7151" operator="between" text="欠">
      <formula>NOT(ISERROR(SEARCH("欠",V192)))</formula>
    </cfRule>
  </conditionalFormatting>
  <conditionalFormatting sqref="V192:X192">
    <cfRule type="cellIs" dxfId="0" priority="7153" operator="equal">
      <formula>"欠"</formula>
    </cfRule>
  </conditionalFormatting>
  <conditionalFormatting sqref="V193:W193">
    <cfRule type="containsText" dxfId="0" priority="4195" operator="between" text="欠">
      <formula>NOT(ISERROR(SEARCH("欠",V193)))</formula>
    </cfRule>
    <cfRule type="containsText" dxfId="1" priority="4208" operator="between" text="欠">
      <formula>NOT(ISERROR(SEARCH("欠",V193)))</formula>
    </cfRule>
    <cfRule type="cellIs" dxfId="0" priority="4221" operator="equal">
      <formula>"欠"</formula>
    </cfRule>
  </conditionalFormatting>
  <conditionalFormatting sqref="V194:W194">
    <cfRule type="containsText" dxfId="0" priority="4194" operator="between" text="欠">
      <formula>NOT(ISERROR(SEARCH("欠",V194)))</formula>
    </cfRule>
    <cfRule type="containsText" dxfId="1" priority="4207" operator="between" text="欠">
      <formula>NOT(ISERROR(SEARCH("欠",V194)))</formula>
    </cfRule>
    <cfRule type="cellIs" dxfId="0" priority="4220" operator="equal">
      <formula>"欠"</formula>
    </cfRule>
  </conditionalFormatting>
  <conditionalFormatting sqref="V197:W197">
    <cfRule type="containsText" dxfId="0" priority="2627" operator="between" text="欠">
      <formula>NOT(ISERROR(SEARCH("欠",V197)))</formula>
    </cfRule>
    <cfRule type="containsText" dxfId="1" priority="2628" operator="between" text="欠">
      <formula>NOT(ISERROR(SEARCH("欠",V197)))</formula>
    </cfRule>
    <cfRule type="cellIs" dxfId="0" priority="2629" operator="equal">
      <formula>"欠"</formula>
    </cfRule>
  </conditionalFormatting>
  <conditionalFormatting sqref="X197">
    <cfRule type="cellIs" dxfId="0" priority="2630" operator="equal">
      <formula>"欠"</formula>
    </cfRule>
  </conditionalFormatting>
  <conditionalFormatting sqref="W198">
    <cfRule type="containsText" dxfId="0" priority="2077" operator="between" text="欠">
      <formula>NOT(ISERROR(SEARCH("欠",W198)))</formula>
    </cfRule>
    <cfRule type="containsText" dxfId="1" priority="2078" operator="between" text="欠">
      <formula>NOT(ISERROR(SEARCH("欠",W198)))</formula>
    </cfRule>
    <cfRule type="cellIs" dxfId="0" priority="2079" operator="equal">
      <formula>"欠"</formula>
    </cfRule>
  </conditionalFormatting>
  <conditionalFormatting sqref="W199">
    <cfRule type="containsText" dxfId="0" priority="2066" operator="between" text="欠">
      <formula>NOT(ISERROR(SEARCH("欠",W199)))</formula>
    </cfRule>
    <cfRule type="containsText" dxfId="1" priority="2067" operator="between" text="欠">
      <formula>NOT(ISERROR(SEARCH("欠",W199)))</formula>
    </cfRule>
    <cfRule type="cellIs" dxfId="0" priority="2068" operator="equal">
      <formula>"欠"</formula>
    </cfRule>
  </conditionalFormatting>
  <conditionalFormatting sqref="V200:W200">
    <cfRule type="containsText" dxfId="0" priority="2282" operator="between" text="欠">
      <formula>NOT(ISERROR(SEARCH("欠",V200)))</formula>
    </cfRule>
    <cfRule type="containsText" dxfId="1" priority="2299" operator="between" text="欠">
      <formula>NOT(ISERROR(SEARCH("欠",V200)))</formula>
    </cfRule>
    <cfRule type="cellIs" dxfId="0" priority="2316" operator="equal">
      <formula>"欠"</formula>
    </cfRule>
  </conditionalFormatting>
  <conditionalFormatting sqref="V201:W201">
    <cfRule type="containsText" dxfId="0" priority="3483" operator="between" text="欠">
      <formula>NOT(ISERROR(SEARCH("欠",V201)))</formula>
    </cfRule>
    <cfRule type="containsText" dxfId="1" priority="3511" operator="between" text="欠">
      <formula>NOT(ISERROR(SEARCH("欠",V201)))</formula>
    </cfRule>
    <cfRule type="cellIs" dxfId="0" priority="3539" operator="equal">
      <formula>"欠"</formula>
    </cfRule>
  </conditionalFormatting>
  <conditionalFormatting sqref="X201">
    <cfRule type="cellIs" dxfId="0" priority="3567" operator="equal">
      <formula>"欠"</formula>
    </cfRule>
  </conditionalFormatting>
  <conditionalFormatting sqref="R202">
    <cfRule type="containsText" dxfId="0" priority="5881" operator="between" text="欠">
      <formula>NOT(ISERROR(SEARCH("欠",R202)))</formula>
    </cfRule>
  </conditionalFormatting>
  <conditionalFormatting sqref="S202">
    <cfRule type="containsText" dxfId="0" priority="5923" operator="between" text="欠">
      <formula>NOT(ISERROR(SEARCH("欠",S202)))</formula>
    </cfRule>
    <cfRule type="cellIs" dxfId="0" priority="5930" operator="equal">
      <formula>"欠"</formula>
    </cfRule>
  </conditionalFormatting>
  <conditionalFormatting sqref="T202:U202">
    <cfRule type="containsText" dxfId="0" priority="5888" operator="between" text="欠">
      <formula>NOT(ISERROR(SEARCH("欠",T202)))</formula>
    </cfRule>
    <cfRule type="cellIs" dxfId="0" priority="5895" operator="equal">
      <formula>"欠"</formula>
    </cfRule>
  </conditionalFormatting>
  <conditionalFormatting sqref="V202:W202">
    <cfRule type="containsText" dxfId="0" priority="5853" operator="between" text="欠">
      <formula>NOT(ISERROR(SEARCH("欠",V202)))</formula>
    </cfRule>
    <cfRule type="containsText" dxfId="1" priority="5860" operator="between" text="欠">
      <formula>NOT(ISERROR(SEARCH("欠",V202)))</formula>
    </cfRule>
    <cfRule type="cellIs" dxfId="0" priority="5867" operator="equal">
      <formula>"欠"</formula>
    </cfRule>
  </conditionalFormatting>
  <conditionalFormatting sqref="X202">
    <cfRule type="cellIs" dxfId="0" priority="5874" operator="equal">
      <formula>"欠"</formula>
    </cfRule>
  </conditionalFormatting>
  <conditionalFormatting sqref="V204">
    <cfRule type="containsText" dxfId="0" priority="4666" operator="between" text="欠">
      <formula>NOT(ISERROR(SEARCH("欠",V204)))</formula>
    </cfRule>
    <cfRule type="containsText" dxfId="1" priority="4667" operator="between" text="欠">
      <formula>NOT(ISERROR(SEARCH("欠",V204)))</formula>
    </cfRule>
    <cfRule type="cellIs" dxfId="0" priority="4668" operator="equal">
      <formula>"欠"</formula>
    </cfRule>
  </conditionalFormatting>
  <conditionalFormatting sqref="W204">
    <cfRule type="containsText" dxfId="0" priority="4673" operator="between" text="欠">
      <formula>NOT(ISERROR(SEARCH("欠",W204)))</formula>
    </cfRule>
    <cfRule type="containsText" dxfId="1" priority="4674" operator="between" text="欠">
      <formula>NOT(ISERROR(SEARCH("欠",W204)))</formula>
    </cfRule>
    <cfRule type="cellIs" dxfId="0" priority="4675" operator="equal">
      <formula>"欠"</formula>
    </cfRule>
  </conditionalFormatting>
  <conditionalFormatting sqref="X204">
    <cfRule type="cellIs" dxfId="0" priority="4676" operator="equal">
      <formula>"欠"</formula>
    </cfRule>
  </conditionalFormatting>
  <conditionalFormatting sqref="R206">
    <cfRule type="containsText" dxfId="0" priority="2124" operator="between" text="欠">
      <formula>NOT(ISERROR(SEARCH("欠",R206)))</formula>
    </cfRule>
  </conditionalFormatting>
  <conditionalFormatting sqref="S206">
    <cfRule type="containsText" dxfId="0" priority="2127" operator="between" text="欠">
      <formula>NOT(ISERROR(SEARCH("欠",S206)))</formula>
    </cfRule>
    <cfRule type="cellIs" dxfId="0" priority="2128" operator="equal">
      <formula>"欠"</formula>
    </cfRule>
  </conditionalFormatting>
  <conditionalFormatting sqref="T206:U206">
    <cfRule type="containsText" dxfId="0" priority="2125" operator="between" text="欠">
      <formula>NOT(ISERROR(SEARCH("欠",T206)))</formula>
    </cfRule>
    <cfRule type="cellIs" dxfId="0" priority="2126" operator="equal">
      <formula>"欠"</formula>
    </cfRule>
  </conditionalFormatting>
  <conditionalFormatting sqref="V207:W207">
    <cfRule type="containsText" dxfId="0" priority="5155" operator="between" text="欠">
      <formula>NOT(ISERROR(SEARCH("欠",V207)))</formula>
    </cfRule>
    <cfRule type="containsText" dxfId="1" priority="5167" operator="between" text="欠">
      <formula>NOT(ISERROR(SEARCH("欠",V207)))</formula>
    </cfRule>
    <cfRule type="cellIs" dxfId="0" priority="5179" operator="equal">
      <formula>"欠"</formula>
    </cfRule>
  </conditionalFormatting>
  <conditionalFormatting sqref="X207">
    <cfRule type="cellIs" dxfId="0" priority="5191" operator="equal">
      <formula>"欠"</formula>
    </cfRule>
  </conditionalFormatting>
  <conditionalFormatting sqref="R208">
    <cfRule type="containsText" dxfId="0" priority="47" operator="between" text="欠">
      <formula>NOT(ISERROR(SEARCH("欠",R208)))</formula>
    </cfRule>
  </conditionalFormatting>
  <conditionalFormatting sqref="V208:W208">
    <cfRule type="containsText" dxfId="0" priority="83" operator="between" text="欠">
      <formula>NOT(ISERROR(SEARCH("欠",V208)))</formula>
    </cfRule>
    <cfRule type="containsText" dxfId="1" priority="89" operator="between" text="欠">
      <formula>NOT(ISERROR(SEARCH("欠",V208)))</formula>
    </cfRule>
    <cfRule type="cellIs" dxfId="0" priority="95" operator="equal">
      <formula>"欠"</formula>
    </cfRule>
  </conditionalFormatting>
  <conditionalFormatting sqref="X208">
    <cfRule type="cellIs" dxfId="0" priority="101" operator="equal">
      <formula>"欠"</formula>
    </cfRule>
  </conditionalFormatting>
  <conditionalFormatting sqref="V209:W209">
    <cfRule type="containsText" dxfId="0" priority="5156" operator="between" text="欠">
      <formula>NOT(ISERROR(SEARCH("欠",V209)))</formula>
    </cfRule>
    <cfRule type="containsText" dxfId="1" priority="5168" operator="between" text="欠">
      <formula>NOT(ISERROR(SEARCH("欠",V209)))</formula>
    </cfRule>
    <cfRule type="cellIs" dxfId="0" priority="5180" operator="equal">
      <formula>"欠"</formula>
    </cfRule>
  </conditionalFormatting>
  <conditionalFormatting sqref="X209">
    <cfRule type="cellIs" dxfId="0" priority="5192" operator="equal">
      <formula>"欠"</formula>
    </cfRule>
  </conditionalFormatting>
  <conditionalFormatting sqref="R210">
    <cfRule type="containsText" dxfId="0" priority="249" operator="between" text="欠">
      <formula>NOT(ISERROR(SEARCH("欠",R210)))</formula>
    </cfRule>
  </conditionalFormatting>
  <conditionalFormatting sqref="V210:W210">
    <cfRule type="containsText" dxfId="0" priority="255" operator="between" text="欠">
      <formula>NOT(ISERROR(SEARCH("欠",V210)))</formula>
    </cfRule>
    <cfRule type="containsText" dxfId="1" priority="256" operator="between" text="欠">
      <formula>NOT(ISERROR(SEARCH("欠",V210)))</formula>
    </cfRule>
    <cfRule type="cellIs" dxfId="0" priority="257" operator="equal">
      <formula>"欠"</formula>
    </cfRule>
  </conditionalFormatting>
  <conditionalFormatting sqref="X210">
    <cfRule type="cellIs" dxfId="0" priority="258" operator="equal">
      <formula>"欠"</formula>
    </cfRule>
  </conditionalFormatting>
  <conditionalFormatting sqref="T211:U211">
    <cfRule type="containsText" dxfId="0" priority="5710" operator="between" text="欠">
      <formula>NOT(ISERROR(SEARCH("欠",T211)))</formula>
    </cfRule>
    <cfRule type="cellIs" dxfId="0" priority="5711" operator="equal">
      <formula>"欠"</formula>
    </cfRule>
  </conditionalFormatting>
  <conditionalFormatting sqref="W211">
    <cfRule type="containsText" dxfId="0" priority="5712" operator="between" text="欠">
      <formula>NOT(ISERROR(SEARCH("欠",W211)))</formula>
    </cfRule>
    <cfRule type="containsText" dxfId="1" priority="5713" operator="between" text="欠">
      <formula>NOT(ISERROR(SEARCH("欠",W211)))</formula>
    </cfRule>
    <cfRule type="cellIs" dxfId="0" priority="5714" operator="equal">
      <formula>"欠"</formula>
    </cfRule>
  </conditionalFormatting>
  <conditionalFormatting sqref="X211">
    <cfRule type="cellIs" dxfId="0" priority="5715" operator="equal">
      <formula>"欠"</formula>
    </cfRule>
  </conditionalFormatting>
  <conditionalFormatting sqref="R212">
    <cfRule type="containsText" dxfId="0" priority="2485" operator="between" text="欠">
      <formula>NOT(ISERROR(SEARCH("欠",R212)))</formula>
    </cfRule>
  </conditionalFormatting>
  <conditionalFormatting sqref="S212">
    <cfRule type="containsText" dxfId="0" priority="2495" operator="between" text="欠">
      <formula>NOT(ISERROR(SEARCH("欠",S212)))</formula>
    </cfRule>
    <cfRule type="cellIs" dxfId="0" priority="2496" operator="equal">
      <formula>"欠"</formula>
    </cfRule>
  </conditionalFormatting>
  <conditionalFormatting sqref="V212:W212">
    <cfRule type="containsText" dxfId="0" priority="2491" operator="between" text="欠">
      <formula>NOT(ISERROR(SEARCH("欠",V212)))</formula>
    </cfRule>
    <cfRule type="containsText" dxfId="1" priority="2492" operator="between" text="欠">
      <formula>NOT(ISERROR(SEARCH("欠",V212)))</formula>
    </cfRule>
    <cfRule type="cellIs" dxfId="0" priority="2493" operator="equal">
      <formula>"欠"</formula>
    </cfRule>
  </conditionalFormatting>
  <conditionalFormatting sqref="X212">
    <cfRule type="cellIs" dxfId="0" priority="2494" operator="equal">
      <formula>"欠"</formula>
    </cfRule>
  </conditionalFormatting>
  <conditionalFormatting sqref="V213:W213">
    <cfRule type="containsText" dxfId="0" priority="5430" operator="between" text="欠">
      <formula>NOT(ISERROR(SEARCH("欠",V213)))</formula>
    </cfRule>
    <cfRule type="containsText" dxfId="1" priority="5431" operator="between" text="欠">
      <formula>NOT(ISERROR(SEARCH("欠",V213)))</formula>
    </cfRule>
    <cfRule type="cellIs" dxfId="0" priority="5432" operator="equal">
      <formula>"欠"</formula>
    </cfRule>
  </conditionalFormatting>
  <conditionalFormatting sqref="X213">
    <cfRule type="cellIs" dxfId="0" priority="5433" operator="equal">
      <formula>"欠"</formula>
    </cfRule>
  </conditionalFormatting>
  <conditionalFormatting sqref="W214">
    <cfRule type="containsText" dxfId="0" priority="5546" operator="between" text="欠">
      <formula>NOT(ISERROR(SEARCH("欠",W214)))</formula>
    </cfRule>
    <cfRule type="containsText" dxfId="1" priority="5549" operator="between" text="欠">
      <formula>NOT(ISERROR(SEARCH("欠",W214)))</formula>
    </cfRule>
    <cfRule type="cellIs" dxfId="0" priority="5552" operator="equal">
      <formula>"欠"</formula>
    </cfRule>
  </conditionalFormatting>
  <conditionalFormatting sqref="X214">
    <cfRule type="cellIs" dxfId="0" priority="5555" operator="equal">
      <formula>"欠"</formula>
    </cfRule>
  </conditionalFormatting>
  <conditionalFormatting sqref="T215:U215">
    <cfRule type="containsText" dxfId="0" priority="1418" operator="between" text="欠">
      <formula>NOT(ISERROR(SEARCH("欠",T215)))</formula>
    </cfRule>
    <cfRule type="cellIs" dxfId="0" priority="1419" operator="equal">
      <formula>"欠"</formula>
    </cfRule>
  </conditionalFormatting>
  <conditionalFormatting sqref="V215:W215">
    <cfRule type="containsText" dxfId="0" priority="1420" operator="between" text="欠">
      <formula>NOT(ISERROR(SEARCH("欠",V215)))</formula>
    </cfRule>
    <cfRule type="containsText" dxfId="1" priority="1421" operator="between" text="欠">
      <formula>NOT(ISERROR(SEARCH("欠",V215)))</formula>
    </cfRule>
    <cfRule type="cellIs" dxfId="0" priority="1422" operator="equal">
      <formula>"欠"</formula>
    </cfRule>
  </conditionalFormatting>
  <conditionalFormatting sqref="X215">
    <cfRule type="cellIs" dxfId="0" priority="1423" operator="equal">
      <formula>"欠"</formula>
    </cfRule>
  </conditionalFormatting>
  <conditionalFormatting sqref="V216:W216">
    <cfRule type="containsText" dxfId="0" priority="4196" operator="between" text="欠">
      <formula>NOT(ISERROR(SEARCH("欠",V216)))</formula>
    </cfRule>
    <cfRule type="containsText" dxfId="1" priority="4209" operator="between" text="欠">
      <formula>NOT(ISERROR(SEARCH("欠",V216)))</formula>
    </cfRule>
    <cfRule type="cellIs" dxfId="0" priority="4222" operator="equal">
      <formula>"欠"</formula>
    </cfRule>
  </conditionalFormatting>
  <conditionalFormatting sqref="W217">
    <cfRule type="containsText" dxfId="0" priority="6052" operator="between" text="欠">
      <formula>NOT(ISERROR(SEARCH("欠",W217)))</formula>
    </cfRule>
    <cfRule type="containsText" dxfId="1" priority="6062" operator="between" text="欠">
      <formula>NOT(ISERROR(SEARCH("欠",W217)))</formula>
    </cfRule>
    <cfRule type="cellIs" dxfId="0" priority="6072" operator="equal">
      <formula>"欠"</formula>
    </cfRule>
  </conditionalFormatting>
  <conditionalFormatting sqref="X217">
    <cfRule type="cellIs" dxfId="0" priority="6082" operator="equal">
      <formula>"欠"</formula>
    </cfRule>
  </conditionalFormatting>
  <conditionalFormatting sqref="V218:W218">
    <cfRule type="containsText" dxfId="0" priority="3482" operator="between" text="欠">
      <formula>NOT(ISERROR(SEARCH("欠",V218)))</formula>
    </cfRule>
    <cfRule type="containsText" dxfId="1" priority="3510" operator="between" text="欠">
      <formula>NOT(ISERROR(SEARCH("欠",V218)))</formula>
    </cfRule>
    <cfRule type="cellIs" dxfId="0" priority="3538" operator="equal">
      <formula>"欠"</formula>
    </cfRule>
  </conditionalFormatting>
  <conditionalFormatting sqref="X218">
    <cfRule type="cellIs" dxfId="0" priority="3566" operator="equal">
      <formula>"欠"</formula>
    </cfRule>
  </conditionalFormatting>
  <conditionalFormatting sqref="V219:W219">
    <cfRule type="containsText" dxfId="0" priority="3493" operator="between" text="欠">
      <formula>NOT(ISERROR(SEARCH("欠",V219)))</formula>
    </cfRule>
    <cfRule type="containsText" dxfId="1" priority="3521" operator="between" text="欠">
      <formula>NOT(ISERROR(SEARCH("欠",V219)))</formula>
    </cfRule>
    <cfRule type="cellIs" dxfId="0" priority="3549" operator="equal">
      <formula>"欠"</formula>
    </cfRule>
  </conditionalFormatting>
  <conditionalFormatting sqref="X219">
    <cfRule type="cellIs" dxfId="0" priority="3577" operator="equal">
      <formula>"欠"</formula>
    </cfRule>
  </conditionalFormatting>
  <conditionalFormatting sqref="V220:W220">
    <cfRule type="containsText" dxfId="0" priority="3492" operator="between" text="欠">
      <formula>NOT(ISERROR(SEARCH("欠",V220)))</formula>
    </cfRule>
    <cfRule type="containsText" dxfId="1" priority="3520" operator="between" text="欠">
      <formula>NOT(ISERROR(SEARCH("欠",V220)))</formula>
    </cfRule>
    <cfRule type="cellIs" dxfId="0" priority="3548" operator="equal">
      <formula>"欠"</formula>
    </cfRule>
  </conditionalFormatting>
  <conditionalFormatting sqref="X220">
    <cfRule type="cellIs" dxfId="0" priority="3576" operator="equal">
      <formula>"欠"</formula>
    </cfRule>
  </conditionalFormatting>
  <conditionalFormatting sqref="V221:W221">
    <cfRule type="containsText" dxfId="0" priority="3491" operator="between" text="欠">
      <formula>NOT(ISERROR(SEARCH("欠",V221)))</formula>
    </cfRule>
    <cfRule type="containsText" dxfId="1" priority="3519" operator="between" text="欠">
      <formula>NOT(ISERROR(SEARCH("欠",V221)))</formula>
    </cfRule>
    <cfRule type="cellIs" dxfId="0" priority="3547" operator="equal">
      <formula>"欠"</formula>
    </cfRule>
  </conditionalFormatting>
  <conditionalFormatting sqref="X221">
    <cfRule type="cellIs" dxfId="0" priority="3575" operator="equal">
      <formula>"欠"</formula>
    </cfRule>
  </conditionalFormatting>
  <conditionalFormatting sqref="V222:W222">
    <cfRule type="containsText" dxfId="0" priority="3489" operator="between" text="欠">
      <formula>NOT(ISERROR(SEARCH("欠",V222)))</formula>
    </cfRule>
    <cfRule type="containsText" dxfId="1" priority="3517" operator="between" text="欠">
      <formula>NOT(ISERROR(SEARCH("欠",V222)))</formula>
    </cfRule>
    <cfRule type="cellIs" dxfId="0" priority="3545" operator="equal">
      <formula>"欠"</formula>
    </cfRule>
  </conditionalFormatting>
  <conditionalFormatting sqref="X222">
    <cfRule type="cellIs" dxfId="0" priority="3573" operator="equal">
      <formula>"欠"</formula>
    </cfRule>
  </conditionalFormatting>
  <conditionalFormatting sqref="V224:W224">
    <cfRule type="containsText" dxfId="0" priority="5275" operator="between" text="欠">
      <formula>NOT(ISERROR(SEARCH("欠",V224)))</formula>
    </cfRule>
    <cfRule type="containsText" dxfId="1" priority="5282" operator="between" text="欠">
      <formula>NOT(ISERROR(SEARCH("欠",V224)))</formula>
    </cfRule>
    <cfRule type="cellIs" dxfId="0" priority="5289" operator="equal">
      <formula>"欠"</formula>
    </cfRule>
  </conditionalFormatting>
  <conditionalFormatting sqref="X224">
    <cfRule type="cellIs" dxfId="0" priority="5296" operator="equal">
      <formula>"欠"</formula>
    </cfRule>
  </conditionalFormatting>
  <conditionalFormatting sqref="V225:W225">
    <cfRule type="containsText" dxfId="0" priority="5274" operator="between" text="欠">
      <formula>NOT(ISERROR(SEARCH("欠",V225)))</formula>
    </cfRule>
    <cfRule type="containsText" dxfId="1" priority="5281" operator="between" text="欠">
      <formula>NOT(ISERROR(SEARCH("欠",V225)))</formula>
    </cfRule>
    <cfRule type="cellIs" dxfId="0" priority="5288" operator="equal">
      <formula>"欠"</formula>
    </cfRule>
  </conditionalFormatting>
  <conditionalFormatting sqref="X225">
    <cfRule type="cellIs" dxfId="0" priority="5295" operator="equal">
      <formula>"欠"</formula>
    </cfRule>
  </conditionalFormatting>
  <conditionalFormatting sqref="T226:U226">
    <cfRule type="containsText" dxfId="0" priority="1709" operator="between" text="欠">
      <formula>NOT(ISERROR(SEARCH("欠",T226)))</formula>
    </cfRule>
    <cfRule type="cellIs" dxfId="0" priority="1716" operator="equal">
      <formula>"欠"</formula>
    </cfRule>
  </conditionalFormatting>
  <conditionalFormatting sqref="V226:W226">
    <cfRule type="containsText" dxfId="0" priority="1723" operator="between" text="欠">
      <formula>NOT(ISERROR(SEARCH("欠",V226)))</formula>
    </cfRule>
    <cfRule type="containsText" dxfId="1" priority="1730" operator="between" text="欠">
      <formula>NOT(ISERROR(SEARCH("欠",V226)))</formula>
    </cfRule>
    <cfRule type="cellIs" dxfId="0" priority="1737" operator="equal">
      <formula>"欠"</formula>
    </cfRule>
  </conditionalFormatting>
  <conditionalFormatting sqref="X226">
    <cfRule type="cellIs" dxfId="0" priority="1744" operator="equal">
      <formula>"欠"</formula>
    </cfRule>
  </conditionalFormatting>
  <conditionalFormatting sqref="X227">
    <cfRule type="cellIs" dxfId="0" priority="1148" operator="equal">
      <formula>"欠"</formula>
    </cfRule>
  </conditionalFormatting>
  <conditionalFormatting sqref="V228:W228">
    <cfRule type="containsText" dxfId="0" priority="1722" operator="between" text="欠">
      <formula>NOT(ISERROR(SEARCH("欠",V228)))</formula>
    </cfRule>
    <cfRule type="containsText" dxfId="1" priority="1729" operator="between" text="欠">
      <formula>NOT(ISERROR(SEARCH("欠",V228)))</formula>
    </cfRule>
    <cfRule type="cellIs" dxfId="0" priority="1736" operator="equal">
      <formula>"欠"</formula>
    </cfRule>
  </conditionalFormatting>
  <conditionalFormatting sqref="X228">
    <cfRule type="cellIs" dxfId="0" priority="1743" operator="equal">
      <formula>"欠"</formula>
    </cfRule>
  </conditionalFormatting>
  <conditionalFormatting sqref="R230">
    <cfRule type="containsText" dxfId="0" priority="5081" operator="between" text="欠">
      <formula>NOT(ISERROR(SEARCH("欠",R230)))</formula>
    </cfRule>
  </conditionalFormatting>
  <conditionalFormatting sqref="V230">
    <cfRule type="containsText" dxfId="0" priority="4974" operator="between" text="欠">
      <formula>NOT(ISERROR(SEARCH("欠",V230)))</formula>
    </cfRule>
    <cfRule type="containsText" dxfId="1" priority="4975" operator="between" text="欠">
      <formula>NOT(ISERROR(SEARCH("欠",V230)))</formula>
    </cfRule>
    <cfRule type="cellIs" dxfId="0" priority="4976" operator="equal">
      <formula>"欠"</formula>
    </cfRule>
  </conditionalFormatting>
  <conditionalFormatting sqref="W230">
    <cfRule type="containsText" dxfId="0" priority="5153" operator="between" text="欠">
      <formula>NOT(ISERROR(SEARCH("欠",W230)))</formula>
    </cfRule>
    <cfRule type="containsText" dxfId="1" priority="5165" operator="between" text="欠">
      <formula>NOT(ISERROR(SEARCH("欠",W230)))</formula>
    </cfRule>
    <cfRule type="cellIs" dxfId="0" priority="5177" operator="equal">
      <formula>"欠"</formula>
    </cfRule>
  </conditionalFormatting>
  <conditionalFormatting sqref="X230">
    <cfRule type="cellIs" dxfId="0" priority="5189" operator="equal">
      <formula>"欠"</formula>
    </cfRule>
  </conditionalFormatting>
  <conditionalFormatting sqref="W231">
    <cfRule type="containsText" dxfId="0" priority="4054" operator="between" text="欠">
      <formula>NOT(ISERROR(SEARCH("欠",W231)))</formula>
    </cfRule>
    <cfRule type="containsText" dxfId="1" priority="4057" operator="between" text="欠">
      <formula>NOT(ISERROR(SEARCH("欠",W231)))</formula>
    </cfRule>
    <cfRule type="cellIs" dxfId="0" priority="4060" operator="equal">
      <formula>"欠"</formula>
    </cfRule>
  </conditionalFormatting>
  <conditionalFormatting sqref="X231">
    <cfRule type="cellIs" dxfId="0" priority="4063" operator="equal">
      <formula>"欠"</formula>
    </cfRule>
  </conditionalFormatting>
  <conditionalFormatting sqref="R232">
    <cfRule type="containsText" dxfId="0" priority="2113" operator="between" text="欠">
      <formula>NOT(ISERROR(SEARCH("欠",R232)))</formula>
    </cfRule>
  </conditionalFormatting>
  <conditionalFormatting sqref="S232">
    <cfRule type="containsText" dxfId="0" priority="2116" operator="between" text="欠">
      <formula>NOT(ISERROR(SEARCH("欠",S232)))</formula>
    </cfRule>
    <cfRule type="cellIs" dxfId="0" priority="2117" operator="equal">
      <formula>"欠"</formula>
    </cfRule>
  </conditionalFormatting>
  <conditionalFormatting sqref="T232:U232">
    <cfRule type="containsText" dxfId="0" priority="2114" operator="between" text="欠">
      <formula>NOT(ISERROR(SEARCH("欠",T232)))</formula>
    </cfRule>
    <cfRule type="cellIs" dxfId="0" priority="2115" operator="equal">
      <formula>"欠"</formula>
    </cfRule>
  </conditionalFormatting>
  <conditionalFormatting sqref="V232:X232">
    <cfRule type="cellIs" dxfId="0" priority="2112" operator="equal">
      <formula>"欠"</formula>
    </cfRule>
  </conditionalFormatting>
  <conditionalFormatting sqref="V232:W232">
    <cfRule type="containsText" dxfId="0" priority="2110" operator="between" text="欠">
      <formula>NOT(ISERROR(SEARCH("欠",V232)))</formula>
    </cfRule>
    <cfRule type="containsText" dxfId="1" priority="2111" operator="between" text="欠">
      <formula>NOT(ISERROR(SEARCH("欠",V232)))</formula>
    </cfRule>
  </conditionalFormatting>
  <conditionalFormatting sqref="V233:W233">
    <cfRule type="containsText" dxfId="0" priority="3474" operator="between" text="欠">
      <formula>NOT(ISERROR(SEARCH("欠",V233)))</formula>
    </cfRule>
    <cfRule type="containsText" dxfId="1" priority="3502" operator="between" text="欠">
      <formula>NOT(ISERROR(SEARCH("欠",V233)))</formula>
    </cfRule>
    <cfRule type="cellIs" dxfId="0" priority="3530" operator="equal">
      <formula>"欠"</formula>
    </cfRule>
  </conditionalFormatting>
  <conditionalFormatting sqref="X233">
    <cfRule type="cellIs" dxfId="0" priority="3558" operator="equal">
      <formula>"欠"</formula>
    </cfRule>
  </conditionalFormatting>
  <conditionalFormatting sqref="V234:W234">
    <cfRule type="containsText" dxfId="0" priority="3470" operator="between" text="欠">
      <formula>NOT(ISERROR(SEARCH("欠",V234)))</formula>
    </cfRule>
    <cfRule type="containsText" dxfId="1" priority="3498" operator="between" text="欠">
      <formula>NOT(ISERROR(SEARCH("欠",V234)))</formula>
    </cfRule>
    <cfRule type="cellIs" dxfId="0" priority="3526" operator="equal">
      <formula>"欠"</formula>
    </cfRule>
  </conditionalFormatting>
  <conditionalFormatting sqref="X234">
    <cfRule type="cellIs" dxfId="0" priority="3554" operator="equal">
      <formula>"欠"</formula>
    </cfRule>
  </conditionalFormatting>
  <conditionalFormatting sqref="X235">
    <cfRule type="cellIs" dxfId="0" priority="2714" operator="equal">
      <formula>"欠"</formula>
    </cfRule>
  </conditionalFormatting>
  <conditionalFormatting sqref="W236">
    <cfRule type="containsText" dxfId="0" priority="2794" operator="between" text="欠">
      <formula>NOT(ISERROR(SEARCH("欠",W236)))</formula>
    </cfRule>
    <cfRule type="containsText" dxfId="1" priority="2796" operator="between" text="欠">
      <formula>NOT(ISERROR(SEARCH("欠",W236)))</formula>
    </cfRule>
    <cfRule type="cellIs" dxfId="0" priority="2798" operator="equal">
      <formula>"欠"</formula>
    </cfRule>
  </conditionalFormatting>
  <conditionalFormatting sqref="X236">
    <cfRule type="cellIs" dxfId="0" priority="2800" operator="equal">
      <formula>"欠"</formula>
    </cfRule>
  </conditionalFormatting>
  <conditionalFormatting sqref="V237:W237">
    <cfRule type="containsText" dxfId="0" priority="7068" operator="between" text="欠">
      <formula>NOT(ISERROR(SEARCH("欠",V237)))</formula>
    </cfRule>
    <cfRule type="containsText" dxfId="1" priority="7080" operator="between" text="欠">
      <formula>NOT(ISERROR(SEARCH("欠",V237)))</formula>
    </cfRule>
  </conditionalFormatting>
  <conditionalFormatting sqref="V237:X237">
    <cfRule type="cellIs" dxfId="0" priority="7104" operator="equal">
      <formula>"欠"</formula>
    </cfRule>
  </conditionalFormatting>
  <conditionalFormatting sqref="V238:W238">
    <cfRule type="containsText" dxfId="0" priority="7064" operator="between" text="欠">
      <formula>NOT(ISERROR(SEARCH("欠",V238)))</formula>
    </cfRule>
    <cfRule type="containsText" dxfId="1" priority="7076" operator="between" text="欠">
      <formula>NOT(ISERROR(SEARCH("欠",V238)))</formula>
    </cfRule>
  </conditionalFormatting>
  <conditionalFormatting sqref="V238:X238">
    <cfRule type="cellIs" dxfId="0" priority="7100" operator="equal">
      <formula>"欠"</formula>
    </cfRule>
  </conditionalFormatting>
  <conditionalFormatting sqref="S239">
    <cfRule type="containsText" dxfId="0" priority="2874" operator="between" text="欠">
      <formula>NOT(ISERROR(SEARCH("欠",S239)))</formula>
    </cfRule>
    <cfRule type="cellIs" dxfId="0" priority="2875" operator="equal">
      <formula>"欠"</formula>
    </cfRule>
  </conditionalFormatting>
  <conditionalFormatting sqref="T239:U239">
    <cfRule type="containsText" dxfId="0" priority="2865" operator="between" text="欠">
      <formula>NOT(ISERROR(SEARCH("欠",T239)))</formula>
    </cfRule>
    <cfRule type="cellIs" dxfId="0" priority="2866" operator="equal">
      <formula>"欠"</formula>
    </cfRule>
  </conditionalFormatting>
  <conditionalFormatting sqref="V239:W239">
    <cfRule type="containsText" dxfId="0" priority="2867" operator="between" text="欠">
      <formula>NOT(ISERROR(SEARCH("欠",V239)))</formula>
    </cfRule>
    <cfRule type="containsText" dxfId="1" priority="2868" operator="between" text="欠">
      <formula>NOT(ISERROR(SEARCH("欠",V239)))</formula>
    </cfRule>
    <cfRule type="cellIs" dxfId="0" priority="2869" operator="equal">
      <formula>"欠"</formula>
    </cfRule>
  </conditionalFormatting>
  <conditionalFormatting sqref="X239">
    <cfRule type="cellIs" dxfId="0" priority="2870" operator="equal">
      <formula>"欠"</formula>
    </cfRule>
  </conditionalFormatting>
  <conditionalFormatting sqref="T240:U240">
    <cfRule type="containsText" dxfId="0" priority="4998" operator="between" text="欠">
      <formula>NOT(ISERROR(SEARCH("欠",T240)))</formula>
    </cfRule>
    <cfRule type="cellIs" dxfId="0" priority="4999" operator="equal">
      <formula>"欠"</formula>
    </cfRule>
  </conditionalFormatting>
  <conditionalFormatting sqref="W240">
    <cfRule type="containsText" dxfId="0" priority="5044" operator="between" text="欠">
      <formula>NOT(ISERROR(SEARCH("欠",W240)))</formula>
    </cfRule>
    <cfRule type="containsText" dxfId="1" priority="5045" operator="between" text="欠">
      <formula>NOT(ISERROR(SEARCH("欠",W240)))</formula>
    </cfRule>
    <cfRule type="cellIs" dxfId="0" priority="5046" operator="equal">
      <formula>"欠"</formula>
    </cfRule>
  </conditionalFormatting>
  <conditionalFormatting sqref="X240">
    <cfRule type="cellIs" dxfId="0" priority="5047" operator="equal">
      <formula>"欠"</formula>
    </cfRule>
  </conditionalFormatting>
  <conditionalFormatting sqref="V241:W241">
    <cfRule type="containsText" dxfId="0" priority="6424" operator="between" text="欠">
      <formula>NOT(ISERROR(SEARCH("欠",V241)))</formula>
    </cfRule>
    <cfRule type="containsText" dxfId="1" priority="6425" operator="between" text="欠">
      <formula>NOT(ISERROR(SEARCH("欠",V241)))</formula>
    </cfRule>
    <cfRule type="cellIs" dxfId="0" priority="6426" operator="equal">
      <formula>"欠"</formula>
    </cfRule>
  </conditionalFormatting>
  <conditionalFormatting sqref="X241">
    <cfRule type="cellIs" dxfId="0" priority="6427" operator="equal">
      <formula>"欠"</formula>
    </cfRule>
  </conditionalFormatting>
  <conditionalFormatting sqref="T242:U242">
    <cfRule type="containsText" dxfId="0" priority="5722" operator="between" text="欠">
      <formula>NOT(ISERROR(SEARCH("欠",T242)))</formula>
    </cfRule>
    <cfRule type="cellIs" dxfId="0" priority="5723" operator="equal">
      <formula>"欠"</formula>
    </cfRule>
  </conditionalFormatting>
  <conditionalFormatting sqref="W242">
    <cfRule type="containsText" dxfId="0" priority="5640" operator="between" text="欠">
      <formula>NOT(ISERROR(SEARCH("欠",W242)))</formula>
    </cfRule>
    <cfRule type="containsText" dxfId="1" priority="5641" operator="between" text="欠">
      <formula>NOT(ISERROR(SEARCH("欠",W242)))</formula>
    </cfRule>
    <cfRule type="cellIs" dxfId="0" priority="5642" operator="equal">
      <formula>"欠"</formula>
    </cfRule>
  </conditionalFormatting>
  <conditionalFormatting sqref="X242">
    <cfRule type="cellIs" dxfId="0" priority="5643" operator="equal">
      <formula>"欠"</formula>
    </cfRule>
  </conditionalFormatting>
  <conditionalFormatting sqref="V243:W243">
    <cfRule type="containsText" dxfId="0" priority="3495" operator="between" text="欠">
      <formula>NOT(ISERROR(SEARCH("欠",V243)))</formula>
    </cfRule>
    <cfRule type="containsText" dxfId="1" priority="3523" operator="between" text="欠">
      <formula>NOT(ISERROR(SEARCH("欠",V243)))</formula>
    </cfRule>
    <cfRule type="cellIs" dxfId="0" priority="3551" operator="equal">
      <formula>"欠"</formula>
    </cfRule>
  </conditionalFormatting>
  <conditionalFormatting sqref="X243">
    <cfRule type="cellIs" dxfId="0" priority="3579" operator="equal">
      <formula>"欠"</formula>
    </cfRule>
  </conditionalFormatting>
  <conditionalFormatting sqref="AE243">
    <cfRule type="cellIs" dxfId="2" priority="3383" operator="equal">
      <formula>"未完成"</formula>
    </cfRule>
    <cfRule type="cellIs" dxfId="0" priority="3411" operator="equal">
      <formula>"未完成"</formula>
    </cfRule>
  </conditionalFormatting>
  <conditionalFormatting sqref="W244">
    <cfRule type="containsText" dxfId="0" priority="3247" operator="between" text="欠">
      <formula>NOT(ISERROR(SEARCH("欠",W244)))</formula>
    </cfRule>
    <cfRule type="containsText" dxfId="1" priority="3254" operator="between" text="欠">
      <formula>NOT(ISERROR(SEARCH("欠",W244)))</formula>
    </cfRule>
    <cfRule type="cellIs" dxfId="0" priority="3261" operator="equal">
      <formula>"欠"</formula>
    </cfRule>
  </conditionalFormatting>
  <conditionalFormatting sqref="V245:W245">
    <cfRule type="containsText" dxfId="0" priority="3485" operator="between" text="欠">
      <formula>NOT(ISERROR(SEARCH("欠",V245)))</formula>
    </cfRule>
    <cfRule type="containsText" dxfId="1" priority="3513" operator="between" text="欠">
      <formula>NOT(ISERROR(SEARCH("欠",V245)))</formula>
    </cfRule>
    <cfRule type="cellIs" dxfId="0" priority="3541" operator="equal">
      <formula>"欠"</formula>
    </cfRule>
  </conditionalFormatting>
  <conditionalFormatting sqref="AE245">
    <cfRule type="cellIs" dxfId="2" priority="3373" operator="equal">
      <formula>"未完成"</formula>
    </cfRule>
    <cfRule type="cellIs" dxfId="0" priority="3401" operator="equal">
      <formula>"未完成"</formula>
    </cfRule>
  </conditionalFormatting>
  <conditionalFormatting sqref="V246:W246">
    <cfRule type="containsText" dxfId="0" priority="3481" operator="between" text="欠">
      <formula>NOT(ISERROR(SEARCH("欠",V246)))</formula>
    </cfRule>
    <cfRule type="containsText" dxfId="1" priority="3509" operator="between" text="欠">
      <formula>NOT(ISERROR(SEARCH("欠",V246)))</formula>
    </cfRule>
    <cfRule type="cellIs" dxfId="0" priority="3537" operator="equal">
      <formula>"欠"</formula>
    </cfRule>
  </conditionalFormatting>
  <conditionalFormatting sqref="X246">
    <cfRule type="cellIs" dxfId="0" priority="3565" operator="equal">
      <formula>"欠"</formula>
    </cfRule>
  </conditionalFormatting>
  <conditionalFormatting sqref="AE246">
    <cfRule type="cellIs" dxfId="2" priority="3369" operator="equal">
      <formula>"未完成"</formula>
    </cfRule>
    <cfRule type="cellIs" dxfId="0" priority="3397" operator="equal">
      <formula>"未完成"</formula>
    </cfRule>
  </conditionalFormatting>
  <conditionalFormatting sqref="V247:W247">
    <cfRule type="containsText" dxfId="0" priority="5272" operator="between" text="欠">
      <formula>NOT(ISERROR(SEARCH("欠",V247)))</formula>
    </cfRule>
    <cfRule type="containsText" dxfId="1" priority="5279" operator="between" text="欠">
      <formula>NOT(ISERROR(SEARCH("欠",V247)))</formula>
    </cfRule>
    <cfRule type="cellIs" dxfId="0" priority="5286" operator="equal">
      <formula>"欠"</formula>
    </cfRule>
  </conditionalFormatting>
  <conditionalFormatting sqref="X247">
    <cfRule type="cellIs" dxfId="0" priority="5293" operator="equal">
      <formula>"欠"</formula>
    </cfRule>
  </conditionalFormatting>
  <conditionalFormatting sqref="AE247">
    <cfRule type="cellIs" dxfId="2" priority="5244" operator="equal">
      <formula>"未完成"</formula>
    </cfRule>
    <cfRule type="cellIs" dxfId="0" priority="5251" operator="equal">
      <formula>"未完成"</formula>
    </cfRule>
  </conditionalFormatting>
  <conditionalFormatting sqref="R248">
    <cfRule type="containsText" dxfId="0" priority="1390" operator="between" text="欠">
      <formula>NOT(ISERROR(SEARCH("欠",R248)))</formula>
    </cfRule>
  </conditionalFormatting>
  <conditionalFormatting sqref="T248:U248">
    <cfRule type="containsText" dxfId="0" priority="1394" operator="between" text="欠">
      <formula>NOT(ISERROR(SEARCH("欠",T248)))</formula>
    </cfRule>
    <cfRule type="cellIs" dxfId="0" priority="1395" operator="equal">
      <formula>"欠"</formula>
    </cfRule>
  </conditionalFormatting>
  <conditionalFormatting sqref="V248:W248">
    <cfRule type="containsText" dxfId="0" priority="1396" operator="between" text="欠">
      <formula>NOT(ISERROR(SEARCH("欠",V248)))</formula>
    </cfRule>
    <cfRule type="containsText" dxfId="1" priority="1397" operator="between" text="欠">
      <formula>NOT(ISERROR(SEARCH("欠",V248)))</formula>
    </cfRule>
    <cfRule type="cellIs" dxfId="0" priority="1398" operator="equal">
      <formula>"欠"</formula>
    </cfRule>
  </conditionalFormatting>
  <conditionalFormatting sqref="X248">
    <cfRule type="cellIs" dxfId="0" priority="1399" operator="equal">
      <formula>"欠"</formula>
    </cfRule>
  </conditionalFormatting>
  <conditionalFormatting sqref="AE248">
    <cfRule type="cellIs" dxfId="2" priority="1388" operator="equal">
      <formula>"未完成"</formula>
    </cfRule>
    <cfRule type="cellIs" dxfId="0" priority="1389" operator="equal">
      <formula>"未完成"</formula>
    </cfRule>
  </conditionalFormatting>
  <conditionalFormatting sqref="R249">
    <cfRule type="containsText" dxfId="3" priority="22" operator="between" text="欠">
      <formula>NOT(ISERROR(SEARCH("欠",R249)))</formula>
    </cfRule>
    <cfRule type="containsText" dxfId="0" priority="26" operator="between" text="欠">
      <formula>NOT(ISERROR(SEARCH("欠",R249)))</formula>
    </cfRule>
  </conditionalFormatting>
  <conditionalFormatting sqref="S249">
    <cfRule type="containsText" dxfId="0" priority="24" operator="between" text="欠">
      <formula>NOT(ISERROR(SEARCH("欠",S249)))</formula>
    </cfRule>
    <cfRule type="cellIs" dxfId="0" priority="25" operator="equal">
      <formula>"欠"</formula>
    </cfRule>
  </conditionalFormatting>
  <conditionalFormatting sqref="T249:U249">
    <cfRule type="containsText" dxfId="0" priority="29" operator="between" text="欠">
      <formula>NOT(ISERROR(SEARCH("欠",T249)))</formula>
    </cfRule>
    <cfRule type="cellIs" dxfId="0" priority="30" operator="equal">
      <formula>"欠"</formula>
    </cfRule>
  </conditionalFormatting>
  <conditionalFormatting sqref="V249:W249">
    <cfRule type="containsText" dxfId="0" priority="31" operator="between" text="欠">
      <formula>NOT(ISERROR(SEARCH("欠",V249)))</formula>
    </cfRule>
    <cfRule type="containsText" dxfId="1" priority="32" operator="between" text="欠">
      <formula>NOT(ISERROR(SEARCH("欠",V249)))</formula>
    </cfRule>
    <cfRule type="cellIs" dxfId="0" priority="33" operator="equal">
      <formula>"欠"</formula>
    </cfRule>
  </conditionalFormatting>
  <conditionalFormatting sqref="X249">
    <cfRule type="cellIs" dxfId="0" priority="34" operator="equal">
      <formula>"欠"</formula>
    </cfRule>
  </conditionalFormatting>
  <conditionalFormatting sqref="AE249">
    <cfRule type="cellIs" dxfId="2" priority="27" operator="equal">
      <formula>"未完成"</formula>
    </cfRule>
    <cfRule type="cellIs" dxfId="0" priority="28" operator="equal">
      <formula>"未完成"</formula>
    </cfRule>
  </conditionalFormatting>
  <conditionalFormatting sqref="W251">
    <cfRule type="containsText" dxfId="0" priority="1099" operator="between" text="欠">
      <formula>NOT(ISERROR(SEARCH("欠",W251)))</formula>
    </cfRule>
    <cfRule type="containsText" dxfId="1" priority="1115" operator="between" text="欠">
      <formula>NOT(ISERROR(SEARCH("欠",W251)))</formula>
    </cfRule>
    <cfRule type="cellIs" dxfId="0" priority="1131" operator="equal">
      <formula>"欠"</formula>
    </cfRule>
  </conditionalFormatting>
  <conditionalFormatting sqref="X251">
    <cfRule type="cellIs" dxfId="0" priority="1147" operator="equal">
      <formula>"欠"</formula>
    </cfRule>
  </conditionalFormatting>
  <conditionalFormatting sqref="X254">
    <cfRule type="cellIs" dxfId="0" priority="3272" operator="equal">
      <formula>"欠"</formula>
    </cfRule>
  </conditionalFormatting>
  <conditionalFormatting sqref="V256:W256">
    <cfRule type="containsText" dxfId="0" priority="3477" operator="between" text="欠">
      <formula>NOT(ISERROR(SEARCH("欠",V256)))</formula>
    </cfRule>
    <cfRule type="containsText" dxfId="1" priority="3505" operator="between" text="欠">
      <formula>NOT(ISERROR(SEARCH("欠",V256)))</formula>
    </cfRule>
    <cfRule type="cellIs" dxfId="0" priority="3533" operator="equal">
      <formula>"欠"</formula>
    </cfRule>
  </conditionalFormatting>
  <conditionalFormatting sqref="X256">
    <cfRule type="cellIs" dxfId="0" priority="3561" operator="equal">
      <formula>"欠"</formula>
    </cfRule>
  </conditionalFormatting>
  <conditionalFormatting sqref="AE256">
    <cfRule type="cellIs" dxfId="2" priority="3365" operator="equal">
      <formula>"未完成"</formula>
    </cfRule>
    <cfRule type="cellIs" dxfId="0" priority="3393" operator="equal">
      <formula>"未完成"</formula>
    </cfRule>
  </conditionalFormatting>
  <conditionalFormatting sqref="T257:U257">
    <cfRule type="containsText" dxfId="0" priority="516" operator="between" text="欠">
      <formula>NOT(ISERROR(SEARCH("欠",T257)))</formula>
    </cfRule>
    <cfRule type="cellIs" dxfId="0" priority="517" operator="equal">
      <formula>"欠"</formula>
    </cfRule>
  </conditionalFormatting>
  <conditionalFormatting sqref="V257:W257">
    <cfRule type="containsText" dxfId="0" priority="3476" operator="between" text="欠">
      <formula>NOT(ISERROR(SEARCH("欠",V257)))</formula>
    </cfRule>
    <cfRule type="containsText" dxfId="1" priority="3504" operator="between" text="欠">
      <formula>NOT(ISERROR(SEARCH("欠",V257)))</formula>
    </cfRule>
    <cfRule type="cellIs" dxfId="0" priority="3532" operator="equal">
      <formula>"欠"</formula>
    </cfRule>
  </conditionalFormatting>
  <conditionalFormatting sqref="X257">
    <cfRule type="cellIs" dxfId="0" priority="3560" operator="equal">
      <formula>"欠"</formula>
    </cfRule>
  </conditionalFormatting>
  <conditionalFormatting sqref="AE257">
    <cfRule type="cellIs" dxfId="2" priority="3364" operator="equal">
      <formula>"未完成"</formula>
    </cfRule>
    <cfRule type="cellIs" dxfId="0" priority="3392" operator="equal">
      <formula>"未完成"</formula>
    </cfRule>
  </conditionalFormatting>
  <conditionalFormatting sqref="W258">
    <cfRule type="containsText" dxfId="0" priority="3172" operator="between" text="欠">
      <formula>NOT(ISERROR(SEARCH("欠",W258)))</formula>
    </cfRule>
    <cfRule type="containsText" dxfId="1" priority="3175" operator="between" text="欠">
      <formula>NOT(ISERROR(SEARCH("欠",W258)))</formula>
    </cfRule>
    <cfRule type="cellIs" dxfId="0" priority="3178" operator="equal">
      <formula>"欠"</formula>
    </cfRule>
  </conditionalFormatting>
  <conditionalFormatting sqref="X258">
    <cfRule type="cellIs" dxfId="0" priority="3181" operator="equal">
      <formula>"欠"</formula>
    </cfRule>
  </conditionalFormatting>
  <conditionalFormatting sqref="AE258">
    <cfRule type="cellIs" dxfId="2" priority="3160" operator="equal">
      <formula>"未完成"</formula>
    </cfRule>
    <cfRule type="cellIs" dxfId="0" priority="3163" operator="equal">
      <formula>"未完成"</formula>
    </cfRule>
  </conditionalFormatting>
  <conditionalFormatting sqref="V259:W259">
    <cfRule type="containsText" dxfId="0" priority="7063" operator="between" text="欠">
      <formula>NOT(ISERROR(SEARCH("欠",V259)))</formula>
    </cfRule>
    <cfRule type="containsText" dxfId="1" priority="7075" operator="between" text="欠">
      <formula>NOT(ISERROR(SEARCH("欠",V259)))</formula>
    </cfRule>
  </conditionalFormatting>
  <conditionalFormatting sqref="V259:X259">
    <cfRule type="cellIs" dxfId="0" priority="7099" operator="equal">
      <formula>"欠"</formula>
    </cfRule>
  </conditionalFormatting>
  <conditionalFormatting sqref="V260:W260">
    <cfRule type="containsText" dxfId="0" priority="6472" operator="between" text="欠">
      <formula>NOT(ISERROR(SEARCH("欠",V260)))</formula>
    </cfRule>
    <cfRule type="containsText" dxfId="1" priority="6473" operator="between" text="欠">
      <formula>NOT(ISERROR(SEARCH("欠",V260)))</formula>
    </cfRule>
    <cfRule type="cellIs" dxfId="0" priority="6474" operator="equal">
      <formula>"欠"</formula>
    </cfRule>
  </conditionalFormatting>
  <conditionalFormatting sqref="X260">
    <cfRule type="cellIs" dxfId="0" priority="6475" operator="equal">
      <formula>"欠"</formula>
    </cfRule>
  </conditionalFormatting>
  <conditionalFormatting sqref="S261">
    <cfRule type="containsText" dxfId="0" priority="2862" operator="between" text="欠">
      <formula>NOT(ISERROR(SEARCH("欠",S261)))</formula>
    </cfRule>
    <cfRule type="cellIs" dxfId="0" priority="2863" operator="equal">
      <formula>"欠"</formula>
    </cfRule>
  </conditionalFormatting>
  <conditionalFormatting sqref="T261:U261">
    <cfRule type="containsText" dxfId="0" priority="2853" operator="between" text="欠">
      <formula>NOT(ISERROR(SEARCH("欠",T261)))</formula>
    </cfRule>
    <cfRule type="cellIs" dxfId="0" priority="2854" operator="equal">
      <formula>"欠"</formula>
    </cfRule>
  </conditionalFormatting>
  <conditionalFormatting sqref="V261:W261">
    <cfRule type="containsText" dxfId="0" priority="2855" operator="between" text="欠">
      <formula>NOT(ISERROR(SEARCH("欠",V261)))</formula>
    </cfRule>
    <cfRule type="containsText" dxfId="1" priority="2856" operator="between" text="欠">
      <formula>NOT(ISERROR(SEARCH("欠",V261)))</formula>
    </cfRule>
    <cfRule type="cellIs" dxfId="0" priority="2857" operator="equal">
      <formula>"欠"</formula>
    </cfRule>
  </conditionalFormatting>
  <conditionalFormatting sqref="X261">
    <cfRule type="cellIs" dxfId="0" priority="2849" operator="equal">
      <formula>"欠"</formula>
    </cfRule>
  </conditionalFormatting>
  <conditionalFormatting sqref="AE261">
    <cfRule type="cellIs" dxfId="2" priority="2850" operator="equal">
      <formula>"未完成"</formula>
    </cfRule>
    <cfRule type="cellIs" dxfId="0" priority="2851" operator="equal">
      <formula>"未完成"</formula>
    </cfRule>
  </conditionalFormatting>
  <conditionalFormatting sqref="V262:W262">
    <cfRule type="containsText" dxfId="0" priority="6667" operator="between" text="欠">
      <formula>NOT(ISERROR(SEARCH("欠",V262)))</formula>
    </cfRule>
    <cfRule type="containsText" dxfId="1" priority="6668" operator="between" text="欠">
      <formula>NOT(ISERROR(SEARCH("欠",V262)))</formula>
    </cfRule>
    <cfRule type="cellIs" dxfId="0" priority="6669" operator="equal">
      <formula>"欠"</formula>
    </cfRule>
  </conditionalFormatting>
  <conditionalFormatting sqref="X262">
    <cfRule type="cellIs" dxfId="0" priority="6670" operator="equal">
      <formula>"欠"</formula>
    </cfRule>
  </conditionalFormatting>
  <conditionalFormatting sqref="AE263">
    <cfRule type="cellIs" dxfId="2" priority="2097" operator="equal">
      <formula>"未完成"</formula>
    </cfRule>
    <cfRule type="cellIs" dxfId="0" priority="2098" operator="equal">
      <formula>"未完成"</formula>
    </cfRule>
  </conditionalFormatting>
  <conditionalFormatting sqref="W264">
    <cfRule type="containsText" dxfId="0" priority="2088" operator="between" text="欠">
      <formula>NOT(ISERROR(SEARCH("欠",W264)))</formula>
    </cfRule>
    <cfRule type="containsText" dxfId="1" priority="2089" operator="between" text="欠">
      <formula>NOT(ISERROR(SEARCH("欠",W264)))</formula>
    </cfRule>
  </conditionalFormatting>
  <conditionalFormatting sqref="AE264">
    <cfRule type="cellIs" dxfId="2" priority="2086" operator="equal">
      <formula>"未完成"</formula>
    </cfRule>
    <cfRule type="cellIs" dxfId="0" priority="2087" operator="equal">
      <formula>"未完成"</formula>
    </cfRule>
  </conditionalFormatting>
  <conditionalFormatting sqref="V265:W265">
    <cfRule type="containsText" dxfId="0" priority="3747" operator="between" text="欠">
      <formula>NOT(ISERROR(SEARCH("欠",V265)))</formula>
    </cfRule>
    <cfRule type="containsText" dxfId="1" priority="3763" operator="between" text="欠">
      <formula>NOT(ISERROR(SEARCH("欠",V265)))</formula>
    </cfRule>
    <cfRule type="cellIs" dxfId="0" priority="3779" operator="equal">
      <formula>"欠"</formula>
    </cfRule>
  </conditionalFormatting>
  <conditionalFormatting sqref="X265">
    <cfRule type="cellIs" dxfId="0" priority="3795" operator="equal">
      <formula>"欠"</formula>
    </cfRule>
  </conditionalFormatting>
  <conditionalFormatting sqref="AE265">
    <cfRule type="cellIs" dxfId="2" priority="3683" operator="equal">
      <formula>"未完成"</formula>
    </cfRule>
    <cfRule type="cellIs" dxfId="0" priority="3699" operator="equal">
      <formula>"未完成"</formula>
    </cfRule>
  </conditionalFormatting>
  <conditionalFormatting sqref="W266">
    <cfRule type="containsText" dxfId="0" priority="1095" operator="between" text="欠">
      <formula>NOT(ISERROR(SEARCH("欠",W266)))</formula>
    </cfRule>
    <cfRule type="containsText" dxfId="1" priority="1111" operator="between" text="欠">
      <formula>NOT(ISERROR(SEARCH("欠",W266)))</formula>
    </cfRule>
    <cfRule type="cellIs" dxfId="0" priority="1127" operator="equal">
      <formula>"欠"</formula>
    </cfRule>
  </conditionalFormatting>
  <conditionalFormatting sqref="V267:W267">
    <cfRule type="containsText" dxfId="0" priority="2275" operator="between" text="欠">
      <formula>NOT(ISERROR(SEARCH("欠",V267)))</formula>
    </cfRule>
    <cfRule type="containsText" dxfId="1" priority="2292" operator="between" text="欠">
      <formula>NOT(ISERROR(SEARCH("欠",V267)))</formula>
    </cfRule>
    <cfRule type="cellIs" dxfId="0" priority="2309" operator="equal">
      <formula>"欠"</formula>
    </cfRule>
  </conditionalFormatting>
  <conditionalFormatting sqref="X267">
    <cfRule type="cellIs" dxfId="0" priority="2326" operator="equal">
      <formula>"欠"</formula>
    </cfRule>
  </conditionalFormatting>
  <conditionalFormatting sqref="AE267">
    <cfRule type="cellIs" dxfId="2" priority="2207" operator="equal">
      <formula>"未完成"</formula>
    </cfRule>
    <cfRule type="cellIs" dxfId="0" priority="2224" operator="equal">
      <formula>"未完成"</formula>
    </cfRule>
  </conditionalFormatting>
  <conditionalFormatting sqref="T268:U268">
    <cfRule type="containsText" dxfId="0" priority="514" operator="between" text="欠">
      <formula>NOT(ISERROR(SEARCH("欠",T268)))</formula>
    </cfRule>
    <cfRule type="cellIs" dxfId="0" priority="515" operator="equal">
      <formula>"欠"</formula>
    </cfRule>
  </conditionalFormatting>
  <conditionalFormatting sqref="W268">
    <cfRule type="containsText" dxfId="0" priority="3246" operator="between" text="欠">
      <formula>NOT(ISERROR(SEARCH("欠",W268)))</formula>
    </cfRule>
    <cfRule type="containsText" dxfId="1" priority="3253" operator="between" text="欠">
      <formula>NOT(ISERROR(SEARCH("欠",W268)))</formula>
    </cfRule>
    <cfRule type="cellIs" dxfId="0" priority="3260" operator="equal">
      <formula>"欠"</formula>
    </cfRule>
  </conditionalFormatting>
  <conditionalFormatting sqref="X268">
    <cfRule type="cellIs" dxfId="0" priority="3267" operator="equal">
      <formula>"欠"</formula>
    </cfRule>
  </conditionalFormatting>
  <conditionalFormatting sqref="T270:U270">
    <cfRule type="containsText" dxfId="0" priority="1448" operator="between" text="欠">
      <formula>NOT(ISERROR(SEARCH("欠",T270)))</formula>
    </cfRule>
    <cfRule type="cellIs" dxfId="0" priority="1453" operator="equal">
      <formula>"欠"</formula>
    </cfRule>
  </conditionalFormatting>
  <conditionalFormatting sqref="W270">
    <cfRule type="containsText" dxfId="0" priority="2550" operator="between" text="欠">
      <formula>NOT(ISERROR(SEARCH("欠",W270)))</formula>
    </cfRule>
    <cfRule type="containsText" dxfId="1" priority="2552" operator="between" text="欠">
      <formula>NOT(ISERROR(SEARCH("欠",W270)))</formula>
    </cfRule>
    <cfRule type="cellIs" dxfId="0" priority="2554" operator="equal">
      <formula>"欠"</formula>
    </cfRule>
  </conditionalFormatting>
  <conditionalFormatting sqref="X270">
    <cfRule type="cellIs" dxfId="0" priority="1473" operator="equal">
      <formula>"欠"</formula>
    </cfRule>
  </conditionalFormatting>
  <conditionalFormatting sqref="AE270">
    <cfRule type="cellIs" dxfId="2" priority="3676" operator="equal">
      <formula>"未完成"</formula>
    </cfRule>
    <cfRule type="cellIs" dxfId="0" priority="3692" operator="equal">
      <formula>"未完成"</formula>
    </cfRule>
  </conditionalFormatting>
  <conditionalFormatting sqref="V271:W271">
    <cfRule type="containsText" dxfId="0" priority="5472" operator="between" text="欠">
      <formula>NOT(ISERROR(SEARCH("欠",V271)))</formula>
    </cfRule>
    <cfRule type="containsText" dxfId="1" priority="5477" operator="between" text="欠">
      <formula>NOT(ISERROR(SEARCH("欠",V271)))</formula>
    </cfRule>
    <cfRule type="cellIs" dxfId="0" priority="5482" operator="equal">
      <formula>"欠"</formula>
    </cfRule>
  </conditionalFormatting>
  <conditionalFormatting sqref="AE271">
    <cfRule type="cellIs" dxfId="2" priority="5452" operator="equal">
      <formula>"未完成"</formula>
    </cfRule>
    <cfRule type="cellIs" dxfId="0" priority="5457" operator="equal">
      <formula>"未完成"</formula>
    </cfRule>
  </conditionalFormatting>
  <conditionalFormatting sqref="R272">
    <cfRule type="containsText" dxfId="0" priority="4989" operator="between" text="欠">
      <formula>NOT(ISERROR(SEARCH("欠",R272)))</formula>
    </cfRule>
  </conditionalFormatting>
  <conditionalFormatting sqref="R273">
    <cfRule type="containsText" dxfId="0" priority="561" operator="between" text="欠">
      <formula>NOT(ISERROR(SEARCH("欠",R273)))</formula>
    </cfRule>
  </conditionalFormatting>
  <conditionalFormatting sqref="T273:U273">
    <cfRule type="containsText" dxfId="0" priority="577" operator="between" text="欠">
      <formula>NOT(ISERROR(SEARCH("欠",T273)))</formula>
    </cfRule>
    <cfRule type="cellIs" dxfId="0" priority="581" operator="equal">
      <formula>"欠"</formula>
    </cfRule>
  </conditionalFormatting>
  <conditionalFormatting sqref="V273:W273">
    <cfRule type="containsText" dxfId="0" priority="585" operator="between" text="欠">
      <formula>NOT(ISERROR(SEARCH("欠",V273)))</formula>
    </cfRule>
    <cfRule type="containsText" dxfId="1" priority="589" operator="between" text="欠">
      <formula>NOT(ISERROR(SEARCH("欠",V273)))</formula>
    </cfRule>
    <cfRule type="cellIs" dxfId="0" priority="593" operator="equal">
      <formula>"欠"</formula>
    </cfRule>
  </conditionalFormatting>
  <conditionalFormatting sqref="X273">
    <cfRule type="cellIs" dxfId="0" priority="597" operator="equal">
      <formula>"欠"</formula>
    </cfRule>
  </conditionalFormatting>
  <conditionalFormatting sqref="AE273">
    <cfRule type="cellIs" dxfId="2" priority="569" operator="equal">
      <formula>"未完成"</formula>
    </cfRule>
    <cfRule type="cellIs" dxfId="0" priority="573" operator="equal">
      <formula>"未完成"</formula>
    </cfRule>
  </conditionalFormatting>
  <conditionalFormatting sqref="T274:U274">
    <cfRule type="containsText" dxfId="0" priority="1713" operator="between" text="欠">
      <formula>NOT(ISERROR(SEARCH("欠",T274)))</formula>
    </cfRule>
    <cfRule type="cellIs" dxfId="0" priority="1720" operator="equal">
      <formula>"欠"</formula>
    </cfRule>
  </conditionalFormatting>
  <conditionalFormatting sqref="V274:W274">
    <cfRule type="containsText" dxfId="0" priority="1727" operator="between" text="欠">
      <formula>NOT(ISERROR(SEARCH("欠",V274)))</formula>
    </cfRule>
    <cfRule type="containsText" dxfId="1" priority="1734" operator="between" text="欠">
      <formula>NOT(ISERROR(SEARCH("欠",V274)))</formula>
    </cfRule>
    <cfRule type="cellIs" dxfId="0" priority="1741" operator="equal">
      <formula>"欠"</formula>
    </cfRule>
  </conditionalFormatting>
  <conditionalFormatting sqref="X274">
    <cfRule type="cellIs" dxfId="0" priority="1748" operator="equal">
      <formula>"欠"</formula>
    </cfRule>
  </conditionalFormatting>
  <conditionalFormatting sqref="AE274">
    <cfRule type="cellIs" dxfId="2" priority="1699" operator="equal">
      <formula>"未完成"</formula>
    </cfRule>
    <cfRule type="cellIs" dxfId="0" priority="1706" operator="equal">
      <formula>"未完成"</formula>
    </cfRule>
  </conditionalFormatting>
  <conditionalFormatting sqref="T275:U275">
    <cfRule type="containsText" dxfId="0" priority="1960" operator="between" text="欠">
      <formula>NOT(ISERROR(SEARCH("欠",T275)))</formula>
    </cfRule>
    <cfRule type="cellIs" dxfId="0" priority="1961" operator="equal">
      <formula>"欠"</formula>
    </cfRule>
  </conditionalFormatting>
  <conditionalFormatting sqref="V275:W275">
    <cfRule type="containsText" dxfId="0" priority="1962" operator="between" text="欠">
      <formula>NOT(ISERROR(SEARCH("欠",V275)))</formula>
    </cfRule>
    <cfRule type="containsText" dxfId="1" priority="1963" operator="between" text="欠">
      <formula>NOT(ISERROR(SEARCH("欠",V275)))</formula>
    </cfRule>
    <cfRule type="cellIs" dxfId="0" priority="1964" operator="equal">
      <formula>"欠"</formula>
    </cfRule>
  </conditionalFormatting>
  <conditionalFormatting sqref="X275">
    <cfRule type="cellIs" dxfId="0" priority="1965" operator="equal">
      <formula>"欠"</formula>
    </cfRule>
  </conditionalFormatting>
  <conditionalFormatting sqref="AE275">
    <cfRule type="cellIs" dxfId="2" priority="1958" operator="equal">
      <formula>"未完成"</formula>
    </cfRule>
    <cfRule type="cellIs" dxfId="0" priority="1959" operator="equal">
      <formula>"未完成"</formula>
    </cfRule>
  </conditionalFormatting>
  <conditionalFormatting sqref="T276:U276">
    <cfRule type="containsText" dxfId="0" priority="1672" operator="between" text="欠">
      <formula>NOT(ISERROR(SEARCH("欠",T276)))</formula>
    </cfRule>
    <cfRule type="cellIs" dxfId="0" priority="1673" operator="equal">
      <formula>"欠"</formula>
    </cfRule>
  </conditionalFormatting>
  <conditionalFormatting sqref="V276:W276">
    <cfRule type="containsText" dxfId="0" priority="1674" operator="between" text="欠">
      <formula>NOT(ISERROR(SEARCH("欠",V276)))</formula>
    </cfRule>
    <cfRule type="containsText" dxfId="1" priority="1675" operator="between" text="欠">
      <formula>NOT(ISERROR(SEARCH("欠",V276)))</formula>
    </cfRule>
    <cfRule type="cellIs" dxfId="0" priority="1676" operator="equal">
      <formula>"欠"</formula>
    </cfRule>
  </conditionalFormatting>
  <conditionalFormatting sqref="X276">
    <cfRule type="cellIs" dxfId="0" priority="1677" operator="equal">
      <formula>"欠"</formula>
    </cfRule>
  </conditionalFormatting>
  <conditionalFormatting sqref="AE276">
    <cfRule type="cellIs" dxfId="2" priority="1670" operator="equal">
      <formula>"未完成"</formula>
    </cfRule>
    <cfRule type="cellIs" dxfId="0" priority="1671" operator="equal">
      <formula>"未完成"</formula>
    </cfRule>
  </conditionalFormatting>
  <conditionalFormatting sqref="T277:U277">
    <cfRule type="containsText" dxfId="0" priority="5626" operator="between" text="欠">
      <formula>NOT(ISERROR(SEARCH("欠",T277)))</formula>
    </cfRule>
    <cfRule type="cellIs" dxfId="0" priority="5627" operator="equal">
      <formula>"欠"</formula>
    </cfRule>
  </conditionalFormatting>
  <conditionalFormatting sqref="W277">
    <cfRule type="containsText" dxfId="0" priority="5628" operator="between" text="欠">
      <formula>NOT(ISERROR(SEARCH("欠",W277)))</formula>
    </cfRule>
    <cfRule type="containsText" dxfId="1" priority="5629" operator="between" text="欠">
      <formula>NOT(ISERROR(SEARCH("欠",W277)))</formula>
    </cfRule>
    <cfRule type="cellIs" dxfId="0" priority="5630" operator="equal">
      <formula>"欠"</formula>
    </cfRule>
  </conditionalFormatting>
  <conditionalFormatting sqref="X277">
    <cfRule type="cellIs" dxfId="0" priority="5631" operator="equal">
      <formula>"欠"</formula>
    </cfRule>
  </conditionalFormatting>
  <conditionalFormatting sqref="V278:W278">
    <cfRule type="containsText" dxfId="0" priority="3475" operator="between" text="欠">
      <formula>NOT(ISERROR(SEARCH("欠",V278)))</formula>
    </cfRule>
    <cfRule type="containsText" dxfId="1" priority="3503" operator="between" text="欠">
      <formula>NOT(ISERROR(SEARCH("欠",V278)))</formula>
    </cfRule>
    <cfRule type="cellIs" dxfId="0" priority="3531" operator="equal">
      <formula>"欠"</formula>
    </cfRule>
  </conditionalFormatting>
  <conditionalFormatting sqref="X278">
    <cfRule type="cellIs" dxfId="0" priority="3559" operator="equal">
      <formula>"欠"</formula>
    </cfRule>
  </conditionalFormatting>
  <conditionalFormatting sqref="AE278">
    <cfRule type="cellIs" dxfId="2" priority="3363" operator="equal">
      <formula>"未完成"</formula>
    </cfRule>
    <cfRule type="cellIs" dxfId="0" priority="3391" operator="equal">
      <formula>"未完成"</formula>
    </cfRule>
  </conditionalFormatting>
  <conditionalFormatting sqref="V279:W279">
    <cfRule type="containsText" dxfId="0" priority="4729" operator="between" text="欠">
      <formula>NOT(ISERROR(SEARCH("欠",V279)))</formula>
    </cfRule>
    <cfRule type="containsText" dxfId="1" priority="4736" operator="between" text="欠">
      <formula>NOT(ISERROR(SEARCH("欠",V279)))</formula>
    </cfRule>
    <cfRule type="cellIs" dxfId="0" priority="4743" operator="equal">
      <formula>"欠"</formula>
    </cfRule>
  </conditionalFormatting>
  <conditionalFormatting sqref="X279">
    <cfRule type="cellIs" dxfId="0" priority="4750" operator="equal">
      <formula>"欠"</formula>
    </cfRule>
  </conditionalFormatting>
  <conditionalFormatting sqref="X280">
    <cfRule type="cellIs" dxfId="0" priority="1839" operator="equal">
      <formula>"欠"</formula>
    </cfRule>
  </conditionalFormatting>
  <conditionalFormatting sqref="AE280">
    <cfRule type="cellIs" dxfId="2" priority="1783" operator="equal">
      <formula>"未完成"</formula>
    </cfRule>
    <cfRule type="cellIs" dxfId="0" priority="1791" operator="equal">
      <formula>"未完成"</formula>
    </cfRule>
  </conditionalFormatting>
  <conditionalFormatting sqref="W281">
    <cfRule type="containsText" dxfId="0" priority="1814" operator="between" text="欠">
      <formula>NOT(ISERROR(SEARCH("欠",W281)))</formula>
    </cfRule>
    <cfRule type="containsText" dxfId="1" priority="1822" operator="between" text="欠">
      <formula>NOT(ISERROR(SEARCH("欠",W281)))</formula>
    </cfRule>
    <cfRule type="cellIs" dxfId="0" priority="1830" operator="equal">
      <formula>"欠"</formula>
    </cfRule>
  </conditionalFormatting>
  <conditionalFormatting sqref="X281">
    <cfRule type="cellIs" dxfId="0" priority="1838" operator="equal">
      <formula>"欠"</formula>
    </cfRule>
  </conditionalFormatting>
  <conditionalFormatting sqref="AE281">
    <cfRule type="cellIs" dxfId="2" priority="1782" operator="equal">
      <formula>"未完成"</formula>
    </cfRule>
    <cfRule type="cellIs" dxfId="0" priority="1790" operator="equal">
      <formula>"未完成"</formula>
    </cfRule>
  </conditionalFormatting>
  <conditionalFormatting sqref="W282">
    <cfRule type="containsText" dxfId="0" priority="1097" operator="between" text="欠">
      <formula>NOT(ISERROR(SEARCH("欠",W282)))</formula>
    </cfRule>
    <cfRule type="containsText" dxfId="1" priority="1113" operator="between" text="欠">
      <formula>NOT(ISERROR(SEARCH("欠",W282)))</formula>
    </cfRule>
    <cfRule type="cellIs" dxfId="0" priority="1129" operator="equal">
      <formula>"欠"</formula>
    </cfRule>
  </conditionalFormatting>
  <conditionalFormatting sqref="W283">
    <cfRule type="containsText" dxfId="0" priority="1096" operator="between" text="欠">
      <formula>NOT(ISERROR(SEARCH("欠",W283)))</formula>
    </cfRule>
    <cfRule type="containsText" dxfId="1" priority="1112" operator="between" text="欠">
      <formula>NOT(ISERROR(SEARCH("欠",W283)))</formula>
    </cfRule>
    <cfRule type="cellIs" dxfId="0" priority="1128" operator="equal">
      <formula>"欠"</formula>
    </cfRule>
  </conditionalFormatting>
  <conditionalFormatting sqref="W284">
    <cfRule type="containsText" dxfId="0" priority="1094" operator="between" text="欠">
      <formula>NOT(ISERROR(SEARCH("欠",W284)))</formula>
    </cfRule>
    <cfRule type="containsText" dxfId="1" priority="1110" operator="between" text="欠">
      <formula>NOT(ISERROR(SEARCH("欠",W284)))</formula>
    </cfRule>
    <cfRule type="cellIs" dxfId="0" priority="1126" operator="equal">
      <formula>"欠"</formula>
    </cfRule>
  </conditionalFormatting>
  <conditionalFormatting sqref="X284">
    <cfRule type="cellIs" dxfId="0" priority="1142" operator="equal">
      <formula>"欠"</formula>
    </cfRule>
  </conditionalFormatting>
  <conditionalFormatting sqref="R285">
    <cfRule type="containsText" dxfId="0" priority="4997" operator="between" text="欠">
      <formula>NOT(ISERROR(SEARCH("欠",R285)))</formula>
    </cfRule>
  </conditionalFormatting>
  <conditionalFormatting sqref="T285:U285">
    <cfRule type="containsText" dxfId="0" priority="5133" operator="between" text="欠">
      <formula>NOT(ISERROR(SEARCH("欠",T285)))</formula>
    </cfRule>
    <cfRule type="cellIs" dxfId="0" priority="5145" operator="equal">
      <formula>"欠"</formula>
    </cfRule>
  </conditionalFormatting>
  <conditionalFormatting sqref="V285:W285">
    <cfRule type="containsText" dxfId="0" priority="5157" operator="between" text="欠">
      <formula>NOT(ISERROR(SEARCH("欠",V285)))</formula>
    </cfRule>
    <cfRule type="containsText" dxfId="1" priority="5169" operator="between" text="欠">
      <formula>NOT(ISERROR(SEARCH("欠",V285)))</formula>
    </cfRule>
    <cfRule type="cellIs" dxfId="0" priority="5181" operator="equal">
      <formula>"欠"</formula>
    </cfRule>
  </conditionalFormatting>
  <conditionalFormatting sqref="X285">
    <cfRule type="cellIs" dxfId="0" priority="5193" operator="equal">
      <formula>"欠"</formula>
    </cfRule>
  </conditionalFormatting>
  <conditionalFormatting sqref="AE285">
    <cfRule type="cellIs" dxfId="2" priority="5109" operator="equal">
      <formula>"未完成"</formula>
    </cfRule>
    <cfRule type="cellIs" dxfId="0" priority="5121" operator="equal">
      <formula>"未完成"</formula>
    </cfRule>
  </conditionalFormatting>
  <conditionalFormatting sqref="V286:W286">
    <cfRule type="containsText" dxfId="0" priority="2281" operator="between" text="欠">
      <formula>NOT(ISERROR(SEARCH("欠",V286)))</formula>
    </cfRule>
    <cfRule type="containsText" dxfId="1" priority="2298" operator="between" text="欠">
      <formula>NOT(ISERROR(SEARCH("欠",V286)))</formula>
    </cfRule>
    <cfRule type="cellIs" dxfId="0" priority="2315" operator="equal">
      <formula>"欠"</formula>
    </cfRule>
  </conditionalFormatting>
  <conditionalFormatting sqref="X286">
    <cfRule type="cellIs" dxfId="0" priority="2332" operator="equal">
      <formula>"欠"</formula>
    </cfRule>
  </conditionalFormatting>
  <conditionalFormatting sqref="AE286">
    <cfRule type="cellIs" dxfId="2" priority="2213" operator="equal">
      <formula>"未完成"</formula>
    </cfRule>
    <cfRule type="cellIs" dxfId="0" priority="2230" operator="equal">
      <formula>"未完成"</formula>
    </cfRule>
  </conditionalFormatting>
  <conditionalFormatting sqref="R287">
    <cfRule type="containsText" dxfId="0" priority="1008" operator="between" text="欠">
      <formula>NOT(ISERROR(SEARCH("欠",R287)))</formula>
    </cfRule>
  </conditionalFormatting>
  <conditionalFormatting sqref="S287">
    <cfRule type="containsText" dxfId="0" priority="1168" operator="between" text="欠">
      <formula>NOT(ISERROR(SEARCH("欠",S287)))</formula>
    </cfRule>
    <cfRule type="cellIs" dxfId="0" priority="1184" operator="equal">
      <formula>"欠"</formula>
    </cfRule>
  </conditionalFormatting>
  <conditionalFormatting sqref="T287:U287">
    <cfRule type="containsText" dxfId="0" priority="1072" operator="between" text="欠">
      <formula>NOT(ISERROR(SEARCH("欠",T287)))</formula>
    </cfRule>
    <cfRule type="cellIs" dxfId="0" priority="1088" operator="equal">
      <formula>"欠"</formula>
    </cfRule>
  </conditionalFormatting>
  <conditionalFormatting sqref="V287:W287">
    <cfRule type="containsText" dxfId="0" priority="1104" operator="between" text="欠">
      <formula>NOT(ISERROR(SEARCH("欠",V287)))</formula>
    </cfRule>
    <cfRule type="containsText" dxfId="1" priority="1120" operator="between" text="欠">
      <formula>NOT(ISERROR(SEARCH("欠",V287)))</formula>
    </cfRule>
    <cfRule type="cellIs" dxfId="0" priority="1136" operator="equal">
      <formula>"欠"</formula>
    </cfRule>
  </conditionalFormatting>
  <conditionalFormatting sqref="X287">
    <cfRule type="cellIs" dxfId="0" priority="1152" operator="equal">
      <formula>"欠"</formula>
    </cfRule>
  </conditionalFormatting>
  <conditionalFormatting sqref="AE287">
    <cfRule type="cellIs" dxfId="2" priority="1040" operator="equal">
      <formula>"未完成"</formula>
    </cfRule>
    <cfRule type="cellIs" dxfId="0" priority="1056" operator="equal">
      <formula>"未完成"</formula>
    </cfRule>
  </conditionalFormatting>
  <conditionalFormatting sqref="R288">
    <cfRule type="containsText" dxfId="0" priority="2156" operator="between" text="欠">
      <formula>NOT(ISERROR(SEARCH("欠",R288)))</formula>
    </cfRule>
  </conditionalFormatting>
  <conditionalFormatting sqref="S288">
    <cfRule type="containsText" dxfId="0" priority="2162" operator="between" text="欠">
      <formula>NOT(ISERROR(SEARCH("欠",S288)))</formula>
    </cfRule>
    <cfRule type="cellIs" dxfId="0" priority="2163" operator="equal">
      <formula>"欠"</formula>
    </cfRule>
  </conditionalFormatting>
  <conditionalFormatting sqref="T288:U288">
    <cfRule type="containsText" dxfId="0" priority="2157" operator="between" text="欠">
      <formula>NOT(ISERROR(SEARCH("欠",T288)))</formula>
    </cfRule>
    <cfRule type="cellIs" dxfId="0" priority="2158" operator="equal">
      <formula>"欠"</formula>
    </cfRule>
  </conditionalFormatting>
  <conditionalFormatting sqref="V288:W288">
    <cfRule type="containsText" dxfId="0" priority="2152" operator="between" text="欠">
      <formula>NOT(ISERROR(SEARCH("欠",V288)))</formula>
    </cfRule>
    <cfRule type="containsText" dxfId="1" priority="2153" operator="between" text="欠">
      <formula>NOT(ISERROR(SEARCH("欠",V288)))</formula>
    </cfRule>
    <cfRule type="cellIs" dxfId="0" priority="2154" operator="equal">
      <formula>"欠"</formula>
    </cfRule>
  </conditionalFormatting>
  <conditionalFormatting sqref="X288">
    <cfRule type="cellIs" dxfId="0" priority="2155" operator="equal">
      <formula>"欠"</formula>
    </cfRule>
  </conditionalFormatting>
  <conditionalFormatting sqref="AE288">
    <cfRule type="cellIs" dxfId="2" priority="2160" operator="equal">
      <formula>"未完成"</formula>
    </cfRule>
    <cfRule type="cellIs" dxfId="0" priority="2161" operator="equal">
      <formula>"未完成"</formula>
    </cfRule>
  </conditionalFormatting>
  <conditionalFormatting sqref="R289">
    <cfRule type="containsText" dxfId="0" priority="2146" operator="between" text="欠">
      <formula>NOT(ISERROR(SEARCH("欠",R289)))</formula>
    </cfRule>
  </conditionalFormatting>
  <conditionalFormatting sqref="S289">
    <cfRule type="containsText" dxfId="0" priority="2149" operator="between" text="欠">
      <formula>NOT(ISERROR(SEARCH("欠",S289)))</formula>
    </cfRule>
    <cfRule type="cellIs" dxfId="0" priority="2150" operator="equal">
      <formula>"欠"</formula>
    </cfRule>
  </conditionalFormatting>
  <conditionalFormatting sqref="T289:U289">
    <cfRule type="containsText" dxfId="0" priority="2147" operator="between" text="欠">
      <formula>NOT(ISERROR(SEARCH("欠",T289)))</formula>
    </cfRule>
    <cfRule type="cellIs" dxfId="0" priority="2148" operator="equal">
      <formula>"欠"</formula>
    </cfRule>
  </conditionalFormatting>
  <conditionalFormatting sqref="V289:W289">
    <cfRule type="containsText" dxfId="0" priority="2143" operator="between" text="欠">
      <formula>NOT(ISERROR(SEARCH("欠",V289)))</formula>
    </cfRule>
    <cfRule type="containsText" dxfId="1" priority="2144" operator="between" text="欠">
      <formula>NOT(ISERROR(SEARCH("欠",V289)))</formula>
    </cfRule>
  </conditionalFormatting>
  <conditionalFormatting sqref="V289:X289">
    <cfRule type="cellIs" dxfId="0" priority="2145" operator="equal">
      <formula>"欠"</formula>
    </cfRule>
  </conditionalFormatting>
  <conditionalFormatting sqref="AE289">
    <cfRule type="cellIs" dxfId="2" priority="2141" operator="equal">
      <formula>"未完成"</formula>
    </cfRule>
    <cfRule type="cellIs" dxfId="0" priority="2142" operator="equal">
      <formula>"未完成"</formula>
    </cfRule>
  </conditionalFormatting>
  <conditionalFormatting sqref="T290:U290">
    <cfRule type="containsText" dxfId="0" priority="5947" operator="between" text="欠">
      <formula>NOT(ISERROR(SEARCH("欠",T290)))</formula>
    </cfRule>
    <cfRule type="cellIs" dxfId="0" priority="5948" operator="equal">
      <formula>"欠"</formula>
    </cfRule>
  </conditionalFormatting>
  <conditionalFormatting sqref="V290">
    <cfRule type="containsText" dxfId="0" priority="5949" operator="between" text="欠">
      <formula>NOT(ISERROR(SEARCH("欠",V290)))</formula>
    </cfRule>
    <cfRule type="containsText" dxfId="1" priority="5950" operator="between" text="欠">
      <formula>NOT(ISERROR(SEARCH("欠",V290)))</formula>
    </cfRule>
    <cfRule type="cellIs" dxfId="0" priority="5951" operator="equal">
      <formula>"欠"</formula>
    </cfRule>
  </conditionalFormatting>
  <conditionalFormatting sqref="W290">
    <cfRule type="containsText" dxfId="0" priority="5952" operator="between" text="欠">
      <formula>NOT(ISERROR(SEARCH("欠",W290)))</formula>
    </cfRule>
    <cfRule type="containsText" dxfId="1" priority="5953" operator="between" text="欠">
      <formula>NOT(ISERROR(SEARCH("欠",W290)))</formula>
    </cfRule>
    <cfRule type="cellIs" dxfId="0" priority="5954" operator="equal">
      <formula>"欠"</formula>
    </cfRule>
  </conditionalFormatting>
  <conditionalFormatting sqref="T291:U291">
    <cfRule type="containsText" dxfId="0" priority="2030" operator="between" text="欠">
      <formula>NOT(ISERROR(SEARCH("欠",T291)))</formula>
    </cfRule>
    <cfRule type="cellIs" dxfId="0" priority="2031" operator="equal">
      <formula>"欠"</formula>
    </cfRule>
  </conditionalFormatting>
  <conditionalFormatting sqref="V291:W291">
    <cfRule type="containsText" dxfId="0" priority="2036" operator="between" text="欠">
      <formula>NOT(ISERROR(SEARCH("欠",V291)))</formula>
    </cfRule>
    <cfRule type="containsText" dxfId="1" priority="2037" operator="between" text="欠">
      <formula>NOT(ISERROR(SEARCH("欠",V291)))</formula>
    </cfRule>
    <cfRule type="cellIs" dxfId="0" priority="2038" operator="equal">
      <formula>"欠"</formula>
    </cfRule>
  </conditionalFormatting>
  <conditionalFormatting sqref="X291">
    <cfRule type="cellIs" dxfId="0" priority="2039" operator="equal">
      <formula>"欠"</formula>
    </cfRule>
  </conditionalFormatting>
  <conditionalFormatting sqref="AE291">
    <cfRule type="cellIs" dxfId="2" priority="2034" operator="equal">
      <formula>"未完成"</formula>
    </cfRule>
    <cfRule type="cellIs" dxfId="0" priority="2035" operator="equal">
      <formula>"未完成"</formula>
    </cfRule>
  </conditionalFormatting>
  <conditionalFormatting sqref="W292">
    <cfRule type="containsText" dxfId="0" priority="3042" operator="between" text="欠">
      <formula>NOT(ISERROR(SEARCH("欠",W292)))</formula>
    </cfRule>
    <cfRule type="containsText" dxfId="1" priority="3064" operator="between" text="欠">
      <formula>NOT(ISERROR(SEARCH("欠",W292)))</formula>
    </cfRule>
    <cfRule type="cellIs" dxfId="0" priority="3086" operator="equal">
      <formula>"欠"</formula>
    </cfRule>
  </conditionalFormatting>
  <conditionalFormatting sqref="X292">
    <cfRule type="cellIs" dxfId="0" priority="3108" operator="equal">
      <formula>"欠"</formula>
    </cfRule>
  </conditionalFormatting>
  <conditionalFormatting sqref="AE292">
    <cfRule type="cellIs" dxfId="2" priority="2954" operator="equal">
      <formula>"未完成"</formula>
    </cfRule>
    <cfRule type="cellIs" dxfId="0" priority="2976" operator="equal">
      <formula>"未完成"</formula>
    </cfRule>
  </conditionalFormatting>
  <conditionalFormatting sqref="R293">
    <cfRule type="containsText" dxfId="0" priority="5414" operator="between" text="欠">
      <formula>NOT(ISERROR(SEARCH("欠",R293)))</formula>
    </cfRule>
  </conditionalFormatting>
  <conditionalFormatting sqref="S293">
    <cfRule type="containsText" dxfId="0" priority="5415" operator="between" text="欠">
      <formula>NOT(ISERROR(SEARCH("欠",S293)))</formula>
    </cfRule>
    <cfRule type="cellIs" dxfId="0" priority="5416" operator="equal">
      <formula>"欠"</formula>
    </cfRule>
  </conditionalFormatting>
  <conditionalFormatting sqref="V293">
    <cfRule type="containsText" dxfId="0" priority="5411" operator="between" text="欠">
      <formula>NOT(ISERROR(SEARCH("欠",V293)))</formula>
    </cfRule>
    <cfRule type="containsText" dxfId="1" priority="5412" operator="between" text="欠">
      <formula>NOT(ISERROR(SEARCH("欠",V293)))</formula>
    </cfRule>
    <cfRule type="cellIs" dxfId="0" priority="5413" operator="equal">
      <formula>"欠"</formula>
    </cfRule>
  </conditionalFormatting>
  <conditionalFormatting sqref="W293">
    <cfRule type="containsText" dxfId="0" priority="5422" operator="between" text="欠">
      <formula>NOT(ISERROR(SEARCH("欠",W293)))</formula>
    </cfRule>
    <cfRule type="containsText" dxfId="1" priority="5423" operator="between" text="欠">
      <formula>NOT(ISERROR(SEARCH("欠",W293)))</formula>
    </cfRule>
    <cfRule type="cellIs" dxfId="0" priority="5424" operator="equal">
      <formula>"欠"</formula>
    </cfRule>
  </conditionalFormatting>
  <conditionalFormatting sqref="X293">
    <cfRule type="cellIs" dxfId="0" priority="5425" operator="equal">
      <formula>"欠"</formula>
    </cfRule>
  </conditionalFormatting>
  <conditionalFormatting sqref="R294">
    <cfRule type="containsText" dxfId="0" priority="3842" operator="between" text="欠">
      <formula>NOT(ISERROR(SEARCH("欠",R294)))</formula>
    </cfRule>
  </conditionalFormatting>
  <conditionalFormatting sqref="S294">
    <cfRule type="containsText" dxfId="0" priority="3840" operator="between" text="欠">
      <formula>NOT(ISERROR(SEARCH("欠",S294)))</formula>
    </cfRule>
    <cfRule type="cellIs" dxfId="0" priority="3841" operator="equal">
      <formula>"欠"</formula>
    </cfRule>
  </conditionalFormatting>
  <conditionalFormatting sqref="V294">
    <cfRule type="containsText" dxfId="0" priority="3927" operator="between" text="欠">
      <formula>NOT(ISERROR(SEARCH("欠",V294)))</formula>
    </cfRule>
    <cfRule type="containsText" dxfId="1" priority="3928" operator="between" text="欠">
      <formula>NOT(ISERROR(SEARCH("欠",V294)))</formula>
    </cfRule>
    <cfRule type="cellIs" dxfId="0" priority="3929" operator="equal">
      <formula>"欠"</formula>
    </cfRule>
  </conditionalFormatting>
  <conditionalFormatting sqref="W294">
    <cfRule type="containsText" dxfId="0" priority="3934" operator="between" text="欠">
      <formula>NOT(ISERROR(SEARCH("欠",W294)))</formula>
    </cfRule>
    <cfRule type="containsText" dxfId="1" priority="3935" operator="between" text="欠">
      <formula>NOT(ISERROR(SEARCH("欠",W294)))</formula>
    </cfRule>
    <cfRule type="cellIs" dxfId="0" priority="3936" operator="equal">
      <formula>"欠"</formula>
    </cfRule>
  </conditionalFormatting>
  <conditionalFormatting sqref="X294">
    <cfRule type="cellIs" dxfId="0" priority="3937" operator="equal">
      <formula>"欠"</formula>
    </cfRule>
  </conditionalFormatting>
  <conditionalFormatting sqref="AE294">
    <cfRule type="cellIs" dxfId="2" priority="3940" operator="equal">
      <formula>"未完成"</formula>
    </cfRule>
    <cfRule type="cellIs" dxfId="0" priority="3941" operator="equal">
      <formula>"未完成"</formula>
    </cfRule>
  </conditionalFormatting>
  <conditionalFormatting sqref="W295">
    <cfRule type="containsText" dxfId="0" priority="5545" operator="between" text="欠">
      <formula>NOT(ISERROR(SEARCH("欠",W295)))</formula>
    </cfRule>
    <cfRule type="containsText" dxfId="1" priority="5548" operator="between" text="欠">
      <formula>NOT(ISERROR(SEARCH("欠",W295)))</formula>
    </cfRule>
    <cfRule type="cellIs" dxfId="0" priority="5551" operator="equal">
      <formula>"欠"</formula>
    </cfRule>
  </conditionalFormatting>
  <conditionalFormatting sqref="X295">
    <cfRule type="cellIs" dxfId="0" priority="5554" operator="equal">
      <formula>"欠"</formula>
    </cfRule>
  </conditionalFormatting>
  <conditionalFormatting sqref="T296:U296">
    <cfRule type="containsText" dxfId="0" priority="901" operator="between" text="欠">
      <formula>NOT(ISERROR(SEARCH("欠",T296)))</formula>
    </cfRule>
    <cfRule type="cellIs" dxfId="0" priority="905" operator="equal">
      <formula>"欠"</formula>
    </cfRule>
  </conditionalFormatting>
  <conditionalFormatting sqref="V296:W296">
    <cfRule type="containsText" dxfId="0" priority="909" operator="between" text="欠">
      <formula>NOT(ISERROR(SEARCH("欠",V296)))</formula>
    </cfRule>
    <cfRule type="containsText" dxfId="1" priority="913" operator="between" text="欠">
      <formula>NOT(ISERROR(SEARCH("欠",V296)))</formula>
    </cfRule>
    <cfRule type="cellIs" dxfId="0" priority="917" operator="equal">
      <formula>"欠"</formula>
    </cfRule>
  </conditionalFormatting>
  <conditionalFormatting sqref="X296">
    <cfRule type="cellIs" dxfId="0" priority="921" operator="equal">
      <formula>"欠"</formula>
    </cfRule>
  </conditionalFormatting>
  <conditionalFormatting sqref="AE296">
    <cfRule type="cellIs" dxfId="2" priority="893" operator="equal">
      <formula>"未完成"</formula>
    </cfRule>
    <cfRule type="cellIs" dxfId="0" priority="897" operator="equal">
      <formula>"未完成"</formula>
    </cfRule>
  </conditionalFormatting>
  <conditionalFormatting sqref="R297">
    <cfRule type="containsText" dxfId="0" priority="5876" operator="between" text="欠">
      <formula>NOT(ISERROR(SEARCH("欠",R297)))</formula>
    </cfRule>
  </conditionalFormatting>
  <conditionalFormatting sqref="S297">
    <cfRule type="containsText" dxfId="0" priority="5918" operator="between" text="欠">
      <formula>NOT(ISERROR(SEARCH("欠",S297)))</formula>
    </cfRule>
    <cfRule type="cellIs" dxfId="0" priority="5925" operator="equal">
      <formula>"欠"</formula>
    </cfRule>
  </conditionalFormatting>
  <conditionalFormatting sqref="T297:U297">
    <cfRule type="containsText" dxfId="0" priority="5883" operator="between" text="欠">
      <formula>NOT(ISERROR(SEARCH("欠",T297)))</formula>
    </cfRule>
    <cfRule type="cellIs" dxfId="0" priority="5890" operator="equal">
      <formula>"欠"</formula>
    </cfRule>
  </conditionalFormatting>
  <conditionalFormatting sqref="V297:W297">
    <cfRule type="containsText" dxfId="0" priority="5848" operator="between" text="欠">
      <formula>NOT(ISERROR(SEARCH("欠",V297)))</formula>
    </cfRule>
    <cfRule type="containsText" dxfId="1" priority="5855" operator="between" text="欠">
      <formula>NOT(ISERROR(SEARCH("欠",V297)))</formula>
    </cfRule>
    <cfRule type="cellIs" dxfId="0" priority="5862" operator="equal">
      <formula>"欠"</formula>
    </cfRule>
  </conditionalFormatting>
  <conditionalFormatting sqref="X297">
    <cfRule type="cellIs" dxfId="0" priority="5869" operator="equal">
      <formula>"欠"</formula>
    </cfRule>
  </conditionalFormatting>
  <conditionalFormatting sqref="AE297">
    <cfRule type="cellIs" dxfId="2" priority="5904" operator="equal">
      <formula>"未完成"</formula>
    </cfRule>
    <cfRule type="cellIs" dxfId="0" priority="5911" operator="equal">
      <formula>"未完成"</formula>
    </cfRule>
  </conditionalFormatting>
  <conditionalFormatting sqref="V300:W300">
    <cfRule type="containsText" dxfId="0" priority="2274" operator="between" text="欠">
      <formula>NOT(ISERROR(SEARCH("欠",V300)))</formula>
    </cfRule>
    <cfRule type="containsText" dxfId="1" priority="2291" operator="between" text="欠">
      <formula>NOT(ISERROR(SEARCH("欠",V300)))</formula>
    </cfRule>
    <cfRule type="cellIs" dxfId="0" priority="2308" operator="equal">
      <formula>"欠"</formula>
    </cfRule>
  </conditionalFormatting>
  <conditionalFormatting sqref="AE300">
    <cfRule type="cellIs" dxfId="2" priority="2206" operator="equal">
      <formula>"未完成"</formula>
    </cfRule>
    <cfRule type="cellIs" dxfId="0" priority="2223" operator="equal">
      <formula>"未完成"</formula>
    </cfRule>
  </conditionalFormatting>
  <conditionalFormatting sqref="T301:U301">
    <cfRule type="containsText" dxfId="0" priority="2244" operator="between" text="欠">
      <formula>NOT(ISERROR(SEARCH("欠",T301)))</formula>
    </cfRule>
    <cfRule type="cellIs" dxfId="0" priority="2261" operator="equal">
      <formula>"欠"</formula>
    </cfRule>
  </conditionalFormatting>
  <conditionalFormatting sqref="V301:W301">
    <cfRule type="containsText" dxfId="0" priority="2278" operator="between" text="欠">
      <formula>NOT(ISERROR(SEARCH("欠",V301)))</formula>
    </cfRule>
    <cfRule type="containsText" dxfId="1" priority="2295" operator="between" text="欠">
      <formula>NOT(ISERROR(SEARCH("欠",V301)))</formula>
    </cfRule>
    <cfRule type="cellIs" dxfId="0" priority="2312" operator="equal">
      <formula>"欠"</formula>
    </cfRule>
  </conditionalFormatting>
  <conditionalFormatting sqref="X301">
    <cfRule type="cellIs" dxfId="0" priority="2329" operator="equal">
      <formula>"欠"</formula>
    </cfRule>
  </conditionalFormatting>
  <conditionalFormatting sqref="AE301">
    <cfRule type="cellIs" dxfId="2" priority="2210" operator="equal">
      <formula>"未完成"</formula>
    </cfRule>
    <cfRule type="cellIs" dxfId="0" priority="2227" operator="equal">
      <formula>"未完成"</formula>
    </cfRule>
  </conditionalFormatting>
  <conditionalFormatting sqref="W302">
    <cfRule type="containsText" dxfId="0" priority="3249" operator="between" text="欠">
      <formula>NOT(ISERROR(SEARCH("欠",W302)))</formula>
    </cfRule>
    <cfRule type="containsText" dxfId="1" priority="3256" operator="between" text="欠">
      <formula>NOT(ISERROR(SEARCH("欠",W302)))</formula>
    </cfRule>
    <cfRule type="cellIs" dxfId="0" priority="3263" operator="equal">
      <formula>"欠"</formula>
    </cfRule>
  </conditionalFormatting>
  <conditionalFormatting sqref="R303">
    <cfRule type="containsText" dxfId="0" priority="2426" operator="between" text="欠">
      <formula>NOT(ISERROR(SEARCH("欠",R303)))</formula>
    </cfRule>
  </conditionalFormatting>
  <conditionalFormatting sqref="S303">
    <cfRule type="containsText" dxfId="0" priority="2476" operator="between" text="欠">
      <formula>NOT(ISERROR(SEARCH("欠",S303)))</formula>
    </cfRule>
    <cfRule type="cellIs" dxfId="0" priority="2481" operator="equal">
      <formula>"欠"</formula>
    </cfRule>
  </conditionalFormatting>
  <conditionalFormatting sqref="T303:U303">
    <cfRule type="containsText" dxfId="0" priority="2446" operator="between" text="欠">
      <formula>NOT(ISERROR(SEARCH("欠",T303)))</formula>
    </cfRule>
    <cfRule type="cellIs" dxfId="0" priority="2451" operator="equal">
      <formula>"欠"</formula>
    </cfRule>
  </conditionalFormatting>
  <conditionalFormatting sqref="V303:W303">
    <cfRule type="containsText" dxfId="0" priority="2456" operator="between" text="欠">
      <formula>NOT(ISERROR(SEARCH("欠",V303)))</formula>
    </cfRule>
    <cfRule type="containsText" dxfId="1" priority="2461" operator="between" text="欠">
      <formula>NOT(ISERROR(SEARCH("欠",V303)))</formula>
    </cfRule>
    <cfRule type="cellIs" dxfId="0" priority="2466" operator="equal">
      <formula>"欠"</formula>
    </cfRule>
  </conditionalFormatting>
  <conditionalFormatting sqref="X303">
    <cfRule type="cellIs" dxfId="0" priority="2471" operator="equal">
      <formula>"欠"</formula>
    </cfRule>
  </conditionalFormatting>
  <conditionalFormatting sqref="AE303">
    <cfRule type="cellIs" dxfId="2" priority="2436" operator="equal">
      <formula>"未完成"</formula>
    </cfRule>
    <cfRule type="cellIs" dxfId="0" priority="2441" operator="equal">
      <formula>"未完成"</formula>
    </cfRule>
  </conditionalFormatting>
  <conditionalFormatting sqref="R304">
    <cfRule type="containsText" dxfId="0" priority="1185" operator="between" text="欠">
      <formula>NOT(ISERROR(SEARCH("欠",R304)))</formula>
    </cfRule>
  </conditionalFormatting>
  <conditionalFormatting sqref="W304">
    <cfRule type="containsText" dxfId="0" priority="3248" operator="between" text="欠">
      <formula>NOT(ISERROR(SEARCH("欠",W304)))</formula>
    </cfRule>
    <cfRule type="containsText" dxfId="1" priority="3255" operator="between" text="欠">
      <formula>NOT(ISERROR(SEARCH("欠",W304)))</formula>
    </cfRule>
    <cfRule type="cellIs" dxfId="0" priority="3262" operator="equal">
      <formula>"欠"</formula>
    </cfRule>
  </conditionalFormatting>
  <conditionalFormatting sqref="V306:W306">
    <cfRule type="containsText" dxfId="0" priority="4202" operator="between" text="欠">
      <formula>NOT(ISERROR(SEARCH("欠",V306)))</formula>
    </cfRule>
    <cfRule type="containsText" dxfId="1" priority="4215" operator="between" text="欠">
      <formula>NOT(ISERROR(SEARCH("欠",V306)))</formula>
    </cfRule>
    <cfRule type="cellIs" dxfId="0" priority="4228" operator="equal">
      <formula>"欠"</formula>
    </cfRule>
  </conditionalFormatting>
  <conditionalFormatting sqref="AE306">
    <cfRule type="cellIs" dxfId="2" priority="4137" operator="equal">
      <formula>"未完成"</formula>
    </cfRule>
    <cfRule type="cellIs" dxfId="0" priority="4150" operator="equal">
      <formula>"未完成"</formula>
    </cfRule>
  </conditionalFormatting>
  <conditionalFormatting sqref="R307">
    <cfRule type="containsText" dxfId="0" priority="2135" operator="between" text="欠">
      <formula>NOT(ISERROR(SEARCH("欠",R307)))</formula>
    </cfRule>
  </conditionalFormatting>
  <conditionalFormatting sqref="S307">
    <cfRule type="containsText" dxfId="0" priority="2138" operator="between" text="欠">
      <formula>NOT(ISERROR(SEARCH("欠",S307)))</formula>
    </cfRule>
    <cfRule type="cellIs" dxfId="0" priority="2139" operator="equal">
      <formula>"欠"</formula>
    </cfRule>
  </conditionalFormatting>
  <conditionalFormatting sqref="T307:U307">
    <cfRule type="containsText" dxfId="0" priority="2136" operator="between" text="欠">
      <formula>NOT(ISERROR(SEARCH("欠",T307)))</formula>
    </cfRule>
    <cfRule type="cellIs" dxfId="0" priority="2137" operator="equal">
      <formula>"欠"</formula>
    </cfRule>
  </conditionalFormatting>
  <conditionalFormatting sqref="V307:W307">
    <cfRule type="containsText" dxfId="0" priority="2132" operator="between" text="欠">
      <formula>NOT(ISERROR(SEARCH("欠",V307)))</formula>
    </cfRule>
    <cfRule type="containsText" dxfId="1" priority="2133" operator="between" text="欠">
      <formula>NOT(ISERROR(SEARCH("欠",V307)))</formula>
    </cfRule>
  </conditionalFormatting>
  <conditionalFormatting sqref="V307:X307">
    <cfRule type="cellIs" dxfId="0" priority="2134" operator="equal">
      <formula>"欠"</formula>
    </cfRule>
  </conditionalFormatting>
  <conditionalFormatting sqref="AE307">
    <cfRule type="cellIs" dxfId="2" priority="2130" operator="equal">
      <formula>"未完成"</formula>
    </cfRule>
    <cfRule type="cellIs" dxfId="0" priority="2131" operator="equal">
      <formula>"未完成"</formula>
    </cfRule>
  </conditionalFormatting>
  <conditionalFormatting sqref="V310:W310">
    <cfRule type="containsText" dxfId="0" priority="4197" operator="between" text="欠">
      <formula>NOT(ISERROR(SEARCH("欠",V310)))</formula>
    </cfRule>
    <cfRule type="containsText" dxfId="1" priority="4210" operator="between" text="欠">
      <formula>NOT(ISERROR(SEARCH("欠",V310)))</formula>
    </cfRule>
    <cfRule type="cellIs" dxfId="0" priority="4223" operator="equal">
      <formula>"欠"</formula>
    </cfRule>
  </conditionalFormatting>
  <conditionalFormatting sqref="AE310">
    <cfRule type="cellIs" dxfId="2" priority="4132" operator="equal">
      <formula>"未完成"</formula>
    </cfRule>
    <cfRule type="cellIs" dxfId="0" priority="4145" operator="equal">
      <formula>"未完成"</formula>
    </cfRule>
  </conditionalFormatting>
  <conditionalFormatting sqref="W313">
    <cfRule type="containsText" dxfId="0" priority="5724" operator="between" text="欠">
      <formula>NOT(ISERROR(SEARCH("欠",W313)))</formula>
    </cfRule>
    <cfRule type="containsText" dxfId="1" priority="5725" operator="between" text="欠">
      <formula>NOT(ISERROR(SEARCH("欠",W313)))</formula>
    </cfRule>
    <cfRule type="cellIs" dxfId="0" priority="5726" operator="equal">
      <formula>"欠"</formula>
    </cfRule>
  </conditionalFormatting>
  <conditionalFormatting sqref="X313">
    <cfRule type="cellIs" dxfId="0" priority="5727" operator="equal">
      <formula>"欠"</formula>
    </cfRule>
  </conditionalFormatting>
  <conditionalFormatting sqref="AE314">
    <cfRule type="cellIs" dxfId="2" priority="6405" operator="equal">
      <formula>"未完成"</formula>
    </cfRule>
    <cfRule type="cellIs" dxfId="0" priority="6406" operator="equal">
      <formula>"未完成"</formula>
    </cfRule>
  </conditionalFormatting>
  <conditionalFormatting sqref="V315:W315">
    <cfRule type="containsText" dxfId="0" priority="2280" operator="between" text="欠">
      <formula>NOT(ISERROR(SEARCH("欠",V315)))</formula>
    </cfRule>
    <cfRule type="containsText" dxfId="1" priority="2297" operator="between" text="欠">
      <formula>NOT(ISERROR(SEARCH("欠",V315)))</formula>
    </cfRule>
    <cfRule type="cellIs" dxfId="0" priority="2314" operator="equal">
      <formula>"欠"</formula>
    </cfRule>
  </conditionalFormatting>
  <conditionalFormatting sqref="X315">
    <cfRule type="cellIs" dxfId="0" priority="2331" operator="equal">
      <formula>"欠"</formula>
    </cfRule>
  </conditionalFormatting>
  <conditionalFormatting sqref="AE315">
    <cfRule type="cellIs" dxfId="2" priority="2212" operator="equal">
      <formula>"未完成"</formula>
    </cfRule>
    <cfRule type="cellIs" dxfId="0" priority="2229" operator="equal">
      <formula>"未完成"</formula>
    </cfRule>
  </conditionalFormatting>
  <conditionalFormatting sqref="V316:W316">
    <cfRule type="containsText" dxfId="0" priority="3488" operator="between" text="欠">
      <formula>NOT(ISERROR(SEARCH("欠",V316)))</formula>
    </cfRule>
    <cfRule type="containsText" dxfId="1" priority="3516" operator="between" text="欠">
      <formula>NOT(ISERROR(SEARCH("欠",V316)))</formula>
    </cfRule>
    <cfRule type="cellIs" dxfId="0" priority="3544" operator="equal">
      <formula>"欠"</formula>
    </cfRule>
  </conditionalFormatting>
  <conditionalFormatting sqref="X316">
    <cfRule type="cellIs" dxfId="0" priority="3572" operator="equal">
      <formula>"欠"</formula>
    </cfRule>
  </conditionalFormatting>
  <conditionalFormatting sqref="AE316">
    <cfRule type="cellIs" dxfId="2" priority="3376" operator="equal">
      <formula>"未完成"</formula>
    </cfRule>
    <cfRule type="cellIs" dxfId="0" priority="3404" operator="equal">
      <formula>"未完成"</formula>
    </cfRule>
  </conditionalFormatting>
  <conditionalFormatting sqref="V317:W317">
    <cfRule type="containsText" dxfId="0" priority="5273" operator="between" text="欠">
      <formula>NOT(ISERROR(SEARCH("欠",V317)))</formula>
    </cfRule>
    <cfRule type="containsText" dxfId="1" priority="5280" operator="between" text="欠">
      <formula>NOT(ISERROR(SEARCH("欠",V317)))</formula>
    </cfRule>
    <cfRule type="cellIs" dxfId="0" priority="5287" operator="equal">
      <formula>"欠"</formula>
    </cfRule>
  </conditionalFormatting>
  <conditionalFormatting sqref="X317">
    <cfRule type="cellIs" dxfId="0" priority="5294" operator="equal">
      <formula>"欠"</formula>
    </cfRule>
  </conditionalFormatting>
  <conditionalFormatting sqref="AE317">
    <cfRule type="cellIs" dxfId="2" priority="5245" operator="equal">
      <formula>"未完成"</formula>
    </cfRule>
    <cfRule type="cellIs" dxfId="0" priority="5252" operator="equal">
      <formula>"未完成"</formula>
    </cfRule>
  </conditionalFormatting>
  <conditionalFormatting sqref="R318">
    <cfRule type="containsText" dxfId="0" priority="1005" operator="between" text="欠">
      <formula>NOT(ISERROR(SEARCH("欠",R318)))</formula>
    </cfRule>
  </conditionalFormatting>
  <conditionalFormatting sqref="S318">
    <cfRule type="containsText" dxfId="0" priority="1165" operator="between" text="欠">
      <formula>NOT(ISERROR(SEARCH("欠",S318)))</formula>
    </cfRule>
    <cfRule type="cellIs" dxfId="0" priority="1181" operator="equal">
      <formula>"欠"</formula>
    </cfRule>
  </conditionalFormatting>
  <conditionalFormatting sqref="T318:U318">
    <cfRule type="containsText" dxfId="0" priority="1069" operator="between" text="欠">
      <formula>NOT(ISERROR(SEARCH("欠",T318)))</formula>
    </cfRule>
    <cfRule type="cellIs" dxfId="0" priority="1085" operator="equal">
      <formula>"欠"</formula>
    </cfRule>
  </conditionalFormatting>
  <conditionalFormatting sqref="V318:W318">
    <cfRule type="containsText" dxfId="0" priority="1101" operator="between" text="欠">
      <formula>NOT(ISERROR(SEARCH("欠",V318)))</formula>
    </cfRule>
    <cfRule type="containsText" dxfId="1" priority="1117" operator="between" text="欠">
      <formula>NOT(ISERROR(SEARCH("欠",V318)))</formula>
    </cfRule>
    <cfRule type="cellIs" dxfId="0" priority="1133" operator="equal">
      <formula>"欠"</formula>
    </cfRule>
  </conditionalFormatting>
  <conditionalFormatting sqref="X318">
    <cfRule type="cellIs" dxfId="0" priority="1149" operator="equal">
      <formula>"欠"</formula>
    </cfRule>
  </conditionalFormatting>
  <conditionalFormatting sqref="AE318">
    <cfRule type="cellIs" dxfId="2" priority="1037" operator="equal">
      <formula>"未完成"</formula>
    </cfRule>
    <cfRule type="cellIs" dxfId="0" priority="1053" operator="equal">
      <formula>"未完成"</formula>
    </cfRule>
  </conditionalFormatting>
  <conditionalFormatting sqref="T319:U319">
    <cfRule type="containsText" dxfId="0" priority="861" operator="between" text="欠">
      <formula>NOT(ISERROR(SEARCH("欠",T319)))</formula>
    </cfRule>
    <cfRule type="cellIs" dxfId="0" priority="865" operator="equal">
      <formula>"欠"</formula>
    </cfRule>
  </conditionalFormatting>
  <conditionalFormatting sqref="V319:W319">
    <cfRule type="containsText" dxfId="0" priority="869" operator="between" text="欠">
      <formula>NOT(ISERROR(SEARCH("欠",V319)))</formula>
    </cfRule>
    <cfRule type="containsText" dxfId="1" priority="873" operator="between" text="欠">
      <formula>NOT(ISERROR(SEARCH("欠",V319)))</formula>
    </cfRule>
    <cfRule type="cellIs" dxfId="0" priority="877" operator="equal">
      <formula>"欠"</formula>
    </cfRule>
  </conditionalFormatting>
  <conditionalFormatting sqref="X319">
    <cfRule type="cellIs" dxfId="0" priority="881" operator="equal">
      <formula>"欠"</formula>
    </cfRule>
  </conditionalFormatting>
  <conditionalFormatting sqref="R320">
    <cfRule type="containsText" dxfId="0" priority="35" operator="between" text="欠">
      <formula>NOT(ISERROR(SEARCH("欠",R320)))</formula>
    </cfRule>
  </conditionalFormatting>
  <conditionalFormatting sqref="S320">
    <cfRule type="containsText" dxfId="0" priority="38" operator="between" text="欠">
      <formula>NOT(ISERROR(SEARCH("欠",S320)))</formula>
    </cfRule>
    <cfRule type="cellIs" dxfId="0" priority="39" operator="equal">
      <formula>"欠"</formula>
    </cfRule>
  </conditionalFormatting>
  <conditionalFormatting sqref="T320:U320">
    <cfRule type="containsText" dxfId="0" priority="36" operator="between" text="欠">
      <formula>NOT(ISERROR(SEARCH("欠",T320)))</formula>
    </cfRule>
    <cfRule type="cellIs" dxfId="0" priority="37" operator="equal">
      <formula>"欠"</formula>
    </cfRule>
  </conditionalFormatting>
  <conditionalFormatting sqref="T321:U321">
    <cfRule type="containsText" dxfId="0" priority="1452" operator="between" text="欠">
      <formula>NOT(ISERROR(SEARCH("欠",T321)))</formula>
    </cfRule>
    <cfRule type="cellIs" dxfId="0" priority="1457" operator="equal">
      <formula>"欠"</formula>
    </cfRule>
  </conditionalFormatting>
  <conditionalFormatting sqref="V321:W321">
    <cfRule type="containsText" dxfId="0" priority="1462" operator="between" text="欠">
      <formula>NOT(ISERROR(SEARCH("欠",V321)))</formula>
    </cfRule>
    <cfRule type="containsText" dxfId="1" priority="1467" operator="between" text="欠">
      <formula>NOT(ISERROR(SEARCH("欠",V321)))</formula>
    </cfRule>
    <cfRule type="cellIs" dxfId="0" priority="1472" operator="equal">
      <formula>"欠"</formula>
    </cfRule>
  </conditionalFormatting>
  <conditionalFormatting sqref="X321">
    <cfRule type="cellIs" dxfId="0" priority="1477" operator="equal">
      <formula>"欠"</formula>
    </cfRule>
  </conditionalFormatting>
  <conditionalFormatting sqref="AE321">
    <cfRule type="cellIs" dxfId="2" priority="1442" operator="equal">
      <formula>"未完成"</formula>
    </cfRule>
    <cfRule type="cellIs" dxfId="0" priority="1447" operator="equal">
      <formula>"未完成"</formula>
    </cfRule>
  </conditionalFormatting>
  <conditionalFormatting sqref="R322">
    <cfRule type="containsText" dxfId="0" priority="4982" operator="between" text="欠">
      <formula>NOT(ISERROR(SEARCH("欠",R322)))</formula>
    </cfRule>
  </conditionalFormatting>
  <conditionalFormatting sqref="S322">
    <cfRule type="containsText" dxfId="0" priority="4985" operator="between" text="欠">
      <formula>NOT(ISERROR(SEARCH("欠",S322)))</formula>
    </cfRule>
    <cfRule type="cellIs" dxfId="0" priority="4986" operator="equal">
      <formula>"欠"</formula>
    </cfRule>
  </conditionalFormatting>
  <conditionalFormatting sqref="T322:U322">
    <cfRule type="containsText" dxfId="0" priority="4983" operator="between" text="欠">
      <formula>NOT(ISERROR(SEARCH("欠",T322)))</formula>
    </cfRule>
    <cfRule type="cellIs" dxfId="0" priority="4984" operator="equal">
      <formula>"欠"</formula>
    </cfRule>
  </conditionalFormatting>
  <conditionalFormatting sqref="W322">
    <cfRule type="containsText" dxfId="0" priority="5056" operator="between" text="欠">
      <formula>NOT(ISERROR(SEARCH("欠",W322)))</formula>
    </cfRule>
    <cfRule type="containsText" dxfId="1" priority="5057" operator="between" text="欠">
      <formula>NOT(ISERROR(SEARCH("欠",W322)))</formula>
    </cfRule>
    <cfRule type="cellIs" dxfId="0" priority="5058" operator="equal">
      <formula>"欠"</formula>
    </cfRule>
  </conditionalFormatting>
  <conditionalFormatting sqref="X322">
    <cfRule type="cellIs" dxfId="0" priority="5059" operator="equal">
      <formula>"欠"</formula>
    </cfRule>
  </conditionalFormatting>
  <conditionalFormatting sqref="AE322">
    <cfRule type="cellIs" dxfId="2" priority="5052" operator="equal">
      <formula>"未完成"</formula>
    </cfRule>
    <cfRule type="cellIs" dxfId="0" priority="5053" operator="equal">
      <formula>"未完成"</formula>
    </cfRule>
  </conditionalFormatting>
  <conditionalFormatting sqref="S323">
    <cfRule type="containsText" dxfId="0" priority="5917" operator="between" text="欠">
      <formula>NOT(ISERROR(SEARCH("欠",S323)))</formula>
    </cfRule>
    <cfRule type="cellIs" dxfId="0" priority="5924" operator="equal">
      <formula>"欠"</formula>
    </cfRule>
  </conditionalFormatting>
  <conditionalFormatting sqref="T323:U323">
    <cfRule type="containsText" dxfId="0" priority="5882" operator="between" text="欠">
      <formula>NOT(ISERROR(SEARCH("欠",T323)))</formula>
    </cfRule>
    <cfRule type="cellIs" dxfId="0" priority="5889" operator="equal">
      <formula>"欠"</formula>
    </cfRule>
  </conditionalFormatting>
  <conditionalFormatting sqref="V323:W323">
    <cfRule type="containsText" dxfId="0" priority="5847" operator="between" text="欠">
      <formula>NOT(ISERROR(SEARCH("欠",V323)))</formula>
    </cfRule>
    <cfRule type="containsText" dxfId="1" priority="5854" operator="between" text="欠">
      <formula>NOT(ISERROR(SEARCH("欠",V323)))</formula>
    </cfRule>
    <cfRule type="cellIs" dxfId="0" priority="5861" operator="equal">
      <formula>"欠"</formula>
    </cfRule>
  </conditionalFormatting>
  <conditionalFormatting sqref="X323">
    <cfRule type="cellIs" dxfId="0" priority="5868" operator="equal">
      <formula>"欠"</formula>
    </cfRule>
  </conditionalFormatting>
  <conditionalFormatting sqref="AE323">
    <cfRule type="cellIs" dxfId="2" priority="5903" operator="equal">
      <formula>"未完成"</formula>
    </cfRule>
    <cfRule type="cellIs" dxfId="0" priority="5910" operator="equal">
      <formula>"未完成"</formula>
    </cfRule>
  </conditionalFormatting>
  <conditionalFormatting sqref="T324:U324">
    <cfRule type="containsText" dxfId="0" priority="574" operator="between" text="欠">
      <formula>NOT(ISERROR(SEARCH("欠",T324)))</formula>
    </cfRule>
    <cfRule type="cellIs" dxfId="0" priority="578" operator="equal">
      <formula>"欠"</formula>
    </cfRule>
  </conditionalFormatting>
  <conditionalFormatting sqref="V324:W324">
    <cfRule type="containsText" dxfId="0" priority="582" operator="between" text="欠">
      <formula>NOT(ISERROR(SEARCH("欠",V324)))</formula>
    </cfRule>
    <cfRule type="containsText" dxfId="1" priority="586" operator="between" text="欠">
      <formula>NOT(ISERROR(SEARCH("欠",V324)))</formula>
    </cfRule>
    <cfRule type="cellIs" dxfId="0" priority="590" operator="equal">
      <formula>"欠"</formula>
    </cfRule>
  </conditionalFormatting>
  <conditionalFormatting sqref="X324">
    <cfRule type="cellIs" dxfId="0" priority="594" operator="equal">
      <formula>"欠"</formula>
    </cfRule>
  </conditionalFormatting>
  <conditionalFormatting sqref="AE324">
    <cfRule type="cellIs" dxfId="2" priority="566" operator="equal">
      <formula>"未完成"</formula>
    </cfRule>
    <cfRule type="cellIs" dxfId="0" priority="570" operator="equal">
      <formula>"未完成"</formula>
    </cfRule>
  </conditionalFormatting>
  <conditionalFormatting sqref="V325">
    <cfRule type="containsText" dxfId="0" priority="3987" operator="between" text="欠">
      <formula>NOT(ISERROR(SEARCH("欠",V325)))</formula>
    </cfRule>
    <cfRule type="containsText" dxfId="1" priority="3988" operator="between" text="欠">
      <formula>NOT(ISERROR(SEARCH("欠",V325)))</formula>
    </cfRule>
    <cfRule type="cellIs" dxfId="0" priority="3989" operator="equal">
      <formula>"欠"</formula>
    </cfRule>
  </conditionalFormatting>
  <conditionalFormatting sqref="W325">
    <cfRule type="containsText" dxfId="0" priority="3994" operator="between" text="欠">
      <formula>NOT(ISERROR(SEARCH("欠",W325)))</formula>
    </cfRule>
    <cfRule type="containsText" dxfId="1" priority="3995" operator="between" text="欠">
      <formula>NOT(ISERROR(SEARCH("欠",W325)))</formula>
    </cfRule>
    <cfRule type="cellIs" dxfId="0" priority="3996" operator="equal">
      <formula>"欠"</formula>
    </cfRule>
  </conditionalFormatting>
  <conditionalFormatting sqref="X325">
    <cfRule type="cellIs" dxfId="0" priority="3997" operator="equal">
      <formula>"欠"</formula>
    </cfRule>
  </conditionalFormatting>
  <conditionalFormatting sqref="AE325">
    <cfRule type="cellIs" dxfId="2" priority="3998" operator="equal">
      <formula>"未完成"</formula>
    </cfRule>
    <cfRule type="cellIs" dxfId="0" priority="3999" operator="equal">
      <formula>"未完成"</formula>
    </cfRule>
  </conditionalFormatting>
  <conditionalFormatting sqref="R326">
    <cfRule type="containsText" dxfId="0" priority="120" operator="between" text="欠">
      <formula>NOT(ISERROR(SEARCH("欠",R326)))</formula>
    </cfRule>
  </conditionalFormatting>
  <conditionalFormatting sqref="T326:U326">
    <cfRule type="containsText" dxfId="0" priority="136" operator="between" text="欠">
      <formula>NOT(ISERROR(SEARCH("欠",T326)))</formula>
    </cfRule>
    <cfRule type="cellIs" dxfId="0" priority="140" operator="equal">
      <formula>"欠"</formula>
    </cfRule>
  </conditionalFormatting>
  <conditionalFormatting sqref="V326:W326">
    <cfRule type="containsText" dxfId="0" priority="144" operator="between" text="欠">
      <formula>NOT(ISERROR(SEARCH("欠",V326)))</formula>
    </cfRule>
    <cfRule type="containsText" dxfId="1" priority="148" operator="between" text="欠">
      <formula>NOT(ISERROR(SEARCH("欠",V326)))</formula>
    </cfRule>
    <cfRule type="cellIs" dxfId="0" priority="152" operator="equal">
      <formula>"欠"</formula>
    </cfRule>
  </conditionalFormatting>
  <conditionalFormatting sqref="X326">
    <cfRule type="cellIs" dxfId="0" priority="156" operator="equal">
      <formula>"欠"</formula>
    </cfRule>
  </conditionalFormatting>
  <conditionalFormatting sqref="AE326">
    <cfRule type="cellIs" dxfId="2" priority="128" operator="equal">
      <formula>"未完成"</formula>
    </cfRule>
    <cfRule type="cellIs" dxfId="0" priority="132" operator="equal">
      <formula>"未完成"</formula>
    </cfRule>
  </conditionalFormatting>
  <conditionalFormatting sqref="T327:U327">
    <cfRule type="containsText" dxfId="0" priority="1710" operator="between" text="欠">
      <formula>NOT(ISERROR(SEARCH("欠",T327)))</formula>
    </cfRule>
    <cfRule type="cellIs" dxfId="0" priority="1717" operator="equal">
      <formula>"欠"</formula>
    </cfRule>
  </conditionalFormatting>
  <conditionalFormatting sqref="V327:W327">
    <cfRule type="containsText" dxfId="0" priority="1724" operator="between" text="欠">
      <formula>NOT(ISERROR(SEARCH("欠",V327)))</formula>
    </cfRule>
    <cfRule type="containsText" dxfId="1" priority="1731" operator="between" text="欠">
      <formula>NOT(ISERROR(SEARCH("欠",V327)))</formula>
    </cfRule>
    <cfRule type="cellIs" dxfId="0" priority="1738" operator="equal">
      <formula>"欠"</formula>
    </cfRule>
  </conditionalFormatting>
  <conditionalFormatting sqref="X327">
    <cfRule type="cellIs" dxfId="0" priority="1745" operator="equal">
      <formula>"欠"</formula>
    </cfRule>
  </conditionalFormatting>
  <conditionalFormatting sqref="AE327">
    <cfRule type="cellIs" dxfId="2" priority="1696" operator="equal">
      <formula>"未完成"</formula>
    </cfRule>
    <cfRule type="cellIs" dxfId="0" priority="1703" operator="equal">
      <formula>"未完成"</formula>
    </cfRule>
  </conditionalFormatting>
  <conditionalFormatting sqref="W328">
    <cfRule type="containsText" dxfId="0" priority="2809" operator="between" text="欠">
      <formula>NOT(ISERROR(SEARCH("欠",W328)))</formula>
    </cfRule>
    <cfRule type="containsText" dxfId="1" priority="2810" operator="between" text="欠">
      <formula>NOT(ISERROR(SEARCH("欠",W328)))</formula>
    </cfRule>
    <cfRule type="cellIs" dxfId="0" priority="2811" operator="equal">
      <formula>"欠"</formula>
    </cfRule>
  </conditionalFormatting>
  <conditionalFormatting sqref="X328">
    <cfRule type="cellIs" dxfId="0" priority="2812" operator="equal">
      <formula>"欠"</formula>
    </cfRule>
  </conditionalFormatting>
  <conditionalFormatting sqref="AE328">
    <cfRule type="cellIs" dxfId="2" priority="2807" operator="equal">
      <formula>"未完成"</formula>
    </cfRule>
    <cfRule type="cellIs" dxfId="0" priority="2808" operator="equal">
      <formula>"未完成"</formula>
    </cfRule>
  </conditionalFormatting>
  <conditionalFormatting sqref="T329:U329">
    <cfRule type="containsText" dxfId="0" priority="1948" operator="between" text="欠">
      <formula>NOT(ISERROR(SEARCH("欠",T329)))</formula>
    </cfRule>
    <cfRule type="cellIs" dxfId="0" priority="1949" operator="equal">
      <formula>"欠"</formula>
    </cfRule>
  </conditionalFormatting>
  <conditionalFormatting sqref="V329:W329">
    <cfRule type="containsText" dxfId="0" priority="1950" operator="between" text="欠">
      <formula>NOT(ISERROR(SEARCH("欠",V329)))</formula>
    </cfRule>
    <cfRule type="containsText" dxfId="1" priority="1951" operator="between" text="欠">
      <formula>NOT(ISERROR(SEARCH("欠",V329)))</formula>
    </cfRule>
    <cfRule type="cellIs" dxfId="0" priority="1952" operator="equal">
      <formula>"欠"</formula>
    </cfRule>
  </conditionalFormatting>
  <conditionalFormatting sqref="X329">
    <cfRule type="cellIs" dxfId="0" priority="1953" operator="equal">
      <formula>"欠"</formula>
    </cfRule>
  </conditionalFormatting>
  <conditionalFormatting sqref="AE329">
    <cfRule type="cellIs" dxfId="2" priority="1946" operator="equal">
      <formula>"未完成"</formula>
    </cfRule>
    <cfRule type="cellIs" dxfId="0" priority="1947" operator="equal">
      <formula>"未完成"</formula>
    </cfRule>
  </conditionalFormatting>
  <conditionalFormatting sqref="V330:W330">
    <cfRule type="containsText" dxfId="0" priority="3026" operator="between" text="欠">
      <formula>NOT(ISERROR(SEARCH("欠",V330)))</formula>
    </cfRule>
    <cfRule type="containsText" dxfId="1" priority="3048" operator="between" text="欠">
      <formula>NOT(ISERROR(SEARCH("欠",V330)))</formula>
    </cfRule>
    <cfRule type="cellIs" dxfId="0" priority="3070" operator="equal">
      <formula>"欠"</formula>
    </cfRule>
  </conditionalFormatting>
  <conditionalFormatting sqref="X330">
    <cfRule type="cellIs" dxfId="0" priority="3092" operator="equal">
      <formula>"欠"</formula>
    </cfRule>
  </conditionalFormatting>
  <conditionalFormatting sqref="AE330">
    <cfRule type="cellIs" dxfId="2" priority="2938" operator="equal">
      <formula>"未完成"</formula>
    </cfRule>
    <cfRule type="cellIs" dxfId="0" priority="2960" operator="equal">
      <formula>"未完成"</formula>
    </cfRule>
  </conditionalFormatting>
  <conditionalFormatting sqref="T331:U331">
    <cfRule type="containsText" dxfId="0" priority="1714" operator="between" text="欠">
      <formula>NOT(ISERROR(SEARCH("欠",T331)))</formula>
    </cfRule>
    <cfRule type="cellIs" dxfId="0" priority="1721" operator="equal">
      <formula>"欠"</formula>
    </cfRule>
  </conditionalFormatting>
  <conditionalFormatting sqref="V331:W331">
    <cfRule type="containsText" dxfId="0" priority="1728" operator="between" text="欠">
      <formula>NOT(ISERROR(SEARCH("欠",V331)))</formula>
    </cfRule>
    <cfRule type="containsText" dxfId="1" priority="1735" operator="between" text="欠">
      <formula>NOT(ISERROR(SEARCH("欠",V331)))</formula>
    </cfRule>
    <cfRule type="cellIs" dxfId="0" priority="1742" operator="equal">
      <formula>"欠"</formula>
    </cfRule>
  </conditionalFormatting>
  <conditionalFormatting sqref="X331">
    <cfRule type="cellIs" dxfId="0" priority="1749" operator="equal">
      <formula>"欠"</formula>
    </cfRule>
  </conditionalFormatting>
  <conditionalFormatting sqref="AE331">
    <cfRule type="cellIs" dxfId="2" priority="1700" operator="equal">
      <formula>"未完成"</formula>
    </cfRule>
    <cfRule type="cellIs" dxfId="0" priority="1707" operator="equal">
      <formula>"未完成"</formula>
    </cfRule>
  </conditionalFormatting>
  <conditionalFormatting sqref="V332">
    <cfRule type="containsText" dxfId="0" priority="4300" operator="between" text="欠">
      <formula>NOT(ISERROR(SEARCH("欠",V332)))</formula>
    </cfRule>
    <cfRule type="containsText" dxfId="1" priority="4301" operator="between" text="欠">
      <formula>NOT(ISERROR(SEARCH("欠",V332)))</formula>
    </cfRule>
    <cfRule type="cellIs" dxfId="0" priority="4302" operator="equal">
      <formula>"欠"</formula>
    </cfRule>
  </conditionalFormatting>
  <conditionalFormatting sqref="W332">
    <cfRule type="containsText" dxfId="0" priority="4307" operator="between" text="欠">
      <formula>NOT(ISERROR(SEARCH("欠",W332)))</formula>
    </cfRule>
    <cfRule type="containsText" dxfId="1" priority="4308" operator="between" text="欠">
      <formula>NOT(ISERROR(SEARCH("欠",W332)))</formula>
    </cfRule>
    <cfRule type="cellIs" dxfId="0" priority="4309" operator="equal">
      <formula>"欠"</formula>
    </cfRule>
  </conditionalFormatting>
  <conditionalFormatting sqref="X332">
    <cfRule type="cellIs" dxfId="0" priority="4310" operator="equal">
      <formula>"欠"</formula>
    </cfRule>
  </conditionalFormatting>
  <conditionalFormatting sqref="AE332">
    <cfRule type="cellIs" dxfId="2" priority="4311" operator="equal">
      <formula>"未完成"</formula>
    </cfRule>
    <cfRule type="cellIs" dxfId="0" priority="4312" operator="equal">
      <formula>"未完成"</formula>
    </cfRule>
  </conditionalFormatting>
  <conditionalFormatting sqref="T336:U336">
    <cfRule type="containsText" dxfId="0" priority="985" operator="between" text="欠">
      <formula>NOT(ISERROR(SEARCH("欠",T336)))</formula>
    </cfRule>
    <cfRule type="cellIs" dxfId="0" priority="986" operator="equal">
      <formula>"欠"</formula>
    </cfRule>
  </conditionalFormatting>
  <conditionalFormatting sqref="V336:W336">
    <cfRule type="containsText" dxfId="0" priority="987" operator="between" text="欠">
      <formula>NOT(ISERROR(SEARCH("欠",V336)))</formula>
    </cfRule>
    <cfRule type="containsText" dxfId="1" priority="988" operator="between" text="欠">
      <formula>NOT(ISERROR(SEARCH("欠",V336)))</formula>
    </cfRule>
    <cfRule type="cellIs" dxfId="0" priority="989" operator="equal">
      <formula>"欠"</formula>
    </cfRule>
  </conditionalFormatting>
  <conditionalFormatting sqref="X336">
    <cfRule type="cellIs" dxfId="0" priority="990" operator="equal">
      <formula>"欠"</formula>
    </cfRule>
  </conditionalFormatting>
  <conditionalFormatting sqref="AE336">
    <cfRule type="cellIs" dxfId="2" priority="983" operator="equal">
      <formula>"未完成"</formula>
    </cfRule>
    <cfRule type="cellIs" dxfId="0" priority="984" operator="equal">
      <formula>"未完成"</formula>
    </cfRule>
  </conditionalFormatting>
  <conditionalFormatting sqref="R337">
    <cfRule type="containsText" dxfId="0" priority="225" operator="between" text="欠">
      <formula>NOT(ISERROR(SEARCH("欠",R337)))</formula>
    </cfRule>
  </conditionalFormatting>
  <conditionalFormatting sqref="T337:U337">
    <cfRule type="containsText" dxfId="0" priority="229" operator="between" text="欠">
      <formula>NOT(ISERROR(SEARCH("欠",T337)))</formula>
    </cfRule>
    <cfRule type="cellIs" dxfId="0" priority="230" operator="equal">
      <formula>"欠"</formula>
    </cfRule>
  </conditionalFormatting>
  <conditionalFormatting sqref="V337:W337">
    <cfRule type="containsText" dxfId="0" priority="231" operator="between" text="欠">
      <formula>NOT(ISERROR(SEARCH("欠",V337)))</formula>
    </cfRule>
    <cfRule type="containsText" dxfId="1" priority="232" operator="between" text="欠">
      <formula>NOT(ISERROR(SEARCH("欠",V337)))</formula>
    </cfRule>
    <cfRule type="cellIs" dxfId="0" priority="233" operator="equal">
      <formula>"欠"</formula>
    </cfRule>
  </conditionalFormatting>
  <conditionalFormatting sqref="X337">
    <cfRule type="cellIs" dxfId="0" priority="234" operator="equal">
      <formula>"欠"</formula>
    </cfRule>
  </conditionalFormatting>
  <conditionalFormatting sqref="AE337">
    <cfRule type="cellIs" dxfId="2" priority="227" operator="equal">
      <formula>"未完成"</formula>
    </cfRule>
    <cfRule type="cellIs" dxfId="0" priority="228" operator="equal">
      <formula>"未完成"</formula>
    </cfRule>
  </conditionalFormatting>
  <conditionalFormatting sqref="T339:U339">
    <cfRule type="containsText" dxfId="0" priority="5816" operator="between" text="欠">
      <formula>NOT(ISERROR(SEARCH("欠",T339)))</formula>
    </cfRule>
    <cfRule type="cellIs" dxfId="0" priority="5817" operator="equal">
      <formula>"欠"</formula>
    </cfRule>
  </conditionalFormatting>
  <conditionalFormatting sqref="V339">
    <cfRule type="containsText" dxfId="0" priority="5818" operator="between" text="欠">
      <formula>NOT(ISERROR(SEARCH("欠",V339)))</formula>
    </cfRule>
    <cfRule type="containsText" dxfId="1" priority="5819" operator="between" text="欠">
      <formula>NOT(ISERROR(SEARCH("欠",V339)))</formula>
    </cfRule>
    <cfRule type="cellIs" dxfId="0" priority="5820" operator="equal">
      <formula>"欠"</formula>
    </cfRule>
  </conditionalFormatting>
  <conditionalFormatting sqref="X339">
    <cfRule type="cellIs" dxfId="0" priority="6084" operator="equal">
      <formula>"欠"</formula>
    </cfRule>
  </conditionalFormatting>
  <conditionalFormatting sqref="V340:W340">
    <cfRule type="containsText" dxfId="0" priority="3471" operator="between" text="欠">
      <formula>NOT(ISERROR(SEARCH("欠",V340)))</formula>
    </cfRule>
    <cfRule type="containsText" dxfId="1" priority="3499" operator="between" text="欠">
      <formula>NOT(ISERROR(SEARCH("欠",V340)))</formula>
    </cfRule>
    <cfRule type="cellIs" dxfId="0" priority="3527" operator="equal">
      <formula>"欠"</formula>
    </cfRule>
  </conditionalFormatting>
  <conditionalFormatting sqref="X340">
    <cfRule type="cellIs" dxfId="0" priority="3555" operator="equal">
      <formula>"欠"</formula>
    </cfRule>
  </conditionalFormatting>
  <conditionalFormatting sqref="AE340">
    <cfRule type="cellIs" dxfId="2" priority="3359" operator="equal">
      <formula>"未完成"</formula>
    </cfRule>
    <cfRule type="cellIs" dxfId="0" priority="3387" operator="equal">
      <formula>"未完成"</formula>
    </cfRule>
  </conditionalFormatting>
  <conditionalFormatting sqref="T341:U341">
    <cfRule type="containsText" dxfId="0" priority="4105" operator="between" text="欠">
      <formula>NOT(ISERROR(SEARCH("欠",T341)))</formula>
    </cfRule>
    <cfRule type="cellIs" dxfId="0" priority="4106" operator="equal">
      <formula>"欠"</formula>
    </cfRule>
  </conditionalFormatting>
  <conditionalFormatting sqref="V341">
    <cfRule type="containsText" dxfId="0" priority="4108" operator="between" text="欠">
      <formula>NOT(ISERROR(SEARCH("欠",V341)))</formula>
    </cfRule>
    <cfRule type="containsText" dxfId="1" priority="4110" operator="between" text="欠">
      <formula>NOT(ISERROR(SEARCH("欠",V341)))</formula>
    </cfRule>
    <cfRule type="cellIs" dxfId="0" priority="4112" operator="equal">
      <formula>"欠"</formula>
    </cfRule>
  </conditionalFormatting>
  <conditionalFormatting sqref="W341">
    <cfRule type="containsText" dxfId="0" priority="4107" operator="between" text="欠">
      <formula>NOT(ISERROR(SEARCH("欠",W341)))</formula>
    </cfRule>
    <cfRule type="containsText" dxfId="1" priority="4109" operator="between" text="欠">
      <formula>NOT(ISERROR(SEARCH("欠",W341)))</formula>
    </cfRule>
    <cfRule type="cellIs" dxfId="0" priority="4111" operator="equal">
      <formula>"欠"</formula>
    </cfRule>
  </conditionalFormatting>
  <conditionalFormatting sqref="X341">
    <cfRule type="cellIs" dxfId="0" priority="4113" operator="equal">
      <formula>"欠"</formula>
    </cfRule>
  </conditionalFormatting>
  <conditionalFormatting sqref="AE341">
    <cfRule type="cellIs" dxfId="2" priority="4103" operator="equal">
      <formula>"未完成"</formula>
    </cfRule>
    <cfRule type="cellIs" dxfId="0" priority="4104" operator="equal">
      <formula>"未完成"</formula>
    </cfRule>
  </conditionalFormatting>
  <conditionalFormatting sqref="T342:U342">
    <cfRule type="containsText" dxfId="0" priority="2997" operator="between" text="欠">
      <formula>NOT(ISERROR(SEARCH("欠",T342)))</formula>
    </cfRule>
    <cfRule type="cellIs" dxfId="0" priority="3019" operator="equal">
      <formula>"欠"</formula>
    </cfRule>
  </conditionalFormatting>
  <conditionalFormatting sqref="W342">
    <cfRule type="containsText" dxfId="0" priority="3041" operator="between" text="欠">
      <formula>NOT(ISERROR(SEARCH("欠",W342)))</formula>
    </cfRule>
    <cfRule type="containsText" dxfId="1" priority="3063" operator="between" text="欠">
      <formula>NOT(ISERROR(SEARCH("欠",W342)))</formula>
    </cfRule>
    <cfRule type="cellIs" dxfId="0" priority="3085" operator="equal">
      <formula>"欠"</formula>
    </cfRule>
  </conditionalFormatting>
  <conditionalFormatting sqref="X342">
    <cfRule type="cellIs" dxfId="0" priority="3107" operator="equal">
      <formula>"欠"</formula>
    </cfRule>
  </conditionalFormatting>
  <conditionalFormatting sqref="AE342">
    <cfRule type="cellIs" dxfId="2" priority="2953" operator="equal">
      <formula>"未完成"</formula>
    </cfRule>
    <cfRule type="cellIs" dxfId="0" priority="2975" operator="equal">
      <formula>"未完成"</formula>
    </cfRule>
  </conditionalFormatting>
  <conditionalFormatting sqref="T343:U343">
    <cfRule type="containsText" dxfId="0" priority="3713" operator="between" text="欠">
      <formula>NOT(ISERROR(SEARCH("欠",T343)))</formula>
    </cfRule>
    <cfRule type="cellIs" dxfId="0" priority="3729" operator="equal">
      <formula>"欠"</formula>
    </cfRule>
  </conditionalFormatting>
  <conditionalFormatting sqref="W343">
    <cfRule type="containsText" dxfId="0" priority="3745" operator="between" text="欠">
      <formula>NOT(ISERROR(SEARCH("欠",W343)))</formula>
    </cfRule>
    <cfRule type="containsText" dxfId="1" priority="3761" operator="between" text="欠">
      <formula>NOT(ISERROR(SEARCH("欠",W343)))</formula>
    </cfRule>
    <cfRule type="cellIs" dxfId="0" priority="3777" operator="equal">
      <formula>"欠"</formula>
    </cfRule>
  </conditionalFormatting>
  <conditionalFormatting sqref="X343">
    <cfRule type="cellIs" dxfId="0" priority="3793" operator="equal">
      <formula>"欠"</formula>
    </cfRule>
  </conditionalFormatting>
  <conditionalFormatting sqref="AE343">
    <cfRule type="cellIs" dxfId="2" priority="3681" operator="equal">
      <formula>"未完成"</formula>
    </cfRule>
    <cfRule type="cellIs" dxfId="0" priority="3697" operator="equal">
      <formula>"未完成"</formula>
    </cfRule>
  </conditionalFormatting>
  <conditionalFormatting sqref="V344">
    <cfRule type="containsText" dxfId="0" priority="3972" operator="between" text="欠">
      <formula>NOT(ISERROR(SEARCH("欠",V344)))</formula>
    </cfRule>
    <cfRule type="containsText" dxfId="1" priority="3973" operator="between" text="欠">
      <formula>NOT(ISERROR(SEARCH("欠",V344)))</formula>
    </cfRule>
    <cfRule type="cellIs" dxfId="0" priority="3974" operator="equal">
      <formula>"欠"</formula>
    </cfRule>
  </conditionalFormatting>
  <conditionalFormatting sqref="W344">
    <cfRule type="containsText" dxfId="0" priority="3979" operator="between" text="欠">
      <formula>NOT(ISERROR(SEARCH("欠",W344)))</formula>
    </cfRule>
    <cfRule type="containsText" dxfId="1" priority="3980" operator="between" text="欠">
      <formula>NOT(ISERROR(SEARCH("欠",W344)))</formula>
    </cfRule>
    <cfRule type="cellIs" dxfId="0" priority="3981" operator="equal">
      <formula>"欠"</formula>
    </cfRule>
  </conditionalFormatting>
  <conditionalFormatting sqref="X344">
    <cfRule type="cellIs" dxfId="0" priority="3982" operator="equal">
      <formula>"欠"</formula>
    </cfRule>
  </conditionalFormatting>
  <conditionalFormatting sqref="AE344">
    <cfRule type="cellIs" dxfId="2" priority="3983" operator="equal">
      <formula>"未完成"</formula>
    </cfRule>
    <cfRule type="cellIs" dxfId="0" priority="3984" operator="equal">
      <formula>"未完成"</formula>
    </cfRule>
  </conditionalFormatting>
  <conditionalFormatting sqref="S348">
    <cfRule type="containsText" dxfId="0" priority="5943" operator="between" text="欠">
      <formula>NOT(ISERROR(SEARCH("欠",S348)))</formula>
    </cfRule>
    <cfRule type="cellIs" dxfId="0" priority="5944" operator="equal">
      <formula>"欠"</formula>
    </cfRule>
  </conditionalFormatting>
  <conditionalFormatting sqref="T348:U348">
    <cfRule type="containsText" dxfId="0" priority="5933" operator="between" text="欠">
      <formula>NOT(ISERROR(SEARCH("欠",T348)))</formula>
    </cfRule>
    <cfRule type="cellIs" dxfId="0" priority="5934" operator="equal">
      <formula>"欠"</formula>
    </cfRule>
  </conditionalFormatting>
  <conditionalFormatting sqref="V348">
    <cfRule type="containsText" dxfId="0" priority="5935" operator="between" text="欠">
      <formula>NOT(ISERROR(SEARCH("欠",V348)))</formula>
    </cfRule>
    <cfRule type="containsText" dxfId="1" priority="5936" operator="between" text="欠">
      <formula>NOT(ISERROR(SEARCH("欠",V348)))</formula>
    </cfRule>
    <cfRule type="cellIs" dxfId="0" priority="5937" operator="equal">
      <formula>"欠"</formula>
    </cfRule>
  </conditionalFormatting>
  <conditionalFormatting sqref="W348">
    <cfRule type="containsText" dxfId="0" priority="5938" operator="between" text="欠">
      <formula>NOT(ISERROR(SEARCH("欠",W348)))</formula>
    </cfRule>
    <cfRule type="containsText" dxfId="1" priority="5939" operator="between" text="欠">
      <formula>NOT(ISERROR(SEARCH("欠",W348)))</formula>
    </cfRule>
  </conditionalFormatting>
  <conditionalFormatting sqref="W348:X348">
    <cfRule type="cellIs" dxfId="0" priority="5940" operator="equal">
      <formula>"欠"</formula>
    </cfRule>
  </conditionalFormatting>
  <conditionalFormatting sqref="W349">
    <cfRule type="containsText" dxfId="0" priority="6436" operator="between" text="欠">
      <formula>NOT(ISERROR(SEARCH("欠",W349)))</formula>
    </cfRule>
    <cfRule type="containsText" dxfId="1" priority="6437" operator="between" text="欠">
      <formula>NOT(ISERROR(SEARCH("欠",W349)))</formula>
    </cfRule>
    <cfRule type="cellIs" dxfId="0" priority="6438" operator="equal">
      <formula>"欠"</formula>
    </cfRule>
  </conditionalFormatting>
  <conditionalFormatting sqref="X349">
    <cfRule type="cellIs" dxfId="0" priority="6439" operator="equal">
      <formula>"欠"</formula>
    </cfRule>
  </conditionalFormatting>
  <conditionalFormatting sqref="W350">
    <cfRule type="containsText" dxfId="0" priority="3171" operator="between" text="欠">
      <formula>NOT(ISERROR(SEARCH("欠",W350)))</formula>
    </cfRule>
    <cfRule type="containsText" dxfId="1" priority="3174" operator="between" text="欠">
      <formula>NOT(ISERROR(SEARCH("欠",W350)))</formula>
    </cfRule>
    <cfRule type="cellIs" dxfId="0" priority="3177" operator="equal">
      <formula>"欠"</formula>
    </cfRule>
  </conditionalFormatting>
  <conditionalFormatting sqref="X350">
    <cfRule type="cellIs" dxfId="0" priority="3180" operator="equal">
      <formula>"欠"</formula>
    </cfRule>
  </conditionalFormatting>
  <conditionalFormatting sqref="AE350">
    <cfRule type="cellIs" dxfId="2" priority="3159" operator="equal">
      <formula>"未完成"</formula>
    </cfRule>
    <cfRule type="cellIs" dxfId="0" priority="3162" operator="equal">
      <formula>"未完成"</formula>
    </cfRule>
  </conditionalFormatting>
  <conditionalFormatting sqref="T351:U351">
    <cfRule type="containsText" dxfId="0" priority="6157" operator="between" text="欠">
      <formula>NOT(ISERROR(SEARCH("欠",T351)))</formula>
    </cfRule>
    <cfRule type="cellIs" dxfId="0" priority="6161" operator="equal">
      <formula>"欠"</formula>
    </cfRule>
  </conditionalFormatting>
  <conditionalFormatting sqref="V351:W351">
    <cfRule type="containsText" dxfId="0" priority="6163" operator="between" text="欠">
      <formula>NOT(ISERROR(SEARCH("欠",V351)))</formula>
    </cfRule>
    <cfRule type="containsText" dxfId="1" priority="6165" operator="between" text="欠">
      <formula>NOT(ISERROR(SEARCH("欠",V351)))</formula>
    </cfRule>
  </conditionalFormatting>
  <conditionalFormatting sqref="V351:X351">
    <cfRule type="cellIs" dxfId="0" priority="6167" operator="equal">
      <formula>"欠"</formula>
    </cfRule>
  </conditionalFormatting>
  <conditionalFormatting sqref="V352:W352">
    <cfRule type="containsText" dxfId="0" priority="2615" operator="between" text="欠">
      <formula>NOT(ISERROR(SEARCH("欠",V352)))</formula>
    </cfRule>
    <cfRule type="containsText" dxfId="1" priority="2616" operator="between" text="欠">
      <formula>NOT(ISERROR(SEARCH("欠",V352)))</formula>
    </cfRule>
    <cfRule type="cellIs" dxfId="0" priority="2617" operator="equal">
      <formula>"欠"</formula>
    </cfRule>
  </conditionalFormatting>
  <conditionalFormatting sqref="X352">
    <cfRule type="cellIs" dxfId="0" priority="2618" operator="equal">
      <formula>"欠"</formula>
    </cfRule>
  </conditionalFormatting>
  <conditionalFormatting sqref="AE352">
    <cfRule type="cellIs" dxfId="2" priority="2609" operator="equal">
      <formula>"未完成"</formula>
    </cfRule>
    <cfRule type="cellIs" dxfId="0" priority="2610" operator="equal">
      <formula>"未完成"</formula>
    </cfRule>
  </conditionalFormatting>
  <conditionalFormatting sqref="R353">
    <cfRule type="containsText" dxfId="0" priority="5399" operator="between" text="欠">
      <formula>NOT(ISERROR(SEARCH("欠",R353)))</formula>
    </cfRule>
  </conditionalFormatting>
  <conditionalFormatting sqref="S353">
    <cfRule type="containsText" dxfId="0" priority="5409" operator="between" text="欠">
      <formula>NOT(ISERROR(SEARCH("欠",S353)))</formula>
    </cfRule>
    <cfRule type="cellIs" dxfId="0" priority="5410" operator="equal">
      <formula>"欠"</formula>
    </cfRule>
  </conditionalFormatting>
  <conditionalFormatting sqref="T353:U353">
    <cfRule type="containsText" dxfId="0" priority="5403" operator="between" text="欠">
      <formula>NOT(ISERROR(SEARCH("欠",T353)))</formula>
    </cfRule>
    <cfRule type="cellIs" dxfId="0" priority="5404" operator="equal">
      <formula>"欠"</formula>
    </cfRule>
  </conditionalFormatting>
  <conditionalFormatting sqref="V353:W353">
    <cfRule type="containsText" dxfId="0" priority="5405" operator="between" text="欠">
      <formula>NOT(ISERROR(SEARCH("欠",V353)))</formula>
    </cfRule>
    <cfRule type="containsText" dxfId="1" priority="5406" operator="between" text="欠">
      <formula>NOT(ISERROR(SEARCH("欠",V353)))</formula>
    </cfRule>
    <cfRule type="cellIs" dxfId="0" priority="5407" operator="equal">
      <formula>"欠"</formula>
    </cfRule>
  </conditionalFormatting>
  <conditionalFormatting sqref="X353">
    <cfRule type="cellIs" dxfId="0" priority="5408" operator="equal">
      <formula>"欠"</formula>
    </cfRule>
  </conditionalFormatting>
  <conditionalFormatting sqref="AE353">
    <cfRule type="cellIs" dxfId="2" priority="5401" operator="equal">
      <formula>"未完成"</formula>
    </cfRule>
    <cfRule type="cellIs" dxfId="0" priority="5402" operator="equal">
      <formula>"未完成"</formula>
    </cfRule>
  </conditionalFormatting>
  <conditionalFormatting sqref="V354:W354">
    <cfRule type="containsText" dxfId="0" priority="3741" operator="between" text="欠">
      <formula>NOT(ISERROR(SEARCH("欠",V354)))</formula>
    </cfRule>
    <cfRule type="containsText" dxfId="1" priority="3757" operator="between" text="欠">
      <formula>NOT(ISERROR(SEARCH("欠",V354)))</formula>
    </cfRule>
    <cfRule type="cellIs" dxfId="0" priority="3773" operator="equal">
      <formula>"欠"</formula>
    </cfRule>
  </conditionalFormatting>
  <conditionalFormatting sqref="X354">
    <cfRule type="cellIs" dxfId="0" priority="3789" operator="equal">
      <formula>"欠"</formula>
    </cfRule>
  </conditionalFormatting>
  <conditionalFormatting sqref="AE354">
    <cfRule type="cellIs" dxfId="2" priority="3677" operator="equal">
      <formula>"未完成"</formula>
    </cfRule>
    <cfRule type="cellIs" dxfId="0" priority="3693" operator="equal">
      <formula>"未完成"</formula>
    </cfRule>
  </conditionalFormatting>
  <conditionalFormatting sqref="V355:W355">
    <cfRule type="containsText" dxfId="0" priority="3480" operator="between" text="欠">
      <formula>NOT(ISERROR(SEARCH("欠",V355)))</formula>
    </cfRule>
    <cfRule type="containsText" dxfId="1" priority="3508" operator="between" text="欠">
      <formula>NOT(ISERROR(SEARCH("欠",V355)))</formula>
    </cfRule>
    <cfRule type="cellIs" dxfId="0" priority="3536" operator="equal">
      <formula>"欠"</formula>
    </cfRule>
  </conditionalFormatting>
  <conditionalFormatting sqref="X355">
    <cfRule type="cellIs" dxfId="0" priority="3564" operator="equal">
      <formula>"欠"</formula>
    </cfRule>
  </conditionalFormatting>
  <conditionalFormatting sqref="AE355">
    <cfRule type="cellIs" dxfId="2" priority="3368" operator="equal">
      <formula>"未完成"</formula>
    </cfRule>
    <cfRule type="cellIs" dxfId="0" priority="3396" operator="equal">
      <formula>"未完成"</formula>
    </cfRule>
  </conditionalFormatting>
  <conditionalFormatting sqref="V357:W357">
    <cfRule type="containsText" dxfId="0" priority="5471" operator="between" text="欠">
      <formula>NOT(ISERROR(SEARCH("欠",V357)))</formula>
    </cfRule>
    <cfRule type="containsText" dxfId="1" priority="5476" operator="between" text="欠">
      <formula>NOT(ISERROR(SEARCH("欠",V357)))</formula>
    </cfRule>
    <cfRule type="cellIs" dxfId="0" priority="5481" operator="equal">
      <formula>"欠"</formula>
    </cfRule>
  </conditionalFormatting>
  <conditionalFormatting sqref="AE357">
    <cfRule type="cellIs" dxfId="2" priority="5451" operator="equal">
      <formula>"未完成"</formula>
    </cfRule>
    <cfRule type="cellIs" dxfId="0" priority="5456" operator="equal">
      <formula>"未完成"</formula>
    </cfRule>
  </conditionalFormatting>
  <conditionalFormatting sqref="V358:W358">
    <cfRule type="containsText" dxfId="0" priority="5470" operator="between" text="欠">
      <formula>NOT(ISERROR(SEARCH("欠",V358)))</formula>
    </cfRule>
    <cfRule type="containsText" dxfId="1" priority="5475" operator="between" text="欠">
      <formula>NOT(ISERROR(SEARCH("欠",V358)))</formula>
    </cfRule>
    <cfRule type="cellIs" dxfId="0" priority="5480" operator="equal">
      <formula>"欠"</formula>
    </cfRule>
  </conditionalFormatting>
  <conditionalFormatting sqref="AE358">
    <cfRule type="cellIs" dxfId="2" priority="5450" operator="equal">
      <formula>"未完成"</formula>
    </cfRule>
    <cfRule type="cellIs" dxfId="0" priority="5455" operator="equal">
      <formula>"未完成"</formula>
    </cfRule>
  </conditionalFormatting>
  <conditionalFormatting sqref="V359:W359">
    <cfRule type="containsText" dxfId="0" priority="4198" operator="between" text="欠">
      <formula>NOT(ISERROR(SEARCH("欠",V359)))</formula>
    </cfRule>
    <cfRule type="containsText" dxfId="1" priority="4211" operator="between" text="欠">
      <formula>NOT(ISERROR(SEARCH("欠",V359)))</formula>
    </cfRule>
    <cfRule type="cellIs" dxfId="0" priority="4224" operator="equal">
      <formula>"欠"</formula>
    </cfRule>
  </conditionalFormatting>
  <conditionalFormatting sqref="AE359">
    <cfRule type="cellIs" dxfId="2" priority="4133" operator="equal">
      <formula>"未完成"</formula>
    </cfRule>
    <cfRule type="cellIs" dxfId="0" priority="4146" operator="equal">
      <formula>"未完成"</formula>
    </cfRule>
  </conditionalFormatting>
  <conditionalFormatting sqref="W360">
    <cfRule type="containsText" dxfId="0" priority="5652" operator="between" text="欠">
      <formula>NOT(ISERROR(SEARCH("欠",W360)))</formula>
    </cfRule>
    <cfRule type="containsText" dxfId="1" priority="5653" operator="between" text="欠">
      <formula>NOT(ISERROR(SEARCH("欠",W360)))</formula>
    </cfRule>
    <cfRule type="cellIs" dxfId="0" priority="5654" operator="equal">
      <formula>"欠"</formula>
    </cfRule>
  </conditionalFormatting>
  <conditionalFormatting sqref="AE360">
    <cfRule type="cellIs" dxfId="2" priority="5658" operator="equal">
      <formula>"未完成"</formula>
    </cfRule>
    <cfRule type="cellIs" dxfId="0" priority="5659" operator="equal">
      <formula>"未完成"</formula>
    </cfRule>
  </conditionalFormatting>
  <conditionalFormatting sqref="W361">
    <cfRule type="containsText" dxfId="0" priority="1093" operator="between" text="欠">
      <formula>NOT(ISERROR(SEARCH("欠",W361)))</formula>
    </cfRule>
    <cfRule type="containsText" dxfId="1" priority="1109" operator="between" text="欠">
      <formula>NOT(ISERROR(SEARCH("欠",W361)))</formula>
    </cfRule>
    <cfRule type="cellIs" dxfId="0" priority="1125" operator="equal">
      <formula>"欠"</formula>
    </cfRule>
  </conditionalFormatting>
  <conditionalFormatting sqref="X361">
    <cfRule type="cellIs" dxfId="0" priority="1141" operator="equal">
      <formula>"欠"</formula>
    </cfRule>
  </conditionalFormatting>
  <conditionalFormatting sqref="V362">
    <cfRule type="containsText" dxfId="0" priority="4034" operator="between" text="欠">
      <formula>NOT(ISERROR(SEARCH("欠",V362)))</formula>
    </cfRule>
    <cfRule type="containsText" dxfId="1" priority="4037" operator="between" text="欠">
      <formula>NOT(ISERROR(SEARCH("欠",V362)))</formula>
    </cfRule>
    <cfRule type="cellIs" dxfId="0" priority="4040" operator="equal">
      <formula>"欠"</formula>
    </cfRule>
  </conditionalFormatting>
  <conditionalFormatting sqref="W362">
    <cfRule type="containsText" dxfId="0" priority="4055" operator="between" text="欠">
      <formula>NOT(ISERROR(SEARCH("欠",W362)))</formula>
    </cfRule>
    <cfRule type="containsText" dxfId="1" priority="4058" operator="between" text="欠">
      <formula>NOT(ISERROR(SEARCH("欠",W362)))</formula>
    </cfRule>
    <cfRule type="cellIs" dxfId="0" priority="4061" operator="equal">
      <formula>"欠"</formula>
    </cfRule>
  </conditionalFormatting>
  <conditionalFormatting sqref="X362">
    <cfRule type="cellIs" dxfId="0" priority="4064" operator="equal">
      <formula>"欠"</formula>
    </cfRule>
  </conditionalFormatting>
  <conditionalFormatting sqref="AE362">
    <cfRule type="cellIs" dxfId="2" priority="4067" operator="equal">
      <formula>"未完成"</formula>
    </cfRule>
    <cfRule type="cellIs" dxfId="0" priority="4070" operator="equal">
      <formula>"未完成"</formula>
    </cfRule>
  </conditionalFormatting>
  <conditionalFormatting sqref="V363:W363">
    <cfRule type="containsText" dxfId="0" priority="3478" operator="between" text="欠">
      <formula>NOT(ISERROR(SEARCH("欠",V363)))</formula>
    </cfRule>
    <cfRule type="containsText" dxfId="1" priority="3506" operator="between" text="欠">
      <formula>NOT(ISERROR(SEARCH("欠",V363)))</formula>
    </cfRule>
    <cfRule type="cellIs" dxfId="0" priority="3534" operator="equal">
      <formula>"欠"</formula>
    </cfRule>
  </conditionalFormatting>
  <conditionalFormatting sqref="X363">
    <cfRule type="cellIs" dxfId="0" priority="3562" operator="equal">
      <formula>"欠"</formula>
    </cfRule>
  </conditionalFormatting>
  <conditionalFormatting sqref="AE363">
    <cfRule type="cellIs" dxfId="2" priority="3366" operator="equal">
      <formula>"未完成"</formula>
    </cfRule>
    <cfRule type="cellIs" dxfId="0" priority="3394" operator="equal">
      <formula>"未完成"</formula>
    </cfRule>
  </conditionalFormatting>
  <conditionalFormatting sqref="V365:W365">
    <cfRule type="containsText" dxfId="0" priority="1726" operator="between" text="欠">
      <formula>NOT(ISERROR(SEARCH("欠",V365)))</formula>
    </cfRule>
    <cfRule type="containsText" dxfId="1" priority="1733" operator="between" text="欠">
      <formula>NOT(ISERROR(SEARCH("欠",V365)))</formula>
    </cfRule>
    <cfRule type="cellIs" dxfId="0" priority="1740" operator="equal">
      <formula>"欠"</formula>
    </cfRule>
  </conditionalFormatting>
  <conditionalFormatting sqref="AE365">
    <cfRule type="cellIs" dxfId="2" priority="1698" operator="equal">
      <formula>"未完成"</formula>
    </cfRule>
    <cfRule type="cellIs" dxfId="0" priority="1705" operator="equal">
      <formula>"未完成"</formula>
    </cfRule>
  </conditionalFormatting>
  <conditionalFormatting sqref="V366:W366">
    <cfRule type="containsText" dxfId="0" priority="1382" operator="between" text="欠">
      <formula>NOT(ISERROR(SEARCH("欠",V366)))</formula>
    </cfRule>
    <cfRule type="containsText" dxfId="1" priority="1383" operator="between" text="欠">
      <formula>NOT(ISERROR(SEARCH("欠",V366)))</formula>
    </cfRule>
    <cfRule type="cellIs" dxfId="0" priority="1384" operator="equal">
      <formula>"欠"</formula>
    </cfRule>
  </conditionalFormatting>
  <conditionalFormatting sqref="X366">
    <cfRule type="cellIs" dxfId="0" priority="1385" operator="equal">
      <formula>"欠"</formula>
    </cfRule>
  </conditionalFormatting>
  <conditionalFormatting sqref="AE366">
    <cfRule type="cellIs" dxfId="2" priority="1378" operator="equal">
      <formula>"未完成"</formula>
    </cfRule>
    <cfRule type="cellIs" dxfId="0" priority="1379" operator="equal">
      <formula>"未完成"</formula>
    </cfRule>
  </conditionalFormatting>
  <conditionalFormatting sqref="W367">
    <cfRule type="containsText" dxfId="0" priority="2725" operator="between" text="欠">
      <formula>NOT(ISERROR(SEARCH("欠",W367)))</formula>
    </cfRule>
    <cfRule type="containsText" dxfId="1" priority="2726" operator="between" text="欠">
      <formula>NOT(ISERROR(SEARCH("欠",W367)))</formula>
    </cfRule>
    <cfRule type="cellIs" dxfId="0" priority="2727" operator="equal">
      <formula>"欠"</formula>
    </cfRule>
  </conditionalFormatting>
  <conditionalFormatting sqref="X367">
    <cfRule type="cellIs" dxfId="0" priority="2728" operator="equal">
      <formula>"欠"</formula>
    </cfRule>
  </conditionalFormatting>
  <conditionalFormatting sqref="AE367">
    <cfRule type="cellIs" dxfId="2" priority="2723" operator="equal">
      <formula>"未完成"</formula>
    </cfRule>
    <cfRule type="cellIs" dxfId="0" priority="2724" operator="equal">
      <formula>"未完成"</formula>
    </cfRule>
  </conditionalFormatting>
  <conditionalFormatting sqref="T368:U368">
    <cfRule type="containsText" dxfId="0" priority="705" operator="between" text="欠">
      <formula>NOT(ISERROR(SEARCH("欠",T368)))</formula>
    </cfRule>
    <cfRule type="cellIs" dxfId="0" priority="723" operator="equal">
      <formula>"欠"</formula>
    </cfRule>
  </conditionalFormatting>
  <conditionalFormatting sqref="V368:W368">
    <cfRule type="containsText" dxfId="0" priority="741" operator="between" text="欠">
      <formula>NOT(ISERROR(SEARCH("欠",V368)))</formula>
    </cfRule>
    <cfRule type="containsText" dxfId="1" priority="759" operator="between" text="欠">
      <formula>NOT(ISERROR(SEARCH("欠",V368)))</formula>
    </cfRule>
    <cfRule type="cellIs" dxfId="0" priority="777" operator="equal">
      <formula>"欠"</formula>
    </cfRule>
  </conditionalFormatting>
  <conditionalFormatting sqref="X368">
    <cfRule type="cellIs" dxfId="0" priority="795" operator="equal">
      <formula>"欠"</formula>
    </cfRule>
  </conditionalFormatting>
  <conditionalFormatting sqref="AE368">
    <cfRule type="cellIs" dxfId="2" priority="669" operator="equal">
      <formula>"未完成"</formula>
    </cfRule>
    <cfRule type="cellIs" dxfId="0" priority="687" operator="equal">
      <formula>"未完成"</formula>
    </cfRule>
  </conditionalFormatting>
  <conditionalFormatting sqref="V369:W369">
    <cfRule type="containsText" dxfId="0" priority="2279" operator="between" text="欠">
      <formula>NOT(ISERROR(SEARCH("欠",V369)))</formula>
    </cfRule>
    <cfRule type="containsText" dxfId="1" priority="2296" operator="between" text="欠">
      <formula>NOT(ISERROR(SEARCH("欠",V369)))</formula>
    </cfRule>
    <cfRule type="cellIs" dxfId="0" priority="2313" operator="equal">
      <formula>"欠"</formula>
    </cfRule>
  </conditionalFormatting>
  <conditionalFormatting sqref="X369">
    <cfRule type="cellIs" dxfId="0" priority="2330" operator="equal">
      <formula>"欠"</formula>
    </cfRule>
  </conditionalFormatting>
  <conditionalFormatting sqref="AE369">
    <cfRule type="cellIs" dxfId="2" priority="2211" operator="equal">
      <formula>"未完成"</formula>
    </cfRule>
    <cfRule type="cellIs" dxfId="0" priority="2228" operator="equal">
      <formula>"未完成"</formula>
    </cfRule>
  </conditionalFormatting>
  <conditionalFormatting sqref="T370:U370">
    <cfRule type="containsText" dxfId="0" priority="5961" operator="between" text="欠">
      <formula>NOT(ISERROR(SEARCH("欠",T370)))</formula>
    </cfRule>
    <cfRule type="cellIs" dxfId="0" priority="5962" operator="equal">
      <formula>"欠"</formula>
    </cfRule>
  </conditionalFormatting>
  <conditionalFormatting sqref="V370">
    <cfRule type="containsText" dxfId="0" priority="5963" operator="between" text="欠">
      <formula>NOT(ISERROR(SEARCH("欠",V370)))</formula>
    </cfRule>
    <cfRule type="containsText" dxfId="1" priority="5964" operator="between" text="欠">
      <formula>NOT(ISERROR(SEARCH("欠",V370)))</formula>
    </cfRule>
    <cfRule type="cellIs" dxfId="0" priority="5965" operator="equal">
      <formula>"欠"</formula>
    </cfRule>
  </conditionalFormatting>
  <conditionalFormatting sqref="W370">
    <cfRule type="containsText" dxfId="0" priority="5966" operator="between" text="欠">
      <formula>NOT(ISERROR(SEARCH("欠",W370)))</formula>
    </cfRule>
    <cfRule type="containsText" dxfId="1" priority="5967" operator="between" text="欠">
      <formula>NOT(ISERROR(SEARCH("欠",W370)))</formula>
    </cfRule>
  </conditionalFormatting>
  <conditionalFormatting sqref="W370:X370">
    <cfRule type="cellIs" dxfId="0" priority="5968" operator="equal">
      <formula>"欠"</formula>
    </cfRule>
  </conditionalFormatting>
  <conditionalFormatting sqref="V371:W371">
    <cfRule type="containsText" dxfId="0" priority="3173" operator="between" text="欠">
      <formula>NOT(ISERROR(SEARCH("欠",V371)))</formula>
    </cfRule>
    <cfRule type="containsText" dxfId="1" priority="3176" operator="between" text="欠">
      <formula>NOT(ISERROR(SEARCH("欠",V371)))</formula>
    </cfRule>
    <cfRule type="cellIs" dxfId="0" priority="3179" operator="equal">
      <formula>"欠"</formula>
    </cfRule>
  </conditionalFormatting>
  <conditionalFormatting sqref="X371">
    <cfRule type="cellIs" dxfId="0" priority="3182" operator="equal">
      <formula>"欠"</formula>
    </cfRule>
  </conditionalFormatting>
  <conditionalFormatting sqref="AE371">
    <cfRule type="cellIs" dxfId="2" priority="3161" operator="equal">
      <formula>"未完成"</formula>
    </cfRule>
    <cfRule type="cellIs" dxfId="0" priority="3164" operator="equal">
      <formula>"未完成"</formula>
    </cfRule>
  </conditionalFormatting>
  <conditionalFormatting sqref="W372">
    <cfRule type="containsText" dxfId="0" priority="5544" operator="between" text="欠">
      <formula>NOT(ISERROR(SEARCH("欠",W372)))</formula>
    </cfRule>
    <cfRule type="containsText" dxfId="1" priority="5547" operator="between" text="欠">
      <formula>NOT(ISERROR(SEARCH("欠",W372)))</formula>
    </cfRule>
    <cfRule type="cellIs" dxfId="0" priority="5550" operator="equal">
      <formula>"欠"</formula>
    </cfRule>
  </conditionalFormatting>
  <conditionalFormatting sqref="X372">
    <cfRule type="cellIs" dxfId="0" priority="5553" operator="equal">
      <formula>"欠"</formula>
    </cfRule>
  </conditionalFormatting>
  <conditionalFormatting sqref="T373:U373">
    <cfRule type="containsText" dxfId="0" priority="506" operator="between" text="欠">
      <formula>NOT(ISERROR(SEARCH("欠",T373)))</formula>
    </cfRule>
    <cfRule type="cellIs" dxfId="0" priority="507" operator="equal">
      <formula>"欠"</formula>
    </cfRule>
  </conditionalFormatting>
  <conditionalFormatting sqref="V373:W373">
    <cfRule type="containsText" dxfId="0" priority="912" operator="between" text="欠">
      <formula>NOT(ISERROR(SEARCH("欠",V373)))</formula>
    </cfRule>
    <cfRule type="containsText" dxfId="1" priority="916" operator="between" text="欠">
      <formula>NOT(ISERROR(SEARCH("欠",V373)))</formula>
    </cfRule>
    <cfRule type="cellIs" dxfId="0" priority="920" operator="equal">
      <formula>"欠"</formula>
    </cfRule>
  </conditionalFormatting>
  <conditionalFormatting sqref="X373">
    <cfRule type="cellIs" dxfId="0" priority="924" operator="equal">
      <formula>"欠"</formula>
    </cfRule>
  </conditionalFormatting>
  <conditionalFormatting sqref="AE373">
    <cfRule type="cellIs" dxfId="2" priority="896" operator="equal">
      <formula>"未完成"</formula>
    </cfRule>
    <cfRule type="cellIs" dxfId="0" priority="900" operator="equal">
      <formula>"未完成"</formula>
    </cfRule>
  </conditionalFormatting>
  <conditionalFormatting sqref="R375">
    <cfRule type="containsText" dxfId="0" priority="165" operator="between" text="欠">
      <formula>NOT(ISERROR(SEARCH("欠",R375)))</formula>
    </cfRule>
  </conditionalFormatting>
  <conditionalFormatting sqref="T375:U375">
    <cfRule type="containsText" dxfId="0" priority="169" operator="between" text="欠">
      <formula>NOT(ISERROR(SEARCH("欠",T375)))</formula>
    </cfRule>
    <cfRule type="cellIs" dxfId="0" priority="170" operator="equal">
      <formula>"欠"</formula>
    </cfRule>
  </conditionalFormatting>
  <conditionalFormatting sqref="V375:W375">
    <cfRule type="containsText" dxfId="0" priority="171" operator="between" text="欠">
      <formula>NOT(ISERROR(SEARCH("欠",V375)))</formula>
    </cfRule>
    <cfRule type="containsText" dxfId="1" priority="172" operator="between" text="欠">
      <formula>NOT(ISERROR(SEARCH("欠",V375)))</formula>
    </cfRule>
    <cfRule type="cellIs" dxfId="0" priority="173" operator="equal">
      <formula>"欠"</formula>
    </cfRule>
  </conditionalFormatting>
  <conditionalFormatting sqref="AE375">
    <cfRule type="cellIs" dxfId="2" priority="167" operator="equal">
      <formula>"未完成"</formula>
    </cfRule>
    <cfRule type="cellIs" dxfId="0" priority="168" operator="equal">
      <formula>"未完成"</formula>
    </cfRule>
  </conditionalFormatting>
  <conditionalFormatting sqref="V376:W376">
    <cfRule type="containsText" dxfId="0" priority="2651" operator="between" text="欠">
      <formula>NOT(ISERROR(SEARCH("欠",V376)))</formula>
    </cfRule>
    <cfRule type="containsText" dxfId="1" priority="2652" operator="between" text="欠">
      <formula>NOT(ISERROR(SEARCH("欠",V376)))</formula>
    </cfRule>
    <cfRule type="cellIs" dxfId="0" priority="2653" operator="equal">
      <formula>"欠"</formula>
    </cfRule>
  </conditionalFormatting>
  <conditionalFormatting sqref="X376">
    <cfRule type="cellIs" dxfId="0" priority="2654" operator="equal">
      <formula>"欠"</formula>
    </cfRule>
  </conditionalFormatting>
  <conditionalFormatting sqref="AE376">
    <cfRule type="cellIs" dxfId="2" priority="2645" operator="equal">
      <formula>"未完成"</formula>
    </cfRule>
    <cfRule type="cellIs" dxfId="0" priority="2646" operator="equal">
      <formula>"未完成"</formula>
    </cfRule>
  </conditionalFormatting>
  <conditionalFormatting sqref="V377">
    <cfRule type="containsText" dxfId="0" priority="4315" operator="between" text="欠">
      <formula>NOT(ISERROR(SEARCH("欠",V377)))</formula>
    </cfRule>
    <cfRule type="containsText" dxfId="1" priority="4316" operator="between" text="欠">
      <formula>NOT(ISERROR(SEARCH("欠",V377)))</formula>
    </cfRule>
    <cfRule type="cellIs" dxfId="0" priority="4317" operator="equal">
      <formula>"欠"</formula>
    </cfRule>
  </conditionalFormatting>
  <conditionalFormatting sqref="W377">
    <cfRule type="containsText" dxfId="0" priority="4322" operator="between" text="欠">
      <formula>NOT(ISERROR(SEARCH("欠",W377)))</formula>
    </cfRule>
    <cfRule type="containsText" dxfId="1" priority="4323" operator="between" text="欠">
      <formula>NOT(ISERROR(SEARCH("欠",W377)))</formula>
    </cfRule>
    <cfRule type="cellIs" dxfId="0" priority="4324" operator="equal">
      <formula>"欠"</formula>
    </cfRule>
  </conditionalFormatting>
  <conditionalFormatting sqref="X377">
    <cfRule type="cellIs" dxfId="0" priority="4325" operator="equal">
      <formula>"欠"</formula>
    </cfRule>
  </conditionalFormatting>
  <conditionalFormatting sqref="AE377">
    <cfRule type="cellIs" dxfId="2" priority="4326" operator="equal">
      <formula>"未完成"</formula>
    </cfRule>
    <cfRule type="cellIs" dxfId="0" priority="4327" operator="equal">
      <formula>"未完成"</formula>
    </cfRule>
  </conditionalFormatting>
  <conditionalFormatting sqref="V378:W378">
    <cfRule type="containsText" dxfId="0" priority="4727" operator="between" text="欠">
      <formula>NOT(ISERROR(SEARCH("欠",V378)))</formula>
    </cfRule>
    <cfRule type="containsText" dxfId="1" priority="4734" operator="between" text="欠">
      <formula>NOT(ISERROR(SEARCH("欠",V378)))</formula>
    </cfRule>
    <cfRule type="cellIs" dxfId="0" priority="4741" operator="equal">
      <formula>"欠"</formula>
    </cfRule>
  </conditionalFormatting>
  <conditionalFormatting sqref="AE378">
    <cfRule type="cellIs" dxfId="2" priority="4755" operator="equal">
      <formula>"未完成"</formula>
    </cfRule>
    <cfRule type="cellIs" dxfId="0" priority="4762" operator="equal">
      <formula>"未完成"</formula>
    </cfRule>
  </conditionalFormatting>
  <conditionalFormatting sqref="U379">
    <cfRule type="containsText" dxfId="0" priority="2060" operator="between" text="欠">
      <formula>NOT(ISERROR(SEARCH("欠",U379)))</formula>
    </cfRule>
    <cfRule type="cellIs" dxfId="0" priority="2061" operator="equal">
      <formula>"欠"</formula>
    </cfRule>
  </conditionalFormatting>
  <conditionalFormatting sqref="V379:W379">
    <cfRule type="containsText" dxfId="0" priority="4726" operator="between" text="欠">
      <formula>NOT(ISERROR(SEARCH("欠",V379)))</formula>
    </cfRule>
    <cfRule type="containsText" dxfId="1" priority="4733" operator="between" text="欠">
      <formula>NOT(ISERROR(SEARCH("欠",V379)))</formula>
    </cfRule>
    <cfRule type="cellIs" dxfId="0" priority="4740" operator="equal">
      <formula>"欠"</formula>
    </cfRule>
  </conditionalFormatting>
  <conditionalFormatting sqref="X379">
    <cfRule type="cellIs" dxfId="0" priority="4747" operator="equal">
      <formula>"欠"</formula>
    </cfRule>
  </conditionalFormatting>
  <conditionalFormatting sqref="V383:W383">
    <cfRule type="containsText" dxfId="0" priority="5149" operator="between" text="欠">
      <formula>NOT(ISERROR(SEARCH("欠",V383)))</formula>
    </cfRule>
    <cfRule type="containsText" dxfId="1" priority="5161" operator="between" text="欠">
      <formula>NOT(ISERROR(SEARCH("欠",V383)))</formula>
    </cfRule>
    <cfRule type="cellIs" dxfId="0" priority="5173" operator="equal">
      <formula>"欠"</formula>
    </cfRule>
  </conditionalFormatting>
  <conditionalFormatting sqref="X383">
    <cfRule type="cellIs" dxfId="0" priority="5185" operator="equal">
      <formula>"欠"</formula>
    </cfRule>
  </conditionalFormatting>
  <conditionalFormatting sqref="AE383">
    <cfRule type="cellIs" dxfId="2" priority="5101" operator="equal">
      <formula>"未完成"</formula>
    </cfRule>
    <cfRule type="cellIs" dxfId="0" priority="5113" operator="equal">
      <formula>"未完成"</formula>
    </cfRule>
  </conditionalFormatting>
  <conditionalFormatting sqref="T385:U385">
    <cfRule type="containsText" dxfId="0" priority="5734" operator="between" text="欠">
      <formula>NOT(ISERROR(SEARCH("欠",T385)))</formula>
    </cfRule>
    <cfRule type="cellIs" dxfId="0" priority="5735" operator="equal">
      <formula>"欠"</formula>
    </cfRule>
  </conditionalFormatting>
  <conditionalFormatting sqref="W385">
    <cfRule type="containsText" dxfId="0" priority="5736" operator="between" text="欠">
      <formula>NOT(ISERROR(SEARCH("欠",W385)))</formula>
    </cfRule>
    <cfRule type="containsText" dxfId="1" priority="5737" operator="between" text="欠">
      <formula>NOT(ISERROR(SEARCH("欠",W385)))</formula>
    </cfRule>
    <cfRule type="cellIs" dxfId="0" priority="5738" operator="equal">
      <formula>"欠"</formula>
    </cfRule>
  </conditionalFormatting>
  <conditionalFormatting sqref="X385">
    <cfRule type="cellIs" dxfId="0" priority="5739" operator="equal">
      <formula>"欠"</formula>
    </cfRule>
  </conditionalFormatting>
  <conditionalFormatting sqref="V386:W386">
    <cfRule type="containsText" dxfId="0" priority="3487" operator="between" text="欠">
      <formula>NOT(ISERROR(SEARCH("欠",V386)))</formula>
    </cfRule>
    <cfRule type="containsText" dxfId="1" priority="3515" operator="between" text="欠">
      <formula>NOT(ISERROR(SEARCH("欠",V386)))</formula>
    </cfRule>
    <cfRule type="cellIs" dxfId="0" priority="3543" operator="equal">
      <formula>"欠"</formula>
    </cfRule>
  </conditionalFormatting>
  <conditionalFormatting sqref="X386">
    <cfRule type="cellIs" dxfId="0" priority="3571" operator="equal">
      <formula>"欠"</formula>
    </cfRule>
  </conditionalFormatting>
  <conditionalFormatting sqref="AE386">
    <cfRule type="cellIs" dxfId="2" priority="3375" operator="equal">
      <formula>"未完成"</formula>
    </cfRule>
    <cfRule type="cellIs" dxfId="0" priority="3403" operator="equal">
      <formula>"未完成"</formula>
    </cfRule>
  </conditionalFormatting>
  <conditionalFormatting sqref="V387:W387">
    <cfRule type="containsText" dxfId="0" priority="3486" operator="between" text="欠">
      <formula>NOT(ISERROR(SEARCH("欠",V387)))</formula>
    </cfRule>
    <cfRule type="containsText" dxfId="1" priority="3514" operator="between" text="欠">
      <formula>NOT(ISERROR(SEARCH("欠",V387)))</formula>
    </cfRule>
    <cfRule type="cellIs" dxfId="0" priority="3542" operator="equal">
      <formula>"欠"</formula>
    </cfRule>
  </conditionalFormatting>
  <conditionalFormatting sqref="X387">
    <cfRule type="cellIs" dxfId="0" priority="3570" operator="equal">
      <formula>"欠"</formula>
    </cfRule>
  </conditionalFormatting>
  <conditionalFormatting sqref="AE387">
    <cfRule type="cellIs" dxfId="2" priority="3374" operator="equal">
      <formula>"未完成"</formula>
    </cfRule>
    <cfRule type="cellIs" dxfId="0" priority="3402" operator="equal">
      <formula>"未完成"</formula>
    </cfRule>
  </conditionalFormatting>
  <conditionalFormatting sqref="V388:W388">
    <cfRule type="containsText" dxfId="0" priority="3484" operator="between" text="欠">
      <formula>NOT(ISERROR(SEARCH("欠",V388)))</formula>
    </cfRule>
    <cfRule type="containsText" dxfId="1" priority="3512" operator="between" text="欠">
      <formula>NOT(ISERROR(SEARCH("欠",V388)))</formula>
    </cfRule>
    <cfRule type="cellIs" dxfId="0" priority="3540" operator="equal">
      <formula>"欠"</formula>
    </cfRule>
  </conditionalFormatting>
  <conditionalFormatting sqref="X388">
    <cfRule type="cellIs" dxfId="0" priority="3568" operator="equal">
      <formula>"欠"</formula>
    </cfRule>
  </conditionalFormatting>
  <conditionalFormatting sqref="AE388">
    <cfRule type="cellIs" dxfId="2" priority="3372" operator="equal">
      <formula>"未完成"</formula>
    </cfRule>
    <cfRule type="cellIs" dxfId="0" priority="3400" operator="equal">
      <formula>"未完成"</formula>
    </cfRule>
  </conditionalFormatting>
  <conditionalFormatting sqref="W389">
    <cfRule type="containsText" dxfId="0" priority="737" operator="between" text="欠">
      <formula>NOT(ISERROR(SEARCH("欠",W389)))</formula>
    </cfRule>
    <cfRule type="containsText" dxfId="1" priority="755" operator="between" text="欠">
      <formula>NOT(ISERROR(SEARCH("欠",W389)))</formula>
    </cfRule>
    <cfRule type="cellIs" dxfId="0" priority="773" operator="equal">
      <formula>"欠"</formula>
    </cfRule>
  </conditionalFormatting>
  <conditionalFormatting sqref="X389">
    <cfRule type="cellIs" dxfId="0" priority="791" operator="equal">
      <formula>"欠"</formula>
    </cfRule>
  </conditionalFormatting>
  <conditionalFormatting sqref="S390">
    <cfRule type="containsText" dxfId="0" priority="5919" operator="between" text="欠">
      <formula>NOT(ISERROR(SEARCH("欠",S390)))</formula>
    </cfRule>
    <cfRule type="cellIs" dxfId="0" priority="5926" operator="equal">
      <formula>"欠"</formula>
    </cfRule>
  </conditionalFormatting>
  <conditionalFormatting sqref="U390">
    <cfRule type="containsText" dxfId="0" priority="5884" operator="between" text="欠">
      <formula>NOT(ISERROR(SEARCH("欠",U390)))</formula>
    </cfRule>
    <cfRule type="cellIs" dxfId="0" priority="5891" operator="equal">
      <formula>"欠"</formula>
    </cfRule>
  </conditionalFormatting>
  <conditionalFormatting sqref="V390:W390">
    <cfRule type="containsText" dxfId="0" priority="5849" operator="between" text="欠">
      <formula>NOT(ISERROR(SEARCH("欠",V390)))</formula>
    </cfRule>
    <cfRule type="containsText" dxfId="1" priority="5856" operator="between" text="欠">
      <formula>NOT(ISERROR(SEARCH("欠",V390)))</formula>
    </cfRule>
    <cfRule type="cellIs" dxfId="0" priority="5863" operator="equal">
      <formula>"欠"</formula>
    </cfRule>
  </conditionalFormatting>
  <conditionalFormatting sqref="X390">
    <cfRule type="cellIs" dxfId="0" priority="5870" operator="equal">
      <formula>"欠"</formula>
    </cfRule>
  </conditionalFormatting>
  <conditionalFormatting sqref="AE390">
    <cfRule type="cellIs" dxfId="2" priority="5905" operator="equal">
      <formula>"未完成"</formula>
    </cfRule>
    <cfRule type="cellIs" dxfId="0" priority="5912" operator="equal">
      <formula>"未完成"</formula>
    </cfRule>
  </conditionalFormatting>
  <conditionalFormatting sqref="V391:W391">
    <cfRule type="containsText" dxfId="0" priority="3473" operator="between" text="欠">
      <formula>NOT(ISERROR(SEARCH("欠",V391)))</formula>
    </cfRule>
    <cfRule type="containsText" dxfId="1" priority="3501" operator="between" text="欠">
      <formula>NOT(ISERROR(SEARCH("欠",V391)))</formula>
    </cfRule>
    <cfRule type="cellIs" dxfId="0" priority="3529" operator="equal">
      <formula>"欠"</formula>
    </cfRule>
  </conditionalFormatting>
  <conditionalFormatting sqref="X391">
    <cfRule type="cellIs" dxfId="0" priority="3557" operator="equal">
      <formula>"欠"</formula>
    </cfRule>
  </conditionalFormatting>
  <conditionalFormatting sqref="AE391">
    <cfRule type="cellIs" dxfId="2" priority="3361" operator="equal">
      <formula>"未完成"</formula>
    </cfRule>
    <cfRule type="cellIs" dxfId="0" priority="3389" operator="equal">
      <formula>"未完成"</formula>
    </cfRule>
  </conditionalFormatting>
  <conditionalFormatting sqref="R393">
    <cfRule type="containsText" dxfId="0" priority="2400" operator="between" text="欠">
      <formula>NOT(ISERROR(SEARCH("欠",R393)))</formula>
    </cfRule>
  </conditionalFormatting>
  <conditionalFormatting sqref="S393">
    <cfRule type="containsText" dxfId="0" priority="2394" operator="between" text="欠">
      <formula>NOT(ISERROR(SEARCH("欠",S393)))</formula>
    </cfRule>
    <cfRule type="cellIs" dxfId="0" priority="2397" operator="equal">
      <formula>"欠"</formula>
    </cfRule>
  </conditionalFormatting>
  <conditionalFormatting sqref="U393">
    <cfRule type="containsText" dxfId="0" priority="2421" operator="between" text="欠">
      <formula>NOT(ISERROR(SEARCH("欠",U393)))</formula>
    </cfRule>
    <cfRule type="cellIs" dxfId="0" priority="2424" operator="equal">
      <formula>"欠"</formula>
    </cfRule>
  </conditionalFormatting>
  <conditionalFormatting sqref="V393">
    <cfRule type="containsText" dxfId="0" priority="2385" operator="between" text="欠">
      <formula>NOT(ISERROR(SEARCH("欠",V393)))</formula>
    </cfRule>
    <cfRule type="containsText" dxfId="1" priority="2388" operator="between" text="欠">
      <formula>NOT(ISERROR(SEARCH("欠",V393)))</formula>
    </cfRule>
    <cfRule type="cellIs" dxfId="0" priority="2391" operator="equal">
      <formula>"欠"</formula>
    </cfRule>
  </conditionalFormatting>
  <conditionalFormatting sqref="W393">
    <cfRule type="containsText" dxfId="0" priority="2409" operator="between" text="欠">
      <formula>NOT(ISERROR(SEARCH("欠",W393)))</formula>
    </cfRule>
    <cfRule type="containsText" dxfId="1" priority="2412" operator="between" text="欠">
      <formula>NOT(ISERROR(SEARCH("欠",W393)))</formula>
    </cfRule>
    <cfRule type="cellIs" dxfId="0" priority="2415" operator="equal">
      <formula>"欠"</formula>
    </cfRule>
  </conditionalFormatting>
  <conditionalFormatting sqref="X393">
    <cfRule type="cellIs" dxfId="0" priority="2418" operator="equal">
      <formula>"欠"</formula>
    </cfRule>
  </conditionalFormatting>
  <conditionalFormatting sqref="AE393">
    <cfRule type="cellIs" dxfId="2" priority="2403" operator="equal">
      <formula>"未完成"</formula>
    </cfRule>
    <cfRule type="cellIs" dxfId="0" priority="2406" operator="equal">
      <formula>"未完成"</formula>
    </cfRule>
  </conditionalFormatting>
  <conditionalFormatting sqref="V394:W394">
    <cfRule type="containsText" dxfId="0" priority="3040" operator="between" text="欠">
      <formula>NOT(ISERROR(SEARCH("欠",V394)))</formula>
    </cfRule>
    <cfRule type="containsText" dxfId="1" priority="3062" operator="between" text="欠">
      <formula>NOT(ISERROR(SEARCH("欠",V394)))</formula>
    </cfRule>
    <cfRule type="cellIs" dxfId="0" priority="3084" operator="equal">
      <formula>"欠"</formula>
    </cfRule>
  </conditionalFormatting>
  <conditionalFormatting sqref="X394">
    <cfRule type="cellIs" dxfId="0" priority="3106" operator="equal">
      <formula>"欠"</formula>
    </cfRule>
  </conditionalFormatting>
  <conditionalFormatting sqref="AE394">
    <cfRule type="cellIs" dxfId="2" priority="2952" operator="equal">
      <formula>"未完成"</formula>
    </cfRule>
    <cfRule type="cellIs" dxfId="0" priority="2974" operator="equal">
      <formula>"未完成"</formula>
    </cfRule>
  </conditionalFormatting>
  <conditionalFormatting sqref="V395:W395">
    <cfRule type="containsText" dxfId="0" priority="3039" operator="between" text="欠">
      <formula>NOT(ISERROR(SEARCH("欠",V395)))</formula>
    </cfRule>
    <cfRule type="containsText" dxfId="1" priority="3061" operator="between" text="欠">
      <formula>NOT(ISERROR(SEARCH("欠",V395)))</formula>
    </cfRule>
    <cfRule type="cellIs" dxfId="0" priority="3083" operator="equal">
      <formula>"欠"</formula>
    </cfRule>
  </conditionalFormatting>
  <conditionalFormatting sqref="X395">
    <cfRule type="cellIs" dxfId="0" priority="3105" operator="equal">
      <formula>"欠"</formula>
    </cfRule>
  </conditionalFormatting>
  <conditionalFormatting sqref="AE395">
    <cfRule type="cellIs" dxfId="2" priority="2951" operator="equal">
      <formula>"未完成"</formula>
    </cfRule>
    <cfRule type="cellIs" dxfId="0" priority="2973" operator="equal">
      <formula>"未完成"</formula>
    </cfRule>
  </conditionalFormatting>
  <conditionalFormatting sqref="V396:W396">
    <cfRule type="containsText" dxfId="0" priority="3038" operator="between" text="欠">
      <formula>NOT(ISERROR(SEARCH("欠",V396)))</formula>
    </cfRule>
    <cfRule type="containsText" dxfId="1" priority="3060" operator="between" text="欠">
      <formula>NOT(ISERROR(SEARCH("欠",V396)))</formula>
    </cfRule>
    <cfRule type="cellIs" dxfId="0" priority="3082" operator="equal">
      <formula>"欠"</formula>
    </cfRule>
  </conditionalFormatting>
  <conditionalFormatting sqref="X396">
    <cfRule type="cellIs" dxfId="0" priority="3104" operator="equal">
      <formula>"欠"</formula>
    </cfRule>
  </conditionalFormatting>
  <conditionalFormatting sqref="AE396">
    <cfRule type="cellIs" dxfId="2" priority="2950" operator="equal">
      <formula>"未完成"</formula>
    </cfRule>
    <cfRule type="cellIs" dxfId="0" priority="2972" operator="equal">
      <formula>"未完成"</formula>
    </cfRule>
  </conditionalFormatting>
  <conditionalFormatting sqref="V397:W397">
    <cfRule type="containsText" dxfId="0" priority="3037" operator="between" text="欠">
      <formula>NOT(ISERROR(SEARCH("欠",V397)))</formula>
    </cfRule>
    <cfRule type="containsText" dxfId="1" priority="3059" operator="between" text="欠">
      <formula>NOT(ISERROR(SEARCH("欠",V397)))</formula>
    </cfRule>
    <cfRule type="cellIs" dxfId="0" priority="3081" operator="equal">
      <formula>"欠"</formula>
    </cfRule>
  </conditionalFormatting>
  <conditionalFormatting sqref="X397">
    <cfRule type="cellIs" dxfId="0" priority="3103" operator="equal">
      <formula>"欠"</formula>
    </cfRule>
  </conditionalFormatting>
  <conditionalFormatting sqref="AE397">
    <cfRule type="cellIs" dxfId="2" priority="2949" operator="equal">
      <formula>"未完成"</formula>
    </cfRule>
    <cfRule type="cellIs" dxfId="0" priority="2971" operator="equal">
      <formula>"未完成"</formula>
    </cfRule>
  </conditionalFormatting>
  <conditionalFormatting sqref="V398:W398">
    <cfRule type="containsText" dxfId="0" priority="3036" operator="between" text="欠">
      <formula>NOT(ISERROR(SEARCH("欠",V398)))</formula>
    </cfRule>
    <cfRule type="containsText" dxfId="1" priority="3058" operator="between" text="欠">
      <formula>NOT(ISERROR(SEARCH("欠",V398)))</formula>
    </cfRule>
    <cfRule type="cellIs" dxfId="0" priority="3080" operator="equal">
      <formula>"欠"</formula>
    </cfRule>
  </conditionalFormatting>
  <conditionalFormatting sqref="X398">
    <cfRule type="cellIs" dxfId="0" priority="3102" operator="equal">
      <formula>"欠"</formula>
    </cfRule>
  </conditionalFormatting>
  <conditionalFormatting sqref="AE398">
    <cfRule type="cellIs" dxfId="2" priority="2948" operator="equal">
      <formula>"未完成"</formula>
    </cfRule>
    <cfRule type="cellIs" dxfId="0" priority="2970" operator="equal">
      <formula>"未完成"</formula>
    </cfRule>
  </conditionalFormatting>
  <conditionalFormatting sqref="V399:W399">
    <cfRule type="containsText" dxfId="0" priority="3035" operator="between" text="欠">
      <formula>NOT(ISERROR(SEARCH("欠",V399)))</formula>
    </cfRule>
    <cfRule type="containsText" dxfId="1" priority="3057" operator="between" text="欠">
      <formula>NOT(ISERROR(SEARCH("欠",V399)))</formula>
    </cfRule>
    <cfRule type="cellIs" dxfId="0" priority="3079" operator="equal">
      <formula>"欠"</formula>
    </cfRule>
  </conditionalFormatting>
  <conditionalFormatting sqref="X399">
    <cfRule type="cellIs" dxfId="0" priority="3101" operator="equal">
      <formula>"欠"</formula>
    </cfRule>
  </conditionalFormatting>
  <conditionalFormatting sqref="AE399">
    <cfRule type="cellIs" dxfId="2" priority="2947" operator="equal">
      <formula>"未完成"</formula>
    </cfRule>
    <cfRule type="cellIs" dxfId="0" priority="2969" operator="equal">
      <formula>"未完成"</formula>
    </cfRule>
  </conditionalFormatting>
  <conditionalFormatting sqref="V400:W400">
    <cfRule type="containsText" dxfId="0" priority="3034" operator="between" text="欠">
      <formula>NOT(ISERROR(SEARCH("欠",V400)))</formula>
    </cfRule>
    <cfRule type="containsText" dxfId="1" priority="3056" operator="between" text="欠">
      <formula>NOT(ISERROR(SEARCH("欠",V400)))</formula>
    </cfRule>
    <cfRule type="cellIs" dxfId="0" priority="3078" operator="equal">
      <formula>"欠"</formula>
    </cfRule>
  </conditionalFormatting>
  <conditionalFormatting sqref="X400">
    <cfRule type="cellIs" dxfId="0" priority="3100" operator="equal">
      <formula>"欠"</formula>
    </cfRule>
  </conditionalFormatting>
  <conditionalFormatting sqref="AE400">
    <cfRule type="cellIs" dxfId="2" priority="2946" operator="equal">
      <formula>"未完成"</formula>
    </cfRule>
    <cfRule type="cellIs" dxfId="0" priority="2968" operator="equal">
      <formula>"未完成"</formula>
    </cfRule>
  </conditionalFormatting>
  <conditionalFormatting sqref="V401:W401">
    <cfRule type="containsText" dxfId="0" priority="3033" operator="between" text="欠">
      <formula>NOT(ISERROR(SEARCH("欠",V401)))</formula>
    </cfRule>
    <cfRule type="containsText" dxfId="1" priority="3055" operator="between" text="欠">
      <formula>NOT(ISERROR(SEARCH("欠",V401)))</formula>
    </cfRule>
    <cfRule type="cellIs" dxfId="0" priority="3077" operator="equal">
      <formula>"欠"</formula>
    </cfRule>
  </conditionalFormatting>
  <conditionalFormatting sqref="X401">
    <cfRule type="cellIs" dxfId="0" priority="3099" operator="equal">
      <formula>"欠"</formula>
    </cfRule>
  </conditionalFormatting>
  <conditionalFormatting sqref="AE401">
    <cfRule type="cellIs" dxfId="2" priority="2945" operator="equal">
      <formula>"未完成"</formula>
    </cfRule>
    <cfRule type="cellIs" dxfId="0" priority="2967" operator="equal">
      <formula>"未完成"</formula>
    </cfRule>
  </conditionalFormatting>
  <conditionalFormatting sqref="V402:W402">
    <cfRule type="containsText" dxfId="0" priority="3032" operator="between" text="欠">
      <formula>NOT(ISERROR(SEARCH("欠",V402)))</formula>
    </cfRule>
    <cfRule type="containsText" dxfId="1" priority="3054" operator="between" text="欠">
      <formula>NOT(ISERROR(SEARCH("欠",V402)))</formula>
    </cfRule>
    <cfRule type="cellIs" dxfId="0" priority="3076" operator="equal">
      <formula>"欠"</formula>
    </cfRule>
  </conditionalFormatting>
  <conditionalFormatting sqref="X402">
    <cfRule type="cellIs" dxfId="0" priority="3098" operator="equal">
      <formula>"欠"</formula>
    </cfRule>
  </conditionalFormatting>
  <conditionalFormatting sqref="AE402">
    <cfRule type="cellIs" dxfId="2" priority="2944" operator="equal">
      <formula>"未完成"</formula>
    </cfRule>
    <cfRule type="cellIs" dxfId="0" priority="2966" operator="equal">
      <formula>"未完成"</formula>
    </cfRule>
  </conditionalFormatting>
  <conditionalFormatting sqref="V403:W403">
    <cfRule type="containsText" dxfId="0" priority="3031" operator="between" text="欠">
      <formula>NOT(ISERROR(SEARCH("欠",V403)))</formula>
    </cfRule>
    <cfRule type="containsText" dxfId="1" priority="3053" operator="between" text="欠">
      <formula>NOT(ISERROR(SEARCH("欠",V403)))</formula>
    </cfRule>
    <cfRule type="cellIs" dxfId="0" priority="3075" operator="equal">
      <formula>"欠"</formula>
    </cfRule>
  </conditionalFormatting>
  <conditionalFormatting sqref="X403">
    <cfRule type="cellIs" dxfId="0" priority="3097" operator="equal">
      <formula>"欠"</formula>
    </cfRule>
  </conditionalFormatting>
  <conditionalFormatting sqref="AE403">
    <cfRule type="cellIs" dxfId="2" priority="2943" operator="equal">
      <formula>"未完成"</formula>
    </cfRule>
    <cfRule type="cellIs" dxfId="0" priority="2965" operator="equal">
      <formula>"未完成"</formula>
    </cfRule>
  </conditionalFormatting>
  <conditionalFormatting sqref="V404:W404">
    <cfRule type="containsText" dxfId="0" priority="3030" operator="between" text="欠">
      <formula>NOT(ISERROR(SEARCH("欠",V404)))</formula>
    </cfRule>
    <cfRule type="containsText" dxfId="1" priority="3052" operator="between" text="欠">
      <formula>NOT(ISERROR(SEARCH("欠",V404)))</formula>
    </cfRule>
    <cfRule type="cellIs" dxfId="0" priority="3074" operator="equal">
      <formula>"欠"</formula>
    </cfRule>
  </conditionalFormatting>
  <conditionalFormatting sqref="X404">
    <cfRule type="cellIs" dxfId="0" priority="3096" operator="equal">
      <formula>"欠"</formula>
    </cfRule>
  </conditionalFormatting>
  <conditionalFormatting sqref="AE404">
    <cfRule type="cellIs" dxfId="2" priority="2942" operator="equal">
      <formula>"未完成"</formula>
    </cfRule>
    <cfRule type="cellIs" dxfId="0" priority="2964" operator="equal">
      <formula>"未完成"</formula>
    </cfRule>
  </conditionalFormatting>
  <conditionalFormatting sqref="V405:W405">
    <cfRule type="containsText" dxfId="0" priority="3029" operator="between" text="欠">
      <formula>NOT(ISERROR(SEARCH("欠",V405)))</formula>
    </cfRule>
    <cfRule type="containsText" dxfId="1" priority="3051" operator="between" text="欠">
      <formula>NOT(ISERROR(SEARCH("欠",V405)))</formula>
    </cfRule>
    <cfRule type="cellIs" dxfId="0" priority="3073" operator="equal">
      <formula>"欠"</formula>
    </cfRule>
  </conditionalFormatting>
  <conditionalFormatting sqref="X405">
    <cfRule type="cellIs" dxfId="0" priority="3095" operator="equal">
      <formula>"欠"</formula>
    </cfRule>
  </conditionalFormatting>
  <conditionalFormatting sqref="AE405">
    <cfRule type="cellIs" dxfId="2" priority="2941" operator="equal">
      <formula>"未完成"</formula>
    </cfRule>
    <cfRule type="cellIs" dxfId="0" priority="2963" operator="equal">
      <formula>"未完成"</formula>
    </cfRule>
  </conditionalFormatting>
  <conditionalFormatting sqref="V406:W406">
    <cfRule type="containsText" dxfId="0" priority="3028" operator="between" text="欠">
      <formula>NOT(ISERROR(SEARCH("欠",V406)))</formula>
    </cfRule>
    <cfRule type="containsText" dxfId="1" priority="3050" operator="between" text="欠">
      <formula>NOT(ISERROR(SEARCH("欠",V406)))</formula>
    </cfRule>
    <cfRule type="cellIs" dxfId="0" priority="3072" operator="equal">
      <formula>"欠"</formula>
    </cfRule>
  </conditionalFormatting>
  <conditionalFormatting sqref="X406">
    <cfRule type="cellIs" dxfId="0" priority="3094" operator="equal">
      <formula>"欠"</formula>
    </cfRule>
  </conditionalFormatting>
  <conditionalFormatting sqref="AE406">
    <cfRule type="cellIs" dxfId="2" priority="2940" operator="equal">
      <formula>"未完成"</formula>
    </cfRule>
    <cfRule type="cellIs" dxfId="0" priority="2962" operator="equal">
      <formula>"未完成"</formula>
    </cfRule>
  </conditionalFormatting>
  <conditionalFormatting sqref="V407:W407">
    <cfRule type="containsText" dxfId="0" priority="3027" operator="between" text="欠">
      <formula>NOT(ISERROR(SEARCH("欠",V407)))</formula>
    </cfRule>
    <cfRule type="containsText" dxfId="1" priority="3049" operator="between" text="欠">
      <formula>NOT(ISERROR(SEARCH("欠",V407)))</formula>
    </cfRule>
    <cfRule type="cellIs" dxfId="0" priority="3071" operator="equal">
      <formula>"欠"</formula>
    </cfRule>
  </conditionalFormatting>
  <conditionalFormatting sqref="X407">
    <cfRule type="cellIs" dxfId="0" priority="3093" operator="equal">
      <formula>"欠"</formula>
    </cfRule>
  </conditionalFormatting>
  <conditionalFormatting sqref="AE407">
    <cfRule type="cellIs" dxfId="2" priority="2939" operator="equal">
      <formula>"未完成"</formula>
    </cfRule>
    <cfRule type="cellIs" dxfId="0" priority="2961" operator="equal">
      <formula>"未完成"</formula>
    </cfRule>
  </conditionalFormatting>
  <conditionalFormatting sqref="V410:W410">
    <cfRule type="containsText" dxfId="0" priority="1725" operator="between" text="欠">
      <formula>NOT(ISERROR(SEARCH("欠",V410)))</formula>
    </cfRule>
    <cfRule type="containsText" dxfId="1" priority="1732" operator="between" text="欠">
      <formula>NOT(ISERROR(SEARCH("欠",V410)))</formula>
    </cfRule>
    <cfRule type="cellIs" dxfId="0" priority="1739" operator="equal">
      <formula>"欠"</formula>
    </cfRule>
  </conditionalFormatting>
  <conditionalFormatting sqref="AE410">
    <cfRule type="cellIs" dxfId="2" priority="1697" operator="equal">
      <formula>"未完成"</formula>
    </cfRule>
    <cfRule type="cellIs" dxfId="0" priority="1704" operator="equal">
      <formula>"未完成"</formula>
    </cfRule>
  </conditionalFormatting>
  <conditionalFormatting sqref="W412">
    <cfRule type="containsText" dxfId="0" priority="1098" operator="between" text="欠">
      <formula>NOT(ISERROR(SEARCH("欠",W412)))</formula>
    </cfRule>
    <cfRule type="containsText" dxfId="1" priority="1114" operator="between" text="欠">
      <formula>NOT(ISERROR(SEARCH("欠",W412)))</formula>
    </cfRule>
    <cfRule type="cellIs" dxfId="0" priority="1130" operator="equal">
      <formula>"欠"</formula>
    </cfRule>
  </conditionalFormatting>
  <conditionalFormatting sqref="X412">
    <cfRule type="cellIs" dxfId="0" priority="1146" operator="equal">
      <formula>"欠"</formula>
    </cfRule>
  </conditionalFormatting>
  <conditionalFormatting sqref="V422:W422">
    <cfRule type="containsText" dxfId="0" priority="2276" operator="between" text="欠">
      <formula>NOT(ISERROR(SEARCH("欠",V422)))</formula>
    </cfRule>
    <cfRule type="containsText" dxfId="1" priority="2293" operator="between" text="欠">
      <formula>NOT(ISERROR(SEARCH("欠",V422)))</formula>
    </cfRule>
    <cfRule type="cellIs" dxfId="0" priority="2310" operator="equal">
      <formula>"欠"</formula>
    </cfRule>
  </conditionalFormatting>
  <conditionalFormatting sqref="X422">
    <cfRule type="cellIs" dxfId="0" priority="2327" operator="equal">
      <formula>"欠"</formula>
    </cfRule>
  </conditionalFormatting>
  <conditionalFormatting sqref="AE422">
    <cfRule type="cellIs" dxfId="2" priority="2208" operator="equal">
      <formula>"未完成"</formula>
    </cfRule>
    <cfRule type="cellIs" dxfId="0" priority="2225" operator="equal">
      <formula>"未完成"</formula>
    </cfRule>
  </conditionalFormatting>
  <conditionalFormatting sqref="R423">
    <cfRule type="containsText" dxfId="0" priority="1316" operator="between" text="欠">
      <formula>NOT(ISERROR(SEARCH("欠",R423)))</formula>
    </cfRule>
  </conditionalFormatting>
  <conditionalFormatting sqref="T423:U423">
    <cfRule type="containsText" dxfId="0" priority="1320" operator="between" text="欠">
      <formula>NOT(ISERROR(SEARCH("欠",T423)))</formula>
    </cfRule>
    <cfRule type="cellIs" dxfId="0" priority="1321" operator="equal">
      <formula>"欠"</formula>
    </cfRule>
  </conditionalFormatting>
  <conditionalFormatting sqref="AE424">
    <cfRule type="cellIs" dxfId="2" priority="5106" operator="equal">
      <formula>"未完成"</formula>
    </cfRule>
    <cfRule type="cellIs" dxfId="0" priority="5118" operator="equal">
      <formula>"未完成"</formula>
    </cfRule>
  </conditionalFormatting>
  <conditionalFormatting sqref="W426">
    <cfRule type="containsText" dxfId="0" priority="3245" operator="between" text="欠">
      <formula>NOT(ISERROR(SEARCH("欠",W426)))</formula>
    </cfRule>
    <cfRule type="containsText" dxfId="1" priority="3252" operator="between" text="欠">
      <formula>NOT(ISERROR(SEARCH("欠",W426)))</formula>
    </cfRule>
    <cfRule type="cellIs" dxfId="0" priority="3259" operator="equal">
      <formula>"欠"</formula>
    </cfRule>
  </conditionalFormatting>
  <conditionalFormatting sqref="X426">
    <cfRule type="cellIs" dxfId="0" priority="3266" operator="equal">
      <formula>"欠"</formula>
    </cfRule>
  </conditionalFormatting>
  <conditionalFormatting sqref="R427">
    <cfRule type="containsText" dxfId="0" priority="3644" operator="between" text="欠">
      <formula>NOT(ISERROR(SEARCH("欠",R427)))</formula>
    </cfRule>
  </conditionalFormatting>
  <conditionalFormatting sqref="T427:U427">
    <cfRule type="containsText" dxfId="0" priority="3708" operator="between" text="欠">
      <formula>NOT(ISERROR(SEARCH("欠",T427)))</formula>
    </cfRule>
    <cfRule type="cellIs" dxfId="0" priority="3724" operator="equal">
      <formula>"欠"</formula>
    </cfRule>
  </conditionalFormatting>
  <conditionalFormatting sqref="W427">
    <cfRule type="containsText" dxfId="0" priority="3740" operator="between" text="欠">
      <formula>NOT(ISERROR(SEARCH("欠",W427)))</formula>
    </cfRule>
    <cfRule type="containsText" dxfId="1" priority="3756" operator="between" text="欠">
      <formula>NOT(ISERROR(SEARCH("欠",W427)))</formula>
    </cfRule>
    <cfRule type="cellIs" dxfId="0" priority="3772" operator="equal">
      <formula>"欠"</formula>
    </cfRule>
  </conditionalFormatting>
  <conditionalFormatting sqref="X427">
    <cfRule type="cellIs" dxfId="0" priority="3788" operator="equal">
      <formula>"欠"</formula>
    </cfRule>
  </conditionalFormatting>
  <conditionalFormatting sqref="R428">
    <cfRule type="containsText" dxfId="0" priority="993" operator="between" text="欠">
      <formula>NOT(ISERROR(SEARCH("欠",R428)))</formula>
    </cfRule>
  </conditionalFormatting>
  <conditionalFormatting sqref="S428">
    <cfRule type="containsText" dxfId="0" priority="1153" operator="between" text="欠">
      <formula>NOT(ISERROR(SEARCH("欠",S428)))</formula>
    </cfRule>
    <cfRule type="cellIs" dxfId="0" priority="1169" operator="equal">
      <formula>"欠"</formula>
    </cfRule>
  </conditionalFormatting>
  <conditionalFormatting sqref="T428:U428">
    <cfRule type="containsText" dxfId="0" priority="1057" operator="between" text="欠">
      <formula>NOT(ISERROR(SEARCH("欠",T428)))</formula>
    </cfRule>
    <cfRule type="cellIs" dxfId="0" priority="1073" operator="equal">
      <formula>"欠"</formula>
    </cfRule>
  </conditionalFormatting>
  <conditionalFormatting sqref="V428:W428">
    <cfRule type="containsText" dxfId="0" priority="1089" operator="between" text="欠">
      <formula>NOT(ISERROR(SEARCH("欠",V428)))</formula>
    </cfRule>
    <cfRule type="containsText" dxfId="1" priority="1105" operator="between" text="欠">
      <formula>NOT(ISERROR(SEARCH("欠",V428)))</formula>
    </cfRule>
    <cfRule type="cellIs" dxfId="0" priority="1121" operator="equal">
      <formula>"欠"</formula>
    </cfRule>
  </conditionalFormatting>
  <conditionalFormatting sqref="X428">
    <cfRule type="cellIs" dxfId="0" priority="1137" operator="equal">
      <formula>"欠"</formula>
    </cfRule>
  </conditionalFormatting>
  <conditionalFormatting sqref="AE428">
    <cfRule type="cellIs" dxfId="2" priority="1025" operator="equal">
      <formula>"未完成"</formula>
    </cfRule>
    <cfRule type="cellIs" dxfId="0" priority="1041" operator="equal">
      <formula>"未完成"</formula>
    </cfRule>
  </conditionalFormatting>
  <conditionalFormatting sqref="W429">
    <cfRule type="containsText" dxfId="0" priority="2699" operator="between" text="欠">
      <formula>NOT(ISERROR(SEARCH("欠",W429)))</formula>
    </cfRule>
    <cfRule type="containsText" dxfId="1" priority="2700" operator="between" text="欠">
      <formula>NOT(ISERROR(SEARCH("欠",W429)))</formula>
    </cfRule>
    <cfRule type="cellIs" dxfId="0" priority="2701" operator="equal">
      <formula>"欠"</formula>
    </cfRule>
  </conditionalFormatting>
  <conditionalFormatting sqref="X429">
    <cfRule type="cellIs" dxfId="0" priority="2702" operator="equal">
      <formula>"欠"</formula>
    </cfRule>
  </conditionalFormatting>
  <conditionalFormatting sqref="AE429">
    <cfRule type="cellIs" dxfId="2" priority="2693" operator="equal">
      <formula>"未完成"</formula>
    </cfRule>
    <cfRule type="cellIs" dxfId="0" priority="2694" operator="equal">
      <formula>"未完成"</formula>
    </cfRule>
  </conditionalFormatting>
  <conditionalFormatting sqref="W430">
    <cfRule type="containsText" dxfId="0" priority="2773" operator="between" text="欠">
      <formula>NOT(ISERROR(SEARCH("欠",W430)))</formula>
    </cfRule>
    <cfRule type="containsText" dxfId="1" priority="2774" operator="between" text="欠">
      <formula>NOT(ISERROR(SEARCH("欠",W430)))</formula>
    </cfRule>
    <cfRule type="cellIs" dxfId="0" priority="2775" operator="equal">
      <formula>"欠"</formula>
    </cfRule>
  </conditionalFormatting>
  <conditionalFormatting sqref="X430">
    <cfRule type="cellIs" dxfId="0" priority="2776" operator="equal">
      <formula>"欠"</formula>
    </cfRule>
  </conditionalFormatting>
  <conditionalFormatting sqref="AE430">
    <cfRule type="cellIs" dxfId="2" priority="2771" operator="equal">
      <formula>"未完成"</formula>
    </cfRule>
    <cfRule type="cellIs" dxfId="0" priority="2772" operator="equal">
      <formula>"未完成"</formula>
    </cfRule>
  </conditionalFormatting>
  <conditionalFormatting sqref="W431">
    <cfRule type="containsText" dxfId="0" priority="2687" operator="between" text="欠">
      <formula>NOT(ISERROR(SEARCH("欠",W431)))</formula>
    </cfRule>
    <cfRule type="containsText" dxfId="1" priority="2688" operator="between" text="欠">
      <formula>NOT(ISERROR(SEARCH("欠",W431)))</formula>
    </cfRule>
    <cfRule type="cellIs" dxfId="0" priority="2689" operator="equal">
      <formula>"欠"</formula>
    </cfRule>
  </conditionalFormatting>
  <conditionalFormatting sqref="X431">
    <cfRule type="cellIs" dxfId="0" priority="2690" operator="equal">
      <formula>"欠"</formula>
    </cfRule>
  </conditionalFormatting>
  <conditionalFormatting sqref="AE431">
    <cfRule type="cellIs" dxfId="2" priority="2681" operator="equal">
      <formula>"未完成"</formula>
    </cfRule>
    <cfRule type="cellIs" dxfId="0" priority="2682" operator="equal">
      <formula>"未完成"</formula>
    </cfRule>
  </conditionalFormatting>
  <conditionalFormatting sqref="W432">
    <cfRule type="containsText" dxfId="0" priority="2761" operator="between" text="欠">
      <formula>NOT(ISERROR(SEARCH("欠",W432)))</formula>
    </cfRule>
    <cfRule type="containsText" dxfId="1" priority="2762" operator="between" text="欠">
      <formula>NOT(ISERROR(SEARCH("欠",W432)))</formula>
    </cfRule>
    <cfRule type="cellIs" dxfId="0" priority="2763" operator="equal">
      <formula>"欠"</formula>
    </cfRule>
  </conditionalFormatting>
  <conditionalFormatting sqref="X432">
    <cfRule type="cellIs" dxfId="0" priority="2764" operator="equal">
      <formula>"欠"</formula>
    </cfRule>
  </conditionalFormatting>
  <conditionalFormatting sqref="AE432">
    <cfRule type="cellIs" dxfId="2" priority="2759" operator="equal">
      <formula>"未完成"</formula>
    </cfRule>
    <cfRule type="cellIs" dxfId="0" priority="2760" operator="equal">
      <formula>"未完成"</formula>
    </cfRule>
  </conditionalFormatting>
  <conditionalFormatting sqref="W433">
    <cfRule type="containsText" dxfId="0" priority="2675" operator="between" text="欠">
      <formula>NOT(ISERROR(SEARCH("欠",W433)))</formula>
    </cfRule>
    <cfRule type="containsText" dxfId="1" priority="2676" operator="between" text="欠">
      <formula>NOT(ISERROR(SEARCH("欠",W433)))</formula>
    </cfRule>
    <cfRule type="cellIs" dxfId="0" priority="2677" operator="equal">
      <formula>"欠"</formula>
    </cfRule>
  </conditionalFormatting>
  <conditionalFormatting sqref="X433">
    <cfRule type="cellIs" dxfId="0" priority="2678" operator="equal">
      <formula>"欠"</formula>
    </cfRule>
  </conditionalFormatting>
  <conditionalFormatting sqref="AE433">
    <cfRule type="cellIs" dxfId="2" priority="2669" operator="equal">
      <formula>"未完成"</formula>
    </cfRule>
    <cfRule type="cellIs" dxfId="0" priority="2670" operator="equal">
      <formula>"未完成"</formula>
    </cfRule>
  </conditionalFormatting>
  <conditionalFormatting sqref="W434">
    <cfRule type="containsText" dxfId="0" priority="2663" operator="between" text="欠">
      <formula>NOT(ISERROR(SEARCH("欠",W434)))</formula>
    </cfRule>
    <cfRule type="containsText" dxfId="1" priority="2664" operator="between" text="欠">
      <formula>NOT(ISERROR(SEARCH("欠",W434)))</formula>
    </cfRule>
    <cfRule type="cellIs" dxfId="0" priority="2665" operator="equal">
      <formula>"欠"</formula>
    </cfRule>
  </conditionalFormatting>
  <conditionalFormatting sqref="X434">
    <cfRule type="cellIs" dxfId="0" priority="2666" operator="equal">
      <formula>"欠"</formula>
    </cfRule>
  </conditionalFormatting>
  <conditionalFormatting sqref="AE434">
    <cfRule type="cellIs" dxfId="2" priority="2657" operator="equal">
      <formula>"未完成"</formula>
    </cfRule>
    <cfRule type="cellIs" dxfId="0" priority="2658" operator="equal">
      <formula>"未完成"</formula>
    </cfRule>
  </conditionalFormatting>
  <conditionalFormatting sqref="S435">
    <cfRule type="containsText" dxfId="0" priority="5200" operator="between" text="欠">
      <formula>NOT(ISERROR(SEARCH("欠",S435)))</formula>
    </cfRule>
    <cfRule type="cellIs" dxfId="0" priority="5212" operator="equal">
      <formula>"欠"</formula>
    </cfRule>
  </conditionalFormatting>
  <conditionalFormatting sqref="T435:U435">
    <cfRule type="containsText" dxfId="0" priority="5128" operator="between" text="欠">
      <formula>NOT(ISERROR(SEARCH("欠",T435)))</formula>
    </cfRule>
    <cfRule type="cellIs" dxfId="0" priority="5140" operator="equal">
      <formula>"欠"</formula>
    </cfRule>
  </conditionalFormatting>
  <conditionalFormatting sqref="W435">
    <cfRule type="containsText" dxfId="0" priority="5152" operator="between" text="欠">
      <formula>NOT(ISERROR(SEARCH("欠",W435)))</formula>
    </cfRule>
    <cfRule type="containsText" dxfId="1" priority="5164" operator="between" text="欠">
      <formula>NOT(ISERROR(SEARCH("欠",W435)))</formula>
    </cfRule>
    <cfRule type="cellIs" dxfId="0" priority="5176" operator="equal">
      <formula>"欠"</formula>
    </cfRule>
  </conditionalFormatting>
  <conditionalFormatting sqref="X435">
    <cfRule type="cellIs" dxfId="0" priority="5188" operator="equal">
      <formula>"欠"</formula>
    </cfRule>
  </conditionalFormatting>
  <conditionalFormatting sqref="AE435">
    <cfRule type="cellIs" dxfId="2" priority="5104" operator="equal">
      <formula>"未完成"</formula>
    </cfRule>
    <cfRule type="cellIs" dxfId="0" priority="5116" operator="equal">
      <formula>"未完成"</formula>
    </cfRule>
  </conditionalFormatting>
  <conditionalFormatting sqref="T436:U436">
    <cfRule type="containsText" dxfId="0" priority="4656" operator="between" text="欠">
      <formula>NOT(ISERROR(SEARCH("欠",T436)))</formula>
    </cfRule>
    <cfRule type="cellIs" dxfId="0" priority="4657" operator="equal">
      <formula>"欠"</formula>
    </cfRule>
  </conditionalFormatting>
  <conditionalFormatting sqref="V436">
    <cfRule type="containsText" dxfId="0" priority="4651" operator="between" text="欠">
      <formula>NOT(ISERROR(SEARCH("欠",V436)))</formula>
    </cfRule>
    <cfRule type="containsText" dxfId="1" priority="4652" operator="between" text="欠">
      <formula>NOT(ISERROR(SEARCH("欠",V436)))</formula>
    </cfRule>
    <cfRule type="cellIs" dxfId="0" priority="4653" operator="equal">
      <formula>"欠"</formula>
    </cfRule>
  </conditionalFormatting>
  <conditionalFormatting sqref="W436">
    <cfRule type="containsText" dxfId="0" priority="4658" operator="between" text="欠">
      <formula>NOT(ISERROR(SEARCH("欠",W436)))</formula>
    </cfRule>
    <cfRule type="containsText" dxfId="1" priority="4659" operator="between" text="欠">
      <formula>NOT(ISERROR(SEARCH("欠",W436)))</formula>
    </cfRule>
    <cfRule type="cellIs" dxfId="0" priority="4660" operator="equal">
      <formula>"欠"</formula>
    </cfRule>
  </conditionalFormatting>
  <conditionalFormatting sqref="X436">
    <cfRule type="cellIs" dxfId="0" priority="4661" operator="equal">
      <formula>"欠"</formula>
    </cfRule>
  </conditionalFormatting>
  <conditionalFormatting sqref="AE436">
    <cfRule type="cellIs" dxfId="2" priority="4662" operator="equal">
      <formula>"未完成"</formula>
    </cfRule>
    <cfRule type="cellIs" dxfId="0" priority="4663" operator="equal">
      <formula>"未完成"</formula>
    </cfRule>
  </conditionalFormatting>
  <conditionalFormatting sqref="T438:U438">
    <cfRule type="containsText" dxfId="0" priority="5698" operator="between" text="欠">
      <formula>NOT(ISERROR(SEARCH("欠",T438)))</formula>
    </cfRule>
    <cfRule type="cellIs" dxfId="0" priority="5699" operator="equal">
      <formula>"欠"</formula>
    </cfRule>
  </conditionalFormatting>
  <conditionalFormatting sqref="W438">
    <cfRule type="containsText" dxfId="0" priority="5700" operator="between" text="欠">
      <formula>NOT(ISERROR(SEARCH("欠",W438)))</formula>
    </cfRule>
    <cfRule type="containsText" dxfId="1" priority="5701" operator="between" text="欠">
      <formula>NOT(ISERROR(SEARCH("欠",W438)))</formula>
    </cfRule>
    <cfRule type="cellIs" dxfId="0" priority="5702" operator="equal">
      <formula>"欠"</formula>
    </cfRule>
  </conditionalFormatting>
  <conditionalFormatting sqref="X438">
    <cfRule type="cellIs" dxfId="0" priority="5703" operator="equal">
      <formula>"欠"</formula>
    </cfRule>
  </conditionalFormatting>
  <conditionalFormatting sqref="AE438">
    <cfRule type="cellIs" dxfId="2" priority="5694" operator="equal">
      <formula>"未完成"</formula>
    </cfRule>
    <cfRule type="cellIs" dxfId="0" priority="5695" operator="equal">
      <formula>"未完成"</formula>
    </cfRule>
  </conditionalFormatting>
  <conditionalFormatting sqref="S439">
    <cfRule type="containsText" dxfId="0" priority="4990" operator="between" text="欠">
      <formula>NOT(ISERROR(SEARCH("欠",S439)))</formula>
    </cfRule>
    <cfRule type="cellIs" dxfId="0" priority="4991" operator="equal">
      <formula>"欠"</formula>
    </cfRule>
  </conditionalFormatting>
  <conditionalFormatting sqref="T439:U439">
    <cfRule type="containsText" dxfId="0" priority="4987" operator="between" text="欠">
      <formula>NOT(ISERROR(SEARCH("欠",T439)))</formula>
    </cfRule>
    <cfRule type="cellIs" dxfId="0" priority="4988" operator="equal">
      <formula>"欠"</formula>
    </cfRule>
  </conditionalFormatting>
  <conditionalFormatting sqref="AE439">
    <cfRule type="cellIs" dxfId="2" priority="5020" operator="equal">
      <formula>"未完成"</formula>
    </cfRule>
    <cfRule type="cellIs" dxfId="0" priority="5021" operator="equal">
      <formula>"未完成"</formula>
    </cfRule>
  </conditionalFormatting>
  <conditionalFormatting sqref="V440:W440">
    <cfRule type="containsText" dxfId="0" priority="1237" operator="between" text="欠">
      <formula>NOT(ISERROR(SEARCH("欠",V440)))</formula>
    </cfRule>
    <cfRule type="containsText" dxfId="1" priority="1243" operator="between" text="欠">
      <formula>NOT(ISERROR(SEARCH("欠",V440)))</formula>
    </cfRule>
    <cfRule type="cellIs" dxfId="0" priority="1249" operator="equal">
      <formula>"欠"</formula>
    </cfRule>
  </conditionalFormatting>
  <conditionalFormatting sqref="X440">
    <cfRule type="cellIs" dxfId="0" priority="1255" operator="equal">
      <formula>"欠"</formula>
    </cfRule>
  </conditionalFormatting>
  <conditionalFormatting sqref="AE440">
    <cfRule type="cellIs" dxfId="2" priority="1213" operator="equal">
      <formula>"未完成"</formula>
    </cfRule>
    <cfRule type="cellIs" dxfId="0" priority="1219" operator="equal">
      <formula>"未完成"</formula>
    </cfRule>
  </conditionalFormatting>
  <conditionalFormatting sqref="V441:W441">
    <cfRule type="containsText" dxfId="0" priority="1236" operator="between" text="欠">
      <formula>NOT(ISERROR(SEARCH("欠",V441)))</formula>
    </cfRule>
    <cfRule type="containsText" dxfId="1" priority="1242" operator="between" text="欠">
      <formula>NOT(ISERROR(SEARCH("欠",V441)))</formula>
    </cfRule>
    <cfRule type="cellIs" dxfId="0" priority="1248" operator="equal">
      <formula>"欠"</formula>
    </cfRule>
  </conditionalFormatting>
  <conditionalFormatting sqref="X441">
    <cfRule type="cellIs" dxfId="0" priority="1254" operator="equal">
      <formula>"欠"</formula>
    </cfRule>
  </conditionalFormatting>
  <conditionalFormatting sqref="AE441">
    <cfRule type="cellIs" dxfId="2" priority="1212" operator="equal">
      <formula>"未完成"</formula>
    </cfRule>
    <cfRule type="cellIs" dxfId="0" priority="1218" operator="equal">
      <formula>"未完成"</formula>
    </cfRule>
  </conditionalFormatting>
  <conditionalFormatting sqref="V442:W442">
    <cfRule type="containsText" dxfId="0" priority="2273" operator="between" text="欠">
      <formula>NOT(ISERROR(SEARCH("欠",V442)))</formula>
    </cfRule>
    <cfRule type="containsText" dxfId="1" priority="2290" operator="between" text="欠">
      <formula>NOT(ISERROR(SEARCH("欠",V442)))</formula>
    </cfRule>
    <cfRule type="cellIs" dxfId="0" priority="2307" operator="equal">
      <formula>"欠"</formula>
    </cfRule>
  </conditionalFormatting>
  <conditionalFormatting sqref="AE442">
    <cfRule type="cellIs" dxfId="2" priority="2205" operator="equal">
      <formula>"未完成"</formula>
    </cfRule>
    <cfRule type="cellIs" dxfId="0" priority="2222" operator="equal">
      <formula>"未完成"</formula>
    </cfRule>
  </conditionalFormatting>
  <conditionalFormatting sqref="W443">
    <cfRule type="containsText" dxfId="0" priority="732" operator="between" text="欠">
      <formula>NOT(ISERROR(SEARCH("欠",W443)))</formula>
    </cfRule>
    <cfRule type="containsText" dxfId="1" priority="750" operator="between" text="欠">
      <formula>NOT(ISERROR(SEARCH("欠",W443)))</formula>
    </cfRule>
    <cfRule type="cellIs" dxfId="0" priority="768" operator="equal">
      <formula>"欠"</formula>
    </cfRule>
  </conditionalFormatting>
  <conditionalFormatting sqref="X443">
    <cfRule type="cellIs" dxfId="0" priority="786" operator="equal">
      <formula>"欠"</formula>
    </cfRule>
  </conditionalFormatting>
  <conditionalFormatting sqref="V444:W444">
    <cfRule type="containsText" dxfId="0" priority="5148" operator="between" text="欠">
      <formula>NOT(ISERROR(SEARCH("欠",V444)))</formula>
    </cfRule>
    <cfRule type="containsText" dxfId="1" priority="5160" operator="between" text="欠">
      <formula>NOT(ISERROR(SEARCH("欠",V444)))</formula>
    </cfRule>
    <cfRule type="cellIs" dxfId="0" priority="5172" operator="equal">
      <formula>"欠"</formula>
    </cfRule>
  </conditionalFormatting>
  <conditionalFormatting sqref="X444">
    <cfRule type="cellIs" dxfId="0" priority="5184" operator="equal">
      <formula>"欠"</formula>
    </cfRule>
  </conditionalFormatting>
  <conditionalFormatting sqref="V447:W447">
    <cfRule type="containsText" dxfId="0" priority="5269" operator="between" text="欠">
      <formula>NOT(ISERROR(SEARCH("欠",V447)))</formula>
    </cfRule>
    <cfRule type="containsText" dxfId="1" priority="5276" operator="between" text="欠">
      <formula>NOT(ISERROR(SEARCH("欠",V447)))</formula>
    </cfRule>
    <cfRule type="cellIs" dxfId="0" priority="5283" operator="equal">
      <formula>"欠"</formula>
    </cfRule>
  </conditionalFormatting>
  <conditionalFormatting sqref="X447">
    <cfRule type="cellIs" dxfId="0" priority="5290" operator="equal">
      <formula>"欠"</formula>
    </cfRule>
  </conditionalFormatting>
  <conditionalFormatting sqref="W449">
    <cfRule type="containsText" dxfId="0" priority="735" operator="between" text="欠">
      <formula>NOT(ISERROR(SEARCH("欠",W449)))</formula>
    </cfRule>
    <cfRule type="containsText" dxfId="1" priority="753" operator="between" text="欠">
      <formula>NOT(ISERROR(SEARCH("欠",W449)))</formula>
    </cfRule>
    <cfRule type="cellIs" dxfId="0" priority="771" operator="equal">
      <formula>"欠"</formula>
    </cfRule>
  </conditionalFormatting>
  <conditionalFormatting sqref="X449">
    <cfRule type="cellIs" dxfId="0" priority="789" operator="equal">
      <formula>"欠"</formula>
    </cfRule>
  </conditionalFormatting>
  <conditionalFormatting sqref="S454">
    <cfRule type="containsText" dxfId="0" priority="5985" operator="between" text="欠">
      <formula>NOT(ISERROR(SEARCH("欠",S454)))</formula>
    </cfRule>
    <cfRule type="cellIs" dxfId="0" priority="5986" operator="equal">
      <formula>"欠"</formula>
    </cfRule>
  </conditionalFormatting>
  <conditionalFormatting sqref="V454">
    <cfRule type="containsText" dxfId="0" priority="5977" operator="between" text="欠">
      <formula>NOT(ISERROR(SEARCH("欠",V454)))</formula>
    </cfRule>
    <cfRule type="containsText" dxfId="1" priority="5978" operator="between" text="欠">
      <formula>NOT(ISERROR(SEARCH("欠",V454)))</formula>
    </cfRule>
    <cfRule type="cellIs" dxfId="0" priority="5979" operator="equal">
      <formula>"欠"</formula>
    </cfRule>
  </conditionalFormatting>
  <conditionalFormatting sqref="W454">
    <cfRule type="containsText" dxfId="0" priority="5980" operator="between" text="欠">
      <formula>NOT(ISERROR(SEARCH("欠",W454)))</formula>
    </cfRule>
    <cfRule type="containsText" dxfId="1" priority="5981" operator="between" text="欠">
      <formula>NOT(ISERROR(SEARCH("欠",W454)))</formula>
    </cfRule>
  </conditionalFormatting>
  <conditionalFormatting sqref="W454:X454">
    <cfRule type="cellIs" dxfId="0" priority="5982" operator="equal">
      <formula>"欠"</formula>
    </cfRule>
  </conditionalFormatting>
  <conditionalFormatting sqref="R455">
    <cfRule type="containsText" dxfId="0" priority="954" operator="between" text="欠">
      <formula>NOT(ISERROR(SEARCH("欠",R455)))</formula>
    </cfRule>
  </conditionalFormatting>
  <conditionalFormatting sqref="S455">
    <cfRule type="containsText" dxfId="0" priority="948" operator="between" text="欠">
      <formula>NOT(ISERROR(SEARCH("欠",S455)))</formula>
    </cfRule>
    <cfRule type="cellIs" dxfId="0" priority="951" operator="equal">
      <formula>"欠"</formula>
    </cfRule>
  </conditionalFormatting>
  <conditionalFormatting sqref="T455:U455">
    <cfRule type="containsText" dxfId="0" priority="963" operator="between" text="欠">
      <formula>NOT(ISERROR(SEARCH("欠",T455)))</formula>
    </cfRule>
    <cfRule type="cellIs" dxfId="0" priority="966" operator="equal">
      <formula>"欠"</formula>
    </cfRule>
  </conditionalFormatting>
  <conditionalFormatting sqref="V455:W455">
    <cfRule type="containsText" dxfId="0" priority="969" operator="between" text="欠">
      <formula>NOT(ISERROR(SEARCH("欠",V455)))</formula>
    </cfRule>
    <cfRule type="containsText" dxfId="1" priority="972" operator="between" text="欠">
      <formula>NOT(ISERROR(SEARCH("欠",V455)))</formula>
    </cfRule>
    <cfRule type="cellIs" dxfId="0" priority="975" operator="equal">
      <formula>"欠"</formula>
    </cfRule>
  </conditionalFormatting>
  <conditionalFormatting sqref="X455">
    <cfRule type="cellIs" dxfId="0" priority="978" operator="equal">
      <formula>"欠"</formula>
    </cfRule>
  </conditionalFormatting>
  <conditionalFormatting sqref="AE455">
    <cfRule type="cellIs" dxfId="2" priority="957" operator="equal">
      <formula>"未完成"</formula>
    </cfRule>
    <cfRule type="cellIs" dxfId="0" priority="960" operator="equal">
      <formula>"未完成"</formula>
    </cfRule>
  </conditionalFormatting>
  <conditionalFormatting sqref="R456">
    <cfRule type="containsText" dxfId="0" priority="410" operator="between" text="欠">
      <formula>NOT(ISERROR(SEARCH("欠",R456)))</formula>
    </cfRule>
  </conditionalFormatting>
  <conditionalFormatting sqref="T456:U456">
    <cfRule type="containsText" dxfId="0" priority="434" operator="between" text="欠">
      <formula>NOT(ISERROR(SEARCH("欠",T456)))</formula>
    </cfRule>
    <cfRule type="cellIs" dxfId="0" priority="440" operator="equal">
      <formula>"欠"</formula>
    </cfRule>
  </conditionalFormatting>
  <conditionalFormatting sqref="V456:W456">
    <cfRule type="containsText" dxfId="0" priority="446" operator="between" text="欠">
      <formula>NOT(ISERROR(SEARCH("欠",V456)))</formula>
    </cfRule>
    <cfRule type="containsText" dxfId="1" priority="452" operator="between" text="欠">
      <formula>NOT(ISERROR(SEARCH("欠",V456)))</formula>
    </cfRule>
    <cfRule type="cellIs" dxfId="0" priority="458" operator="equal">
      <formula>"欠"</formula>
    </cfRule>
  </conditionalFormatting>
  <conditionalFormatting sqref="X456">
    <cfRule type="cellIs" dxfId="0" priority="464" operator="equal">
      <formula>"欠"</formula>
    </cfRule>
  </conditionalFormatting>
  <conditionalFormatting sqref="AE456">
    <cfRule type="cellIs" dxfId="2" priority="422" operator="equal">
      <formula>"未完成"</formula>
    </cfRule>
    <cfRule type="cellIs" dxfId="0" priority="428" operator="equal">
      <formula>"未完成"</formula>
    </cfRule>
  </conditionalFormatting>
  <conditionalFormatting sqref="W457">
    <cfRule type="containsText" dxfId="0" priority="2833" operator="between" text="欠">
      <formula>NOT(ISERROR(SEARCH("欠",W457)))</formula>
    </cfRule>
    <cfRule type="containsText" dxfId="1" priority="2836" operator="between" text="欠">
      <formula>NOT(ISERROR(SEARCH("欠",W457)))</formula>
    </cfRule>
    <cfRule type="cellIs" dxfId="0" priority="2839" operator="equal">
      <formula>"欠"</formula>
    </cfRule>
  </conditionalFormatting>
  <conditionalFormatting sqref="X457">
    <cfRule type="cellIs" dxfId="0" priority="2842" operator="equal">
      <formula>"欠"</formula>
    </cfRule>
  </conditionalFormatting>
  <conditionalFormatting sqref="AE457">
    <cfRule type="cellIs" dxfId="2" priority="2821" operator="equal">
      <formula>"未完成"</formula>
    </cfRule>
    <cfRule type="cellIs" dxfId="0" priority="2824" operator="equal">
      <formula>"未完成"</formula>
    </cfRule>
  </conditionalFormatting>
  <conditionalFormatting sqref="V459:W459">
    <cfRule type="containsText" dxfId="0" priority="6058" operator="between" text="欠">
      <formula>NOT(ISERROR(SEARCH("欠",V459)))</formula>
    </cfRule>
    <cfRule type="containsText" dxfId="1" priority="6068" operator="between" text="欠">
      <formula>NOT(ISERROR(SEARCH("欠",V459)))</formula>
    </cfRule>
    <cfRule type="cellIs" dxfId="0" priority="6078" operator="equal">
      <formula>"欠"</formula>
    </cfRule>
  </conditionalFormatting>
  <conditionalFormatting sqref="X459">
    <cfRule type="cellIs" dxfId="0" priority="6088" operator="equal">
      <formula>"欠"</formula>
    </cfRule>
  </conditionalFormatting>
  <conditionalFormatting sqref="V460:W460">
    <cfRule type="containsText" dxfId="0" priority="3742" operator="between" text="欠">
      <formula>NOT(ISERROR(SEARCH("欠",V460)))</formula>
    </cfRule>
    <cfRule type="containsText" dxfId="1" priority="3758" operator="between" text="欠">
      <formula>NOT(ISERROR(SEARCH("欠",V460)))</formula>
    </cfRule>
    <cfRule type="cellIs" dxfId="0" priority="3774" operator="equal">
      <formula>"欠"</formula>
    </cfRule>
  </conditionalFormatting>
  <conditionalFormatting sqref="X460">
    <cfRule type="cellIs" dxfId="0" priority="3790" operator="equal">
      <formula>"欠"</formula>
    </cfRule>
  </conditionalFormatting>
  <conditionalFormatting sqref="AE460">
    <cfRule type="cellIs" dxfId="2" priority="3678" operator="equal">
      <formula>"未完成"</formula>
    </cfRule>
    <cfRule type="cellIs" dxfId="0" priority="3694" operator="equal">
      <formula>"未完成"</formula>
    </cfRule>
  </conditionalFormatting>
  <conditionalFormatting sqref="W461">
    <cfRule type="containsText" dxfId="0" priority="1813" operator="between" text="欠">
      <formula>NOT(ISERROR(SEARCH("欠",W461)))</formula>
    </cfRule>
    <cfRule type="containsText" dxfId="1" priority="1821" operator="between" text="欠">
      <formula>NOT(ISERROR(SEARCH("欠",W461)))</formula>
    </cfRule>
    <cfRule type="cellIs" dxfId="0" priority="1829" operator="equal">
      <formula>"欠"</formula>
    </cfRule>
  </conditionalFormatting>
  <conditionalFormatting sqref="X461">
    <cfRule type="cellIs" dxfId="0" priority="1837" operator="equal">
      <formula>"欠"</formula>
    </cfRule>
  </conditionalFormatting>
  <conditionalFormatting sqref="AE461">
    <cfRule type="cellIs" dxfId="2" priority="1781" operator="equal">
      <formula>"未完成"</formula>
    </cfRule>
    <cfRule type="cellIs" dxfId="0" priority="1789" operator="equal">
      <formula>"未完成"</formula>
    </cfRule>
  </conditionalFormatting>
  <conditionalFormatting sqref="W462">
    <cfRule type="containsText" dxfId="0" priority="1812" operator="between" text="欠">
      <formula>NOT(ISERROR(SEARCH("欠",W462)))</formula>
    </cfRule>
    <cfRule type="containsText" dxfId="1" priority="1820" operator="between" text="欠">
      <formula>NOT(ISERROR(SEARCH("欠",W462)))</formula>
    </cfRule>
    <cfRule type="cellIs" dxfId="0" priority="1828" operator="equal">
      <formula>"欠"</formula>
    </cfRule>
  </conditionalFormatting>
  <conditionalFormatting sqref="X462">
    <cfRule type="cellIs" dxfId="0" priority="1836" operator="equal">
      <formula>"欠"</formula>
    </cfRule>
  </conditionalFormatting>
  <conditionalFormatting sqref="AE462">
    <cfRule type="cellIs" dxfId="2" priority="1780" operator="equal">
      <formula>"未完成"</formula>
    </cfRule>
    <cfRule type="cellIs" dxfId="0" priority="1788" operator="equal">
      <formula>"未完成"</formula>
    </cfRule>
  </conditionalFormatting>
  <conditionalFormatting sqref="W463">
    <cfRule type="containsText" dxfId="0" priority="736" operator="between" text="欠">
      <formula>NOT(ISERROR(SEARCH("欠",W463)))</formula>
    </cfRule>
    <cfRule type="containsText" dxfId="1" priority="754" operator="between" text="欠">
      <formula>NOT(ISERROR(SEARCH("欠",W463)))</formula>
    </cfRule>
    <cfRule type="cellIs" dxfId="0" priority="772" operator="equal">
      <formula>"欠"</formula>
    </cfRule>
  </conditionalFormatting>
  <conditionalFormatting sqref="X463">
    <cfRule type="cellIs" dxfId="0" priority="790" operator="equal">
      <formula>"欠"</formula>
    </cfRule>
  </conditionalFormatting>
  <conditionalFormatting sqref="V466:W466">
    <cfRule type="containsText" dxfId="0" priority="3025" operator="between" text="欠">
      <formula>NOT(ISERROR(SEARCH("欠",V466)))</formula>
    </cfRule>
    <cfRule type="containsText" dxfId="1" priority="3047" operator="between" text="欠">
      <formula>NOT(ISERROR(SEARCH("欠",V466)))</formula>
    </cfRule>
    <cfRule type="cellIs" dxfId="0" priority="3069" operator="equal">
      <formula>"欠"</formula>
    </cfRule>
  </conditionalFormatting>
  <conditionalFormatting sqref="X466">
    <cfRule type="cellIs" dxfId="0" priority="3091" operator="equal">
      <formula>"欠"</formula>
    </cfRule>
  </conditionalFormatting>
  <conditionalFormatting sqref="AE466">
    <cfRule type="cellIs" dxfId="2" priority="2937" operator="equal">
      <formula>"未完成"</formula>
    </cfRule>
    <cfRule type="cellIs" dxfId="0" priority="2959" operator="equal">
      <formula>"未完成"</formula>
    </cfRule>
  </conditionalFormatting>
  <conditionalFormatting sqref="R468">
    <cfRule type="containsText" dxfId="0" priority="3835" operator="between" text="欠">
      <formula>NOT(ISERROR(SEARCH("欠",R468)))</formula>
    </cfRule>
  </conditionalFormatting>
  <conditionalFormatting sqref="T468:U468">
    <cfRule type="containsText" dxfId="0" priority="3833" operator="between" text="欠">
      <formula>NOT(ISERROR(SEARCH("欠",T468)))</formula>
    </cfRule>
    <cfRule type="cellIs" dxfId="0" priority="3834" operator="equal">
      <formula>"欠"</formula>
    </cfRule>
  </conditionalFormatting>
  <conditionalFormatting sqref="V468">
    <cfRule type="containsText" dxfId="0" priority="3942" operator="between" text="欠">
      <formula>NOT(ISERROR(SEARCH("欠",V468)))</formula>
    </cfRule>
    <cfRule type="containsText" dxfId="1" priority="3943" operator="between" text="欠">
      <formula>NOT(ISERROR(SEARCH("欠",V468)))</formula>
    </cfRule>
    <cfRule type="cellIs" dxfId="0" priority="3944" operator="equal">
      <formula>"欠"</formula>
    </cfRule>
  </conditionalFormatting>
  <conditionalFormatting sqref="W468">
    <cfRule type="containsText" dxfId="0" priority="3949" operator="between" text="欠">
      <formula>NOT(ISERROR(SEARCH("欠",W468)))</formula>
    </cfRule>
    <cfRule type="containsText" dxfId="1" priority="3950" operator="between" text="欠">
      <formula>NOT(ISERROR(SEARCH("欠",W468)))</formula>
    </cfRule>
    <cfRule type="cellIs" dxfId="0" priority="3951" operator="equal">
      <formula>"欠"</formula>
    </cfRule>
  </conditionalFormatting>
  <conditionalFormatting sqref="X468">
    <cfRule type="cellIs" dxfId="0" priority="3952" operator="equal">
      <formula>"欠"</formula>
    </cfRule>
  </conditionalFormatting>
  <conditionalFormatting sqref="AE468">
    <cfRule type="cellIs" dxfId="2" priority="3953" operator="equal">
      <formula>"未完成"</formula>
    </cfRule>
    <cfRule type="cellIs" dxfId="0" priority="3954" operator="equal">
      <formula>"未完成"</formula>
    </cfRule>
  </conditionalFormatting>
  <conditionalFormatting sqref="T472:U472">
    <cfRule type="containsText" dxfId="0" priority="4365" operator="between" text="欠">
      <formula>NOT(ISERROR(SEARCH("欠",T472)))</formula>
    </cfRule>
    <cfRule type="cellIs" dxfId="0" priority="4366" operator="equal">
      <formula>"欠"</formula>
    </cfRule>
  </conditionalFormatting>
  <conditionalFormatting sqref="V472:W472">
    <cfRule type="containsText" dxfId="0" priority="4360" operator="between" text="欠">
      <formula>NOT(ISERROR(SEARCH("欠",V472)))</formula>
    </cfRule>
    <cfRule type="containsText" dxfId="1" priority="4361" operator="between" text="欠">
      <formula>NOT(ISERROR(SEARCH("欠",V472)))</formula>
    </cfRule>
    <cfRule type="cellIs" dxfId="0" priority="4362" operator="equal">
      <formula>"欠"</formula>
    </cfRule>
  </conditionalFormatting>
  <conditionalFormatting sqref="X472">
    <cfRule type="cellIs" dxfId="0" priority="4363" operator="equal">
      <formula>"欠"</formula>
    </cfRule>
  </conditionalFormatting>
  <conditionalFormatting sqref="R473">
    <cfRule type="containsText" dxfId="0" priority="405" operator="between" text="欠">
      <formula>NOT(ISERROR(SEARCH("欠",R473)))</formula>
    </cfRule>
  </conditionalFormatting>
  <conditionalFormatting sqref="V473:W473">
    <cfRule type="containsText" dxfId="0" priority="441" operator="between" text="欠">
      <formula>NOT(ISERROR(SEARCH("欠",V473)))</formula>
    </cfRule>
    <cfRule type="containsText" dxfId="1" priority="447" operator="between" text="欠">
      <formula>NOT(ISERROR(SEARCH("欠",V473)))</formula>
    </cfRule>
    <cfRule type="cellIs" dxfId="0" priority="453" operator="equal">
      <formula>"欠"</formula>
    </cfRule>
  </conditionalFormatting>
  <conditionalFormatting sqref="X473">
    <cfRule type="cellIs" dxfId="0" priority="459" operator="equal">
      <formula>"欠"</formula>
    </cfRule>
  </conditionalFormatting>
  <conditionalFormatting sqref="AE473">
    <cfRule type="cellIs" dxfId="2" priority="417" operator="equal">
      <formula>"未完成"</formula>
    </cfRule>
    <cfRule type="cellIs" dxfId="0" priority="423" operator="equal">
      <formula>"未完成"</formula>
    </cfRule>
  </conditionalFormatting>
  <conditionalFormatting sqref="AE476">
    <cfRule type="cellIs" dxfId="2" priority="1438" operator="equal">
      <formula>"未完成"</formula>
    </cfRule>
    <cfRule type="cellIs" dxfId="0" priority="1443" operator="equal">
      <formula>"未完成"</formula>
    </cfRule>
  </conditionalFormatting>
  <conditionalFormatting sqref="W477">
    <cfRule type="containsText" dxfId="0" priority="734" operator="between" text="欠">
      <formula>NOT(ISERROR(SEARCH("欠",W477)))</formula>
    </cfRule>
    <cfRule type="containsText" dxfId="1" priority="752" operator="between" text="欠">
      <formula>NOT(ISERROR(SEARCH("欠",W477)))</formula>
    </cfRule>
    <cfRule type="cellIs" dxfId="0" priority="770" operator="equal">
      <formula>"欠"</formula>
    </cfRule>
  </conditionalFormatting>
  <conditionalFormatting sqref="X477">
    <cfRule type="cellIs" dxfId="0" priority="788" operator="equal">
      <formula>"欠"</formula>
    </cfRule>
  </conditionalFormatting>
  <conditionalFormatting sqref="V479:W479">
    <cfRule type="containsText" dxfId="0" priority="143" operator="between" text="欠">
      <formula>NOT(ISERROR(SEARCH("欠",V479)))</formula>
    </cfRule>
    <cfRule type="containsText" dxfId="1" priority="147" operator="between" text="欠">
      <formula>NOT(ISERROR(SEARCH("欠",V479)))</formula>
    </cfRule>
    <cfRule type="cellIs" dxfId="0" priority="151" operator="equal">
      <formula>"欠"</formula>
    </cfRule>
  </conditionalFormatting>
  <conditionalFormatting sqref="X479">
    <cfRule type="cellIs" dxfId="0" priority="155" operator="equal">
      <formula>"欠"</formula>
    </cfRule>
  </conditionalFormatting>
  <conditionalFormatting sqref="AE479">
    <cfRule type="cellIs" dxfId="2" priority="127" operator="equal">
      <formula>"未完成"</formula>
    </cfRule>
    <cfRule type="cellIs" dxfId="0" priority="131" operator="equal">
      <formula>"未完成"</formula>
    </cfRule>
  </conditionalFormatting>
  <conditionalFormatting sqref="U480">
    <cfRule type="containsText" dxfId="0" priority="1984" operator="between" text="欠">
      <formula>NOT(ISERROR(SEARCH("欠",U480)))</formula>
    </cfRule>
    <cfRule type="cellIs" dxfId="0" priority="1985" operator="equal">
      <formula>"欠"</formula>
    </cfRule>
  </conditionalFormatting>
  <conditionalFormatting sqref="V480:W480">
    <cfRule type="containsText" dxfId="0" priority="1986" operator="between" text="欠">
      <formula>NOT(ISERROR(SEARCH("欠",V480)))</formula>
    </cfRule>
    <cfRule type="containsText" dxfId="1" priority="1987" operator="between" text="欠">
      <formula>NOT(ISERROR(SEARCH("欠",V480)))</formula>
    </cfRule>
    <cfRule type="cellIs" dxfId="0" priority="1988" operator="equal">
      <formula>"欠"</formula>
    </cfRule>
  </conditionalFormatting>
  <conditionalFormatting sqref="X480">
    <cfRule type="cellIs" dxfId="0" priority="1989" operator="equal">
      <formula>"欠"</formula>
    </cfRule>
  </conditionalFormatting>
  <conditionalFormatting sqref="AE480">
    <cfRule type="cellIs" dxfId="2" priority="1982" operator="equal">
      <formula>"未完成"</formula>
    </cfRule>
    <cfRule type="cellIs" dxfId="0" priority="1983" operator="equal">
      <formula>"未完成"</formula>
    </cfRule>
  </conditionalFormatting>
  <conditionalFormatting sqref="V481:W481">
    <cfRule type="containsText" dxfId="0" priority="1816" operator="between" text="欠">
      <formula>NOT(ISERROR(SEARCH("欠",V481)))</formula>
    </cfRule>
    <cfRule type="containsText" dxfId="1" priority="1824" operator="between" text="欠">
      <formula>NOT(ISERROR(SEARCH("欠",V481)))</formula>
    </cfRule>
    <cfRule type="cellIs" dxfId="0" priority="1832" operator="equal">
      <formula>"欠"</formula>
    </cfRule>
  </conditionalFormatting>
  <conditionalFormatting sqref="X481">
    <cfRule type="cellIs" dxfId="0" priority="1840" operator="equal">
      <formula>"欠"</formula>
    </cfRule>
  </conditionalFormatting>
  <conditionalFormatting sqref="S487">
    <cfRule type="containsText" dxfId="0" priority="555" operator="between" text="欠">
      <formula>NOT(ISERROR(SEARCH("欠",S487)))</formula>
    </cfRule>
    <cfRule type="cellIs" dxfId="0" priority="557" operator="equal">
      <formula>"欠"</formula>
    </cfRule>
  </conditionalFormatting>
  <conditionalFormatting sqref="T487:U487">
    <cfRule type="containsText" dxfId="0" priority="543" operator="between" text="欠">
      <formula>NOT(ISERROR(SEARCH("欠",T487)))</formula>
    </cfRule>
    <cfRule type="cellIs" dxfId="0" priority="545" operator="equal">
      <formula>"欠"</formula>
    </cfRule>
  </conditionalFormatting>
  <conditionalFormatting sqref="V487:W487">
    <cfRule type="containsText" dxfId="0" priority="547" operator="between" text="欠">
      <formula>NOT(ISERROR(SEARCH("欠",V487)))</formula>
    </cfRule>
    <cfRule type="containsText" dxfId="1" priority="549" operator="between" text="欠">
      <formula>NOT(ISERROR(SEARCH("欠",V487)))</formula>
    </cfRule>
    <cfRule type="cellIs" dxfId="0" priority="551" operator="equal">
      <formula>"欠"</formula>
    </cfRule>
  </conditionalFormatting>
  <conditionalFormatting sqref="X487">
    <cfRule type="cellIs" dxfId="0" priority="553" operator="equal">
      <formula>"欠"</formula>
    </cfRule>
  </conditionalFormatting>
  <conditionalFormatting sqref="V488:W488">
    <cfRule type="containsText" dxfId="0" priority="1308" operator="between" text="欠">
      <formula>NOT(ISERROR(SEARCH("欠",V488)))</formula>
    </cfRule>
    <cfRule type="containsText" dxfId="1" priority="1309" operator="between" text="欠">
      <formula>NOT(ISERROR(SEARCH("欠",V488)))</formula>
    </cfRule>
    <cfRule type="cellIs" dxfId="0" priority="1310" operator="equal">
      <formula>"欠"</formula>
    </cfRule>
  </conditionalFormatting>
  <conditionalFormatting sqref="X488">
    <cfRule type="cellIs" dxfId="0" priority="1311" operator="equal">
      <formula>"欠"</formula>
    </cfRule>
  </conditionalFormatting>
  <conditionalFormatting sqref="V490:W490">
    <cfRule type="containsText" dxfId="0" priority="1597" operator="between" text="欠">
      <formula>NOT(ISERROR(SEARCH("欠",V490)))</formula>
    </cfRule>
    <cfRule type="containsText" dxfId="1" priority="1608" operator="between" text="欠">
      <formula>NOT(ISERROR(SEARCH("欠",V490)))</formula>
    </cfRule>
    <cfRule type="cellIs" dxfId="0" priority="1619" operator="equal">
      <formula>"欠"</formula>
    </cfRule>
  </conditionalFormatting>
  <conditionalFormatting sqref="X490">
    <cfRule type="cellIs" dxfId="0" priority="1630" operator="equal">
      <formula>"欠"</formula>
    </cfRule>
  </conditionalFormatting>
  <conditionalFormatting sqref="AE490">
    <cfRule type="cellIs" dxfId="2" priority="1553" operator="equal">
      <formula>"未完成"</formula>
    </cfRule>
    <cfRule type="cellIs" dxfId="0" priority="1564" operator="equal">
      <formula>"未完成"</formula>
    </cfRule>
  </conditionalFormatting>
  <conditionalFormatting sqref="R495">
    <cfRule type="containsText" dxfId="0" priority="201" operator="between" text="欠">
      <formula>NOT(ISERROR(SEARCH("欠",R495)))</formula>
    </cfRule>
  </conditionalFormatting>
  <conditionalFormatting sqref="T495:U495">
    <cfRule type="containsText" dxfId="0" priority="204" operator="between" text="欠">
      <formula>NOT(ISERROR(SEARCH("欠",T495)))</formula>
    </cfRule>
    <cfRule type="cellIs" dxfId="0" priority="205" operator="equal">
      <formula>"欠"</formula>
    </cfRule>
  </conditionalFormatting>
  <conditionalFormatting sqref="V495:W495">
    <cfRule type="containsText" dxfId="0" priority="209" operator="between" text="欠">
      <formula>NOT(ISERROR(SEARCH("欠",V495)))</formula>
    </cfRule>
    <cfRule type="containsText" dxfId="1" priority="210" operator="between" text="欠">
      <formula>NOT(ISERROR(SEARCH("欠",V495)))</formula>
    </cfRule>
    <cfRule type="cellIs" dxfId="0" priority="211" operator="equal">
      <formula>"欠"</formula>
    </cfRule>
  </conditionalFormatting>
  <conditionalFormatting sqref="X495">
    <cfRule type="cellIs" dxfId="0" priority="212" operator="equal">
      <formula>"欠"</formula>
    </cfRule>
  </conditionalFormatting>
  <conditionalFormatting sqref="AE495">
    <cfRule type="cellIs" dxfId="2" priority="207" operator="equal">
      <formula>"未完成"</formula>
    </cfRule>
    <cfRule type="cellIs" dxfId="0" priority="208" operator="equal">
      <formula>"未完成"</formula>
    </cfRule>
  </conditionalFormatting>
  <conditionalFormatting sqref="V496:W496">
    <cfRule type="containsText" dxfId="0" priority="1662" operator="between" text="欠">
      <formula>NOT(ISERROR(SEARCH("欠",V496)))</formula>
    </cfRule>
    <cfRule type="containsText" dxfId="1" priority="1663" operator="between" text="欠">
      <formula>NOT(ISERROR(SEARCH("欠",V496)))</formula>
    </cfRule>
    <cfRule type="cellIs" dxfId="0" priority="1664" operator="equal">
      <formula>"欠"</formula>
    </cfRule>
  </conditionalFormatting>
  <conditionalFormatting sqref="X496">
    <cfRule type="cellIs" dxfId="0" priority="1665" operator="equal">
      <formula>"欠"</formula>
    </cfRule>
  </conditionalFormatting>
  <conditionalFormatting sqref="AE496">
    <cfRule type="cellIs" dxfId="2" priority="1658" operator="equal">
      <formula>"未完成"</formula>
    </cfRule>
    <cfRule type="cellIs" dxfId="0" priority="1659" operator="equal">
      <formula>"未完成"</formula>
    </cfRule>
  </conditionalFormatting>
  <conditionalFormatting sqref="V497:W497">
    <cfRule type="containsText" dxfId="0" priority="1595" operator="between" text="欠">
      <formula>NOT(ISERROR(SEARCH("欠",V497)))</formula>
    </cfRule>
    <cfRule type="containsText" dxfId="1" priority="1606" operator="between" text="欠">
      <formula>NOT(ISERROR(SEARCH("欠",V497)))</formula>
    </cfRule>
    <cfRule type="cellIs" dxfId="0" priority="1617" operator="equal">
      <formula>"欠"</formula>
    </cfRule>
  </conditionalFormatting>
  <conditionalFormatting sqref="X497">
    <cfRule type="cellIs" dxfId="0" priority="1628" operator="equal">
      <formula>"欠"</formula>
    </cfRule>
  </conditionalFormatting>
  <conditionalFormatting sqref="AE497">
    <cfRule type="cellIs" dxfId="2" priority="1551" operator="equal">
      <formula>"未完成"</formula>
    </cfRule>
    <cfRule type="cellIs" dxfId="0" priority="1562" operator="equal">
      <formula>"未完成"</formula>
    </cfRule>
  </conditionalFormatting>
  <conditionalFormatting sqref="V500:W500">
    <cfRule type="containsText" dxfId="0" priority="745" operator="between" text="欠">
      <formula>NOT(ISERROR(SEARCH("欠",V500)))</formula>
    </cfRule>
    <cfRule type="containsText" dxfId="1" priority="763" operator="between" text="欠">
      <formula>NOT(ISERROR(SEARCH("欠",V500)))</formula>
    </cfRule>
    <cfRule type="cellIs" dxfId="0" priority="781" operator="equal">
      <formula>"欠"</formula>
    </cfRule>
  </conditionalFormatting>
  <conditionalFormatting sqref="X500">
    <cfRule type="cellIs" dxfId="0" priority="799" operator="equal">
      <formula>"欠"</formula>
    </cfRule>
  </conditionalFormatting>
  <conditionalFormatting sqref="AE500">
    <cfRule type="cellIs" dxfId="2" priority="673" operator="equal">
      <formula>"未完成"</formula>
    </cfRule>
    <cfRule type="cellIs" dxfId="0" priority="691" operator="equal">
      <formula>"未完成"</formula>
    </cfRule>
  </conditionalFormatting>
  <conditionalFormatting sqref="V502:W502">
    <cfRule type="containsText" dxfId="0" priority="343" operator="between" text="欠">
      <formula>NOT(ISERROR(SEARCH("欠",V502)))</formula>
    </cfRule>
    <cfRule type="containsText" dxfId="1" priority="355" operator="between" text="欠">
      <formula>NOT(ISERROR(SEARCH("欠",V502)))</formula>
    </cfRule>
    <cfRule type="cellIs" dxfId="0" priority="367" operator="equal">
      <formula>"欠"</formula>
    </cfRule>
  </conditionalFormatting>
  <conditionalFormatting sqref="X502">
    <cfRule type="cellIs" dxfId="0" priority="379" operator="equal">
      <formula>"欠"</formula>
    </cfRule>
  </conditionalFormatting>
  <conditionalFormatting sqref="AE502">
    <cfRule type="cellIs" dxfId="2" priority="295" operator="equal">
      <formula>"未完成"</formula>
    </cfRule>
    <cfRule type="cellIs" dxfId="0" priority="307" operator="equal">
      <formula>"未完成"</formula>
    </cfRule>
  </conditionalFormatting>
  <conditionalFormatting sqref="V503:W503">
    <cfRule type="containsText" dxfId="0" priority="2269" operator="between" text="欠">
      <formula>NOT(ISERROR(SEARCH("欠",V503)))</formula>
    </cfRule>
    <cfRule type="containsText" dxfId="1" priority="2286" operator="between" text="欠">
      <formula>NOT(ISERROR(SEARCH("欠",V503)))</formula>
    </cfRule>
    <cfRule type="cellIs" dxfId="0" priority="2303" operator="equal">
      <formula>"欠"</formula>
    </cfRule>
  </conditionalFormatting>
  <conditionalFormatting sqref="AE503">
    <cfRule type="cellIs" dxfId="2" priority="2201" operator="equal">
      <formula>"未完成"</formula>
    </cfRule>
    <cfRule type="cellIs" dxfId="0" priority="2218" operator="equal">
      <formula>"未完成"</formula>
    </cfRule>
  </conditionalFormatting>
  <conditionalFormatting sqref="W510">
    <cfRule type="containsText" dxfId="0" priority="733" operator="between" text="欠">
      <formula>NOT(ISERROR(SEARCH("欠",W510)))</formula>
    </cfRule>
    <cfRule type="containsText" dxfId="1" priority="751" operator="between" text="欠">
      <formula>NOT(ISERROR(SEARCH("欠",W510)))</formula>
    </cfRule>
    <cfRule type="cellIs" dxfId="0" priority="769" operator="equal">
      <formula>"欠"</formula>
    </cfRule>
  </conditionalFormatting>
  <conditionalFormatting sqref="X510">
    <cfRule type="cellIs" dxfId="0" priority="787" operator="equal">
      <formula>"欠"</formula>
    </cfRule>
  </conditionalFormatting>
  <conditionalFormatting sqref="V513:W513">
    <cfRule type="containsText" dxfId="0" priority="5150" operator="between" text="欠">
      <formula>NOT(ISERROR(SEARCH("欠",V513)))</formula>
    </cfRule>
    <cfRule type="containsText" dxfId="1" priority="5162" operator="between" text="欠">
      <formula>NOT(ISERROR(SEARCH("欠",V513)))</formula>
    </cfRule>
    <cfRule type="cellIs" dxfId="0" priority="5174" operator="equal">
      <formula>"欠"</formula>
    </cfRule>
  </conditionalFormatting>
  <conditionalFormatting sqref="X513">
    <cfRule type="cellIs" dxfId="0" priority="5186" operator="equal">
      <formula>"欠"</formula>
    </cfRule>
  </conditionalFormatting>
  <conditionalFormatting sqref="AE513">
    <cfRule type="cellIs" dxfId="2" priority="5102" operator="equal">
      <formula>"未完成"</formula>
    </cfRule>
    <cfRule type="cellIs" dxfId="0" priority="5114" operator="equal">
      <formula>"未完成"</formula>
    </cfRule>
  </conditionalFormatting>
  <conditionalFormatting sqref="R514">
    <cfRule type="containsText" dxfId="0" priority="852" operator="between" text="欠">
      <formula>NOT(ISERROR(SEARCH("欠",R514)))</formula>
    </cfRule>
  </conditionalFormatting>
  <conditionalFormatting sqref="T514:U514">
    <cfRule type="containsText" dxfId="0" priority="864" operator="between" text="欠">
      <formula>NOT(ISERROR(SEARCH("欠",T514)))</formula>
    </cfRule>
    <cfRule type="cellIs" dxfId="0" priority="868" operator="equal">
      <formula>"欠"</formula>
    </cfRule>
  </conditionalFormatting>
  <conditionalFormatting sqref="V514:W514">
    <cfRule type="containsText" dxfId="0" priority="872" operator="between" text="欠">
      <formula>NOT(ISERROR(SEARCH("欠",V514)))</formula>
    </cfRule>
    <cfRule type="containsText" dxfId="1" priority="876" operator="between" text="欠">
      <formula>NOT(ISERROR(SEARCH("欠",V514)))</formula>
    </cfRule>
    <cfRule type="cellIs" dxfId="0" priority="880" operator="equal">
      <formula>"欠"</formula>
    </cfRule>
  </conditionalFormatting>
  <conditionalFormatting sqref="X514">
    <cfRule type="cellIs" dxfId="0" priority="884" operator="equal">
      <formula>"欠"</formula>
    </cfRule>
  </conditionalFormatting>
  <conditionalFormatting sqref="AE514">
    <cfRule type="cellIs" dxfId="2" priority="856" operator="equal">
      <formula>"未完成"</formula>
    </cfRule>
    <cfRule type="cellIs" dxfId="0" priority="860" operator="equal">
      <formula>"未完成"</formula>
    </cfRule>
  </conditionalFormatting>
  <conditionalFormatting sqref="W515">
    <cfRule type="containsText" dxfId="0" priority="1103" operator="between" text="欠">
      <formula>NOT(ISERROR(SEARCH("欠",W515)))</formula>
    </cfRule>
    <cfRule type="containsText" dxfId="1" priority="1119" operator="between" text="欠">
      <formula>NOT(ISERROR(SEARCH("欠",W515)))</formula>
    </cfRule>
    <cfRule type="cellIs" dxfId="0" priority="1135" operator="equal">
      <formula>"欠"</formula>
    </cfRule>
  </conditionalFormatting>
  <conditionalFormatting sqref="AE515">
    <cfRule type="cellIs" dxfId="2" priority="1039" operator="equal">
      <formula>"未完成"</formula>
    </cfRule>
    <cfRule type="cellIs" dxfId="0" priority="1055" operator="equal">
      <formula>"未完成"</formula>
    </cfRule>
  </conditionalFormatting>
  <conditionalFormatting sqref="R516">
    <cfRule type="containsText" dxfId="0" priority="262" operator="between" text="欠">
      <formula>NOT(ISERROR(SEARCH("欠",R516)))</formula>
    </cfRule>
  </conditionalFormatting>
  <conditionalFormatting sqref="U516">
    <cfRule type="containsText" dxfId="0" priority="310" operator="between" text="欠">
      <formula>NOT(ISERROR(SEARCH("欠",U516)))</formula>
    </cfRule>
    <cfRule type="cellIs" dxfId="0" priority="322" operator="equal">
      <formula>"欠"</formula>
    </cfRule>
  </conditionalFormatting>
  <conditionalFormatting sqref="V516:W516">
    <cfRule type="containsText" dxfId="0" priority="334" operator="between" text="欠">
      <formula>NOT(ISERROR(SEARCH("欠",V516)))</formula>
    </cfRule>
    <cfRule type="containsText" dxfId="1" priority="346" operator="between" text="欠">
      <formula>NOT(ISERROR(SEARCH("欠",V516)))</formula>
    </cfRule>
    <cfRule type="cellIs" dxfId="0" priority="358" operator="equal">
      <formula>"欠"</formula>
    </cfRule>
  </conditionalFormatting>
  <conditionalFormatting sqref="X516">
    <cfRule type="cellIs" dxfId="0" priority="370" operator="equal">
      <formula>"欠"</formula>
    </cfRule>
  </conditionalFormatting>
  <conditionalFormatting sqref="AE516">
    <cfRule type="cellIs" dxfId="2" priority="286" operator="equal">
      <formula>"未完成"</formula>
    </cfRule>
    <cfRule type="cellIs" dxfId="0" priority="298" operator="equal">
      <formula>"未完成"</formula>
    </cfRule>
  </conditionalFormatting>
  <conditionalFormatting sqref="T517:U517">
    <cfRule type="containsText" dxfId="0" priority="2587" operator="between" text="欠">
      <formula>NOT(ISERROR(SEARCH("欠",T517)))</formula>
    </cfRule>
    <cfRule type="cellIs" dxfId="0" priority="2590" operator="equal">
      <formula>"欠"</formula>
    </cfRule>
  </conditionalFormatting>
  <conditionalFormatting sqref="W517">
    <cfRule type="containsText" dxfId="0" priority="2592" operator="between" text="欠">
      <formula>NOT(ISERROR(SEARCH("欠",W517)))</formula>
    </cfRule>
    <cfRule type="containsText" dxfId="1" priority="2595" operator="between" text="欠">
      <formula>NOT(ISERROR(SEARCH("欠",W517)))</formula>
    </cfRule>
    <cfRule type="cellIs" dxfId="0" priority="2598" operator="equal">
      <formula>"欠"</formula>
    </cfRule>
  </conditionalFormatting>
  <conditionalFormatting sqref="X517">
    <cfRule type="cellIs" dxfId="0" priority="2601" operator="equal">
      <formula>"欠"</formula>
    </cfRule>
  </conditionalFormatting>
  <conditionalFormatting sqref="AE517">
    <cfRule type="cellIs" dxfId="2" priority="2580" operator="equal">
      <formula>"未完成"</formula>
    </cfRule>
    <cfRule type="cellIs" dxfId="0" priority="2583" operator="equal">
      <formula>"未完成"</formula>
    </cfRule>
  </conditionalFormatting>
  <conditionalFormatting sqref="V521:W521">
    <cfRule type="containsText" dxfId="0" priority="5147" operator="between" text="欠">
      <formula>NOT(ISERROR(SEARCH("欠",V521)))</formula>
    </cfRule>
    <cfRule type="containsText" dxfId="1" priority="5159" operator="between" text="欠">
      <formula>NOT(ISERROR(SEARCH("欠",V521)))</formula>
    </cfRule>
    <cfRule type="cellIs" dxfId="0" priority="5171" operator="equal">
      <formula>"欠"</formula>
    </cfRule>
  </conditionalFormatting>
  <conditionalFormatting sqref="X521">
    <cfRule type="cellIs" dxfId="0" priority="5183" operator="equal">
      <formula>"欠"</formula>
    </cfRule>
  </conditionalFormatting>
  <conditionalFormatting sqref="AE521">
    <cfRule type="cellIs" dxfId="2" priority="5099" operator="equal">
      <formula>"未完成"</formula>
    </cfRule>
    <cfRule type="cellIs" dxfId="0" priority="5111" operator="equal">
      <formula>"未完成"</formula>
    </cfRule>
  </conditionalFormatting>
  <conditionalFormatting sqref="V522:W522">
    <cfRule type="containsText" dxfId="0" priority="3490" operator="between" text="欠">
      <formula>NOT(ISERROR(SEARCH("欠",V522)))</formula>
    </cfRule>
    <cfRule type="containsText" dxfId="1" priority="3518" operator="between" text="欠">
      <formula>NOT(ISERROR(SEARCH("欠",V522)))</formula>
    </cfRule>
    <cfRule type="cellIs" dxfId="0" priority="3546" operator="equal">
      <formula>"欠"</formula>
    </cfRule>
  </conditionalFormatting>
  <conditionalFormatting sqref="X522">
    <cfRule type="cellIs" dxfId="0" priority="3574" operator="equal">
      <formula>"欠"</formula>
    </cfRule>
  </conditionalFormatting>
  <conditionalFormatting sqref="T523:U523">
    <cfRule type="containsText" dxfId="0" priority="2785" operator="between" text="欠">
      <formula>NOT(ISERROR(SEARCH("欠",T523)))</formula>
    </cfRule>
    <cfRule type="cellIs" dxfId="0" priority="2787" operator="equal">
      <formula>"欠"</formula>
    </cfRule>
  </conditionalFormatting>
  <conditionalFormatting sqref="W523">
    <cfRule type="containsText" dxfId="0" priority="2793" operator="between" text="欠">
      <formula>NOT(ISERROR(SEARCH("欠",W523)))</formula>
    </cfRule>
    <cfRule type="containsText" dxfId="1" priority="2795" operator="between" text="欠">
      <formula>NOT(ISERROR(SEARCH("欠",W523)))</formula>
    </cfRule>
    <cfRule type="cellIs" dxfId="0" priority="2797" operator="equal">
      <formula>"欠"</formula>
    </cfRule>
  </conditionalFormatting>
  <conditionalFormatting sqref="X523">
    <cfRule type="cellIs" dxfId="0" priority="2799" operator="equal">
      <formula>"欠"</formula>
    </cfRule>
  </conditionalFormatting>
  <conditionalFormatting sqref="V525:W525">
    <cfRule type="containsText" dxfId="0" priority="1974" operator="between" text="欠">
      <formula>NOT(ISERROR(SEARCH("欠",V525)))</formula>
    </cfRule>
    <cfRule type="containsText" dxfId="1" priority="1975" operator="between" text="欠">
      <formula>NOT(ISERROR(SEARCH("欠",V525)))</formula>
    </cfRule>
    <cfRule type="cellIs" dxfId="0" priority="1976" operator="equal">
      <formula>"欠"</formula>
    </cfRule>
  </conditionalFormatting>
  <conditionalFormatting sqref="X525">
    <cfRule type="cellIs" dxfId="0" priority="1977" operator="equal">
      <formula>"欠"</formula>
    </cfRule>
  </conditionalFormatting>
  <conditionalFormatting sqref="AE525">
    <cfRule type="cellIs" dxfId="2" priority="1970" operator="equal">
      <formula>"未完成"</formula>
    </cfRule>
    <cfRule type="cellIs" dxfId="0" priority="1971" operator="equal">
      <formula>"未完成"</formula>
    </cfRule>
  </conditionalFormatting>
  <conditionalFormatting sqref="V526:W526">
    <cfRule type="containsText" dxfId="0" priority="6057" operator="between" text="欠">
      <formula>NOT(ISERROR(SEARCH("欠",V526)))</formula>
    </cfRule>
    <cfRule type="containsText" dxfId="1" priority="6067" operator="between" text="欠">
      <formula>NOT(ISERROR(SEARCH("欠",V526)))</formula>
    </cfRule>
    <cfRule type="cellIs" dxfId="0" priority="6077" operator="equal">
      <formula>"欠"</formula>
    </cfRule>
  </conditionalFormatting>
  <conditionalFormatting sqref="X526">
    <cfRule type="cellIs" dxfId="0" priority="6087" operator="equal">
      <formula>"欠"</formula>
    </cfRule>
  </conditionalFormatting>
  <conditionalFormatting sqref="V527">
    <cfRule type="containsText" dxfId="0" priority="4003" operator="between" text="欠">
      <formula>NOT(ISERROR(SEARCH("欠",V527)))</formula>
    </cfRule>
    <cfRule type="containsText" dxfId="1" priority="4005" operator="between" text="欠">
      <formula>NOT(ISERROR(SEARCH("欠",V527)))</formula>
    </cfRule>
    <cfRule type="cellIs" dxfId="0" priority="4007" operator="equal">
      <formula>"欠"</formula>
    </cfRule>
  </conditionalFormatting>
  <conditionalFormatting sqref="W527">
    <cfRule type="containsText" dxfId="0" priority="4017" operator="between" text="欠">
      <formula>NOT(ISERROR(SEARCH("欠",W527)))</formula>
    </cfRule>
    <cfRule type="containsText" dxfId="1" priority="4019" operator="between" text="欠">
      <formula>NOT(ISERROR(SEARCH("欠",W527)))</formula>
    </cfRule>
    <cfRule type="cellIs" dxfId="0" priority="4021" operator="equal">
      <formula>"欠"</formula>
    </cfRule>
  </conditionalFormatting>
  <conditionalFormatting sqref="X527">
    <cfRule type="cellIs" dxfId="0" priority="4023" operator="equal">
      <formula>"欠"</formula>
    </cfRule>
  </conditionalFormatting>
  <conditionalFormatting sqref="AE527">
    <cfRule type="cellIs" dxfId="2" priority="4025" operator="equal">
      <formula>"未完成"</formula>
    </cfRule>
    <cfRule type="cellIs" dxfId="0" priority="4027" operator="equal">
      <formula>"未完成"</formula>
    </cfRule>
  </conditionalFormatting>
  <conditionalFormatting sqref="V528:W528">
    <cfRule type="containsText" dxfId="0" priority="2277" operator="between" text="欠">
      <formula>NOT(ISERROR(SEARCH("欠",V528)))</formula>
    </cfRule>
    <cfRule type="containsText" dxfId="1" priority="2294" operator="between" text="欠">
      <formula>NOT(ISERROR(SEARCH("欠",V528)))</formula>
    </cfRule>
    <cfRule type="cellIs" dxfId="0" priority="2311" operator="equal">
      <formula>"欠"</formula>
    </cfRule>
  </conditionalFormatting>
  <conditionalFormatting sqref="X528">
    <cfRule type="cellIs" dxfId="0" priority="2328" operator="equal">
      <formula>"欠"</formula>
    </cfRule>
  </conditionalFormatting>
  <conditionalFormatting sqref="AE528">
    <cfRule type="cellIs" dxfId="2" priority="2209" operator="equal">
      <formula>"未完成"</formula>
    </cfRule>
    <cfRule type="cellIs" dxfId="0" priority="2226" operator="equal">
      <formula>"未完成"</formula>
    </cfRule>
  </conditionalFormatting>
  <conditionalFormatting sqref="V529:W529">
    <cfRule type="containsText" dxfId="0" priority="3494" operator="between" text="欠">
      <formula>NOT(ISERROR(SEARCH("欠",V529)))</formula>
    </cfRule>
    <cfRule type="containsText" dxfId="1" priority="3522" operator="between" text="欠">
      <formula>NOT(ISERROR(SEARCH("欠",V529)))</formula>
    </cfRule>
    <cfRule type="cellIs" dxfId="0" priority="3550" operator="equal">
      <formula>"欠"</formula>
    </cfRule>
  </conditionalFormatting>
  <conditionalFormatting sqref="X529">
    <cfRule type="cellIs" dxfId="0" priority="3578" operator="equal">
      <formula>"欠"</formula>
    </cfRule>
  </conditionalFormatting>
  <conditionalFormatting sqref="AE529">
    <cfRule type="cellIs" dxfId="2" priority="3382" operator="equal">
      <formula>"未完成"</formula>
    </cfRule>
    <cfRule type="cellIs" dxfId="0" priority="3410" operator="equal">
      <formula>"未完成"</formula>
    </cfRule>
  </conditionalFormatting>
  <conditionalFormatting sqref="W530">
    <cfRule type="containsText" dxfId="0" priority="870" operator="between" text="欠">
      <formula>NOT(ISERROR(SEARCH("欠",W530)))</formula>
    </cfRule>
    <cfRule type="containsText" dxfId="1" priority="874" operator="between" text="欠">
      <formula>NOT(ISERROR(SEARCH("欠",W530)))</formula>
    </cfRule>
    <cfRule type="cellIs" dxfId="0" priority="878" operator="equal">
      <formula>"欠"</formula>
    </cfRule>
  </conditionalFormatting>
  <conditionalFormatting sqref="AE530">
    <cfRule type="cellIs" dxfId="2" priority="854" operator="equal">
      <formula>"未完成"</formula>
    </cfRule>
    <cfRule type="cellIs" dxfId="0" priority="858" operator="equal">
      <formula>"未完成"</formula>
    </cfRule>
  </conditionalFormatting>
  <conditionalFormatting sqref="V531:W531">
    <cfRule type="containsText" dxfId="0" priority="442" operator="between" text="欠">
      <formula>NOT(ISERROR(SEARCH("欠",V531)))</formula>
    </cfRule>
    <cfRule type="containsText" dxfId="1" priority="448" operator="between" text="欠">
      <formula>NOT(ISERROR(SEARCH("欠",V531)))</formula>
    </cfRule>
    <cfRule type="cellIs" dxfId="0" priority="454" operator="equal">
      <formula>"欠"</formula>
    </cfRule>
  </conditionalFormatting>
  <conditionalFormatting sqref="X531">
    <cfRule type="cellIs" dxfId="0" priority="460" operator="equal">
      <formula>"欠"</formula>
    </cfRule>
  </conditionalFormatting>
  <conditionalFormatting sqref="AE531">
    <cfRule type="cellIs" dxfId="2" priority="418" operator="equal">
      <formula>"未完成"</formula>
    </cfRule>
    <cfRule type="cellIs" dxfId="0" priority="424" operator="equal">
      <formula>"未完成"</formula>
    </cfRule>
  </conditionalFormatting>
  <conditionalFormatting sqref="V532:W532">
    <cfRule type="containsText" dxfId="0" priority="3479" operator="between" text="欠">
      <formula>NOT(ISERROR(SEARCH("欠",V532)))</formula>
    </cfRule>
    <cfRule type="containsText" dxfId="1" priority="3507" operator="between" text="欠">
      <formula>NOT(ISERROR(SEARCH("欠",V532)))</formula>
    </cfRule>
    <cfRule type="cellIs" dxfId="0" priority="3535" operator="equal">
      <formula>"欠"</formula>
    </cfRule>
  </conditionalFormatting>
  <conditionalFormatting sqref="X532">
    <cfRule type="cellIs" dxfId="0" priority="3563" operator="equal">
      <formula>"欠"</formula>
    </cfRule>
  </conditionalFormatting>
  <conditionalFormatting sqref="AE532">
    <cfRule type="cellIs" dxfId="2" priority="3367" operator="equal">
      <formula>"未完成"</formula>
    </cfRule>
    <cfRule type="cellIs" dxfId="0" priority="3395" operator="equal">
      <formula>"未完成"</formula>
    </cfRule>
  </conditionalFormatting>
  <conditionalFormatting sqref="R533">
    <cfRule type="containsText" dxfId="0" priority="3641" operator="between" text="欠">
      <formula>NOT(ISERROR(SEARCH("欠",R533)))</formula>
    </cfRule>
  </conditionalFormatting>
  <conditionalFormatting sqref="U533">
    <cfRule type="containsText" dxfId="0" priority="3705" operator="between" text="欠">
      <formula>NOT(ISERROR(SEARCH("欠",U533)))</formula>
    </cfRule>
    <cfRule type="cellIs" dxfId="0" priority="3721" operator="equal">
      <formula>"欠"</formula>
    </cfRule>
  </conditionalFormatting>
  <conditionalFormatting sqref="W533">
    <cfRule type="containsText" dxfId="0" priority="3737" operator="between" text="欠">
      <formula>NOT(ISERROR(SEARCH("欠",W533)))</formula>
    </cfRule>
    <cfRule type="containsText" dxfId="1" priority="3753" operator="between" text="欠">
      <formula>NOT(ISERROR(SEARCH("欠",W533)))</formula>
    </cfRule>
    <cfRule type="cellIs" dxfId="0" priority="3769" operator="equal">
      <formula>"欠"</formula>
    </cfRule>
  </conditionalFormatting>
  <conditionalFormatting sqref="X533">
    <cfRule type="cellIs" dxfId="0" priority="3785" operator="equal">
      <formula>"欠"</formula>
    </cfRule>
  </conditionalFormatting>
  <conditionalFormatting sqref="AE533">
    <cfRule type="cellIs" dxfId="2" priority="3673" operator="equal">
      <formula>"未完成"</formula>
    </cfRule>
    <cfRule type="cellIs" dxfId="0" priority="3689" operator="equal">
      <formula>"未完成"</formula>
    </cfRule>
  </conditionalFormatting>
  <conditionalFormatting sqref="R534">
    <cfRule type="containsText" dxfId="0" priority="632" operator="between" text="欠">
      <formula>NOT(ISERROR(SEARCH("欠",R534)))</formula>
    </cfRule>
  </conditionalFormatting>
  <conditionalFormatting sqref="S534">
    <cfRule type="containsText" dxfId="0" priority="812" operator="between" text="欠">
      <formula>NOT(ISERROR(SEARCH("欠",S534)))</formula>
    </cfRule>
    <cfRule type="cellIs" dxfId="0" priority="830" operator="equal">
      <formula>"欠"</formula>
    </cfRule>
  </conditionalFormatting>
  <conditionalFormatting sqref="T534:U534">
    <cfRule type="containsText" dxfId="0" priority="704" operator="between" text="欠">
      <formula>NOT(ISERROR(SEARCH("欠",T534)))</formula>
    </cfRule>
    <cfRule type="cellIs" dxfId="0" priority="722" operator="equal">
      <formula>"欠"</formula>
    </cfRule>
  </conditionalFormatting>
  <conditionalFormatting sqref="V534:W534">
    <cfRule type="containsText" dxfId="0" priority="740" operator="between" text="欠">
      <formula>NOT(ISERROR(SEARCH("欠",V534)))</formula>
    </cfRule>
    <cfRule type="containsText" dxfId="1" priority="758" operator="between" text="欠">
      <formula>NOT(ISERROR(SEARCH("欠",V534)))</formula>
    </cfRule>
    <cfRule type="cellIs" dxfId="0" priority="776" operator="equal">
      <formula>"欠"</formula>
    </cfRule>
  </conditionalFormatting>
  <conditionalFormatting sqref="X534">
    <cfRule type="cellIs" dxfId="0" priority="794" operator="equal">
      <formula>"欠"</formula>
    </cfRule>
  </conditionalFormatting>
  <conditionalFormatting sqref="AE534">
    <cfRule type="cellIs" dxfId="2" priority="668" operator="equal">
      <formula>"未完成"</formula>
    </cfRule>
    <cfRule type="cellIs" dxfId="0" priority="686" operator="equal">
      <formula>"未完成"</formula>
    </cfRule>
  </conditionalFormatting>
  <conditionalFormatting sqref="R535">
    <cfRule type="containsText" dxfId="0" priority="5229" operator="between" text="欠">
      <formula>NOT(ISERROR(SEARCH("欠",R535)))</formula>
    </cfRule>
  </conditionalFormatting>
  <conditionalFormatting sqref="S535">
    <cfRule type="containsText" dxfId="0" priority="5299" operator="between" text="欠">
      <formula>NOT(ISERROR(SEARCH("欠",S535)))</formula>
    </cfRule>
    <cfRule type="cellIs" dxfId="0" priority="5306" operator="equal">
      <formula>"欠"</formula>
    </cfRule>
  </conditionalFormatting>
  <conditionalFormatting sqref="T535:U535">
    <cfRule type="containsText" dxfId="0" priority="5257" operator="between" text="欠">
      <formula>NOT(ISERROR(SEARCH("欠",T535)))</formula>
    </cfRule>
    <cfRule type="cellIs" dxfId="0" priority="5264" operator="equal">
      <formula>"欠"</formula>
    </cfRule>
  </conditionalFormatting>
  <conditionalFormatting sqref="X535">
    <cfRule type="cellIs" dxfId="0" priority="5292" operator="equal">
      <formula>"欠"</formula>
    </cfRule>
  </conditionalFormatting>
  <conditionalFormatting sqref="AE535">
    <cfRule type="cellIs" dxfId="2" priority="5243" operator="equal">
      <formula>"未完成"</formula>
    </cfRule>
    <cfRule type="cellIs" dxfId="0" priority="5250" operator="equal">
      <formula>"未完成"</formula>
    </cfRule>
  </conditionalFormatting>
  <conditionalFormatting sqref="R536">
    <cfRule type="containsText" dxfId="0" priority="267" operator="between" text="欠">
      <formula>NOT(ISERROR(SEARCH("欠",R536)))</formula>
    </cfRule>
  </conditionalFormatting>
  <conditionalFormatting sqref="T536:U536">
    <cfRule type="containsText" dxfId="0" priority="315" operator="between" text="欠">
      <formula>NOT(ISERROR(SEARCH("欠",T536)))</formula>
    </cfRule>
    <cfRule type="cellIs" dxfId="0" priority="327" operator="equal">
      <formula>"欠"</formula>
    </cfRule>
  </conditionalFormatting>
  <conditionalFormatting sqref="V536:W536">
    <cfRule type="containsText" dxfId="0" priority="339" operator="between" text="欠">
      <formula>NOT(ISERROR(SEARCH("欠",V536)))</formula>
    </cfRule>
    <cfRule type="containsText" dxfId="1" priority="351" operator="between" text="欠">
      <formula>NOT(ISERROR(SEARCH("欠",V536)))</formula>
    </cfRule>
    <cfRule type="cellIs" dxfId="0" priority="363" operator="equal">
      <formula>"欠"</formula>
    </cfRule>
  </conditionalFormatting>
  <conditionalFormatting sqref="X536">
    <cfRule type="cellIs" dxfId="0" priority="375" operator="equal">
      <formula>"欠"</formula>
    </cfRule>
  </conditionalFormatting>
  <conditionalFormatting sqref="AE536">
    <cfRule type="cellIs" dxfId="2" priority="291" operator="equal">
      <formula>"未完成"</formula>
    </cfRule>
    <cfRule type="cellIs" dxfId="0" priority="303" operator="equal">
      <formula>"未完成"</formula>
    </cfRule>
  </conditionalFormatting>
  <conditionalFormatting sqref="R538">
    <cfRule type="containsText" dxfId="0" priority="1992" operator="between" text="欠">
      <formula>NOT(ISERROR(SEARCH("欠",R538)))</formula>
    </cfRule>
  </conditionalFormatting>
  <conditionalFormatting sqref="T538:U538">
    <cfRule type="containsText" dxfId="0" priority="1864" operator="between" text="欠">
      <formula>NOT(ISERROR(SEARCH("欠",T538)))</formula>
    </cfRule>
    <cfRule type="cellIs" dxfId="0" priority="1865" operator="equal">
      <formula>"欠"</formula>
    </cfRule>
  </conditionalFormatting>
  <conditionalFormatting sqref="V538:W538">
    <cfRule type="containsText" dxfId="0" priority="1818" operator="between" text="欠">
      <formula>NOT(ISERROR(SEARCH("欠",V538)))</formula>
    </cfRule>
    <cfRule type="containsText" dxfId="1" priority="1826" operator="between" text="欠">
      <formula>NOT(ISERROR(SEARCH("欠",V538)))</formula>
    </cfRule>
    <cfRule type="cellIs" dxfId="0" priority="1834" operator="equal">
      <formula>"欠"</formula>
    </cfRule>
  </conditionalFormatting>
  <conditionalFormatting sqref="X538">
    <cfRule type="cellIs" dxfId="0" priority="1842" operator="equal">
      <formula>"欠"</formula>
    </cfRule>
  </conditionalFormatting>
  <conditionalFormatting sqref="AE538">
    <cfRule type="cellIs" dxfId="2" priority="1786" operator="equal">
      <formula>"未完成"</formula>
    </cfRule>
    <cfRule type="cellIs" dxfId="0" priority="1794" operator="equal">
      <formula>"未完成"</formula>
    </cfRule>
  </conditionalFormatting>
  <conditionalFormatting sqref="R539">
    <cfRule type="containsText" dxfId="0" priority="409" operator="between" text="欠">
      <formula>NOT(ISERROR(SEARCH("欠",R539)))</formula>
    </cfRule>
  </conditionalFormatting>
  <conditionalFormatting sqref="T539:U539">
    <cfRule type="containsText" dxfId="0" priority="433" operator="between" text="欠">
      <formula>NOT(ISERROR(SEARCH("欠",T539)))</formula>
    </cfRule>
    <cfRule type="cellIs" dxfId="0" priority="439" operator="equal">
      <formula>"欠"</formula>
    </cfRule>
  </conditionalFormatting>
  <conditionalFormatting sqref="V539:W539">
    <cfRule type="containsText" dxfId="0" priority="445" operator="between" text="欠">
      <formula>NOT(ISERROR(SEARCH("欠",V539)))</formula>
    </cfRule>
    <cfRule type="containsText" dxfId="1" priority="451" operator="between" text="欠">
      <formula>NOT(ISERROR(SEARCH("欠",V539)))</formula>
    </cfRule>
    <cfRule type="cellIs" dxfId="0" priority="457" operator="equal">
      <formula>"欠"</formula>
    </cfRule>
  </conditionalFormatting>
  <conditionalFormatting sqref="X539">
    <cfRule type="cellIs" dxfId="0" priority="463" operator="equal">
      <formula>"欠"</formula>
    </cfRule>
  </conditionalFormatting>
  <conditionalFormatting sqref="AE539">
    <cfRule type="cellIs" dxfId="2" priority="421" operator="equal">
      <formula>"未完成"</formula>
    </cfRule>
    <cfRule type="cellIs" dxfId="0" priority="427" operator="equal">
      <formula>"未完成"</formula>
    </cfRule>
  </conditionalFormatting>
  <conditionalFormatting sqref="R540">
    <cfRule type="containsText" dxfId="0" priority="505" operator="between" text="欠">
      <formula>NOT(ISERROR(SEARCH("欠",R540)))</formula>
    </cfRule>
  </conditionalFormatting>
  <conditionalFormatting sqref="W540">
    <cfRule type="containsText" dxfId="0" priority="2591" operator="between" text="欠">
      <formula>NOT(ISERROR(SEARCH("欠",W540)))</formula>
    </cfRule>
    <cfRule type="containsText" dxfId="1" priority="2594" operator="between" text="欠">
      <formula>NOT(ISERROR(SEARCH("欠",W540)))</formula>
    </cfRule>
    <cfRule type="cellIs" dxfId="0" priority="2597" operator="equal">
      <formula>"欠"</formula>
    </cfRule>
  </conditionalFormatting>
  <conditionalFormatting sqref="X540">
    <cfRule type="cellIs" dxfId="0" priority="2600" operator="equal">
      <formula>"欠"</formula>
    </cfRule>
  </conditionalFormatting>
  <conditionalFormatting sqref="AE540">
    <cfRule type="cellIs" dxfId="2" priority="2579" operator="equal">
      <formula>"未完成"</formula>
    </cfRule>
    <cfRule type="cellIs" dxfId="0" priority="2582" operator="equal">
      <formula>"未完成"</formula>
    </cfRule>
  </conditionalFormatting>
  <conditionalFormatting sqref="W541">
    <cfRule type="containsText" dxfId="0" priority="1594" operator="between" text="欠">
      <formula>NOT(ISERROR(SEARCH("欠",W541)))</formula>
    </cfRule>
    <cfRule type="containsText" dxfId="1" priority="1605" operator="between" text="欠">
      <formula>NOT(ISERROR(SEARCH("欠",W541)))</formula>
    </cfRule>
    <cfRule type="cellIs" dxfId="0" priority="1616" operator="equal">
      <formula>"欠"</formula>
    </cfRule>
  </conditionalFormatting>
  <conditionalFormatting sqref="X541">
    <cfRule type="cellIs" dxfId="0" priority="3924" operator="equal">
      <formula>"欠"</formula>
    </cfRule>
  </conditionalFormatting>
  <conditionalFormatting sqref="AE541">
    <cfRule type="cellIs" dxfId="2" priority="1550" operator="equal">
      <formula>"未完成"</formula>
    </cfRule>
    <cfRule type="cellIs" dxfId="0" priority="1561" operator="equal">
      <formula>"未完成"</formula>
    </cfRule>
  </conditionalFormatting>
  <conditionalFormatting sqref="S543">
    <cfRule type="containsText" dxfId="0" priority="949" operator="between" text="欠">
      <formula>NOT(ISERROR(SEARCH("欠",S543)))</formula>
    </cfRule>
    <cfRule type="cellIs" dxfId="0" priority="952" operator="equal">
      <formula>"欠"</formula>
    </cfRule>
  </conditionalFormatting>
  <conditionalFormatting sqref="T543:U543">
    <cfRule type="containsText" dxfId="0" priority="964" operator="between" text="欠">
      <formula>NOT(ISERROR(SEARCH("欠",T543)))</formula>
    </cfRule>
    <cfRule type="cellIs" dxfId="0" priority="967" operator="equal">
      <formula>"欠"</formula>
    </cfRule>
  </conditionalFormatting>
  <conditionalFormatting sqref="V543:W543">
    <cfRule type="containsText" dxfId="0" priority="970" operator="between" text="欠">
      <formula>NOT(ISERROR(SEARCH("欠",V543)))</formula>
    </cfRule>
    <cfRule type="containsText" dxfId="1" priority="973" operator="between" text="欠">
      <formula>NOT(ISERROR(SEARCH("欠",V543)))</formula>
    </cfRule>
    <cfRule type="cellIs" dxfId="0" priority="976" operator="equal">
      <formula>"欠"</formula>
    </cfRule>
  </conditionalFormatting>
  <conditionalFormatting sqref="X543">
    <cfRule type="cellIs" dxfId="0" priority="979" operator="equal">
      <formula>"欠"</formula>
    </cfRule>
  </conditionalFormatting>
  <conditionalFormatting sqref="W544">
    <cfRule type="containsText" dxfId="0" priority="2749" operator="between" text="欠">
      <formula>NOT(ISERROR(SEARCH("欠",W544)))</formula>
    </cfRule>
    <cfRule type="containsText" dxfId="1" priority="2750" operator="between" text="欠">
      <formula>NOT(ISERROR(SEARCH("欠",W544)))</formula>
    </cfRule>
    <cfRule type="cellIs" dxfId="0" priority="2751" operator="equal">
      <formula>"欠"</formula>
    </cfRule>
  </conditionalFormatting>
  <conditionalFormatting sqref="X544">
    <cfRule type="cellIs" dxfId="0" priority="2752" operator="equal">
      <formula>"欠"</formula>
    </cfRule>
  </conditionalFormatting>
  <conditionalFormatting sqref="AE544">
    <cfRule type="cellIs" dxfId="2" priority="2747" operator="equal">
      <formula>"未完成"</formula>
    </cfRule>
    <cfRule type="cellIs" dxfId="0" priority="2748" operator="equal">
      <formula>"未完成"</formula>
    </cfRule>
  </conditionalFormatting>
  <conditionalFormatting sqref="W545">
    <cfRule type="containsText" dxfId="0" priority="2737" operator="between" text="欠">
      <formula>NOT(ISERROR(SEARCH("欠",W545)))</formula>
    </cfRule>
    <cfRule type="containsText" dxfId="1" priority="2738" operator="between" text="欠">
      <formula>NOT(ISERROR(SEARCH("欠",W545)))</formula>
    </cfRule>
    <cfRule type="cellIs" dxfId="0" priority="2739" operator="equal">
      <formula>"欠"</formula>
    </cfRule>
  </conditionalFormatting>
  <conditionalFormatting sqref="X545">
    <cfRule type="cellIs" dxfId="0" priority="2740" operator="equal">
      <formula>"欠"</formula>
    </cfRule>
  </conditionalFormatting>
  <conditionalFormatting sqref="AE545">
    <cfRule type="cellIs" dxfId="2" priority="2735" operator="equal">
      <formula>"未完成"</formula>
    </cfRule>
    <cfRule type="cellIs" dxfId="0" priority="2736" operator="equal">
      <formula>"未完成"</formula>
    </cfRule>
  </conditionalFormatting>
  <conditionalFormatting sqref="R546">
    <cfRule type="containsText" dxfId="0" priority="2889" operator="between" text="欠">
      <formula>NOT(ISERROR(SEARCH("欠",R546)))</formula>
    </cfRule>
  </conditionalFormatting>
  <conditionalFormatting sqref="T546:U546">
    <cfRule type="containsText" dxfId="0" priority="2977" operator="between" text="欠">
      <formula>NOT(ISERROR(SEARCH("欠",T546)))</formula>
    </cfRule>
    <cfRule type="cellIs" dxfId="0" priority="2999" operator="equal">
      <formula>"欠"</formula>
    </cfRule>
  </conditionalFormatting>
  <conditionalFormatting sqref="W546">
    <cfRule type="containsText" dxfId="0" priority="3021" operator="between" text="欠">
      <formula>NOT(ISERROR(SEARCH("欠",W546)))</formula>
    </cfRule>
    <cfRule type="containsText" dxfId="1" priority="3043" operator="between" text="欠">
      <formula>NOT(ISERROR(SEARCH("欠",W546)))</formula>
    </cfRule>
    <cfRule type="cellIs" dxfId="0" priority="3065" operator="equal">
      <formula>"欠"</formula>
    </cfRule>
  </conditionalFormatting>
  <conditionalFormatting sqref="X546">
    <cfRule type="cellIs" dxfId="0" priority="3087" operator="equal">
      <formula>"欠"</formula>
    </cfRule>
  </conditionalFormatting>
  <conditionalFormatting sqref="AE546">
    <cfRule type="cellIs" dxfId="2" priority="2933" operator="equal">
      <formula>"未完成"</formula>
    </cfRule>
    <cfRule type="cellIs" dxfId="0" priority="2955" operator="equal">
      <formula>"未完成"</formula>
    </cfRule>
  </conditionalFormatting>
  <conditionalFormatting sqref="U548">
    <cfRule type="containsText" dxfId="0" priority="2826" operator="between" text="欠">
      <formula>NOT(ISERROR(SEARCH("欠",U548)))</formula>
    </cfRule>
    <cfRule type="cellIs" dxfId="0" priority="2829" operator="equal">
      <formula>"欠"</formula>
    </cfRule>
  </conditionalFormatting>
  <conditionalFormatting sqref="W548">
    <cfRule type="containsText" dxfId="0" priority="2832" operator="between" text="欠">
      <formula>NOT(ISERROR(SEARCH("欠",W548)))</formula>
    </cfRule>
    <cfRule type="containsText" dxfId="1" priority="2835" operator="between" text="欠">
      <formula>NOT(ISERROR(SEARCH("欠",W548)))</formula>
    </cfRule>
    <cfRule type="cellIs" dxfId="0" priority="2838" operator="equal">
      <formula>"欠"</formula>
    </cfRule>
  </conditionalFormatting>
  <conditionalFormatting sqref="X548">
    <cfRule type="cellIs" dxfId="0" priority="2841" operator="equal">
      <formula>"欠"</formula>
    </cfRule>
  </conditionalFormatting>
  <conditionalFormatting sqref="AE548">
    <cfRule type="cellIs" dxfId="2" priority="2820" operator="equal">
      <formula>"未完成"</formula>
    </cfRule>
    <cfRule type="cellIs" dxfId="0" priority="2823" operator="equal">
      <formula>"未完成"</formula>
    </cfRule>
  </conditionalFormatting>
  <conditionalFormatting sqref="V551:W551">
    <cfRule type="containsText" dxfId="0" priority="1370" operator="between" text="欠">
      <formula>NOT(ISERROR(SEARCH("欠",V551)))</formula>
    </cfRule>
    <cfRule type="containsText" dxfId="1" priority="1371" operator="between" text="欠">
      <formula>NOT(ISERROR(SEARCH("欠",V551)))</formula>
    </cfRule>
    <cfRule type="cellIs" dxfId="0" priority="1372" operator="equal">
      <formula>"欠"</formula>
    </cfRule>
  </conditionalFormatting>
  <conditionalFormatting sqref="AE551">
    <cfRule type="cellIs" dxfId="2" priority="1366" operator="equal">
      <formula>"未完成"</formula>
    </cfRule>
    <cfRule type="cellIs" dxfId="0" priority="1367" operator="equal">
      <formula>"未完成"</formula>
    </cfRule>
  </conditionalFormatting>
  <conditionalFormatting sqref="V552:W552">
    <cfRule type="containsText" dxfId="0" priority="1358" operator="between" text="欠">
      <formula>NOT(ISERROR(SEARCH("欠",V552)))</formula>
    </cfRule>
    <cfRule type="containsText" dxfId="1" priority="1359" operator="between" text="欠">
      <formula>NOT(ISERROR(SEARCH("欠",V552)))</formula>
    </cfRule>
    <cfRule type="cellIs" dxfId="0" priority="1360" operator="equal">
      <formula>"欠"</formula>
    </cfRule>
  </conditionalFormatting>
  <conditionalFormatting sqref="AE552">
    <cfRule type="cellIs" dxfId="2" priority="1354" operator="equal">
      <formula>"未完成"</formula>
    </cfRule>
    <cfRule type="cellIs" dxfId="0" priority="1355" operator="equal">
      <formula>"未完成"</formula>
    </cfRule>
  </conditionalFormatting>
  <conditionalFormatting sqref="W557">
    <cfRule type="containsText" dxfId="0" priority="1599" operator="between" text="欠">
      <formula>NOT(ISERROR(SEARCH("欠",W557)))</formula>
    </cfRule>
    <cfRule type="containsText" dxfId="1" priority="1610" operator="between" text="欠">
      <formula>NOT(ISERROR(SEARCH("欠",W557)))</formula>
    </cfRule>
    <cfRule type="cellIs" dxfId="0" priority="1621" operator="equal">
      <formula>"欠"</formula>
    </cfRule>
  </conditionalFormatting>
  <conditionalFormatting sqref="X557">
    <cfRule type="cellIs" dxfId="0" priority="1325" operator="equal">
      <formula>"欠"</formula>
    </cfRule>
  </conditionalFormatting>
  <conditionalFormatting sqref="AE557">
    <cfRule type="cellIs" dxfId="2" priority="1555" operator="equal">
      <formula>"未完成"</formula>
    </cfRule>
    <cfRule type="cellIs" dxfId="0" priority="1566" operator="equal">
      <formula>"未完成"</formula>
    </cfRule>
  </conditionalFormatting>
  <conditionalFormatting sqref="V558:W558">
    <cfRule type="containsText" dxfId="0" priority="1102" operator="between" text="欠">
      <formula>NOT(ISERROR(SEARCH("欠",V558)))</formula>
    </cfRule>
    <cfRule type="containsText" dxfId="1" priority="1118" operator="between" text="欠">
      <formula>NOT(ISERROR(SEARCH("欠",V558)))</formula>
    </cfRule>
    <cfRule type="cellIs" dxfId="0" priority="1134" operator="equal">
      <formula>"欠"</formula>
    </cfRule>
  </conditionalFormatting>
  <conditionalFormatting sqref="X558">
    <cfRule type="cellIs" dxfId="0" priority="1150" operator="equal">
      <formula>"欠"</formula>
    </cfRule>
  </conditionalFormatting>
  <conditionalFormatting sqref="AE558">
    <cfRule type="cellIs" dxfId="2" priority="1038" operator="equal">
      <formula>"未完成"</formula>
    </cfRule>
    <cfRule type="cellIs" dxfId="0" priority="1054" operator="equal">
      <formula>"未完成"</formula>
    </cfRule>
  </conditionalFormatting>
  <conditionalFormatting sqref="T560:U560">
    <cfRule type="containsText" dxfId="0" priority="6131" operator="between" text="欠">
      <formula>NOT(ISERROR(SEARCH("欠",T560)))</formula>
    </cfRule>
    <cfRule type="cellIs" dxfId="0" priority="6132" operator="equal">
      <formula>"欠"</formula>
    </cfRule>
  </conditionalFormatting>
  <conditionalFormatting sqref="V560:W560">
    <cfRule type="containsText" dxfId="0" priority="6133" operator="between" text="欠">
      <formula>NOT(ISERROR(SEARCH("欠",V560)))</formula>
    </cfRule>
    <cfRule type="containsText" dxfId="1" priority="6134" operator="between" text="欠">
      <formula>NOT(ISERROR(SEARCH("欠",V560)))</formula>
    </cfRule>
    <cfRule type="cellIs" dxfId="0" priority="6135" operator="equal">
      <formula>"欠"</formula>
    </cfRule>
  </conditionalFormatting>
  <conditionalFormatting sqref="X560">
    <cfRule type="cellIs" dxfId="0" priority="6136" operator="equal">
      <formula>"欠"</formula>
    </cfRule>
  </conditionalFormatting>
  <conditionalFormatting sqref="V561:W561">
    <cfRule type="containsText" dxfId="0" priority="1600" operator="between" text="欠">
      <formula>NOT(ISERROR(SEARCH("欠",V561)))</formula>
    </cfRule>
    <cfRule type="containsText" dxfId="1" priority="1611" operator="between" text="欠">
      <formula>NOT(ISERROR(SEARCH("欠",V561)))</formula>
    </cfRule>
    <cfRule type="cellIs" dxfId="0" priority="1622" operator="equal">
      <formula>"欠"</formula>
    </cfRule>
  </conditionalFormatting>
  <conditionalFormatting sqref="X561">
    <cfRule type="cellIs" dxfId="0" priority="1633" operator="equal">
      <formula>"欠"</formula>
    </cfRule>
  </conditionalFormatting>
  <conditionalFormatting sqref="AE561">
    <cfRule type="cellIs" dxfId="2" priority="1556" operator="equal">
      <formula>"未完成"</formula>
    </cfRule>
    <cfRule type="cellIs" dxfId="0" priority="1567" operator="equal">
      <formula>"未完成"</formula>
    </cfRule>
  </conditionalFormatting>
  <conditionalFormatting sqref="V562:W562">
    <cfRule type="containsText" dxfId="0" priority="1593" operator="between" text="欠">
      <formula>NOT(ISERROR(SEARCH("欠",V562)))</formula>
    </cfRule>
    <cfRule type="containsText" dxfId="1" priority="1604" operator="between" text="欠">
      <formula>NOT(ISERROR(SEARCH("欠",V562)))</formula>
    </cfRule>
    <cfRule type="cellIs" dxfId="0" priority="1615" operator="equal">
      <formula>"欠"</formula>
    </cfRule>
  </conditionalFormatting>
  <conditionalFormatting sqref="X562">
    <cfRule type="cellIs" dxfId="0" priority="1626" operator="equal">
      <formula>"欠"</formula>
    </cfRule>
  </conditionalFormatting>
  <conditionalFormatting sqref="AE562">
    <cfRule type="cellIs" dxfId="2" priority="1549" operator="equal">
      <formula>"未完成"</formula>
    </cfRule>
    <cfRule type="cellIs" dxfId="0" priority="1560" operator="equal">
      <formula>"未完成"</formula>
    </cfRule>
  </conditionalFormatting>
  <conditionalFormatting sqref="V563:W563">
    <cfRule type="containsText" dxfId="0" priority="1598" operator="between" text="欠">
      <formula>NOT(ISERROR(SEARCH("欠",V563)))</formula>
    </cfRule>
    <cfRule type="containsText" dxfId="1" priority="1609" operator="between" text="欠">
      <formula>NOT(ISERROR(SEARCH("欠",V563)))</formula>
    </cfRule>
    <cfRule type="cellIs" dxfId="0" priority="1620" operator="equal">
      <formula>"欠"</formula>
    </cfRule>
  </conditionalFormatting>
  <conditionalFormatting sqref="X563">
    <cfRule type="cellIs" dxfId="0" priority="1631" operator="equal">
      <formula>"欠"</formula>
    </cfRule>
  </conditionalFormatting>
  <conditionalFormatting sqref="AE563">
    <cfRule type="cellIs" dxfId="2" priority="1554" operator="equal">
      <formula>"未完成"</formula>
    </cfRule>
    <cfRule type="cellIs" dxfId="0" priority="1565" operator="equal">
      <formula>"未完成"</formula>
    </cfRule>
  </conditionalFormatting>
  <conditionalFormatting sqref="V564:W564">
    <cfRule type="containsText" dxfId="0" priority="3024" operator="between" text="欠">
      <formula>NOT(ISERROR(SEARCH("欠",V564)))</formula>
    </cfRule>
    <cfRule type="containsText" dxfId="1" priority="3046" operator="between" text="欠">
      <formula>NOT(ISERROR(SEARCH("欠",V564)))</formula>
    </cfRule>
    <cfRule type="cellIs" dxfId="0" priority="3068" operator="equal">
      <formula>"欠"</formula>
    </cfRule>
  </conditionalFormatting>
  <conditionalFormatting sqref="X564">
    <cfRule type="cellIs" dxfId="0" priority="3090" operator="equal">
      <formula>"欠"</formula>
    </cfRule>
  </conditionalFormatting>
  <conditionalFormatting sqref="AE564">
    <cfRule type="cellIs" dxfId="2" priority="2936" operator="equal">
      <formula>"未完成"</formula>
    </cfRule>
    <cfRule type="cellIs" dxfId="0" priority="2958" operator="equal">
      <formula>"未完成"</formula>
    </cfRule>
  </conditionalFormatting>
  <conditionalFormatting sqref="V565:W565">
    <cfRule type="containsText" dxfId="0" priority="3023" operator="between" text="欠">
      <formula>NOT(ISERROR(SEARCH("欠",V565)))</formula>
    </cfRule>
    <cfRule type="containsText" dxfId="1" priority="3045" operator="between" text="欠">
      <formula>NOT(ISERROR(SEARCH("欠",V565)))</formula>
    </cfRule>
    <cfRule type="cellIs" dxfId="0" priority="3067" operator="equal">
      <formula>"欠"</formula>
    </cfRule>
  </conditionalFormatting>
  <conditionalFormatting sqref="X565">
    <cfRule type="cellIs" dxfId="0" priority="3089" operator="equal">
      <formula>"欠"</formula>
    </cfRule>
  </conditionalFormatting>
  <conditionalFormatting sqref="AE565">
    <cfRule type="cellIs" dxfId="2" priority="2935" operator="equal">
      <formula>"未完成"</formula>
    </cfRule>
    <cfRule type="cellIs" dxfId="0" priority="2957" operator="equal">
      <formula>"未完成"</formula>
    </cfRule>
  </conditionalFormatting>
  <conditionalFormatting sqref="T566:U566">
    <cfRule type="containsText" dxfId="0" priority="1449" operator="between" text="欠">
      <formula>NOT(ISERROR(SEARCH("欠",T566)))</formula>
    </cfRule>
    <cfRule type="cellIs" dxfId="0" priority="1454" operator="equal">
      <formula>"欠"</formula>
    </cfRule>
  </conditionalFormatting>
  <conditionalFormatting sqref="V566:W566">
    <cfRule type="containsText" dxfId="0" priority="1459" operator="between" text="欠">
      <formula>NOT(ISERROR(SEARCH("欠",V566)))</formula>
    </cfRule>
    <cfRule type="containsText" dxfId="1" priority="1464" operator="between" text="欠">
      <formula>NOT(ISERROR(SEARCH("欠",V566)))</formula>
    </cfRule>
    <cfRule type="cellIs" dxfId="0" priority="1469" operator="equal">
      <formula>"欠"</formula>
    </cfRule>
  </conditionalFormatting>
  <conditionalFormatting sqref="X566">
    <cfRule type="cellIs" dxfId="0" priority="1474" operator="equal">
      <formula>"欠"</formula>
    </cfRule>
  </conditionalFormatting>
  <conditionalFormatting sqref="AE566">
    <cfRule type="cellIs" dxfId="2" priority="1439" operator="equal">
      <formula>"未完成"</formula>
    </cfRule>
    <cfRule type="cellIs" dxfId="0" priority="1444" operator="equal">
      <formula>"未完成"</formula>
    </cfRule>
  </conditionalFormatting>
  <conditionalFormatting sqref="R567">
    <cfRule type="containsText" dxfId="0" priority="264" operator="between" text="欠">
      <formula>NOT(ISERROR(SEARCH("欠",R567)))</formula>
    </cfRule>
  </conditionalFormatting>
  <conditionalFormatting sqref="T567:U567">
    <cfRule type="containsText" dxfId="0" priority="312" operator="between" text="欠">
      <formula>NOT(ISERROR(SEARCH("欠",T567)))</formula>
    </cfRule>
    <cfRule type="cellIs" dxfId="0" priority="324" operator="equal">
      <formula>"欠"</formula>
    </cfRule>
  </conditionalFormatting>
  <conditionalFormatting sqref="V567:W567">
    <cfRule type="containsText" dxfId="0" priority="336" operator="between" text="欠">
      <formula>NOT(ISERROR(SEARCH("欠",V567)))</formula>
    </cfRule>
    <cfRule type="containsText" dxfId="1" priority="348" operator="between" text="欠">
      <formula>NOT(ISERROR(SEARCH("欠",V567)))</formula>
    </cfRule>
    <cfRule type="cellIs" dxfId="0" priority="360" operator="equal">
      <formula>"欠"</formula>
    </cfRule>
  </conditionalFormatting>
  <conditionalFormatting sqref="X567">
    <cfRule type="cellIs" dxfId="0" priority="372" operator="equal">
      <formula>"欠"</formula>
    </cfRule>
  </conditionalFormatting>
  <conditionalFormatting sqref="AE567">
    <cfRule type="cellIs" dxfId="2" priority="288" operator="equal">
      <formula>"未完成"</formula>
    </cfRule>
    <cfRule type="cellIs" dxfId="0" priority="300" operator="equal">
      <formula>"未完成"</formula>
    </cfRule>
  </conditionalFormatting>
  <conditionalFormatting sqref="V569:W569">
    <cfRule type="containsText" dxfId="0" priority="1596" operator="between" text="欠">
      <formula>NOT(ISERROR(SEARCH("欠",V569)))</formula>
    </cfRule>
    <cfRule type="containsText" dxfId="1" priority="1607" operator="between" text="欠">
      <formula>NOT(ISERROR(SEARCH("欠",V569)))</formula>
    </cfRule>
    <cfRule type="cellIs" dxfId="0" priority="1618" operator="equal">
      <formula>"欠"</formula>
    </cfRule>
  </conditionalFormatting>
  <conditionalFormatting sqref="X569">
    <cfRule type="cellIs" dxfId="0" priority="1629" operator="equal">
      <formula>"欠"</formula>
    </cfRule>
  </conditionalFormatting>
  <conditionalFormatting sqref="AE569">
    <cfRule type="cellIs" dxfId="2" priority="1552" operator="equal">
      <formula>"未完成"</formula>
    </cfRule>
    <cfRule type="cellIs" dxfId="0" priority="1563" operator="equal">
      <formula>"未完成"</formula>
    </cfRule>
  </conditionalFormatting>
  <conditionalFormatting sqref="R570">
    <cfRule type="containsText" dxfId="0" priority="2561" operator="between" text="欠">
      <formula>NOT(ISERROR(SEARCH("欠",R570)))</formula>
    </cfRule>
  </conditionalFormatting>
  <conditionalFormatting sqref="T570:U570">
    <cfRule type="containsText" dxfId="0" priority="2565" operator="between" text="欠">
      <formula>NOT(ISERROR(SEARCH("欠",T570)))</formula>
    </cfRule>
    <cfRule type="cellIs" dxfId="0" priority="2566" operator="equal">
      <formula>"欠"</formula>
    </cfRule>
  </conditionalFormatting>
  <conditionalFormatting sqref="W570">
    <cfRule type="containsText" dxfId="0" priority="2567" operator="between" text="欠">
      <formula>NOT(ISERROR(SEARCH("欠",W570)))</formula>
    </cfRule>
    <cfRule type="containsText" dxfId="1" priority="2568" operator="between" text="欠">
      <formula>NOT(ISERROR(SEARCH("欠",W570)))</formula>
    </cfRule>
    <cfRule type="cellIs" dxfId="0" priority="2569" operator="equal">
      <formula>"欠"</formula>
    </cfRule>
  </conditionalFormatting>
  <conditionalFormatting sqref="AE570">
    <cfRule type="cellIs" dxfId="2" priority="2563" operator="equal">
      <formula>"未完成"</formula>
    </cfRule>
    <cfRule type="cellIs" dxfId="0" priority="2564" operator="equal">
      <formula>"未完成"</formula>
    </cfRule>
  </conditionalFormatting>
  <conditionalFormatting sqref="V572:W572">
    <cfRule type="containsText" dxfId="0" priority="2272" operator="between" text="欠">
      <formula>NOT(ISERROR(SEARCH("欠",V572)))</formula>
    </cfRule>
    <cfRule type="containsText" dxfId="1" priority="2289" operator="between" text="欠">
      <formula>NOT(ISERROR(SEARCH("欠",V572)))</formula>
    </cfRule>
    <cfRule type="cellIs" dxfId="0" priority="2306" operator="equal">
      <formula>"欠"</formula>
    </cfRule>
  </conditionalFormatting>
  <conditionalFormatting sqref="AE572">
    <cfRule type="cellIs" dxfId="2" priority="2204" operator="equal">
      <formula>"未完成"</formula>
    </cfRule>
    <cfRule type="cellIs" dxfId="0" priority="2221" operator="equal">
      <formula>"未完成"</formula>
    </cfRule>
  </conditionalFormatting>
  <conditionalFormatting sqref="T576:U576">
    <cfRule type="containsText" dxfId="0" priority="2232" operator="between" text="欠">
      <formula>NOT(ISERROR(SEARCH("欠",T576)))</formula>
    </cfRule>
    <cfRule type="cellIs" dxfId="0" priority="2249" operator="equal">
      <formula>"欠"</formula>
    </cfRule>
  </conditionalFormatting>
  <conditionalFormatting sqref="V576:W576">
    <cfRule type="containsText" dxfId="0" priority="2266" operator="between" text="欠">
      <formula>NOT(ISERROR(SEARCH("欠",V576)))</formula>
    </cfRule>
    <cfRule type="containsText" dxfId="1" priority="2283" operator="between" text="欠">
      <formula>NOT(ISERROR(SEARCH("欠",V576)))</formula>
    </cfRule>
    <cfRule type="cellIs" dxfId="0" priority="2300" operator="equal">
      <formula>"欠"</formula>
    </cfRule>
  </conditionalFormatting>
  <conditionalFormatting sqref="X576">
    <cfRule type="cellIs" dxfId="0" priority="2317" operator="equal">
      <formula>"欠"</formula>
    </cfRule>
  </conditionalFormatting>
  <conditionalFormatting sqref="AE576">
    <cfRule type="cellIs" dxfId="2" priority="2198" operator="equal">
      <formula>"未完成"</formula>
    </cfRule>
    <cfRule type="cellIs" dxfId="0" priority="2215" operator="equal">
      <formula>"未完成"</formula>
    </cfRule>
  </conditionalFormatting>
  <conditionalFormatting sqref="V577:W577">
    <cfRule type="containsText" dxfId="0" priority="583" operator="between" text="欠">
      <formula>NOT(ISERROR(SEARCH("欠",V577)))</formula>
    </cfRule>
    <cfRule type="containsText" dxfId="1" priority="587" operator="between" text="欠">
      <formula>NOT(ISERROR(SEARCH("欠",V577)))</formula>
    </cfRule>
    <cfRule type="cellIs" dxfId="0" priority="591" operator="equal">
      <formula>"欠"</formula>
    </cfRule>
  </conditionalFormatting>
  <conditionalFormatting sqref="X577">
    <cfRule type="cellIs" dxfId="0" priority="595" operator="equal">
      <formula>"欠"</formula>
    </cfRule>
  </conditionalFormatting>
  <conditionalFormatting sqref="AE577">
    <cfRule type="cellIs" dxfId="2" priority="567" operator="equal">
      <formula>"未完成"</formula>
    </cfRule>
    <cfRule type="cellIs" dxfId="0" priority="571" operator="equal">
      <formula>"未完成"</formula>
    </cfRule>
  </conditionalFormatting>
  <conditionalFormatting sqref="V580:W580">
    <cfRule type="containsText" dxfId="0" priority="584" operator="between" text="欠">
      <formula>NOT(ISERROR(SEARCH("欠",V580)))</formula>
    </cfRule>
    <cfRule type="containsText" dxfId="1" priority="588" operator="between" text="欠">
      <formula>NOT(ISERROR(SEARCH("欠",V580)))</formula>
    </cfRule>
    <cfRule type="cellIs" dxfId="0" priority="592" operator="equal">
      <formula>"欠"</formula>
    </cfRule>
  </conditionalFormatting>
  <conditionalFormatting sqref="X580">
    <cfRule type="cellIs" dxfId="0" priority="596" operator="equal">
      <formula>"欠"</formula>
    </cfRule>
  </conditionalFormatting>
  <conditionalFormatting sqref="AE580">
    <cfRule type="cellIs" dxfId="2" priority="568" operator="equal">
      <formula>"未完成"</formula>
    </cfRule>
    <cfRule type="cellIs" dxfId="0" priority="572" operator="equal">
      <formula>"未完成"</formula>
    </cfRule>
  </conditionalFormatting>
  <conditionalFormatting sqref="V581:W581">
    <cfRule type="containsText" dxfId="0" priority="82" operator="between" text="欠">
      <formula>NOT(ISERROR(SEARCH("欠",V581)))</formula>
    </cfRule>
    <cfRule type="containsText" dxfId="1" priority="88" operator="between" text="欠">
      <formula>NOT(ISERROR(SEARCH("欠",V581)))</formula>
    </cfRule>
    <cfRule type="cellIs" dxfId="0" priority="94" operator="equal">
      <formula>"欠"</formula>
    </cfRule>
  </conditionalFormatting>
  <conditionalFormatting sqref="AE581">
    <cfRule type="cellIs" dxfId="2" priority="58" operator="equal">
      <formula>"未完成"</formula>
    </cfRule>
    <cfRule type="cellIs" dxfId="0" priority="64" operator="equal">
      <formula>"未完成"</formula>
    </cfRule>
  </conditionalFormatting>
  <conditionalFormatting sqref="S583">
    <cfRule type="containsText" dxfId="0" priority="2047" operator="between" text="欠">
      <formula>NOT(ISERROR(SEARCH("欠",S583)))</formula>
    </cfRule>
    <cfRule type="cellIs" dxfId="0" priority="2048" operator="equal">
      <formula>"欠"</formula>
    </cfRule>
  </conditionalFormatting>
  <conditionalFormatting sqref="V583:W583">
    <cfRule type="containsText" dxfId="0" priority="2268" operator="between" text="欠">
      <formula>NOT(ISERROR(SEARCH("欠",V583)))</formula>
    </cfRule>
    <cfRule type="containsText" dxfId="1" priority="2285" operator="between" text="欠">
      <formula>NOT(ISERROR(SEARCH("欠",V583)))</formula>
    </cfRule>
    <cfRule type="cellIs" dxfId="0" priority="2302" operator="equal">
      <formula>"欠"</formula>
    </cfRule>
  </conditionalFormatting>
  <conditionalFormatting sqref="X583">
    <cfRule type="cellIs" dxfId="0" priority="2319" operator="equal">
      <formula>"欠"</formula>
    </cfRule>
  </conditionalFormatting>
  <conditionalFormatting sqref="AE583">
    <cfRule type="cellIs" dxfId="2" priority="2200" operator="equal">
      <formula>"未完成"</formula>
    </cfRule>
    <cfRule type="cellIs" dxfId="0" priority="2217" operator="equal">
      <formula>"未完成"</formula>
    </cfRule>
  </conditionalFormatting>
  <conditionalFormatting sqref="T585:U585">
    <cfRule type="containsText" dxfId="0" priority="902" operator="between" text="欠">
      <formula>NOT(ISERROR(SEARCH("欠",T585)))</formula>
    </cfRule>
    <cfRule type="cellIs" dxfId="0" priority="906" operator="equal">
      <formula>"欠"</formula>
    </cfRule>
  </conditionalFormatting>
  <conditionalFormatting sqref="V585:W585">
    <cfRule type="containsText" dxfId="0" priority="910" operator="between" text="欠">
      <formula>NOT(ISERROR(SEARCH("欠",V585)))</formula>
    </cfRule>
    <cfRule type="containsText" dxfId="1" priority="914" operator="between" text="欠">
      <formula>NOT(ISERROR(SEARCH("欠",V585)))</formula>
    </cfRule>
    <cfRule type="cellIs" dxfId="0" priority="918" operator="equal">
      <formula>"欠"</formula>
    </cfRule>
  </conditionalFormatting>
  <conditionalFormatting sqref="X585">
    <cfRule type="cellIs" dxfId="0" priority="922" operator="equal">
      <formula>"欠"</formula>
    </cfRule>
  </conditionalFormatting>
  <conditionalFormatting sqref="AE585">
    <cfRule type="cellIs" dxfId="2" priority="894" operator="equal">
      <formula>"未完成"</formula>
    </cfRule>
    <cfRule type="cellIs" dxfId="0" priority="898" operator="equal">
      <formula>"未完成"</formula>
    </cfRule>
  </conditionalFormatting>
  <conditionalFormatting sqref="W586">
    <cfRule type="containsText" dxfId="0" priority="2408" operator="between" text="欠">
      <formula>NOT(ISERROR(SEARCH("欠",W586)))</formula>
    </cfRule>
    <cfRule type="containsText" dxfId="1" priority="2411" operator="between" text="欠">
      <formula>NOT(ISERROR(SEARCH("欠",W586)))</formula>
    </cfRule>
    <cfRule type="cellIs" dxfId="0" priority="2414" operator="equal">
      <formula>"欠"</formula>
    </cfRule>
  </conditionalFormatting>
  <conditionalFormatting sqref="X586">
    <cfRule type="cellIs" dxfId="0" priority="2417" operator="equal">
      <formula>"欠"</formula>
    </cfRule>
  </conditionalFormatting>
  <conditionalFormatting sqref="R589">
    <cfRule type="containsText" dxfId="0" priority="637" operator="between" text="欠">
      <formula>NOT(ISERROR(SEARCH("欠",R589)))</formula>
    </cfRule>
  </conditionalFormatting>
  <conditionalFormatting sqref="V589:W589">
    <cfRule type="containsText" dxfId="0" priority="742" operator="between" text="欠">
      <formula>NOT(ISERROR(SEARCH("欠",V589)))</formula>
    </cfRule>
    <cfRule type="containsText" dxfId="1" priority="760" operator="between" text="欠">
      <formula>NOT(ISERROR(SEARCH("欠",V589)))</formula>
    </cfRule>
    <cfRule type="cellIs" dxfId="0" priority="778" operator="equal">
      <formula>"欠"</formula>
    </cfRule>
  </conditionalFormatting>
  <conditionalFormatting sqref="X589">
    <cfRule type="cellIs" dxfId="0" priority="796" operator="equal">
      <formula>"欠"</formula>
    </cfRule>
  </conditionalFormatting>
  <conditionalFormatting sqref="AE589">
    <cfRule type="cellIs" dxfId="2" priority="670" operator="equal">
      <formula>"未完成"</formula>
    </cfRule>
    <cfRule type="cellIs" dxfId="0" priority="688" operator="equal">
      <formula>"未完成"</formula>
    </cfRule>
  </conditionalFormatting>
  <conditionalFormatting sqref="R593">
    <cfRule type="containsText" dxfId="0" priority="4959" operator="between" text="欠">
      <formula>NOT(ISERROR(SEARCH("欠",R593)))</formula>
    </cfRule>
  </conditionalFormatting>
  <conditionalFormatting sqref="V593:W593">
    <cfRule type="containsText" dxfId="0" priority="5270" operator="between" text="欠">
      <formula>NOT(ISERROR(SEARCH("欠",V593)))</formula>
    </cfRule>
    <cfRule type="containsText" dxfId="1" priority="5277" operator="between" text="欠">
      <formula>NOT(ISERROR(SEARCH("欠",V593)))</formula>
    </cfRule>
    <cfRule type="cellIs" dxfId="0" priority="5284" operator="equal">
      <formula>"欠"</formula>
    </cfRule>
  </conditionalFormatting>
  <conditionalFormatting sqref="X593">
    <cfRule type="cellIs" dxfId="0" priority="5291" operator="equal">
      <formula>"欠"</formula>
    </cfRule>
  </conditionalFormatting>
  <conditionalFormatting sqref="AE593">
    <cfRule type="cellIs" dxfId="2" priority="5242" operator="equal">
      <formula>"未完成"</formula>
    </cfRule>
    <cfRule type="cellIs" dxfId="0" priority="5249" operator="equal">
      <formula>"未完成"</formula>
    </cfRule>
  </conditionalFormatting>
  <conditionalFormatting sqref="V595:W595">
    <cfRule type="containsText" dxfId="0" priority="1341" operator="between" text="欠">
      <formula>NOT(ISERROR(SEARCH("欠",V595)))</formula>
    </cfRule>
    <cfRule type="containsText" dxfId="1" priority="1343" operator="between" text="欠">
      <formula>NOT(ISERROR(SEARCH("欠",V595)))</formula>
    </cfRule>
    <cfRule type="cellIs" dxfId="0" priority="1345" operator="equal">
      <formula>"欠"</formula>
    </cfRule>
  </conditionalFormatting>
  <conditionalFormatting sqref="AE595">
    <cfRule type="cellIs" dxfId="2" priority="1333" operator="equal">
      <formula>"未完成"</formula>
    </cfRule>
    <cfRule type="cellIs" dxfId="0" priority="1335" operator="equal">
      <formula>"未完成"</formula>
    </cfRule>
  </conditionalFormatting>
  <conditionalFormatting sqref="V596:W596">
    <cfRule type="containsText" dxfId="0" priority="1340" operator="between" text="欠">
      <formula>NOT(ISERROR(SEARCH("欠",V596)))</formula>
    </cfRule>
    <cfRule type="containsText" dxfId="1" priority="1342" operator="between" text="欠">
      <formula>NOT(ISERROR(SEARCH("欠",V596)))</formula>
    </cfRule>
    <cfRule type="cellIs" dxfId="0" priority="1344" operator="equal">
      <formula>"欠"</formula>
    </cfRule>
  </conditionalFormatting>
  <conditionalFormatting sqref="AE596">
    <cfRule type="cellIs" dxfId="2" priority="1332" operator="equal">
      <formula>"未完成"</formula>
    </cfRule>
    <cfRule type="cellIs" dxfId="0" priority="1334" operator="equal">
      <formula>"未完成"</formula>
    </cfRule>
  </conditionalFormatting>
  <conditionalFormatting sqref="V597:W597">
    <cfRule type="containsText" dxfId="0" priority="342" operator="between" text="欠">
      <formula>NOT(ISERROR(SEARCH("欠",V597)))</formula>
    </cfRule>
    <cfRule type="containsText" dxfId="1" priority="354" operator="between" text="欠">
      <formula>NOT(ISERROR(SEARCH("欠",V597)))</formula>
    </cfRule>
    <cfRule type="cellIs" dxfId="0" priority="366" operator="equal">
      <formula>"欠"</formula>
    </cfRule>
  </conditionalFormatting>
  <conditionalFormatting sqref="X597">
    <cfRule type="cellIs" dxfId="0" priority="378" operator="equal">
      <formula>"欠"</formula>
    </cfRule>
  </conditionalFormatting>
  <conditionalFormatting sqref="AE597">
    <cfRule type="cellIs" dxfId="2" priority="294" operator="equal">
      <formula>"未完成"</formula>
    </cfRule>
    <cfRule type="cellIs" dxfId="0" priority="306" operator="equal">
      <formula>"未完成"</formula>
    </cfRule>
  </conditionalFormatting>
  <conditionalFormatting sqref="V598:W598">
    <cfRule type="containsText" dxfId="0" priority="341" operator="between" text="欠">
      <formula>NOT(ISERROR(SEARCH("欠",V598)))</formula>
    </cfRule>
    <cfRule type="containsText" dxfId="1" priority="353" operator="between" text="欠">
      <formula>NOT(ISERROR(SEARCH("欠",V598)))</formula>
    </cfRule>
    <cfRule type="cellIs" dxfId="0" priority="365" operator="equal">
      <formula>"欠"</formula>
    </cfRule>
  </conditionalFormatting>
  <conditionalFormatting sqref="X598">
    <cfRule type="cellIs" dxfId="0" priority="377" operator="equal">
      <formula>"欠"</formula>
    </cfRule>
  </conditionalFormatting>
  <conditionalFormatting sqref="AE598">
    <cfRule type="cellIs" dxfId="2" priority="293" operator="equal">
      <formula>"未完成"</formula>
    </cfRule>
    <cfRule type="cellIs" dxfId="0" priority="305" operator="equal">
      <formula>"未完成"</formula>
    </cfRule>
  </conditionalFormatting>
  <conditionalFormatting sqref="T599:U599">
    <cfRule type="containsText" dxfId="0" priority="2020" operator="between" text="欠">
      <formula>NOT(ISERROR(SEARCH("欠",T599)))</formula>
    </cfRule>
    <cfRule type="cellIs" dxfId="0" priority="2021" operator="equal">
      <formula>"欠"</formula>
    </cfRule>
  </conditionalFormatting>
  <conditionalFormatting sqref="V599:W599">
    <cfRule type="containsText" dxfId="0" priority="2022" operator="between" text="欠">
      <formula>NOT(ISERROR(SEARCH("欠",V599)))</formula>
    </cfRule>
    <cfRule type="containsText" dxfId="1" priority="2023" operator="between" text="欠">
      <formula>NOT(ISERROR(SEARCH("欠",V599)))</formula>
    </cfRule>
    <cfRule type="cellIs" dxfId="0" priority="2024" operator="equal">
      <formula>"欠"</formula>
    </cfRule>
  </conditionalFormatting>
  <conditionalFormatting sqref="X599">
    <cfRule type="cellIs" dxfId="0" priority="2025" operator="equal">
      <formula>"欠"</formula>
    </cfRule>
  </conditionalFormatting>
  <conditionalFormatting sqref="AE599">
    <cfRule type="cellIs" dxfId="2" priority="2018" operator="equal">
      <formula>"未完成"</formula>
    </cfRule>
    <cfRule type="cellIs" dxfId="0" priority="2019" operator="equal">
      <formula>"未完成"</formula>
    </cfRule>
  </conditionalFormatting>
  <conditionalFormatting sqref="V603:W603">
    <cfRule type="containsText" dxfId="0" priority="743" operator="between" text="欠">
      <formula>NOT(ISERROR(SEARCH("欠",V603)))</formula>
    </cfRule>
    <cfRule type="containsText" dxfId="1" priority="761" operator="between" text="欠">
      <formula>NOT(ISERROR(SEARCH("欠",V603)))</formula>
    </cfRule>
    <cfRule type="cellIs" dxfId="0" priority="779" operator="equal">
      <formula>"欠"</formula>
    </cfRule>
  </conditionalFormatting>
  <conditionalFormatting sqref="AE603">
    <cfRule type="cellIs" dxfId="2" priority="671" operator="equal">
      <formula>"未完成"</formula>
    </cfRule>
    <cfRule type="cellIs" dxfId="0" priority="689" operator="equal">
      <formula>"未完成"</formula>
    </cfRule>
  </conditionalFormatting>
  <conditionalFormatting sqref="W604">
    <cfRule type="containsText" dxfId="0" priority="1234" operator="between" text="欠">
      <formula>NOT(ISERROR(SEARCH("欠",W604)))</formula>
    </cfRule>
    <cfRule type="containsText" dxfId="1" priority="1240" operator="between" text="欠">
      <formula>NOT(ISERROR(SEARCH("欠",W604)))</formula>
    </cfRule>
    <cfRule type="cellIs" dxfId="0" priority="1246" operator="equal">
      <formula>"欠"</formula>
    </cfRule>
  </conditionalFormatting>
  <conditionalFormatting sqref="AE604">
    <cfRule type="cellIs" dxfId="2" priority="1210" operator="equal">
      <formula>"未完成"</formula>
    </cfRule>
    <cfRule type="cellIs" dxfId="0" priority="1216" operator="equal">
      <formula>"未完成"</formula>
    </cfRule>
  </conditionalFormatting>
  <conditionalFormatting sqref="W605">
    <cfRule type="containsText" dxfId="0" priority="1233" operator="between" text="欠">
      <formula>NOT(ISERROR(SEARCH("欠",W605)))</formula>
    </cfRule>
    <cfRule type="containsText" dxfId="1" priority="1239" operator="between" text="欠">
      <formula>NOT(ISERROR(SEARCH("欠",W605)))</formula>
    </cfRule>
    <cfRule type="cellIs" dxfId="0" priority="1245" operator="equal">
      <formula>"欠"</formula>
    </cfRule>
  </conditionalFormatting>
  <conditionalFormatting sqref="V609:W609">
    <cfRule type="containsText" dxfId="0" priority="1817" operator="between" text="欠">
      <formula>NOT(ISERROR(SEARCH("欠",V609)))</formula>
    </cfRule>
    <cfRule type="containsText" dxfId="1" priority="1825" operator="between" text="欠">
      <formula>NOT(ISERROR(SEARCH("欠",V609)))</formula>
    </cfRule>
    <cfRule type="cellIs" dxfId="0" priority="1833" operator="equal">
      <formula>"欠"</formula>
    </cfRule>
  </conditionalFormatting>
  <conditionalFormatting sqref="X609">
    <cfRule type="cellIs" dxfId="0" priority="1841" operator="equal">
      <formula>"欠"</formula>
    </cfRule>
  </conditionalFormatting>
  <conditionalFormatting sqref="AE609">
    <cfRule type="cellIs" dxfId="2" priority="1785" operator="equal">
      <formula>"未完成"</formula>
    </cfRule>
    <cfRule type="cellIs" dxfId="0" priority="1793" operator="equal">
      <formula>"未完成"</formula>
    </cfRule>
  </conditionalFormatting>
  <conditionalFormatting sqref="X611">
    <cfRule type="cellIs" dxfId="0" priority="1251" operator="equal">
      <formula>"欠"</formula>
    </cfRule>
  </conditionalFormatting>
  <conditionalFormatting sqref="AE611">
    <cfRule type="cellIs" dxfId="2" priority="1209" operator="equal">
      <formula>"未完成"</formula>
    </cfRule>
    <cfRule type="cellIs" dxfId="0" priority="1215" operator="equal">
      <formula>"未完成"</formula>
    </cfRule>
  </conditionalFormatting>
  <conditionalFormatting sqref="V617:W617">
    <cfRule type="containsText" dxfId="0" priority="1591" operator="between" text="欠">
      <formula>NOT(ISERROR(SEARCH("欠",V617)))</formula>
    </cfRule>
    <cfRule type="containsText" dxfId="1" priority="1602" operator="between" text="欠">
      <formula>NOT(ISERROR(SEARCH("欠",V617)))</formula>
    </cfRule>
    <cfRule type="cellIs" dxfId="0" priority="1613" operator="equal">
      <formula>"欠"</formula>
    </cfRule>
  </conditionalFormatting>
  <conditionalFormatting sqref="AE617">
    <cfRule type="cellIs" dxfId="2" priority="1547" operator="equal">
      <formula>"未完成"</formula>
    </cfRule>
    <cfRule type="cellIs" dxfId="0" priority="1558" operator="equal">
      <formula>"未完成"</formula>
    </cfRule>
  </conditionalFormatting>
  <conditionalFormatting sqref="T621:U621">
    <cfRule type="containsText" dxfId="0" priority="313" operator="between" text="欠">
      <formula>NOT(ISERROR(SEARCH("欠",T621)))</formula>
    </cfRule>
    <cfRule type="cellIs" dxfId="0" priority="325" operator="equal">
      <formula>"欠"</formula>
    </cfRule>
  </conditionalFormatting>
  <conditionalFormatting sqref="V621:W621">
    <cfRule type="containsText" dxfId="0" priority="337" operator="between" text="欠">
      <formula>NOT(ISERROR(SEARCH("欠",V621)))</formula>
    </cfRule>
    <cfRule type="containsText" dxfId="1" priority="349" operator="between" text="欠">
      <formula>NOT(ISERROR(SEARCH("欠",V621)))</formula>
    </cfRule>
    <cfRule type="cellIs" dxfId="0" priority="361" operator="equal">
      <formula>"欠"</formula>
    </cfRule>
  </conditionalFormatting>
  <conditionalFormatting sqref="X621">
    <cfRule type="cellIs" dxfId="0" priority="373" operator="equal">
      <formula>"欠"</formula>
    </cfRule>
  </conditionalFormatting>
  <conditionalFormatting sqref="T622:U622">
    <cfRule type="containsText" dxfId="0" priority="133" operator="between" text="欠">
      <formula>NOT(ISERROR(SEARCH("欠",T622)))</formula>
    </cfRule>
    <cfRule type="cellIs" dxfId="0" priority="137" operator="equal">
      <formula>"欠"</formula>
    </cfRule>
  </conditionalFormatting>
  <conditionalFormatting sqref="V622:W622">
    <cfRule type="containsText" dxfId="0" priority="141" operator="between" text="欠">
      <formula>NOT(ISERROR(SEARCH("欠",V622)))</formula>
    </cfRule>
    <cfRule type="containsText" dxfId="1" priority="145" operator="between" text="欠">
      <formula>NOT(ISERROR(SEARCH("欠",V622)))</formula>
    </cfRule>
    <cfRule type="cellIs" dxfId="0" priority="149" operator="equal">
      <formula>"欠"</formula>
    </cfRule>
  </conditionalFormatting>
  <conditionalFormatting sqref="X622">
    <cfRule type="cellIs" dxfId="0" priority="153" operator="equal">
      <formula>"欠"</formula>
    </cfRule>
  </conditionalFormatting>
  <conditionalFormatting sqref="AE622">
    <cfRule type="cellIs" dxfId="2" priority="125" operator="equal">
      <formula>"未完成"</formula>
    </cfRule>
    <cfRule type="cellIs" dxfId="0" priority="129" operator="equal">
      <formula>"未完成"</formula>
    </cfRule>
  </conditionalFormatting>
  <conditionalFormatting sqref="V624:W624">
    <cfRule type="containsText" dxfId="0" priority="2270" operator="between" text="欠">
      <formula>NOT(ISERROR(SEARCH("欠",V624)))</formula>
    </cfRule>
    <cfRule type="containsText" dxfId="1" priority="2287" operator="between" text="欠">
      <formula>NOT(ISERROR(SEARCH("欠",V624)))</formula>
    </cfRule>
    <cfRule type="cellIs" dxfId="0" priority="2304" operator="equal">
      <formula>"欠"</formula>
    </cfRule>
  </conditionalFormatting>
  <conditionalFormatting sqref="AE624">
    <cfRule type="cellIs" dxfId="2" priority="2202" operator="equal">
      <formula>"未完成"</formula>
    </cfRule>
    <cfRule type="cellIs" dxfId="0" priority="2219" operator="equal">
      <formula>"未完成"</formula>
    </cfRule>
  </conditionalFormatting>
  <conditionalFormatting sqref="W626">
    <cfRule type="containsText" dxfId="0" priority="1235" operator="between" text="欠">
      <formula>NOT(ISERROR(SEARCH("欠",W626)))</formula>
    </cfRule>
    <cfRule type="containsText" dxfId="1" priority="1241" operator="between" text="欠">
      <formula>NOT(ISERROR(SEARCH("欠",W626)))</formula>
    </cfRule>
    <cfRule type="cellIs" dxfId="0" priority="1247" operator="equal">
      <formula>"欠"</formula>
    </cfRule>
  </conditionalFormatting>
  <conditionalFormatting sqref="AE626">
    <cfRule type="cellIs" dxfId="2" priority="1211" operator="equal">
      <formula>"未完成"</formula>
    </cfRule>
    <cfRule type="cellIs" dxfId="0" priority="1217" operator="equal">
      <formula>"未完成"</formula>
    </cfRule>
  </conditionalFormatting>
  <conditionalFormatting sqref="V627:W627">
    <cfRule type="containsText" dxfId="0" priority="444" operator="between" text="欠">
      <formula>NOT(ISERROR(SEARCH("欠",V627)))</formula>
    </cfRule>
    <cfRule type="containsText" dxfId="1" priority="450" operator="between" text="欠">
      <formula>NOT(ISERROR(SEARCH("欠",V627)))</formula>
    </cfRule>
    <cfRule type="cellIs" dxfId="0" priority="456" operator="equal">
      <formula>"欠"</formula>
    </cfRule>
  </conditionalFormatting>
  <conditionalFormatting sqref="AE627">
    <cfRule type="cellIs" dxfId="2" priority="420" operator="equal">
      <formula>"未完成"</formula>
    </cfRule>
    <cfRule type="cellIs" dxfId="0" priority="426" operator="equal">
      <formula>"未完成"</formula>
    </cfRule>
  </conditionalFormatting>
  <conditionalFormatting sqref="V628:W628">
    <cfRule type="containsText" dxfId="0" priority="443" operator="between" text="欠">
      <formula>NOT(ISERROR(SEARCH("欠",V628)))</formula>
    </cfRule>
    <cfRule type="containsText" dxfId="1" priority="449" operator="between" text="欠">
      <formula>NOT(ISERROR(SEARCH("欠",V628)))</formula>
    </cfRule>
    <cfRule type="cellIs" dxfId="0" priority="455" operator="equal">
      <formula>"欠"</formula>
    </cfRule>
  </conditionalFormatting>
  <conditionalFormatting sqref="AE628">
    <cfRule type="cellIs" dxfId="2" priority="419" operator="equal">
      <formula>"未完成"</formula>
    </cfRule>
    <cfRule type="cellIs" dxfId="0" priority="425" operator="equal">
      <formula>"未完成"</formula>
    </cfRule>
  </conditionalFormatting>
  <conditionalFormatting sqref="S631">
    <cfRule type="containsText" dxfId="0" priority="811" operator="between" text="欠">
      <formula>NOT(ISERROR(SEARCH("欠",S631)))</formula>
    </cfRule>
    <cfRule type="cellIs" dxfId="0" priority="829" operator="equal">
      <formula>"欠"</formula>
    </cfRule>
  </conditionalFormatting>
  <conditionalFormatting sqref="V631:W631">
    <cfRule type="containsText" dxfId="0" priority="739" operator="between" text="欠">
      <formula>NOT(ISERROR(SEARCH("欠",V631)))</formula>
    </cfRule>
    <cfRule type="containsText" dxfId="1" priority="757" operator="between" text="欠">
      <formula>NOT(ISERROR(SEARCH("欠",V631)))</formula>
    </cfRule>
    <cfRule type="cellIs" dxfId="0" priority="775" operator="equal">
      <formula>"欠"</formula>
    </cfRule>
  </conditionalFormatting>
  <conditionalFormatting sqref="X631">
    <cfRule type="cellIs" dxfId="0" priority="793" operator="equal">
      <formula>"欠"</formula>
    </cfRule>
  </conditionalFormatting>
  <conditionalFormatting sqref="AE631">
    <cfRule type="cellIs" dxfId="2" priority="667" operator="equal">
      <formula>"未完成"</formula>
    </cfRule>
    <cfRule type="cellIs" dxfId="0" priority="685" operator="equal">
      <formula>"未完成"</formula>
    </cfRule>
  </conditionalFormatting>
  <conditionalFormatting sqref="V633:W633">
    <cfRule type="containsText" dxfId="0" priority="81" operator="between" text="欠">
      <formula>NOT(ISERROR(SEARCH("欠",V633)))</formula>
    </cfRule>
    <cfRule type="containsText" dxfId="1" priority="87" operator="between" text="欠">
      <formula>NOT(ISERROR(SEARCH("欠",V633)))</formula>
    </cfRule>
    <cfRule type="cellIs" dxfId="0" priority="93" operator="equal">
      <formula>"欠"</formula>
    </cfRule>
  </conditionalFormatting>
  <conditionalFormatting sqref="X633">
    <cfRule type="cellIs" dxfId="0" priority="99" operator="equal">
      <formula>"欠"</formula>
    </cfRule>
  </conditionalFormatting>
  <conditionalFormatting sqref="AE633">
    <cfRule type="cellIs" dxfId="2" priority="57" operator="equal">
      <formula>"未完成"</formula>
    </cfRule>
    <cfRule type="cellIs" dxfId="0" priority="63" operator="equal">
      <formula>"未完成"</formula>
    </cfRule>
  </conditionalFormatting>
  <conditionalFormatting sqref="T635:U635">
    <cfRule type="containsText" dxfId="0" priority="216" operator="between" text="欠">
      <formula>NOT(ISERROR(SEARCH("欠",T635)))</formula>
    </cfRule>
    <cfRule type="cellIs" dxfId="0" priority="217" operator="equal">
      <formula>"欠"</formula>
    </cfRule>
  </conditionalFormatting>
  <conditionalFormatting sqref="V635:W635">
    <cfRule type="containsText" dxfId="0" priority="221" operator="between" text="欠">
      <formula>NOT(ISERROR(SEARCH("欠",V635)))</formula>
    </cfRule>
    <cfRule type="containsText" dxfId="1" priority="222" operator="between" text="欠">
      <formula>NOT(ISERROR(SEARCH("欠",V635)))</formula>
    </cfRule>
    <cfRule type="cellIs" dxfId="0" priority="223" operator="equal">
      <formula>"欠"</formula>
    </cfRule>
  </conditionalFormatting>
  <conditionalFormatting sqref="X635">
    <cfRule type="cellIs" dxfId="0" priority="224" operator="equal">
      <formula>"欠"</formula>
    </cfRule>
  </conditionalFormatting>
  <conditionalFormatting sqref="AE635">
    <cfRule type="cellIs" dxfId="2" priority="219" operator="equal">
      <formula>"未完成"</formula>
    </cfRule>
    <cfRule type="cellIs" dxfId="0" priority="220" operator="equal">
      <formula>"未完成"</formula>
    </cfRule>
  </conditionalFormatting>
  <conditionalFormatting sqref="T638:U638">
    <cfRule type="containsText" dxfId="0" priority="2825" operator="between" text="欠">
      <formula>NOT(ISERROR(SEARCH("欠",T638)))</formula>
    </cfRule>
    <cfRule type="cellIs" dxfId="0" priority="2828" operator="equal">
      <formula>"欠"</formula>
    </cfRule>
  </conditionalFormatting>
  <conditionalFormatting sqref="W638">
    <cfRule type="containsText" dxfId="0" priority="2831" operator="between" text="欠">
      <formula>NOT(ISERROR(SEARCH("欠",W638)))</formula>
    </cfRule>
    <cfRule type="containsText" dxfId="1" priority="2834" operator="between" text="欠">
      <formula>NOT(ISERROR(SEARCH("欠",W638)))</formula>
    </cfRule>
    <cfRule type="cellIs" dxfId="0" priority="2837" operator="equal">
      <formula>"欠"</formula>
    </cfRule>
  </conditionalFormatting>
  <conditionalFormatting sqref="X638">
    <cfRule type="cellIs" dxfId="0" priority="2840" operator="equal">
      <formula>"欠"</formula>
    </cfRule>
  </conditionalFormatting>
  <conditionalFormatting sqref="AE638">
    <cfRule type="cellIs" dxfId="2" priority="2819" operator="equal">
      <formula>"未完成"</formula>
    </cfRule>
    <cfRule type="cellIs" dxfId="0" priority="2822" operator="equal">
      <formula>"未完成"</formula>
    </cfRule>
  </conditionalFormatting>
  <conditionalFormatting sqref="V642:W642">
    <cfRule type="containsText" dxfId="0" priority="243" operator="between" text="欠">
      <formula>NOT(ISERROR(SEARCH("欠",V642)))</formula>
    </cfRule>
    <cfRule type="containsText" dxfId="1" priority="244" operator="between" text="欠">
      <formula>NOT(ISERROR(SEARCH("欠",V642)))</formula>
    </cfRule>
    <cfRule type="cellIs" dxfId="0" priority="245" operator="equal">
      <formula>"欠"</formula>
    </cfRule>
  </conditionalFormatting>
  <conditionalFormatting sqref="X642">
    <cfRule type="cellIs" dxfId="0" priority="246" operator="equal">
      <formula>"欠"</formula>
    </cfRule>
  </conditionalFormatting>
  <conditionalFormatting sqref="AE642">
    <cfRule type="cellIs" dxfId="2" priority="239" operator="equal">
      <formula>"未完成"</formula>
    </cfRule>
    <cfRule type="cellIs" dxfId="0" priority="240" operator="equal">
      <formula>"未完成"</formula>
    </cfRule>
  </conditionalFormatting>
  <conditionalFormatting sqref="U643">
    <cfRule type="containsText" dxfId="0" priority="73" operator="between" text="欠">
      <formula>NOT(ISERROR(SEARCH("欠",U643)))</formula>
    </cfRule>
    <cfRule type="cellIs" dxfId="0" priority="79" operator="equal">
      <formula>"欠"</formula>
    </cfRule>
  </conditionalFormatting>
  <conditionalFormatting sqref="V645:W645">
    <cfRule type="containsText" dxfId="0" priority="85" operator="between" text="欠">
      <formula>NOT(ISERROR(SEARCH("欠",V645)))</formula>
    </cfRule>
    <cfRule type="containsText" dxfId="1" priority="91" operator="between" text="欠">
      <formula>NOT(ISERROR(SEARCH("欠",V645)))</formula>
    </cfRule>
    <cfRule type="cellIs" dxfId="0" priority="97" operator="equal">
      <formula>"欠"</formula>
    </cfRule>
  </conditionalFormatting>
  <conditionalFormatting sqref="V649:W649">
    <cfRule type="containsText" dxfId="0" priority="84" operator="between" text="欠">
      <formula>NOT(ISERROR(SEARCH("欠",V649)))</formula>
    </cfRule>
    <cfRule type="containsText" dxfId="1" priority="90" operator="between" text="欠">
      <formula>NOT(ISERROR(SEARCH("欠",V649)))</formula>
    </cfRule>
    <cfRule type="cellIs" dxfId="0" priority="96" operator="equal">
      <formula>"欠"</formula>
    </cfRule>
  </conditionalFormatting>
  <conditionalFormatting sqref="T652:U652">
    <cfRule type="containsText" dxfId="0" priority="3877" operator="between" text="欠">
      <formula>NOT(ISERROR(SEARCH("欠",T652)))</formula>
    </cfRule>
    <cfRule type="cellIs" dxfId="0" priority="3878" operator="equal">
      <formula>"欠"</formula>
    </cfRule>
  </conditionalFormatting>
  <conditionalFormatting sqref="V652:W652">
    <cfRule type="containsText" dxfId="0" priority="3882" operator="between" text="欠">
      <formula>NOT(ISERROR(SEARCH("欠",V652)))</formula>
    </cfRule>
    <cfRule type="containsText" dxfId="1" priority="3883" operator="between" text="欠">
      <formula>NOT(ISERROR(SEARCH("欠",V652)))</formula>
    </cfRule>
    <cfRule type="cellIs" dxfId="0" priority="3884" operator="equal">
      <formula>"欠"</formula>
    </cfRule>
  </conditionalFormatting>
  <conditionalFormatting sqref="X652">
    <cfRule type="cellIs" dxfId="0" priority="3885" operator="equal">
      <formula>"欠"</formula>
    </cfRule>
  </conditionalFormatting>
  <conditionalFormatting sqref="AE652">
    <cfRule type="cellIs" dxfId="2" priority="3886" operator="equal">
      <formula>"未完成"</formula>
    </cfRule>
    <cfRule type="cellIs" dxfId="0" priority="3887" operator="equal">
      <formula>"未完成"</formula>
    </cfRule>
  </conditionalFormatting>
  <conditionalFormatting sqref="R656">
    <cfRule type="containsText" dxfId="0" priority="268" operator="between" text="欠">
      <formula>NOT(ISERROR(SEARCH("欠",R656)))</formula>
    </cfRule>
  </conditionalFormatting>
  <conditionalFormatting sqref="V656:W656">
    <cfRule type="containsText" dxfId="0" priority="340" operator="between" text="欠">
      <formula>NOT(ISERROR(SEARCH("欠",V656)))</formula>
    </cfRule>
    <cfRule type="containsText" dxfId="1" priority="352" operator="between" text="欠">
      <formula>NOT(ISERROR(SEARCH("欠",V656)))</formula>
    </cfRule>
    <cfRule type="cellIs" dxfId="0" priority="364" operator="equal">
      <formula>"欠"</formula>
    </cfRule>
  </conditionalFormatting>
  <conditionalFormatting sqref="X656">
    <cfRule type="cellIs" dxfId="0" priority="376" operator="equal">
      <formula>"欠"</formula>
    </cfRule>
  </conditionalFormatting>
  <conditionalFormatting sqref="W664">
    <cfRule type="containsText" dxfId="0" priority="1906" operator="between" text="欠">
      <formula>NOT(ISERROR(SEARCH("欠",W664)))</formula>
    </cfRule>
    <cfRule type="containsText" dxfId="1" priority="1911" operator="between" text="欠">
      <formula>NOT(ISERROR(SEARCH("欠",W664)))</formula>
    </cfRule>
    <cfRule type="cellIs" dxfId="0" priority="1916" operator="equal">
      <formula>"欠"</formula>
    </cfRule>
  </conditionalFormatting>
  <conditionalFormatting sqref="W666">
    <cfRule type="containsText" dxfId="0" priority="3746" operator="between" text="欠">
      <formula>NOT(ISERROR(SEARCH("欠",W666)))</formula>
    </cfRule>
    <cfRule type="containsText" dxfId="1" priority="3762" operator="between" text="欠">
      <formula>NOT(ISERROR(SEARCH("欠",W666)))</formula>
    </cfRule>
    <cfRule type="cellIs" dxfId="0" priority="3778" operator="equal">
      <formula>"欠"</formula>
    </cfRule>
  </conditionalFormatting>
  <conditionalFormatting sqref="X666">
    <cfRule type="cellIs" dxfId="0" priority="3794" operator="equal">
      <formula>"欠"</formula>
    </cfRule>
  </conditionalFormatting>
  <conditionalFormatting sqref="W669">
    <cfRule type="containsText" dxfId="0" priority="1905" operator="between" text="欠">
      <formula>NOT(ISERROR(SEARCH("欠",W669)))</formula>
    </cfRule>
    <cfRule type="containsText" dxfId="1" priority="1910" operator="between" text="欠">
      <formula>NOT(ISERROR(SEARCH("欠",W669)))</formula>
    </cfRule>
    <cfRule type="cellIs" dxfId="0" priority="1915" operator="equal">
      <formula>"欠"</formula>
    </cfRule>
  </conditionalFormatting>
  <conditionalFormatting sqref="T671:U671">
    <cfRule type="containsText" dxfId="0" priority="1296" operator="between" text="欠">
      <formula>NOT(ISERROR(SEARCH("欠",T671)))</formula>
    </cfRule>
    <cfRule type="cellIs" dxfId="0" priority="1297" operator="equal">
      <formula>"欠"</formula>
    </cfRule>
  </conditionalFormatting>
  <conditionalFormatting sqref="V671:W671">
    <cfRule type="containsText" dxfId="0" priority="1298" operator="between" text="欠">
      <formula>NOT(ISERROR(SEARCH("欠",V671)))</formula>
    </cfRule>
    <cfRule type="containsText" dxfId="1" priority="1299" operator="between" text="欠">
      <formula>NOT(ISERROR(SEARCH("欠",V671)))</formula>
    </cfRule>
    <cfRule type="cellIs" dxfId="0" priority="1300" operator="equal">
      <formula>"欠"</formula>
    </cfRule>
  </conditionalFormatting>
  <conditionalFormatting sqref="X671">
    <cfRule type="cellIs" dxfId="0" priority="1301" operator="equal">
      <formula>"欠"</formula>
    </cfRule>
  </conditionalFormatting>
  <conditionalFormatting sqref="V679:W679">
    <cfRule type="containsText" dxfId="0" priority="1590" operator="between" text="欠">
      <formula>NOT(ISERROR(SEARCH("欠",V679)))</formula>
    </cfRule>
    <cfRule type="containsText" dxfId="1" priority="1601" operator="between" text="欠">
      <formula>NOT(ISERROR(SEARCH("欠",V679)))</formula>
    </cfRule>
    <cfRule type="cellIs" dxfId="0" priority="1612" operator="equal">
      <formula>"欠"</formula>
    </cfRule>
  </conditionalFormatting>
  <conditionalFormatting sqref="X679">
    <cfRule type="cellIs" dxfId="0" priority="1623" operator="equal">
      <formula>"欠"</formula>
    </cfRule>
  </conditionalFormatting>
  <conditionalFormatting sqref="AE679">
    <cfRule type="cellIs" dxfId="2" priority="1546" operator="equal">
      <formula>"未完成"</formula>
    </cfRule>
    <cfRule type="cellIs" dxfId="0" priority="1557" operator="equal">
      <formula>"未完成"</formula>
    </cfRule>
  </conditionalFormatting>
  <conditionalFormatting sqref="V682:W682">
    <cfRule type="containsText" dxfId="0" priority="333" operator="between" text="欠">
      <formula>NOT(ISERROR(SEARCH("欠",V682)))</formula>
    </cfRule>
    <cfRule type="containsText" dxfId="1" priority="345" operator="between" text="欠">
      <formula>NOT(ISERROR(SEARCH("欠",V682)))</formula>
    </cfRule>
    <cfRule type="cellIs" dxfId="0" priority="357" operator="equal">
      <formula>"欠"</formula>
    </cfRule>
  </conditionalFormatting>
  <conditionalFormatting sqref="X682">
    <cfRule type="cellIs" dxfId="0" priority="369" operator="equal">
      <formula>"欠"</formula>
    </cfRule>
  </conditionalFormatting>
  <conditionalFormatting sqref="AE682">
    <cfRule type="cellIs" dxfId="2" priority="285" operator="equal">
      <formula>"未完成"</formula>
    </cfRule>
    <cfRule type="cellIs" dxfId="0" priority="297" operator="equal">
      <formula>"未完成"</formula>
    </cfRule>
  </conditionalFormatting>
  <conditionalFormatting sqref="T683:U683">
    <cfRule type="containsText" dxfId="0" priority="3702" operator="between" text="欠">
      <formula>NOT(ISERROR(SEARCH("欠",T683)))</formula>
    </cfRule>
    <cfRule type="cellIs" dxfId="0" priority="3718" operator="equal">
      <formula>"欠"</formula>
    </cfRule>
  </conditionalFormatting>
  <conditionalFormatting sqref="W683">
    <cfRule type="containsText" dxfId="0" priority="3734" operator="between" text="欠">
      <formula>NOT(ISERROR(SEARCH("欠",W683)))</formula>
    </cfRule>
    <cfRule type="containsText" dxfId="1" priority="3750" operator="between" text="欠">
      <formula>NOT(ISERROR(SEARCH("欠",W683)))</formula>
    </cfRule>
    <cfRule type="cellIs" dxfId="0" priority="3766" operator="equal">
      <formula>"欠"</formula>
    </cfRule>
  </conditionalFormatting>
  <conditionalFormatting sqref="X683">
    <cfRule type="cellIs" dxfId="0" priority="3782" operator="equal">
      <formula>"欠"</formula>
    </cfRule>
  </conditionalFormatting>
  <conditionalFormatting sqref="AE683">
    <cfRule type="cellIs" dxfId="2" priority="3670" operator="equal">
      <formula>"未完成"</formula>
    </cfRule>
    <cfRule type="cellIs" dxfId="0" priority="3686" operator="equal">
      <formula>"未完成"</formula>
    </cfRule>
  </conditionalFormatting>
  <conditionalFormatting sqref="W697">
    <cfRule type="containsText" dxfId="0" priority="746" operator="between" text="欠">
      <formula>NOT(ISERROR(SEARCH("欠",W697)))</formula>
    </cfRule>
    <cfRule type="containsText" dxfId="1" priority="764" operator="between" text="欠">
      <formula>NOT(ISERROR(SEARCH("欠",W697)))</formula>
    </cfRule>
    <cfRule type="cellIs" dxfId="0" priority="782" operator="equal">
      <formula>"欠"</formula>
    </cfRule>
  </conditionalFormatting>
  <conditionalFormatting sqref="T710:U710">
    <cfRule type="containsText" dxfId="0" priority="4012" operator="between" text="欠">
      <formula>NOT(ISERROR(SEARCH("欠",T710)))</formula>
    </cfRule>
    <cfRule type="cellIs" dxfId="0" priority="4014" operator="equal">
      <formula>"欠"</formula>
    </cfRule>
  </conditionalFormatting>
  <conditionalFormatting sqref="V710">
    <cfRule type="containsText" dxfId="0" priority="4002" operator="between" text="欠">
      <formula>NOT(ISERROR(SEARCH("欠",V710)))</formula>
    </cfRule>
    <cfRule type="containsText" dxfId="1" priority="4004" operator="between" text="欠">
      <formula>NOT(ISERROR(SEARCH("欠",V710)))</formula>
    </cfRule>
    <cfRule type="cellIs" dxfId="0" priority="4006" operator="equal">
      <formula>"欠"</formula>
    </cfRule>
  </conditionalFormatting>
  <conditionalFormatting sqref="W710">
    <cfRule type="containsText" dxfId="0" priority="4016" operator="between" text="欠">
      <formula>NOT(ISERROR(SEARCH("欠",W710)))</formula>
    </cfRule>
    <cfRule type="containsText" dxfId="1" priority="4018" operator="between" text="欠">
      <formula>NOT(ISERROR(SEARCH("欠",W710)))</formula>
    </cfRule>
    <cfRule type="cellIs" dxfId="0" priority="4020" operator="equal">
      <formula>"欠"</formula>
    </cfRule>
  </conditionalFormatting>
  <conditionalFormatting sqref="X710">
    <cfRule type="cellIs" dxfId="0" priority="4022" operator="equal">
      <formula>"欠"</formula>
    </cfRule>
  </conditionalFormatting>
  <conditionalFormatting sqref="AE710">
    <cfRule type="cellIs" dxfId="2" priority="4024" operator="equal">
      <formula>"未完成"</formula>
    </cfRule>
    <cfRule type="cellIs" dxfId="0" priority="4026" operator="equal">
      <formula>"未完成"</formula>
    </cfRule>
  </conditionalFormatting>
  <conditionalFormatting sqref="T717:U717">
    <cfRule type="containsText" dxfId="0" priority="2008" operator="between" text="欠">
      <formula>NOT(ISERROR(SEARCH("欠",T717)))</formula>
    </cfRule>
    <cfRule type="cellIs" dxfId="0" priority="2009" operator="equal">
      <formula>"欠"</formula>
    </cfRule>
  </conditionalFormatting>
  <conditionalFormatting sqref="V717:W717">
    <cfRule type="containsText" dxfId="0" priority="2010" operator="between" text="欠">
      <formula>NOT(ISERROR(SEARCH("欠",V717)))</formula>
    </cfRule>
    <cfRule type="containsText" dxfId="1" priority="2011" operator="between" text="欠">
      <formula>NOT(ISERROR(SEARCH("欠",V717)))</formula>
    </cfRule>
    <cfRule type="cellIs" dxfId="0" priority="2012" operator="equal">
      <formula>"欠"</formula>
    </cfRule>
  </conditionalFormatting>
  <conditionalFormatting sqref="X717">
    <cfRule type="cellIs" dxfId="0" priority="2013" operator="equal">
      <formula>"欠"</formula>
    </cfRule>
  </conditionalFormatting>
  <conditionalFormatting sqref="AE717">
    <cfRule type="cellIs" dxfId="2" priority="2006" operator="equal">
      <formula>"未完成"</formula>
    </cfRule>
    <cfRule type="cellIs" dxfId="0" priority="2007" operator="equal">
      <formula>"未完成"</formula>
    </cfRule>
  </conditionalFormatting>
  <conditionalFormatting sqref="V724">
    <cfRule type="containsText" dxfId="0" priority="1189" operator="between" text="欠">
      <formula>NOT(ISERROR(SEARCH("欠",V724)))</formula>
    </cfRule>
    <cfRule type="containsText" dxfId="1" priority="1190" operator="between" text="欠">
      <formula>NOT(ISERROR(SEARCH("欠",V724)))</formula>
    </cfRule>
    <cfRule type="cellIs" dxfId="0" priority="1191" operator="equal">
      <formula>"欠"</formula>
    </cfRule>
  </conditionalFormatting>
  <conditionalFormatting sqref="W724">
    <cfRule type="containsText" dxfId="0" priority="2457" operator="between" text="欠">
      <formula>NOT(ISERROR(SEARCH("欠",W724)))</formula>
    </cfRule>
    <cfRule type="containsText" dxfId="1" priority="2462" operator="between" text="欠">
      <formula>NOT(ISERROR(SEARCH("欠",W724)))</formula>
    </cfRule>
    <cfRule type="cellIs" dxfId="0" priority="2467" operator="equal">
      <formula>"欠"</formula>
    </cfRule>
  </conditionalFormatting>
  <conditionalFormatting sqref="X724">
    <cfRule type="cellIs" dxfId="0" priority="2472" operator="equal">
      <formula>"欠"</formula>
    </cfRule>
  </conditionalFormatting>
  <conditionalFormatting sqref="V738:W738">
    <cfRule type="containsText" dxfId="0" priority="338" operator="between" text="欠">
      <formula>NOT(ISERROR(SEARCH("欠",V738)))</formula>
    </cfRule>
    <cfRule type="containsText" dxfId="1" priority="350" operator="between" text="欠">
      <formula>NOT(ISERROR(SEARCH("欠",V738)))</formula>
    </cfRule>
    <cfRule type="cellIs" dxfId="0" priority="362" operator="equal">
      <formula>"欠"</formula>
    </cfRule>
  </conditionalFormatting>
  <conditionalFormatting sqref="X738">
    <cfRule type="cellIs" dxfId="0" priority="374" operator="equal">
      <formula>"欠"</formula>
    </cfRule>
  </conditionalFormatting>
  <conditionalFormatting sqref="AE738">
    <cfRule type="cellIs" dxfId="2" priority="290" operator="equal">
      <formula>"未完成"</formula>
    </cfRule>
    <cfRule type="cellIs" dxfId="0" priority="302" operator="equal">
      <formula>"未完成"</formula>
    </cfRule>
  </conditionalFormatting>
  <conditionalFormatting sqref="W747">
    <cfRule type="containsText" dxfId="0" priority="1903" operator="between" text="欠">
      <formula>NOT(ISERROR(SEARCH("欠",W747)))</formula>
    </cfRule>
    <cfRule type="containsText" dxfId="1" priority="1908" operator="between" text="欠">
      <formula>NOT(ISERROR(SEARCH("欠",W747)))</formula>
    </cfRule>
    <cfRule type="cellIs" dxfId="0" priority="1913" operator="equal">
      <formula>"欠"</formula>
    </cfRule>
  </conditionalFormatting>
  <conditionalFormatting sqref="W750">
    <cfRule type="containsText" dxfId="0" priority="730" operator="between" text="欠">
      <formula>NOT(ISERROR(SEARCH("欠",W750)))</formula>
    </cfRule>
    <cfRule type="containsText" dxfId="1" priority="748" operator="between" text="欠">
      <formula>NOT(ISERROR(SEARCH("欠",W750)))</formula>
    </cfRule>
    <cfRule type="cellIs" dxfId="0" priority="766" operator="equal">
      <formula>"欠"</formula>
    </cfRule>
  </conditionalFormatting>
  <conditionalFormatting sqref="X750">
    <cfRule type="cellIs" dxfId="0" priority="784" operator="equal">
      <formula>"欠"</formula>
    </cfRule>
  </conditionalFormatting>
  <conditionalFormatting sqref="AE750">
    <cfRule type="cellIs" dxfId="2" priority="658" operator="equal">
      <formula>"未完成"</formula>
    </cfRule>
    <cfRule type="cellIs" dxfId="0" priority="676" operator="equal">
      <formula>"未完成"</formula>
    </cfRule>
  </conditionalFormatting>
  <conditionalFormatting sqref="R767">
    <cfRule type="containsText" dxfId="0" priority="2429" operator="between" text="欠">
      <formula>NOT(ISERROR(SEARCH("欠",R767)))</formula>
    </cfRule>
  </conditionalFormatting>
  <conditionalFormatting sqref="S767">
    <cfRule type="containsText" dxfId="0" priority="2479" operator="between" text="欠">
      <formula>NOT(ISERROR(SEARCH("欠",S767)))</formula>
    </cfRule>
    <cfRule type="cellIs" dxfId="0" priority="2484" operator="equal">
      <formula>"欠"</formula>
    </cfRule>
  </conditionalFormatting>
  <conditionalFormatting sqref="T767:U767">
    <cfRule type="containsText" dxfId="0" priority="2449" operator="between" text="欠">
      <formula>NOT(ISERROR(SEARCH("欠",T767)))</formula>
    </cfRule>
    <cfRule type="cellIs" dxfId="0" priority="2454" operator="equal">
      <formula>"欠"</formula>
    </cfRule>
  </conditionalFormatting>
  <conditionalFormatting sqref="V767:W767">
    <cfRule type="containsText" dxfId="0" priority="2459" operator="between" text="欠">
      <formula>NOT(ISERROR(SEARCH("欠",V767)))</formula>
    </cfRule>
    <cfRule type="containsText" dxfId="1" priority="2464" operator="between" text="欠">
      <formula>NOT(ISERROR(SEARCH("欠",V767)))</formula>
    </cfRule>
    <cfRule type="cellIs" dxfId="0" priority="2469" operator="equal">
      <formula>"欠"</formula>
    </cfRule>
  </conditionalFormatting>
  <conditionalFormatting sqref="X767">
    <cfRule type="cellIs" dxfId="0" priority="2474" operator="equal">
      <formula>"欠"</formula>
    </cfRule>
  </conditionalFormatting>
  <conditionalFormatting sqref="AE767">
    <cfRule type="cellIs" dxfId="2" priority="2439" operator="equal">
      <formula>"未完成"</formula>
    </cfRule>
    <cfRule type="cellIs" dxfId="0" priority="2444" operator="equal">
      <formula>"未完成"</formula>
    </cfRule>
  </conditionalFormatting>
  <conditionalFormatting sqref="R768">
    <cfRule type="containsText" dxfId="0" priority="2398" operator="between" text="欠">
      <formula>NOT(ISERROR(SEARCH("欠",R768)))</formula>
    </cfRule>
  </conditionalFormatting>
  <conditionalFormatting sqref="S768">
    <cfRule type="containsText" dxfId="0" priority="2392" operator="between" text="欠">
      <formula>NOT(ISERROR(SEARCH("欠",S768)))</formula>
    </cfRule>
    <cfRule type="cellIs" dxfId="0" priority="2395" operator="equal">
      <formula>"欠"</formula>
    </cfRule>
  </conditionalFormatting>
  <conditionalFormatting sqref="T768:U768">
    <cfRule type="containsText" dxfId="0" priority="2419" operator="between" text="欠">
      <formula>NOT(ISERROR(SEARCH("欠",T768)))</formula>
    </cfRule>
    <cfRule type="cellIs" dxfId="0" priority="2422" operator="equal">
      <formula>"欠"</formula>
    </cfRule>
  </conditionalFormatting>
  <conditionalFormatting sqref="V768">
    <cfRule type="containsText" dxfId="0" priority="2383" operator="between" text="欠">
      <formula>NOT(ISERROR(SEARCH("欠",V768)))</formula>
    </cfRule>
    <cfRule type="containsText" dxfId="1" priority="2386" operator="between" text="欠">
      <formula>NOT(ISERROR(SEARCH("欠",V768)))</formula>
    </cfRule>
    <cfRule type="cellIs" dxfId="0" priority="2389" operator="equal">
      <formula>"欠"</formula>
    </cfRule>
  </conditionalFormatting>
  <conditionalFormatting sqref="W768">
    <cfRule type="containsText" dxfId="0" priority="2407" operator="between" text="欠">
      <formula>NOT(ISERROR(SEARCH("欠",W768)))</formula>
    </cfRule>
    <cfRule type="containsText" dxfId="1" priority="2410" operator="between" text="欠">
      <formula>NOT(ISERROR(SEARCH("欠",W768)))</formula>
    </cfRule>
    <cfRule type="cellIs" dxfId="0" priority="2413" operator="equal">
      <formula>"欠"</formula>
    </cfRule>
  </conditionalFormatting>
  <conditionalFormatting sqref="X768">
    <cfRule type="cellIs" dxfId="0" priority="2416" operator="equal">
      <formula>"欠"</formula>
    </cfRule>
  </conditionalFormatting>
  <conditionalFormatting sqref="AE768">
    <cfRule type="cellIs" dxfId="2" priority="2401" operator="equal">
      <formula>"未完成"</formula>
    </cfRule>
    <cfRule type="cellIs" dxfId="0" priority="2404" operator="equal">
      <formula>"未完成"</formula>
    </cfRule>
  </conditionalFormatting>
  <conditionalFormatting sqref="W769">
    <cfRule type="containsText" dxfId="0" priority="729" operator="between" text="欠">
      <formula>NOT(ISERROR(SEARCH("欠",W769)))</formula>
    </cfRule>
    <cfRule type="containsText" dxfId="1" priority="747" operator="between" text="欠">
      <formula>NOT(ISERROR(SEARCH("欠",W769)))</formula>
    </cfRule>
    <cfRule type="cellIs" dxfId="0" priority="765" operator="equal">
      <formula>"欠"</formula>
    </cfRule>
  </conditionalFormatting>
  <conditionalFormatting sqref="X769">
    <cfRule type="cellIs" dxfId="0" priority="783" operator="equal">
      <formula>"欠"</formula>
    </cfRule>
  </conditionalFormatting>
  <conditionalFormatting sqref="T770:U770">
    <cfRule type="containsText" dxfId="0" priority="3707" operator="between" text="欠">
      <formula>NOT(ISERROR(SEARCH("欠",T770)))</formula>
    </cfRule>
    <cfRule type="cellIs" dxfId="0" priority="3723" operator="equal">
      <formula>"欠"</formula>
    </cfRule>
  </conditionalFormatting>
  <conditionalFormatting sqref="W770">
    <cfRule type="containsText" dxfId="0" priority="3739" operator="between" text="欠">
      <formula>NOT(ISERROR(SEARCH("欠",W770)))</formula>
    </cfRule>
    <cfRule type="containsText" dxfId="1" priority="3755" operator="between" text="欠">
      <formula>NOT(ISERROR(SEARCH("欠",W770)))</formula>
    </cfRule>
    <cfRule type="cellIs" dxfId="0" priority="3771" operator="equal">
      <formula>"欠"</formula>
    </cfRule>
  </conditionalFormatting>
  <conditionalFormatting sqref="X770">
    <cfRule type="cellIs" dxfId="0" priority="3787" operator="equal">
      <formula>"欠"</formula>
    </cfRule>
  </conditionalFormatting>
  <conditionalFormatting sqref="AE770">
    <cfRule type="cellIs" dxfId="2" priority="3675" operator="equal">
      <formula>"未完成"</formula>
    </cfRule>
    <cfRule type="cellIs" dxfId="0" priority="3691" operator="equal">
      <formula>"未完成"</formula>
    </cfRule>
  </conditionalFormatting>
  <conditionalFormatting sqref="W778">
    <cfRule type="containsText" dxfId="0" priority="1902" operator="between" text="欠">
      <formula>NOT(ISERROR(SEARCH("欠",W778)))</formula>
    </cfRule>
    <cfRule type="containsText" dxfId="1" priority="1907" operator="between" text="欠">
      <formula>NOT(ISERROR(SEARCH("欠",W778)))</formula>
    </cfRule>
    <cfRule type="cellIs" dxfId="0" priority="1912" operator="equal">
      <formula>"欠"</formula>
    </cfRule>
  </conditionalFormatting>
  <conditionalFormatting sqref="X783">
    <cfRule type="cellIs" dxfId="0" priority="1509" operator="equal">
      <formula>"欠"</formula>
    </cfRule>
  </conditionalFormatting>
  <conditionalFormatting sqref="W805">
    <cfRule type="containsText" dxfId="0" priority="3735" operator="between" text="欠">
      <formula>NOT(ISERROR(SEARCH("欠",W805)))</formula>
    </cfRule>
    <cfRule type="containsText" dxfId="1" priority="3751" operator="between" text="欠">
      <formula>NOT(ISERROR(SEARCH("欠",W805)))</formula>
    </cfRule>
    <cfRule type="cellIs" dxfId="0" priority="3767" operator="equal">
      <formula>"欠"</formula>
    </cfRule>
  </conditionalFormatting>
  <conditionalFormatting sqref="AE805">
    <cfRule type="cellIs" dxfId="2" priority="3671" operator="equal">
      <formula>"未完成"</formula>
    </cfRule>
    <cfRule type="cellIs" dxfId="0" priority="3687" operator="equal">
      <formula>"未完成"</formula>
    </cfRule>
  </conditionalFormatting>
  <conditionalFormatting sqref="V806:W806">
    <cfRule type="containsText" dxfId="0" priority="2639" operator="between" text="欠">
      <formula>NOT(ISERROR(SEARCH("欠",V806)))</formula>
    </cfRule>
    <cfRule type="containsText" dxfId="1" priority="2640" operator="between" text="欠">
      <formula>NOT(ISERROR(SEARCH("欠",V806)))</formula>
    </cfRule>
    <cfRule type="cellIs" dxfId="0" priority="2641" operator="equal">
      <formula>"欠"</formula>
    </cfRule>
  </conditionalFormatting>
  <conditionalFormatting sqref="X806">
    <cfRule type="cellIs" dxfId="0" priority="2642" operator="equal">
      <formula>"欠"</formula>
    </cfRule>
  </conditionalFormatting>
  <conditionalFormatting sqref="AE806">
    <cfRule type="cellIs" dxfId="2" priority="2633" operator="equal">
      <formula>"未完成"</formula>
    </cfRule>
    <cfRule type="cellIs" dxfId="0" priority="2634" operator="equal">
      <formula>"未完成"</formula>
    </cfRule>
  </conditionalFormatting>
  <conditionalFormatting sqref="U812">
    <cfRule type="containsText" dxfId="3" priority="2" operator="between" text="欠">
      <formula>NOT(ISERROR(SEARCH("欠",U812)))</formula>
    </cfRule>
    <cfRule type="containsText" dxfId="0" priority="4" operator="between" text="欠">
      <formula>NOT(ISERROR(SEARCH("欠",U812)))</formula>
    </cfRule>
    <cfRule type="cellIs" dxfId="0" priority="5" operator="equal">
      <formula>"欠"</formula>
    </cfRule>
  </conditionalFormatting>
  <conditionalFormatting sqref="S835">
    <cfRule type="containsText" dxfId="0" priority="2041" operator="between" text="欠">
      <formula>NOT(ISERROR(SEARCH("欠",S835)))</formula>
    </cfRule>
    <cfRule type="cellIs" dxfId="0" priority="2042" operator="equal">
      <formula>"欠"</formula>
    </cfRule>
  </conditionalFormatting>
  <conditionalFormatting sqref="T835:U835">
    <cfRule type="containsText" dxfId="0" priority="2043" operator="between" text="欠">
      <formula>NOT(ISERROR(SEARCH("欠",T835)))</formula>
    </cfRule>
    <cfRule type="cellIs" dxfId="0" priority="2044" operator="equal">
      <formula>"欠"</formula>
    </cfRule>
  </conditionalFormatting>
  <conditionalFormatting sqref="V835:W835">
    <cfRule type="containsText" dxfId="0" priority="2267" operator="between" text="欠">
      <formula>NOT(ISERROR(SEARCH("欠",V835)))</formula>
    </cfRule>
    <cfRule type="containsText" dxfId="1" priority="2284" operator="between" text="欠">
      <formula>NOT(ISERROR(SEARCH("欠",V835)))</formula>
    </cfRule>
    <cfRule type="cellIs" dxfId="0" priority="2301" operator="equal">
      <formula>"欠"</formula>
    </cfRule>
  </conditionalFormatting>
  <conditionalFormatting sqref="X835">
    <cfRule type="cellIs" dxfId="0" priority="2318" operator="equal">
      <formula>"欠"</formula>
    </cfRule>
  </conditionalFormatting>
  <conditionalFormatting sqref="AE835">
    <cfRule type="cellIs" dxfId="2" priority="2199" operator="equal">
      <formula>"未完成"</formula>
    </cfRule>
    <cfRule type="cellIs" dxfId="0" priority="2216" operator="equal">
      <formula>"未完成"</formula>
    </cfRule>
  </conditionalFormatting>
  <conditionalFormatting sqref="V849:W849">
    <cfRule type="containsText" dxfId="0" priority="1592" operator="between" text="欠">
      <formula>NOT(ISERROR(SEARCH("欠",V849)))</formula>
    </cfRule>
    <cfRule type="containsText" dxfId="1" priority="1603" operator="between" text="欠">
      <formula>NOT(ISERROR(SEARCH("欠",V849)))</formula>
    </cfRule>
    <cfRule type="cellIs" dxfId="0" priority="1614" operator="equal">
      <formula>"欠"</formula>
    </cfRule>
  </conditionalFormatting>
  <conditionalFormatting sqref="X849">
    <cfRule type="cellIs" dxfId="0" priority="1625" operator="equal">
      <formula>"欠"</formula>
    </cfRule>
  </conditionalFormatting>
  <conditionalFormatting sqref="AE849">
    <cfRule type="cellIs" dxfId="2" priority="1548" operator="equal">
      <formula>"未完成"</formula>
    </cfRule>
    <cfRule type="cellIs" dxfId="0" priority="1559" operator="equal">
      <formula>"未完成"</formula>
    </cfRule>
  </conditionalFormatting>
  <conditionalFormatting sqref="W870">
    <cfRule type="containsText" dxfId="0" priority="3736" operator="between" text="欠">
      <formula>NOT(ISERROR(SEARCH("欠",W870)))</formula>
    </cfRule>
    <cfRule type="containsText" dxfId="1" priority="3752" operator="between" text="欠">
      <formula>NOT(ISERROR(SEARCH("欠",W870)))</formula>
    </cfRule>
    <cfRule type="cellIs" dxfId="0" priority="3768" operator="equal">
      <formula>"欠"</formula>
    </cfRule>
  </conditionalFormatting>
  <conditionalFormatting sqref="AE870">
    <cfRule type="cellIs" dxfId="2" priority="3672" operator="equal">
      <formula>"未完成"</formula>
    </cfRule>
    <cfRule type="cellIs" dxfId="0" priority="3688" operator="equal">
      <formula>"未完成"</formula>
    </cfRule>
  </conditionalFormatting>
  <conditionalFormatting sqref="V872:W872">
    <cfRule type="containsText" dxfId="0" priority="738" operator="between" text="欠">
      <formula>NOT(ISERROR(SEARCH("欠",V872)))</formula>
    </cfRule>
    <cfRule type="containsText" dxfId="1" priority="756" operator="between" text="欠">
      <formula>NOT(ISERROR(SEARCH("欠",V872)))</formula>
    </cfRule>
    <cfRule type="cellIs" dxfId="0" priority="774" operator="equal">
      <formula>"欠"</formula>
    </cfRule>
  </conditionalFormatting>
  <conditionalFormatting sqref="AE872">
    <cfRule type="cellIs" dxfId="2" priority="666" operator="equal">
      <formula>"未完成"</formula>
    </cfRule>
    <cfRule type="cellIs" dxfId="0" priority="684" operator="equal">
      <formula>"未完成"</formula>
    </cfRule>
  </conditionalFormatting>
  <conditionalFormatting sqref="R73:R74">
    <cfRule type="containsText" dxfId="0" priority="6836" operator="between" text="欠">
      <formula>NOT(ISERROR(SEARCH("欠",R73)))</formula>
    </cfRule>
  </conditionalFormatting>
  <conditionalFormatting sqref="R187:R188">
    <cfRule type="containsText" dxfId="0" priority="5002" operator="between" text="欠">
      <formula>NOT(ISERROR(SEARCH("欠",R187)))</formula>
    </cfRule>
  </conditionalFormatting>
  <conditionalFormatting sqref="R283:R286">
    <cfRule type="containsText" dxfId="0" priority="526" operator="between" text="欠">
      <formula>NOT(ISERROR(SEARCH("欠",R283)))</formula>
    </cfRule>
  </conditionalFormatting>
  <conditionalFormatting sqref="R314:R317">
    <cfRule type="containsText" dxfId="0" priority="2040" operator="between" text="欠">
      <formula>NOT(ISERROR(SEARCH("欠",R314)))</formula>
    </cfRule>
  </conditionalFormatting>
  <conditionalFormatting sqref="R315:R318">
    <cfRule type="containsText" dxfId="0" priority="5233" operator="between" text="欠">
      <formula>NOT(ISERROR(SEARCH("欠",R315)))</formula>
    </cfRule>
  </conditionalFormatting>
  <conditionalFormatting sqref="R323:R324">
    <cfRule type="containsText" dxfId="0" priority="5875" operator="between" text="欠">
      <formula>NOT(ISERROR(SEARCH("欠",R323)))</formula>
    </cfRule>
  </conditionalFormatting>
  <conditionalFormatting sqref="R341:R342">
    <cfRule type="containsText" dxfId="0" priority="2909" operator="between" text="欠">
      <formula>NOT(ISERROR(SEARCH("欠",R341)))</formula>
    </cfRule>
  </conditionalFormatting>
  <conditionalFormatting sqref="R353:R355">
    <cfRule type="containsText" dxfId="0" priority="1004" operator="between" text="欠">
      <formula>NOT(ISERROR(SEARCH("欠",R353)))</formula>
    </cfRule>
  </conditionalFormatting>
  <conditionalFormatting sqref="R357:R358">
    <cfRule type="containsText" dxfId="0" priority="2815" operator="between" text="欠">
      <formula>NOT(ISERROR(SEARCH("欠",R357)))</formula>
    </cfRule>
  </conditionalFormatting>
  <conditionalFormatting sqref="R365:R366">
    <cfRule type="containsText" dxfId="0" priority="1684" operator="between" text="欠">
      <formula>NOT(ISERROR(SEARCH("欠",R365)))</formula>
    </cfRule>
  </conditionalFormatting>
  <conditionalFormatting sqref="R377:R381">
    <cfRule type="containsText" dxfId="0" priority="4967" operator="between" text="欠">
      <formula>NOT(ISERROR(SEARCH("欠",R377)))</formula>
    </cfRule>
  </conditionalFormatting>
  <conditionalFormatting sqref="R420:R428">
    <cfRule type="containsText" dxfId="0" priority="2164" operator="between" text="欠">
      <formula>NOT(ISERROR(SEARCH("欠",R420)))</formula>
    </cfRule>
  </conditionalFormatting>
  <conditionalFormatting sqref="R444:R445">
    <cfRule type="containsText" dxfId="0" priority="4962" operator="between" text="欠">
      <formula>NOT(ISERROR(SEARCH("欠",R444)))</formula>
    </cfRule>
  </conditionalFormatting>
  <conditionalFormatting sqref="R479:R480">
    <cfRule type="containsText" dxfId="0" priority="213" operator="between" text="欠">
      <formula>NOT(ISERROR(SEARCH("欠",R479)))</formula>
    </cfRule>
  </conditionalFormatting>
  <conditionalFormatting sqref="R558:R562">
    <cfRule type="containsText" dxfId="0" priority="560" operator="between" text="欠">
      <formula>NOT(ISERROR(SEARCH("欠",R558)))</formula>
    </cfRule>
  </conditionalFormatting>
  <conditionalFormatting sqref="R575:R577">
    <cfRule type="containsText" dxfId="0" priority="117" operator="between" text="欠">
      <formula>NOT(ISERROR(SEARCH("欠",R575)))</formula>
    </cfRule>
  </conditionalFormatting>
  <conditionalFormatting sqref="R584:R586">
    <cfRule type="containsText" dxfId="0" priority="271" operator="between" text="欠">
      <formula>NOT(ISERROR(SEARCH("欠",R584)))</formula>
    </cfRule>
  </conditionalFormatting>
  <conditionalFormatting sqref="R835:R839">
    <cfRule type="containsText" dxfId="0" priority="2169" operator="between" text="欠">
      <formula>NOT(ISERROR(SEARCH("欠",R835)))</formula>
    </cfRule>
  </conditionalFormatting>
  <conditionalFormatting sqref="R969:R972">
    <cfRule type="cellIs" dxfId="0" priority="22984" operator="equal">
      <formula>"未完成"</formula>
    </cfRule>
  </conditionalFormatting>
  <conditionalFormatting sqref="S187:S188">
    <cfRule type="containsText" dxfId="0" priority="5005" operator="between" text="欠">
      <formula>NOT(ISERROR(SEARCH("欠",S187)))</formula>
    </cfRule>
    <cfRule type="cellIs" dxfId="0" priority="5006" operator="equal">
      <formula>"欠"</formula>
    </cfRule>
  </conditionalFormatting>
  <conditionalFormatting sqref="S267:S269">
    <cfRule type="containsText" dxfId="0" priority="2345" operator="between" text="欠">
      <formula>NOT(ISERROR(SEARCH("欠",S267)))</formula>
    </cfRule>
    <cfRule type="cellIs" dxfId="0" priority="2362" operator="equal">
      <formula>"欠"</formula>
    </cfRule>
  </conditionalFormatting>
  <conditionalFormatting sqref="S283:S286">
    <cfRule type="containsText" dxfId="0" priority="532" operator="between" text="欠">
      <formula>NOT(ISERROR(SEARCH("欠",S283)))</formula>
    </cfRule>
    <cfRule type="cellIs" dxfId="0" priority="533" operator="equal">
      <formula>"欠"</formula>
    </cfRule>
  </conditionalFormatting>
  <conditionalFormatting sqref="S353:S355">
    <cfRule type="containsText" dxfId="0" priority="1164" operator="between" text="欠">
      <formula>NOT(ISERROR(SEARCH("欠",S353)))</formula>
    </cfRule>
    <cfRule type="cellIs" dxfId="0" priority="1180" operator="equal">
      <formula>"欠"</formula>
    </cfRule>
  </conditionalFormatting>
  <conditionalFormatting sqref="S366:S369">
    <cfRule type="containsText" dxfId="0" priority="5492" operator="between" text="欠">
      <formula>NOT(ISERROR(SEARCH("欠",S366)))</formula>
    </cfRule>
    <cfRule type="cellIs" dxfId="0" priority="5497" operator="equal">
      <formula>"欠"</formula>
    </cfRule>
  </conditionalFormatting>
  <conditionalFormatting sqref="S377:S381">
    <cfRule type="containsText" dxfId="0" priority="4970" operator="between" text="欠">
      <formula>NOT(ISERROR(SEARCH("欠",S377)))</formula>
    </cfRule>
    <cfRule type="cellIs" dxfId="0" priority="4971" operator="equal">
      <formula>"欠"</formula>
    </cfRule>
  </conditionalFormatting>
  <conditionalFormatting sqref="S444:S445">
    <cfRule type="containsText" dxfId="0" priority="4965" operator="between" text="欠">
      <formula>NOT(ISERROR(SEARCH("欠",S444)))</formula>
    </cfRule>
    <cfRule type="cellIs" dxfId="0" priority="4966" operator="equal">
      <formula>"欠"</formula>
    </cfRule>
  </conditionalFormatting>
  <conditionalFormatting sqref="S457:S461">
    <cfRule type="containsText" dxfId="0" priority="2350" operator="between" text="欠">
      <formula>NOT(ISERROR(SEARCH("欠",S457)))</formula>
    </cfRule>
    <cfRule type="cellIs" dxfId="0" priority="2367" operator="equal">
      <formula>"欠"</formula>
    </cfRule>
  </conditionalFormatting>
  <conditionalFormatting sqref="S542:S543">
    <cfRule type="containsText" dxfId="0" priority="927" operator="between" text="欠">
      <formula>NOT(ISERROR(SEARCH("欠",S542)))</formula>
    </cfRule>
    <cfRule type="cellIs" dxfId="0" priority="931" operator="equal">
      <formula>"欠"</formula>
    </cfRule>
  </conditionalFormatting>
  <conditionalFormatting sqref="S608:S609">
    <cfRule type="containsText" dxfId="0" priority="2049" operator="between" text="欠">
      <formula>NOT(ISERROR(SEARCH("欠",S608)))</formula>
    </cfRule>
    <cfRule type="cellIs" dxfId="0" priority="2050" operator="equal">
      <formula>"欠"</formula>
    </cfRule>
  </conditionalFormatting>
  <conditionalFormatting sqref="U627:U628">
    <cfRule type="containsText" dxfId="0" priority="432" operator="between" text="欠">
      <formula>NOT(ISERROR(SEARCH("欠",U627)))</formula>
    </cfRule>
    <cfRule type="cellIs" dxfId="0" priority="438" operator="equal">
      <formula>"欠"</formula>
    </cfRule>
  </conditionalFormatting>
  <conditionalFormatting sqref="V283:V286">
    <cfRule type="containsText" dxfId="0" priority="529" operator="between" text="欠">
      <formula>NOT(ISERROR(SEARCH("欠",V283)))</formula>
    </cfRule>
    <cfRule type="containsText" dxfId="1" priority="530" operator="between" text="欠">
      <formula>NOT(ISERROR(SEARCH("欠",V283)))</formula>
    </cfRule>
    <cfRule type="cellIs" dxfId="0" priority="531" operator="equal">
      <formula>"欠"</formula>
    </cfRule>
  </conditionalFormatting>
  <conditionalFormatting sqref="V345:V346">
    <cfRule type="containsText" dxfId="0" priority="3957" operator="between" text="欠">
      <formula>NOT(ISERROR(SEARCH("欠",V345)))</formula>
    </cfRule>
    <cfRule type="containsText" dxfId="1" priority="3958" operator="between" text="欠">
      <formula>NOT(ISERROR(SEARCH("欠",V345)))</formula>
    </cfRule>
    <cfRule type="cellIs" dxfId="0" priority="3959" operator="equal">
      <formula>"欠"</formula>
    </cfRule>
  </conditionalFormatting>
  <conditionalFormatting sqref="W345:W346">
    <cfRule type="containsText" dxfId="0" priority="3964" operator="between" text="欠">
      <formula>NOT(ISERROR(SEARCH("欠",W345)))</formula>
    </cfRule>
    <cfRule type="containsText" dxfId="1" priority="3965" operator="between" text="欠">
      <formula>NOT(ISERROR(SEARCH("欠",W345)))</formula>
    </cfRule>
    <cfRule type="cellIs" dxfId="0" priority="3966" operator="equal">
      <formula>"欠"</formula>
    </cfRule>
  </conditionalFormatting>
  <conditionalFormatting sqref="W380:W383">
    <cfRule type="containsText" dxfId="0" priority="4053" operator="between" text="欠">
      <formula>NOT(ISERROR(SEARCH("欠",W380)))</formula>
    </cfRule>
    <cfRule type="containsText" dxfId="1" priority="4056" operator="between" text="欠">
      <formula>NOT(ISERROR(SEARCH("欠",W380)))</formula>
    </cfRule>
    <cfRule type="cellIs" dxfId="0" priority="4059" operator="equal">
      <formula>"欠"</formula>
    </cfRule>
  </conditionalFormatting>
  <conditionalFormatting sqref="X187:X188">
    <cfRule type="cellIs" dxfId="0" priority="4646" operator="equal">
      <formula>"欠"</formula>
    </cfRule>
  </conditionalFormatting>
  <conditionalFormatting sqref="X244:X245">
    <cfRule type="cellIs" dxfId="0" priority="3268" operator="equal">
      <formula>"欠"</formula>
    </cfRule>
  </conditionalFormatting>
  <conditionalFormatting sqref="X283:X285">
    <cfRule type="cellIs" dxfId="0" priority="1145" operator="equal">
      <formula>"欠"</formula>
    </cfRule>
  </conditionalFormatting>
  <conditionalFormatting sqref="X298:X300">
    <cfRule type="cellIs" dxfId="0" priority="2325" operator="equal">
      <formula>"欠"</formula>
    </cfRule>
  </conditionalFormatting>
  <conditionalFormatting sqref="X345:X346">
    <cfRule type="cellIs" dxfId="0" priority="3967" operator="equal">
      <formula>"欠"</formula>
    </cfRule>
  </conditionalFormatting>
  <conditionalFormatting sqref="X357:X358">
    <cfRule type="cellIs" dxfId="0" priority="5484" operator="equal">
      <formula>"欠"</formula>
    </cfRule>
  </conditionalFormatting>
  <conditionalFormatting sqref="X365:X366">
    <cfRule type="cellIs" dxfId="0" priority="1747" operator="equal">
      <formula>"欠"</formula>
    </cfRule>
  </conditionalFormatting>
  <conditionalFormatting sqref="X367:X369">
    <cfRule type="cellIs" dxfId="0" priority="5487" operator="equal">
      <formula>"欠"</formula>
    </cfRule>
  </conditionalFormatting>
  <conditionalFormatting sqref="X380:X383">
    <cfRule type="cellIs" dxfId="0" priority="4062" operator="equal">
      <formula>"欠"</formula>
    </cfRule>
  </conditionalFormatting>
  <conditionalFormatting sqref="X413:X417">
    <cfRule type="cellIs" dxfId="0" priority="3792" operator="equal">
      <formula>"欠"</formula>
    </cfRule>
  </conditionalFormatting>
  <conditionalFormatting sqref="X421:X428">
    <cfRule type="cellIs" dxfId="0" priority="6086" operator="equal">
      <formula>"欠"</formula>
    </cfRule>
  </conditionalFormatting>
  <conditionalFormatting sqref="X476:X477">
    <cfRule type="cellIs" dxfId="0" priority="1521" operator="equal">
      <formula>"欠"</formula>
    </cfRule>
  </conditionalFormatting>
  <conditionalFormatting sqref="X542:X543">
    <cfRule type="cellIs" dxfId="0" priority="923" operator="equal">
      <formula>"欠"</formula>
    </cfRule>
  </conditionalFormatting>
  <conditionalFormatting sqref="X551:X552">
    <cfRule type="cellIs" dxfId="0" priority="1373" operator="equal">
      <formula>"欠"</formula>
    </cfRule>
  </conditionalFormatting>
  <conditionalFormatting sqref="X585:X586">
    <cfRule type="cellIs" dxfId="0" priority="1347" operator="equal">
      <formula>"欠"</formula>
    </cfRule>
  </conditionalFormatting>
  <conditionalFormatting sqref="X608:X609">
    <cfRule type="cellIs" dxfId="0" priority="2321" operator="equal">
      <formula>"欠"</formula>
    </cfRule>
  </conditionalFormatting>
  <conditionalFormatting sqref="X627:X628">
    <cfRule type="cellIs" dxfId="0" priority="462" operator="equal">
      <formula>"欠"</formula>
    </cfRule>
  </conditionalFormatting>
  <conditionalFormatting sqref="X801:X809">
    <cfRule type="cellIs" dxfId="0" priority="2473" operator="equal">
      <formula>"欠"</formula>
    </cfRule>
  </conditionalFormatting>
  <conditionalFormatting sqref="AE309:AE310">
    <cfRule type="cellIs" dxfId="2" priority="5040" operator="equal">
      <formula>"未完成"</formula>
    </cfRule>
    <cfRule type="cellIs" dxfId="0" priority="5041" operator="equal">
      <formula>"未完成"</formula>
    </cfRule>
  </conditionalFormatting>
  <conditionalFormatting sqref="AE319:AE320">
    <cfRule type="cellIs" dxfId="2" priority="853" operator="equal">
      <formula>"未完成"</formula>
    </cfRule>
    <cfRule type="cellIs" dxfId="0" priority="857" operator="equal">
      <formula>"未完成"</formula>
    </cfRule>
  </conditionalFormatting>
  <conditionalFormatting sqref="AE333:AE335">
    <cfRule type="cellIs" dxfId="2" priority="7133" operator="equal">
      <formula>"未完成"</formula>
    </cfRule>
    <cfRule type="cellIs" dxfId="0" priority="7145" operator="equal">
      <formula>"未完成"</formula>
    </cfRule>
  </conditionalFormatting>
  <conditionalFormatting sqref="AE345:AE346">
    <cfRule type="cellIs" dxfId="2" priority="3968" operator="equal">
      <formula>"未完成"</formula>
    </cfRule>
    <cfRule type="cellIs" dxfId="0" priority="3969" operator="equal">
      <formula>"未完成"</formula>
    </cfRule>
  </conditionalFormatting>
  <conditionalFormatting sqref="AE357:AE358">
    <cfRule type="cellIs" dxfId="2" priority="5448" operator="equal">
      <formula>"未完成"</formula>
    </cfRule>
    <cfRule type="cellIs" dxfId="0" priority="5453" operator="equal">
      <formula>"未完成"</formula>
    </cfRule>
  </conditionalFormatting>
  <conditionalFormatting sqref="AE380:AE383">
    <cfRule type="cellIs" dxfId="2" priority="4065" operator="equal">
      <formula>"未完成"</formula>
    </cfRule>
    <cfRule type="cellIs" dxfId="0" priority="4068" operator="equal">
      <formula>"未完成"</formula>
    </cfRule>
  </conditionalFormatting>
  <conditionalFormatting sqref="AE413:AE417">
    <cfRule type="cellIs" dxfId="2" priority="3680" operator="equal">
      <formula>"未完成"</formula>
    </cfRule>
    <cfRule type="cellIs" dxfId="0" priority="3696" operator="equal">
      <formula>"未完成"</formula>
    </cfRule>
  </conditionalFormatting>
  <conditionalFormatting sqref="AE476:AE477">
    <cfRule type="cellIs" dxfId="2" priority="1514" operator="equal">
      <formula>"未完成"</formula>
    </cfRule>
    <cfRule type="cellIs" dxfId="0" priority="1515" operator="equal">
      <formula>"未完成"</formula>
    </cfRule>
  </conditionalFormatting>
  <conditionalFormatting sqref="AE542:AE543">
    <cfRule type="cellIs" dxfId="2" priority="895" operator="equal">
      <formula>"未完成"</formula>
    </cfRule>
    <cfRule type="cellIs" dxfId="0" priority="899" operator="equal">
      <formula>"未完成"</formula>
    </cfRule>
  </conditionalFormatting>
  <conditionalFormatting sqref="AJ320:AJ328">
    <cfRule type="cellIs" dxfId="0" priority="40" operator="equal">
      <formula>"未完成"</formula>
    </cfRule>
  </conditionalFormatting>
  <conditionalFormatting sqref="AJ435:AJ437">
    <cfRule type="cellIs" dxfId="0" priority="5027" operator="equal">
      <formula>"未完成"</formula>
    </cfRule>
  </conditionalFormatting>
  <conditionalFormatting sqref="R1:R248 R250:R319 R321:R1048576">
    <cfRule type="containsText" dxfId="3" priority="44" operator="between" text="欠">
      <formula>NOT(ISERROR(SEARCH("欠",R1)))</formula>
    </cfRule>
  </conditionalFormatting>
  <conditionalFormatting sqref="R1:R2 R777:R779 R789:R791 R793 R796:R800 R805:R815 R817 R820:R822 R826:R941 R945:R948 R950 R959:R1048576">
    <cfRule type="containsText" dxfId="0" priority="7855" operator="between" text="欠">
      <formula>NOT(ISERROR(SEARCH("欠",R1)))</formula>
    </cfRule>
  </conditionalFormatting>
  <conditionalFormatting sqref="R1 R777:R779 R789:R791 R793 R796:R800 R805:R815 R817 R820:R822 R826:R941 R945:R948 R950 R959:R1048576">
    <cfRule type="containsText" dxfId="0" priority="9089" operator="between" text="欠">
      <formula>NOT(ISERROR(SEARCH("欠",R1)))</formula>
    </cfRule>
  </conditionalFormatting>
  <conditionalFormatting sqref="R1 T1:U1 R768 T768:U769 R771:R775 T771:U775 U780:U781 R782 T782:U785 R786 T786:U786 R787 T787:U787 R788 T788:U788 R790 T790:U791 U793 R798:R801 T798:U801 R802 T802:U802 R803 T803:U803 R804 T804:U804 R805 T805:U805 R806 T806:U806 R807 T807:U807 R808 T808:U808 R809 T809:U809 R810 T810:U810 R811 T811:U811 R812 T812:U812 R813 T813:U813 R814 U814 R816 T816:U819 R820 T820:U820 R821 T821:U822 R823 T823:U823 R824:R825 T824:U825 R826 U826 R827 T827:U827 R828 T828:U828 R830 T830:U830 R831 T831:U831 R832 T832:U832 R833:R834 T833:U834 R835 T835:U835 R836 T836:U836 R837 T837:U837 R838 T838:U838 R839 T839:U839 R840 T840:U840 R841 T841:U841 R842 T842:U842 R843 T843:U843 R844 T844:U844 R845 T845:U845 R846 T846:U846 R847 U847 R848 U848 R849 U849 R850 U850 R851 T851:U851 R852:R853 T852:U853 R854 T854:U854 R855 T855:U855 R856 T856:U856 R858 T858:U858 R859:R864 T859:U864 R865 T865:U865 R866 T866:U866 R867 T867:U867 R868 U868 R869 T869:U870 R871 T871:U871 R872 U872 R873:R874 T873:U874 R875 U875 R876 T876:U876 R877 T877:U877 R878 T878:U878 R879:R881 T879:U881 R882 T882:U882 R883 T883:U883 R884 T884:U884 R885 T885:U885 R886 T886:U886 R887 T887:U887 R888 T888:U888 R889 T889:U889 R890 T890:U890 R891 T891:U891 R892 T892:U892 R893 T893:U893 R894 T894:U894 U895:U896 R897:R898 T897:U898 R899 T899:U899 R900 T900:U900 R901 T901:U901 R902 T902:U902 R903 T903:U903 R904 T904:U904 R905 T905:U905 R906 T906:U906 R907 T907:U907 R908:R909 T908:U909 R910 T910:U910 R911 T911:U911 R912:R915 T912:U915 R916 U916 R917:R946 T917:U946 R947 T947:U947 R948:R949 T948:U949 R950 T950:U950 R951:R1048576 T951:U1048576">
    <cfRule type="containsText" dxfId="0" priority="9258" operator="between" text="欠">
      <formula>NOT(ISERROR(SEARCH("欠",R1)))</formula>
    </cfRule>
  </conditionalFormatting>
  <conditionalFormatting sqref="R1:R15 T1:U15 R16 T16:U16 R17:R114 T17:U114 R115 T115:U115 R116:R127 T116:U127 R128 T128:U128 R129:R153 T129:U153 R154 T154:U154 R155:R174 T155:U174 R175 T175:U175 R176:R218 T176:U218 R219 T219:U219 R220:R223 T220:U223 R224 T224:U224 R225:R230 T225:U230 R231 T231:U231 R232:R245 T232:U245 R246 T246:U246 R247 T247:U247 R248 T248:U248 R249:R270 T249:U270 R271 T271:U271 R272:R281 T272:U281 R282 T282:U282 R283 T283:U283 R284 T284:U284 R285 T285:U285 R286:R289 T286:U289 R290:R294 T290:U294 R295 T295:U295 R296:R308 T296:U308 R309 T309:U309 T310 R311 T311:U311 R312 T312:U312 R313:R327 T313:U327 R328 T328:U328 R329 T329:U329 R330 T330:U330 R331 T331:U331 R332 T332:U332 R333 T333:U333 R334 T334:U334 R335 T335:U335 R336:R337 T336:U337 R338 T338:U338 R339 T339:U339 R340 T340:U340 R342 T342:U342 R343:R345 T343:U345 R346 T346:U346 R347:R349 T347:U349 R350 T350:U350 R351:R355 T351:U355 R356 T356:U356 R357 T357:U357 R358 T358:U358 R359 T359:U359 R360 T360:U360 R361 T361:U361 R362:R365 T362:U365 R366 T366:U366 R367 T367:U367 R368 T368:U368 R369 T369 R370 T370:U370 R371 T371:U371 R372 T372:U372 R373 T373:U373 R374:R377 T374:U377 R378 T378:U378 R379:R380 T379:U380 R381 T381:U381 R382 T382:U382 R383 T383:U383 R384:R385 T384:U385 R386 T386 R387:R388 T387:U388 R389:R395 T389:U395 R396 T396:U396 R397 T397:U397 R398 T398:U398 R399 T399:U399 R400 T400:U400 R401 T401:U401 R402 T402:U402 R403 T403:U403 R404 T404:U404 R405 T405:U405 R406 T406:U406 R407 T407:U407 R408 T408:U408 R409 T409:U409 R410 T410:U410 R411 T411:U411 R412 T412:U412 R413:R418 T413:U418 R419 T419:U419 R420 T420:U420 R421 T421:U421 R422 T422:U422 R423:R430 T423:U430 R431 T431:U431 R432 T432:U432 R433 T433:U433 R434 T434:U434 R435:R445 T435:U445 R446 T446:U446 R447 T447:U447 R448 T448:U448 R449:R450 T449:U450 R451 T451:U451 R452 T452:U452 R453 T453:U453 R454 T454:U454 R455 T455:U455 R456 T456:U456 R457 T457:U457 R458:R463 T458:U463 R464 T464:U464 R465 T465:U465 R466 T466:U466 R467 T467:U467 R468 T468:U468 R469 T469:U469 R470:R473 T470:U473 R474 T474:U474 R475 T475:U475 R476 T476:U476 R477 T477:U477 R478 T478:U478 R479 T479:U479 R480:R490 T480:U490 R491 T491:U491 R492 T492:U492 R493 T493:U493 R494 T494:U494 R495 T495:U495 R496 T496:U496 R497 T497:U497 R498 T498:U498 R499 T499:U499 R500 T500:U500 R501 T501:U501 R502 T502:U502 R503 T503:U503 R504 T504:U504 R505 T505:U505 R506 T506:U506 R507 T507:U507 R508 T508:U508 R509 T509:U509 R510 T510:U510 R511 T511:U511 R512:R513 T512:U513 R514 T514:U514 R515 T515:U515 R516 T516:U516 R517 T517:U517 R518 T518:U518 R519:R520 T519:U520 R521:R522 T521:U522 R523 T523:U523 R524 T524:U524 R525 T525:U525 R526 T526:U526 R527 T527:U527 R528 T528:U528 R529 T529:U529 R530 T530:U530 R531 T531:U531 R532 T532:U532 R533 T533:U533 R534 T534:U534 R535 T535:U535 R536 T536:U536 R537 T537:U537 R538 T538:U538 R539 T539:U539 R540 T540:U540 R541 T541:U541 R542 T542:U542 R543:R546 T543:U546 R547 T547:U547 R548 T548:U548 R549 T549:U549 R550 T550:U550 R551 T551:U551 R552 T552:U552 R553 T553:U553 R554 T554:U554 R555 T555:U555 R556 T556:U556 R557 T557:U557 R558 T558:U558 R559:R560 T559:U560 R561 T561:U561 R562:R565 T562:U565 R566 T566:U566 R567 T567:U567 R568 T568:U568 R569 T569:U569 R570 T570:U570 R571 T571:U571 R572 T572:U572 R573 T573:U573 R574 T574:U574 R575:R577 T575:U577 R578 T578:U578 R579 T579:U579 R580:R581 T580:U581 R582:R583 T582:U583 R584 T584:U584 R585 T585:U585 R586:R588 T586:U588 R589:R590 T589:U590 R591 T591:U591 R592 T592:U592 R593 T593:U593 R594 T594:U594 R595 T595:U595 R596 T596:U596 R597 T597:U597 R598 T598:U598 R599 T599:U599 R600:R601 T600:U601 R602 T602:U602 R603 T603:U603 R604 T604:U604 R605 T605:U605 R606 T606:U606 R607 T607:U607 R608 T608:U608 R609 T609:U609 R610 T610:U610 R611 T611:U611 R612 T612:U612 R613 T613:U613 R614 T614:U614 R615 T615:U615 R616 T616:U616 R617 T617:U617 R618 T618:U618 R619 T619:U619 R620 T620:U620 R621 T621:U621 R622:R626 T622:U626 R627 T627:U627 R628 T628:U628 R629 T629:U629 R630 T630:U630 R631 T631:U631 R632 T632:U632 R633 T633:U633 R634 T634:U634 R635:R640 T635:U640 R641 T641:U641 R642 T642:U642 R643:R644 T643:U644 R645 T645:U645 R646 T646:U646 R647 T647:U647 R648:R650 T648:U650 R651 T651:U651 R652 T652:U652 R653 T653:U653 R654 T654:U654 R655 T655:U655 R656:R657 T656:U657 R658 T658:U658 R659 T659:U659 R660 T660:U660 R661 T661:U661 R662 T662:U662 R663 T663:U663 R664 T664:U664 R665 T665:U665 R666 T666:U666 R667 T667:U667 R668 T668:U668 R669:R670 T669:U670 R671 T671:U671 R672 T672:U672 R673 T673:U673 R674 T674:U674 R675 T675:U675 R676 T676:U676 R677 T677:U677 R678 T678:U678 R679 T679:U679 R680 T680:U680 R681 T681:U681 R682 T682:U682 R683 T683:U683 R684 T684:U684 R685 T685:U685 R686 T686:U686 R687 T687:U687 R688 T688:U688 R689 T689:U689 R690 T690:U690 R691 T691:U691 R692 T692:U692 R693 T693:U693 R694:R706 T694:U706 R707 T707:U707 R708 T708:U708 R709 T709:U709 R710 T710:U710 R711 T711:U711 R712 T712:U712 R713 T713:U713 R714 T714:U714 R715 T715:U715 R716 T716:U716 R717 T717:U717 R718 T718:U718 R719 T719:U719 R720 T720:U720 R721:R723 T721:U723 R724 T724:U724 R725 T725:U725 R726 T726:U726 R727 T727:U727 R728 T728:U728 R729 T729:U729 R730 T730:U730 R731 T731:U731 R732 T732:U732 R733 T733:U733 R734 T734:U734 R735 T735:U735 R736 T736:U736 R737 T737:U737 R738 T738:U738 R739 T739:U739 R740 T740:U740 R741 T741:U741 R742 T742:U742 R743:R745 T743:U745 R746:R751 T746:U751 R752 T752:U752 R753 T753:U753 R754 T754:U754 R755 T755:U755 R756 T756:U756 R757 T757:U757 R758 T758:U758 R759 T759:U759 R760:R762 T760:U762 R763:R764 T763:U764 R765 T765:U765 R766 T766:U766 R767 T767:U767 R768 T768:U768 R769 T769:U769 R770 T770:U770 R771 T771:U771 R772 T772:U772 R773 T773:U773 R774 T774:U774 R775 T775:U775 R776 T776:U776 R777 T777:U777 R778 T778:U778 R779:R783 T779:U783 R784 T784:U784 R785 T785:U785 R786 T786:U786 R788 T788:U788 R789 T789:U789 R790 T790:U790 R791 T791:U791 R792 T792:U792 R793 T793:U793 R794:R796 T794:U796 R797 T797:U797 R798 T798:U798 R799 T799:U799 R800 T800:U800 R801 T801:U801 R802 T802:U802 R803 T803:U803 R804 T804:U804 R805 T805:U805 R806 T806:U806 R807 T807:U807 R808 T808:U808 R809 T809:U809 R810 T810:U810 R811 T811:U811 R812 T812:U812 R813 T813:U813 R814 T814:U814 R815 T815:U815 R816 T816:U816 R817 T817:U817 R818 T818:U818 R819:R827 T819:U827 R828 T828:U828 R829:R834 T829:U834 R835 T835:U835 R836 T836:U836 R837 T837:U837 R838 T838:U838 R839 T839:U839 R840 T840:U840 R841 T841:U841 R842 T842:U842 R843 T843:U843 R844 T844:U844 R845 T845:U845 R846:R847 T846:U847 R848 T848:U848 R849 T849:U849 R850 T850:U850 R851 T851:U851 R852:R854 T852:U854 R855 T855:U855 R856 T856:U856 R857 T857:U857 R858 T858:U858 R859:R863 T859:U863 R864 T864:U864 R865:R866 T865:U866 R867 T867:U867 R868 T868:U868 R869 T869:U869 R870 T870:U870 R871 T871:U871 R872 T872:U872 R873 T873:U873 R874 T874:U874 R875 T875:U875 R876 T876:U876 R877 T877:U877 R878 T878:U878 R879 T879:U879 R880 T880:U880 R881 T881:U881 R882 T882:U882 R883 T883:U883 R884:R889 T884:U889 R890 T890:U890 R891 T891:U891 R892:R897 T892:U897 R898 T898:U898 R899 T899:U899 R900 T900:U900 R901:R903 T901:U903 R904 T904:U904 R905 T905:U905 R906 T906:U906 R907 T907:U907 R908 T908:U908 R909 T909:U909 R910:R913 T910:U913 R914 T914:U914 R915:R946 T915:U946 R947 T947:U947 R948:R949 T948:U949 R950 T950:U950 R951:R1048576 T951:U1048576">
    <cfRule type="containsText" dxfId="3" priority="43" operator="between" text="欠">
      <formula>NOT(ISERROR(SEARCH("欠",R1)))</formula>
    </cfRule>
  </conditionalFormatting>
  <conditionalFormatting sqref="T1:U1 T960:U962 T964:U1048576">
    <cfRule type="containsText" dxfId="0" priority="11192" operator="between" text="欠">
      <formula>NOT(ISERROR(SEARCH("欠",T1)))</formula>
    </cfRule>
  </conditionalFormatting>
  <conditionalFormatting sqref="T1:U1 T782:U784 U785 T786:U786 U787 T788:U800 U802:U804 T805:U805 U806:U815 T816:U827 U828 T829:U867 U868 T869:U874 U875 T876:U924 U925 T926:U941 U942:U944 T945:U948 U949:U958 T959:U1048576">
    <cfRule type="containsText" dxfId="0" priority="9088" operator="between" text="欠">
      <formula>NOT(ISERROR(SEARCH("欠",T1)))</formula>
    </cfRule>
  </conditionalFormatting>
  <conditionalFormatting sqref="T1:U2 T782:U784 U785 T786:U786 U787 T788:U800 U802:U804 T805:U805 U806:U815 T816:U827 U828 T829:U867 U868 T869:U874 U875 T876:U924 U925 T926:U941 U942:U944 T945:U948 U949:U958 T959:U1048576">
    <cfRule type="containsText" dxfId="0" priority="7854" operator="between" text="欠">
      <formula>NOT(ISERROR(SEARCH("欠",T1)))</formula>
    </cfRule>
  </conditionalFormatting>
  <conditionalFormatting sqref="AD1 AJ1">
    <cfRule type="cellIs" dxfId="0" priority="22969" operator="equal">
      <formula>"未完成"</formula>
    </cfRule>
  </conditionalFormatting>
  <conditionalFormatting sqref="S3:S11 S18">
    <cfRule type="containsText" dxfId="0" priority="7846" operator="between" text="欠">
      <formula>NOT(ISERROR(SEARCH("欠",S3)))</formula>
    </cfRule>
    <cfRule type="cellIs" dxfId="0" priority="7853" operator="equal">
      <formula>"欠"</formula>
    </cfRule>
  </conditionalFormatting>
  <conditionalFormatting sqref="AE6:AE242 AE645 AE834">
    <cfRule type="cellIs" dxfId="2" priority="6626" operator="equal">
      <formula>"未完成"</formula>
    </cfRule>
    <cfRule type="cellIs" dxfId="0" priority="6630" operator="equal">
      <formula>"未完成"</formula>
    </cfRule>
  </conditionalFormatting>
  <conditionalFormatting sqref="R7 R10:R12 R18:R19">
    <cfRule type="containsText" dxfId="0" priority="7691" operator="between" text="欠">
      <formula>NOT(ISERROR(SEARCH("欠",R7)))</formula>
    </cfRule>
  </conditionalFormatting>
  <conditionalFormatting sqref="T10:U12 T15 T18:U19 T114 T222 T618 T641 T729 T831">
    <cfRule type="containsText" dxfId="0" priority="6786" operator="between" text="欠">
      <formula>NOT(ISERROR(SEARCH("欠",T10)))</formula>
    </cfRule>
    <cfRule type="cellIs" dxfId="0" priority="6787" operator="equal">
      <formula>"欠"</formula>
    </cfRule>
  </conditionalFormatting>
  <conditionalFormatting sqref="V11:W11 V18 V20 V62:V63">
    <cfRule type="containsText" dxfId="0" priority="7593" operator="between" text="欠">
      <formula>NOT(ISERROR(SEARCH("欠",V11)))</formula>
    </cfRule>
    <cfRule type="containsText" dxfId="1" priority="7600" operator="between" text="欠">
      <formula>NOT(ISERROR(SEARCH("欠",V11)))</formula>
    </cfRule>
    <cfRule type="cellIs" dxfId="0" priority="7614" operator="equal">
      <formula>"欠"</formula>
    </cfRule>
  </conditionalFormatting>
  <conditionalFormatting sqref="X11 W18:X18">
    <cfRule type="cellIs" dxfId="0" priority="7615" operator="equal">
      <formula>"欠"</formula>
    </cfRule>
  </conditionalFormatting>
  <conditionalFormatting sqref="S12:S13 S19 S21 S34:S35 S38 S40:S46 S48 S51:S54 S56:S57 S59 S61 S65:S67 S69:S80 S82:S92 S95:S108 S113:S116 S118:S120 S123:S126 S130:S132 S139:S147 S154 S161:S163 S166:S177 S184 S187:S188 S190:S192 S195 S205 S301 S312:S314">
    <cfRule type="containsText" dxfId="0" priority="7699" operator="between" text="欠">
      <formula>NOT(ISERROR(SEARCH("欠",S12)))</formula>
    </cfRule>
    <cfRule type="cellIs" dxfId="0" priority="7727" operator="equal">
      <formula>"欠"</formula>
    </cfRule>
  </conditionalFormatting>
  <conditionalFormatting sqref="R34:R35 R69:R70">
    <cfRule type="containsText" dxfId="0" priority="7474" operator="between" text="欠">
      <formula>NOT(ISERROR(SEARCH("欠",R34)))</formula>
    </cfRule>
  </conditionalFormatting>
  <conditionalFormatting sqref="T34:U35 T69:U70">
    <cfRule type="containsText" dxfId="0" priority="7754" operator="between" text="欠">
      <formula>NOT(ISERROR(SEARCH("欠",T34)))</formula>
    </cfRule>
    <cfRule type="cellIs" dxfId="0" priority="7768" operator="equal">
      <formula>"欠"</formula>
    </cfRule>
  </conditionalFormatting>
  <conditionalFormatting sqref="R38 R153:R166">
    <cfRule type="containsText" dxfId="0" priority="7520" operator="between" text="欠">
      <formula>NOT(ISERROR(SEARCH("欠",R38)))</formula>
    </cfRule>
  </conditionalFormatting>
  <conditionalFormatting sqref="T38:U38 T183:U185 T188:U189 T195:U195 T250:U251">
    <cfRule type="containsText" dxfId="0" priority="7519" operator="between" text="欠">
      <formula>NOT(ISERROR(SEARCH("欠",T38)))</formula>
    </cfRule>
    <cfRule type="cellIs" dxfId="0" priority="7521" operator="equal">
      <formula>"欠"</formula>
    </cfRule>
  </conditionalFormatting>
  <conditionalFormatting sqref="W38:X38 V113:W114 V145:X145">
    <cfRule type="cellIs" dxfId="0" priority="7526" operator="equal">
      <formula>"欠"</formula>
    </cfRule>
  </conditionalFormatting>
  <conditionalFormatting sqref="W38 V250:W252">
    <cfRule type="containsText" dxfId="0" priority="7523" operator="between" text="欠">
      <formula>NOT(ISERROR(SEARCH("欠",V38)))</formula>
    </cfRule>
    <cfRule type="containsText" dxfId="1" priority="7524" operator="between" text="欠">
      <formula>NOT(ISERROR(SEARCH("欠",V38)))</formula>
    </cfRule>
  </conditionalFormatting>
  <conditionalFormatting sqref="V38 V40 V68 V71:V72 V79:V80 V82 V91 V104 V176:V177 V181 V214 V295 V372">
    <cfRule type="containsText" dxfId="0" priority="7321" operator="between" text="欠">
      <formula>NOT(ISERROR(SEARCH("欠",V38)))</formula>
    </cfRule>
    <cfRule type="containsText" dxfId="1" priority="7322" operator="between" text="欠">
      <formula>NOT(ISERROR(SEARCH("欠",V38)))</formula>
    </cfRule>
    <cfRule type="cellIs" dxfId="0" priority="7324" operator="equal">
      <formula>"欠"</formula>
    </cfRule>
  </conditionalFormatting>
  <conditionalFormatting sqref="R40 R71:R72 R79 R104">
    <cfRule type="containsText" dxfId="0" priority="7179" operator="between" text="欠">
      <formula>NOT(ISERROR(SEARCH("欠",R40)))</formula>
    </cfRule>
  </conditionalFormatting>
  <conditionalFormatting sqref="T40:U40 T71:U72 T79:U79 T82:U82 T104:U104">
    <cfRule type="containsText" dxfId="0" priority="7182" operator="between" text="欠">
      <formula>NOT(ISERROR(SEARCH("欠",T40)))</formula>
    </cfRule>
    <cfRule type="cellIs" dxfId="0" priority="7183" operator="equal">
      <formula>"欠"</formula>
    </cfRule>
  </conditionalFormatting>
  <conditionalFormatting sqref="W40 V43:W46 V48:W48 V51:W51 V57:W57 V65:W67 W71:W72">
    <cfRule type="containsText" dxfId="0" priority="7222" operator="between" text="欠">
      <formula>NOT(ISERROR(SEARCH("欠",V40)))</formula>
    </cfRule>
    <cfRule type="containsText" dxfId="1" priority="7223" operator="between" text="欠">
      <formula>NOT(ISERROR(SEARCH("欠",V40)))</formula>
    </cfRule>
  </conditionalFormatting>
  <conditionalFormatting sqref="W40:X40 V43:X46 V48:X48 V51:X51 V57:X57 V65:X67 W71:X72">
    <cfRule type="cellIs" dxfId="0" priority="7225" operator="equal">
      <formula>"欠"</formula>
    </cfRule>
  </conditionalFormatting>
  <conditionalFormatting sqref="T42:U42 T54:U54">
    <cfRule type="containsText" dxfId="0" priority="7408" operator="between" text="欠">
      <formula>NOT(ISERROR(SEARCH("欠",T42)))</formula>
    </cfRule>
    <cfRule type="cellIs" dxfId="0" priority="7410" operator="equal">
      <formula>"欠"</formula>
    </cfRule>
  </conditionalFormatting>
  <conditionalFormatting sqref="V42:W42 V54:W54">
    <cfRule type="containsText" dxfId="0" priority="7413" operator="between" text="欠">
      <formula>NOT(ISERROR(SEARCH("欠",V42)))</formula>
    </cfRule>
    <cfRule type="containsText" dxfId="1" priority="7414" operator="between" text="欠">
      <formula>NOT(ISERROR(SEARCH("欠",V42)))</formula>
    </cfRule>
    <cfRule type="cellIs" dxfId="0" priority="7416" operator="equal">
      <formula>"欠"</formula>
    </cfRule>
  </conditionalFormatting>
  <conditionalFormatting sqref="X42 X54">
    <cfRule type="cellIs" dxfId="0" priority="7169" operator="equal">
      <formula>"欠"</formula>
    </cfRule>
  </conditionalFormatting>
  <conditionalFormatting sqref="R43:R46 R48 R57 R65:R67 R84 R86 R89:R90 R95:R97 R105:R108 R115:R118 R135:R146 R165:R169 R172:R173 R184:R185 R193:R195 R201:R204 R217 R239:R240 R254 R261 R263:R267 R298:R307 R312 R355:R359 R395:R398 R400:R401 R434 R560:R562 R623:R624 R769:R770 R835:R839">
    <cfRule type="containsText" dxfId="0" priority="7172" operator="between" text="欠">
      <formula>NOT(ISERROR(SEARCH("欠",R43)))</formula>
    </cfRule>
  </conditionalFormatting>
  <conditionalFormatting sqref="T43:U46 T48:U48 T51:U51 T57:U57 T65:U67">
    <cfRule type="containsText" dxfId="0" priority="7175" operator="between" text="欠">
      <formula>NOT(ISERROR(SEARCH("欠",T43)))</formula>
    </cfRule>
    <cfRule type="cellIs" dxfId="0" priority="7176" operator="equal">
      <formula>"欠"</formula>
    </cfRule>
  </conditionalFormatting>
  <conditionalFormatting sqref="T47:U47 T875 T925">
    <cfRule type="containsText" dxfId="0" priority="4472" operator="between" text="欠">
      <formula>NOT(ISERROR(SEARCH("欠",T47)))</formula>
    </cfRule>
    <cfRule type="cellIs" dxfId="0" priority="4475" operator="equal">
      <formula>"欠"</formula>
    </cfRule>
  </conditionalFormatting>
  <conditionalFormatting sqref="T52:U52 T76:U76 T100:U100">
    <cfRule type="containsText" dxfId="0" priority="6492" operator="between" text="欠">
      <formula>NOT(ISERROR(SEARCH("欠",T52)))</formula>
    </cfRule>
    <cfRule type="cellIs" dxfId="0" priority="6493" operator="equal">
      <formula>"欠"</formula>
    </cfRule>
  </conditionalFormatting>
  <conditionalFormatting sqref="V52:X52 V74:X74">
    <cfRule type="cellIs" dxfId="0" priority="6832" operator="equal">
      <formula>"欠"</formula>
    </cfRule>
  </conditionalFormatting>
  <conditionalFormatting sqref="V52:W52 V74:W74">
    <cfRule type="containsText" dxfId="0" priority="6830" operator="between" text="欠">
      <formula>NOT(ISERROR(SEARCH("欠",V52)))</formula>
    </cfRule>
    <cfRule type="containsText" dxfId="1" priority="6831" operator="between" text="欠">
      <formula>NOT(ISERROR(SEARCH("欠",V52)))</formula>
    </cfRule>
  </conditionalFormatting>
  <conditionalFormatting sqref="R53 R98">
    <cfRule type="containsText" dxfId="0" priority="6815" operator="between" text="欠">
      <formula>NOT(ISERROR(SEARCH("欠",R53)))</formula>
    </cfRule>
  </conditionalFormatting>
  <conditionalFormatting sqref="T53:U53 T98:U98">
    <cfRule type="containsText" dxfId="0" priority="6818" operator="between" text="欠">
      <formula>NOT(ISERROR(SEARCH("欠",T53)))</formula>
    </cfRule>
    <cfRule type="cellIs" dxfId="0" priority="6819" operator="equal">
      <formula>"欠"</formula>
    </cfRule>
  </conditionalFormatting>
  <conditionalFormatting sqref="R54 R119">
    <cfRule type="containsText" dxfId="0" priority="7364" operator="between" text="欠">
      <formula>NOT(ISERROR(SEARCH("欠",R54)))</formula>
    </cfRule>
  </conditionalFormatting>
  <conditionalFormatting sqref="V56:W56 V132:W132">
    <cfRule type="containsText" dxfId="0" priority="7552" operator="between" text="欠">
      <formula>NOT(ISERROR(SEARCH("欠",V56)))</formula>
    </cfRule>
    <cfRule type="containsText" dxfId="1" priority="7553" operator="between" text="欠">
      <formula>NOT(ISERROR(SEARCH("欠",V56)))</formula>
    </cfRule>
  </conditionalFormatting>
  <conditionalFormatting sqref="V56:X56 V132:X132">
    <cfRule type="cellIs" dxfId="0" priority="7555" operator="equal">
      <formula>"欠"</formula>
    </cfRule>
  </conditionalFormatting>
  <conditionalFormatting sqref="T58:U58 T68:U68 T176:U177 T181:U181 T184:U184 T214:U214 T295:U295 T372:U372">
    <cfRule type="containsText" dxfId="0" priority="6380" operator="between" text="欠">
      <formula>NOT(ISERROR(SEARCH("欠",T58)))</formula>
    </cfRule>
    <cfRule type="cellIs" dxfId="0" priority="6381" operator="equal">
      <formula>"欠"</formula>
    </cfRule>
  </conditionalFormatting>
  <conditionalFormatting sqref="R59 R61 R75 R77:R78 R80 R83 R85 R91:R92 R102:R103 R133">
    <cfRule type="containsText" dxfId="0" priority="7274" operator="between" text="欠">
      <formula>NOT(ISERROR(SEARCH("欠",R59)))</formula>
    </cfRule>
  </conditionalFormatting>
  <conditionalFormatting sqref="T59:U59 T61:U61 T75:U75 T77:U78 T80:U80 T83:U83 T85:U85 T91:U92 T95:U97 T102:U103 T106:U108 T112:U112 T133:U133">
    <cfRule type="containsText" dxfId="0" priority="7273" operator="between" text="欠">
      <formula>NOT(ISERROR(SEARCH("欠",T59)))</formula>
    </cfRule>
    <cfRule type="cellIs" dxfId="0" priority="7275" operator="equal">
      <formula>"欠"</formula>
    </cfRule>
  </conditionalFormatting>
  <conditionalFormatting sqref="V59:X59 V75:X75 V133:X133">
    <cfRule type="cellIs" dxfId="0" priority="7280" operator="equal">
      <formula>"欠"</formula>
    </cfRule>
  </conditionalFormatting>
  <conditionalFormatting sqref="V59:W59 V75:W75 V133:W133">
    <cfRule type="containsText" dxfId="0" priority="7277" operator="between" text="欠">
      <formula>NOT(ISERROR(SEARCH("欠",V59)))</formula>
    </cfRule>
    <cfRule type="containsText" dxfId="1" priority="7278" operator="between" text="欠">
      <formula>NOT(ISERROR(SEARCH("欠",V59)))</formula>
    </cfRule>
  </conditionalFormatting>
  <conditionalFormatting sqref="R60 R68 R111 R122 R127:R128 R176:R177 R214 R217 R223 R290 R312 R339 R370 R372">
    <cfRule type="containsText" dxfId="0" priority="6358" operator="between" text="欠">
      <formula>NOT(ISERROR(SEARCH("欠",R60)))</formula>
    </cfRule>
  </conditionalFormatting>
  <conditionalFormatting sqref="S60 S68 S81 S111 S115 S122 S127:S128 S132:S133 S165 S172:S173 S205 S225 S236 S240 S246 S252 S271 S274:S275 S279 S284 S289 S294 S302 S331:S332 S350:S352 S367:S369 S437:S441 S471:S472 S484:S485 S498 S574 S579:S580 S591:S600 S607:S608 S611 S613:S621 S629:S630 S634:S636 S641:S647 S651:S656 S659:S690 S693 S706 S719:S725 S729:S734 S737:S742 S747:S748 S750:S751 S753:S761 S765:S789 S796:S799 S806:S808 S811 S814 S823:S825 S827:S828 S830 S853:S861 S865:S868 S870 S872:S873 S878:S880 S882 S884 S886:S887 S890:S891 S898:S902 S905:S910 S912:S917 S923 S932:S938 S940 S946:S958">
    <cfRule type="containsText" dxfId="0" priority="6376" operator="between" text="欠">
      <formula>NOT(ISERROR(SEARCH("欠",S60)))</formula>
    </cfRule>
    <cfRule type="cellIs" dxfId="0" priority="6378" operator="equal">
      <formula>"欠"</formula>
    </cfRule>
  </conditionalFormatting>
  <conditionalFormatting sqref="X60 V78:W78 W79:X80 W82:X82 W91:X91">
    <cfRule type="cellIs" dxfId="0" priority="6714" operator="equal">
      <formula>"欠"</formula>
    </cfRule>
  </conditionalFormatting>
  <conditionalFormatting sqref="V61:X61 X83 X85 X92">
    <cfRule type="cellIs" dxfId="0" priority="6703" operator="equal">
      <formula>"欠"</formula>
    </cfRule>
  </conditionalFormatting>
  <conditionalFormatting sqref="S62 S580">
    <cfRule type="containsText" dxfId="0" priority="5797" operator="between" text="欠">
      <formula>NOT(ISERROR(SEARCH("欠",S62)))</formula>
    </cfRule>
    <cfRule type="cellIs" dxfId="0" priority="5803" operator="equal">
      <formula>"欠"</formula>
    </cfRule>
  </conditionalFormatting>
  <conditionalFormatting sqref="T62:U62 T558:U562">
    <cfRule type="containsText" dxfId="0" priority="5743" operator="between" text="欠">
      <formula>NOT(ISERROR(SEARCH("欠",T62)))</formula>
    </cfRule>
    <cfRule type="cellIs" dxfId="0" priority="5749" operator="equal">
      <formula>"欠"</formula>
    </cfRule>
  </conditionalFormatting>
  <conditionalFormatting sqref="S64 S109 S136 S138 S151 S172:S173 S187 S209 S231 S273 S280 S362:S363 S376:S377 S380:S383 S439 S466:S469 S528 S652 S710">
    <cfRule type="containsText" dxfId="0" priority="4298" operator="between" text="欠">
      <formula>NOT(ISERROR(SEARCH("欠",S64)))</formula>
    </cfRule>
    <cfRule type="cellIs" dxfId="0" priority="4299" operator="equal">
      <formula>"欠"</formula>
    </cfRule>
  </conditionalFormatting>
  <conditionalFormatting sqref="T73:U74">
    <cfRule type="containsText" dxfId="0" priority="7306" operator="between" text="欠">
      <formula>NOT(ISERROR(SEARCH("欠",T73)))</formula>
    </cfRule>
    <cfRule type="cellIs" dxfId="0" priority="7308" operator="equal">
      <formula>"欠"</formula>
    </cfRule>
  </conditionalFormatting>
  <conditionalFormatting sqref="R76 R82 R177">
    <cfRule type="containsText" dxfId="0" priority="6403" operator="between" text="欠">
      <formula>NOT(ISERROR(SEARCH("欠",R76)))</formula>
    </cfRule>
  </conditionalFormatting>
  <conditionalFormatting sqref="V76:X76 V89:X90">
    <cfRule type="cellIs" dxfId="0" priority="7109" operator="equal">
      <formula>"欠"</formula>
    </cfRule>
  </conditionalFormatting>
  <conditionalFormatting sqref="V76:W76 V89:W90">
    <cfRule type="containsText" dxfId="0" priority="7073" operator="between" text="欠">
      <formula>NOT(ISERROR(SEARCH("欠",V76)))</formula>
    </cfRule>
    <cfRule type="containsText" dxfId="1" priority="7085" operator="between" text="欠">
      <formula>NOT(ISERROR(SEARCH("欠",V76)))</formula>
    </cfRule>
  </conditionalFormatting>
  <conditionalFormatting sqref="V77:X77 X78">
    <cfRule type="cellIs" dxfId="0" priority="6725" operator="equal">
      <formula>"欠"</formula>
    </cfRule>
  </conditionalFormatting>
  <conditionalFormatting sqref="V78:W78 W79:W80 W82 W91">
    <cfRule type="containsText" dxfId="0" priority="6711" operator="between" text="欠">
      <formula>NOT(ISERROR(SEARCH("欠",V78)))</formula>
    </cfRule>
    <cfRule type="containsText" dxfId="1" priority="6712" operator="between" text="欠">
      <formula>NOT(ISERROR(SEARCH("欠",V78)))</formula>
    </cfRule>
  </conditionalFormatting>
  <conditionalFormatting sqref="V83:W83 V85:W85 V92:W92">
    <cfRule type="containsText" dxfId="0" priority="6689" operator="between" text="欠">
      <formula>NOT(ISERROR(SEARCH("欠",V83)))</formula>
    </cfRule>
    <cfRule type="containsText" dxfId="1" priority="6690" operator="between" text="欠">
      <formula>NOT(ISERROR(SEARCH("欠",V83)))</formula>
    </cfRule>
    <cfRule type="cellIs" dxfId="0" priority="6692" operator="equal">
      <formula>"欠"</formula>
    </cfRule>
  </conditionalFormatting>
  <conditionalFormatting sqref="T84:U84 T86:U86 T89:U90 T105:U105 T118:U119 T139:U146 T314:U314 T333:U335">
    <cfRule type="containsText" dxfId="0" priority="7037" operator="between" text="欠">
      <formula>NOT(ISERROR(SEARCH("欠",T84)))</formula>
    </cfRule>
    <cfRule type="cellIs" dxfId="0" priority="7049" operator="equal">
      <formula>"欠"</formula>
    </cfRule>
  </conditionalFormatting>
  <conditionalFormatting sqref="V84:W84 V86:W86 V95:W98 V308 V314">
    <cfRule type="containsText" dxfId="0" priority="7072" operator="between" text="欠">
      <formula>NOT(ISERROR(SEARCH("欠",V84)))</formula>
    </cfRule>
    <cfRule type="containsText" dxfId="1" priority="7084" operator="between" text="欠">
      <formula>NOT(ISERROR(SEARCH("欠",V84)))</formula>
    </cfRule>
  </conditionalFormatting>
  <conditionalFormatting sqref="V84:X84 V86:X86 V95:X98 V308 V314">
    <cfRule type="cellIs" dxfId="0" priority="7108" operator="equal">
      <formula>"欠"</formula>
    </cfRule>
  </conditionalFormatting>
  <conditionalFormatting sqref="R87:R88 R175 R189 R259 R313:R314">
    <cfRule type="containsText" dxfId="0" priority="6825" operator="between" text="欠">
      <formula>NOT(ISERROR(SEARCH("欠",R87)))</formula>
    </cfRule>
  </conditionalFormatting>
  <conditionalFormatting sqref="T87:U88 T175:U175 T189:U189 T250:U251 T359:U360">
    <cfRule type="containsText" dxfId="0" priority="6828" operator="between" text="欠">
      <formula>NOT(ISERROR(SEARCH("欠",T87)))</formula>
    </cfRule>
    <cfRule type="cellIs" dxfId="0" priority="6829" operator="equal">
      <formula>"欠"</formula>
    </cfRule>
  </conditionalFormatting>
  <conditionalFormatting sqref="T99:U99 T101:U101">
    <cfRule type="containsText" dxfId="0" priority="6572" operator="between" text="欠">
      <formula>NOT(ISERROR(SEARCH("欠",T99)))</formula>
    </cfRule>
    <cfRule type="cellIs" dxfId="0" priority="6573" operator="equal">
      <formula>"欠"</formula>
    </cfRule>
  </conditionalFormatting>
  <conditionalFormatting sqref="V102:X102 X103:X104">
    <cfRule type="cellIs" dxfId="0" priority="6747" operator="equal">
      <formula>"欠"</formula>
    </cfRule>
  </conditionalFormatting>
  <conditionalFormatting sqref="V103:W103 W104">
    <cfRule type="containsText" dxfId="0" priority="6733" operator="between" text="欠">
      <formula>NOT(ISERROR(SEARCH("欠",V103)))</formula>
    </cfRule>
    <cfRule type="containsText" dxfId="1" priority="6734" operator="between" text="欠">
      <formula>NOT(ISERROR(SEARCH("欠",V103)))</formula>
    </cfRule>
    <cfRule type="cellIs" dxfId="0" priority="6736" operator="equal">
      <formula>"欠"</formula>
    </cfRule>
  </conditionalFormatting>
  <conditionalFormatting sqref="V105:W108 V112:W112 V333:W335">
    <cfRule type="containsText" dxfId="0" priority="7071" operator="between" text="欠">
      <formula>NOT(ISERROR(SEARCH("欠",V105)))</formula>
    </cfRule>
    <cfRule type="containsText" dxfId="1" priority="7083" operator="between" text="欠">
      <formula>NOT(ISERROR(SEARCH("欠",V105)))</formula>
    </cfRule>
  </conditionalFormatting>
  <conditionalFormatting sqref="V105:X108 V112:X112 V333:W335">
    <cfRule type="cellIs" dxfId="0" priority="7107" operator="equal">
      <formula>"欠"</formula>
    </cfRule>
  </conditionalFormatting>
  <conditionalFormatting sqref="R110 R548 R638 R682:R683 R689 R805 R872">
    <cfRule type="containsText" dxfId="0" priority="2813" operator="between" text="欠">
      <formula>NOT(ISERROR(SEARCH("欠",R110)))</formula>
    </cfRule>
  </conditionalFormatting>
  <conditionalFormatting sqref="S110 S341:S343 S357:S358 S428:S429 S517 S533 S546 S548 S570 S638 S682:S683 S689 S770 S805 S872 S952">
    <cfRule type="containsText" dxfId="0" priority="2535" operator="between" text="欠">
      <formula>NOT(ISERROR(SEARCH("欠",S110)))</formula>
    </cfRule>
    <cfRule type="cellIs" dxfId="0" priority="2536" operator="equal">
      <formula>"欠"</formula>
    </cfRule>
  </conditionalFormatting>
  <conditionalFormatting sqref="V110 V342:V343 V357:V358 V428:V429 V517 V533 V540:V541 V547 V554 V638 V682:V683 V770 V805 V870">
    <cfRule type="containsText" dxfId="0" priority="2531" operator="between" text="欠">
      <formula>NOT(ISERROR(SEARCH("欠",V110)))</formula>
    </cfRule>
    <cfRule type="containsText" dxfId="1" priority="2532" operator="between" text="欠">
      <formula>NOT(ISERROR(SEARCH("欠",V110)))</formula>
    </cfRule>
    <cfRule type="cellIs" dxfId="0" priority="2533" operator="equal">
      <formula>"欠"</formula>
    </cfRule>
  </conditionalFormatting>
  <conditionalFormatting sqref="T111:U111 T122:U122 T147:U147 T172:U173 T262:U262">
    <cfRule type="containsText" dxfId="0" priority="6029" operator="between" text="欠">
      <formula>NOT(ISERROR(SEARCH("欠",T111)))</formula>
    </cfRule>
    <cfRule type="cellIs" dxfId="0" priority="6039" operator="equal">
      <formula>"欠"</formula>
    </cfRule>
  </conditionalFormatting>
  <conditionalFormatting sqref="T116:U116 T159:U171">
    <cfRule type="containsText" dxfId="0" priority="7185" operator="between" text="欠">
      <formula>NOT(ISERROR(SEARCH("欠",T116)))</formula>
    </cfRule>
    <cfRule type="cellIs" dxfId="0" priority="7187" operator="equal">
      <formula>"欠"</formula>
    </cfRule>
  </conditionalFormatting>
  <conditionalFormatting sqref="W116:X116 X159:X171">
    <cfRule type="cellIs" dxfId="0" priority="7192" operator="equal">
      <formula>"欠"</formula>
    </cfRule>
  </conditionalFormatting>
  <conditionalFormatting sqref="R120 R126 R139">
    <cfRule type="containsText" dxfId="0" priority="6763" operator="between" text="欠">
      <formula>NOT(ISERROR(SEARCH("欠",R120)))</formula>
    </cfRule>
  </conditionalFormatting>
  <conditionalFormatting sqref="S121 S136 S150 S174 S211 S242 S277 S313 S360 S385 S438">
    <cfRule type="containsText" dxfId="0" priority="5668" operator="between" text="欠">
      <formula>NOT(ISERROR(SEARCH("欠",S121)))</formula>
    </cfRule>
    <cfRule type="cellIs" dxfId="0" priority="5669" operator="equal">
      <formula>"欠"</formula>
    </cfRule>
  </conditionalFormatting>
  <conditionalFormatting sqref="V121 V136 V150 V174 V211 V242 V277 V313 V360 V438">
    <cfRule type="containsText" dxfId="0" priority="5507" operator="between" text="欠">
      <formula>NOT(ISERROR(SEARCH("欠",V121)))</formula>
    </cfRule>
    <cfRule type="containsText" dxfId="1" priority="5508" operator="between" text="欠">
      <formula>NOT(ISERROR(SEARCH("欠",V121)))</formula>
    </cfRule>
    <cfRule type="cellIs" dxfId="0" priority="5509" operator="equal">
      <formula>"欠"</formula>
    </cfRule>
  </conditionalFormatting>
  <conditionalFormatting sqref="W121 V134:W135 V194:W195 V201:W201 V209:W209 V483:W484 W495 V556:W557 V562:W564 V565:V567 V568:W570 V573:W573 W585 V590:W604 W614 V615:W807 V809:W882 V883:V885 V890:V894 V901:V909 V914:V920 V931 V935:V936 V939:V941 V944:V948">
    <cfRule type="containsText" dxfId="0" priority="6051" operator="between" text="欠">
      <formula>NOT(ISERROR(SEARCH("欠",V121)))</formula>
    </cfRule>
    <cfRule type="containsText" dxfId="1" priority="6061" operator="between" text="欠">
      <formula>NOT(ISERROR(SEARCH("欠",V121)))</formula>
    </cfRule>
    <cfRule type="cellIs" dxfId="0" priority="6071" operator="equal">
      <formula>"欠"</formula>
    </cfRule>
  </conditionalFormatting>
  <conditionalFormatting sqref="T126:U126 T524:U524">
    <cfRule type="containsText" dxfId="0" priority="6650" operator="between" text="欠">
      <formula>NOT(ISERROR(SEARCH("欠",T126)))</formula>
    </cfRule>
    <cfRule type="cellIs" dxfId="0" priority="6651" operator="equal">
      <formula>"欠"</formula>
    </cfRule>
  </conditionalFormatting>
  <conditionalFormatting sqref="V126:W126 V524:W524">
    <cfRule type="containsText" dxfId="0" priority="6654" operator="between" text="欠">
      <formula>NOT(ISERROR(SEARCH("欠",V126)))</formula>
    </cfRule>
    <cfRule type="containsText" dxfId="1" priority="6655" operator="between" text="欠">
      <formula>NOT(ISERROR(SEARCH("欠",V126)))</formula>
    </cfRule>
    <cfRule type="cellIs" dxfId="0" priority="6656" operator="equal">
      <formula>"欠"</formula>
    </cfRule>
  </conditionalFormatting>
  <conditionalFormatting sqref="X126 X524">
    <cfRule type="cellIs" dxfId="0" priority="6657" operator="equal">
      <formula>"欠"</formula>
    </cfRule>
  </conditionalFormatting>
  <conditionalFormatting sqref="T128:U128 T171:U172 T265:U265">
    <cfRule type="containsText" dxfId="0" priority="4617" operator="between" text="欠">
      <formula>NOT(ISERROR(SEARCH("欠",T128)))</formula>
    </cfRule>
    <cfRule type="cellIs" dxfId="0" priority="4618" operator="equal">
      <formula>"欠"</formula>
    </cfRule>
  </conditionalFormatting>
  <conditionalFormatting sqref="T133:U135 T194:U194 T201:U201 T209:U209 T448:T449 T477:U477 T484:U485 T491:U491 T498:U498 U504:U506 T541:U542 T554:T556 T561:U568 T581:U581 T586:U587 T589:U602 U603 T604:U609 U611:U613 T617:U618 U620:U621 T623:U625 U626 T627:U640 U641 T646:U646 U647:U648 T649:U656 U657:U658 T659:U690 U691:U692 T693:U728 U729:U731 T732:U765 U766:U767 T769:U781 U782 T783:U807 T808 T809:U857 U858 T859:U874 U875 T876:U882 T883:T885 T890:T894 T902:T906 T913">
    <cfRule type="containsText" dxfId="0" priority="6031" operator="between" text="欠">
      <formula>NOT(ISERROR(SEARCH("欠",T133)))</formula>
    </cfRule>
    <cfRule type="cellIs" dxfId="0" priority="6041" operator="equal">
      <formula>"欠"</formula>
    </cfRule>
  </conditionalFormatting>
  <conditionalFormatting sqref="R134 R194 R209 R250:R251 R275 R419:R429 R453:R454 R460 R553:R558 R582:R587 R590 R592:R603 R610:R611 R613:R687 R689:R768 R770:R878 R880:R882 R886:R887 R891:R896 R902:R904 R916:R917 R923 R925">
    <cfRule type="containsText" dxfId="0" priority="5810" operator="between" text="欠">
      <formula>NOT(ISERROR(SEARCH("欠",R134)))</formula>
    </cfRule>
  </conditionalFormatting>
  <conditionalFormatting sqref="X134:X135 X194:X195 X201 X209 X481:X490 X543 X556:X562 X569:X571 X575:X578 X581 X592:X609 X629:X663 X666:X806 X808:X881 X912:X913">
    <cfRule type="cellIs" dxfId="0" priority="6081" operator="equal">
      <formula>"欠"</formula>
    </cfRule>
  </conditionalFormatting>
  <conditionalFormatting sqref="R136 R360">
    <cfRule type="containsText" dxfId="0" priority="5660" operator="between" text="欠">
      <formula>NOT(ISERROR(SEARCH("欠",R136)))</formula>
    </cfRule>
  </conditionalFormatting>
  <conditionalFormatting sqref="T136:U136 T360:U360">
    <cfRule type="containsText" dxfId="0" priority="5662" operator="between" text="欠">
      <formula>NOT(ISERROR(SEARCH("欠",T136)))</formula>
    </cfRule>
    <cfRule type="cellIs" dxfId="0" priority="5663" operator="equal">
      <formula>"欠"</formula>
    </cfRule>
  </conditionalFormatting>
  <conditionalFormatting sqref="S138 S179 S215 S249 S316:S322 S338 S350 S360 S372:S373 S379:S380 S428:S429 S441:S442 S482 S485:S486 S493 S528:S529 S538 S599 S671 S783 S888">
    <cfRule type="containsText" dxfId="0" priority="1412" operator="between" text="欠">
      <formula>NOT(ISERROR(SEARCH("欠",S138)))</formula>
    </cfRule>
    <cfRule type="cellIs" dxfId="0" priority="1413" operator="equal">
      <formula>"欠"</formula>
    </cfRule>
  </conditionalFormatting>
  <conditionalFormatting sqref="S149:S150 S170:S171 S176:S177 S190 S219:S222 S243:S245 S247:S249 S257:S258 S302:S303 S309:S313 S342:S347 S354:S357 S371:S372 S392 S429:S430 S440:S441 S458:S460 S463:S464 S481 S602:S606 S632 S663:S664 S835">
    <cfRule type="containsText" dxfId="0" priority="4268" operator="between" text="欠">
      <formula>NOT(ISERROR(SEARCH("欠",S149)))</formula>
    </cfRule>
    <cfRule type="cellIs" dxfId="0" priority="4269" operator="equal">
      <formula>"欠"</formula>
    </cfRule>
  </conditionalFormatting>
  <conditionalFormatting sqref="T150:U151 T181:U181 T190:U190 T204:U205 T208:U208 T212:U214 T233:U234 T238:U239 T287:U293 T316:U317 T356:U360 U397:U398 T409:U409 T419:U426 T447:U450 T486:T487 U522 T524:U524 T598:U601 T602 T614 U643 T657:T658 U682">
    <cfRule type="containsText" dxfId="0" priority="4263" operator="between" text="欠">
      <formula>NOT(ISERROR(SEARCH("欠",T150)))</formula>
    </cfRule>
    <cfRule type="cellIs" dxfId="0" priority="4264" operator="equal">
      <formula>"欠"</formula>
    </cfRule>
  </conditionalFormatting>
  <conditionalFormatting sqref="R151 R172:R173 R209">
    <cfRule type="containsText" dxfId="0" priority="4681" operator="between" text="欠">
      <formula>NOT(ISERROR(SEARCH("欠",R151)))</formula>
    </cfRule>
  </conditionalFormatting>
  <conditionalFormatting sqref="V154:X154 V195:X195 W308:X308 W314:X314">
    <cfRule type="cellIs" dxfId="0" priority="7487" operator="equal">
      <formula>"欠"</formula>
    </cfRule>
  </conditionalFormatting>
  <conditionalFormatting sqref="V154:W154 V195:W195 W308 W314">
    <cfRule type="containsText" dxfId="0" priority="7478" operator="between" text="欠">
      <formula>NOT(ISERROR(SEARCH("欠",V154)))</formula>
    </cfRule>
    <cfRule type="containsText" dxfId="1" priority="7481" operator="between" text="欠">
      <formula>NOT(ISERROR(SEARCH("欠",V154)))</formula>
    </cfRule>
  </conditionalFormatting>
  <conditionalFormatting sqref="V159:W171">
    <cfRule type="containsText" dxfId="0" priority="7480" operator="between" text="欠">
      <formula>NOT(ISERROR(SEARCH("欠",V159)))</formula>
    </cfRule>
    <cfRule type="containsText" dxfId="1" priority="7483" operator="between" text="欠">
      <formula>NOT(ISERROR(SEARCH("欠",V159)))</formula>
    </cfRule>
    <cfRule type="cellIs" dxfId="0" priority="7489" operator="equal">
      <formula>"欠"</formula>
    </cfRule>
  </conditionalFormatting>
  <conditionalFormatting sqref="S166 S168:S170 S189:S192 S200 S210 S255 S393 S410:S411 S486 S652 S658 S660:S668 S702 S732 S735 S773 S805:S811 S836:S845 S886 S889:S890 S918:S919 S932:S933 S941:S950">
    <cfRule type="containsText" dxfId="0" priority="4619" operator="between" text="欠">
      <formula>NOT(ISERROR(SEARCH("欠",S166)))</formula>
    </cfRule>
    <cfRule type="cellIs" dxfId="0" priority="4620" operator="equal">
      <formula>"欠"</formula>
    </cfRule>
  </conditionalFormatting>
  <conditionalFormatting sqref="T167:U170 T309:U311 T313:U314">
    <cfRule type="containsText" dxfId="0" priority="3849" operator="between" text="欠">
      <formula>NOT(ISERROR(SEARCH("欠",T167)))</formula>
    </cfRule>
    <cfRule type="cellIs" dxfId="0" priority="3850" operator="equal">
      <formula>"欠"</formula>
    </cfRule>
  </conditionalFormatting>
  <conditionalFormatting sqref="R168:R170 R189:R192 R200">
    <cfRule type="containsText" dxfId="0" priority="4616" operator="between" text="欠">
      <formula>NOT(ISERROR(SEARCH("欠",R168)))</formula>
    </cfRule>
  </conditionalFormatting>
  <conditionalFormatting sqref="R170:R171 R176 R215 R222:R223 R234:R235 R258:R259 R281:R282 R353:R357 R370 R372 R384 R386:R387 R442:R443 R609:R611 R721:R724">
    <cfRule type="containsText" dxfId="0" priority="4166" operator="between" text="欠">
      <formula>NOT(ISERROR(SEARCH("欠",R170)))</formula>
    </cfRule>
  </conditionalFormatting>
  <conditionalFormatting sqref="R174 R277 R309:R310 R314 R385">
    <cfRule type="containsText" dxfId="0" priority="5516" operator="between" text="欠">
      <formula>NOT(ISERROR(SEARCH("欠",R174)))</formula>
    </cfRule>
  </conditionalFormatting>
  <conditionalFormatting sqref="V177:W177 V182:X182 V191:X191">
    <cfRule type="cellIs" dxfId="0" priority="7488" operator="equal">
      <formula>"欠"</formula>
    </cfRule>
  </conditionalFormatting>
  <conditionalFormatting sqref="V182:W182 V190:W191">
    <cfRule type="containsText" dxfId="0" priority="7479" operator="between" text="欠">
      <formula>NOT(ISERROR(SEARCH("欠",V182)))</formula>
    </cfRule>
    <cfRule type="containsText" dxfId="1" priority="7482" operator="between" text="欠">
      <formula>NOT(ISERROR(SEARCH("欠",V182)))</formula>
    </cfRule>
  </conditionalFormatting>
  <conditionalFormatting sqref="T187:U188">
    <cfRule type="containsText" dxfId="0" priority="5003" operator="between" text="欠">
      <formula>NOT(ISERROR(SEARCH("欠",T187)))</formula>
    </cfRule>
    <cfRule type="cellIs" dxfId="0" priority="5004" operator="equal">
      <formula>"欠"</formula>
    </cfRule>
  </conditionalFormatting>
  <conditionalFormatting sqref="R196 R204 R213">
    <cfRule type="containsText" dxfId="0" priority="1186" operator="between" text="欠">
      <formula>NOT(ISERROR(SEARCH("欠",R196)))</formula>
    </cfRule>
  </conditionalFormatting>
  <conditionalFormatting sqref="S196 S204 S213 S253 S319 S419:S428 S556:S559 S618 S643 S648 S653:S654 S678:S691 S693:S699 S732 S741:S744 S749:S751 S784:S785 S791:S799 S804:S811 S813:S823 S827 S830:S852 S869 S871 S874:S875 S881 S883 S885 S888:S892 S895:S897 S911 S918:S922 S924:S927 S929:S931 S939 S941:S945 S949 S959:S960">
    <cfRule type="containsText" dxfId="0" priority="5436" operator="between" text="欠">
      <formula>NOT(ISERROR(SEARCH("欠",S196)))</formula>
    </cfRule>
    <cfRule type="cellIs" dxfId="0" priority="5437" operator="equal">
      <formula>"欠"</formula>
    </cfRule>
  </conditionalFormatting>
  <conditionalFormatting sqref="T196:U196 T204:U204 T213:U213">
    <cfRule type="containsText" dxfId="0" priority="5428" operator="between" text="欠">
      <formula>NOT(ISERROR(SEARCH("欠",T196)))</formula>
    </cfRule>
    <cfRule type="cellIs" dxfId="0" priority="5429" operator="equal">
      <formula>"欠"</formula>
    </cfRule>
  </conditionalFormatting>
  <conditionalFormatting sqref="R197 R352 R376">
    <cfRule type="containsText" dxfId="0" priority="2611" operator="between" text="欠">
      <formula>NOT(ISERROR(SEARCH("欠",R197)))</formula>
    </cfRule>
  </conditionalFormatting>
  <conditionalFormatting sqref="S197 S404:S418 S514 S527 S534:S535 S561 S614 S657:S658 S806 S928">
    <cfRule type="containsText" dxfId="0" priority="2619" operator="between" text="欠">
      <formula>NOT(ISERROR(SEARCH("欠",S197)))</formula>
    </cfRule>
    <cfRule type="cellIs" dxfId="0" priority="2620" operator="equal">
      <formula>"欠"</formula>
    </cfRule>
  </conditionalFormatting>
  <conditionalFormatting sqref="T197:U197 U404:U418 T527:U527 U534:U535 T562:U563 U806">
    <cfRule type="containsText" dxfId="0" priority="2613" operator="between" text="欠">
      <formula>NOT(ISERROR(SEARCH("欠",T197)))</formula>
    </cfRule>
    <cfRule type="cellIs" dxfId="0" priority="2614" operator="equal">
      <formula>"欠"</formula>
    </cfRule>
  </conditionalFormatting>
  <conditionalFormatting sqref="X198:X200 W264:X264">
    <cfRule type="cellIs" dxfId="0" priority="2090" operator="equal">
      <formula>"欠"</formula>
    </cfRule>
  </conditionalFormatting>
  <conditionalFormatting sqref="V206:W206 V217 V349">
    <cfRule type="containsText" dxfId="0" priority="2121" operator="between" text="欠">
      <formula>NOT(ISERROR(SEARCH("欠",V206)))</formula>
    </cfRule>
    <cfRule type="containsText" dxfId="1" priority="2122" operator="between" text="欠">
      <formula>NOT(ISERROR(SEARCH("欠",V206)))</formula>
    </cfRule>
  </conditionalFormatting>
  <conditionalFormatting sqref="V206:X206 V217 V349">
    <cfRule type="cellIs" dxfId="0" priority="2123" operator="equal">
      <formula>"欠"</formula>
    </cfRule>
  </conditionalFormatting>
  <conditionalFormatting sqref="S208 S326 S337 S374:S375 S409:S410 S419:S426 S448:S449 S461 S481:S492 S511 S564 S575:S577 S579:S584 S587:S591 S613:S615 S626 S639 S657:S658 S695 S903:S904">
    <cfRule type="containsText" dxfId="0" priority="107" operator="between" text="欠">
      <formula>NOT(ISERROR(SEARCH("欠",S208)))</formula>
    </cfRule>
    <cfRule type="cellIs" dxfId="0" priority="113" operator="equal">
      <formula>"欠"</formula>
    </cfRule>
  </conditionalFormatting>
  <conditionalFormatting sqref="T208:U208 T210:U210">
    <cfRule type="containsText" dxfId="0" priority="71" operator="between" text="欠">
      <formula>NOT(ISERROR(SEARCH("欠",T208)))</formula>
    </cfRule>
    <cfRule type="cellIs" dxfId="0" priority="77" operator="equal">
      <formula>"欠"</formula>
    </cfRule>
  </conditionalFormatting>
  <conditionalFormatting sqref="R215 R525">
    <cfRule type="containsText" dxfId="0" priority="1414" operator="between" text="欠">
      <formula>NOT(ISERROR(SEARCH("欠",R215)))</formula>
    </cfRule>
  </conditionalFormatting>
  <conditionalFormatting sqref="T217:U217 T312:U312">
    <cfRule type="containsText" dxfId="0" priority="6032" operator="between" text="欠">
      <formula>NOT(ISERROR(SEARCH("欠",T217)))</formula>
    </cfRule>
    <cfRule type="cellIs" dxfId="0" priority="6042" operator="equal">
      <formula>"欠"</formula>
    </cfRule>
  </conditionalFormatting>
  <conditionalFormatting sqref="U222 T301:U302">
    <cfRule type="containsText" dxfId="0" priority="512" operator="between" text="欠">
      <formula>NOT(ISERROR(SEARCH("欠",T222)))</formula>
    </cfRule>
    <cfRule type="cellIs" dxfId="0" priority="513" operator="equal">
      <formula>"欠"</formula>
    </cfRule>
  </conditionalFormatting>
  <conditionalFormatting sqref="S230 S315:S318">
    <cfRule type="containsText" dxfId="0" priority="5303" operator="between" text="欠">
      <formula>NOT(ISERROR(SEARCH("欠",S230)))</formula>
    </cfRule>
    <cfRule type="cellIs" dxfId="0" priority="5310" operator="equal">
      <formula>"欠"</formula>
    </cfRule>
  </conditionalFormatting>
  <conditionalFormatting sqref="R231 R279 R380:R383">
    <cfRule type="containsText" dxfId="0" priority="4669" operator="between" text="欠">
      <formula>NOT(ISERROR(SEARCH("欠",R231)))</formula>
    </cfRule>
  </conditionalFormatting>
  <conditionalFormatting sqref="V231 V380:V383">
    <cfRule type="containsText" dxfId="0" priority="4033" operator="between" text="欠">
      <formula>NOT(ISERROR(SEARCH("欠",V231)))</formula>
    </cfRule>
    <cfRule type="containsText" dxfId="1" priority="4036" operator="between" text="欠">
      <formula>NOT(ISERROR(SEARCH("欠",V231)))</formula>
    </cfRule>
    <cfRule type="cellIs" dxfId="0" priority="4039" operator="equal">
      <formula>"欠"</formula>
    </cfRule>
  </conditionalFormatting>
  <conditionalFormatting sqref="S235:S236 S328 S367 S429:S436">
    <cfRule type="containsText" dxfId="0" priority="2715" operator="between" text="欠">
      <formula>NOT(ISERROR(SEARCH("欠",S235)))</formula>
    </cfRule>
    <cfRule type="cellIs" dxfId="0" priority="2716" operator="equal">
      <formula>"欠"</formula>
    </cfRule>
  </conditionalFormatting>
  <conditionalFormatting sqref="T235:U236 T328:U328 T367:U367 T429:U436">
    <cfRule type="containsText" dxfId="0" priority="2709" operator="between" text="欠">
      <formula>NOT(ISERROR(SEARCH("欠",T235)))</formula>
    </cfRule>
    <cfRule type="cellIs" dxfId="0" priority="2710" operator="equal">
      <formula>"欠"</formula>
    </cfRule>
  </conditionalFormatting>
  <conditionalFormatting sqref="V235:W235 V236 V328 V367 V429:V436">
    <cfRule type="containsText" dxfId="0" priority="2711" operator="between" text="欠">
      <formula>NOT(ISERROR(SEARCH("欠",V235)))</formula>
    </cfRule>
    <cfRule type="containsText" dxfId="1" priority="2712" operator="between" text="欠">
      <formula>NOT(ISERROR(SEARCH("欠",V235)))</formula>
    </cfRule>
    <cfRule type="cellIs" dxfId="0" priority="2713" operator="equal">
      <formula>"欠"</formula>
    </cfRule>
  </conditionalFormatting>
  <conditionalFormatting sqref="S240 S285">
    <cfRule type="containsText" dxfId="0" priority="5000" operator="between" text="欠">
      <formula>NOT(ISERROR(SEARCH("欠",S240)))</formula>
    </cfRule>
    <cfRule type="cellIs" dxfId="0" priority="5001" operator="equal">
      <formula>"欠"</formula>
    </cfRule>
  </conditionalFormatting>
  <conditionalFormatting sqref="AE242 AE277 AE313">
    <cfRule type="cellIs" dxfId="2" priority="5718" operator="equal">
      <formula>"未完成"</formula>
    </cfRule>
    <cfRule type="cellIs" dxfId="0" priority="5719" operator="equal">
      <formula>"未完成"</formula>
    </cfRule>
  </conditionalFormatting>
  <conditionalFormatting sqref="R244 R254 R268 R426">
    <cfRule type="containsText" dxfId="0" priority="3209" operator="between" text="欠">
      <formula>NOT(ISERROR(SEARCH("欠",R244)))</formula>
    </cfRule>
  </conditionalFormatting>
  <conditionalFormatting sqref="S244 S254 S268 S302 S304 S426">
    <cfRule type="containsText" dxfId="0" priority="3279" operator="between" text="欠">
      <formula>NOT(ISERROR(SEARCH("欠",S244)))</formula>
    </cfRule>
    <cfRule type="cellIs" dxfId="0" priority="3286" operator="equal">
      <formula>"欠"</formula>
    </cfRule>
  </conditionalFormatting>
  <conditionalFormatting sqref="V244 V254:W254 V268 V302 V304 V426">
    <cfRule type="containsText" dxfId="0" priority="3251" operator="between" text="欠">
      <formula>NOT(ISERROR(SEARCH("欠",V244)))</formula>
    </cfRule>
    <cfRule type="containsText" dxfId="1" priority="3258" operator="between" text="欠">
      <formula>NOT(ISERROR(SEARCH("欠",V244)))</formula>
    </cfRule>
    <cfRule type="cellIs" dxfId="0" priority="3265" operator="equal">
      <formula>"欠"</formula>
    </cfRule>
  </conditionalFormatting>
  <conditionalFormatting sqref="AE244 AE254 AE268 AE302 AE304 AE426">
    <cfRule type="cellIs" dxfId="2" priority="3199" operator="equal">
      <formula>"未完成"</formula>
    </cfRule>
    <cfRule type="cellIs" dxfId="0" priority="3200" operator="equal">
      <formula>"未完成"</formula>
    </cfRule>
  </conditionalFormatting>
  <conditionalFormatting sqref="R248:R249 R299:R300 R426:R427 R431:R432">
    <cfRule type="containsText" dxfId="0" priority="1686" operator="between" text="欠">
      <formula>NOT(ISERROR(SEARCH("欠",R248)))</formula>
    </cfRule>
  </conditionalFormatting>
  <conditionalFormatting sqref="R249 T249:U249">
    <cfRule type="containsText" dxfId="3" priority="21" operator="between" text="欠">
      <formula>NOT(ISERROR(SEARCH("欠",R249)))</formula>
    </cfRule>
  </conditionalFormatting>
  <conditionalFormatting sqref="AE250 AE309:AE310">
    <cfRule type="cellIs" dxfId="2" priority="7556" operator="equal">
      <formula>"未完成"</formula>
    </cfRule>
    <cfRule type="cellIs" dxfId="0" priority="7557" operator="equal">
      <formula>"未完成"</formula>
    </cfRule>
  </conditionalFormatting>
  <conditionalFormatting sqref="V251:V252 V318:W318">
    <cfRule type="containsText" dxfId="0" priority="1100" operator="between" text="欠">
      <formula>NOT(ISERROR(SEARCH("欠",V251)))</formula>
    </cfRule>
    <cfRule type="containsText" dxfId="1" priority="1116" operator="between" text="欠">
      <formula>NOT(ISERROR(SEARCH("欠",V251)))</formula>
    </cfRule>
    <cfRule type="cellIs" dxfId="0" priority="1132" operator="equal">
      <formula>"欠"</formula>
    </cfRule>
  </conditionalFormatting>
  <conditionalFormatting sqref="AE253 AE621">
    <cfRule type="cellIs" dxfId="2" priority="289" operator="equal">
      <formula>"未完成"</formula>
    </cfRule>
    <cfRule type="cellIs" dxfId="0" priority="301" operator="equal">
      <formula>"未完成"</formula>
    </cfRule>
  </conditionalFormatting>
  <conditionalFormatting sqref="T254:U254 T304:U304 T426:U426">
    <cfRule type="containsText" dxfId="0" priority="3237" operator="between" text="欠">
      <formula>NOT(ISERROR(SEARCH("欠",T254)))</formula>
    </cfRule>
    <cfRule type="cellIs" dxfId="0" priority="3244" operator="equal">
      <formula>"欠"</formula>
    </cfRule>
  </conditionalFormatting>
  <conditionalFormatting sqref="W255 W339">
    <cfRule type="containsText" dxfId="0" priority="6054" operator="between" text="欠">
      <formula>NOT(ISERROR(SEARCH("欠",W255)))</formula>
    </cfRule>
    <cfRule type="containsText" dxfId="1" priority="6064" operator="between" text="欠">
      <formula>NOT(ISERROR(SEARCH("欠",W255)))</formula>
    </cfRule>
    <cfRule type="cellIs" dxfId="0" priority="6074" operator="equal">
      <formula>"欠"</formula>
    </cfRule>
  </conditionalFormatting>
  <conditionalFormatting sqref="AE255 AE379 AE472 AE819:AE820">
    <cfRule type="cellIs" dxfId="2" priority="4754" operator="equal">
      <formula>"未完成"</formula>
    </cfRule>
    <cfRule type="cellIs" dxfId="0" priority="4761" operator="equal">
      <formula>"未完成"</formula>
    </cfRule>
  </conditionalFormatting>
  <conditionalFormatting sqref="AE260 AE262:AE263 AE265 AE308 AE454">
    <cfRule type="cellIs" dxfId="2" priority="5983" operator="equal">
      <formula>"未完成"</formula>
    </cfRule>
    <cfRule type="cellIs" dxfId="0" priority="5984" operator="equal">
      <formula>"未完成"</formula>
    </cfRule>
  </conditionalFormatting>
  <conditionalFormatting sqref="R267:R269 R367:R369 R457:R461 R488:R495 R503:R504 R611 R849">
    <cfRule type="containsText" dxfId="0" priority="2180" operator="between" text="欠">
      <formula>NOT(ISERROR(SEARCH("欠",R267)))</formula>
    </cfRule>
  </conditionalFormatting>
  <conditionalFormatting sqref="T267:U269">
    <cfRule type="containsText" dxfId="0" priority="2243" operator="between" text="欠">
      <formula>NOT(ISERROR(SEARCH("欠",T267)))</formula>
    </cfRule>
    <cfRule type="cellIs" dxfId="0" priority="2260" operator="equal">
      <formula>"欠"</formula>
    </cfRule>
  </conditionalFormatting>
  <conditionalFormatting sqref="T270:U270 T558:U558">
    <cfRule type="containsText" dxfId="0" priority="2546" operator="between" text="欠">
      <formula>NOT(ISERROR(SEARCH("欠",T270)))</formula>
    </cfRule>
    <cfRule type="cellIs" dxfId="0" priority="2548" operator="equal">
      <formula>"欠"</formula>
    </cfRule>
  </conditionalFormatting>
  <conditionalFormatting sqref="R275 R299 R366 R372:R374">
    <cfRule type="containsText" dxfId="0" priority="849" operator="between" text="欠">
      <formula>NOT(ISERROR(SEARCH("欠",R275)))</formula>
    </cfRule>
  </conditionalFormatting>
  <conditionalFormatting sqref="AE279 AE282:AE285 AE314:AE316 AE384:AE387 AE428 AE465 AE473:AE475">
    <cfRule type="cellIs" dxfId="2" priority="1694" operator="equal">
      <formula>"未完成"</formula>
    </cfRule>
    <cfRule type="cellIs" dxfId="0" priority="1701" operator="equal">
      <formula>"未完成"</formula>
    </cfRule>
  </conditionalFormatting>
  <conditionalFormatting sqref="V280:W280 V281 V461:V462">
    <cfRule type="containsText" dxfId="0" priority="1815" operator="between" text="欠">
      <formula>NOT(ISERROR(SEARCH("欠",V280)))</formula>
    </cfRule>
    <cfRule type="containsText" dxfId="1" priority="1823" operator="between" text="欠">
      <formula>NOT(ISERROR(SEARCH("欠",V280)))</formula>
    </cfRule>
    <cfRule type="cellIs" dxfId="0" priority="1831" operator="equal">
      <formula>"欠"</formula>
    </cfRule>
  </conditionalFormatting>
  <conditionalFormatting sqref="T283:U286">
    <cfRule type="containsText" dxfId="0" priority="527" operator="between" text="欠">
      <formula>NOT(ISERROR(SEARCH("欠",T283)))</formula>
    </cfRule>
    <cfRule type="cellIs" dxfId="0" priority="528" operator="equal">
      <formula>"欠"</formula>
    </cfRule>
  </conditionalFormatting>
  <conditionalFormatting sqref="AE290:AE291 AE312 AE339 AE361:AE362 AE421:AE429">
    <cfRule type="cellIs" dxfId="2" priority="5808" operator="equal">
      <formula>"未完成"</formula>
    </cfRule>
    <cfRule type="cellIs" dxfId="0" priority="5809" operator="equal">
      <formula>"未完成"</formula>
    </cfRule>
  </conditionalFormatting>
  <conditionalFormatting sqref="AE293 AE385">
    <cfRule type="cellIs" dxfId="2" priority="5730" operator="equal">
      <formula>"未完成"</formula>
    </cfRule>
    <cfRule type="cellIs" dxfId="0" priority="5731" operator="equal">
      <formula>"未完成"</formula>
    </cfRule>
  </conditionalFormatting>
  <conditionalFormatting sqref="AE295 AE313:AE314">
    <cfRule type="cellIs" dxfId="2" priority="7372" operator="equal">
      <formula>"未完成"</formula>
    </cfRule>
    <cfRule type="cellIs" dxfId="0" priority="7373" operator="equal">
      <formula>"未完成"</formula>
    </cfRule>
  </conditionalFormatting>
  <conditionalFormatting sqref="S298:S300 S551:S552 S585:S586">
    <cfRule type="containsText" dxfId="0" priority="2055" operator="between" text="欠">
      <formula>NOT(ISERROR(SEARCH("欠",S298)))</formula>
    </cfRule>
    <cfRule type="cellIs" dxfId="0" priority="2056" operator="equal">
      <formula>"欠"</formula>
    </cfRule>
  </conditionalFormatting>
  <conditionalFormatting sqref="T298:U300 T448:U449 U450:U451 T491:U493 T494:T497 T550:U552">
    <cfRule type="containsText" dxfId="0" priority="2057" operator="between" text="欠">
      <formula>NOT(ISERROR(SEARCH("欠",T298)))</formula>
    </cfRule>
    <cfRule type="cellIs" dxfId="0" priority="2058" operator="equal">
      <formula>"欠"</formula>
    </cfRule>
  </conditionalFormatting>
  <conditionalFormatting sqref="X302 X304">
    <cfRule type="cellIs" dxfId="0" priority="3270" operator="equal">
      <formula>"欠"</formula>
    </cfRule>
  </conditionalFormatting>
  <conditionalFormatting sqref="T310:U313">
    <cfRule type="containsText" dxfId="0" priority="2103" operator="between" text="欠">
      <formula>NOT(ISERROR(SEARCH("欠",T310)))</formula>
    </cfRule>
    <cfRule type="cellIs" dxfId="0" priority="2104" operator="equal">
      <formula>"欠"</formula>
    </cfRule>
  </conditionalFormatting>
  <conditionalFormatting sqref="V314:W314 V315:V317">
    <cfRule type="containsText" dxfId="0" priority="2099" operator="between" text="欠">
      <formula>NOT(ISERROR(SEARCH("欠",V314)))</formula>
    </cfRule>
    <cfRule type="containsText" dxfId="1" priority="2100" operator="between" text="欠">
      <formula>NOT(ISERROR(SEARCH("欠",V314)))</formula>
    </cfRule>
  </conditionalFormatting>
  <conditionalFormatting sqref="V314:X314 V315:V317">
    <cfRule type="cellIs" dxfId="0" priority="2101" operator="equal">
      <formula>"欠"</formula>
    </cfRule>
  </conditionalFormatting>
  <conditionalFormatting sqref="T315:U318">
    <cfRule type="containsText" dxfId="0" priority="5261" operator="between" text="欠">
      <formula>NOT(ISERROR(SEARCH("欠",T315)))</formula>
    </cfRule>
    <cfRule type="cellIs" dxfId="0" priority="5268" operator="equal">
      <formula>"欠"</formula>
    </cfRule>
  </conditionalFormatting>
  <conditionalFormatting sqref="AE319 AE403:AE407 AE464:AE465 AE488:AE496 AE549:AE551 AE598:AE603 AE610:AE623 AE639 AE657 AE663:AE675 AE682:AE694 AE696:AE700 AE703:AE724 AE727:AE742 AE746:AE782 AE790 AE819 AE831:AE834 AE836:AE838 AE854:AE855 AE871:AE873 AE887 AE901 AE905:AE907 AE927 AE952">
    <cfRule type="cellIs" dxfId="2" priority="5906" operator="equal">
      <formula>"未完成"</formula>
    </cfRule>
    <cfRule type="cellIs" dxfId="0" priority="5913" operator="equal">
      <formula>"未完成"</formula>
    </cfRule>
  </conditionalFormatting>
  <conditionalFormatting sqref="R325 R358:R374 R390:R391 R396 R402">
    <cfRule type="containsText" dxfId="0" priority="2707" operator="between" text="欠">
      <formula>NOT(ISERROR(SEARCH("欠",R325)))</formula>
    </cfRule>
  </conditionalFormatting>
  <conditionalFormatting sqref="R329 R365:R366 R476:R477">
    <cfRule type="containsText" dxfId="0" priority="1512" operator="between" text="欠">
      <formula>NOT(ISERROR(SEARCH("欠",R329)))</formula>
    </cfRule>
  </conditionalFormatting>
  <conditionalFormatting sqref="R332 R341:R342 R362 R377:R378 R462">
    <cfRule type="containsText" dxfId="0" priority="4303" operator="between" text="欠">
      <formula>NOT(ISERROR(SEARCH("欠",R332)))</formula>
    </cfRule>
  </conditionalFormatting>
  <conditionalFormatting sqref="R343 R517">
    <cfRule type="containsText" dxfId="0" priority="2890" operator="between" text="欠">
      <formula>NOT(ISERROR(SEARCH("欠",R343)))</formula>
    </cfRule>
  </conditionalFormatting>
  <conditionalFormatting sqref="V349:V350 V385 V535:W535">
    <cfRule type="containsText" dxfId="0" priority="5271" operator="between" text="欠">
      <formula>NOT(ISERROR(SEARCH("欠",V349)))</formula>
    </cfRule>
    <cfRule type="containsText" dxfId="1" priority="5278" operator="between" text="欠">
      <formula>NOT(ISERROR(SEARCH("欠",V349)))</formula>
    </cfRule>
    <cfRule type="cellIs" dxfId="0" priority="5285" operator="equal">
      <formula>"欠"</formula>
    </cfRule>
  </conditionalFormatting>
  <conditionalFormatting sqref="T353:U355">
    <cfRule type="containsText" dxfId="0" priority="1068" operator="between" text="欠">
      <formula>NOT(ISERROR(SEARCH("欠",T353)))</formula>
    </cfRule>
    <cfRule type="cellIs" dxfId="0" priority="1084" operator="equal">
      <formula>"欠"</formula>
    </cfRule>
  </conditionalFormatting>
  <conditionalFormatting sqref="R354 R413:R417 R460">
    <cfRule type="containsText" dxfId="0" priority="3646" operator="between" text="欠">
      <formula>NOT(ISERROR(SEARCH("欠",R354)))</formula>
    </cfRule>
  </conditionalFormatting>
  <conditionalFormatting sqref="S354 S413:S417 S460">
    <cfRule type="containsText" dxfId="0" priority="3806" operator="between" text="欠">
      <formula>NOT(ISERROR(SEARCH("欠",S354)))</formula>
    </cfRule>
    <cfRule type="cellIs" dxfId="0" priority="3822" operator="equal">
      <formula>"欠"</formula>
    </cfRule>
  </conditionalFormatting>
  <conditionalFormatting sqref="V357:W358">
    <cfRule type="containsText" dxfId="0" priority="5468" operator="between" text="欠">
      <formula>NOT(ISERROR(SEARCH("欠",V357)))</formula>
    </cfRule>
    <cfRule type="containsText" dxfId="1" priority="5473" operator="between" text="欠">
      <formula>NOT(ISERROR(SEARCH("欠",V357)))</formula>
    </cfRule>
    <cfRule type="cellIs" dxfId="0" priority="5478" operator="equal">
      <formula>"欠"</formula>
    </cfRule>
  </conditionalFormatting>
  <conditionalFormatting sqref="R361 R463 R471:R472 R479:R480 R512 R616">
    <cfRule type="containsText" dxfId="0" priority="518" operator="between" text="欠">
      <formula>NOT(ISERROR(SEARCH("欠",R361)))</formula>
    </cfRule>
  </conditionalFormatting>
  <conditionalFormatting sqref="T362:U363">
    <cfRule type="containsText" dxfId="0" priority="6038" operator="between" text="欠">
      <formula>NOT(ISERROR(SEARCH("欠",T362)))</formula>
    </cfRule>
    <cfRule type="cellIs" dxfId="0" priority="6048" operator="equal">
      <formula>"欠"</formula>
    </cfRule>
  </conditionalFormatting>
  <conditionalFormatting sqref="T365:U366 T376">
    <cfRule type="containsText" dxfId="0" priority="1712" operator="between" text="欠">
      <formula>NOT(ISERROR(SEARCH("欠",T365)))</formula>
    </cfRule>
    <cfRule type="cellIs" dxfId="0" priority="1719" operator="equal">
      <formula>"欠"</formula>
    </cfRule>
  </conditionalFormatting>
  <conditionalFormatting sqref="T366:U369">
    <cfRule type="containsText" dxfId="0" priority="4972" operator="between" text="欠">
      <formula>NOT(ISERROR(SEARCH("欠",T366)))</formula>
    </cfRule>
    <cfRule type="cellIs" dxfId="0" priority="4973" operator="equal">
      <formula>"欠"</formula>
    </cfRule>
  </conditionalFormatting>
  <conditionalFormatting sqref="T366:U366 T376">
    <cfRule type="containsText" dxfId="0" priority="1380" operator="between" text="欠">
      <formula>NOT(ISERROR(SEARCH("欠",T366)))</formula>
    </cfRule>
    <cfRule type="cellIs" dxfId="0" priority="1381" operator="equal">
      <formula>"欠"</formula>
    </cfRule>
  </conditionalFormatting>
  <conditionalFormatting sqref="T366:U367 T392:U395 T444:U445 T446">
    <cfRule type="containsText" dxfId="0" priority="519" operator="between" text="欠">
      <formula>NOT(ISERROR(SEARCH("欠",T366)))</formula>
    </cfRule>
    <cfRule type="cellIs" dxfId="0" priority="520" operator="equal">
      <formula>"欠"</formula>
    </cfRule>
  </conditionalFormatting>
  <conditionalFormatting sqref="AE374 AE447 AE625">
    <cfRule type="cellIs" dxfId="2" priority="5241" operator="equal">
      <formula>"未完成"</formula>
    </cfRule>
    <cfRule type="cellIs" dxfId="0" priority="5248" operator="equal">
      <formula>"未完成"</formula>
    </cfRule>
  </conditionalFormatting>
  <conditionalFormatting sqref="X375 X423 X701:X702">
    <cfRule type="cellIs" dxfId="0" priority="174" operator="equal">
      <formula>"欠"</formula>
    </cfRule>
  </conditionalFormatting>
  <conditionalFormatting sqref="T377:U381">
    <cfRule type="containsText" dxfId="0" priority="4968" operator="between" text="欠">
      <formula>NOT(ISERROR(SEARCH("欠",T377)))</formula>
    </cfRule>
    <cfRule type="cellIs" dxfId="0" priority="4969" operator="equal">
      <formula>"欠"</formula>
    </cfRule>
  </conditionalFormatting>
  <conditionalFormatting sqref="T377:U378 T379">
    <cfRule type="containsText" dxfId="0" priority="4320" operator="between" text="欠">
      <formula>NOT(ISERROR(SEARCH("欠",T377)))</formula>
    </cfRule>
    <cfRule type="cellIs" dxfId="0" priority="4321" operator="equal">
      <formula>"欠"</formula>
    </cfRule>
  </conditionalFormatting>
  <conditionalFormatting sqref="X378 X570 X680">
    <cfRule type="cellIs" dxfId="0" priority="4748" operator="equal">
      <formula>"欠"</formula>
    </cfRule>
  </conditionalFormatting>
  <conditionalFormatting sqref="R379 R564">
    <cfRule type="containsText" dxfId="0" priority="2059" operator="between" text="欠">
      <formula>NOT(ISERROR(SEARCH("欠",R379)))</formula>
    </cfRule>
  </conditionalFormatting>
  <conditionalFormatting sqref="S379 S564">
    <cfRule type="containsText" dxfId="0" priority="2062" operator="between" text="欠">
      <formula>NOT(ISERROR(SEARCH("欠",S379)))</formula>
    </cfRule>
    <cfRule type="cellIs" dxfId="0" priority="2063" operator="equal">
      <formula>"欠"</formula>
    </cfRule>
  </conditionalFormatting>
  <conditionalFormatting sqref="T380:U383">
    <cfRule type="containsText" dxfId="0" priority="4048" operator="between" text="欠">
      <formula>NOT(ISERROR(SEARCH("欠",T380)))</formula>
    </cfRule>
    <cfRule type="cellIs" dxfId="0" priority="4051" operator="equal">
      <formula>"欠"</formula>
    </cfRule>
  </conditionalFormatting>
  <conditionalFormatting sqref="S383:S386 S445 S464">
    <cfRule type="containsText" dxfId="0" priority="524" operator="between" text="欠">
      <formula>NOT(ISERROR(SEARCH("欠",S383)))</formula>
    </cfRule>
    <cfRule type="cellIs" dxfId="0" priority="525" operator="equal">
      <formula>"欠"</formula>
    </cfRule>
  </conditionalFormatting>
  <conditionalFormatting sqref="V383:V386 V445:V446 V465">
    <cfRule type="containsText" dxfId="0" priority="521" operator="between" text="欠">
      <formula>NOT(ISERROR(SEARCH("欠",V383)))</formula>
    </cfRule>
    <cfRule type="containsText" dxfId="1" priority="522" operator="between" text="欠">
      <formula>NOT(ISERROR(SEARCH("欠",V383)))</formula>
    </cfRule>
    <cfRule type="cellIs" dxfId="0" priority="523" operator="equal">
      <formula>"欠"</formula>
    </cfRule>
  </conditionalFormatting>
  <conditionalFormatting sqref="AE392 AE806:AE807 AE836:AE837 AE841:AE842 AE885:AE886">
    <cfRule type="cellIs" dxfId="2" priority="2438" operator="equal">
      <formula>"未完成"</formula>
    </cfRule>
    <cfRule type="cellIs" dxfId="0" priority="2443" operator="equal">
      <formula>"未完成"</formula>
    </cfRule>
  </conditionalFormatting>
  <conditionalFormatting sqref="R404:R419 R530 R563 R616 R806:R813">
    <cfRule type="containsText" dxfId="0" priority="2908" operator="between" text="欠">
      <formula>NOT(ISERROR(SEARCH("欠",R404)))</formula>
    </cfRule>
  </conditionalFormatting>
  <conditionalFormatting sqref="T413:U417">
    <cfRule type="containsText" dxfId="0" priority="3712" operator="between" text="欠">
      <formula>NOT(ISERROR(SEARCH("欠",T413)))</formula>
    </cfRule>
    <cfRule type="cellIs" dxfId="0" priority="3728" operator="equal">
      <formula>"欠"</formula>
    </cfRule>
  </conditionalFormatting>
  <conditionalFormatting sqref="V413:W417">
    <cfRule type="containsText" dxfId="0" priority="3744" operator="between" text="欠">
      <formula>NOT(ISERROR(SEARCH("欠",V413)))</formula>
    </cfRule>
    <cfRule type="containsText" dxfId="1" priority="3760" operator="between" text="欠">
      <formula>NOT(ISERROR(SEARCH("欠",V413)))</formula>
    </cfRule>
    <cfRule type="cellIs" dxfId="0" priority="3776" operator="equal">
      <formula>"欠"</formula>
    </cfRule>
  </conditionalFormatting>
  <conditionalFormatting sqref="V421:W428">
    <cfRule type="containsText" dxfId="0" priority="6056" operator="between" text="欠">
      <formula>NOT(ISERROR(SEARCH("欠",V421)))</formula>
    </cfRule>
    <cfRule type="containsText" dxfId="1" priority="6066" operator="between" text="欠">
      <formula>NOT(ISERROR(SEARCH("欠",V421)))</formula>
    </cfRule>
    <cfRule type="cellIs" dxfId="0" priority="6076" operator="equal">
      <formula>"欠"</formula>
    </cfRule>
  </conditionalFormatting>
  <conditionalFormatting sqref="V423:W423 V541:V542 V559:V560 V609:V611">
    <cfRule type="containsText" dxfId="0" priority="1322" operator="between" text="欠">
      <formula>NOT(ISERROR(SEARCH("欠",V423)))</formula>
    </cfRule>
    <cfRule type="containsText" dxfId="1" priority="1323" operator="between" text="欠">
      <formula>NOT(ISERROR(SEARCH("欠",V423)))</formula>
    </cfRule>
    <cfRule type="cellIs" dxfId="0" priority="1324" operator="equal">
      <formula>"欠"</formula>
    </cfRule>
  </conditionalFormatting>
  <conditionalFormatting sqref="W424 V435">
    <cfRule type="containsText" dxfId="0" priority="5154" operator="between" text="欠">
      <formula>NOT(ISERROR(SEARCH("欠",V424)))</formula>
    </cfRule>
    <cfRule type="containsText" dxfId="1" priority="5166" operator="between" text="欠">
      <formula>NOT(ISERROR(SEARCH("欠",V424)))</formula>
    </cfRule>
    <cfRule type="cellIs" dxfId="0" priority="5178" operator="equal">
      <formula>"欠"</formula>
    </cfRule>
  </conditionalFormatting>
  <conditionalFormatting sqref="V424 V476:W476">
    <cfRule type="containsText" dxfId="0" priority="1458" operator="between" text="欠">
      <formula>NOT(ISERROR(SEARCH("欠",V424)))</formula>
    </cfRule>
    <cfRule type="containsText" dxfId="1" priority="1463" operator="between" text="欠">
      <formula>NOT(ISERROR(SEARCH("欠",V424)))</formula>
    </cfRule>
    <cfRule type="cellIs" dxfId="0" priority="1468" operator="equal">
      <formula>"欠"</formula>
    </cfRule>
  </conditionalFormatting>
  <conditionalFormatting sqref="AE425 AE480:AE482">
    <cfRule type="cellIs" dxfId="2" priority="958" operator="equal">
      <formula>"未完成"</formula>
    </cfRule>
    <cfRule type="cellIs" dxfId="0" priority="961" operator="equal">
      <formula>"未完成"</formula>
    </cfRule>
  </conditionalFormatting>
  <conditionalFormatting sqref="T429:U432 T469:U471 T600 T623 T766:T767">
    <cfRule type="containsText" dxfId="0" priority="863" operator="between" text="欠">
      <formula>NOT(ISERROR(SEARCH("欠",T429)))</formula>
    </cfRule>
    <cfRule type="cellIs" dxfId="0" priority="867" operator="equal">
      <formula>"欠"</formula>
    </cfRule>
  </conditionalFormatting>
  <conditionalFormatting sqref="AE437 AE507 AE649 AE661:AE662 AE681 AE693:AE694 AE888 AE902">
    <cfRule type="cellIs" dxfId="2" priority="60" operator="equal">
      <formula>"未完成"</formula>
    </cfRule>
    <cfRule type="cellIs" dxfId="0" priority="66" operator="equal">
      <formula>"未完成"</formula>
    </cfRule>
  </conditionalFormatting>
  <conditionalFormatting sqref="T444:U445 T446">
    <cfRule type="containsText" dxfId="0" priority="4963" operator="between" text="欠">
      <formula>NOT(ISERROR(SEARCH("欠",T444)))</formula>
    </cfRule>
    <cfRule type="cellIs" dxfId="0" priority="4964" operator="equal">
      <formula>"欠"</formula>
    </cfRule>
  </conditionalFormatting>
  <conditionalFormatting sqref="AE444 AE451 AE678 AE740">
    <cfRule type="cellIs" dxfId="2" priority="5100" operator="equal">
      <formula>"未完成"</formula>
    </cfRule>
    <cfRule type="cellIs" dxfId="0" priority="5112" operator="equal">
      <formula>"未完成"</formula>
    </cfRule>
  </conditionalFormatting>
  <conditionalFormatting sqref="S447 S593">
    <cfRule type="containsText" dxfId="0" priority="4957" operator="between" text="欠">
      <formula>NOT(ISERROR(SEARCH("欠",S447)))</formula>
    </cfRule>
    <cfRule type="cellIs" dxfId="0" priority="4958" operator="equal">
      <formula>"欠"</formula>
    </cfRule>
  </conditionalFormatting>
  <conditionalFormatting sqref="T447:U447 T450:T451 T593:U593">
    <cfRule type="containsText" dxfId="0" priority="4960" operator="between" text="欠">
      <formula>NOT(ISERROR(SEARCH("欠",T447)))</formula>
    </cfRule>
    <cfRule type="cellIs" dxfId="0" priority="4961" operator="equal">
      <formula>"欠"</formula>
    </cfRule>
  </conditionalFormatting>
  <conditionalFormatting sqref="U450:U451 T559:U560 T633:U636 T783:U783">
    <cfRule type="containsText" dxfId="0" priority="1504" operator="between" text="欠">
      <formula>NOT(ISERROR(SEARCH("欠",T450)))</formula>
    </cfRule>
    <cfRule type="cellIs" dxfId="0" priority="1505" operator="equal">
      <formula>"欠"</formula>
    </cfRule>
  </conditionalFormatting>
  <conditionalFormatting sqref="T456:U458">
    <cfRule type="containsText" dxfId="0" priority="2827" operator="between" text="欠">
      <formula>NOT(ISERROR(SEARCH("欠",T456)))</formula>
    </cfRule>
    <cfRule type="cellIs" dxfId="0" priority="2830" operator="equal">
      <formula>"欠"</formula>
    </cfRule>
  </conditionalFormatting>
  <conditionalFormatting sqref="T457:U459">
    <cfRule type="containsText" dxfId="0" priority="2248" operator="between" text="欠">
      <formula>NOT(ISERROR(SEARCH("欠",T457)))</formula>
    </cfRule>
    <cfRule type="cellIs" dxfId="0" priority="2265" operator="equal">
      <formula>"欠"</formula>
    </cfRule>
  </conditionalFormatting>
  <conditionalFormatting sqref="AE463 AE583:AE584 AE616:AE618 AE639:AE640 AE649:AE653 AE657:AE664 AE667:AE692 AE695:AE746 AE751:AE820 AE825 AE839:AE842 AE846:AE849 AE859:AE864 AE866 AE879:AE884 AE889 AE895:AE897 AE907 AE911:AE914 AE918:AE919 AE922:AE923 AE927 AE933:AE944">
    <cfRule type="cellIs" dxfId="2" priority="1294" operator="equal">
      <formula>"未完成"</formula>
    </cfRule>
    <cfRule type="cellIs" dxfId="0" priority="1295" operator="equal">
      <formula>"未完成"</formula>
    </cfRule>
  </conditionalFormatting>
  <conditionalFormatting sqref="T473:U473 T474:T475">
    <cfRule type="containsText" dxfId="0" priority="429" operator="between" text="欠">
      <formula>NOT(ISERROR(SEARCH("欠",T473)))</formula>
    </cfRule>
    <cfRule type="cellIs" dxfId="0" priority="435" operator="equal">
      <formula>"欠"</formula>
    </cfRule>
  </conditionalFormatting>
  <conditionalFormatting sqref="T476:U477">
    <cfRule type="containsText" dxfId="0" priority="1516" operator="between" text="欠">
      <formula>NOT(ISERROR(SEARCH("欠",T476)))</formula>
    </cfRule>
    <cfRule type="cellIs" dxfId="0" priority="1517" operator="equal">
      <formula>"欠"</formula>
    </cfRule>
  </conditionalFormatting>
  <conditionalFormatting sqref="V476:W477">
    <cfRule type="containsText" dxfId="0" priority="1518" operator="between" text="欠">
      <formula>NOT(ISERROR(SEARCH("欠",V476)))</formula>
    </cfRule>
    <cfRule type="containsText" dxfId="1" priority="1519" operator="between" text="欠">
      <formula>NOT(ISERROR(SEARCH("欠",V476)))</formula>
    </cfRule>
    <cfRule type="cellIs" dxfId="0" priority="1520" operator="equal">
      <formula>"欠"</formula>
    </cfRule>
  </conditionalFormatting>
  <conditionalFormatting sqref="T479:U479 T480:T481">
    <cfRule type="containsText" dxfId="0" priority="135" operator="between" text="欠">
      <formula>NOT(ISERROR(SEARCH("欠",T479)))</formula>
    </cfRule>
    <cfRule type="cellIs" dxfId="0" priority="139" operator="equal">
      <formula>"欠"</formula>
    </cfRule>
  </conditionalFormatting>
  <conditionalFormatting sqref="R480:R481 R487:R488 R521 R599 R671 R717">
    <cfRule type="containsText" dxfId="0" priority="1980" operator="between" text="欠">
      <formula>NOT(ISERROR(SEARCH("欠",R480)))</formula>
    </cfRule>
  </conditionalFormatting>
  <conditionalFormatting sqref="AE481 AE487">
    <cfRule type="cellIs" dxfId="2" priority="1784" operator="equal">
      <formula>"未完成"</formula>
    </cfRule>
    <cfRule type="cellIs" dxfId="0" priority="1792" operator="equal">
      <formula>"未完成"</formula>
    </cfRule>
  </conditionalFormatting>
  <conditionalFormatting sqref="T483:U483 U486 T590:U590 T593:U593 U636 T651:U651 T714:U714 T748:U750 U776 T795:U804 T806:T813 U821 T822:U828 U829 T830:U831 U832:U841 T843:U844 T860:T862 T877 T890:T895">
    <cfRule type="containsText" dxfId="0" priority="1801" operator="between" text="欠">
      <formula>NOT(ISERROR(SEARCH("欠",T483)))</formula>
    </cfRule>
    <cfRule type="cellIs" dxfId="0" priority="1809" operator="equal">
      <formula>"欠"</formula>
    </cfRule>
  </conditionalFormatting>
  <conditionalFormatting sqref="AE488 AE548 AE584:AE586">
    <cfRule type="cellIs" dxfId="2" priority="1304" operator="equal">
      <formula>"未完成"</formula>
    </cfRule>
    <cfRule type="cellIs" dxfId="0" priority="1305" operator="equal">
      <formula>"未完成"</formula>
    </cfRule>
  </conditionalFormatting>
  <conditionalFormatting sqref="S500 S595:S596">
    <cfRule type="containsText" dxfId="0" priority="817" operator="between" text="欠">
      <formula>NOT(ISERROR(SEARCH("欠",S500)))</formula>
    </cfRule>
    <cfRule type="cellIs" dxfId="0" priority="835" operator="equal">
      <formula>"欠"</formula>
    </cfRule>
  </conditionalFormatting>
  <conditionalFormatting sqref="U500 T595:U596">
    <cfRule type="containsText" dxfId="0" priority="709" operator="between" text="欠">
      <formula>NOT(ISERROR(SEARCH("欠",T500)))</formula>
    </cfRule>
    <cfRule type="cellIs" dxfId="0" priority="727" operator="equal">
      <formula>"欠"</formula>
    </cfRule>
  </conditionalFormatting>
  <conditionalFormatting sqref="R515 R530">
    <cfRule type="containsText" dxfId="0" priority="851" operator="between" text="欠">
      <formula>NOT(ISERROR(SEARCH("欠",R515)))</formula>
    </cfRule>
  </conditionalFormatting>
  <conditionalFormatting sqref="V515 V530">
    <cfRule type="containsText" dxfId="0" priority="871" operator="between" text="欠">
      <formula>NOT(ISERROR(SEARCH("欠",V515)))</formula>
    </cfRule>
    <cfRule type="containsText" dxfId="1" priority="875" operator="between" text="欠">
      <formula>NOT(ISERROR(SEARCH("欠",V515)))</formula>
    </cfRule>
    <cfRule type="cellIs" dxfId="0" priority="879" operator="equal">
      <formula>"欠"</formula>
    </cfRule>
  </conditionalFormatting>
  <conditionalFormatting sqref="X515 X530">
    <cfRule type="cellIs" dxfId="0" priority="883" operator="equal">
      <formula>"欠"</formula>
    </cfRule>
  </conditionalFormatting>
  <conditionalFormatting sqref="T527:U528">
    <cfRule type="containsText" dxfId="0" priority="3836" operator="between" text="欠">
      <formula>NOT(ISERROR(SEARCH("欠",T527)))</formula>
    </cfRule>
    <cfRule type="cellIs" dxfId="0" priority="3837" operator="equal">
      <formula>"欠"</formula>
    </cfRule>
  </conditionalFormatting>
  <conditionalFormatting sqref="AE541 AE627:AE636 AE672 AE774">
    <cfRule type="cellIs" dxfId="2" priority="1318" operator="equal">
      <formula>"未完成"</formula>
    </cfRule>
    <cfRule type="cellIs" dxfId="0" priority="1319" operator="equal">
      <formula>"未完成"</formula>
    </cfRule>
  </conditionalFormatting>
  <conditionalFormatting sqref="R542:R543 R545">
    <cfRule type="containsText" dxfId="0" priority="887" operator="between" text="欠">
      <formula>NOT(ISERROR(SEARCH("欠",R542)))</formula>
    </cfRule>
  </conditionalFormatting>
  <conditionalFormatting sqref="T542:U543">
    <cfRule type="containsText" dxfId="0" priority="903" operator="between" text="欠">
      <formula>NOT(ISERROR(SEARCH("欠",T542)))</formula>
    </cfRule>
    <cfRule type="cellIs" dxfId="0" priority="907" operator="equal">
      <formula>"欠"</formula>
    </cfRule>
  </conditionalFormatting>
  <conditionalFormatting sqref="V542:W543">
    <cfRule type="containsText" dxfId="0" priority="911" operator="between" text="欠">
      <formula>NOT(ISERROR(SEARCH("欠",V542)))</formula>
    </cfRule>
    <cfRule type="containsText" dxfId="1" priority="915" operator="between" text="欠">
      <formula>NOT(ISERROR(SEARCH("欠",V542)))</formula>
    </cfRule>
    <cfRule type="cellIs" dxfId="0" priority="919" operator="equal">
      <formula>"欠"</formula>
    </cfRule>
  </conditionalFormatting>
  <conditionalFormatting sqref="V558:V561 V631:V636 V783:W783">
    <cfRule type="containsText" dxfId="0" priority="1506" operator="between" text="欠">
      <formula>NOT(ISERROR(SEARCH("欠",V558)))</formula>
    </cfRule>
    <cfRule type="containsText" dxfId="1" priority="1507" operator="between" text="欠">
      <formula>NOT(ISERROR(SEARCH("欠",V558)))</formula>
    </cfRule>
    <cfRule type="cellIs" dxfId="0" priority="1508" operator="equal">
      <formula>"欠"</formula>
    </cfRule>
  </conditionalFormatting>
  <conditionalFormatting sqref="R559:R562 R632:R635 R783">
    <cfRule type="containsText" dxfId="0" priority="1500" operator="between" text="欠">
      <formula>NOT(ISERROR(SEARCH("欠",R559)))</formula>
    </cfRule>
  </conditionalFormatting>
  <conditionalFormatting sqref="S560 S876">
    <cfRule type="containsText" dxfId="0" priority="6139" operator="between" text="欠">
      <formula>NOT(ISERROR(SEARCH("欠",S560)))</formula>
    </cfRule>
    <cfRule type="cellIs" dxfId="0" priority="6140" operator="equal">
      <formula>"欠"</formula>
    </cfRule>
  </conditionalFormatting>
  <conditionalFormatting sqref="AE560 AE876">
    <cfRule type="cellIs" dxfId="2" priority="6137" operator="equal">
      <formula>"未完成"</formula>
    </cfRule>
    <cfRule type="cellIs" dxfId="0" priority="6138" operator="equal">
      <formula>"未完成"</formula>
    </cfRule>
  </conditionalFormatting>
  <conditionalFormatting sqref="R575:R577 R942:R944 R949 R951:R958">
    <cfRule type="containsText" dxfId="0" priority="46" operator="between" text="欠">
      <formula>NOT(ISERROR(SEARCH("欠",R575)))</formula>
    </cfRule>
  </conditionalFormatting>
  <conditionalFormatting sqref="T581:U581 T582 T942:T944 T949:T958">
    <cfRule type="containsText" dxfId="0" priority="70" operator="between" text="欠">
      <formula>NOT(ISERROR(SEARCH("欠",T581)))</formula>
    </cfRule>
    <cfRule type="cellIs" dxfId="0" priority="76" operator="equal">
      <formula>"欠"</formula>
    </cfRule>
  </conditionalFormatting>
  <conditionalFormatting sqref="X581:X582 X950:X956">
    <cfRule type="cellIs" dxfId="0" priority="100" operator="equal">
      <formula>"欠"</formula>
    </cfRule>
  </conditionalFormatting>
  <conditionalFormatting sqref="U583 T585:U586">
    <cfRule type="containsText" dxfId="0" priority="2234" operator="between" text="欠">
      <formula>NOT(ISERROR(SEARCH("欠",T583)))</formula>
    </cfRule>
    <cfRule type="cellIs" dxfId="0" priority="2251" operator="equal">
      <formula>"欠"</formula>
    </cfRule>
  </conditionalFormatting>
  <conditionalFormatting sqref="T584:U586">
    <cfRule type="containsText" dxfId="0" priority="319" operator="between" text="欠">
      <formula>NOT(ISERROR(SEARCH("欠",T584)))</formula>
    </cfRule>
    <cfRule type="cellIs" dxfId="0" priority="331" operator="equal">
      <formula>"欠"</formula>
    </cfRule>
  </conditionalFormatting>
  <conditionalFormatting sqref="S586 S654">
    <cfRule type="containsText" dxfId="0" priority="2393" operator="between" text="欠">
      <formula>NOT(ISERROR(SEARCH("欠",S586)))</formula>
    </cfRule>
    <cfRule type="cellIs" dxfId="0" priority="2396" operator="equal">
      <formula>"欠"</formula>
    </cfRule>
  </conditionalFormatting>
  <conditionalFormatting sqref="T586:U586 T640:U642 T687:U689 T732:U732 T747:U749">
    <cfRule type="containsText" dxfId="0" priority="2420" operator="between" text="欠">
      <formula>NOT(ISERROR(SEARCH("欠",T586)))</formula>
    </cfRule>
    <cfRule type="cellIs" dxfId="0" priority="2423" operator="equal">
      <formula>"欠"</formula>
    </cfRule>
  </conditionalFormatting>
  <conditionalFormatting sqref="V586 V654">
    <cfRule type="containsText" dxfId="0" priority="2384" operator="between" text="欠">
      <formula>NOT(ISERROR(SEARCH("欠",V586)))</formula>
    </cfRule>
    <cfRule type="containsText" dxfId="1" priority="2387" operator="between" text="欠">
      <formula>NOT(ISERROR(SEARCH("欠",V586)))</formula>
    </cfRule>
    <cfRule type="cellIs" dxfId="0" priority="2390" operator="equal">
      <formula>"欠"</formula>
    </cfRule>
  </conditionalFormatting>
  <conditionalFormatting sqref="AE586 AE640:AE642 AE663:AE664 AE666 AE697 AE725 AE742">
    <cfRule type="cellIs" dxfId="2" priority="2402" operator="equal">
      <formula>"未完成"</formula>
    </cfRule>
    <cfRule type="cellIs" dxfId="0" priority="2405" operator="equal">
      <formula>"未完成"</formula>
    </cfRule>
  </conditionalFormatting>
  <conditionalFormatting sqref="X595:X596 X643">
    <cfRule type="cellIs" dxfId="0" priority="1253" operator="equal">
      <formula>"欠"</formula>
    </cfRule>
  </conditionalFormatting>
  <conditionalFormatting sqref="T608:U609">
    <cfRule type="containsText" dxfId="0" priority="2236" operator="between" text="欠">
      <formula>NOT(ISERROR(SEARCH("欠",T608)))</formula>
    </cfRule>
    <cfRule type="cellIs" dxfId="0" priority="2253" operator="equal">
      <formula>"欠"</formula>
    </cfRule>
  </conditionalFormatting>
  <conditionalFormatting sqref="X617 X872">
    <cfRule type="cellIs" dxfId="0" priority="1624" operator="equal">
      <formula>"欠"</formula>
    </cfRule>
  </conditionalFormatting>
  <conditionalFormatting sqref="R625 R627:R628 R663">
    <cfRule type="containsText" dxfId="0" priority="408" operator="between" text="欠">
      <formula>NOT(ISERROR(SEARCH("欠",R625)))</formula>
    </cfRule>
  </conditionalFormatting>
  <conditionalFormatting sqref="R639:R641 R674 R762:R763 R791:R792 R855">
    <cfRule type="containsText" dxfId="0" priority="3876" operator="between" text="欠">
      <formula>NOT(ISERROR(SEARCH("欠",R639)))</formula>
    </cfRule>
  </conditionalFormatting>
  <conditionalFormatting sqref="T639:U639 T640:T644 T700">
    <cfRule type="containsText" dxfId="0" priority="314" operator="between" text="欠">
      <formula>NOT(ISERROR(SEARCH("欠",T639)))</formula>
    </cfRule>
    <cfRule type="cellIs" dxfId="0" priority="326" operator="equal">
      <formula>"欠"</formula>
    </cfRule>
  </conditionalFormatting>
  <conditionalFormatting sqref="AE640:AE641 AE667 AE682:AE684 AE691:AE696 AE698:AE701 AE728:AE731 AE744 AE769 AE776 AE786 AE822 AE827 AE846:AE856 AE860:AE866 AE882 AE889:AE897 AE910:AE916 AE918:AE920 AE922 AE940:AE942 AE949:AE956">
    <cfRule type="cellIs" dxfId="2" priority="292" operator="equal">
      <formula>"未完成"</formula>
    </cfRule>
    <cfRule type="cellIs" dxfId="0" priority="304" operator="equal">
      <formula>"未完成"</formula>
    </cfRule>
  </conditionalFormatting>
  <conditionalFormatting sqref="U656 U682">
    <cfRule type="containsText" dxfId="0" priority="316" operator="between" text="欠">
      <formula>NOT(ISERROR(SEARCH("欠",U656)))</formula>
    </cfRule>
    <cfRule type="cellIs" dxfId="0" priority="328" operator="equal">
      <formula>"欠"</formula>
    </cfRule>
  </conditionalFormatting>
  <conditionalFormatting sqref="R663:R664 R688:R689 R721:R722 R752:R754 R774">
    <cfRule type="containsText" dxfId="0" priority="1934" operator="between" text="欠">
      <formula>NOT(ISERROR(SEARCH("欠",R663)))</formula>
    </cfRule>
  </conditionalFormatting>
  <conditionalFormatting sqref="S663:S664 S669 S693 S748:S749">
    <cfRule type="containsText" dxfId="0" priority="1942" operator="between" text="欠">
      <formula>NOT(ISERROR(SEARCH("欠",S663)))</formula>
    </cfRule>
    <cfRule type="cellIs" dxfId="0" priority="1943" operator="equal">
      <formula>"欠"</formula>
    </cfRule>
  </conditionalFormatting>
  <conditionalFormatting sqref="V663:W663 V664 V669 V688:V689 V748:V749">
    <cfRule type="containsText" dxfId="0" priority="1938" operator="between" text="欠">
      <formula>NOT(ISERROR(SEARCH("欠",V663)))</formula>
    </cfRule>
    <cfRule type="containsText" dxfId="1" priority="1939" operator="between" text="欠">
      <formula>NOT(ISERROR(SEARCH("欠",V663)))</formula>
    </cfRule>
    <cfRule type="cellIs" dxfId="0" priority="1940" operator="equal">
      <formula>"欠"</formula>
    </cfRule>
  </conditionalFormatting>
  <conditionalFormatting sqref="X663:X664 X688:X689 X732 X748:X749">
    <cfRule type="cellIs" dxfId="0" priority="1941" operator="equal">
      <formula>"欠"</formula>
    </cfRule>
  </conditionalFormatting>
  <conditionalFormatting sqref="T666:U666 T689">
    <cfRule type="containsText" dxfId="0" priority="3714" operator="between" text="欠">
      <formula>NOT(ISERROR(SEARCH("欠",T666)))</formula>
    </cfRule>
    <cfRule type="cellIs" dxfId="0" priority="3730" operator="equal">
      <formula>"欠"</formula>
    </cfRule>
  </conditionalFormatting>
  <conditionalFormatting sqref="AE666 AE703:AE707 AE786">
    <cfRule type="cellIs" dxfId="2" priority="3682" operator="equal">
      <formula>"未完成"</formula>
    </cfRule>
    <cfRule type="cellIs" dxfId="0" priority="3698" operator="equal">
      <formula>"未完成"</formula>
    </cfRule>
  </conditionalFormatting>
  <conditionalFormatting sqref="AE697 AE802:AE803">
    <cfRule type="cellIs" dxfId="2" priority="674" operator="equal">
      <formula>"未完成"</formula>
    </cfRule>
    <cfRule type="cellIs" dxfId="0" priority="692" operator="equal">
      <formula>"未完成"</formula>
    </cfRule>
  </conditionalFormatting>
  <conditionalFormatting sqref="AE743:AE745 AE813 AE815:AE818 AE821:AE824 AE826:AE829 AE841:AE843 AE847:AE862 AE864 AE873:AE875 AE878:AE886 AE889:AE898 AE905:AE910 AE913:AE915 AE919 AE922:AE924 AE930:AE960">
    <cfRule type="cellIs" dxfId="2" priority="15030" operator="equal">
      <formula>"未完成"</formula>
    </cfRule>
    <cfRule type="cellIs" dxfId="0" priority="15031" operator="equal">
      <formula>"未完成"</formula>
    </cfRule>
  </conditionalFormatting>
  <conditionalFormatting sqref="AE769 AE820:AE823 AE895">
    <cfRule type="cellIs" dxfId="2" priority="657" operator="equal">
      <formula>"未完成"</formula>
    </cfRule>
    <cfRule type="cellIs" dxfId="0" priority="675" operator="equal">
      <formula>"未完成"</formula>
    </cfRule>
  </conditionalFormatting>
  <conditionalFormatting sqref="R775:W776 R778:W780 S783:W784 R785:S785 U785:W786 T787:W789 S791:W791 R793:W793 R795:W799 U801 W801 U802 W802 U803 W803 S804 U804:W804 R805:W805 R806:S806 U806:W806 R807:S807 U807:W807 R808:S808 U808:W808 R809:S809 U809:W809 R810:S810 U810:W810 R811 U811:W811 R812:S812 U812:W812 R813:S813 U813:W813 S814 U814:W814 R815:W816 S817:U817 W817 S818:U818 W818 S819:W819 R820:U820 W820 R821:U821 W821 T822:W822 R823 T823:W823 R824 T824:W824 R825:W825 R826:S826 U826:W826 R827 T827:W827 R828 T828:W828 R829:W830 R831 U831:W831 R833:W851 R852 T852:W852 R853 T853:W853 R854 T854:W854 R855 T855:W855 R856:W863 R864 T864:W864 R865 T865:W865 R866 T866:W866 R867 T867:W867 R868 U868:W868 R869 T869:W869 R870 T870:W870 R871 T871:W871 R872:W872 R873 T873:W873 R876 T876:W876 R877:W877 R878 T878:W878 R879 T879:W879 R880:W883 R884 T884:W884 R885:W886 R887 T887:W887 R888:W894 R895 T895:W895 R896 T896:W896 R897 T897:W897 R898 U898:W898 R899 T899:W899 R900:W902 R903 T903:W903 R904:W908 R909 T909:W909 R910:W914 R915 T915:W915 R916 T916:W916 R917:U917 W917 R918:W919 R920 T920:W920 R922 T922:W922 R923 T923:U923 W923 R925:W926 R927 T927:W927 R928:U928 W928 R929:U929 W929 R930 T930:W930 R932:U932 W932 R933 T933:U933 W933 R934:U934 W934 R935:W936 R937:U937 W937 U938:W939 R940 T940:W940 R941:W947 R948 T948:W948 R949:W951">
    <cfRule type="cellIs" dxfId="0" priority="9938" operator="equal">
      <formula>"欠"</formula>
    </cfRule>
  </conditionalFormatting>
  <conditionalFormatting sqref="R799 R805:R813 R840:R845 R887:R891 R896:R897 R918:R919 R923 R932:R933 R941:R950">
    <cfRule type="containsText" dxfId="0" priority="2428" operator="between" text="欠">
      <formula>NOT(ISERROR(SEARCH("欠",R799)))</formula>
    </cfRule>
  </conditionalFormatting>
  <conditionalFormatting sqref="T799:U799 T805:U805 U806:U808 T836:T845 T887:T890 T918:T919 T932:T933 T941:T949">
    <cfRule type="containsText" dxfId="0" priority="2448" operator="between" text="欠">
      <formula>NOT(ISERROR(SEARCH("欠",T799)))</formula>
    </cfRule>
    <cfRule type="cellIs" dxfId="0" priority="2453" operator="equal">
      <formula>"欠"</formula>
    </cfRule>
  </conditionalFormatting>
  <conditionalFormatting sqref="V801:W807 V808:V811 W819 V836:V845 V887:V890 V918:V919 V932:V933 V941:V949">
    <cfRule type="containsText" dxfId="0" priority="2458" operator="between" text="欠">
      <formula>NOT(ISERROR(SEARCH("欠",V801)))</formula>
    </cfRule>
    <cfRule type="containsText" dxfId="1" priority="2463" operator="between" text="欠">
      <formula>NOT(ISERROR(SEARCH("欠",V801)))</formula>
    </cfRule>
    <cfRule type="cellIs" dxfId="0" priority="2468" operator="equal">
      <formula>"欠"</formula>
    </cfRule>
  </conditionalFormatting>
  <conditionalFormatting sqref="S805:S811 S836:S845 S886 S889:S890 S918:S919 S932:S933 S941:S950">
    <cfRule type="containsText" dxfId="0" priority="2478" operator="between" text="欠">
      <formula>NOT(ISERROR(SEARCH("欠",S805)))</formula>
    </cfRule>
    <cfRule type="cellIs" dxfId="0" priority="2483" operator="equal">
      <formula>"欠"</formula>
    </cfRule>
  </conditionalFormatting>
  <conditionalFormatting sqref="T805:U805 U870 T872:U872">
    <cfRule type="containsText" dxfId="0" priority="3704" operator="between" text="欠">
      <formula>NOT(ISERROR(SEARCH("欠",T805)))</formula>
    </cfRule>
    <cfRule type="cellIs" dxfId="0" priority="3720" operator="equal">
      <formula>"欠"</formula>
    </cfRule>
  </conditionalFormatting>
  <dataValidations count="1">
    <dataValidation type="list" allowBlank="1" showInputMessage="1" showErrorMessage="1" sqref="AG81 AG93 AG121 AG144 AG776 R970:R973 AF961:AF969 AF974:AF1048576 AI170:AI171">
      <formula1>"未完成,已完成,OK"</formula1>
    </dataValidation>
  </dataValidations>
  <pageMargins left="0.0777777777777778" right="0.118055555555556" top="0.196527777777778" bottom="0.196527777777778" header="0.15625" footer="0.0777777777777778"/>
  <pageSetup paperSize="9" scale="55" orientation="landscape" horizontalDpi="600"/>
  <headerFooter/>
  <ignoredErrors>
    <ignoredError sqref="D774:E774" numberStoredAsText="1"/>
    <ignoredError sqref="BA1 A1:AE1 AG1:AU1 AW1:AX1 BC1:CO1" formula="1"/>
  </ignoredErrors>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G268"/>
  <sheetViews>
    <sheetView zoomScale="80" zoomScaleNormal="80" workbookViewId="0">
      <pane xSplit="14" ySplit="1" topLeftCell="AH114" activePane="bottomRight" state="frozen"/>
      <selection/>
      <selection pane="topRight"/>
      <selection pane="bottomLeft"/>
      <selection pane="bottomRight" activeCell="F114" sqref="$A1:$XFD1048576"/>
    </sheetView>
  </sheetViews>
  <sheetFormatPr defaultColWidth="9" defaultRowHeight="13.5"/>
  <cols>
    <col min="1" max="1" width="10.025" customWidth="1"/>
    <col min="2" max="2" width="12.2833333333333" customWidth="1"/>
    <col min="3" max="3" width="8.03333333333333" customWidth="1"/>
    <col min="4" max="4" width="12.4166666666667" customWidth="1"/>
    <col min="5" max="6" width="18.5916666666667" customWidth="1"/>
    <col min="7" max="7" width="13.3416666666667" customWidth="1"/>
    <col min="8" max="8" width="34.5833333333333" customWidth="1"/>
    <col min="9" max="9" width="6.38333333333333" customWidth="1"/>
    <col min="10" max="11" width="8.225" customWidth="1"/>
    <col min="12" max="12" width="6.175" customWidth="1"/>
    <col min="13" max="14" width="15.95" customWidth="1"/>
    <col min="15" max="15" width="17.2666666666667" customWidth="1"/>
    <col min="16" max="16" width="8.03333333333333" customWidth="1"/>
    <col min="17" max="17" width="8.38333333333333" customWidth="1"/>
    <col min="18" max="18" width="7.16666666666667" customWidth="1"/>
    <col min="19" max="19" width="8.03333333333333" customWidth="1"/>
    <col min="20" max="20" width="11.2" customWidth="1"/>
    <col min="21" max="21" width="8.03333333333333" customWidth="1"/>
    <col min="22" max="22" width="4.31666666666667" customWidth="1"/>
    <col min="23" max="23" width="8.03333333333333" customWidth="1"/>
    <col min="24" max="24" width="11.2" customWidth="1"/>
    <col min="25" max="26" width="7.775" customWidth="1"/>
    <col min="27" max="27" width="6.175" customWidth="1"/>
    <col min="28" max="32" width="8.03333333333333" customWidth="1"/>
    <col min="33" max="33" width="4.31666666666667" customWidth="1"/>
    <col min="34" max="34" width="8.225" customWidth="1"/>
    <col min="35" max="35" width="4.24166666666667" customWidth="1"/>
    <col min="36" max="36" width="4.31666666666667" customWidth="1"/>
    <col min="37" max="38" width="8.65" customWidth="1"/>
    <col min="39" max="41" width="8.38333333333333" customWidth="1"/>
    <col min="42" max="44" width="8.03333333333333" customWidth="1"/>
    <col min="45" max="51" width="8.525" customWidth="1"/>
    <col min="52" max="55" width="6.65" customWidth="1"/>
    <col min="56" max="56" width="7.38333333333333" customWidth="1"/>
    <col min="66" max="66" width="10.3833333333333"/>
    <col min="77" max="77" width="10.3833333333333"/>
  </cols>
  <sheetData>
    <row r="1" s="283" customFormat="1" ht="44" customHeight="1" spans="1:100">
      <c r="A1" s="303" t="s">
        <v>0</v>
      </c>
      <c r="B1" s="304" t="s">
        <v>1</v>
      </c>
      <c r="C1" s="304" t="s">
        <v>2</v>
      </c>
      <c r="D1" s="304" t="s">
        <v>3</v>
      </c>
      <c r="E1" s="305" t="s">
        <v>4</v>
      </c>
      <c r="F1" s="305" t="s">
        <v>5</v>
      </c>
      <c r="G1" s="304" t="s">
        <v>6</v>
      </c>
      <c r="H1" s="304" t="s">
        <v>7</v>
      </c>
      <c r="I1" s="304" t="s">
        <v>8</v>
      </c>
      <c r="J1" s="304" t="s">
        <v>9</v>
      </c>
      <c r="K1" s="304" t="s">
        <v>10</v>
      </c>
      <c r="L1" s="304" t="s">
        <v>11</v>
      </c>
      <c r="M1" s="306" t="s">
        <v>12</v>
      </c>
      <c r="N1" s="306" t="s">
        <v>13</v>
      </c>
      <c r="O1" s="307" t="s">
        <v>15</v>
      </c>
      <c r="P1" s="307" t="s">
        <v>16</v>
      </c>
      <c r="Q1" s="304" t="s">
        <v>17</v>
      </c>
      <c r="R1" s="308" t="s">
        <v>22</v>
      </c>
      <c r="S1" s="308" t="s">
        <v>23</v>
      </c>
      <c r="T1" s="308" t="s">
        <v>24</v>
      </c>
      <c r="U1" s="308" t="s">
        <v>25</v>
      </c>
      <c r="V1" s="309" t="s">
        <v>26</v>
      </c>
      <c r="W1" s="308" t="s">
        <v>27</v>
      </c>
      <c r="X1" s="310" t="s">
        <v>28</v>
      </c>
      <c r="Y1" s="304" t="s">
        <v>29</v>
      </c>
      <c r="Z1" s="311" t="s">
        <v>30</v>
      </c>
      <c r="AA1" s="312" t="s">
        <v>31</v>
      </c>
      <c r="AB1" s="313" t="s">
        <v>32</v>
      </c>
      <c r="AC1" s="307" t="s">
        <v>33</v>
      </c>
      <c r="AD1" s="307" t="s">
        <v>34</v>
      </c>
      <c r="AE1" s="314" t="s">
        <v>35</v>
      </c>
      <c r="AF1" s="314" t="s">
        <v>18</v>
      </c>
      <c r="AG1" s="314" t="s">
        <v>19</v>
      </c>
      <c r="AH1" s="314" t="s">
        <v>20</v>
      </c>
      <c r="AI1" s="315" t="s">
        <v>6780</v>
      </c>
      <c r="AJ1" s="315" t="s">
        <v>21</v>
      </c>
      <c r="AK1" s="316" t="s">
        <v>36</v>
      </c>
      <c r="AL1" s="316" t="s">
        <v>37</v>
      </c>
      <c r="AM1" s="316" t="s">
        <v>38</v>
      </c>
      <c r="AN1" s="316" t="s">
        <v>39</v>
      </c>
      <c r="AO1" s="317" t="s">
        <v>41</v>
      </c>
      <c r="AP1" s="318" t="s">
        <v>42</v>
      </c>
      <c r="AQ1" s="317" t="s">
        <v>43</v>
      </c>
      <c r="AR1" s="319" t="s">
        <v>44</v>
      </c>
      <c r="AS1" s="316" t="s">
        <v>46</v>
      </c>
      <c r="AT1" s="320" t="s">
        <v>47</v>
      </c>
      <c r="AU1" s="321" t="s">
        <v>48</v>
      </c>
      <c r="AV1" s="321" t="s">
        <v>49</v>
      </c>
      <c r="AW1" s="316" t="s">
        <v>51</v>
      </c>
      <c r="AX1" s="316" t="s">
        <v>52</v>
      </c>
      <c r="AY1" s="317" t="s">
        <v>53</v>
      </c>
      <c r="AZ1" s="317" t="s">
        <v>54</v>
      </c>
      <c r="BA1" s="317" t="s">
        <v>55</v>
      </c>
      <c r="BB1" s="317" t="s">
        <v>56</v>
      </c>
      <c r="BC1" s="317" t="s">
        <v>57</v>
      </c>
      <c r="BD1" s="317" t="s">
        <v>58</v>
      </c>
      <c r="BE1" s="317" t="s">
        <v>59</v>
      </c>
      <c r="BF1" s="317" t="s">
        <v>45</v>
      </c>
      <c r="BG1" s="317" t="s">
        <v>60</v>
      </c>
      <c r="BH1" s="316" t="s">
        <v>61</v>
      </c>
      <c r="BI1" s="317" t="s">
        <v>62</v>
      </c>
      <c r="BJ1" s="316" t="s">
        <v>6781</v>
      </c>
      <c r="BK1" s="322" t="s">
        <v>6782</v>
      </c>
      <c r="BL1" s="323" t="s">
        <v>66</v>
      </c>
      <c r="BM1" s="324" t="s">
        <v>67</v>
      </c>
      <c r="BN1" s="325" t="s">
        <v>68</v>
      </c>
      <c r="BO1" s="324" t="s">
        <v>69</v>
      </c>
      <c r="BP1" s="324" t="s">
        <v>70</v>
      </c>
      <c r="BQ1" s="324" t="s">
        <v>71</v>
      </c>
      <c r="BR1" s="326" t="s">
        <v>72</v>
      </c>
      <c r="BS1" s="316" t="s">
        <v>73</v>
      </c>
      <c r="BT1" s="316" t="s">
        <v>74</v>
      </c>
      <c r="BU1" s="323" t="s">
        <v>75</v>
      </c>
      <c r="BV1" s="316" t="s">
        <v>76</v>
      </c>
      <c r="BW1" s="316" t="s">
        <v>77</v>
      </c>
      <c r="BX1" s="327" t="s">
        <v>78</v>
      </c>
      <c r="BY1" s="328" t="s">
        <v>79</v>
      </c>
      <c r="BZ1" s="316" t="s">
        <v>80</v>
      </c>
      <c r="CA1" s="316" t="s">
        <v>81</v>
      </c>
      <c r="CB1" s="329" t="s">
        <v>82</v>
      </c>
      <c r="CC1" s="329" t="s">
        <v>83</v>
      </c>
      <c r="CD1" s="330" t="s">
        <v>84</v>
      </c>
      <c r="CE1" s="330" t="s">
        <v>85</v>
      </c>
      <c r="CF1" s="316" t="s">
        <v>86</v>
      </c>
      <c r="CG1" s="316" t="s">
        <v>87</v>
      </c>
      <c r="CH1" s="316" t="s">
        <v>88</v>
      </c>
    </row>
    <row r="2" s="284" customFormat="1" ht="31" customHeight="1" spans="1:100">
      <c r="A2" s="331">
        <v>46031</v>
      </c>
      <c r="B2" s="332" t="s">
        <v>1567</v>
      </c>
      <c r="C2" s="333" t="s">
        <v>115</v>
      </c>
      <c r="D2" s="334" t="s">
        <v>6783</v>
      </c>
      <c r="E2" s="333" t="s">
        <v>1569</v>
      </c>
      <c r="F2" s="334" t="s">
        <v>6784</v>
      </c>
      <c r="G2" s="335" t="s">
        <v>4015</v>
      </c>
      <c r="H2" s="333" t="s">
        <v>4016</v>
      </c>
      <c r="I2" s="333">
        <v>0</v>
      </c>
      <c r="J2" s="333">
        <v>0</v>
      </c>
      <c r="K2" s="333">
        <v>16</v>
      </c>
      <c r="L2" s="336">
        <f t="shared" ref="L2:L10" si="0">I2/K2</f>
        <v>0</v>
      </c>
      <c r="M2" s="337">
        <v>46094</v>
      </c>
      <c r="N2" s="337">
        <f>M2-4</f>
        <v>46090</v>
      </c>
      <c r="O2" s="332" t="s">
        <v>6785</v>
      </c>
      <c r="P2" s="338"/>
      <c r="Q2" s="338"/>
      <c r="R2" s="333" t="s">
        <v>3064</v>
      </c>
      <c r="S2" s="339" t="s">
        <v>95</v>
      </c>
      <c r="T2" s="339" t="s">
        <v>2962</v>
      </c>
      <c r="U2" s="339"/>
      <c r="V2" s="339"/>
      <c r="W2" s="339" t="s">
        <v>6786</v>
      </c>
      <c r="X2" s="337" t="s">
        <v>354</v>
      </c>
      <c r="Y2" s="340"/>
      <c r="Z2" s="340"/>
      <c r="AA2" s="341"/>
      <c r="AB2" s="342"/>
      <c r="AC2" s="333" t="s">
        <v>273</v>
      </c>
      <c r="AD2" s="333"/>
      <c r="AE2" s="333"/>
      <c r="AF2" s="333"/>
      <c r="AG2" s="333"/>
      <c r="AH2" s="338"/>
      <c r="AI2" s="338"/>
      <c r="AJ2" s="333"/>
      <c r="AK2" s="333">
        <f t="shared" ref="AK2:AK10" si="1">I2</f>
        <v>0</v>
      </c>
      <c r="AL2" s="343">
        <f t="shared" ref="AL2:AL8" si="2">I2</f>
        <v>0</v>
      </c>
      <c r="AM2" s="344"/>
      <c r="AN2" s="344"/>
      <c r="AO2" s="343">
        <f t="shared" ref="AO2:AO8" si="3">I2</f>
        <v>0</v>
      </c>
      <c r="AP2" s="344"/>
      <c r="AQ2" s="344"/>
      <c r="AR2" s="334"/>
      <c r="AS2" s="334"/>
      <c r="AT2" s="344"/>
      <c r="AU2" s="344"/>
      <c r="AV2" s="343">
        <f t="shared" ref="AV2:AV8" si="4">I2/16</f>
        <v>0</v>
      </c>
      <c r="AW2" s="334"/>
    </row>
    <row r="3" s="284" customFormat="1" ht="31" customHeight="1" spans="1:100">
      <c r="A3" s="331">
        <v>46031</v>
      </c>
      <c r="B3" s="332" t="s">
        <v>1567</v>
      </c>
      <c r="C3" s="333" t="s">
        <v>115</v>
      </c>
      <c r="D3" s="334" t="s">
        <v>6783</v>
      </c>
      <c r="E3" s="333" t="s">
        <v>1569</v>
      </c>
      <c r="F3" s="334" t="s">
        <v>6787</v>
      </c>
      <c r="G3" s="335" t="s">
        <v>4015</v>
      </c>
      <c r="H3" s="333" t="s">
        <v>4016</v>
      </c>
      <c r="I3" s="333">
        <v>0</v>
      </c>
      <c r="J3" s="333">
        <v>0</v>
      </c>
      <c r="K3" s="333">
        <v>16</v>
      </c>
      <c r="L3" s="336">
        <f t="shared" si="0"/>
        <v>0</v>
      </c>
      <c r="M3" s="337">
        <v>46104</v>
      </c>
      <c r="N3" s="337">
        <f>M3-4</f>
        <v>46100</v>
      </c>
      <c r="O3" s="332" t="s">
        <v>6785</v>
      </c>
      <c r="P3" s="338"/>
      <c r="Q3" s="338"/>
      <c r="R3" s="333" t="s">
        <v>3064</v>
      </c>
      <c r="S3" s="339" t="s">
        <v>95</v>
      </c>
      <c r="T3" s="339" t="s">
        <v>2962</v>
      </c>
      <c r="U3" s="339"/>
      <c r="V3" s="339"/>
      <c r="W3" s="339" t="s">
        <v>6786</v>
      </c>
      <c r="X3" s="337" t="s">
        <v>354</v>
      </c>
      <c r="Y3" s="340"/>
      <c r="Z3" s="340"/>
      <c r="AA3" s="341"/>
      <c r="AB3" s="342"/>
      <c r="AC3" s="333" t="s">
        <v>273</v>
      </c>
      <c r="AD3" s="333"/>
      <c r="AE3" s="333"/>
      <c r="AF3" s="333"/>
      <c r="AG3" s="333"/>
      <c r="AH3" s="338"/>
      <c r="AI3" s="338"/>
      <c r="AJ3" s="333"/>
      <c r="AK3" s="333">
        <f t="shared" si="1"/>
        <v>0</v>
      </c>
      <c r="AL3" s="343">
        <f t="shared" si="2"/>
        <v>0</v>
      </c>
      <c r="AM3" s="344"/>
      <c r="AN3" s="344"/>
      <c r="AO3" s="343">
        <f t="shared" si="3"/>
        <v>0</v>
      </c>
      <c r="AP3" s="344"/>
      <c r="AQ3" s="344"/>
      <c r="AR3" s="334"/>
      <c r="AS3" s="334"/>
      <c r="AT3" s="344"/>
      <c r="AU3" s="344"/>
      <c r="AV3" s="343">
        <f t="shared" si="4"/>
        <v>0</v>
      </c>
      <c r="AW3" s="334"/>
    </row>
    <row r="4" s="284" customFormat="1" ht="31" customHeight="1" spans="1:100">
      <c r="A4" s="331">
        <v>46031</v>
      </c>
      <c r="B4" s="332" t="s">
        <v>1567</v>
      </c>
      <c r="C4" s="333" t="s">
        <v>115</v>
      </c>
      <c r="D4" s="334" t="s">
        <v>6783</v>
      </c>
      <c r="E4" s="333" t="s">
        <v>1569</v>
      </c>
      <c r="F4" s="334" t="s">
        <v>6788</v>
      </c>
      <c r="G4" s="335" t="s">
        <v>4015</v>
      </c>
      <c r="H4" s="333" t="s">
        <v>4016</v>
      </c>
      <c r="I4" s="333">
        <v>0</v>
      </c>
      <c r="J4" s="333">
        <v>0</v>
      </c>
      <c r="K4" s="333">
        <v>16</v>
      </c>
      <c r="L4" s="336">
        <f t="shared" si="0"/>
        <v>0</v>
      </c>
      <c r="M4" s="337">
        <v>46107</v>
      </c>
      <c r="N4" s="337">
        <f>M4-3</f>
        <v>46104</v>
      </c>
      <c r="O4" s="332" t="s">
        <v>6785</v>
      </c>
      <c r="P4" s="338"/>
      <c r="Q4" s="338"/>
      <c r="R4" s="333" t="s">
        <v>3064</v>
      </c>
      <c r="S4" s="339" t="s">
        <v>95</v>
      </c>
      <c r="T4" s="339" t="s">
        <v>2962</v>
      </c>
      <c r="U4" s="339"/>
      <c r="V4" s="339"/>
      <c r="W4" s="339" t="s">
        <v>6786</v>
      </c>
      <c r="X4" s="337" t="s">
        <v>354</v>
      </c>
      <c r="Y4" s="340"/>
      <c r="Z4" s="340"/>
      <c r="AA4" s="341"/>
      <c r="AB4" s="342"/>
      <c r="AC4" s="333" t="s">
        <v>273</v>
      </c>
      <c r="AD4" s="333"/>
      <c r="AE4" s="333"/>
      <c r="AF4" s="333"/>
      <c r="AG4" s="333"/>
      <c r="AH4" s="338"/>
      <c r="AI4" s="338"/>
      <c r="AJ4" s="333"/>
      <c r="AK4" s="333">
        <f t="shared" si="1"/>
        <v>0</v>
      </c>
      <c r="AL4" s="343">
        <f t="shared" si="2"/>
        <v>0</v>
      </c>
      <c r="AM4" s="344"/>
      <c r="AN4" s="344"/>
      <c r="AO4" s="343">
        <f t="shared" si="3"/>
        <v>0</v>
      </c>
      <c r="AP4" s="344"/>
      <c r="AQ4" s="344"/>
      <c r="AR4" s="334"/>
      <c r="AS4" s="334"/>
      <c r="AT4" s="344"/>
      <c r="AU4" s="344"/>
      <c r="AV4" s="343">
        <f t="shared" si="4"/>
        <v>0</v>
      </c>
      <c r="AW4" s="334"/>
    </row>
    <row r="5" s="284" customFormat="1" ht="31" customHeight="1" spans="1:100">
      <c r="A5" s="331">
        <v>46031</v>
      </c>
      <c r="B5" s="332" t="s">
        <v>1567</v>
      </c>
      <c r="C5" s="333" t="s">
        <v>115</v>
      </c>
      <c r="D5" s="334" t="s">
        <v>6783</v>
      </c>
      <c r="E5" s="333" t="s">
        <v>1569</v>
      </c>
      <c r="F5" s="334" t="s">
        <v>6789</v>
      </c>
      <c r="G5" s="335" t="s">
        <v>4015</v>
      </c>
      <c r="H5" s="333" t="s">
        <v>4016</v>
      </c>
      <c r="I5" s="333">
        <v>0</v>
      </c>
      <c r="J5" s="333">
        <v>0</v>
      </c>
      <c r="K5" s="333">
        <v>16</v>
      </c>
      <c r="L5" s="336">
        <f t="shared" si="0"/>
        <v>0</v>
      </c>
      <c r="M5" s="337">
        <v>46108</v>
      </c>
      <c r="N5" s="337">
        <f>M5-4</f>
        <v>46104</v>
      </c>
      <c r="O5" s="332" t="s">
        <v>6785</v>
      </c>
      <c r="P5" s="338"/>
      <c r="Q5" s="338"/>
      <c r="R5" s="333" t="s">
        <v>3064</v>
      </c>
      <c r="S5" s="339" t="s">
        <v>95</v>
      </c>
      <c r="T5" s="339" t="s">
        <v>2962</v>
      </c>
      <c r="U5" s="339"/>
      <c r="V5" s="339"/>
      <c r="W5" s="339" t="s">
        <v>6786</v>
      </c>
      <c r="X5" s="337" t="s">
        <v>354</v>
      </c>
      <c r="Y5" s="340"/>
      <c r="Z5" s="340"/>
      <c r="AA5" s="341"/>
      <c r="AB5" s="342"/>
      <c r="AC5" s="333" t="s">
        <v>273</v>
      </c>
      <c r="AD5" s="333"/>
      <c r="AE5" s="333"/>
      <c r="AF5" s="333"/>
      <c r="AG5" s="333"/>
      <c r="AH5" s="338"/>
      <c r="AI5" s="338"/>
      <c r="AJ5" s="333"/>
      <c r="AK5" s="333">
        <f t="shared" si="1"/>
        <v>0</v>
      </c>
      <c r="AL5" s="343">
        <f t="shared" si="2"/>
        <v>0</v>
      </c>
      <c r="AM5" s="344"/>
      <c r="AN5" s="344"/>
      <c r="AO5" s="343">
        <f t="shared" si="3"/>
        <v>0</v>
      </c>
      <c r="AP5" s="344"/>
      <c r="AQ5" s="344"/>
      <c r="AR5" s="334"/>
      <c r="AS5" s="334"/>
      <c r="AT5" s="344"/>
      <c r="AU5" s="344"/>
      <c r="AV5" s="343">
        <f t="shared" si="4"/>
        <v>0</v>
      </c>
      <c r="AW5" s="334"/>
    </row>
    <row r="6" s="284" customFormat="1" ht="31" customHeight="1" spans="1:100">
      <c r="A6" s="331">
        <v>46031</v>
      </c>
      <c r="B6" s="332" t="s">
        <v>1567</v>
      </c>
      <c r="C6" s="333" t="s">
        <v>115</v>
      </c>
      <c r="D6" s="334" t="s">
        <v>6783</v>
      </c>
      <c r="E6" s="333" t="s">
        <v>1569</v>
      </c>
      <c r="F6" s="334" t="s">
        <v>6790</v>
      </c>
      <c r="G6" s="335" t="s">
        <v>4015</v>
      </c>
      <c r="H6" s="333" t="s">
        <v>4016</v>
      </c>
      <c r="I6" s="333">
        <v>0</v>
      </c>
      <c r="J6" s="333">
        <v>0</v>
      </c>
      <c r="K6" s="333">
        <v>16</v>
      </c>
      <c r="L6" s="336">
        <f t="shared" si="0"/>
        <v>0</v>
      </c>
      <c r="M6" s="337">
        <v>46111</v>
      </c>
      <c r="N6" s="337">
        <f>M6-4</f>
        <v>46107</v>
      </c>
      <c r="O6" s="332" t="s">
        <v>6785</v>
      </c>
      <c r="P6" s="338"/>
      <c r="Q6" s="338"/>
      <c r="R6" s="333" t="s">
        <v>3064</v>
      </c>
      <c r="S6" s="339" t="s">
        <v>95</v>
      </c>
      <c r="T6" s="339" t="s">
        <v>2962</v>
      </c>
      <c r="U6" s="339"/>
      <c r="V6" s="339"/>
      <c r="W6" s="339" t="s">
        <v>6786</v>
      </c>
      <c r="X6" s="337" t="s">
        <v>354</v>
      </c>
      <c r="Y6" s="340"/>
      <c r="Z6" s="340"/>
      <c r="AA6" s="341"/>
      <c r="AB6" s="342"/>
      <c r="AC6" s="333" t="s">
        <v>273</v>
      </c>
      <c r="AD6" s="333"/>
      <c r="AE6" s="333"/>
      <c r="AF6" s="333"/>
      <c r="AG6" s="333"/>
      <c r="AH6" s="338"/>
      <c r="AI6" s="338"/>
      <c r="AJ6" s="333"/>
      <c r="AK6" s="333">
        <f t="shared" si="1"/>
        <v>0</v>
      </c>
      <c r="AL6" s="343">
        <f t="shared" si="2"/>
        <v>0</v>
      </c>
      <c r="AM6" s="344"/>
      <c r="AN6" s="344"/>
      <c r="AO6" s="343">
        <f t="shared" si="3"/>
        <v>0</v>
      </c>
      <c r="AP6" s="344"/>
      <c r="AQ6" s="344"/>
      <c r="AR6" s="334"/>
      <c r="AS6" s="334"/>
      <c r="AT6" s="344"/>
      <c r="AU6" s="344"/>
      <c r="AV6" s="343">
        <f t="shared" si="4"/>
        <v>0</v>
      </c>
      <c r="AW6" s="334"/>
    </row>
    <row r="7" s="284" customFormat="1" ht="31" customHeight="1" spans="1:100">
      <c r="A7" s="331">
        <v>46031</v>
      </c>
      <c r="B7" s="332" t="s">
        <v>1567</v>
      </c>
      <c r="C7" s="333" t="s">
        <v>115</v>
      </c>
      <c r="D7" s="334" t="s">
        <v>6783</v>
      </c>
      <c r="E7" s="333" t="s">
        <v>1569</v>
      </c>
      <c r="F7" s="334" t="s">
        <v>6791</v>
      </c>
      <c r="G7" s="335" t="s">
        <v>4015</v>
      </c>
      <c r="H7" s="333" t="s">
        <v>4016</v>
      </c>
      <c r="I7" s="333">
        <v>0</v>
      </c>
      <c r="J7" s="333">
        <v>0</v>
      </c>
      <c r="K7" s="333">
        <v>16</v>
      </c>
      <c r="L7" s="336">
        <f t="shared" si="0"/>
        <v>0</v>
      </c>
      <c r="M7" s="337">
        <v>46118</v>
      </c>
      <c r="N7" s="337">
        <f>M7-4</f>
        <v>46114</v>
      </c>
      <c r="O7" s="332" t="s">
        <v>6785</v>
      </c>
      <c r="P7" s="338"/>
      <c r="Q7" s="338"/>
      <c r="R7" s="333" t="s">
        <v>3064</v>
      </c>
      <c r="S7" s="339" t="s">
        <v>95</v>
      </c>
      <c r="T7" s="339" t="s">
        <v>2962</v>
      </c>
      <c r="U7" s="339"/>
      <c r="V7" s="339"/>
      <c r="W7" s="339" t="s">
        <v>6786</v>
      </c>
      <c r="X7" s="337" t="s">
        <v>354</v>
      </c>
      <c r="Y7" s="340"/>
      <c r="Z7" s="340"/>
      <c r="AA7" s="341"/>
      <c r="AB7" s="342"/>
      <c r="AC7" s="333" t="s">
        <v>273</v>
      </c>
      <c r="AD7" s="333"/>
      <c r="AE7" s="333"/>
      <c r="AF7" s="333"/>
      <c r="AG7" s="333"/>
      <c r="AH7" s="338"/>
      <c r="AI7" s="338"/>
      <c r="AJ7" s="333"/>
      <c r="AK7" s="333">
        <f t="shared" si="1"/>
        <v>0</v>
      </c>
      <c r="AL7" s="343">
        <f t="shared" si="2"/>
        <v>0</v>
      </c>
      <c r="AM7" s="344"/>
      <c r="AN7" s="344"/>
      <c r="AO7" s="343">
        <f t="shared" si="3"/>
        <v>0</v>
      </c>
      <c r="AP7" s="344"/>
      <c r="AQ7" s="344"/>
      <c r="AR7" s="334"/>
      <c r="AS7" s="334"/>
      <c r="AT7" s="344"/>
      <c r="AU7" s="344"/>
      <c r="AV7" s="343">
        <f t="shared" si="4"/>
        <v>0</v>
      </c>
      <c r="AW7" s="334"/>
    </row>
    <row r="8" s="284" customFormat="1" ht="31" customHeight="1" spans="1:100">
      <c r="A8" s="331">
        <v>46031</v>
      </c>
      <c r="B8" s="332" t="s">
        <v>1567</v>
      </c>
      <c r="C8" s="333" t="s">
        <v>115</v>
      </c>
      <c r="D8" s="334" t="s">
        <v>6783</v>
      </c>
      <c r="E8" s="333" t="s">
        <v>1569</v>
      </c>
      <c r="F8" s="334" t="s">
        <v>6792</v>
      </c>
      <c r="G8" s="335" t="s">
        <v>4015</v>
      </c>
      <c r="H8" s="333" t="s">
        <v>4016</v>
      </c>
      <c r="I8" s="333">
        <v>0</v>
      </c>
      <c r="J8" s="333">
        <v>0</v>
      </c>
      <c r="K8" s="333">
        <v>16</v>
      </c>
      <c r="L8" s="336">
        <f t="shared" si="0"/>
        <v>0</v>
      </c>
      <c r="M8" s="337">
        <v>46118</v>
      </c>
      <c r="N8" s="337">
        <f>M8-4</f>
        <v>46114</v>
      </c>
      <c r="O8" s="332" t="s">
        <v>6785</v>
      </c>
      <c r="P8" s="338"/>
      <c r="Q8" s="338"/>
      <c r="R8" s="333" t="s">
        <v>3064</v>
      </c>
      <c r="S8" s="339" t="s">
        <v>95</v>
      </c>
      <c r="T8" s="339" t="s">
        <v>2962</v>
      </c>
      <c r="U8" s="339"/>
      <c r="V8" s="339"/>
      <c r="W8" s="339" t="s">
        <v>6786</v>
      </c>
      <c r="X8" s="337" t="s">
        <v>354</v>
      </c>
      <c r="Y8" s="340"/>
      <c r="Z8" s="340"/>
      <c r="AA8" s="341"/>
      <c r="AB8" s="342"/>
      <c r="AC8" s="333" t="s">
        <v>273</v>
      </c>
      <c r="AD8" s="333"/>
      <c r="AE8" s="333"/>
      <c r="AF8" s="333"/>
      <c r="AG8" s="333"/>
      <c r="AH8" s="338"/>
      <c r="AI8" s="338"/>
      <c r="AJ8" s="333"/>
      <c r="AK8" s="333">
        <f t="shared" si="1"/>
        <v>0</v>
      </c>
      <c r="AL8" s="343">
        <f t="shared" si="2"/>
        <v>0</v>
      </c>
      <c r="AM8" s="344"/>
      <c r="AN8" s="344"/>
      <c r="AO8" s="343">
        <f t="shared" si="3"/>
        <v>0</v>
      </c>
      <c r="AP8" s="344"/>
      <c r="AQ8" s="344"/>
      <c r="AR8" s="334"/>
      <c r="AS8" s="334"/>
      <c r="AT8" s="344"/>
      <c r="AU8" s="344"/>
      <c r="AV8" s="343">
        <f t="shared" si="4"/>
        <v>0</v>
      </c>
      <c r="AW8" s="334"/>
    </row>
    <row r="9" s="285" customFormat="1" ht="31" customHeight="1" spans="1:100">
      <c r="A9" s="345">
        <v>46051</v>
      </c>
      <c r="B9" s="346" t="s">
        <v>180</v>
      </c>
      <c r="C9" s="347" t="s">
        <v>115</v>
      </c>
      <c r="D9" s="348">
        <v>4500192521</v>
      </c>
      <c r="E9" s="347">
        <v>5200008814</v>
      </c>
      <c r="F9" s="348" t="s">
        <v>6793</v>
      </c>
      <c r="G9" s="349" t="s">
        <v>553</v>
      </c>
      <c r="H9" s="347" t="s">
        <v>6794</v>
      </c>
      <c r="I9" s="347">
        <v>9972</v>
      </c>
      <c r="J9" s="347">
        <v>0</v>
      </c>
      <c r="K9" s="347">
        <v>12</v>
      </c>
      <c r="L9" s="350">
        <f t="shared" si="0"/>
        <v>831</v>
      </c>
      <c r="M9" s="351">
        <v>46136</v>
      </c>
      <c r="N9" s="351">
        <v>46132</v>
      </c>
      <c r="O9" s="346"/>
      <c r="P9" s="352"/>
      <c r="Q9" s="352"/>
      <c r="R9" s="347">
        <v>46051</v>
      </c>
      <c r="S9" s="353" t="s">
        <v>95</v>
      </c>
      <c r="T9" s="353" t="s">
        <v>95</v>
      </c>
      <c r="U9" s="353"/>
      <c r="V9" s="353"/>
      <c r="W9" s="353" t="s">
        <v>6795</v>
      </c>
      <c r="X9" s="351" t="s">
        <v>2207</v>
      </c>
      <c r="Y9" s="354">
        <v>1.374</v>
      </c>
      <c r="Z9" s="354">
        <f>I9*Y9</f>
        <v>13701.528</v>
      </c>
      <c r="AA9" s="355"/>
      <c r="AB9" s="356"/>
      <c r="AC9" s="347"/>
      <c r="AD9" s="347"/>
      <c r="AE9" s="347"/>
      <c r="AF9" s="347"/>
      <c r="AG9" s="347"/>
      <c r="AH9" s="352"/>
      <c r="AI9" s="352"/>
      <c r="AJ9" s="347"/>
      <c r="AK9" s="347">
        <f t="shared" si="1"/>
        <v>9972</v>
      </c>
      <c r="AL9" s="357"/>
      <c r="AM9" s="358">
        <f>I9*2</f>
        <v>19944</v>
      </c>
      <c r="AN9" s="358"/>
      <c r="AO9" s="357"/>
      <c r="AP9" s="358">
        <f>I9*2</f>
        <v>19944</v>
      </c>
      <c r="AQ9" s="358"/>
      <c r="AR9" s="348"/>
      <c r="AS9" s="348"/>
      <c r="AT9" s="358"/>
      <c r="AU9" s="358"/>
      <c r="AV9" s="357"/>
      <c r="AW9" s="348"/>
      <c r="BL9" s="285">
        <f>BF9+BG9</f>
        <v>0</v>
      </c>
      <c r="BM9" s="285">
        <f>BJ9</f>
        <v>0</v>
      </c>
      <c r="BO9" s="285">
        <f>I9</f>
        <v>9972</v>
      </c>
      <c r="BP9" s="285">
        <f>I9</f>
        <v>9972</v>
      </c>
      <c r="BQ9" s="285">
        <f>I9</f>
        <v>9972</v>
      </c>
    </row>
    <row r="10" s="285" customFormat="1" ht="31" customHeight="1" spans="1:100">
      <c r="A10" s="345">
        <v>46051</v>
      </c>
      <c r="B10" s="346" t="s">
        <v>180</v>
      </c>
      <c r="C10" s="347" t="s">
        <v>115</v>
      </c>
      <c r="D10" s="348">
        <v>4500192506</v>
      </c>
      <c r="E10" s="347">
        <v>5200008811</v>
      </c>
      <c r="F10" s="348" t="s">
        <v>6796</v>
      </c>
      <c r="G10" s="349" t="s">
        <v>553</v>
      </c>
      <c r="H10" s="347" t="s">
        <v>6794</v>
      </c>
      <c r="I10" s="347">
        <v>10008</v>
      </c>
      <c r="J10" s="347">
        <v>0</v>
      </c>
      <c r="K10" s="347">
        <v>12</v>
      </c>
      <c r="L10" s="350">
        <f t="shared" si="0"/>
        <v>834</v>
      </c>
      <c r="M10" s="351">
        <v>46115</v>
      </c>
      <c r="N10" s="351">
        <v>46111</v>
      </c>
      <c r="O10" s="346"/>
      <c r="P10" s="352"/>
      <c r="Q10" s="352"/>
      <c r="R10" s="347">
        <v>46051</v>
      </c>
      <c r="S10" s="353" t="s">
        <v>95</v>
      </c>
      <c r="T10" s="353" t="s">
        <v>95</v>
      </c>
      <c r="U10" s="353"/>
      <c r="V10" s="353"/>
      <c r="W10" s="353" t="s">
        <v>6795</v>
      </c>
      <c r="X10" s="351" t="s">
        <v>2207</v>
      </c>
      <c r="Y10" s="354">
        <v>1.374</v>
      </c>
      <c r="Z10" s="354">
        <f>I10*Y10</f>
        <v>13750.992</v>
      </c>
      <c r="AA10" s="355"/>
      <c r="AB10" s="356"/>
      <c r="AC10" s="347"/>
      <c r="AD10" s="347"/>
      <c r="AE10" s="347"/>
      <c r="AF10" s="347"/>
      <c r="AG10" s="347"/>
      <c r="AH10" s="352"/>
      <c r="AI10" s="352"/>
      <c r="AJ10" s="347"/>
      <c r="AK10" s="347">
        <f t="shared" si="1"/>
        <v>10008</v>
      </c>
      <c r="AL10" s="357"/>
      <c r="AM10" s="358">
        <f>I10*2</f>
        <v>20016</v>
      </c>
      <c r="AN10" s="358"/>
      <c r="AO10" s="357"/>
      <c r="AP10" s="358">
        <f>I10*2</f>
        <v>20016</v>
      </c>
      <c r="AQ10" s="358"/>
      <c r="AR10" s="348"/>
      <c r="AS10" s="348"/>
      <c r="AT10" s="358"/>
      <c r="AU10" s="358"/>
      <c r="AV10" s="357"/>
      <c r="AW10" s="348"/>
      <c r="BL10" s="285">
        <f>BF10+BG10</f>
        <v>0</v>
      </c>
      <c r="BM10" s="285">
        <f>BJ10</f>
        <v>0</v>
      </c>
      <c r="BO10" s="285">
        <f>I10</f>
        <v>10008</v>
      </c>
      <c r="BP10" s="285">
        <f>I10</f>
        <v>10008</v>
      </c>
      <c r="BQ10" s="285">
        <f>I10</f>
        <v>10008</v>
      </c>
    </row>
    <row r="11" s="286" customFormat="1" ht="31" customHeight="1" spans="1:100">
      <c r="A11" s="359">
        <v>46051</v>
      </c>
      <c r="B11" s="360" t="s">
        <v>180</v>
      </c>
      <c r="C11" s="354" t="s">
        <v>115</v>
      </c>
      <c r="D11" s="357">
        <v>4500192514</v>
      </c>
      <c r="E11" s="354">
        <v>5200008813</v>
      </c>
      <c r="F11" s="357" t="s">
        <v>6797</v>
      </c>
      <c r="G11" s="361" t="s">
        <v>553</v>
      </c>
      <c r="H11" s="354" t="s">
        <v>6794</v>
      </c>
      <c r="I11" s="362">
        <v>10008</v>
      </c>
      <c r="J11" s="354">
        <v>0</v>
      </c>
      <c r="K11" s="354">
        <v>12</v>
      </c>
      <c r="L11" s="363">
        <v>834</v>
      </c>
      <c r="M11" s="364">
        <v>46122</v>
      </c>
      <c r="N11" s="364">
        <v>46118</v>
      </c>
      <c r="O11" s="365" t="s">
        <v>6798</v>
      </c>
      <c r="P11" s="365"/>
      <c r="Q11" s="354"/>
      <c r="R11" s="366">
        <v>46051</v>
      </c>
      <c r="S11" s="367" t="s">
        <v>95</v>
      </c>
      <c r="T11" s="367" t="s">
        <v>95</v>
      </c>
      <c r="U11" s="357"/>
      <c r="V11" s="357"/>
      <c r="W11" s="360" t="s">
        <v>6795</v>
      </c>
      <c r="X11" s="364" t="s">
        <v>2207</v>
      </c>
      <c r="Y11" s="357">
        <v>1.374</v>
      </c>
      <c r="Z11" s="368">
        <v>13750.992</v>
      </c>
      <c r="AA11" s="354"/>
      <c r="AB11" s="354"/>
      <c r="AC11" s="354"/>
      <c r="AD11" s="354"/>
      <c r="AE11" s="354"/>
      <c r="AF11" s="365"/>
      <c r="AG11" s="365"/>
      <c r="AH11" s="354"/>
      <c r="AI11" s="354"/>
      <c r="AJ11" s="354"/>
      <c r="AK11" s="357">
        <v>10008</v>
      </c>
      <c r="AL11" s="358"/>
      <c r="AM11" s="358">
        <v>20016</v>
      </c>
      <c r="AN11" s="357"/>
      <c r="AO11" s="357"/>
      <c r="AP11" s="358">
        <v>20016</v>
      </c>
      <c r="AQ11" s="358"/>
      <c r="AR11" s="357"/>
      <c r="AS11" s="358"/>
      <c r="AT11" s="357"/>
      <c r="AU11" s="357"/>
      <c r="AV11" s="357"/>
      <c r="AW11" s="357"/>
      <c r="AX11" s="357"/>
      <c r="AY11" s="357"/>
      <c r="AZ11" s="357"/>
      <c r="BA11" s="357"/>
      <c r="BB11" s="357"/>
      <c r="BC11" s="357"/>
      <c r="BD11" s="357"/>
      <c r="BE11" s="357"/>
      <c r="BF11" s="357"/>
      <c r="BG11" s="357"/>
      <c r="BH11" s="357"/>
      <c r="BI11" s="357"/>
      <c r="BJ11" s="357"/>
      <c r="BK11" s="357"/>
      <c r="BL11" s="358">
        <v>0</v>
      </c>
      <c r="BM11" s="358">
        <v>0</v>
      </c>
      <c r="BN11" s="357"/>
      <c r="BO11" s="357">
        <v>10008</v>
      </c>
      <c r="BP11" s="357">
        <v>10008</v>
      </c>
      <c r="BQ11" s="357">
        <v>10008</v>
      </c>
    </row>
    <row r="12" s="286" customFormat="1" ht="31" customHeight="1" spans="1:100">
      <c r="A12" s="359">
        <v>46051</v>
      </c>
      <c r="B12" s="360" t="s">
        <v>180</v>
      </c>
      <c r="C12" s="354" t="s">
        <v>115</v>
      </c>
      <c r="D12" s="357">
        <v>4500192514</v>
      </c>
      <c r="E12" s="354">
        <v>5200008813</v>
      </c>
      <c r="F12" s="357" t="s">
        <v>6799</v>
      </c>
      <c r="G12" s="361" t="s">
        <v>553</v>
      </c>
      <c r="H12" s="354" t="s">
        <v>6794</v>
      </c>
      <c r="I12" s="362">
        <v>10008</v>
      </c>
      <c r="J12" s="354">
        <v>0</v>
      </c>
      <c r="K12" s="354">
        <v>12</v>
      </c>
      <c r="L12" s="363">
        <v>834</v>
      </c>
      <c r="M12" s="364">
        <v>46129</v>
      </c>
      <c r="N12" s="364">
        <v>46125</v>
      </c>
      <c r="O12" s="365" t="s">
        <v>6798</v>
      </c>
      <c r="P12" s="365"/>
      <c r="Q12" s="354"/>
      <c r="R12" s="366">
        <v>46051</v>
      </c>
      <c r="S12" s="367" t="s">
        <v>95</v>
      </c>
      <c r="T12" s="367" t="s">
        <v>95</v>
      </c>
      <c r="U12" s="357"/>
      <c r="V12" s="357"/>
      <c r="W12" s="360" t="s">
        <v>6795</v>
      </c>
      <c r="X12" s="364" t="s">
        <v>2207</v>
      </c>
      <c r="Y12" s="357">
        <v>1.374</v>
      </c>
      <c r="Z12" s="368">
        <v>13750.992</v>
      </c>
      <c r="AA12" s="354"/>
      <c r="AB12" s="354"/>
      <c r="AC12" s="354"/>
      <c r="AD12" s="354"/>
      <c r="AE12" s="354"/>
      <c r="AF12" s="365"/>
      <c r="AG12" s="365"/>
      <c r="AH12" s="354"/>
      <c r="AI12" s="354"/>
      <c r="AJ12" s="354"/>
      <c r="AK12" s="357">
        <v>10008</v>
      </c>
      <c r="AL12" s="358"/>
      <c r="AM12" s="358">
        <v>20016</v>
      </c>
      <c r="AN12" s="357"/>
      <c r="AO12" s="357"/>
      <c r="AP12" s="358">
        <v>20016</v>
      </c>
      <c r="AQ12" s="358"/>
      <c r="AR12" s="357"/>
      <c r="AS12" s="358"/>
      <c r="AT12" s="357"/>
      <c r="AU12" s="357"/>
      <c r="AV12" s="357"/>
      <c r="AW12" s="357"/>
      <c r="AX12" s="357"/>
      <c r="AY12" s="357"/>
      <c r="AZ12" s="357"/>
      <c r="BA12" s="357"/>
      <c r="BB12" s="357"/>
      <c r="BC12" s="357"/>
      <c r="BD12" s="357"/>
      <c r="BE12" s="357"/>
      <c r="BF12" s="357"/>
      <c r="BG12" s="357"/>
      <c r="BH12" s="357"/>
      <c r="BI12" s="357"/>
      <c r="BJ12" s="357"/>
      <c r="BK12" s="357"/>
      <c r="BL12" s="358">
        <v>0</v>
      </c>
      <c r="BM12" s="358">
        <v>0</v>
      </c>
      <c r="BN12" s="357"/>
      <c r="BO12" s="357">
        <v>10008</v>
      </c>
      <c r="BP12" s="357">
        <v>10008</v>
      </c>
      <c r="BQ12" s="357">
        <v>10008</v>
      </c>
    </row>
    <row r="13" s="286" customFormat="1" ht="31" customHeight="1" spans="1:100">
      <c r="A13" s="345">
        <v>46081</v>
      </c>
      <c r="B13" s="346" t="s">
        <v>1853</v>
      </c>
      <c r="C13" s="347" t="s">
        <v>201</v>
      </c>
      <c r="D13" s="348">
        <v>4500192784</v>
      </c>
      <c r="E13" s="347" t="s">
        <v>4033</v>
      </c>
      <c r="F13" s="348" t="s">
        <v>6800</v>
      </c>
      <c r="G13" s="349" t="s">
        <v>3980</v>
      </c>
      <c r="H13" s="347" t="s">
        <v>3978</v>
      </c>
      <c r="I13" s="369">
        <v>3600</v>
      </c>
      <c r="J13" s="347">
        <v>0</v>
      </c>
      <c r="K13" s="347">
        <v>8</v>
      </c>
      <c r="L13" s="350">
        <f t="shared" ref="L13:L76" si="5">I13/K13</f>
        <v>450</v>
      </c>
      <c r="M13" s="351">
        <v>46203</v>
      </c>
      <c r="N13" s="351">
        <v>46199</v>
      </c>
      <c r="O13" s="346"/>
      <c r="P13" s="352"/>
      <c r="Q13" s="352"/>
      <c r="R13" s="370">
        <v>46081</v>
      </c>
      <c r="S13" s="353" t="s">
        <v>95</v>
      </c>
      <c r="T13" s="353" t="s">
        <v>3064</v>
      </c>
      <c r="U13" s="353"/>
      <c r="V13" s="353"/>
      <c r="W13" s="353" t="s">
        <v>4035</v>
      </c>
      <c r="X13" s="351" t="s">
        <v>204</v>
      </c>
      <c r="Y13" s="354">
        <v>5</v>
      </c>
      <c r="Z13" s="354">
        <f>Y13*I13</f>
        <v>18000</v>
      </c>
      <c r="AA13" s="355"/>
      <c r="AB13" s="356" t="s">
        <v>4031</v>
      </c>
      <c r="AC13" s="347"/>
      <c r="AD13" s="347"/>
      <c r="AE13" s="347"/>
      <c r="AF13" s="347"/>
      <c r="AG13" s="347">
        <f>AF13-I13</f>
        <v>-3600</v>
      </c>
      <c r="AH13" s="352"/>
      <c r="AI13" s="352"/>
      <c r="AJ13" s="347"/>
      <c r="AK13" s="347">
        <f>I13</f>
        <v>3600</v>
      </c>
      <c r="AL13" s="357"/>
      <c r="AM13" s="357">
        <f>I13</f>
        <v>3600</v>
      </c>
      <c r="AN13" s="357"/>
      <c r="AO13" s="357">
        <f>I13</f>
        <v>3600</v>
      </c>
      <c r="AP13" s="357"/>
      <c r="AQ13" s="357"/>
      <c r="AR13" s="357"/>
      <c r="AS13" s="357"/>
      <c r="AT13" s="348"/>
      <c r="AU13" s="348"/>
      <c r="AV13" s="357">
        <f>I13/8</f>
        <v>450</v>
      </c>
      <c r="AW13" s="357"/>
      <c r="AX13" s="357"/>
      <c r="AY13" s="348"/>
    </row>
    <row r="14" s="285" customFormat="1" ht="31" customHeight="1" spans="1:100">
      <c r="A14" s="359">
        <v>46080</v>
      </c>
      <c r="B14" s="360" t="s">
        <v>1567</v>
      </c>
      <c r="C14" s="354" t="s">
        <v>115</v>
      </c>
      <c r="D14" s="357" t="s">
        <v>6801</v>
      </c>
      <c r="E14" s="354"/>
      <c r="F14" s="357" t="s">
        <v>6802</v>
      </c>
      <c r="G14" s="361" t="s">
        <v>349</v>
      </c>
      <c r="H14" s="354"/>
      <c r="I14" s="362">
        <v>0</v>
      </c>
      <c r="J14" s="354">
        <v>0</v>
      </c>
      <c r="K14" s="354">
        <v>960</v>
      </c>
      <c r="L14" s="363">
        <f t="shared" si="5"/>
        <v>0</v>
      </c>
      <c r="M14" s="364">
        <v>46135</v>
      </c>
      <c r="N14" s="364">
        <v>46132</v>
      </c>
      <c r="O14" s="365" t="s">
        <v>6803</v>
      </c>
      <c r="P14" s="365"/>
      <c r="Q14" s="354"/>
      <c r="R14" s="366"/>
      <c r="S14" s="367"/>
      <c r="T14" s="367"/>
      <c r="U14" s="357"/>
      <c r="V14" s="357"/>
      <c r="W14" s="360" t="s">
        <v>6804</v>
      </c>
      <c r="X14" s="364" t="s">
        <v>1569</v>
      </c>
      <c r="Y14" s="357"/>
      <c r="Z14" s="368"/>
      <c r="AA14" s="354"/>
      <c r="AB14" s="354" t="s">
        <v>349</v>
      </c>
      <c r="AC14" s="354"/>
      <c r="AD14" s="354"/>
      <c r="AE14" s="354"/>
      <c r="AF14" s="365"/>
      <c r="AG14" s="365"/>
      <c r="AH14" s="354"/>
      <c r="AI14" s="354"/>
      <c r="AJ14" s="354"/>
      <c r="AK14" s="357">
        <f>I14</f>
        <v>0</v>
      </c>
      <c r="AL14" s="358"/>
      <c r="AM14" s="358"/>
      <c r="AN14" s="357"/>
      <c r="AO14" s="357"/>
      <c r="AQ14" s="358"/>
      <c r="AR14" s="358"/>
      <c r="AS14" s="357"/>
      <c r="AT14" s="358"/>
      <c r="AU14" s="357"/>
      <c r="AV14" s="357"/>
      <c r="AW14" s="357"/>
      <c r="AX14" s="357"/>
      <c r="AY14" s="357"/>
      <c r="AZ14" s="357"/>
      <c r="BA14" s="357"/>
      <c r="BB14" s="357"/>
      <c r="BC14" s="357"/>
      <c r="BD14" s="357"/>
      <c r="BE14" s="357"/>
      <c r="BF14" s="357"/>
      <c r="BG14" s="357"/>
      <c r="BH14" s="357"/>
      <c r="BI14" s="357"/>
      <c r="BK14" s="357"/>
      <c r="BL14" s="357"/>
      <c r="BM14" s="357"/>
      <c r="BN14" s="371">
        <f>BG14+BH14+BJ14+BI14</f>
        <v>0</v>
      </c>
      <c r="BO14" s="371">
        <f>BL14</f>
        <v>0</v>
      </c>
      <c r="BP14" s="357"/>
      <c r="BQ14" s="357"/>
      <c r="BR14" s="357"/>
      <c r="BS14" s="357"/>
    </row>
    <row r="15" s="285" customFormat="1" ht="31" customHeight="1" spans="1:100">
      <c r="A15" s="359">
        <v>46079</v>
      </c>
      <c r="B15" s="360" t="s">
        <v>114</v>
      </c>
      <c r="C15" s="354" t="s">
        <v>115</v>
      </c>
      <c r="D15" s="357">
        <v>4500194303</v>
      </c>
      <c r="E15" s="354" t="s">
        <v>413</v>
      </c>
      <c r="F15" s="357" t="s">
        <v>6805</v>
      </c>
      <c r="G15" s="361" t="s">
        <v>3980</v>
      </c>
      <c r="H15" s="354" t="s">
        <v>3978</v>
      </c>
      <c r="I15" s="362">
        <v>14200</v>
      </c>
      <c r="J15" s="354">
        <v>0</v>
      </c>
      <c r="K15" s="354">
        <v>8</v>
      </c>
      <c r="L15" s="363">
        <f t="shared" si="5"/>
        <v>1775</v>
      </c>
      <c r="M15" s="364">
        <v>46141</v>
      </c>
      <c r="N15" s="364">
        <v>46137</v>
      </c>
      <c r="O15" s="365"/>
      <c r="P15" s="365"/>
      <c r="Q15" s="354"/>
      <c r="R15" s="366"/>
      <c r="S15" s="367"/>
      <c r="T15" s="367"/>
      <c r="U15" s="357">
        <f>T15-I15</f>
        <v>-14200</v>
      </c>
      <c r="V15" s="357"/>
      <c r="W15" s="360"/>
      <c r="X15" s="364" t="s">
        <v>3064</v>
      </c>
      <c r="Y15" s="357" t="s">
        <v>107</v>
      </c>
      <c r="Z15" s="368" t="s">
        <v>6806</v>
      </c>
      <c r="AA15" s="354"/>
      <c r="AB15" s="354"/>
      <c r="AC15" s="354" t="s">
        <v>6807</v>
      </c>
      <c r="AD15" s="354" t="s">
        <v>123</v>
      </c>
      <c r="AE15" s="354">
        <v>2.88</v>
      </c>
      <c r="AF15" s="365">
        <f>AE15*I15</f>
        <v>40896</v>
      </c>
      <c r="AG15" s="365"/>
      <c r="AH15" s="354" t="s">
        <v>3980</v>
      </c>
      <c r="AI15" s="354" t="s">
        <v>112</v>
      </c>
      <c r="AJ15" s="354">
        <f>I15</f>
        <v>14200</v>
      </c>
      <c r="AK15" s="357">
        <f>I15</f>
        <v>14200</v>
      </c>
      <c r="AL15" s="358"/>
      <c r="AM15" s="358"/>
      <c r="AN15" s="357">
        <f>I15</f>
        <v>14200</v>
      </c>
      <c r="AO15" s="357"/>
      <c r="AQ15" s="358"/>
      <c r="AR15" s="358"/>
      <c r="AS15" s="357"/>
      <c r="AT15" s="358">
        <f>I15/8</f>
        <v>1775</v>
      </c>
      <c r="AU15" s="357"/>
      <c r="AV15" s="357"/>
      <c r="AW15" s="357"/>
      <c r="AX15" s="357"/>
      <c r="AY15" s="357"/>
      <c r="AZ15" s="357"/>
      <c r="BA15" s="357"/>
      <c r="BB15" s="357"/>
      <c r="BC15" s="357"/>
      <c r="BD15" s="357"/>
      <c r="BE15" s="357"/>
      <c r="BF15" s="357"/>
      <c r="BG15" s="357"/>
      <c r="BH15" s="357"/>
      <c r="BI15" s="357"/>
      <c r="BK15" s="357"/>
      <c r="BL15" s="357"/>
      <c r="BM15" s="357"/>
      <c r="BN15" s="371"/>
      <c r="BO15" s="371"/>
      <c r="BP15" s="357"/>
      <c r="BQ15" s="357"/>
      <c r="BR15" s="357"/>
      <c r="BS15" s="357"/>
    </row>
    <row r="16" ht="30" customHeight="1" spans="1:100">
      <c r="A16" s="372">
        <v>46083</v>
      </c>
      <c r="B16" s="373" t="s">
        <v>280</v>
      </c>
      <c r="C16" s="374" t="s">
        <v>135</v>
      </c>
      <c r="D16" s="375">
        <v>4500194784</v>
      </c>
      <c r="E16" s="374"/>
      <c r="F16" s="375" t="s">
        <v>6808</v>
      </c>
      <c r="G16" s="376" t="s">
        <v>283</v>
      </c>
      <c r="H16" s="374" t="s">
        <v>194</v>
      </c>
      <c r="I16" s="377">
        <v>11999</v>
      </c>
      <c r="J16" s="374">
        <v>0</v>
      </c>
      <c r="K16" s="374">
        <v>13</v>
      </c>
      <c r="L16" s="378">
        <f t="shared" si="5"/>
        <v>923</v>
      </c>
      <c r="M16" s="379">
        <v>46135</v>
      </c>
      <c r="N16" s="379">
        <v>46132</v>
      </c>
      <c r="O16" s="380"/>
      <c r="P16" s="380"/>
      <c r="Q16" s="374"/>
      <c r="R16" s="381" t="s">
        <v>3064</v>
      </c>
      <c r="S16" s="382" t="s">
        <v>95</v>
      </c>
      <c r="T16" s="382" t="s">
        <v>6809</v>
      </c>
      <c r="U16" s="375" t="s">
        <v>140</v>
      </c>
      <c r="V16" s="375" t="s">
        <v>284</v>
      </c>
      <c r="W16" s="373" t="s">
        <v>6810</v>
      </c>
      <c r="X16" s="379" t="s">
        <v>288</v>
      </c>
      <c r="Y16" s="375">
        <v>1.2</v>
      </c>
      <c r="Z16" s="383">
        <f>Y16*I16</f>
        <v>14398.8</v>
      </c>
      <c r="AA16" s="374"/>
      <c r="AB16" s="374" t="s">
        <v>289</v>
      </c>
      <c r="AC16" s="374" t="s">
        <v>112</v>
      </c>
      <c r="AD16" s="374"/>
      <c r="AE16" s="374"/>
      <c r="AF16" s="380"/>
      <c r="AG16" s="380"/>
      <c r="AH16" s="374"/>
      <c r="AI16" s="374"/>
      <c r="AJ16" s="375">
        <f>I16</f>
        <v>11999</v>
      </c>
      <c r="AK16" s="384"/>
      <c r="AL16" s="384">
        <f>I16</f>
        <v>11999</v>
      </c>
      <c r="AM16" s="375"/>
      <c r="AN16" s="375"/>
      <c r="AO16" s="385"/>
      <c r="AP16" s="384">
        <f>I16</f>
        <v>11999</v>
      </c>
      <c r="AQ16" s="384"/>
      <c r="AR16" s="375"/>
      <c r="AS16" s="384"/>
      <c r="AT16" s="375"/>
      <c r="AU16" s="375"/>
      <c r="AV16" s="375"/>
      <c r="AW16" s="375"/>
      <c r="AX16" s="375"/>
      <c r="AY16" s="375"/>
      <c r="AZ16" s="375"/>
      <c r="BA16" s="375"/>
      <c r="BB16" s="375"/>
      <c r="BC16" s="375"/>
      <c r="BD16" s="375">
        <f>I16/13</f>
        <v>923</v>
      </c>
      <c r="BE16" s="375"/>
      <c r="BF16" s="375"/>
      <c r="BG16" s="375"/>
      <c r="BH16" s="375"/>
      <c r="BI16" s="384"/>
      <c r="BJ16" s="375"/>
      <c r="BK16" s="375"/>
      <c r="BL16" s="375"/>
      <c r="BM16" s="375">
        <f>BF16+BG16+BI16+BH16</f>
        <v>0</v>
      </c>
      <c r="BN16" s="375">
        <f>BK16</f>
        <v>0</v>
      </c>
      <c r="BO16" s="375"/>
      <c r="BP16" s="375"/>
      <c r="BQ16" s="375"/>
      <c r="BR16" s="375"/>
      <c r="BS16" s="385"/>
      <c r="BT16" s="385"/>
      <c r="BU16" s="385"/>
      <c r="BV16" s="385"/>
      <c r="BW16" s="385"/>
      <c r="BX16" s="385"/>
      <c r="BY16" s="385"/>
      <c r="BZ16" s="385"/>
      <c r="CA16" s="385"/>
      <c r="CB16" s="385"/>
      <c r="CC16" s="385"/>
      <c r="CD16" s="385"/>
      <c r="CE16" s="385"/>
      <c r="CF16" s="385"/>
      <c r="CG16" s="385"/>
      <c r="CH16" s="385"/>
      <c r="CI16" s="385"/>
      <c r="CJ16" s="385"/>
      <c r="CK16" s="385"/>
      <c r="CL16" s="385"/>
      <c r="CM16" s="385"/>
      <c r="CN16" s="385"/>
      <c r="CO16" s="385"/>
      <c r="CP16" s="385"/>
      <c r="CQ16" s="385"/>
      <c r="CR16" s="385"/>
      <c r="CS16" s="385"/>
      <c r="CT16" s="385"/>
      <c r="CU16" s="385"/>
      <c r="CV16" s="385"/>
    </row>
    <row r="17" ht="30" customHeight="1" spans="1:89">
      <c r="A17" s="386">
        <v>46083</v>
      </c>
      <c r="B17" s="387" t="s">
        <v>280</v>
      </c>
      <c r="C17" s="388" t="s">
        <v>135</v>
      </c>
      <c r="D17" s="389">
        <v>4500194784</v>
      </c>
      <c r="E17" s="388"/>
      <c r="F17" s="389" t="s">
        <v>6811</v>
      </c>
      <c r="G17" s="390" t="s">
        <v>3980</v>
      </c>
      <c r="H17" s="374" t="s">
        <v>3978</v>
      </c>
      <c r="I17" s="377">
        <v>6000</v>
      </c>
      <c r="J17" s="374">
        <v>0</v>
      </c>
      <c r="K17" s="374">
        <v>8</v>
      </c>
      <c r="L17" s="388">
        <f t="shared" si="5"/>
        <v>750</v>
      </c>
      <c r="M17" s="391">
        <v>46135</v>
      </c>
      <c r="N17" s="391">
        <v>46132</v>
      </c>
      <c r="O17" s="373"/>
      <c r="P17" s="380"/>
      <c r="Q17" s="380"/>
      <c r="R17" s="392"/>
      <c r="S17" s="393" t="s">
        <v>95</v>
      </c>
      <c r="T17" s="393" t="s">
        <v>6812</v>
      </c>
      <c r="U17" s="393" t="s">
        <v>4176</v>
      </c>
      <c r="V17" s="394"/>
      <c r="W17" s="395" t="s">
        <v>6813</v>
      </c>
      <c r="X17" s="391" t="s">
        <v>288</v>
      </c>
      <c r="Y17" s="374">
        <v>5</v>
      </c>
      <c r="Z17" s="375">
        <f>Y17*I17</f>
        <v>30000</v>
      </c>
      <c r="AA17" s="375"/>
      <c r="AB17" s="396" t="s">
        <v>3980</v>
      </c>
      <c r="AC17" s="374" t="s">
        <v>112</v>
      </c>
      <c r="AD17" s="374">
        <f>I17</f>
        <v>6000</v>
      </c>
      <c r="AE17" s="374"/>
      <c r="AF17" s="374"/>
      <c r="AG17" s="374"/>
      <c r="AH17" s="388">
        <f>AG17-I17</f>
        <v>-6000</v>
      </c>
      <c r="AI17" s="380"/>
      <c r="AJ17" s="380"/>
      <c r="AK17" s="375">
        <f>I17</f>
        <v>6000</v>
      </c>
      <c r="AL17" s="375"/>
      <c r="AM17" s="375"/>
      <c r="AN17" s="375">
        <f>I17</f>
        <v>6000</v>
      </c>
      <c r="AO17" s="375"/>
      <c r="AP17" s="375"/>
      <c r="AQ17" s="375"/>
      <c r="AR17" s="375"/>
      <c r="AS17" s="375"/>
      <c r="AT17" s="389">
        <f>I17/8</f>
        <v>750</v>
      </c>
      <c r="AU17" s="375"/>
      <c r="AV17" s="375"/>
      <c r="AW17" s="375"/>
      <c r="AX17" s="375"/>
      <c r="AY17" s="295"/>
      <c r="AZ17" s="295"/>
      <c r="BA17" s="295"/>
      <c r="BB17" s="295"/>
      <c r="BC17" s="295"/>
      <c r="BD17" s="295"/>
      <c r="BE17" s="295"/>
      <c r="BF17" s="295"/>
      <c r="BG17" s="295"/>
      <c r="BH17" s="295"/>
      <c r="BI17" s="295"/>
      <c r="BJ17" s="295"/>
      <c r="BK17" s="295"/>
      <c r="BL17" s="295"/>
      <c r="BM17" s="295"/>
      <c r="BN17" s="295"/>
      <c r="BO17" s="295"/>
      <c r="BP17" s="295"/>
      <c r="BQ17" s="295"/>
      <c r="BR17" s="295"/>
      <c r="BS17" s="295"/>
      <c r="BT17" s="295"/>
      <c r="BU17" s="295"/>
      <c r="BV17" s="295"/>
      <c r="BW17" s="295"/>
      <c r="BX17" s="295"/>
      <c r="BY17" s="295"/>
      <c r="BZ17" s="295"/>
      <c r="CA17" s="295"/>
      <c r="CB17" s="295"/>
      <c r="CC17" s="295"/>
      <c r="CD17" s="295"/>
      <c r="CE17" s="295"/>
      <c r="CF17" s="295"/>
      <c r="CG17" s="295"/>
      <c r="CH17" s="295"/>
      <c r="CI17" s="295"/>
    </row>
    <row r="18" s="286" customFormat="1" ht="31" customHeight="1" spans="1:89">
      <c r="A18" s="372" t="s">
        <v>6814</v>
      </c>
      <c r="B18" s="373" t="s">
        <v>1853</v>
      </c>
      <c r="C18" s="374" t="s">
        <v>201</v>
      </c>
      <c r="D18" s="375" t="s">
        <v>6815</v>
      </c>
      <c r="E18" s="374" t="s">
        <v>6816</v>
      </c>
      <c r="F18" s="375" t="s">
        <v>6817</v>
      </c>
      <c r="G18" s="376" t="s">
        <v>289</v>
      </c>
      <c r="H18" s="374" t="s">
        <v>194</v>
      </c>
      <c r="I18" s="377">
        <v>2301</v>
      </c>
      <c r="J18" s="374">
        <v>0</v>
      </c>
      <c r="K18" s="374">
        <v>13</v>
      </c>
      <c r="L18" s="378">
        <f t="shared" si="5"/>
        <v>177</v>
      </c>
      <c r="M18" s="379" t="s">
        <v>6818</v>
      </c>
      <c r="N18" s="379" t="s">
        <v>6819</v>
      </c>
      <c r="O18" s="380"/>
      <c r="P18" s="380"/>
      <c r="Q18" s="374"/>
      <c r="R18" s="381"/>
      <c r="S18" s="382"/>
      <c r="T18" s="382"/>
      <c r="U18" s="373"/>
      <c r="V18" s="375"/>
      <c r="W18" s="373" t="s">
        <v>6820</v>
      </c>
      <c r="X18" s="379" t="s">
        <v>1858</v>
      </c>
      <c r="Y18" s="375">
        <v>1.2</v>
      </c>
      <c r="Z18" s="383">
        <f>I18*Y18</f>
        <v>2761.2</v>
      </c>
      <c r="AA18" s="374"/>
      <c r="AB18" s="374"/>
      <c r="AC18" s="374"/>
      <c r="AD18" s="374"/>
      <c r="AE18" s="374"/>
      <c r="AF18" s="380"/>
      <c r="AG18" s="380"/>
      <c r="AH18" s="374"/>
      <c r="AI18" s="374"/>
      <c r="AJ18" s="375">
        <f>I18</f>
        <v>2301</v>
      </c>
      <c r="AK18" s="384"/>
      <c r="AL18" s="375"/>
      <c r="AM18" s="375"/>
      <c r="AN18" s="375"/>
      <c r="AO18" s="384"/>
      <c r="AP18" s="384"/>
      <c r="AQ18" s="375"/>
      <c r="AR18" s="375"/>
      <c r="AS18" s="384"/>
      <c r="AT18" s="375"/>
      <c r="AU18" s="375"/>
      <c r="AV18" s="375"/>
      <c r="AW18" s="375"/>
      <c r="AX18" s="375"/>
      <c r="AY18" s="375"/>
      <c r="AZ18" s="375"/>
      <c r="BA18" s="375"/>
      <c r="BB18" s="375"/>
      <c r="BC18" s="375"/>
      <c r="BD18" s="375"/>
      <c r="BE18" s="375"/>
      <c r="BF18" s="375"/>
      <c r="BG18" s="375"/>
      <c r="BH18" s="375"/>
      <c r="BI18" s="397"/>
      <c r="BJ18" s="375"/>
      <c r="BK18" s="375"/>
      <c r="BL18" s="375"/>
      <c r="BM18" s="375"/>
      <c r="BN18" s="375"/>
      <c r="BO18" s="375"/>
      <c r="BP18" s="375"/>
      <c r="BQ18" s="375"/>
      <c r="BR18" s="375"/>
    </row>
    <row r="19" s="286" customFormat="1" ht="31" customHeight="1" spans="1:89">
      <c r="A19" s="345">
        <v>46101</v>
      </c>
      <c r="B19" s="346"/>
      <c r="C19" s="347" t="s">
        <v>201</v>
      </c>
      <c r="D19" s="348" t="s">
        <v>3157</v>
      </c>
      <c r="E19" s="347"/>
      <c r="F19" s="348"/>
      <c r="G19" s="349" t="s">
        <v>3980</v>
      </c>
      <c r="H19" s="347" t="s">
        <v>3978</v>
      </c>
      <c r="I19" s="369">
        <v>0</v>
      </c>
      <c r="J19" s="347">
        <v>0</v>
      </c>
      <c r="K19" s="347">
        <v>0</v>
      </c>
      <c r="L19" s="350" t="e">
        <f t="shared" si="5"/>
        <v>#DIV/0!</v>
      </c>
      <c r="M19" s="351">
        <v>46167</v>
      </c>
      <c r="N19" s="351">
        <f>M19-4</f>
        <v>46163</v>
      </c>
      <c r="O19" s="346"/>
      <c r="P19" s="352"/>
      <c r="Q19" s="352"/>
      <c r="R19" s="347" t="s">
        <v>94</v>
      </c>
      <c r="S19" s="353" t="s">
        <v>107</v>
      </c>
      <c r="T19" s="353" t="s">
        <v>95</v>
      </c>
      <c r="U19" s="353"/>
      <c r="V19" s="353"/>
      <c r="W19" s="353" t="s">
        <v>6821</v>
      </c>
      <c r="X19" s="351"/>
      <c r="Y19" s="354"/>
      <c r="Z19" s="354"/>
      <c r="AA19" s="355"/>
      <c r="AB19" s="356" t="s">
        <v>4031</v>
      </c>
      <c r="AC19" s="347" t="s">
        <v>112</v>
      </c>
      <c r="AD19" s="354">
        <f>I19</f>
        <v>0</v>
      </c>
      <c r="AE19" s="347"/>
      <c r="AF19" s="347"/>
      <c r="AG19" s="347"/>
      <c r="AH19" s="347"/>
      <c r="AI19" s="352"/>
      <c r="AJ19" s="352"/>
      <c r="AK19" s="357"/>
      <c r="AL19" s="357">
        <f>I19</f>
        <v>0</v>
      </c>
      <c r="AM19" s="357"/>
      <c r="AN19" s="357">
        <f>I19</f>
        <v>0</v>
      </c>
      <c r="AO19" s="357"/>
      <c r="AP19" s="348"/>
      <c r="AQ19" s="357"/>
      <c r="AR19" s="348"/>
      <c r="AS19" s="348"/>
      <c r="AT19" s="357">
        <f>I19/8</f>
        <v>0</v>
      </c>
      <c r="AU19" s="357"/>
      <c r="AV19" s="357"/>
      <c r="AW19" s="357"/>
      <c r="AX19" s="348"/>
      <c r="AY19" s="357"/>
    </row>
    <row r="20" s="286" customFormat="1" ht="31" customHeight="1" spans="1:89">
      <c r="A20" s="359">
        <v>46101</v>
      </c>
      <c r="B20" s="360"/>
      <c r="C20" s="354" t="s">
        <v>201</v>
      </c>
      <c r="D20" s="357" t="s">
        <v>3157</v>
      </c>
      <c r="E20" s="354"/>
      <c r="F20" s="357"/>
      <c r="G20" s="361" t="s">
        <v>146</v>
      </c>
      <c r="H20" s="354" t="s">
        <v>104</v>
      </c>
      <c r="I20" s="362">
        <v>0</v>
      </c>
      <c r="J20" s="354">
        <v>0</v>
      </c>
      <c r="K20" s="354">
        <v>0</v>
      </c>
      <c r="L20" s="363" t="e">
        <f t="shared" si="5"/>
        <v>#DIV/0!</v>
      </c>
      <c r="M20" s="364">
        <v>46167</v>
      </c>
      <c r="N20" s="364">
        <f>M20-4</f>
        <v>46163</v>
      </c>
      <c r="O20" s="365"/>
      <c r="P20" s="365"/>
      <c r="Q20" s="354"/>
      <c r="R20" s="366" t="s">
        <v>94</v>
      </c>
      <c r="S20" s="367" t="s">
        <v>95</v>
      </c>
      <c r="T20" s="367" t="s">
        <v>95</v>
      </c>
      <c r="U20" s="360"/>
      <c r="V20" s="360"/>
      <c r="W20" s="360" t="s">
        <v>6821</v>
      </c>
      <c r="X20" s="364"/>
      <c r="Y20" s="357"/>
      <c r="Z20" s="368"/>
      <c r="AA20" s="354"/>
      <c r="AB20" s="354" t="s">
        <v>146</v>
      </c>
      <c r="AC20" s="354" t="s">
        <v>112</v>
      </c>
      <c r="AD20" s="354" t="s">
        <v>113</v>
      </c>
      <c r="AE20" s="354"/>
      <c r="AF20" s="365"/>
      <c r="AG20" s="365">
        <f>AF20-I20</f>
        <v>0</v>
      </c>
      <c r="AH20" s="354"/>
      <c r="AI20" s="354"/>
      <c r="AJ20" s="357">
        <f>I20</f>
        <v>0</v>
      </c>
      <c r="AK20" s="358"/>
      <c r="AL20" s="358"/>
      <c r="AM20" s="357">
        <f>I20</f>
        <v>0</v>
      </c>
      <c r="AN20" s="357"/>
      <c r="AO20" s="357"/>
      <c r="AP20" s="358"/>
      <c r="AQ20" s="357">
        <f>I20</f>
        <v>0</v>
      </c>
      <c r="AR20" s="357">
        <f>I20*0.06</f>
        <v>0</v>
      </c>
      <c r="AS20" s="357"/>
      <c r="AT20" s="358"/>
      <c r="AU20" s="357"/>
      <c r="AV20" s="357"/>
      <c r="AW20" s="357"/>
      <c r="AX20" s="357"/>
      <c r="AY20" s="357"/>
      <c r="AZ20" s="357"/>
      <c r="BA20" s="357"/>
      <c r="BB20" s="357"/>
      <c r="BC20" s="357"/>
      <c r="BD20" s="357"/>
      <c r="BE20" s="357"/>
      <c r="BF20" s="357"/>
      <c r="BG20" s="357"/>
      <c r="BH20" s="357">
        <f>I20/25</f>
        <v>0</v>
      </c>
      <c r="BI20" s="357"/>
      <c r="BJ20" s="358"/>
      <c r="BK20" s="357"/>
      <c r="BL20" s="357"/>
      <c r="BM20" s="357"/>
      <c r="BO20" s="357">
        <f>BG20+BH20+BJ20+BI20</f>
        <v>0</v>
      </c>
      <c r="BP20" s="357">
        <f>BL20</f>
        <v>0</v>
      </c>
      <c r="BQ20" s="357"/>
      <c r="BR20" s="357"/>
      <c r="BS20" s="357"/>
      <c r="BT20" s="357"/>
    </row>
    <row r="21" s="287" customFormat="1" ht="31" customHeight="1" spans="1:89">
      <c r="A21" s="398">
        <v>46142</v>
      </c>
      <c r="B21" s="399" t="s">
        <v>3527</v>
      </c>
      <c r="C21" s="400" t="s">
        <v>2458</v>
      </c>
      <c r="D21" s="401" t="s">
        <v>6015</v>
      </c>
      <c r="E21" s="400" t="s">
        <v>5872</v>
      </c>
      <c r="F21" s="401" t="s">
        <v>6822</v>
      </c>
      <c r="G21" s="402" t="s">
        <v>2460</v>
      </c>
      <c r="H21" s="400" t="s">
        <v>859</v>
      </c>
      <c r="I21" s="403">
        <v>15015</v>
      </c>
      <c r="J21" s="400">
        <v>0</v>
      </c>
      <c r="K21" s="400">
        <v>13</v>
      </c>
      <c r="L21" s="404">
        <f t="shared" si="5"/>
        <v>1155</v>
      </c>
      <c r="M21" s="405">
        <v>46241</v>
      </c>
      <c r="N21" s="405">
        <v>46237</v>
      </c>
      <c r="O21" s="406"/>
      <c r="P21" s="406"/>
      <c r="Q21" s="400"/>
      <c r="R21" s="407" t="s">
        <v>3064</v>
      </c>
      <c r="S21" s="408" t="s">
        <v>95</v>
      </c>
      <c r="T21" s="408" t="s">
        <v>6823</v>
      </c>
      <c r="U21" s="399"/>
      <c r="V21" s="401"/>
      <c r="W21" s="399" t="s">
        <v>6824</v>
      </c>
      <c r="X21" s="405" t="s">
        <v>3531</v>
      </c>
      <c r="Y21" s="401">
        <v>1.0121</v>
      </c>
      <c r="Z21" s="409">
        <f t="shared" ref="Z21:Z33" si="6">I21*Y21</f>
        <v>15196.6815</v>
      </c>
      <c r="AA21" s="400"/>
      <c r="AB21" s="400"/>
      <c r="AC21" s="400"/>
      <c r="AD21" s="400"/>
      <c r="AE21" s="400"/>
      <c r="AF21" s="406"/>
      <c r="AG21" s="406"/>
      <c r="AH21" s="400"/>
      <c r="AI21" s="400"/>
      <c r="AJ21" s="401"/>
      <c r="AK21" s="401"/>
      <c r="AL21" s="401"/>
      <c r="AM21" s="401"/>
      <c r="AN21" s="401"/>
      <c r="AO21" s="410"/>
      <c r="AP21" s="401"/>
      <c r="AQ21" s="411"/>
      <c r="AR21" s="401"/>
      <c r="AS21" s="401"/>
      <c r="AT21" s="401"/>
      <c r="AU21" s="401">
        <f>I21</f>
        <v>15015</v>
      </c>
      <c r="AV21" s="401">
        <f>I21</f>
        <v>15015</v>
      </c>
      <c r="AW21" s="401"/>
      <c r="AX21" s="401"/>
      <c r="AY21" s="401"/>
      <c r="AZ21" s="401"/>
      <c r="BA21" s="401"/>
      <c r="BB21" s="401"/>
      <c r="BC21" s="401"/>
      <c r="BD21" s="401"/>
      <c r="BE21" s="401"/>
      <c r="BF21" s="401">
        <f>I21/13</f>
        <v>1155</v>
      </c>
      <c r="BG21" s="401"/>
      <c r="BH21" s="401"/>
      <c r="BI21" s="410"/>
      <c r="BJ21" s="401"/>
      <c r="BK21" s="411"/>
      <c r="BL21" s="411"/>
      <c r="BM21" s="401"/>
      <c r="BN21" s="401"/>
      <c r="BO21" s="410"/>
      <c r="BP21" s="401"/>
      <c r="BQ21" s="401"/>
      <c r="BR21" s="357">
        <f>BH21+BI21+BL21+BK21</f>
        <v>0</v>
      </c>
      <c r="BS21" s="357">
        <f>BN21</f>
        <v>0</v>
      </c>
      <c r="BT21" s="401"/>
      <c r="BU21" s="401"/>
      <c r="BV21" s="401"/>
      <c r="BW21" s="401"/>
    </row>
    <row r="22" s="287" customFormat="1" ht="31" customHeight="1" spans="1:89">
      <c r="A22" s="398">
        <v>46142</v>
      </c>
      <c r="B22" s="399" t="s">
        <v>3527</v>
      </c>
      <c r="C22" s="400" t="s">
        <v>2458</v>
      </c>
      <c r="D22" s="401" t="s">
        <v>6015</v>
      </c>
      <c r="E22" s="400" t="s">
        <v>5872</v>
      </c>
      <c r="F22" s="401" t="s">
        <v>6825</v>
      </c>
      <c r="G22" s="402" t="s">
        <v>2460</v>
      </c>
      <c r="H22" s="400" t="s">
        <v>859</v>
      </c>
      <c r="I22" s="403">
        <v>22750</v>
      </c>
      <c r="J22" s="400">
        <v>0</v>
      </c>
      <c r="K22" s="400">
        <v>13</v>
      </c>
      <c r="L22" s="404">
        <f t="shared" si="5"/>
        <v>1750</v>
      </c>
      <c r="M22" s="405">
        <v>46248</v>
      </c>
      <c r="N22" s="405">
        <v>46244</v>
      </c>
      <c r="O22" s="406"/>
      <c r="P22" s="406"/>
      <c r="Q22" s="400"/>
      <c r="R22" s="407" t="s">
        <v>3064</v>
      </c>
      <c r="S22" s="408" t="s">
        <v>95</v>
      </c>
      <c r="T22" s="408" t="s">
        <v>6823</v>
      </c>
      <c r="U22" s="399"/>
      <c r="V22" s="401"/>
      <c r="W22" s="399" t="s">
        <v>6824</v>
      </c>
      <c r="X22" s="405" t="s">
        <v>3531</v>
      </c>
      <c r="Y22" s="401">
        <v>1.0121</v>
      </c>
      <c r="Z22" s="409">
        <f t="shared" si="6"/>
        <v>23025.275</v>
      </c>
      <c r="AA22" s="400"/>
      <c r="AB22" s="400"/>
      <c r="AC22" s="400"/>
      <c r="AD22" s="400"/>
      <c r="AE22" s="400"/>
      <c r="AF22" s="406"/>
      <c r="AG22" s="406"/>
      <c r="AH22" s="400"/>
      <c r="AI22" s="400"/>
      <c r="AJ22" s="401"/>
      <c r="AK22" s="401"/>
      <c r="AL22" s="401"/>
      <c r="AM22" s="401"/>
      <c r="AN22" s="401"/>
      <c r="AO22" s="410"/>
      <c r="AP22" s="401"/>
      <c r="AQ22" s="411"/>
      <c r="AR22" s="401"/>
      <c r="AS22" s="401"/>
      <c r="AT22" s="401"/>
      <c r="AU22" s="401">
        <f>I22</f>
        <v>22750</v>
      </c>
      <c r="AV22" s="401">
        <f>I22</f>
        <v>22750</v>
      </c>
      <c r="AW22" s="401"/>
      <c r="AX22" s="401"/>
      <c r="AY22" s="401"/>
      <c r="AZ22" s="401"/>
      <c r="BA22" s="401"/>
      <c r="BB22" s="401"/>
      <c r="BC22" s="401"/>
      <c r="BD22" s="401"/>
      <c r="BE22" s="401"/>
      <c r="BF22" s="401">
        <f>I22/13</f>
        <v>1750</v>
      </c>
      <c r="BG22" s="401"/>
      <c r="BH22" s="401"/>
      <c r="BI22" s="410"/>
      <c r="BJ22" s="401"/>
      <c r="BK22" s="411"/>
      <c r="BL22" s="411"/>
      <c r="BM22" s="401"/>
      <c r="BN22" s="401"/>
      <c r="BO22" s="410"/>
      <c r="BP22" s="401"/>
      <c r="BQ22" s="401"/>
      <c r="BR22" s="357">
        <f>BH22+BI22+BL22+BK22</f>
        <v>0</v>
      </c>
      <c r="BS22" s="357">
        <f>BN22</f>
        <v>0</v>
      </c>
      <c r="BT22" s="401"/>
      <c r="BU22" s="401"/>
      <c r="BV22" s="401"/>
      <c r="BW22" s="401"/>
    </row>
    <row r="23" s="287" customFormat="1" ht="31" customHeight="1" spans="1:89">
      <c r="A23" s="398">
        <v>46142</v>
      </c>
      <c r="B23" s="399" t="s">
        <v>3527</v>
      </c>
      <c r="C23" s="400" t="s">
        <v>2458</v>
      </c>
      <c r="D23" s="401" t="s">
        <v>6826</v>
      </c>
      <c r="E23" s="400" t="s">
        <v>6827</v>
      </c>
      <c r="F23" s="401" t="s">
        <v>6828</v>
      </c>
      <c r="G23" s="402" t="s">
        <v>2460</v>
      </c>
      <c r="H23" s="400" t="s">
        <v>859</v>
      </c>
      <c r="I23" s="403">
        <v>1040</v>
      </c>
      <c r="J23" s="400">
        <v>0</v>
      </c>
      <c r="K23" s="400">
        <v>13</v>
      </c>
      <c r="L23" s="404">
        <f t="shared" si="5"/>
        <v>80</v>
      </c>
      <c r="M23" s="405">
        <v>46220</v>
      </c>
      <c r="N23" s="405">
        <v>46216</v>
      </c>
      <c r="O23" s="406"/>
      <c r="P23" s="406"/>
      <c r="Q23" s="400"/>
      <c r="R23" s="407" t="s">
        <v>3064</v>
      </c>
      <c r="S23" s="408" t="s">
        <v>95</v>
      </c>
      <c r="T23" s="408" t="s">
        <v>6823</v>
      </c>
      <c r="U23" s="399"/>
      <c r="V23" s="401"/>
      <c r="W23" s="399" t="s">
        <v>6824</v>
      </c>
      <c r="X23" s="405" t="s">
        <v>3531</v>
      </c>
      <c r="Y23" s="401">
        <v>1.0121</v>
      </c>
      <c r="Z23" s="409">
        <f t="shared" si="6"/>
        <v>1052.584</v>
      </c>
      <c r="AA23" s="400"/>
      <c r="AB23" s="400"/>
      <c r="AC23" s="400"/>
      <c r="AD23" s="400"/>
      <c r="AE23" s="400"/>
      <c r="AF23" s="406"/>
      <c r="AG23" s="406"/>
      <c r="AH23" s="400"/>
      <c r="AI23" s="400"/>
      <c r="AJ23" s="401"/>
      <c r="AK23" s="401"/>
      <c r="AL23" s="401"/>
      <c r="AM23" s="401"/>
      <c r="AN23" s="401"/>
      <c r="AO23" s="410"/>
      <c r="AP23" s="401"/>
      <c r="AQ23" s="411"/>
      <c r="AR23" s="401"/>
      <c r="AS23" s="401"/>
      <c r="AT23" s="401"/>
      <c r="AU23" s="401">
        <f>I23</f>
        <v>1040</v>
      </c>
      <c r="AV23" s="401">
        <f>I23</f>
        <v>1040</v>
      </c>
      <c r="AW23" s="401"/>
      <c r="AX23" s="401"/>
      <c r="AY23" s="401"/>
      <c r="AZ23" s="401"/>
      <c r="BA23" s="401"/>
      <c r="BB23" s="401"/>
      <c r="BC23" s="401"/>
      <c r="BD23" s="401"/>
      <c r="BE23" s="401"/>
      <c r="BF23" s="401">
        <f>I23/13</f>
        <v>80</v>
      </c>
      <c r="BG23" s="401"/>
      <c r="BH23" s="401"/>
      <c r="BI23" s="410"/>
      <c r="BJ23" s="401"/>
      <c r="BK23" s="411"/>
      <c r="BL23" s="411"/>
      <c r="BM23" s="401"/>
      <c r="BN23" s="401"/>
      <c r="BO23" s="410"/>
      <c r="BP23" s="401"/>
      <c r="BQ23" s="401"/>
      <c r="BR23" s="357">
        <f>BH23+BI23+BL23+BK23</f>
        <v>0</v>
      </c>
      <c r="BS23" s="357">
        <f>BN23</f>
        <v>0</v>
      </c>
      <c r="BT23" s="401"/>
      <c r="BU23" s="401"/>
      <c r="BV23" s="401"/>
      <c r="BW23" s="401"/>
    </row>
    <row r="24" s="287" customFormat="1" ht="31" customHeight="1" spans="1:89">
      <c r="A24" s="398">
        <v>46142</v>
      </c>
      <c r="B24" s="399" t="s">
        <v>3527</v>
      </c>
      <c r="C24" s="400" t="s">
        <v>2458</v>
      </c>
      <c r="D24" s="401" t="s">
        <v>6826</v>
      </c>
      <c r="E24" s="400" t="s">
        <v>6827</v>
      </c>
      <c r="F24" s="401" t="s">
        <v>6829</v>
      </c>
      <c r="G24" s="402" t="s">
        <v>2460</v>
      </c>
      <c r="H24" s="400" t="s">
        <v>859</v>
      </c>
      <c r="I24" s="403">
        <v>15002</v>
      </c>
      <c r="J24" s="400">
        <v>0</v>
      </c>
      <c r="K24" s="400">
        <v>13</v>
      </c>
      <c r="L24" s="404">
        <f t="shared" si="5"/>
        <v>1154</v>
      </c>
      <c r="M24" s="405">
        <v>46227</v>
      </c>
      <c r="N24" s="405">
        <v>46223</v>
      </c>
      <c r="O24" s="406"/>
      <c r="P24" s="406"/>
      <c r="Q24" s="400"/>
      <c r="R24" s="407" t="s">
        <v>3064</v>
      </c>
      <c r="S24" s="408" t="s">
        <v>95</v>
      </c>
      <c r="T24" s="408" t="s">
        <v>6823</v>
      </c>
      <c r="U24" s="399"/>
      <c r="V24" s="401"/>
      <c r="W24" s="399" t="s">
        <v>6824</v>
      </c>
      <c r="X24" s="405" t="s">
        <v>3531</v>
      </c>
      <c r="Y24" s="401">
        <v>1.0121</v>
      </c>
      <c r="Z24" s="409">
        <f t="shared" si="6"/>
        <v>15183.5242</v>
      </c>
      <c r="AA24" s="400"/>
      <c r="AB24" s="400"/>
      <c r="AC24" s="400"/>
      <c r="AD24" s="400"/>
      <c r="AE24" s="400"/>
      <c r="AF24" s="406"/>
      <c r="AG24" s="406"/>
      <c r="AH24" s="400"/>
      <c r="AI24" s="400"/>
      <c r="AJ24" s="401"/>
      <c r="AK24" s="401"/>
      <c r="AL24" s="401"/>
      <c r="AM24" s="401"/>
      <c r="AN24" s="401"/>
      <c r="AO24" s="410"/>
      <c r="AP24" s="401"/>
      <c r="AQ24" s="411"/>
      <c r="AR24" s="401"/>
      <c r="AS24" s="401"/>
      <c r="AT24" s="401"/>
      <c r="AU24" s="401">
        <f>I24</f>
        <v>15002</v>
      </c>
      <c r="AV24" s="401">
        <f>I24</f>
        <v>15002</v>
      </c>
      <c r="AW24" s="401"/>
      <c r="AX24" s="401"/>
      <c r="AY24" s="401"/>
      <c r="AZ24" s="401"/>
      <c r="BA24" s="401"/>
      <c r="BB24" s="401"/>
      <c r="BC24" s="401"/>
      <c r="BD24" s="401"/>
      <c r="BE24" s="401"/>
      <c r="BF24" s="401">
        <f>I24/13</f>
        <v>1154</v>
      </c>
      <c r="BG24" s="401"/>
      <c r="BH24" s="401"/>
      <c r="BI24" s="410"/>
      <c r="BJ24" s="401"/>
      <c r="BK24" s="411"/>
      <c r="BL24" s="411"/>
      <c r="BM24" s="401"/>
      <c r="BN24" s="401"/>
      <c r="BO24" s="410"/>
      <c r="BP24" s="401"/>
      <c r="BQ24" s="401"/>
      <c r="BR24" s="357">
        <f>BH24+BI24+BL24+BK24</f>
        <v>0</v>
      </c>
      <c r="BS24" s="357">
        <f>BN24</f>
        <v>0</v>
      </c>
      <c r="BT24" s="401"/>
      <c r="BU24" s="401"/>
      <c r="BV24" s="401"/>
      <c r="BW24" s="401"/>
    </row>
    <row r="25" s="287" customFormat="1" ht="31" customHeight="1" spans="1:89">
      <c r="A25" s="398">
        <v>46142</v>
      </c>
      <c r="B25" s="399" t="s">
        <v>3527</v>
      </c>
      <c r="C25" s="400" t="s">
        <v>2458</v>
      </c>
      <c r="D25" s="401" t="s">
        <v>6826</v>
      </c>
      <c r="E25" s="400" t="s">
        <v>6827</v>
      </c>
      <c r="F25" s="401" t="s">
        <v>6830</v>
      </c>
      <c r="G25" s="402" t="s">
        <v>2460</v>
      </c>
      <c r="H25" s="400" t="s">
        <v>859</v>
      </c>
      <c r="I25" s="403">
        <v>12012</v>
      </c>
      <c r="J25" s="400">
        <v>0</v>
      </c>
      <c r="K25" s="400">
        <v>13</v>
      </c>
      <c r="L25" s="404">
        <f t="shared" si="5"/>
        <v>924</v>
      </c>
      <c r="M25" s="405">
        <v>46234</v>
      </c>
      <c r="N25" s="405">
        <v>46230</v>
      </c>
      <c r="O25" s="406"/>
      <c r="P25" s="406"/>
      <c r="Q25" s="400"/>
      <c r="R25" s="407" t="s">
        <v>3064</v>
      </c>
      <c r="S25" s="408" t="s">
        <v>95</v>
      </c>
      <c r="T25" s="408" t="s">
        <v>6823</v>
      </c>
      <c r="U25" s="399"/>
      <c r="V25" s="401"/>
      <c r="W25" s="399" t="s">
        <v>6824</v>
      </c>
      <c r="X25" s="405" t="s">
        <v>3531</v>
      </c>
      <c r="Y25" s="401">
        <v>1.0121</v>
      </c>
      <c r="Z25" s="409">
        <f t="shared" si="6"/>
        <v>12157.3452</v>
      </c>
      <c r="AA25" s="400"/>
      <c r="AB25" s="400"/>
      <c r="AC25" s="400"/>
      <c r="AD25" s="400"/>
      <c r="AE25" s="400"/>
      <c r="AF25" s="406"/>
      <c r="AG25" s="406"/>
      <c r="AH25" s="400"/>
      <c r="AI25" s="400"/>
      <c r="AJ25" s="401"/>
      <c r="AK25" s="401"/>
      <c r="AL25" s="401"/>
      <c r="AM25" s="401"/>
      <c r="AN25" s="401"/>
      <c r="AO25" s="410"/>
      <c r="AP25" s="401"/>
      <c r="AQ25" s="411"/>
      <c r="AR25" s="401"/>
      <c r="AS25" s="401"/>
      <c r="AT25" s="401"/>
      <c r="AU25" s="401">
        <f>I25</f>
        <v>12012</v>
      </c>
      <c r="AV25" s="401">
        <f>I25</f>
        <v>12012</v>
      </c>
      <c r="AW25" s="401"/>
      <c r="AX25" s="401"/>
      <c r="AY25" s="401"/>
      <c r="AZ25" s="401"/>
      <c r="BA25" s="401"/>
      <c r="BB25" s="401"/>
      <c r="BC25" s="401"/>
      <c r="BD25" s="401"/>
      <c r="BE25" s="401"/>
      <c r="BF25" s="401">
        <f>I25/13</f>
        <v>924</v>
      </c>
      <c r="BG25" s="401"/>
      <c r="BH25" s="401"/>
      <c r="BI25" s="410"/>
      <c r="BJ25" s="401"/>
      <c r="BK25" s="411"/>
      <c r="BL25" s="411"/>
      <c r="BM25" s="401"/>
      <c r="BN25" s="401"/>
      <c r="BO25" s="410"/>
      <c r="BP25" s="401"/>
      <c r="BQ25" s="401"/>
      <c r="BR25" s="357">
        <f>BH25+BI25+BL25+BK25</f>
        <v>0</v>
      </c>
      <c r="BS25" s="357">
        <f>BN25</f>
        <v>0</v>
      </c>
      <c r="BT25" s="401"/>
      <c r="BU25" s="401"/>
      <c r="BV25" s="401"/>
      <c r="BW25" s="401"/>
    </row>
    <row r="26" s="286" customFormat="1" ht="31" customHeight="1" spans="1:89">
      <c r="A26" s="345">
        <v>46051</v>
      </c>
      <c r="B26" s="346" t="s">
        <v>180</v>
      </c>
      <c r="C26" s="347" t="s">
        <v>115</v>
      </c>
      <c r="D26" s="348">
        <v>4500192527</v>
      </c>
      <c r="E26" s="347">
        <v>5200008817</v>
      </c>
      <c r="F26" s="348" t="s">
        <v>6831</v>
      </c>
      <c r="G26" s="349" t="s">
        <v>4141</v>
      </c>
      <c r="H26" s="347" t="s">
        <v>3969</v>
      </c>
      <c r="I26" s="347">
        <v>10000</v>
      </c>
      <c r="J26" s="347">
        <v>0</v>
      </c>
      <c r="K26" s="347">
        <v>16</v>
      </c>
      <c r="L26" s="350">
        <f t="shared" si="5"/>
        <v>625</v>
      </c>
      <c r="M26" s="351">
        <v>46192</v>
      </c>
      <c r="N26" s="351">
        <f>M26-4</f>
        <v>46188</v>
      </c>
      <c r="O26" s="346"/>
      <c r="P26" s="352"/>
      <c r="Q26" s="352"/>
      <c r="R26" s="412">
        <v>46051</v>
      </c>
      <c r="S26" s="353" t="s">
        <v>107</v>
      </c>
      <c r="T26" s="353" t="s">
        <v>95</v>
      </c>
      <c r="U26" s="353"/>
      <c r="V26" s="353"/>
      <c r="W26" s="353" t="s">
        <v>4364</v>
      </c>
      <c r="X26" s="351" t="s">
        <v>2207</v>
      </c>
      <c r="Y26" s="354">
        <v>2.466</v>
      </c>
      <c r="Z26" s="354">
        <f t="shared" si="6"/>
        <v>24660</v>
      </c>
      <c r="AA26" s="355"/>
      <c r="AB26" s="356" t="s">
        <v>3968</v>
      </c>
      <c r="AC26" s="347" t="s">
        <v>112</v>
      </c>
      <c r="AD26" s="347">
        <f t="shared" ref="AD26:AD31" si="7">I26</f>
        <v>10000</v>
      </c>
      <c r="AE26" s="347"/>
      <c r="AF26" s="347"/>
      <c r="AG26" s="347"/>
      <c r="AH26" s="347">
        <f t="shared" ref="AH26:AH31" si="8">AG26-I26</f>
        <v>-10000</v>
      </c>
      <c r="AI26" s="352"/>
      <c r="AJ26" s="352"/>
      <c r="AK26" s="357">
        <f t="shared" ref="AK26:AK31" si="9">I26</f>
        <v>10000</v>
      </c>
      <c r="AL26" s="357"/>
      <c r="AM26" s="357"/>
      <c r="AN26" s="357">
        <f t="shared" ref="AN26:AN31" si="10">I26</f>
        <v>10000</v>
      </c>
      <c r="AO26" s="357"/>
      <c r="AP26" s="357"/>
      <c r="AQ26" s="357"/>
      <c r="AR26" s="348"/>
      <c r="AS26" s="348"/>
      <c r="AT26" s="357"/>
      <c r="AU26" s="357"/>
      <c r="AV26" s="357"/>
      <c r="AW26" s="357"/>
      <c r="AX26" s="357"/>
      <c r="AY26" s="357"/>
      <c r="AZ26" s="357"/>
      <c r="BA26" s="348"/>
      <c r="BB26" s="357"/>
    </row>
    <row r="27" s="286" customFormat="1" ht="31" customHeight="1" spans="1:89">
      <c r="A27" s="345">
        <v>46051</v>
      </c>
      <c r="B27" s="346" t="s">
        <v>180</v>
      </c>
      <c r="C27" s="347" t="s">
        <v>115</v>
      </c>
      <c r="D27" s="348">
        <v>4500192527</v>
      </c>
      <c r="E27" s="347">
        <v>5200008817</v>
      </c>
      <c r="F27" s="348" t="s">
        <v>6832</v>
      </c>
      <c r="G27" s="349" t="s">
        <v>4141</v>
      </c>
      <c r="H27" s="347" t="s">
        <v>3969</v>
      </c>
      <c r="I27" s="347">
        <v>10000</v>
      </c>
      <c r="J27" s="347">
        <v>0</v>
      </c>
      <c r="K27" s="347">
        <v>16</v>
      </c>
      <c r="L27" s="350">
        <f t="shared" si="5"/>
        <v>625</v>
      </c>
      <c r="M27" s="351">
        <v>46185</v>
      </c>
      <c r="N27" s="351">
        <f>M27-4</f>
        <v>46181</v>
      </c>
      <c r="O27" s="346"/>
      <c r="P27" s="352"/>
      <c r="Q27" s="352"/>
      <c r="R27" s="370">
        <v>46051</v>
      </c>
      <c r="S27" s="353" t="s">
        <v>107</v>
      </c>
      <c r="T27" s="353" t="s">
        <v>95</v>
      </c>
      <c r="U27" s="353"/>
      <c r="V27" s="353"/>
      <c r="W27" s="353" t="s">
        <v>4364</v>
      </c>
      <c r="X27" s="351" t="s">
        <v>2207</v>
      </c>
      <c r="Y27" s="354">
        <v>2.466</v>
      </c>
      <c r="Z27" s="354">
        <f t="shared" si="6"/>
        <v>24660</v>
      </c>
      <c r="AA27" s="355"/>
      <c r="AB27" s="356" t="s">
        <v>3968</v>
      </c>
      <c r="AC27" s="347" t="s">
        <v>112</v>
      </c>
      <c r="AD27" s="347">
        <f t="shared" si="7"/>
        <v>10000</v>
      </c>
      <c r="AE27" s="347"/>
      <c r="AF27" s="347"/>
      <c r="AG27" s="347"/>
      <c r="AH27" s="347">
        <f t="shared" si="8"/>
        <v>-10000</v>
      </c>
      <c r="AI27" s="352"/>
      <c r="AJ27" s="352"/>
      <c r="AK27" s="357">
        <f t="shared" si="9"/>
        <v>10000</v>
      </c>
      <c r="AL27" s="357"/>
      <c r="AM27" s="357"/>
      <c r="AN27" s="357">
        <f t="shared" si="10"/>
        <v>10000</v>
      </c>
      <c r="AO27" s="357"/>
      <c r="AP27" s="357"/>
      <c r="AQ27" s="357"/>
      <c r="AR27" s="348"/>
      <c r="AS27" s="348"/>
      <c r="AT27" s="357"/>
      <c r="AU27" s="357"/>
      <c r="AV27" s="357"/>
      <c r="AW27" s="357"/>
      <c r="AX27" s="357"/>
      <c r="AY27" s="357"/>
      <c r="AZ27" s="357"/>
      <c r="BA27" s="348"/>
      <c r="BB27" s="357"/>
      <c r="BC27" s="413"/>
      <c r="BD27" s="413"/>
      <c r="BE27" s="413"/>
      <c r="BF27" s="413"/>
      <c r="BG27" s="413"/>
      <c r="BH27" s="413"/>
      <c r="BI27" s="413"/>
      <c r="BJ27" s="413"/>
      <c r="BK27" s="413"/>
      <c r="BL27" s="413"/>
      <c r="BM27" s="413"/>
      <c r="BN27" s="413"/>
      <c r="BO27" s="413"/>
      <c r="BP27" s="413"/>
      <c r="BQ27" s="413"/>
      <c r="BR27" s="413"/>
      <c r="BS27" s="413"/>
      <c r="BT27" s="413"/>
      <c r="BU27" s="413"/>
      <c r="BV27" s="413"/>
      <c r="BW27" s="413"/>
      <c r="BX27" s="413"/>
      <c r="BY27" s="413"/>
      <c r="BZ27" s="413"/>
      <c r="CA27" s="413"/>
      <c r="CB27" s="413"/>
      <c r="CC27" s="413"/>
      <c r="CD27" s="413"/>
      <c r="CE27" s="413"/>
      <c r="CF27" s="413"/>
      <c r="CG27" s="413"/>
      <c r="CH27" s="413"/>
      <c r="CI27" s="413"/>
      <c r="CJ27" s="413"/>
      <c r="CK27" s="413"/>
    </row>
    <row r="28" s="286" customFormat="1" ht="31" customHeight="1" spans="1:89">
      <c r="A28" s="345">
        <v>46051</v>
      </c>
      <c r="B28" s="346" t="s">
        <v>180</v>
      </c>
      <c r="C28" s="347" t="s">
        <v>115</v>
      </c>
      <c r="D28" s="348">
        <v>4500192527</v>
      </c>
      <c r="E28" s="347">
        <v>5200008817</v>
      </c>
      <c r="F28" s="348" t="s">
        <v>6833</v>
      </c>
      <c r="G28" s="349" t="s">
        <v>4141</v>
      </c>
      <c r="H28" s="347" t="s">
        <v>3969</v>
      </c>
      <c r="I28" s="347">
        <v>10000</v>
      </c>
      <c r="J28" s="347">
        <v>0</v>
      </c>
      <c r="K28" s="347">
        <v>16</v>
      </c>
      <c r="L28" s="350">
        <f t="shared" si="5"/>
        <v>625</v>
      </c>
      <c r="M28" s="351">
        <v>46178</v>
      </c>
      <c r="N28" s="351">
        <f>M28-4</f>
        <v>46174</v>
      </c>
      <c r="O28" s="346"/>
      <c r="P28" s="352"/>
      <c r="Q28" s="352"/>
      <c r="R28" s="370">
        <v>46051</v>
      </c>
      <c r="S28" s="353" t="s">
        <v>107</v>
      </c>
      <c r="T28" s="353" t="s">
        <v>95</v>
      </c>
      <c r="U28" s="353"/>
      <c r="V28" s="353"/>
      <c r="W28" s="353" t="s">
        <v>4364</v>
      </c>
      <c r="X28" s="351" t="s">
        <v>2207</v>
      </c>
      <c r="Y28" s="354">
        <v>2.466</v>
      </c>
      <c r="Z28" s="354">
        <f t="shared" si="6"/>
        <v>24660</v>
      </c>
      <c r="AA28" s="355"/>
      <c r="AB28" s="356" t="s">
        <v>3968</v>
      </c>
      <c r="AC28" s="347" t="s">
        <v>112</v>
      </c>
      <c r="AD28" s="347">
        <f t="shared" si="7"/>
        <v>10000</v>
      </c>
      <c r="AE28" s="347"/>
      <c r="AF28" s="347"/>
      <c r="AG28" s="347"/>
      <c r="AH28" s="347">
        <f t="shared" si="8"/>
        <v>-10000</v>
      </c>
      <c r="AI28" s="352"/>
      <c r="AJ28" s="352"/>
      <c r="AK28" s="357">
        <f t="shared" si="9"/>
        <v>10000</v>
      </c>
      <c r="AL28" s="357"/>
      <c r="AM28" s="357"/>
      <c r="AN28" s="357">
        <f t="shared" si="10"/>
        <v>10000</v>
      </c>
      <c r="AO28" s="357"/>
      <c r="AP28" s="357"/>
      <c r="AQ28" s="357"/>
      <c r="AR28" s="348"/>
      <c r="AS28" s="348"/>
      <c r="AT28" s="357"/>
      <c r="AU28" s="357"/>
      <c r="AV28" s="357"/>
      <c r="AW28" s="357"/>
      <c r="AX28" s="357"/>
      <c r="AY28" s="357"/>
      <c r="AZ28" s="357"/>
      <c r="BA28" s="348"/>
      <c r="BB28" s="357"/>
    </row>
    <row r="29" s="286" customFormat="1" ht="31" customHeight="1" spans="1:89">
      <c r="A29" s="345" t="s">
        <v>6814</v>
      </c>
      <c r="B29" s="346" t="s">
        <v>180</v>
      </c>
      <c r="C29" s="347" t="s">
        <v>115</v>
      </c>
      <c r="D29" s="348" t="s">
        <v>6834</v>
      </c>
      <c r="E29" s="347" t="s">
        <v>4279</v>
      </c>
      <c r="F29" s="348" t="s">
        <v>6835</v>
      </c>
      <c r="G29" s="349" t="s">
        <v>4141</v>
      </c>
      <c r="H29" s="347" t="s">
        <v>3969</v>
      </c>
      <c r="I29" s="347">
        <v>34000</v>
      </c>
      <c r="J29" s="347">
        <v>0</v>
      </c>
      <c r="K29" s="347">
        <v>16</v>
      </c>
      <c r="L29" s="350">
        <f t="shared" si="5"/>
        <v>2125</v>
      </c>
      <c r="M29" s="351">
        <v>46213</v>
      </c>
      <c r="N29" s="351">
        <f>M29-4</f>
        <v>46209</v>
      </c>
      <c r="O29" s="365"/>
      <c r="P29" s="352"/>
      <c r="Q29" s="352"/>
      <c r="R29" s="412">
        <v>46094</v>
      </c>
      <c r="S29" s="353" t="s">
        <v>107</v>
      </c>
      <c r="T29" s="414" t="s">
        <v>95</v>
      </c>
      <c r="U29" s="353"/>
      <c r="V29" s="353"/>
      <c r="W29" s="353" t="s">
        <v>4281</v>
      </c>
      <c r="X29" s="351" t="s">
        <v>557</v>
      </c>
      <c r="Y29" s="354">
        <v>2.466</v>
      </c>
      <c r="Z29" s="354">
        <f t="shared" si="6"/>
        <v>83844</v>
      </c>
      <c r="AA29" s="357"/>
      <c r="AB29" s="349" t="s">
        <v>3968</v>
      </c>
      <c r="AC29" s="347" t="s">
        <v>112</v>
      </c>
      <c r="AD29" s="347">
        <f t="shared" si="7"/>
        <v>34000</v>
      </c>
      <c r="AE29" s="347"/>
      <c r="AF29" s="347"/>
      <c r="AG29" s="347"/>
      <c r="AH29" s="347">
        <f t="shared" si="8"/>
        <v>-34000</v>
      </c>
      <c r="AI29" s="352"/>
      <c r="AJ29" s="352"/>
      <c r="AK29" s="357">
        <f t="shared" si="9"/>
        <v>34000</v>
      </c>
      <c r="AL29" s="357"/>
      <c r="AM29" s="357"/>
      <c r="AN29" s="357">
        <f t="shared" si="10"/>
        <v>34000</v>
      </c>
      <c r="AO29" s="357"/>
      <c r="AP29" s="357"/>
      <c r="AQ29" s="357"/>
      <c r="AR29" s="348"/>
      <c r="AS29" s="348"/>
      <c r="AT29" s="357"/>
      <c r="AU29" s="357"/>
      <c r="AV29" s="357"/>
      <c r="AW29" s="357"/>
      <c r="AX29" s="357"/>
      <c r="AY29" s="357"/>
      <c r="AZ29" s="357"/>
      <c r="BA29" s="348"/>
      <c r="BB29" s="357"/>
    </row>
    <row r="30" s="286" customFormat="1" ht="31" customHeight="1" spans="1:89">
      <c r="A30" s="345">
        <v>46086</v>
      </c>
      <c r="B30" s="346" t="s">
        <v>180</v>
      </c>
      <c r="C30" s="347" t="s">
        <v>115</v>
      </c>
      <c r="D30" s="348">
        <v>4500195408</v>
      </c>
      <c r="E30" s="347">
        <v>5200009179</v>
      </c>
      <c r="F30" s="348" t="s">
        <v>6836</v>
      </c>
      <c r="G30" s="349" t="s">
        <v>4141</v>
      </c>
      <c r="H30" s="347" t="s">
        <v>3969</v>
      </c>
      <c r="I30" s="347">
        <v>10000</v>
      </c>
      <c r="J30" s="347">
        <v>0</v>
      </c>
      <c r="K30" s="347">
        <v>16</v>
      </c>
      <c r="L30" s="350">
        <f t="shared" si="5"/>
        <v>625</v>
      </c>
      <c r="M30" s="351">
        <v>46178</v>
      </c>
      <c r="N30" s="351">
        <v>46174</v>
      </c>
      <c r="O30" s="346"/>
      <c r="P30" s="352"/>
      <c r="Q30" s="352"/>
      <c r="R30" s="370">
        <v>46086</v>
      </c>
      <c r="S30" s="353" t="s">
        <v>107</v>
      </c>
      <c r="T30" s="353" t="s">
        <v>95</v>
      </c>
      <c r="U30" s="353"/>
      <c r="V30" s="353"/>
      <c r="W30" s="353" t="s">
        <v>6837</v>
      </c>
      <c r="X30" s="351" t="s">
        <v>393</v>
      </c>
      <c r="Y30" s="354">
        <v>2.466</v>
      </c>
      <c r="Z30" s="354">
        <f t="shared" si="6"/>
        <v>24660</v>
      </c>
      <c r="AA30" s="355"/>
      <c r="AB30" s="349" t="s">
        <v>3968</v>
      </c>
      <c r="AC30" s="347" t="s">
        <v>112</v>
      </c>
      <c r="AD30" s="347">
        <f t="shared" si="7"/>
        <v>10000</v>
      </c>
      <c r="AE30" s="347"/>
      <c r="AF30" s="347"/>
      <c r="AG30" s="347"/>
      <c r="AH30" s="347">
        <f t="shared" si="8"/>
        <v>-10000</v>
      </c>
      <c r="AI30" s="352"/>
      <c r="AJ30" s="352"/>
      <c r="AK30" s="357">
        <f t="shared" si="9"/>
        <v>10000</v>
      </c>
      <c r="AL30" s="357"/>
      <c r="AM30" s="357"/>
      <c r="AN30" s="357">
        <f t="shared" si="10"/>
        <v>10000</v>
      </c>
      <c r="AO30" s="357"/>
      <c r="AP30" s="357"/>
      <c r="AQ30" s="357"/>
      <c r="AR30" s="348"/>
      <c r="AS30" s="348"/>
      <c r="AT30" s="357"/>
      <c r="AU30" s="357"/>
      <c r="AV30" s="357"/>
      <c r="AW30" s="357"/>
      <c r="AX30" s="357"/>
      <c r="AY30" s="357"/>
      <c r="AZ30" s="357"/>
      <c r="BA30" s="348"/>
      <c r="BB30" s="357"/>
      <c r="BC30" s="413"/>
      <c r="BD30" s="413"/>
      <c r="BE30" s="413"/>
      <c r="BF30" s="413"/>
      <c r="BG30" s="413"/>
      <c r="BH30" s="413"/>
      <c r="BI30" s="413"/>
      <c r="BJ30" s="413"/>
      <c r="BK30" s="413"/>
      <c r="BL30" s="413"/>
      <c r="BM30" s="413"/>
      <c r="BN30" s="413"/>
      <c r="BO30" s="413"/>
      <c r="BP30" s="413"/>
      <c r="BQ30" s="413"/>
      <c r="BR30" s="413"/>
      <c r="BS30" s="413"/>
      <c r="BT30" s="413"/>
      <c r="BU30" s="413"/>
      <c r="BV30" s="413"/>
      <c r="BW30" s="413"/>
      <c r="BX30" s="413"/>
      <c r="BY30" s="413"/>
      <c r="BZ30" s="413"/>
      <c r="CA30" s="413"/>
      <c r="CB30" s="413"/>
      <c r="CC30" s="413"/>
      <c r="CD30" s="413"/>
      <c r="CE30" s="413"/>
      <c r="CF30" s="413"/>
      <c r="CG30" s="413"/>
      <c r="CH30" s="413"/>
      <c r="CI30" s="413"/>
      <c r="CJ30" s="413"/>
      <c r="CK30" s="413"/>
    </row>
    <row r="31" s="286" customFormat="1" ht="31" customHeight="1" spans="1:89">
      <c r="A31" s="345">
        <v>46083</v>
      </c>
      <c r="B31" s="346" t="s">
        <v>1110</v>
      </c>
      <c r="C31" s="347" t="s">
        <v>1111</v>
      </c>
      <c r="D31" s="348">
        <v>4500194882</v>
      </c>
      <c r="E31" s="347"/>
      <c r="F31" s="348" t="s">
        <v>6838</v>
      </c>
      <c r="G31" s="349" t="s">
        <v>3973</v>
      </c>
      <c r="H31" s="347" t="s">
        <v>3995</v>
      </c>
      <c r="I31" s="369">
        <v>10000</v>
      </c>
      <c r="J31" s="347">
        <v>0</v>
      </c>
      <c r="K31" s="347">
        <v>16</v>
      </c>
      <c r="L31" s="350">
        <f t="shared" si="5"/>
        <v>625</v>
      </c>
      <c r="M31" s="351">
        <v>46164</v>
      </c>
      <c r="N31" s="351">
        <v>46160</v>
      </c>
      <c r="O31" s="346"/>
      <c r="P31" s="352"/>
      <c r="Q31" s="352"/>
      <c r="R31" s="370">
        <v>46106</v>
      </c>
      <c r="S31" s="353" t="s">
        <v>107</v>
      </c>
      <c r="T31" s="353" t="s">
        <v>95</v>
      </c>
      <c r="U31" s="353"/>
      <c r="V31" s="353"/>
      <c r="W31" s="353" t="s">
        <v>6839</v>
      </c>
      <c r="X31" s="351" t="s">
        <v>222</v>
      </c>
      <c r="Y31" s="354">
        <v>4.355</v>
      </c>
      <c r="Z31" s="354">
        <f t="shared" si="6"/>
        <v>43550</v>
      </c>
      <c r="AA31" s="355"/>
      <c r="AB31" s="415" t="s">
        <v>3973</v>
      </c>
      <c r="AC31" s="347" t="s">
        <v>112</v>
      </c>
      <c r="AD31" s="347">
        <f t="shared" si="7"/>
        <v>10000</v>
      </c>
      <c r="AE31" s="347"/>
      <c r="AF31" s="347"/>
      <c r="AG31" s="347"/>
      <c r="AH31" s="347">
        <f t="shared" si="8"/>
        <v>-10000</v>
      </c>
      <c r="AI31" s="352"/>
      <c r="AJ31" s="352" t="s">
        <v>120</v>
      </c>
      <c r="AK31" s="357">
        <f t="shared" si="9"/>
        <v>10000</v>
      </c>
      <c r="AL31" s="357"/>
      <c r="AM31" s="357"/>
      <c r="AN31" s="357">
        <f t="shared" si="10"/>
        <v>10000</v>
      </c>
      <c r="AO31" s="357"/>
      <c r="AP31" s="357"/>
      <c r="AQ31" s="357"/>
      <c r="AR31" s="357"/>
      <c r="AS31" s="348"/>
      <c r="AT31" s="348">
        <f>I31/8</f>
        <v>1250</v>
      </c>
      <c r="AU31" s="357"/>
      <c r="AV31" s="357"/>
      <c r="AW31" s="357"/>
      <c r="AX31" s="357"/>
      <c r="AY31" s="357"/>
      <c r="AZ31" s="357"/>
      <c r="BA31" s="357"/>
      <c r="BB31" s="357"/>
      <c r="BC31" s="348"/>
      <c r="BD31" s="357"/>
    </row>
    <row r="32" s="286" customFormat="1" ht="31" customHeight="1" spans="1:89">
      <c r="A32" s="359">
        <v>46083</v>
      </c>
      <c r="B32" s="360" t="s">
        <v>1110</v>
      </c>
      <c r="C32" s="354" t="s">
        <v>1111</v>
      </c>
      <c r="D32" s="357">
        <v>4500194881</v>
      </c>
      <c r="E32" s="354"/>
      <c r="F32" s="357" t="s">
        <v>6840</v>
      </c>
      <c r="G32" s="361" t="s">
        <v>188</v>
      </c>
      <c r="H32" s="354" t="s">
        <v>138</v>
      </c>
      <c r="I32" s="362">
        <v>20000</v>
      </c>
      <c r="J32" s="354">
        <v>0</v>
      </c>
      <c r="K32" s="354">
        <v>50</v>
      </c>
      <c r="L32" s="363">
        <f t="shared" si="5"/>
        <v>400</v>
      </c>
      <c r="M32" s="364">
        <v>46132</v>
      </c>
      <c r="N32" s="364">
        <v>46128</v>
      </c>
      <c r="O32" s="365"/>
      <c r="P32" s="365"/>
      <c r="Q32" s="354"/>
      <c r="R32" s="366">
        <v>46106</v>
      </c>
      <c r="S32" s="367" t="s">
        <v>95</v>
      </c>
      <c r="T32" s="367" t="s">
        <v>95</v>
      </c>
      <c r="U32" s="357"/>
      <c r="V32" s="357"/>
      <c r="W32" s="360" t="s">
        <v>1115</v>
      </c>
      <c r="X32" s="364" t="s">
        <v>222</v>
      </c>
      <c r="Y32" s="357">
        <v>1.007</v>
      </c>
      <c r="Z32" s="368">
        <f t="shared" si="6"/>
        <v>20140</v>
      </c>
      <c r="AA32" s="354"/>
      <c r="AB32" s="354" t="s">
        <v>188</v>
      </c>
      <c r="AC32" s="354" t="s">
        <v>112</v>
      </c>
      <c r="AD32" s="354" t="s">
        <v>113</v>
      </c>
      <c r="AE32" s="354"/>
      <c r="AF32" s="365"/>
      <c r="AG32" s="365">
        <f>AF32-I32</f>
        <v>-20000</v>
      </c>
      <c r="AH32" s="354"/>
      <c r="AI32" s="354" t="s">
        <v>95</v>
      </c>
      <c r="AJ32" s="357">
        <f>I32</f>
        <v>20000</v>
      </c>
      <c r="AK32" s="357"/>
      <c r="AL32" s="357"/>
      <c r="AM32" s="357">
        <f>I32</f>
        <v>20000</v>
      </c>
      <c r="AN32" s="357"/>
      <c r="AO32" s="416"/>
      <c r="AP32" s="357"/>
      <c r="AR32" s="357">
        <f>I32</f>
        <v>20000</v>
      </c>
      <c r="AS32" s="417">
        <f>I32*0.06</f>
        <v>1200</v>
      </c>
      <c r="AT32" s="357"/>
      <c r="AU32" s="357"/>
      <c r="AV32" s="357"/>
      <c r="AW32" s="357"/>
      <c r="AX32" s="357"/>
      <c r="AY32" s="357"/>
      <c r="AZ32" s="357"/>
      <c r="BA32" s="357"/>
      <c r="BB32" s="357"/>
      <c r="BC32" s="357"/>
      <c r="BD32" s="357"/>
      <c r="BE32" s="357"/>
      <c r="BF32" s="357"/>
      <c r="BG32" s="357"/>
      <c r="BH32" s="357">
        <f>I32/25</f>
        <v>800</v>
      </c>
      <c r="BI32" s="416"/>
      <c r="BJ32" s="357"/>
      <c r="BK32" s="418"/>
      <c r="BL32" s="357"/>
      <c r="BM32" s="357"/>
      <c r="BN32" s="357"/>
      <c r="BO32" s="416"/>
      <c r="BP32" s="357"/>
      <c r="BQ32" s="357"/>
      <c r="BR32" s="357"/>
      <c r="BS32" s="357"/>
      <c r="BT32" s="357"/>
      <c r="BU32" s="371">
        <f>BH32+BI32+BJ32+BL32+BK32</f>
        <v>800</v>
      </c>
      <c r="BV32" s="371">
        <f>BN32</f>
        <v>0</v>
      </c>
      <c r="BW32" s="343">
        <f>BO32+BP32+BQ32</f>
        <v>0</v>
      </c>
      <c r="BX32" s="357"/>
      <c r="BY32" s="357"/>
      <c r="BZ32" s="357"/>
    </row>
    <row r="33" s="286" customFormat="1" ht="31" customHeight="1" spans="1:91">
      <c r="A33" s="345">
        <v>46086</v>
      </c>
      <c r="B33" s="346" t="s">
        <v>180</v>
      </c>
      <c r="C33" s="347" t="s">
        <v>115</v>
      </c>
      <c r="D33" s="348">
        <v>4500195403</v>
      </c>
      <c r="E33" s="347">
        <v>5200009175</v>
      </c>
      <c r="F33" s="348" t="s">
        <v>6841</v>
      </c>
      <c r="G33" s="349" t="s">
        <v>4141</v>
      </c>
      <c r="H33" s="354" t="s">
        <v>3969</v>
      </c>
      <c r="I33" s="362">
        <v>14992</v>
      </c>
      <c r="J33" s="354">
        <v>0</v>
      </c>
      <c r="K33" s="354">
        <v>16</v>
      </c>
      <c r="L33" s="347">
        <f t="shared" si="5"/>
        <v>937</v>
      </c>
      <c r="M33" s="351">
        <v>46211</v>
      </c>
      <c r="N33" s="351">
        <v>46207</v>
      </c>
      <c r="O33" s="346"/>
      <c r="P33" s="352"/>
      <c r="Q33" s="352"/>
      <c r="R33" s="370">
        <v>46086</v>
      </c>
      <c r="S33" s="353" t="s">
        <v>107</v>
      </c>
      <c r="T33" s="414" t="s">
        <v>95</v>
      </c>
      <c r="U33" s="353"/>
      <c r="V33" s="353"/>
      <c r="W33" s="353" t="s">
        <v>6837</v>
      </c>
      <c r="X33" s="351" t="s">
        <v>393</v>
      </c>
      <c r="Y33" s="419">
        <v>2.466</v>
      </c>
      <c r="Z33" s="357">
        <f t="shared" si="6"/>
        <v>36970.272</v>
      </c>
      <c r="AA33" s="355"/>
      <c r="AB33" s="349" t="s">
        <v>3968</v>
      </c>
      <c r="AC33" s="347" t="s">
        <v>112</v>
      </c>
      <c r="AD33" s="354">
        <f>I33</f>
        <v>14992</v>
      </c>
      <c r="AE33" s="347"/>
      <c r="AF33" s="347"/>
      <c r="AG33" s="347"/>
      <c r="AH33" s="347">
        <f>AG33-I33</f>
        <v>-14992</v>
      </c>
      <c r="AI33" s="352"/>
      <c r="AJ33" s="352"/>
      <c r="AK33" s="357">
        <f>I33</f>
        <v>14992</v>
      </c>
      <c r="AL33" s="357"/>
      <c r="AM33" s="357"/>
      <c r="AN33" s="357">
        <f>I33</f>
        <v>14992</v>
      </c>
      <c r="AO33" s="357"/>
      <c r="AP33" s="357"/>
      <c r="AQ33" s="357"/>
      <c r="AR33" s="348"/>
      <c r="AS33" s="348"/>
      <c r="AT33" s="357"/>
      <c r="AU33" s="357"/>
      <c r="AV33" s="357"/>
      <c r="AW33" s="357"/>
      <c r="AX33" s="357"/>
      <c r="AY33" s="357"/>
      <c r="AZ33" s="357"/>
      <c r="BA33" s="348"/>
      <c r="BB33" s="357"/>
    </row>
    <row r="34" s="286" customFormat="1" ht="31" customHeight="1" spans="1:91">
      <c r="A34" s="345">
        <v>46151</v>
      </c>
      <c r="B34" s="346" t="s">
        <v>2209</v>
      </c>
      <c r="C34" s="347" t="s">
        <v>115</v>
      </c>
      <c r="D34" s="348" t="s">
        <v>6842</v>
      </c>
      <c r="E34" s="347" t="s">
        <v>6843</v>
      </c>
      <c r="F34" s="348" t="s">
        <v>6844</v>
      </c>
      <c r="G34" s="349" t="s">
        <v>146</v>
      </c>
      <c r="H34" s="347" t="s">
        <v>104</v>
      </c>
      <c r="I34" s="369">
        <v>2400</v>
      </c>
      <c r="J34" s="347">
        <v>0</v>
      </c>
      <c r="K34" s="347">
        <v>25</v>
      </c>
      <c r="L34" s="350">
        <f t="shared" si="5"/>
        <v>96</v>
      </c>
      <c r="M34" s="351">
        <v>46218</v>
      </c>
      <c r="N34" s="351">
        <v>46214</v>
      </c>
      <c r="O34" s="352" t="s">
        <v>6845</v>
      </c>
      <c r="P34" s="352"/>
      <c r="Q34" s="347"/>
      <c r="R34" s="370" t="s">
        <v>3064</v>
      </c>
      <c r="S34" s="353" t="s">
        <v>95</v>
      </c>
      <c r="T34" s="353" t="s">
        <v>95</v>
      </c>
      <c r="U34" s="346"/>
      <c r="V34" s="348"/>
      <c r="W34" s="346" t="s">
        <v>6846</v>
      </c>
      <c r="X34" s="351" t="s">
        <v>1955</v>
      </c>
      <c r="Y34" s="348"/>
      <c r="Z34" s="356"/>
      <c r="AA34" s="347"/>
      <c r="AB34" s="347"/>
      <c r="AC34" s="347"/>
      <c r="AD34" s="347"/>
      <c r="AE34" s="347"/>
      <c r="AF34" s="352"/>
      <c r="AG34" s="352">
        <f>AF34-I34</f>
        <v>-2400</v>
      </c>
      <c r="AH34" s="347"/>
      <c r="AI34" s="347"/>
      <c r="AJ34" s="348">
        <f>I34</f>
        <v>2400</v>
      </c>
      <c r="AK34" s="348"/>
      <c r="AL34" s="348"/>
      <c r="AM34" s="348">
        <f>I34</f>
        <v>2400</v>
      </c>
      <c r="AN34" s="348"/>
      <c r="AO34" s="420"/>
      <c r="AP34" s="348"/>
      <c r="AQ34" s="421"/>
      <c r="AR34" s="348">
        <f>I34</f>
        <v>2400</v>
      </c>
      <c r="AS34" s="422"/>
      <c r="AT34" s="348"/>
      <c r="AU34" s="348"/>
      <c r="AV34" s="348"/>
      <c r="AW34" s="348"/>
      <c r="AX34" s="348"/>
      <c r="AY34" s="348"/>
      <c r="AZ34" s="348"/>
      <c r="BA34" s="348"/>
      <c r="BB34" s="348"/>
      <c r="BC34" s="348"/>
      <c r="BD34" s="348"/>
      <c r="BE34" s="348"/>
      <c r="BF34" s="348"/>
      <c r="BG34" s="348"/>
      <c r="BH34" s="348">
        <f>I34/25</f>
        <v>96</v>
      </c>
      <c r="BI34" s="420"/>
      <c r="BJ34" s="348"/>
      <c r="BK34" s="421"/>
      <c r="BL34" s="348"/>
      <c r="BM34" s="348"/>
      <c r="BN34" s="348"/>
      <c r="BO34" s="420"/>
      <c r="BP34" s="348"/>
      <c r="BQ34" s="348"/>
      <c r="BR34" s="348"/>
      <c r="BS34" s="348"/>
      <c r="BT34" s="348"/>
      <c r="BU34" s="348">
        <f>BH34+BI34+BJ34+BL34+BK34</f>
        <v>96</v>
      </c>
      <c r="BV34" s="348">
        <f>BN34</f>
        <v>0</v>
      </c>
      <c r="BW34" s="348">
        <f>BO34+BP34+BQ34</f>
        <v>0</v>
      </c>
      <c r="BX34" s="348"/>
      <c r="BY34" s="348"/>
      <c r="BZ34" s="348"/>
    </row>
    <row r="35" s="286" customFormat="1" ht="31" customHeight="1" spans="1:91">
      <c r="A35" s="345">
        <v>46151</v>
      </c>
      <c r="B35" s="346" t="s">
        <v>2209</v>
      </c>
      <c r="C35" s="347" t="s">
        <v>115</v>
      </c>
      <c r="D35" s="348" t="s">
        <v>6842</v>
      </c>
      <c r="E35" s="347" t="s">
        <v>6843</v>
      </c>
      <c r="F35" s="348" t="s">
        <v>6847</v>
      </c>
      <c r="G35" s="349" t="s">
        <v>146</v>
      </c>
      <c r="H35" s="347" t="s">
        <v>104</v>
      </c>
      <c r="I35" s="369">
        <v>2125</v>
      </c>
      <c r="J35" s="347">
        <v>0</v>
      </c>
      <c r="K35" s="347">
        <v>25</v>
      </c>
      <c r="L35" s="350">
        <f t="shared" si="5"/>
        <v>85</v>
      </c>
      <c r="M35" s="351">
        <v>46218</v>
      </c>
      <c r="N35" s="351">
        <v>46214</v>
      </c>
      <c r="O35" s="352" t="s">
        <v>6845</v>
      </c>
      <c r="P35" s="352"/>
      <c r="Q35" s="347"/>
      <c r="R35" s="370" t="s">
        <v>3064</v>
      </c>
      <c r="S35" s="353" t="s">
        <v>95</v>
      </c>
      <c r="T35" s="353" t="s">
        <v>95</v>
      </c>
      <c r="U35" s="346"/>
      <c r="V35" s="348"/>
      <c r="W35" s="346" t="s">
        <v>6846</v>
      </c>
      <c r="X35" s="351" t="s">
        <v>1955</v>
      </c>
      <c r="Y35" s="348"/>
      <c r="Z35" s="356"/>
      <c r="AA35" s="347"/>
      <c r="AB35" s="347"/>
      <c r="AC35" s="347"/>
      <c r="AD35" s="347"/>
      <c r="AE35" s="347"/>
      <c r="AF35" s="352"/>
      <c r="AG35" s="352">
        <f>AF35-I35</f>
        <v>-2125</v>
      </c>
      <c r="AH35" s="347"/>
      <c r="AI35" s="347"/>
      <c r="AJ35" s="348">
        <f>I35</f>
        <v>2125</v>
      </c>
      <c r="AK35" s="348"/>
      <c r="AL35" s="348"/>
      <c r="AM35" s="348">
        <f>I35</f>
        <v>2125</v>
      </c>
      <c r="AN35" s="348"/>
      <c r="AO35" s="420"/>
      <c r="AP35" s="348"/>
      <c r="AQ35" s="421"/>
      <c r="AR35" s="348">
        <f>I35</f>
        <v>2125</v>
      </c>
      <c r="AS35" s="422"/>
      <c r="AT35" s="348"/>
      <c r="AU35" s="348"/>
      <c r="AV35" s="348"/>
      <c r="AW35" s="348"/>
      <c r="AX35" s="348"/>
      <c r="AY35" s="348"/>
      <c r="AZ35" s="348"/>
      <c r="BA35" s="348"/>
      <c r="BB35" s="348"/>
      <c r="BC35" s="348"/>
      <c r="BD35" s="348"/>
      <c r="BE35" s="348"/>
      <c r="BF35" s="348"/>
      <c r="BG35" s="348"/>
      <c r="BH35" s="348">
        <f>I35/25</f>
        <v>85</v>
      </c>
      <c r="BI35" s="420"/>
      <c r="BJ35" s="348"/>
      <c r="BK35" s="421"/>
      <c r="BL35" s="348"/>
      <c r="BM35" s="348"/>
      <c r="BN35" s="348"/>
      <c r="BO35" s="420"/>
      <c r="BP35" s="348"/>
      <c r="BQ35" s="348"/>
      <c r="BR35" s="348"/>
      <c r="BS35" s="348"/>
      <c r="BT35" s="348"/>
      <c r="BU35" s="348">
        <f>BH35+BI35+BJ35+BL35+BK35</f>
        <v>85</v>
      </c>
      <c r="BV35" s="348">
        <f>BN35</f>
        <v>0</v>
      </c>
      <c r="BW35" s="348">
        <f>BO35+BP35+BQ35</f>
        <v>0</v>
      </c>
      <c r="BX35" s="348"/>
      <c r="BY35" s="348"/>
      <c r="BZ35" s="348"/>
    </row>
    <row r="36" s="286" customFormat="1" ht="31" customHeight="1" spans="1:91">
      <c r="A36" s="345">
        <v>46151</v>
      </c>
      <c r="B36" s="346" t="s">
        <v>2209</v>
      </c>
      <c r="C36" s="347" t="s">
        <v>115</v>
      </c>
      <c r="D36" s="348" t="s">
        <v>6842</v>
      </c>
      <c r="E36" s="347" t="s">
        <v>6843</v>
      </c>
      <c r="F36" s="348" t="s">
        <v>6848</v>
      </c>
      <c r="G36" s="349" t="s">
        <v>146</v>
      </c>
      <c r="H36" s="347" t="s">
        <v>104</v>
      </c>
      <c r="I36" s="369">
        <v>1000</v>
      </c>
      <c r="J36" s="347">
        <v>0</v>
      </c>
      <c r="K36" s="347">
        <v>25</v>
      </c>
      <c r="L36" s="350">
        <f t="shared" si="5"/>
        <v>40</v>
      </c>
      <c r="M36" s="351">
        <v>46218</v>
      </c>
      <c r="N36" s="351">
        <v>46214</v>
      </c>
      <c r="O36" s="352" t="s">
        <v>6845</v>
      </c>
      <c r="P36" s="352"/>
      <c r="Q36" s="347"/>
      <c r="R36" s="370" t="s">
        <v>3064</v>
      </c>
      <c r="S36" s="353" t="s">
        <v>95</v>
      </c>
      <c r="T36" s="353" t="s">
        <v>95</v>
      </c>
      <c r="U36" s="346"/>
      <c r="V36" s="348"/>
      <c r="W36" s="346" t="s">
        <v>6846</v>
      </c>
      <c r="X36" s="351" t="s">
        <v>1955</v>
      </c>
      <c r="Y36" s="348"/>
      <c r="Z36" s="356"/>
      <c r="AA36" s="347"/>
      <c r="AB36" s="347"/>
      <c r="AC36" s="347"/>
      <c r="AD36" s="347"/>
      <c r="AE36" s="347"/>
      <c r="AF36" s="352"/>
      <c r="AG36" s="352">
        <f>AF36-I36</f>
        <v>-1000</v>
      </c>
      <c r="AH36" s="347"/>
      <c r="AI36" s="347"/>
      <c r="AJ36" s="348">
        <f>I36</f>
        <v>1000</v>
      </c>
      <c r="AK36" s="348"/>
      <c r="AL36" s="348"/>
      <c r="AM36" s="348">
        <f>I36</f>
        <v>1000</v>
      </c>
      <c r="AN36" s="348"/>
      <c r="AO36" s="420"/>
      <c r="AP36" s="348"/>
      <c r="AQ36" s="421"/>
      <c r="AR36" s="348">
        <f>I36</f>
        <v>1000</v>
      </c>
      <c r="AS36" s="422"/>
      <c r="AT36" s="348"/>
      <c r="AU36" s="348"/>
      <c r="AV36" s="348"/>
      <c r="AW36" s="348"/>
      <c r="AX36" s="348"/>
      <c r="AY36" s="348"/>
      <c r="AZ36" s="348"/>
      <c r="BA36" s="348"/>
      <c r="BB36" s="348"/>
      <c r="BC36" s="348"/>
      <c r="BD36" s="348"/>
      <c r="BE36" s="348"/>
      <c r="BF36" s="348"/>
      <c r="BG36" s="348"/>
      <c r="BH36" s="348">
        <f>I36/25</f>
        <v>40</v>
      </c>
      <c r="BI36" s="420"/>
      <c r="BJ36" s="348"/>
      <c r="BK36" s="421"/>
      <c r="BL36" s="348"/>
      <c r="BM36" s="348"/>
      <c r="BN36" s="348"/>
      <c r="BO36" s="420"/>
      <c r="BP36" s="348"/>
      <c r="BQ36" s="348"/>
      <c r="BR36" s="348"/>
      <c r="BS36" s="348"/>
      <c r="BT36" s="348"/>
      <c r="BU36" s="348">
        <f>BH36+BI36+BJ36+BL36+BK36</f>
        <v>40</v>
      </c>
      <c r="BV36" s="348">
        <f>BN36</f>
        <v>0</v>
      </c>
      <c r="BW36" s="348">
        <f>BO36+BP36+BQ36</f>
        <v>0</v>
      </c>
      <c r="BX36" s="348"/>
      <c r="BY36" s="348"/>
      <c r="BZ36" s="348"/>
    </row>
    <row r="37" s="288" customFormat="1" ht="31" customHeight="1" spans="1:91">
      <c r="A37" s="386">
        <v>46120</v>
      </c>
      <c r="B37" s="387" t="s">
        <v>6849</v>
      </c>
      <c r="C37" s="388" t="s">
        <v>115</v>
      </c>
      <c r="D37" s="389">
        <v>4500200550</v>
      </c>
      <c r="E37" s="388" t="s">
        <v>1177</v>
      </c>
      <c r="F37" s="389" t="s">
        <v>5054</v>
      </c>
      <c r="G37" s="390" t="s">
        <v>3973</v>
      </c>
      <c r="H37" s="388" t="s">
        <v>3995</v>
      </c>
      <c r="I37" s="423">
        <v>8000</v>
      </c>
      <c r="J37" s="388">
        <v>0</v>
      </c>
      <c r="K37" s="388">
        <v>16</v>
      </c>
      <c r="L37" s="388">
        <f t="shared" si="5"/>
        <v>500</v>
      </c>
      <c r="M37" s="391">
        <v>46213</v>
      </c>
      <c r="N37" s="391">
        <v>46209</v>
      </c>
      <c r="O37" s="387"/>
      <c r="P37" s="424"/>
      <c r="Q37" s="424"/>
      <c r="R37" s="425"/>
      <c r="S37" s="395"/>
      <c r="T37" s="395"/>
      <c r="U37" s="395"/>
      <c r="V37" s="395"/>
      <c r="W37" s="395" t="s">
        <v>6850</v>
      </c>
      <c r="X37" s="391" t="s">
        <v>6851</v>
      </c>
      <c r="Y37" s="426">
        <v>2.613</v>
      </c>
      <c r="Z37" s="389">
        <f>I37*Y37</f>
        <v>20904</v>
      </c>
      <c r="AA37" s="427"/>
      <c r="AB37" s="428"/>
      <c r="AC37" s="388"/>
      <c r="AD37" s="388">
        <f>I37</f>
        <v>8000</v>
      </c>
      <c r="AE37" s="388"/>
      <c r="AF37" s="388"/>
      <c r="AG37" s="388"/>
      <c r="AH37" s="388"/>
      <c r="AI37" s="424"/>
      <c r="AJ37" s="424"/>
      <c r="AK37" s="389"/>
      <c r="AL37" s="389"/>
      <c r="AM37" s="389"/>
      <c r="AN37" s="389"/>
      <c r="AO37" s="389"/>
      <c r="AP37" s="389"/>
      <c r="AQ37" s="389"/>
      <c r="AR37" s="389"/>
      <c r="AS37" s="389"/>
      <c r="AT37" s="389"/>
      <c r="AU37" s="389"/>
      <c r="AV37" s="389"/>
      <c r="AW37" s="389"/>
      <c r="AX37" s="389"/>
      <c r="AY37" s="389"/>
      <c r="AZ37" s="389"/>
      <c r="BA37" s="389"/>
      <c r="BB37" s="389"/>
      <c r="BC37" s="389"/>
      <c r="BD37" s="389"/>
    </row>
    <row r="38" s="289" customFormat="1" ht="31" customHeight="1" spans="1:91">
      <c r="A38" s="345">
        <v>46062</v>
      </c>
      <c r="B38" s="346" t="s">
        <v>521</v>
      </c>
      <c r="C38" s="347" t="s">
        <v>101</v>
      </c>
      <c r="D38" s="348">
        <v>248</v>
      </c>
      <c r="E38" s="347">
        <v>21431976</v>
      </c>
      <c r="F38" s="348" t="s">
        <v>4046</v>
      </c>
      <c r="G38" s="349" t="s">
        <v>3980</v>
      </c>
      <c r="H38" s="347" t="s">
        <v>3978</v>
      </c>
      <c r="I38" s="347">
        <v>248</v>
      </c>
      <c r="J38" s="347">
        <v>0</v>
      </c>
      <c r="K38" s="347">
        <v>8</v>
      </c>
      <c r="L38" s="350">
        <f t="shared" si="5"/>
        <v>31</v>
      </c>
      <c r="M38" s="351">
        <v>46119</v>
      </c>
      <c r="N38" s="351">
        <v>46121</v>
      </c>
      <c r="O38" s="346"/>
      <c r="P38" s="352" t="s">
        <v>106</v>
      </c>
      <c r="Q38" s="352"/>
      <c r="R38" s="370">
        <v>46088</v>
      </c>
      <c r="S38" s="353" t="s">
        <v>107</v>
      </c>
      <c r="T38" s="353" t="s">
        <v>4050</v>
      </c>
      <c r="U38" s="353"/>
      <c r="V38" s="353"/>
      <c r="W38" s="353" t="s">
        <v>6852</v>
      </c>
      <c r="X38" s="351" t="s">
        <v>362</v>
      </c>
      <c r="Y38" s="347">
        <v>5</v>
      </c>
      <c r="Z38" s="347">
        <f>Y38*I38</f>
        <v>1240</v>
      </c>
      <c r="AA38" s="355"/>
      <c r="AB38" s="356" t="s">
        <v>3980</v>
      </c>
      <c r="AC38" s="347" t="s">
        <v>112</v>
      </c>
      <c r="AD38" s="347">
        <f>I38</f>
        <v>248</v>
      </c>
      <c r="AE38" s="347" t="s">
        <v>3981</v>
      </c>
      <c r="AF38" s="347" t="s">
        <v>736</v>
      </c>
      <c r="AG38" s="347">
        <v>248</v>
      </c>
      <c r="AH38" s="347">
        <f>AG38-I38</f>
        <v>0</v>
      </c>
      <c r="AI38" s="352"/>
      <c r="AJ38" s="352"/>
      <c r="AK38" s="348">
        <f>I38</f>
        <v>248</v>
      </c>
      <c r="AL38" s="348"/>
      <c r="AM38" s="348"/>
      <c r="AN38" s="348">
        <f>I38</f>
        <v>248</v>
      </c>
      <c r="AO38" s="348"/>
      <c r="AP38" s="348"/>
      <c r="AQ38" s="348"/>
      <c r="AR38" s="348"/>
      <c r="AS38" s="348"/>
      <c r="AT38" s="348">
        <f>I38/8</f>
        <v>31</v>
      </c>
      <c r="AU38" s="348"/>
      <c r="AV38" s="348"/>
      <c r="AW38" s="348"/>
      <c r="AX38" s="348"/>
      <c r="AY38" s="348"/>
      <c r="AZ38" s="348"/>
      <c r="BA38" s="348"/>
      <c r="BB38" s="348"/>
      <c r="BC38" s="348"/>
      <c r="BD38" s="348"/>
      <c r="BE38" s="429"/>
      <c r="BF38" s="429"/>
      <c r="BG38" s="429"/>
      <c r="BH38" s="429"/>
      <c r="BI38" s="429"/>
      <c r="BJ38" s="429"/>
      <c r="BK38" s="429"/>
      <c r="BL38" s="429"/>
      <c r="BM38" s="429"/>
      <c r="BN38" s="429"/>
      <c r="BO38" s="429"/>
      <c r="BP38" s="429"/>
      <c r="BQ38" s="429"/>
      <c r="BR38" s="429"/>
      <c r="BS38" s="429"/>
      <c r="BT38" s="429"/>
      <c r="BU38" s="429"/>
      <c r="BV38" s="429"/>
      <c r="BW38" s="429"/>
      <c r="BX38" s="429"/>
      <c r="BY38" s="429"/>
      <c r="BZ38" s="429"/>
      <c r="CA38" s="429"/>
      <c r="CB38" s="429"/>
      <c r="CC38" s="429"/>
      <c r="CD38" s="429"/>
      <c r="CE38" s="429"/>
      <c r="CF38" s="429"/>
      <c r="CG38" s="429"/>
      <c r="CH38" s="429"/>
      <c r="CI38" s="429"/>
      <c r="CJ38" s="429"/>
      <c r="CK38" s="429"/>
      <c r="CL38" s="429"/>
      <c r="CM38" s="429"/>
    </row>
    <row r="39" s="290" customFormat="1" ht="31" customHeight="1" spans="1:91">
      <c r="A39" s="345">
        <v>46161</v>
      </c>
      <c r="B39" s="346" t="s">
        <v>114</v>
      </c>
      <c r="C39" s="347" t="s">
        <v>115</v>
      </c>
      <c r="D39" s="348" t="s">
        <v>6853</v>
      </c>
      <c r="E39" s="347" t="s">
        <v>6854</v>
      </c>
      <c r="F39" s="348" t="s">
        <v>6855</v>
      </c>
      <c r="G39" s="349" t="s">
        <v>3980</v>
      </c>
      <c r="H39" s="347" t="s">
        <v>3978</v>
      </c>
      <c r="I39" s="369">
        <v>7376</v>
      </c>
      <c r="J39" s="347">
        <v>0</v>
      </c>
      <c r="K39" s="347">
        <v>8</v>
      </c>
      <c r="L39" s="347">
        <f t="shared" si="5"/>
        <v>922</v>
      </c>
      <c r="M39" s="430">
        <v>46212</v>
      </c>
      <c r="N39" s="430">
        <f>M39-3</f>
        <v>46209</v>
      </c>
      <c r="O39" s="346"/>
      <c r="P39" s="352"/>
      <c r="Q39" s="352"/>
      <c r="R39" s="370" t="s">
        <v>3064</v>
      </c>
      <c r="S39" s="353" t="s">
        <v>107</v>
      </c>
      <c r="T39" s="353" t="s">
        <v>3505</v>
      </c>
      <c r="U39" s="353" t="s">
        <v>4056</v>
      </c>
      <c r="V39" s="353"/>
      <c r="W39" s="353" t="s">
        <v>4536</v>
      </c>
      <c r="X39" s="351" t="s">
        <v>123</v>
      </c>
      <c r="Y39" s="431">
        <v>2.7891</v>
      </c>
      <c r="Z39" s="348">
        <f>Y39*I39</f>
        <v>20572.4016</v>
      </c>
      <c r="AA39" s="355"/>
      <c r="AB39" s="356" t="s">
        <v>3980</v>
      </c>
      <c r="AC39" s="347" t="s">
        <v>112</v>
      </c>
      <c r="AD39" s="347">
        <f>I39</f>
        <v>7376</v>
      </c>
      <c r="AE39" s="347"/>
      <c r="AF39" s="347"/>
      <c r="AG39" s="347"/>
      <c r="AH39" s="347">
        <f>AG39-I39</f>
        <v>-7376</v>
      </c>
      <c r="AI39" s="352"/>
      <c r="AJ39" s="352"/>
      <c r="AK39" s="348">
        <f>I39</f>
        <v>7376</v>
      </c>
      <c r="AL39" s="348"/>
      <c r="AM39" s="348"/>
      <c r="AN39" s="348">
        <f>I39</f>
        <v>7376</v>
      </c>
      <c r="AO39" s="348"/>
      <c r="AP39" s="348"/>
      <c r="AQ39" s="348"/>
      <c r="AR39" s="348"/>
      <c r="AS39" s="348"/>
      <c r="AT39" s="348">
        <f>I39/8</f>
        <v>922</v>
      </c>
      <c r="AU39" s="348"/>
      <c r="AV39" s="348"/>
      <c r="AW39" s="348"/>
      <c r="AX39" s="348"/>
      <c r="AY39" s="348"/>
      <c r="AZ39" s="348"/>
      <c r="BA39" s="348"/>
      <c r="BB39" s="348"/>
      <c r="BC39" s="348"/>
      <c r="BD39" s="348"/>
      <c r="BE39" s="432"/>
      <c r="BF39" s="432"/>
      <c r="BG39" s="432"/>
      <c r="BH39" s="432"/>
      <c r="BI39" s="432"/>
      <c r="BJ39" s="432"/>
      <c r="BK39" s="432"/>
      <c r="BL39" s="432"/>
      <c r="BM39" s="432"/>
      <c r="BN39" s="432"/>
      <c r="BO39" s="432"/>
      <c r="BP39" s="432"/>
      <c r="BQ39" s="432"/>
      <c r="BR39" s="432"/>
      <c r="BS39" s="432"/>
      <c r="BT39" s="432"/>
      <c r="BU39" s="432"/>
      <c r="BV39" s="432"/>
      <c r="BW39" s="432"/>
      <c r="BX39" s="432"/>
      <c r="BY39" s="432"/>
      <c r="BZ39" s="432"/>
      <c r="CA39" s="432"/>
      <c r="CB39" s="432"/>
      <c r="CC39" s="432"/>
      <c r="CD39" s="432"/>
      <c r="CE39" s="432"/>
      <c r="CF39" s="432"/>
      <c r="CG39" s="432"/>
      <c r="CH39" s="432"/>
      <c r="CI39" s="432"/>
      <c r="CJ39" s="432"/>
      <c r="CK39" s="432"/>
      <c r="CL39" s="432"/>
      <c r="CM39" s="432"/>
    </row>
    <row r="40" s="288" customFormat="1" ht="31" customHeight="1" spans="1:91">
      <c r="A40" s="345">
        <v>46157</v>
      </c>
      <c r="B40" s="346" t="s">
        <v>438</v>
      </c>
      <c r="C40" s="347" t="s">
        <v>115</v>
      </c>
      <c r="D40" s="348" t="s">
        <v>6856</v>
      </c>
      <c r="E40" s="347" t="s">
        <v>6857</v>
      </c>
      <c r="F40" s="348" t="s">
        <v>6858</v>
      </c>
      <c r="G40" s="349" t="s">
        <v>3980</v>
      </c>
      <c r="H40" s="347" t="s">
        <v>3978</v>
      </c>
      <c r="I40" s="369">
        <v>5192</v>
      </c>
      <c r="J40" s="347">
        <v>0</v>
      </c>
      <c r="K40" s="347">
        <v>8</v>
      </c>
      <c r="L40" s="347">
        <f t="shared" si="5"/>
        <v>649</v>
      </c>
      <c r="M40" s="351">
        <v>46212</v>
      </c>
      <c r="N40" s="351">
        <v>46209</v>
      </c>
      <c r="O40" s="346"/>
      <c r="P40" s="352"/>
      <c r="Q40" s="352"/>
      <c r="R40" s="370" t="s">
        <v>3064</v>
      </c>
      <c r="S40" s="353" t="s">
        <v>107</v>
      </c>
      <c r="T40" s="353" t="s">
        <v>3505</v>
      </c>
      <c r="U40" s="353" t="s">
        <v>4056</v>
      </c>
      <c r="V40" s="353"/>
      <c r="W40" s="353" t="s">
        <v>6859</v>
      </c>
      <c r="X40" s="351" t="s">
        <v>443</v>
      </c>
      <c r="Y40" s="431">
        <v>2.7182</v>
      </c>
      <c r="Z40" s="348">
        <f>I40*Y40</f>
        <v>14112.8944</v>
      </c>
      <c r="AA40" s="355"/>
      <c r="AB40" s="356" t="s">
        <v>3980</v>
      </c>
      <c r="AC40" s="347" t="s">
        <v>112</v>
      </c>
      <c r="AD40" s="347">
        <f>I40</f>
        <v>5192</v>
      </c>
      <c r="AE40" s="347"/>
      <c r="AF40" s="347"/>
      <c r="AG40" s="347"/>
      <c r="AH40" s="347">
        <f>AG40-I40</f>
        <v>-5192</v>
      </c>
      <c r="AI40" s="352"/>
      <c r="AJ40" s="352"/>
      <c r="AK40" s="348">
        <f>I40</f>
        <v>5192</v>
      </c>
      <c r="AL40" s="348"/>
      <c r="AM40" s="348"/>
      <c r="AN40" s="348">
        <f>I40</f>
        <v>5192</v>
      </c>
      <c r="AO40" s="348"/>
      <c r="AP40" s="348"/>
      <c r="AQ40" s="348"/>
      <c r="AR40" s="348"/>
      <c r="AS40" s="348"/>
      <c r="AT40" s="348">
        <f>I40/8</f>
        <v>649</v>
      </c>
      <c r="AU40" s="348"/>
      <c r="AV40" s="348"/>
      <c r="AW40" s="348"/>
      <c r="AX40" s="348"/>
      <c r="AY40" s="348"/>
      <c r="AZ40" s="348"/>
      <c r="BA40" s="348"/>
      <c r="BB40" s="348"/>
      <c r="BC40" s="348"/>
      <c r="BD40" s="348"/>
      <c r="BE40" s="433"/>
      <c r="BF40" s="433"/>
      <c r="BG40" s="433"/>
      <c r="BH40" s="433"/>
      <c r="BI40" s="433"/>
      <c r="BJ40" s="433"/>
      <c r="BK40" s="433"/>
      <c r="BL40" s="433"/>
      <c r="BM40" s="433"/>
      <c r="BN40" s="433"/>
      <c r="BO40" s="433"/>
      <c r="BP40" s="433"/>
      <c r="BQ40" s="433"/>
      <c r="BR40" s="433"/>
      <c r="BS40" s="433"/>
      <c r="BT40" s="433"/>
      <c r="BU40" s="433"/>
      <c r="BV40" s="433"/>
      <c r="BW40" s="433"/>
      <c r="BX40" s="433"/>
      <c r="BY40" s="433"/>
      <c r="BZ40" s="433"/>
      <c r="CA40" s="433"/>
      <c r="CB40" s="433"/>
      <c r="CC40" s="433"/>
      <c r="CD40" s="433"/>
      <c r="CE40" s="433"/>
      <c r="CF40" s="433"/>
      <c r="CG40" s="433"/>
      <c r="CH40" s="433"/>
      <c r="CI40" s="433"/>
      <c r="CJ40" s="433"/>
      <c r="CK40" s="433"/>
      <c r="CL40" s="433"/>
      <c r="CM40" s="433"/>
    </row>
    <row r="41" s="290" customFormat="1" ht="31" customHeight="1" spans="1:91">
      <c r="A41" s="345">
        <v>46161</v>
      </c>
      <c r="B41" s="346" t="s">
        <v>114</v>
      </c>
      <c r="C41" s="347" t="s">
        <v>115</v>
      </c>
      <c r="D41" s="348" t="s">
        <v>6860</v>
      </c>
      <c r="E41" s="347" t="s">
        <v>6861</v>
      </c>
      <c r="F41" s="348" t="s">
        <v>6862</v>
      </c>
      <c r="G41" s="349" t="s">
        <v>3980</v>
      </c>
      <c r="H41" s="347" t="s">
        <v>3978</v>
      </c>
      <c r="I41" s="369">
        <v>7376</v>
      </c>
      <c r="J41" s="347">
        <v>0</v>
      </c>
      <c r="K41" s="347">
        <v>8</v>
      </c>
      <c r="L41" s="347">
        <f t="shared" si="5"/>
        <v>922</v>
      </c>
      <c r="M41" s="434">
        <v>46226</v>
      </c>
      <c r="N41" s="430">
        <f>M41-3</f>
        <v>46223</v>
      </c>
      <c r="O41" s="346"/>
      <c r="P41" s="352"/>
      <c r="Q41" s="352"/>
      <c r="R41" s="370" t="s">
        <v>3064</v>
      </c>
      <c r="S41" s="353" t="s">
        <v>107</v>
      </c>
      <c r="T41" s="353" t="s">
        <v>3505</v>
      </c>
      <c r="U41" s="353" t="s">
        <v>4056</v>
      </c>
      <c r="V41" s="353"/>
      <c r="W41" s="353" t="s">
        <v>6863</v>
      </c>
      <c r="X41" s="351" t="s">
        <v>123</v>
      </c>
      <c r="Y41" s="431">
        <v>2.7891</v>
      </c>
      <c r="Z41" s="348">
        <f>Y41*I41</f>
        <v>20572.4016</v>
      </c>
      <c r="AA41" s="355"/>
      <c r="AB41" s="356" t="s">
        <v>3980</v>
      </c>
      <c r="AC41" s="347" t="s">
        <v>112</v>
      </c>
      <c r="AD41" s="347">
        <f>I41</f>
        <v>7376</v>
      </c>
      <c r="AE41" s="347"/>
      <c r="AF41" s="347"/>
      <c r="AG41" s="347"/>
      <c r="AH41" s="347">
        <f>AG41-I41</f>
        <v>-7376</v>
      </c>
      <c r="AI41" s="352"/>
      <c r="AJ41" s="352"/>
      <c r="AK41" s="348">
        <f>I41</f>
        <v>7376</v>
      </c>
      <c r="AL41" s="348"/>
      <c r="AM41" s="348"/>
      <c r="AN41" s="348">
        <f>I41</f>
        <v>7376</v>
      </c>
      <c r="AO41" s="348"/>
      <c r="AP41" s="348"/>
      <c r="AQ41" s="348"/>
      <c r="AR41" s="348"/>
      <c r="AS41" s="348"/>
      <c r="AT41" s="348">
        <f>I41/8</f>
        <v>922</v>
      </c>
      <c r="AU41" s="348"/>
      <c r="AV41" s="348"/>
      <c r="AW41" s="348"/>
      <c r="AX41" s="348"/>
      <c r="AY41" s="348"/>
      <c r="AZ41" s="348"/>
      <c r="BA41" s="348"/>
      <c r="BB41" s="348"/>
      <c r="BC41" s="348"/>
      <c r="BD41" s="348"/>
      <c r="BE41" s="432"/>
      <c r="BF41" s="432"/>
      <c r="BG41" s="432"/>
      <c r="BH41" s="432"/>
      <c r="BI41" s="432"/>
      <c r="BJ41" s="432"/>
      <c r="BK41" s="432"/>
      <c r="BL41" s="432"/>
      <c r="BM41" s="432"/>
      <c r="BN41" s="432"/>
      <c r="BO41" s="432"/>
      <c r="BP41" s="432"/>
      <c r="BQ41" s="432"/>
      <c r="BR41" s="432"/>
      <c r="BS41" s="432"/>
      <c r="BT41" s="432"/>
      <c r="BU41" s="432"/>
      <c r="BV41" s="432"/>
      <c r="BW41" s="432"/>
      <c r="BX41" s="432"/>
      <c r="BY41" s="432"/>
      <c r="BZ41" s="432"/>
      <c r="CA41" s="432"/>
      <c r="CB41" s="432"/>
      <c r="CC41" s="432"/>
      <c r="CD41" s="432"/>
      <c r="CE41" s="432"/>
      <c r="CF41" s="432"/>
      <c r="CG41" s="432"/>
      <c r="CH41" s="432"/>
      <c r="CI41" s="432"/>
      <c r="CJ41" s="432"/>
      <c r="CK41" s="432"/>
      <c r="CL41" s="432"/>
      <c r="CM41" s="432"/>
    </row>
    <row r="42" s="286" customFormat="1" ht="31" customHeight="1" spans="1:91">
      <c r="A42" s="435">
        <v>46161</v>
      </c>
      <c r="B42" s="436" t="s">
        <v>114</v>
      </c>
      <c r="C42" s="437" t="s">
        <v>115</v>
      </c>
      <c r="D42" s="438" t="s">
        <v>6860</v>
      </c>
      <c r="E42" s="437" t="s">
        <v>6861</v>
      </c>
      <c r="F42" s="438" t="s">
        <v>6864</v>
      </c>
      <c r="G42" s="439" t="s">
        <v>118</v>
      </c>
      <c r="H42" s="437" t="s">
        <v>104</v>
      </c>
      <c r="I42" s="440">
        <v>23800</v>
      </c>
      <c r="J42" s="437">
        <v>0</v>
      </c>
      <c r="K42" s="437">
        <v>25</v>
      </c>
      <c r="L42" s="441">
        <f t="shared" si="5"/>
        <v>952</v>
      </c>
      <c r="M42" s="434">
        <v>46226</v>
      </c>
      <c r="N42" s="434">
        <v>46223</v>
      </c>
      <c r="O42" s="442"/>
      <c r="P42" s="442"/>
      <c r="Q42" s="437"/>
      <c r="R42" s="443" t="s">
        <v>3064</v>
      </c>
      <c r="S42" s="444" t="s">
        <v>107</v>
      </c>
      <c r="T42" s="444" t="s">
        <v>6806</v>
      </c>
      <c r="U42" s="436"/>
      <c r="V42" s="436"/>
      <c r="W42" s="436" t="s">
        <v>6865</v>
      </c>
      <c r="X42" s="445" t="s">
        <v>123</v>
      </c>
      <c r="Y42" s="438">
        <v>0.6406</v>
      </c>
      <c r="Z42" s="446">
        <f>I42*Y42</f>
        <v>15246.28</v>
      </c>
      <c r="AA42" s="437"/>
      <c r="AB42" s="439" t="s">
        <v>118</v>
      </c>
      <c r="AC42" s="437" t="s">
        <v>112</v>
      </c>
      <c r="AD42" s="437"/>
      <c r="AE42" s="437"/>
      <c r="AF42" s="442"/>
      <c r="AG42" s="442">
        <f>AF42-I42</f>
        <v>-23800</v>
      </c>
      <c r="AH42" s="437"/>
      <c r="AI42" s="437"/>
      <c r="AJ42" s="438"/>
      <c r="AK42" s="438"/>
      <c r="AL42" s="438">
        <f>I42</f>
        <v>23800</v>
      </c>
      <c r="AM42" s="438">
        <f>I42</f>
        <v>23800</v>
      </c>
      <c r="AN42" s="438"/>
      <c r="AO42" s="447"/>
      <c r="AP42" s="438"/>
      <c r="AQ42" s="448"/>
      <c r="AR42" s="438">
        <f>I42</f>
        <v>23800</v>
      </c>
      <c r="AS42" s="449">
        <f>I42*0.06</f>
        <v>1428</v>
      </c>
      <c r="AT42" s="449"/>
      <c r="AU42" s="438"/>
      <c r="AV42" s="438"/>
      <c r="AW42" s="438"/>
      <c r="AX42" s="438"/>
      <c r="AY42" s="438"/>
      <c r="AZ42" s="438"/>
      <c r="BA42" s="438"/>
      <c r="BB42" s="438"/>
      <c r="BC42" s="438"/>
      <c r="BD42" s="438"/>
      <c r="BE42" s="438"/>
      <c r="BF42" s="438"/>
      <c r="BG42" s="438"/>
      <c r="BH42" s="438"/>
      <c r="BI42" s="438"/>
      <c r="BJ42" s="447"/>
      <c r="BK42" s="447"/>
      <c r="BL42" s="438"/>
      <c r="BM42" s="448"/>
      <c r="BN42" s="438"/>
      <c r="BO42" s="438"/>
      <c r="BP42" s="438">
        <f>I42/25</f>
        <v>952</v>
      </c>
      <c r="BQ42" s="447"/>
      <c r="BR42" s="438"/>
      <c r="BS42" s="438"/>
      <c r="BT42" s="438"/>
      <c r="BU42" s="438"/>
      <c r="BV42" s="438"/>
      <c r="BW42" s="438">
        <f>BI42+BJ42+BL42+BN42+BM42</f>
        <v>0</v>
      </c>
      <c r="BX42" s="438">
        <f>BP42</f>
        <v>952</v>
      </c>
      <c r="BY42" s="438">
        <f>BV42</f>
        <v>0</v>
      </c>
      <c r="BZ42" s="438">
        <f>BQ42+BR42+BS42</f>
        <v>0</v>
      </c>
      <c r="CA42" s="448"/>
      <c r="CB42" s="438"/>
      <c r="CC42" s="438"/>
    </row>
    <row r="43" s="290" customFormat="1" ht="31" customHeight="1" spans="1:91">
      <c r="A43" s="345">
        <v>46161</v>
      </c>
      <c r="B43" s="346" t="s">
        <v>114</v>
      </c>
      <c r="C43" s="347" t="s">
        <v>115</v>
      </c>
      <c r="D43" s="348" t="s">
        <v>6866</v>
      </c>
      <c r="E43" s="347" t="s">
        <v>6867</v>
      </c>
      <c r="F43" s="348" t="s">
        <v>6868</v>
      </c>
      <c r="G43" s="349" t="s">
        <v>3980</v>
      </c>
      <c r="H43" s="347" t="s">
        <v>3978</v>
      </c>
      <c r="I43" s="369">
        <v>5192</v>
      </c>
      <c r="J43" s="347">
        <v>0</v>
      </c>
      <c r="K43" s="347">
        <v>8</v>
      </c>
      <c r="L43" s="347">
        <f t="shared" si="5"/>
        <v>649</v>
      </c>
      <c r="M43" s="430">
        <v>46219</v>
      </c>
      <c r="N43" s="430">
        <f>M43-3</f>
        <v>46216</v>
      </c>
      <c r="O43" s="346"/>
      <c r="P43" s="352"/>
      <c r="Q43" s="352"/>
      <c r="R43" s="370" t="s">
        <v>3064</v>
      </c>
      <c r="S43" s="353" t="s">
        <v>107</v>
      </c>
      <c r="T43" s="353" t="s">
        <v>3505</v>
      </c>
      <c r="U43" s="353" t="s">
        <v>4056</v>
      </c>
      <c r="V43" s="353"/>
      <c r="W43" s="353" t="s">
        <v>6869</v>
      </c>
      <c r="X43" s="351" t="s">
        <v>123</v>
      </c>
      <c r="Y43" s="431">
        <v>2.7891</v>
      </c>
      <c r="Z43" s="348">
        <f>Y43*I43</f>
        <v>14481.0072</v>
      </c>
      <c r="AA43" s="355"/>
      <c r="AB43" s="356" t="s">
        <v>3980</v>
      </c>
      <c r="AC43" s="347" t="s">
        <v>112</v>
      </c>
      <c r="AD43" s="347">
        <f>I43</f>
        <v>5192</v>
      </c>
      <c r="AE43" s="347"/>
      <c r="AF43" s="347"/>
      <c r="AG43" s="347"/>
      <c r="AH43" s="347">
        <f>AG43-I43</f>
        <v>-5192</v>
      </c>
      <c r="AI43" s="352"/>
      <c r="AJ43" s="352"/>
      <c r="AK43" s="348">
        <f>I43</f>
        <v>5192</v>
      </c>
      <c r="AL43" s="348"/>
      <c r="AM43" s="348"/>
      <c r="AN43" s="348">
        <f>I43</f>
        <v>5192</v>
      </c>
      <c r="AO43" s="348"/>
      <c r="AP43" s="348"/>
      <c r="AQ43" s="348"/>
      <c r="AR43" s="348"/>
      <c r="AS43" s="348"/>
      <c r="AT43" s="348">
        <f>I43/8</f>
        <v>649</v>
      </c>
      <c r="AU43" s="348"/>
      <c r="AV43" s="348"/>
      <c r="AW43" s="348"/>
      <c r="AX43" s="348"/>
      <c r="AY43" s="348"/>
      <c r="AZ43" s="348"/>
      <c r="BA43" s="348"/>
      <c r="BB43" s="348"/>
      <c r="BC43" s="348"/>
      <c r="BD43" s="348"/>
      <c r="BE43" s="432"/>
      <c r="BF43" s="432"/>
      <c r="BG43" s="432"/>
      <c r="BH43" s="432"/>
      <c r="BI43" s="432"/>
      <c r="BJ43" s="432"/>
      <c r="BK43" s="432"/>
      <c r="BL43" s="432"/>
      <c r="BM43" s="432"/>
      <c r="BN43" s="432"/>
      <c r="BO43" s="432"/>
      <c r="BP43" s="432"/>
      <c r="BQ43" s="432"/>
      <c r="BR43" s="432"/>
      <c r="BS43" s="432"/>
      <c r="BT43" s="432"/>
      <c r="BU43" s="432"/>
      <c r="BV43" s="432"/>
      <c r="BW43" s="432"/>
      <c r="BX43" s="432"/>
      <c r="BY43" s="432"/>
      <c r="BZ43" s="432"/>
      <c r="CA43" s="432"/>
      <c r="CB43" s="432"/>
      <c r="CC43" s="432"/>
      <c r="CD43" s="432"/>
      <c r="CE43" s="432"/>
      <c r="CF43" s="432"/>
      <c r="CG43" s="432"/>
      <c r="CH43" s="432"/>
      <c r="CI43" s="432"/>
      <c r="CJ43" s="432"/>
      <c r="CK43" s="432"/>
      <c r="CL43" s="432"/>
      <c r="CM43" s="432"/>
    </row>
    <row r="44" s="289" customFormat="1" ht="31" customHeight="1" spans="1:91">
      <c r="A44" s="345">
        <v>46157</v>
      </c>
      <c r="B44" s="346" t="s">
        <v>438</v>
      </c>
      <c r="C44" s="347" t="s">
        <v>115</v>
      </c>
      <c r="D44" s="348" t="s">
        <v>6870</v>
      </c>
      <c r="E44" s="347" t="s">
        <v>6871</v>
      </c>
      <c r="F44" s="348" t="s">
        <v>6872</v>
      </c>
      <c r="G44" s="349" t="s">
        <v>3980</v>
      </c>
      <c r="H44" s="347" t="s">
        <v>3978</v>
      </c>
      <c r="I44" s="369">
        <v>7376</v>
      </c>
      <c r="J44" s="347">
        <v>0</v>
      </c>
      <c r="K44" s="347">
        <v>8</v>
      </c>
      <c r="L44" s="347">
        <f t="shared" si="5"/>
        <v>922</v>
      </c>
      <c r="M44" s="351">
        <v>46205</v>
      </c>
      <c r="N44" s="351">
        <v>46202</v>
      </c>
      <c r="O44" s="346"/>
      <c r="P44" s="352"/>
      <c r="Q44" s="442"/>
      <c r="R44" s="370">
        <v>46170</v>
      </c>
      <c r="S44" s="353" t="s">
        <v>107</v>
      </c>
      <c r="T44" s="444" t="s">
        <v>6873</v>
      </c>
      <c r="U44" s="353" t="s">
        <v>4056</v>
      </c>
      <c r="V44" s="353"/>
      <c r="W44" s="353" t="s">
        <v>6874</v>
      </c>
      <c r="X44" s="351" t="s">
        <v>443</v>
      </c>
      <c r="Y44" s="431">
        <v>2.7182</v>
      </c>
      <c r="Z44" s="348">
        <f>I44*Y44</f>
        <v>20049.4432</v>
      </c>
      <c r="AA44" s="355"/>
      <c r="AB44" s="356" t="s">
        <v>3980</v>
      </c>
      <c r="AC44" s="347" t="s">
        <v>112</v>
      </c>
      <c r="AD44" s="347">
        <f>I44</f>
        <v>7376</v>
      </c>
      <c r="AE44" s="347"/>
      <c r="AF44" s="347"/>
      <c r="AG44" s="347"/>
      <c r="AH44" s="347">
        <f>AG44-I44</f>
        <v>-7376</v>
      </c>
      <c r="AI44" s="352"/>
      <c r="AJ44" s="352"/>
      <c r="AK44" s="348">
        <f>I44</f>
        <v>7376</v>
      </c>
      <c r="AL44" s="348"/>
      <c r="AM44" s="348"/>
      <c r="AN44" s="348">
        <f>I44</f>
        <v>7376</v>
      </c>
      <c r="AO44" s="348"/>
      <c r="AP44" s="348"/>
      <c r="AQ44" s="348"/>
      <c r="AR44" s="348"/>
      <c r="AS44" s="348"/>
      <c r="AT44" s="348">
        <f>I44/8</f>
        <v>922</v>
      </c>
      <c r="AU44" s="348"/>
      <c r="AV44" s="348"/>
      <c r="AW44" s="348"/>
      <c r="AX44" s="348"/>
      <c r="AY44" s="348"/>
      <c r="AZ44" s="348"/>
      <c r="BA44" s="348"/>
      <c r="BB44" s="348"/>
      <c r="BC44" s="348"/>
      <c r="BD44" s="348"/>
      <c r="BE44" s="433"/>
      <c r="BF44" s="433"/>
      <c r="BG44" s="433"/>
      <c r="BH44" s="433"/>
      <c r="BI44" s="433"/>
      <c r="BJ44" s="433"/>
      <c r="BK44" s="433"/>
      <c r="BL44" s="433"/>
      <c r="BM44" s="433"/>
      <c r="BN44" s="433"/>
      <c r="BO44" s="433"/>
      <c r="BP44" s="433"/>
      <c r="BQ44" s="433"/>
      <c r="BR44" s="433"/>
      <c r="BS44" s="433"/>
      <c r="BT44" s="433"/>
      <c r="BU44" s="433"/>
      <c r="BV44" s="433"/>
      <c r="BW44" s="433"/>
      <c r="BX44" s="433"/>
      <c r="BY44" s="433"/>
      <c r="BZ44" s="433"/>
      <c r="CA44" s="433"/>
      <c r="CB44" s="433"/>
      <c r="CC44" s="433"/>
      <c r="CD44" s="433"/>
      <c r="CE44" s="433"/>
      <c r="CF44" s="433"/>
      <c r="CG44" s="433"/>
      <c r="CH44" s="433"/>
      <c r="CI44" s="433"/>
      <c r="CJ44" s="433"/>
      <c r="CK44" s="433"/>
      <c r="CL44" s="433"/>
      <c r="CM44" s="433"/>
    </row>
    <row r="45" s="289" customFormat="1" ht="31" customHeight="1" spans="1:91">
      <c r="A45" s="345">
        <v>46121</v>
      </c>
      <c r="B45" s="346" t="s">
        <v>114</v>
      </c>
      <c r="C45" s="347" t="s">
        <v>115</v>
      </c>
      <c r="D45" s="348" t="s">
        <v>6875</v>
      </c>
      <c r="E45" s="347" t="s">
        <v>6876</v>
      </c>
      <c r="F45" s="348" t="s">
        <v>6877</v>
      </c>
      <c r="G45" s="349" t="s">
        <v>3980</v>
      </c>
      <c r="H45" s="347" t="s">
        <v>3978</v>
      </c>
      <c r="I45" s="369">
        <v>5192</v>
      </c>
      <c r="J45" s="347">
        <v>0</v>
      </c>
      <c r="K45" s="347">
        <v>8</v>
      </c>
      <c r="L45" s="347">
        <f t="shared" si="5"/>
        <v>649</v>
      </c>
      <c r="M45" s="351">
        <v>46198</v>
      </c>
      <c r="N45" s="351">
        <v>46195</v>
      </c>
      <c r="O45" s="346"/>
      <c r="P45" s="352"/>
      <c r="Q45" s="442"/>
      <c r="R45" s="450">
        <v>46163</v>
      </c>
      <c r="S45" s="353" t="s">
        <v>107</v>
      </c>
      <c r="T45" s="444" t="s">
        <v>6878</v>
      </c>
      <c r="U45" s="353" t="s">
        <v>4056</v>
      </c>
      <c r="V45" s="353"/>
      <c r="W45" s="353" t="s">
        <v>4536</v>
      </c>
      <c r="X45" s="351" t="s">
        <v>123</v>
      </c>
      <c r="Y45" s="431">
        <v>2.7182</v>
      </c>
      <c r="Z45" s="348">
        <f>Y45*I45</f>
        <v>14112.8944</v>
      </c>
      <c r="AA45" s="355"/>
      <c r="AB45" s="356" t="s">
        <v>3980</v>
      </c>
      <c r="AC45" s="347" t="s">
        <v>112</v>
      </c>
      <c r="AD45" s="347">
        <f>I45</f>
        <v>5192</v>
      </c>
      <c r="AE45" s="347"/>
      <c r="AF45" s="347"/>
      <c r="AG45" s="347"/>
      <c r="AH45" s="347">
        <f>AG45-I45</f>
        <v>-5192</v>
      </c>
      <c r="AI45" s="352"/>
      <c r="AJ45" s="352"/>
      <c r="AK45" s="348">
        <f>I45</f>
        <v>5192</v>
      </c>
      <c r="AL45" s="348"/>
      <c r="AM45" s="348"/>
      <c r="AN45" s="348">
        <f>I45</f>
        <v>5192</v>
      </c>
      <c r="AO45" s="348"/>
      <c r="AP45" s="348"/>
      <c r="AQ45" s="348"/>
      <c r="AR45" s="348"/>
      <c r="AS45" s="348"/>
      <c r="AT45" s="348">
        <f>I45/8</f>
        <v>649</v>
      </c>
      <c r="AU45" s="348"/>
      <c r="AV45" s="348"/>
      <c r="AW45" s="348"/>
      <c r="AX45" s="348"/>
      <c r="AY45" s="348"/>
      <c r="AZ45" s="348"/>
      <c r="BA45" s="348"/>
      <c r="BB45" s="348"/>
      <c r="BC45" s="348"/>
      <c r="BD45" s="348"/>
    </row>
    <row r="46" s="286" customFormat="1" ht="31" customHeight="1" spans="1:91">
      <c r="A46" s="435">
        <v>46121</v>
      </c>
      <c r="B46" s="436" t="s">
        <v>114</v>
      </c>
      <c r="C46" s="437" t="s">
        <v>115</v>
      </c>
      <c r="D46" s="438" t="s">
        <v>6875</v>
      </c>
      <c r="E46" s="437" t="s">
        <v>6876</v>
      </c>
      <c r="F46" s="438" t="s">
        <v>6879</v>
      </c>
      <c r="G46" s="439" t="s">
        <v>118</v>
      </c>
      <c r="H46" s="437" t="s">
        <v>104</v>
      </c>
      <c r="I46" s="440">
        <v>16775</v>
      </c>
      <c r="J46" s="437">
        <v>0</v>
      </c>
      <c r="K46" s="437">
        <v>25</v>
      </c>
      <c r="L46" s="441">
        <f t="shared" si="5"/>
        <v>671</v>
      </c>
      <c r="M46" s="445">
        <v>46198</v>
      </c>
      <c r="N46" s="445">
        <v>46195</v>
      </c>
      <c r="O46" s="442"/>
      <c r="P46" s="437"/>
      <c r="Q46" s="437"/>
      <c r="R46" s="451" t="s">
        <v>1398</v>
      </c>
      <c r="S46" s="444" t="s">
        <v>107</v>
      </c>
      <c r="T46" s="444" t="s">
        <v>6880</v>
      </c>
      <c r="U46" s="436"/>
      <c r="V46" s="436"/>
      <c r="W46" s="436" t="s">
        <v>4536</v>
      </c>
      <c r="X46" s="445" t="s">
        <v>123</v>
      </c>
      <c r="Y46" s="438">
        <v>0.6313</v>
      </c>
      <c r="Z46" s="446">
        <f>I46*Y46</f>
        <v>10590.0575</v>
      </c>
      <c r="AA46" s="437"/>
      <c r="AB46" s="439" t="s">
        <v>118</v>
      </c>
      <c r="AC46" s="437" t="s">
        <v>112</v>
      </c>
      <c r="AD46" s="437"/>
      <c r="AE46" s="437"/>
      <c r="AF46" s="442"/>
      <c r="AG46" s="442">
        <f>AF46-I46</f>
        <v>-16775</v>
      </c>
      <c r="AH46" s="437"/>
      <c r="AI46" s="437"/>
      <c r="AJ46" s="438"/>
      <c r="AK46" s="438"/>
      <c r="AL46" s="438">
        <f>I46</f>
        <v>16775</v>
      </c>
      <c r="AM46" s="438">
        <f>I46</f>
        <v>16775</v>
      </c>
      <c r="AN46" s="438"/>
      <c r="AO46" s="447"/>
      <c r="AP46" s="438"/>
      <c r="AQ46" s="448"/>
      <c r="AR46" s="438">
        <f>I46</f>
        <v>16775</v>
      </c>
      <c r="AS46" s="449">
        <f>I46*0.06</f>
        <v>1006.5</v>
      </c>
      <c r="AT46" s="449"/>
      <c r="AU46" s="438"/>
      <c r="AV46" s="438"/>
      <c r="AW46" s="438"/>
      <c r="AX46" s="438"/>
      <c r="AY46" s="438"/>
      <c r="AZ46" s="438"/>
      <c r="BA46" s="438"/>
      <c r="BB46" s="438"/>
      <c r="BC46" s="438"/>
      <c r="BD46" s="438"/>
      <c r="BE46" s="438"/>
      <c r="BF46" s="438"/>
      <c r="BG46" s="438"/>
      <c r="BH46" s="438"/>
      <c r="BI46" s="438"/>
      <c r="BJ46" s="447"/>
      <c r="BK46" s="447"/>
      <c r="BL46" s="438"/>
      <c r="BM46" s="448"/>
      <c r="BN46" s="438"/>
      <c r="BO46" s="438"/>
      <c r="BP46" s="438">
        <f>I46/25</f>
        <v>671</v>
      </c>
      <c r="BQ46" s="447"/>
      <c r="BR46" s="438"/>
      <c r="BS46" s="438"/>
      <c r="BT46" s="438"/>
      <c r="BU46" s="438"/>
      <c r="BV46" s="438"/>
      <c r="BW46" s="438">
        <f>BI46+BJ46+BL46+BN46+BM46</f>
        <v>0</v>
      </c>
      <c r="BX46" s="438">
        <f>BP46</f>
        <v>671</v>
      </c>
      <c r="BY46" s="438">
        <f>BV46</f>
        <v>0</v>
      </c>
      <c r="BZ46" s="438">
        <f>BQ46+BR46+BS46</f>
        <v>0</v>
      </c>
      <c r="CA46" s="448"/>
      <c r="CB46" s="438"/>
      <c r="CC46" s="438"/>
    </row>
    <row r="47" s="289" customFormat="1" ht="31" customHeight="1" spans="1:91">
      <c r="A47" s="345">
        <v>46141</v>
      </c>
      <c r="B47" s="346" t="s">
        <v>6881</v>
      </c>
      <c r="C47" s="347" t="s">
        <v>115</v>
      </c>
      <c r="D47" s="348" t="s">
        <v>6882</v>
      </c>
      <c r="E47" s="347" t="s">
        <v>6883</v>
      </c>
      <c r="F47" s="348" t="s">
        <v>6884</v>
      </c>
      <c r="G47" s="349" t="s">
        <v>3973</v>
      </c>
      <c r="H47" s="347" t="s">
        <v>3995</v>
      </c>
      <c r="I47" s="369">
        <v>2560</v>
      </c>
      <c r="J47" s="347">
        <v>0</v>
      </c>
      <c r="K47" s="347">
        <v>16</v>
      </c>
      <c r="L47" s="347">
        <f t="shared" si="5"/>
        <v>160</v>
      </c>
      <c r="M47" s="351">
        <v>46230</v>
      </c>
      <c r="N47" s="430" t="s">
        <v>6885</v>
      </c>
      <c r="O47" s="346"/>
      <c r="P47" s="352"/>
      <c r="Q47" s="352"/>
      <c r="R47" s="370" t="s">
        <v>3064</v>
      </c>
      <c r="S47" s="353" t="s">
        <v>107</v>
      </c>
      <c r="T47" s="353" t="s">
        <v>6886</v>
      </c>
      <c r="U47" s="353" t="s">
        <v>4056</v>
      </c>
      <c r="V47" s="353"/>
      <c r="W47" s="353" t="s">
        <v>6887</v>
      </c>
      <c r="X47" s="351" t="s">
        <v>2754</v>
      </c>
      <c r="Y47" s="431">
        <v>2.7446</v>
      </c>
      <c r="Z47" s="348">
        <f>I47*Y47</f>
        <v>7026.176</v>
      </c>
      <c r="AA47" s="355"/>
      <c r="AB47" s="356" t="s">
        <v>3973</v>
      </c>
      <c r="AC47" s="347" t="s">
        <v>112</v>
      </c>
      <c r="AD47" s="347">
        <f>I47</f>
        <v>2560</v>
      </c>
      <c r="AE47" s="347"/>
      <c r="AF47" s="347"/>
      <c r="AG47" s="347"/>
      <c r="AH47" s="347">
        <f>AG47-I47</f>
        <v>-2560</v>
      </c>
      <c r="AI47" s="352"/>
      <c r="AJ47" s="352"/>
      <c r="AK47" s="348">
        <f>I47</f>
        <v>2560</v>
      </c>
      <c r="AL47" s="348"/>
      <c r="AM47" s="348"/>
      <c r="AN47" s="348">
        <f>I47</f>
        <v>2560</v>
      </c>
      <c r="AO47" s="348"/>
      <c r="AP47" s="348"/>
      <c r="AQ47" s="348"/>
      <c r="AR47" s="348"/>
      <c r="AS47" s="348"/>
      <c r="AT47" s="348">
        <f>I47/8</f>
        <v>320</v>
      </c>
      <c r="AU47" s="348"/>
      <c r="AV47" s="348"/>
      <c r="AW47" s="348"/>
      <c r="AX47" s="348"/>
      <c r="AY47" s="348"/>
      <c r="AZ47" s="348"/>
      <c r="BA47" s="348"/>
      <c r="BB47" s="348"/>
      <c r="BC47" s="348"/>
      <c r="BD47" s="348"/>
      <c r="BE47" s="429"/>
      <c r="BF47" s="429"/>
      <c r="BG47" s="429"/>
      <c r="BH47" s="429"/>
      <c r="BI47" s="429"/>
      <c r="BJ47" s="429"/>
      <c r="BK47" s="429"/>
      <c r="BL47" s="429"/>
      <c r="BM47" s="429"/>
      <c r="BN47" s="429"/>
      <c r="BO47" s="429"/>
      <c r="BP47" s="429"/>
      <c r="BQ47" s="429"/>
      <c r="BR47" s="429"/>
      <c r="BS47" s="429"/>
      <c r="BT47" s="429"/>
      <c r="BU47" s="429"/>
      <c r="BV47" s="429"/>
      <c r="BW47" s="429"/>
      <c r="BX47" s="429"/>
      <c r="BY47" s="429"/>
      <c r="BZ47" s="429"/>
      <c r="CA47" s="429"/>
      <c r="CB47" s="429"/>
      <c r="CC47" s="429"/>
      <c r="CD47" s="429"/>
      <c r="CE47" s="429"/>
      <c r="CF47" s="429"/>
      <c r="CG47" s="429"/>
      <c r="CH47" s="429"/>
      <c r="CI47" s="429"/>
      <c r="CJ47" s="429"/>
      <c r="CK47" s="429"/>
      <c r="CL47" s="429"/>
      <c r="CM47" s="429"/>
    </row>
    <row r="48" s="291" customFormat="1" ht="31" customHeight="1" spans="1:91">
      <c r="A48" s="435">
        <v>46141</v>
      </c>
      <c r="B48" s="436" t="s">
        <v>6881</v>
      </c>
      <c r="C48" s="437" t="s">
        <v>115</v>
      </c>
      <c r="D48" s="438" t="s">
        <v>6882</v>
      </c>
      <c r="E48" s="437" t="s">
        <v>6883</v>
      </c>
      <c r="F48" s="438" t="s">
        <v>6888</v>
      </c>
      <c r="G48" s="439" t="s">
        <v>174</v>
      </c>
      <c r="H48" s="437" t="s">
        <v>859</v>
      </c>
      <c r="I48" s="440">
        <v>2080</v>
      </c>
      <c r="J48" s="437">
        <v>0</v>
      </c>
      <c r="K48" s="437">
        <v>52</v>
      </c>
      <c r="L48" s="441">
        <f t="shared" si="5"/>
        <v>40</v>
      </c>
      <c r="M48" s="445">
        <v>46230</v>
      </c>
      <c r="N48" s="434" t="s">
        <v>6885</v>
      </c>
      <c r="O48" s="442"/>
      <c r="P48" s="442"/>
      <c r="Q48" s="437"/>
      <c r="R48" s="443" t="s">
        <v>3064</v>
      </c>
      <c r="S48" s="452" t="s">
        <v>107</v>
      </c>
      <c r="T48" s="452" t="s">
        <v>6889</v>
      </c>
      <c r="U48" s="436"/>
      <c r="V48" s="436"/>
      <c r="W48" s="436" t="s">
        <v>6887</v>
      </c>
      <c r="X48" s="445" t="s">
        <v>2754</v>
      </c>
      <c r="Y48" s="438">
        <v>0.6197</v>
      </c>
      <c r="Z48" s="446">
        <f>I48*Y48</f>
        <v>1288.976</v>
      </c>
      <c r="AA48" s="437"/>
      <c r="AB48" s="439" t="s">
        <v>174</v>
      </c>
      <c r="AC48" s="437" t="s">
        <v>112</v>
      </c>
      <c r="AD48" s="437"/>
      <c r="AE48" s="437"/>
      <c r="AF48" s="442"/>
      <c r="AG48" s="442">
        <f>AF48-I48</f>
        <v>-2080</v>
      </c>
      <c r="AH48" s="437"/>
      <c r="AI48" s="437"/>
      <c r="AJ48" s="438">
        <f>I48</f>
        <v>2080</v>
      </c>
      <c r="AK48" s="438"/>
      <c r="AL48" s="438"/>
      <c r="AM48" s="438">
        <f>I48</f>
        <v>2080</v>
      </c>
      <c r="AN48" s="438"/>
      <c r="AO48" s="447"/>
      <c r="AP48" s="438"/>
      <c r="AQ48" s="448"/>
      <c r="AR48" s="438">
        <f>I48</f>
        <v>2080</v>
      </c>
      <c r="AS48" s="449">
        <f>I48*0.06*2</f>
        <v>249.6</v>
      </c>
      <c r="AT48" s="449"/>
      <c r="AU48" s="438"/>
      <c r="AV48" s="438"/>
      <c r="AW48" s="438"/>
      <c r="AX48" s="438"/>
      <c r="AY48" s="438"/>
      <c r="AZ48" s="438"/>
      <c r="BA48" s="438"/>
      <c r="BB48" s="438"/>
      <c r="BC48" s="438"/>
      <c r="BD48" s="438"/>
      <c r="BE48" s="438"/>
      <c r="BF48" s="438"/>
      <c r="BG48" s="438">
        <f>I48/13</f>
        <v>160</v>
      </c>
      <c r="BH48" s="438"/>
      <c r="BI48" s="438"/>
      <c r="BJ48" s="447"/>
      <c r="BK48" s="447"/>
      <c r="BL48" s="438"/>
      <c r="BM48" s="448"/>
      <c r="BN48" s="448"/>
      <c r="BO48" s="438"/>
      <c r="BP48" s="438"/>
      <c r="BQ48" s="447"/>
      <c r="BR48" s="438"/>
      <c r="BS48" s="438"/>
      <c r="BT48" s="438"/>
      <c r="BU48" s="438"/>
      <c r="BV48" s="438"/>
      <c r="BW48" s="438">
        <f>BI48+BJ48+BL48+BN48+BM48</f>
        <v>0</v>
      </c>
      <c r="BX48" s="438">
        <f>BP48</f>
        <v>0</v>
      </c>
      <c r="BY48" s="438">
        <f>BV48</f>
        <v>0</v>
      </c>
      <c r="BZ48" s="438">
        <f>BQ48+BR48+BS48</f>
        <v>0</v>
      </c>
      <c r="CA48" s="448"/>
      <c r="CB48" s="448"/>
      <c r="CC48" s="448"/>
      <c r="CD48" s="438"/>
      <c r="CE48" s="438"/>
    </row>
    <row r="49" s="286" customFormat="1" ht="31" customHeight="1" spans="1:91">
      <c r="A49" s="435">
        <v>46174</v>
      </c>
      <c r="B49" s="436" t="s">
        <v>2863</v>
      </c>
      <c r="C49" s="437" t="s">
        <v>115</v>
      </c>
      <c r="D49" s="438" t="s">
        <v>6890</v>
      </c>
      <c r="E49" s="437" t="s">
        <v>6891</v>
      </c>
      <c r="F49" s="438" t="s">
        <v>6892</v>
      </c>
      <c r="G49" s="439" t="s">
        <v>188</v>
      </c>
      <c r="H49" s="437" t="s">
        <v>138</v>
      </c>
      <c r="I49" s="440">
        <v>1000</v>
      </c>
      <c r="J49" s="437">
        <v>0</v>
      </c>
      <c r="K49" s="437">
        <v>50</v>
      </c>
      <c r="L49" s="441">
        <f t="shared" si="5"/>
        <v>20</v>
      </c>
      <c r="M49" s="445">
        <v>46245</v>
      </c>
      <c r="N49" s="445">
        <v>46241</v>
      </c>
      <c r="O49" s="442"/>
      <c r="P49" s="442"/>
      <c r="Q49" s="437"/>
      <c r="R49" s="451" t="s">
        <v>3064</v>
      </c>
      <c r="S49" s="452" t="s">
        <v>95</v>
      </c>
      <c r="T49" s="452" t="s">
        <v>95</v>
      </c>
      <c r="U49" s="436"/>
      <c r="V49" s="436"/>
      <c r="W49" s="436" t="s">
        <v>6893</v>
      </c>
      <c r="X49" s="445" t="s">
        <v>6894</v>
      </c>
      <c r="Y49" s="438"/>
      <c r="Z49" s="446"/>
      <c r="AA49" s="437"/>
      <c r="AB49" s="437" t="s">
        <v>188</v>
      </c>
      <c r="AC49" s="437"/>
      <c r="AD49" s="437"/>
      <c r="AE49" s="437"/>
      <c r="AF49" s="442"/>
      <c r="AG49" s="442">
        <f>AF49-I49</f>
        <v>-1000</v>
      </c>
      <c r="AH49" s="437"/>
      <c r="AI49" s="437"/>
      <c r="AJ49" s="438">
        <f>I49</f>
        <v>1000</v>
      </c>
      <c r="AK49" s="438"/>
      <c r="AL49" s="438"/>
      <c r="AM49" s="438">
        <f>I49</f>
        <v>1000</v>
      </c>
      <c r="AN49" s="438"/>
      <c r="AO49" s="447"/>
      <c r="AP49" s="438"/>
      <c r="AQ49" s="448"/>
      <c r="AR49" s="438">
        <f>I49</f>
        <v>1000</v>
      </c>
      <c r="AS49" s="449">
        <f>I49*0.06*2</f>
        <v>120</v>
      </c>
      <c r="AT49" s="449"/>
      <c r="AU49" s="438"/>
      <c r="AV49" s="438"/>
      <c r="AW49" s="438"/>
      <c r="AX49" s="438"/>
      <c r="AY49" s="438"/>
      <c r="AZ49" s="438"/>
      <c r="BA49" s="438"/>
      <c r="BB49" s="438"/>
      <c r="BC49" s="438"/>
      <c r="BD49" s="438"/>
      <c r="BE49" s="438"/>
      <c r="BF49" s="438"/>
      <c r="BG49" s="438"/>
      <c r="BH49" s="438"/>
      <c r="BI49" s="438">
        <f>I49/25</f>
        <v>40</v>
      </c>
      <c r="BJ49" s="447"/>
      <c r="BK49" s="447"/>
      <c r="BL49" s="438"/>
      <c r="BM49" s="448"/>
      <c r="BN49" s="448"/>
      <c r="BO49" s="438"/>
      <c r="BP49" s="438"/>
      <c r="BQ49" s="447"/>
      <c r="BR49" s="438"/>
      <c r="BS49" s="438"/>
      <c r="BT49" s="438"/>
      <c r="BU49" s="438"/>
      <c r="BV49" s="438"/>
      <c r="BW49" s="453">
        <f>BI49+BJ49+BL49+BN49+BM49</f>
        <v>40</v>
      </c>
      <c r="BX49" s="453">
        <f>BP49</f>
        <v>0</v>
      </c>
      <c r="BY49" s="453">
        <f>BV49</f>
        <v>0</v>
      </c>
      <c r="BZ49" s="453">
        <f>BQ49+BR49+BS49</f>
        <v>0</v>
      </c>
      <c r="CA49" s="448"/>
      <c r="CB49" s="448"/>
      <c r="CC49" s="448"/>
      <c r="CD49" s="438"/>
      <c r="CE49" s="438"/>
    </row>
    <row r="50" s="289" customFormat="1" ht="31" customHeight="1" spans="1:91">
      <c r="A50" s="345">
        <v>46174</v>
      </c>
      <c r="B50" s="346" t="s">
        <v>2863</v>
      </c>
      <c r="C50" s="347" t="s">
        <v>115</v>
      </c>
      <c r="D50" s="348" t="s">
        <v>6890</v>
      </c>
      <c r="E50" s="347" t="s">
        <v>6891</v>
      </c>
      <c r="F50" s="348" t="s">
        <v>6895</v>
      </c>
      <c r="G50" s="349" t="s">
        <v>3973</v>
      </c>
      <c r="H50" s="347" t="s">
        <v>3995</v>
      </c>
      <c r="I50" s="369">
        <v>256</v>
      </c>
      <c r="J50" s="347">
        <v>0</v>
      </c>
      <c r="K50" s="347">
        <v>16</v>
      </c>
      <c r="L50" s="347">
        <f t="shared" si="5"/>
        <v>16</v>
      </c>
      <c r="M50" s="351">
        <v>46245</v>
      </c>
      <c r="N50" s="351">
        <v>46241</v>
      </c>
      <c r="O50" s="346"/>
      <c r="P50" s="352"/>
      <c r="Q50" s="352"/>
      <c r="R50" s="443" t="s">
        <v>3064</v>
      </c>
      <c r="S50" s="444" t="s">
        <v>107</v>
      </c>
      <c r="T50" s="444" t="s">
        <v>95</v>
      </c>
      <c r="U50" s="353"/>
      <c r="V50" s="353"/>
      <c r="W50" s="353" t="s">
        <v>6896</v>
      </c>
      <c r="X50" s="351" t="s">
        <v>6894</v>
      </c>
      <c r="Y50" s="431"/>
      <c r="Z50" s="348"/>
      <c r="AA50" s="355"/>
      <c r="AB50" s="436" t="s">
        <v>3973</v>
      </c>
      <c r="AC50" s="347"/>
      <c r="AD50" s="347">
        <f>I50</f>
        <v>256</v>
      </c>
      <c r="AE50" s="347"/>
      <c r="AF50" s="437"/>
      <c r="AG50" s="347"/>
      <c r="AH50" s="347">
        <f>AG50-I50</f>
        <v>-256</v>
      </c>
      <c r="AI50" s="352"/>
      <c r="AJ50" s="352"/>
      <c r="AK50" s="348">
        <f>I50</f>
        <v>256</v>
      </c>
      <c r="AL50" s="348"/>
      <c r="AM50" s="348"/>
      <c r="AN50" s="348">
        <f>I50</f>
        <v>256</v>
      </c>
      <c r="AO50" s="348"/>
      <c r="AP50" s="348"/>
      <c r="AQ50" s="348"/>
      <c r="AR50" s="348"/>
      <c r="AS50" s="348"/>
      <c r="AT50" s="348">
        <f>I50/8</f>
        <v>32</v>
      </c>
      <c r="AU50" s="348"/>
      <c r="AV50" s="348"/>
      <c r="AW50" s="348"/>
      <c r="AX50" s="348"/>
      <c r="AY50" s="348"/>
      <c r="AZ50" s="348"/>
      <c r="BA50" s="348"/>
      <c r="BB50" s="348"/>
      <c r="BC50" s="348"/>
      <c r="BD50" s="348"/>
    </row>
    <row r="51" s="289" customFormat="1" ht="31" customHeight="1" spans="1:91">
      <c r="A51" s="345">
        <v>46184</v>
      </c>
      <c r="B51" s="346" t="s">
        <v>626</v>
      </c>
      <c r="C51" s="347" t="s">
        <v>627</v>
      </c>
      <c r="D51" s="348">
        <v>4500211792</v>
      </c>
      <c r="E51" s="347"/>
      <c r="F51" s="348" t="s">
        <v>6897</v>
      </c>
      <c r="G51" s="349" t="s">
        <v>3973</v>
      </c>
      <c r="H51" s="347" t="s">
        <v>3995</v>
      </c>
      <c r="I51" s="369">
        <v>2000</v>
      </c>
      <c r="J51" s="347">
        <v>0</v>
      </c>
      <c r="K51" s="347">
        <v>16</v>
      </c>
      <c r="L51" s="347">
        <f t="shared" si="5"/>
        <v>125</v>
      </c>
      <c r="M51" s="351">
        <v>46230</v>
      </c>
      <c r="N51" s="351">
        <v>46226</v>
      </c>
      <c r="O51" s="346"/>
      <c r="P51" s="352"/>
      <c r="Q51" s="352"/>
      <c r="R51" s="451" t="s">
        <v>3064</v>
      </c>
      <c r="S51" s="444" t="s">
        <v>107</v>
      </c>
      <c r="T51" s="444" t="s">
        <v>3625</v>
      </c>
      <c r="U51" s="353"/>
      <c r="V51" s="353"/>
      <c r="W51" s="353" t="s">
        <v>6898</v>
      </c>
      <c r="X51" s="351" t="s">
        <v>295</v>
      </c>
      <c r="Y51" s="431">
        <v>4.8226</v>
      </c>
      <c r="Z51" s="348">
        <f>I51*Y51</f>
        <v>9645.2</v>
      </c>
      <c r="AA51" s="355"/>
      <c r="AB51" s="348" t="s">
        <v>4108</v>
      </c>
      <c r="AC51" s="347"/>
      <c r="AD51" s="347">
        <f>I51</f>
        <v>2000</v>
      </c>
      <c r="AE51" s="347"/>
      <c r="AF51" s="347"/>
      <c r="AG51" s="347"/>
      <c r="AH51" s="347">
        <f>AG51-I51</f>
        <v>-2000</v>
      </c>
      <c r="AI51" s="352"/>
      <c r="AJ51" s="352"/>
      <c r="AK51" s="348"/>
      <c r="AL51" s="348">
        <f>I51</f>
        <v>2000</v>
      </c>
      <c r="AM51" s="348"/>
      <c r="AN51" s="348">
        <f>I51</f>
        <v>2000</v>
      </c>
      <c r="AO51" s="348"/>
      <c r="AP51" s="348"/>
      <c r="AQ51" s="348"/>
      <c r="AR51" s="348"/>
      <c r="AS51" s="348"/>
      <c r="AT51" s="348"/>
      <c r="AU51" s="348">
        <f>I51/8</f>
        <v>250</v>
      </c>
      <c r="AV51" s="348"/>
      <c r="AW51" s="348"/>
      <c r="AX51" s="348"/>
      <c r="AY51" s="348"/>
      <c r="AZ51" s="348"/>
      <c r="BA51" s="348"/>
      <c r="BB51" s="348"/>
      <c r="BC51" s="348"/>
      <c r="BD51" s="348"/>
    </row>
    <row r="52" s="289" customFormat="1" ht="31" customHeight="1" spans="1:91">
      <c r="A52" s="345">
        <v>46183</v>
      </c>
      <c r="B52" s="346" t="s">
        <v>180</v>
      </c>
      <c r="C52" s="347" t="s">
        <v>115</v>
      </c>
      <c r="D52" s="348" t="s">
        <v>6899</v>
      </c>
      <c r="E52" s="347" t="s">
        <v>6900</v>
      </c>
      <c r="F52" s="348" t="s">
        <v>6901</v>
      </c>
      <c r="G52" s="349" t="s">
        <v>4141</v>
      </c>
      <c r="H52" s="347" t="s">
        <v>3969</v>
      </c>
      <c r="I52" s="369">
        <v>16448</v>
      </c>
      <c r="J52" s="347">
        <v>0</v>
      </c>
      <c r="K52" s="347">
        <v>16</v>
      </c>
      <c r="L52" s="347">
        <f t="shared" si="5"/>
        <v>1028</v>
      </c>
      <c r="M52" s="351">
        <v>46230</v>
      </c>
      <c r="N52" s="351">
        <v>46226</v>
      </c>
      <c r="O52" s="346"/>
      <c r="P52" s="352"/>
      <c r="Q52" s="352"/>
      <c r="R52" s="370">
        <v>46185</v>
      </c>
      <c r="S52" s="444" t="s">
        <v>107</v>
      </c>
      <c r="T52" s="353"/>
      <c r="U52" s="353"/>
      <c r="V52" s="353"/>
      <c r="W52" s="353" t="s">
        <v>6902</v>
      </c>
      <c r="X52" s="351" t="s">
        <v>393</v>
      </c>
      <c r="Y52" s="431">
        <v>2.7981</v>
      </c>
      <c r="Z52" s="348">
        <f>L52*Y52</f>
        <v>2876.4468</v>
      </c>
      <c r="AA52" s="355"/>
      <c r="AB52" s="356" t="s">
        <v>3968</v>
      </c>
      <c r="AC52" s="437" t="s">
        <v>112</v>
      </c>
      <c r="AD52" s="347">
        <f>I52</f>
        <v>16448</v>
      </c>
      <c r="AE52" s="347"/>
      <c r="AF52" s="437"/>
      <c r="AG52" s="347"/>
      <c r="AH52" s="347">
        <f>AG52-I52</f>
        <v>-16448</v>
      </c>
      <c r="AI52" s="352"/>
      <c r="AJ52" s="352"/>
      <c r="AK52" s="348">
        <f>I52</f>
        <v>16448</v>
      </c>
      <c r="AL52" s="348"/>
      <c r="AM52" s="348"/>
      <c r="AN52" s="348">
        <f>I52</f>
        <v>16448</v>
      </c>
      <c r="AO52" s="348"/>
      <c r="AP52" s="348"/>
      <c r="AQ52" s="348"/>
      <c r="AR52" s="348"/>
      <c r="AS52" s="348"/>
      <c r="AT52" s="348"/>
      <c r="AU52" s="348"/>
      <c r="AV52" s="348"/>
      <c r="AW52" s="348"/>
      <c r="AX52" s="348"/>
      <c r="AY52" s="348"/>
      <c r="AZ52" s="348"/>
      <c r="BA52" s="348"/>
      <c r="BB52" s="348"/>
      <c r="BC52" s="348"/>
      <c r="BD52" s="348"/>
    </row>
    <row r="53" s="286" customFormat="1" ht="31" customHeight="1" spans="1:91">
      <c r="A53" s="435">
        <v>46183</v>
      </c>
      <c r="B53" s="454" t="s">
        <v>180</v>
      </c>
      <c r="C53" s="455" t="s">
        <v>115</v>
      </c>
      <c r="D53" s="456" t="s">
        <v>6899</v>
      </c>
      <c r="E53" s="455" t="s">
        <v>6900</v>
      </c>
      <c r="F53" s="456" t="s">
        <v>6903</v>
      </c>
      <c r="G53" s="457" t="s">
        <v>553</v>
      </c>
      <c r="H53" s="455" t="s">
        <v>390</v>
      </c>
      <c r="I53" s="458">
        <v>28008</v>
      </c>
      <c r="J53" s="455">
        <v>0</v>
      </c>
      <c r="K53" s="455">
        <v>12</v>
      </c>
      <c r="L53" s="441">
        <f t="shared" si="5"/>
        <v>2334</v>
      </c>
      <c r="M53" s="459">
        <v>46230</v>
      </c>
      <c r="N53" s="459">
        <v>46226</v>
      </c>
      <c r="O53" s="442"/>
      <c r="P53" s="442"/>
      <c r="Q53" s="437"/>
      <c r="R53" s="443" t="s">
        <v>2869</v>
      </c>
      <c r="S53" s="444" t="s">
        <v>95</v>
      </c>
      <c r="T53" s="444" t="s">
        <v>95</v>
      </c>
      <c r="U53" s="436"/>
      <c r="V53" s="436"/>
      <c r="W53" s="436" t="s">
        <v>6904</v>
      </c>
      <c r="X53" s="459" t="s">
        <v>393</v>
      </c>
      <c r="Y53" s="438">
        <v>1.4905</v>
      </c>
      <c r="Z53" s="446">
        <f t="shared" ref="Z53:Z59" si="11">I53*Y53</f>
        <v>41745.924</v>
      </c>
      <c r="AA53" s="437"/>
      <c r="AB53" s="437"/>
      <c r="AC53" s="437"/>
      <c r="AD53" s="437"/>
      <c r="AE53" s="437"/>
      <c r="AF53" s="442"/>
      <c r="AG53" s="442"/>
      <c r="AH53" s="437"/>
      <c r="AI53" s="437"/>
      <c r="AJ53" s="438">
        <f>I53*2</f>
        <v>56016</v>
      </c>
      <c r="AK53" s="438"/>
      <c r="AL53" s="438"/>
      <c r="AM53" s="438"/>
      <c r="AN53" s="438"/>
      <c r="AO53" s="447">
        <f>I53*2</f>
        <v>56016</v>
      </c>
      <c r="AP53" s="438"/>
      <c r="AQ53" s="448"/>
      <c r="AR53" s="438">
        <f>I53*2</f>
        <v>56016</v>
      </c>
      <c r="AS53" s="449"/>
      <c r="AT53" s="449"/>
      <c r="AU53" s="438"/>
      <c r="AV53" s="438"/>
      <c r="AW53" s="438"/>
      <c r="AX53" s="438"/>
      <c r="AY53" s="438"/>
      <c r="AZ53" s="438"/>
      <c r="BA53" s="438"/>
      <c r="BB53" s="438"/>
      <c r="BC53" s="438"/>
      <c r="BD53" s="438"/>
      <c r="BE53" s="438"/>
      <c r="BF53" s="438"/>
      <c r="BG53" s="438"/>
      <c r="BH53" s="438"/>
      <c r="BI53" s="438"/>
      <c r="BJ53" s="447"/>
      <c r="BK53" s="447"/>
      <c r="BL53" s="438"/>
      <c r="BM53" s="448"/>
      <c r="BN53" s="448"/>
      <c r="BO53" s="438"/>
      <c r="BP53" s="438"/>
      <c r="BQ53" s="447"/>
      <c r="BR53" s="438"/>
      <c r="BS53" s="438"/>
      <c r="BT53" s="438"/>
      <c r="BU53" s="438"/>
      <c r="BV53" s="438"/>
      <c r="BW53" s="438">
        <f>BI53+BJ53+BL53+BN53+BM53</f>
        <v>0</v>
      </c>
      <c r="BX53" s="438">
        <f>BP53</f>
        <v>0</v>
      </c>
      <c r="BY53" s="438">
        <f>BV53</f>
        <v>0</v>
      </c>
      <c r="BZ53" s="438">
        <f>BQ53+BR53+BS53</f>
        <v>0</v>
      </c>
      <c r="CA53" s="448"/>
      <c r="CB53" s="448"/>
      <c r="CC53" s="448">
        <f>I53</f>
        <v>28008</v>
      </c>
      <c r="CD53" s="438">
        <f>I53</f>
        <v>28008</v>
      </c>
      <c r="CE53" s="438">
        <f>I53</f>
        <v>28008</v>
      </c>
    </row>
    <row r="54" s="286" customFormat="1" ht="31" customHeight="1" spans="1:91">
      <c r="A54" s="435">
        <v>46136</v>
      </c>
      <c r="B54" s="460" t="s">
        <v>147</v>
      </c>
      <c r="C54" s="461" t="s">
        <v>148</v>
      </c>
      <c r="D54" s="462" t="s">
        <v>6905</v>
      </c>
      <c r="E54" s="463" t="s">
        <v>6906</v>
      </c>
      <c r="F54" s="462" t="s">
        <v>6907</v>
      </c>
      <c r="G54" s="464" t="s">
        <v>270</v>
      </c>
      <c r="H54" s="436" t="s">
        <v>893</v>
      </c>
      <c r="I54" s="465">
        <v>4200</v>
      </c>
      <c r="J54" s="466">
        <v>0</v>
      </c>
      <c r="K54" s="466">
        <v>25</v>
      </c>
      <c r="L54" s="441">
        <f t="shared" si="5"/>
        <v>168</v>
      </c>
      <c r="M54" s="445">
        <v>46189</v>
      </c>
      <c r="N54" s="445">
        <v>46185</v>
      </c>
      <c r="O54" s="442"/>
      <c r="P54" s="467"/>
      <c r="Q54" s="437" t="s">
        <v>6908</v>
      </c>
      <c r="R54" s="443" t="s">
        <v>6909</v>
      </c>
      <c r="S54" s="452" t="s">
        <v>95</v>
      </c>
      <c r="T54" s="452" t="s">
        <v>95</v>
      </c>
      <c r="U54" s="438" t="s">
        <v>140</v>
      </c>
      <c r="V54" s="436"/>
      <c r="W54" s="436" t="s">
        <v>6910</v>
      </c>
      <c r="X54" s="468" t="s">
        <v>142</v>
      </c>
      <c r="Y54" s="469">
        <v>1.0803</v>
      </c>
      <c r="Z54" s="446">
        <f t="shared" si="11"/>
        <v>4537.26</v>
      </c>
      <c r="AA54" s="437"/>
      <c r="AB54" s="437" t="s">
        <v>137</v>
      </c>
      <c r="AC54" s="437" t="s">
        <v>112</v>
      </c>
      <c r="AD54" s="437"/>
      <c r="AE54" s="437"/>
      <c r="AF54" s="442"/>
      <c r="AG54" s="442">
        <f>AF54-I54</f>
        <v>-4200</v>
      </c>
      <c r="AH54" s="437"/>
      <c r="AI54" s="437"/>
      <c r="AJ54" s="438">
        <f>I54</f>
        <v>4200</v>
      </c>
      <c r="AK54" s="438"/>
      <c r="AL54" s="438"/>
      <c r="AM54" s="438"/>
      <c r="AN54" s="438"/>
      <c r="AO54" s="447"/>
      <c r="AP54" s="438"/>
      <c r="AQ54" s="448"/>
      <c r="AR54" s="438"/>
      <c r="AS54" s="449">
        <f>I54*0.06</f>
        <v>252</v>
      </c>
      <c r="AT54" s="449">
        <f>I54</f>
        <v>4200</v>
      </c>
      <c r="AU54" s="438"/>
      <c r="AV54" s="438"/>
      <c r="AW54" s="438"/>
      <c r="AX54" s="438"/>
      <c r="AY54" s="438"/>
      <c r="AZ54" s="438"/>
      <c r="BA54" s="438"/>
      <c r="BB54" s="438"/>
      <c r="BC54" s="438">
        <f>I54</f>
        <v>4200</v>
      </c>
      <c r="BD54" s="438"/>
      <c r="BE54" s="438"/>
      <c r="BF54" s="438"/>
      <c r="BG54" s="438"/>
      <c r="BH54" s="438"/>
      <c r="BI54" s="438"/>
      <c r="BJ54" s="447">
        <f>I54/25</f>
        <v>168</v>
      </c>
      <c r="BK54" s="447"/>
      <c r="BL54" s="438"/>
      <c r="BM54" s="448"/>
      <c r="BN54" s="448"/>
      <c r="BO54" s="438"/>
      <c r="BP54" s="438"/>
      <c r="BQ54" s="447"/>
      <c r="BR54" s="438"/>
      <c r="BS54" s="438"/>
      <c r="BT54" s="438"/>
      <c r="BU54" s="438"/>
      <c r="BV54" s="438"/>
      <c r="BW54" s="438">
        <f>BI54+BJ54+BL54+BN54+BM54</f>
        <v>168</v>
      </c>
      <c r="BX54" s="438">
        <f>BP54</f>
        <v>0</v>
      </c>
      <c r="BY54" s="438">
        <f>BV54</f>
        <v>0</v>
      </c>
      <c r="BZ54" s="438">
        <f>BQ54+BR54+BS54</f>
        <v>0</v>
      </c>
      <c r="CA54" s="448"/>
      <c r="CB54" s="448"/>
      <c r="CC54" s="448"/>
      <c r="CD54" s="438"/>
      <c r="CE54" s="438"/>
    </row>
    <row r="55" s="286" customFormat="1" ht="31" customHeight="1" spans="1:91">
      <c r="A55" s="435">
        <v>46136</v>
      </c>
      <c r="B55" s="460" t="s">
        <v>147</v>
      </c>
      <c r="C55" s="461" t="s">
        <v>148</v>
      </c>
      <c r="D55" s="462" t="s">
        <v>6905</v>
      </c>
      <c r="E55" s="463" t="s">
        <v>6911</v>
      </c>
      <c r="F55" s="462" t="s">
        <v>6912</v>
      </c>
      <c r="G55" s="464" t="s">
        <v>270</v>
      </c>
      <c r="H55" s="436" t="s">
        <v>893</v>
      </c>
      <c r="I55" s="465">
        <v>1800</v>
      </c>
      <c r="J55" s="466">
        <v>0</v>
      </c>
      <c r="K55" s="466">
        <v>25</v>
      </c>
      <c r="L55" s="441">
        <f t="shared" si="5"/>
        <v>72</v>
      </c>
      <c r="M55" s="445">
        <v>46189</v>
      </c>
      <c r="N55" s="445">
        <v>46185</v>
      </c>
      <c r="O55" s="442"/>
      <c r="P55" s="467"/>
      <c r="Q55" s="437" t="s">
        <v>6908</v>
      </c>
      <c r="R55" s="443" t="s">
        <v>6909</v>
      </c>
      <c r="S55" s="452" t="s">
        <v>95</v>
      </c>
      <c r="T55" s="452" t="s">
        <v>95</v>
      </c>
      <c r="U55" s="438" t="s">
        <v>140</v>
      </c>
      <c r="V55" s="436"/>
      <c r="W55" s="436" t="s">
        <v>6910</v>
      </c>
      <c r="X55" s="468" t="s">
        <v>142</v>
      </c>
      <c r="Y55" s="469">
        <v>1.0803</v>
      </c>
      <c r="Z55" s="446">
        <f t="shared" si="11"/>
        <v>1944.54</v>
      </c>
      <c r="AA55" s="437"/>
      <c r="AB55" s="437" t="s">
        <v>137</v>
      </c>
      <c r="AC55" s="437" t="s">
        <v>112</v>
      </c>
      <c r="AD55" s="437"/>
      <c r="AE55" s="437"/>
      <c r="AF55" s="442"/>
      <c r="AG55" s="442">
        <f>AF55-I55</f>
        <v>-1800</v>
      </c>
      <c r="AH55" s="437"/>
      <c r="AI55" s="437"/>
      <c r="AJ55" s="438">
        <f>I55</f>
        <v>1800</v>
      </c>
      <c r="AK55" s="438"/>
      <c r="AL55" s="438"/>
      <c r="AM55" s="438"/>
      <c r="AN55" s="438"/>
      <c r="AO55" s="447"/>
      <c r="AP55" s="438"/>
      <c r="AQ55" s="448"/>
      <c r="AR55" s="438"/>
      <c r="AS55" s="449">
        <f>I55*0.06</f>
        <v>108</v>
      </c>
      <c r="AT55" s="449">
        <f>I55</f>
        <v>1800</v>
      </c>
      <c r="AU55" s="438"/>
      <c r="AV55" s="438"/>
      <c r="AW55" s="438"/>
      <c r="AX55" s="438"/>
      <c r="AY55" s="438"/>
      <c r="AZ55" s="438"/>
      <c r="BA55" s="438"/>
      <c r="BB55" s="438"/>
      <c r="BC55" s="438">
        <f>I55</f>
        <v>1800</v>
      </c>
      <c r="BD55" s="438"/>
      <c r="BE55" s="438"/>
      <c r="BF55" s="438"/>
      <c r="BG55" s="438"/>
      <c r="BH55" s="438"/>
      <c r="BI55" s="438"/>
      <c r="BJ55" s="447">
        <f>I55/25</f>
        <v>72</v>
      </c>
      <c r="BK55" s="447"/>
      <c r="BL55" s="438"/>
      <c r="BM55" s="448"/>
      <c r="BN55" s="448"/>
      <c r="BO55" s="438"/>
      <c r="BP55" s="438"/>
      <c r="BQ55" s="447"/>
      <c r="BR55" s="438"/>
      <c r="BS55" s="438"/>
      <c r="BT55" s="438"/>
      <c r="BU55" s="438"/>
      <c r="BV55" s="438"/>
      <c r="BW55" s="438">
        <f>BI55+BJ55+BL55+BN55+BM55</f>
        <v>72</v>
      </c>
      <c r="BX55" s="438">
        <f>BP55</f>
        <v>0</v>
      </c>
      <c r="BY55" s="438">
        <f>BV55</f>
        <v>0</v>
      </c>
      <c r="BZ55" s="438">
        <f>BQ55+BR55+BS55</f>
        <v>0</v>
      </c>
      <c r="CA55" s="448"/>
      <c r="CB55" s="448"/>
      <c r="CC55" s="448"/>
      <c r="CD55" s="438"/>
      <c r="CE55" s="438"/>
    </row>
    <row r="56" s="289" customFormat="1" ht="31" customHeight="1" spans="1:91">
      <c r="A56" s="345">
        <v>46136</v>
      </c>
      <c r="B56" s="346" t="s">
        <v>147</v>
      </c>
      <c r="C56" s="347" t="s">
        <v>148</v>
      </c>
      <c r="D56" s="348" t="s">
        <v>6905</v>
      </c>
      <c r="E56" s="347" t="s">
        <v>6906</v>
      </c>
      <c r="F56" s="348" t="s">
        <v>6913</v>
      </c>
      <c r="G56" s="349" t="s">
        <v>3973</v>
      </c>
      <c r="H56" s="347" t="s">
        <v>3995</v>
      </c>
      <c r="I56" s="369">
        <v>1680</v>
      </c>
      <c r="J56" s="347">
        <v>0</v>
      </c>
      <c r="K56" s="347">
        <v>16</v>
      </c>
      <c r="L56" s="347">
        <f t="shared" si="5"/>
        <v>105</v>
      </c>
      <c r="M56" s="351">
        <v>46189</v>
      </c>
      <c r="N56" s="351">
        <v>46185</v>
      </c>
      <c r="O56" s="346"/>
      <c r="P56" s="352"/>
      <c r="Q56" s="437" t="s">
        <v>6908</v>
      </c>
      <c r="R56" s="370" t="s">
        <v>6909</v>
      </c>
      <c r="S56" s="353" t="s">
        <v>107</v>
      </c>
      <c r="T56" s="353" t="s">
        <v>4347</v>
      </c>
      <c r="U56" s="353"/>
      <c r="V56" s="353"/>
      <c r="W56" s="353" t="s">
        <v>6914</v>
      </c>
      <c r="X56" s="351" t="s">
        <v>142</v>
      </c>
      <c r="Y56" s="431">
        <v>4.5744</v>
      </c>
      <c r="Z56" s="348">
        <f t="shared" si="11"/>
        <v>7684.992</v>
      </c>
      <c r="AA56" s="355"/>
      <c r="AB56" s="356" t="s">
        <v>4108</v>
      </c>
      <c r="AC56" s="347" t="s">
        <v>112</v>
      </c>
      <c r="AD56" s="347">
        <f>I56</f>
        <v>1680</v>
      </c>
      <c r="AE56" s="347"/>
      <c r="AF56" s="437" t="s">
        <v>4336</v>
      </c>
      <c r="AG56" s="347">
        <v>1680</v>
      </c>
      <c r="AH56" s="347">
        <f>AG56-I56</f>
        <v>0</v>
      </c>
      <c r="AI56" s="442" t="s">
        <v>736</v>
      </c>
      <c r="AJ56" s="352"/>
      <c r="AK56" s="348"/>
      <c r="AL56" s="348">
        <f>I56</f>
        <v>1680</v>
      </c>
      <c r="AM56" s="348"/>
      <c r="AN56" s="348">
        <f>I56</f>
        <v>1680</v>
      </c>
      <c r="AO56" s="348"/>
      <c r="AP56" s="348"/>
      <c r="AQ56" s="348"/>
      <c r="AR56" s="348"/>
      <c r="AS56" s="348"/>
      <c r="AT56" s="348"/>
      <c r="AU56" s="348">
        <f>I56/8</f>
        <v>210</v>
      </c>
      <c r="AV56" s="348"/>
      <c r="AW56" s="348"/>
      <c r="AX56" s="348"/>
      <c r="AY56" s="348"/>
      <c r="AZ56" s="348"/>
      <c r="BA56" s="348"/>
      <c r="BB56" s="348"/>
      <c r="BC56" s="348"/>
      <c r="BD56" s="348"/>
    </row>
    <row r="57" s="289" customFormat="1" ht="31" customHeight="1" spans="1:91">
      <c r="A57" s="345">
        <v>46136</v>
      </c>
      <c r="B57" s="346" t="s">
        <v>147</v>
      </c>
      <c r="C57" s="347" t="s">
        <v>148</v>
      </c>
      <c r="D57" s="348" t="s">
        <v>6905</v>
      </c>
      <c r="E57" s="347" t="s">
        <v>6911</v>
      </c>
      <c r="F57" s="348" t="s">
        <v>6915</v>
      </c>
      <c r="G57" s="349" t="s">
        <v>3973</v>
      </c>
      <c r="H57" s="347" t="s">
        <v>3995</v>
      </c>
      <c r="I57" s="369">
        <v>720</v>
      </c>
      <c r="J57" s="347">
        <v>0</v>
      </c>
      <c r="K57" s="347">
        <v>16</v>
      </c>
      <c r="L57" s="347">
        <f t="shared" si="5"/>
        <v>45</v>
      </c>
      <c r="M57" s="351">
        <v>46189</v>
      </c>
      <c r="N57" s="351">
        <v>46185</v>
      </c>
      <c r="O57" s="346"/>
      <c r="P57" s="352"/>
      <c r="Q57" s="437" t="s">
        <v>6908</v>
      </c>
      <c r="R57" s="370" t="s">
        <v>6909</v>
      </c>
      <c r="S57" s="353" t="s">
        <v>107</v>
      </c>
      <c r="T57" s="353" t="s">
        <v>4347</v>
      </c>
      <c r="U57" s="353"/>
      <c r="V57" s="353"/>
      <c r="W57" s="353" t="s">
        <v>6916</v>
      </c>
      <c r="X57" s="351" t="s">
        <v>142</v>
      </c>
      <c r="Y57" s="431">
        <v>4.5847</v>
      </c>
      <c r="Z57" s="348">
        <f t="shared" si="11"/>
        <v>3300.984</v>
      </c>
      <c r="AA57" s="355"/>
      <c r="AB57" s="356" t="s">
        <v>4108</v>
      </c>
      <c r="AC57" s="347" t="s">
        <v>112</v>
      </c>
      <c r="AD57" s="347">
        <f>I57</f>
        <v>720</v>
      </c>
      <c r="AE57" s="347"/>
      <c r="AF57" s="437" t="s">
        <v>4336</v>
      </c>
      <c r="AG57" s="347">
        <v>720</v>
      </c>
      <c r="AH57" s="347">
        <f>AG57-I57</f>
        <v>0</v>
      </c>
      <c r="AI57" s="442" t="s">
        <v>736</v>
      </c>
      <c r="AJ57" s="352"/>
      <c r="AK57" s="348"/>
      <c r="AL57" s="348">
        <f>I57</f>
        <v>720</v>
      </c>
      <c r="AM57" s="348"/>
      <c r="AN57" s="348">
        <f>I57</f>
        <v>720</v>
      </c>
      <c r="AO57" s="348"/>
      <c r="AP57" s="348"/>
      <c r="AQ57" s="348"/>
      <c r="AR57" s="348"/>
      <c r="AS57" s="348"/>
      <c r="AT57" s="348"/>
      <c r="AU57" s="348">
        <f>I57/8</f>
        <v>90</v>
      </c>
      <c r="AV57" s="348"/>
      <c r="AW57" s="348"/>
      <c r="AX57" s="348"/>
      <c r="AY57" s="348"/>
      <c r="AZ57" s="348"/>
      <c r="BA57" s="348"/>
      <c r="BB57" s="348"/>
      <c r="BC57" s="348"/>
      <c r="BD57" s="348"/>
    </row>
    <row r="58" s="289" customFormat="1" ht="31" customHeight="1" spans="1:91">
      <c r="A58" s="345">
        <v>46133</v>
      </c>
      <c r="B58" s="346" t="s">
        <v>264</v>
      </c>
      <c r="C58" s="347" t="s">
        <v>265</v>
      </c>
      <c r="D58" s="348" t="s">
        <v>6917</v>
      </c>
      <c r="E58" s="347" t="s">
        <v>6918</v>
      </c>
      <c r="F58" s="348" t="s">
        <v>6919</v>
      </c>
      <c r="G58" s="349" t="s">
        <v>3973</v>
      </c>
      <c r="H58" s="347" t="s">
        <v>3995</v>
      </c>
      <c r="I58" s="369">
        <v>3008</v>
      </c>
      <c r="J58" s="347">
        <v>0</v>
      </c>
      <c r="K58" s="347">
        <v>16</v>
      </c>
      <c r="L58" s="347">
        <f t="shared" si="5"/>
        <v>188</v>
      </c>
      <c r="M58" s="351">
        <v>46182</v>
      </c>
      <c r="N58" s="430">
        <v>46182</v>
      </c>
      <c r="O58" s="346"/>
      <c r="P58" s="442" t="s">
        <v>106</v>
      </c>
      <c r="Q58" s="370">
        <v>46188</v>
      </c>
      <c r="R58" s="370">
        <v>46160</v>
      </c>
      <c r="S58" s="353" t="s">
        <v>107</v>
      </c>
      <c r="T58" s="353" t="s">
        <v>4347</v>
      </c>
      <c r="U58" s="353"/>
      <c r="V58" s="353"/>
      <c r="W58" s="353" t="s">
        <v>6920</v>
      </c>
      <c r="X58" s="351" t="s">
        <v>142</v>
      </c>
      <c r="Y58" s="431">
        <v>4.5744</v>
      </c>
      <c r="Z58" s="348">
        <f t="shared" si="11"/>
        <v>13759.7952</v>
      </c>
      <c r="AA58" s="355"/>
      <c r="AB58" s="356" t="s">
        <v>4108</v>
      </c>
      <c r="AC58" s="347" t="s">
        <v>112</v>
      </c>
      <c r="AD58" s="347">
        <f>I58</f>
        <v>3008</v>
      </c>
      <c r="AE58" s="347" t="s">
        <v>3981</v>
      </c>
      <c r="AF58" s="437" t="s">
        <v>736</v>
      </c>
      <c r="AG58" s="347">
        <v>3008</v>
      </c>
      <c r="AH58" s="347">
        <f>AG58-I58</f>
        <v>0</v>
      </c>
      <c r="AI58" s="442" t="s">
        <v>736</v>
      </c>
      <c r="AJ58" s="352"/>
      <c r="AK58" s="348"/>
      <c r="AL58" s="348">
        <f>I58</f>
        <v>3008</v>
      </c>
      <c r="AM58" s="348"/>
      <c r="AN58" s="348">
        <f>I58</f>
        <v>3008</v>
      </c>
      <c r="AO58" s="348"/>
      <c r="AP58" s="348"/>
      <c r="AQ58" s="348"/>
      <c r="AR58" s="348"/>
      <c r="AS58" s="348"/>
      <c r="AT58" s="348"/>
      <c r="AU58" s="348">
        <f>I58/8</f>
        <v>376</v>
      </c>
      <c r="AV58" s="348"/>
      <c r="AW58" s="348"/>
      <c r="AX58" s="348"/>
      <c r="AY58" s="348"/>
      <c r="AZ58" s="348"/>
      <c r="BA58" s="348"/>
      <c r="BB58" s="348"/>
      <c r="BC58" s="348"/>
      <c r="BD58" s="348"/>
    </row>
    <row r="59" s="286" customFormat="1" ht="31" customHeight="1" spans="1:91">
      <c r="A59" s="435">
        <v>46133</v>
      </c>
      <c r="B59" s="436" t="s">
        <v>264</v>
      </c>
      <c r="C59" s="437" t="s">
        <v>265</v>
      </c>
      <c r="D59" s="438" t="s">
        <v>6917</v>
      </c>
      <c r="E59" s="437" t="s">
        <v>6921</v>
      </c>
      <c r="F59" s="438" t="s">
        <v>6922</v>
      </c>
      <c r="G59" s="439" t="s">
        <v>270</v>
      </c>
      <c r="H59" s="437" t="s">
        <v>104</v>
      </c>
      <c r="I59" s="440">
        <v>3000</v>
      </c>
      <c r="J59" s="437">
        <v>0</v>
      </c>
      <c r="K59" s="437">
        <v>25</v>
      </c>
      <c r="L59" s="441">
        <f t="shared" si="5"/>
        <v>120</v>
      </c>
      <c r="M59" s="445">
        <v>46181</v>
      </c>
      <c r="N59" s="434">
        <v>46181</v>
      </c>
      <c r="O59" s="442"/>
      <c r="P59" s="470" t="s">
        <v>106</v>
      </c>
      <c r="Q59" s="451">
        <v>46188</v>
      </c>
      <c r="R59" s="443">
        <v>46154</v>
      </c>
      <c r="S59" s="452" t="s">
        <v>95</v>
      </c>
      <c r="T59" s="452" t="s">
        <v>95</v>
      </c>
      <c r="U59" s="438" t="s">
        <v>140</v>
      </c>
      <c r="V59" s="436"/>
      <c r="W59" s="436" t="s">
        <v>6923</v>
      </c>
      <c r="X59" s="445" t="s">
        <v>142</v>
      </c>
      <c r="Y59" s="438">
        <v>1.0803</v>
      </c>
      <c r="Z59" s="446">
        <f t="shared" si="11"/>
        <v>3240.9</v>
      </c>
      <c r="AA59" s="437"/>
      <c r="AB59" s="437" t="s">
        <v>137</v>
      </c>
      <c r="AC59" s="437" t="s">
        <v>112</v>
      </c>
      <c r="AD59" s="437"/>
      <c r="AE59" s="437"/>
      <c r="AF59" s="442">
        <v>3000</v>
      </c>
      <c r="AG59" s="442">
        <f>AF59-I59</f>
        <v>0</v>
      </c>
      <c r="AH59" s="437"/>
      <c r="AI59" s="437"/>
      <c r="AJ59" s="438">
        <f>I59</f>
        <v>3000</v>
      </c>
      <c r="AK59" s="438"/>
      <c r="AL59" s="438"/>
      <c r="AM59" s="438"/>
      <c r="AN59" s="438"/>
      <c r="AO59" s="447"/>
      <c r="AP59" s="438"/>
      <c r="AQ59" s="448"/>
      <c r="AR59" s="438"/>
      <c r="AS59" s="449">
        <f>I59*0.06</f>
        <v>180</v>
      </c>
      <c r="AT59" s="449">
        <f>I59</f>
        <v>3000</v>
      </c>
      <c r="AU59" s="438"/>
      <c r="AV59" s="438"/>
      <c r="AW59" s="438"/>
      <c r="AX59" s="438"/>
      <c r="AY59" s="438"/>
      <c r="AZ59" s="438"/>
      <c r="BA59" s="438"/>
      <c r="BB59" s="438"/>
      <c r="BC59" s="438">
        <f>I59</f>
        <v>3000</v>
      </c>
      <c r="BD59" s="438"/>
      <c r="BE59" s="438"/>
      <c r="BF59" s="438"/>
      <c r="BG59" s="438"/>
      <c r="BH59" s="438"/>
      <c r="BI59" s="438"/>
      <c r="BJ59" s="471">
        <f>I59/25</f>
        <v>120</v>
      </c>
      <c r="BK59" s="447"/>
      <c r="BL59" s="438"/>
      <c r="BM59" s="448"/>
      <c r="BN59" s="448"/>
      <c r="BO59" s="438"/>
      <c r="BP59" s="438"/>
      <c r="BQ59" s="447"/>
      <c r="BR59" s="438"/>
      <c r="BS59" s="438"/>
      <c r="BT59" s="438"/>
      <c r="BU59" s="438"/>
      <c r="BV59" s="438"/>
      <c r="BW59" s="438">
        <f>BI59+BJ59+BL59+BN59+BM59</f>
        <v>120</v>
      </c>
      <c r="BX59" s="438">
        <f>BP59</f>
        <v>0</v>
      </c>
      <c r="BY59" s="438">
        <f>BV59</f>
        <v>0</v>
      </c>
      <c r="BZ59" s="438">
        <f>BQ59+BR59+BS59</f>
        <v>0</v>
      </c>
      <c r="CA59" s="448"/>
      <c r="CB59" s="448"/>
      <c r="CC59" s="448"/>
      <c r="CD59" s="438"/>
      <c r="CE59" s="438"/>
    </row>
    <row r="60" s="289" customFormat="1" ht="31" customHeight="1" spans="1:91">
      <c r="A60" s="345">
        <v>46151</v>
      </c>
      <c r="B60" s="346" t="s">
        <v>2209</v>
      </c>
      <c r="C60" s="347" t="s">
        <v>115</v>
      </c>
      <c r="D60" s="348" t="s">
        <v>6842</v>
      </c>
      <c r="E60" s="347" t="s">
        <v>6843</v>
      </c>
      <c r="F60" s="348" t="s">
        <v>6924</v>
      </c>
      <c r="G60" s="349" t="s">
        <v>3980</v>
      </c>
      <c r="H60" s="347" t="s">
        <v>3978</v>
      </c>
      <c r="I60" s="369">
        <v>768</v>
      </c>
      <c r="J60" s="347">
        <v>0</v>
      </c>
      <c r="K60" s="347">
        <v>8</v>
      </c>
      <c r="L60" s="347">
        <f t="shared" si="5"/>
        <v>96</v>
      </c>
      <c r="M60" s="351">
        <v>46227</v>
      </c>
      <c r="N60" s="351">
        <v>46223</v>
      </c>
      <c r="O60" s="346"/>
      <c r="P60" s="352"/>
      <c r="Q60" s="352"/>
      <c r="R60" s="370" t="s">
        <v>3064</v>
      </c>
      <c r="S60" s="353" t="s">
        <v>107</v>
      </c>
      <c r="T60" s="353" t="s">
        <v>95</v>
      </c>
      <c r="U60" s="353"/>
      <c r="V60" s="353"/>
      <c r="W60" s="353" t="s">
        <v>6846</v>
      </c>
      <c r="X60" s="351" t="s">
        <v>1955</v>
      </c>
      <c r="Y60" s="431"/>
      <c r="Z60" s="348"/>
      <c r="AA60" s="355"/>
      <c r="AB60" s="356" t="s">
        <v>3980</v>
      </c>
      <c r="AC60" s="437" t="s">
        <v>112</v>
      </c>
      <c r="AD60" s="347">
        <f>I60</f>
        <v>768</v>
      </c>
      <c r="AE60" s="347"/>
      <c r="AF60" s="437" t="s">
        <v>5125</v>
      </c>
      <c r="AG60" s="347"/>
      <c r="AH60" s="347">
        <f>AG60-I60</f>
        <v>-768</v>
      </c>
      <c r="AI60" s="352"/>
      <c r="AJ60" s="442" t="s">
        <v>95</v>
      </c>
      <c r="AK60" s="348">
        <f>I60</f>
        <v>768</v>
      </c>
      <c r="AL60" s="348"/>
      <c r="AM60" s="348"/>
      <c r="AN60" s="348">
        <f>I60</f>
        <v>768</v>
      </c>
      <c r="AO60" s="348"/>
      <c r="AP60" s="348"/>
      <c r="AQ60" s="348"/>
      <c r="AR60" s="348"/>
      <c r="AS60" s="348"/>
      <c r="AT60" s="348">
        <f>I60/8</f>
        <v>96</v>
      </c>
      <c r="AU60" s="348"/>
      <c r="AV60" s="348"/>
      <c r="AW60" s="348"/>
      <c r="AX60" s="348"/>
      <c r="AY60" s="348"/>
      <c r="AZ60" s="348"/>
      <c r="BA60" s="348"/>
      <c r="BB60" s="348"/>
      <c r="BC60" s="348"/>
      <c r="BD60" s="348"/>
      <c r="BE60" s="433"/>
      <c r="BF60" s="433"/>
      <c r="BG60" s="433"/>
      <c r="BH60" s="433"/>
      <c r="BI60" s="433"/>
      <c r="BJ60" s="433"/>
      <c r="BK60" s="433"/>
      <c r="BL60" s="433"/>
      <c r="BM60" s="433"/>
      <c r="BN60" s="433"/>
      <c r="BO60" s="433"/>
      <c r="BP60" s="433"/>
      <c r="BQ60" s="433"/>
      <c r="BR60" s="433"/>
      <c r="BS60" s="433"/>
      <c r="BT60" s="433"/>
      <c r="BU60" s="433"/>
      <c r="BV60" s="433"/>
      <c r="BW60" s="433"/>
      <c r="BX60" s="433"/>
      <c r="BY60" s="433"/>
      <c r="BZ60" s="433"/>
      <c r="CA60" s="433"/>
      <c r="CB60" s="433"/>
      <c r="CC60" s="433"/>
      <c r="CD60" s="433"/>
      <c r="CE60" s="433"/>
      <c r="CF60" s="433"/>
      <c r="CG60" s="433"/>
      <c r="CH60" s="433"/>
      <c r="CI60" s="433"/>
      <c r="CJ60" s="433"/>
      <c r="CK60" s="433"/>
      <c r="CL60" s="433"/>
      <c r="CM60" s="433"/>
    </row>
    <row r="61" s="289" customFormat="1" ht="31" customHeight="1" spans="1:91">
      <c r="A61" s="345">
        <v>46151</v>
      </c>
      <c r="B61" s="346" t="s">
        <v>2209</v>
      </c>
      <c r="C61" s="347" t="s">
        <v>115</v>
      </c>
      <c r="D61" s="348" t="s">
        <v>6842</v>
      </c>
      <c r="E61" s="347" t="s">
        <v>6843</v>
      </c>
      <c r="F61" s="348" t="s">
        <v>6925</v>
      </c>
      <c r="G61" s="349" t="s">
        <v>3980</v>
      </c>
      <c r="H61" s="347" t="s">
        <v>3978</v>
      </c>
      <c r="I61" s="369">
        <v>680</v>
      </c>
      <c r="J61" s="347">
        <v>0</v>
      </c>
      <c r="K61" s="347">
        <v>8</v>
      </c>
      <c r="L61" s="347">
        <f t="shared" si="5"/>
        <v>85</v>
      </c>
      <c r="M61" s="351">
        <v>46227</v>
      </c>
      <c r="N61" s="351">
        <v>46223</v>
      </c>
      <c r="O61" s="346"/>
      <c r="P61" s="352"/>
      <c r="Q61" s="352"/>
      <c r="R61" s="370" t="s">
        <v>3064</v>
      </c>
      <c r="S61" s="353" t="s">
        <v>107</v>
      </c>
      <c r="T61" s="353" t="s">
        <v>95</v>
      </c>
      <c r="U61" s="353"/>
      <c r="V61" s="353"/>
      <c r="W61" s="353" t="s">
        <v>6846</v>
      </c>
      <c r="X61" s="351" t="s">
        <v>1955</v>
      </c>
      <c r="Y61" s="431"/>
      <c r="Z61" s="348"/>
      <c r="AA61" s="355"/>
      <c r="AB61" s="356" t="s">
        <v>3980</v>
      </c>
      <c r="AC61" s="437" t="s">
        <v>112</v>
      </c>
      <c r="AD61" s="347">
        <f>I61</f>
        <v>680</v>
      </c>
      <c r="AE61" s="347"/>
      <c r="AF61" s="437" t="s">
        <v>5125</v>
      </c>
      <c r="AG61" s="347"/>
      <c r="AH61" s="347">
        <f>AG61-I61</f>
        <v>-680</v>
      </c>
      <c r="AI61" s="352"/>
      <c r="AJ61" s="442" t="s">
        <v>95</v>
      </c>
      <c r="AK61" s="348">
        <f>I61</f>
        <v>680</v>
      </c>
      <c r="AL61" s="348"/>
      <c r="AM61" s="348"/>
      <c r="AN61" s="348">
        <f>I61</f>
        <v>680</v>
      </c>
      <c r="AO61" s="348"/>
      <c r="AP61" s="348"/>
      <c r="AQ61" s="348"/>
      <c r="AR61" s="348"/>
      <c r="AS61" s="348"/>
      <c r="AT61" s="348">
        <f>I61/8</f>
        <v>85</v>
      </c>
      <c r="AU61" s="348"/>
      <c r="AV61" s="348"/>
      <c r="AW61" s="348"/>
      <c r="AX61" s="348"/>
      <c r="AY61" s="348"/>
      <c r="AZ61" s="348"/>
      <c r="BA61" s="348"/>
      <c r="BB61" s="348"/>
      <c r="BC61" s="348"/>
      <c r="BD61" s="348"/>
      <c r="BE61" s="433"/>
      <c r="BF61" s="433"/>
      <c r="BG61" s="433"/>
      <c r="BH61" s="433"/>
      <c r="BI61" s="433"/>
      <c r="BJ61" s="433"/>
      <c r="BK61" s="433"/>
      <c r="BL61" s="433"/>
      <c r="BM61" s="433"/>
      <c r="BN61" s="433"/>
      <c r="BO61" s="433"/>
      <c r="BP61" s="433"/>
      <c r="BQ61" s="433"/>
      <c r="BR61" s="433"/>
      <c r="BS61" s="433"/>
      <c r="BT61" s="433"/>
      <c r="BU61" s="433"/>
      <c r="BV61" s="433"/>
      <c r="BW61" s="433"/>
      <c r="BX61" s="433"/>
      <c r="BY61" s="433"/>
      <c r="BZ61" s="433"/>
      <c r="CA61" s="433"/>
      <c r="CB61" s="433"/>
      <c r="CC61" s="433"/>
      <c r="CD61" s="433"/>
      <c r="CE61" s="433"/>
      <c r="CF61" s="433"/>
      <c r="CG61" s="433"/>
      <c r="CH61" s="433"/>
      <c r="CI61" s="433"/>
      <c r="CJ61" s="433"/>
      <c r="CK61" s="433"/>
      <c r="CL61" s="433"/>
      <c r="CM61" s="433"/>
    </row>
    <row r="62" s="289" customFormat="1" ht="31" customHeight="1" spans="1:91">
      <c r="A62" s="345">
        <v>46151</v>
      </c>
      <c r="B62" s="346" t="s">
        <v>2209</v>
      </c>
      <c r="C62" s="347" t="s">
        <v>115</v>
      </c>
      <c r="D62" s="348" t="s">
        <v>6842</v>
      </c>
      <c r="E62" s="347" t="s">
        <v>6843</v>
      </c>
      <c r="F62" s="348" t="s">
        <v>6926</v>
      </c>
      <c r="G62" s="349" t="s">
        <v>3980</v>
      </c>
      <c r="H62" s="347" t="s">
        <v>3978</v>
      </c>
      <c r="I62" s="369">
        <v>320</v>
      </c>
      <c r="J62" s="347">
        <v>0</v>
      </c>
      <c r="K62" s="347">
        <v>8</v>
      </c>
      <c r="L62" s="347">
        <f t="shared" si="5"/>
        <v>40</v>
      </c>
      <c r="M62" s="351">
        <v>46227</v>
      </c>
      <c r="N62" s="351">
        <v>46223</v>
      </c>
      <c r="O62" s="346"/>
      <c r="P62" s="352"/>
      <c r="Q62" s="352"/>
      <c r="R62" s="370" t="s">
        <v>3064</v>
      </c>
      <c r="S62" s="353" t="s">
        <v>107</v>
      </c>
      <c r="T62" s="353" t="s">
        <v>95</v>
      </c>
      <c r="U62" s="353"/>
      <c r="V62" s="353"/>
      <c r="W62" s="353" t="s">
        <v>6846</v>
      </c>
      <c r="X62" s="351" t="s">
        <v>1955</v>
      </c>
      <c r="Y62" s="431"/>
      <c r="Z62" s="348"/>
      <c r="AA62" s="355"/>
      <c r="AB62" s="356" t="s">
        <v>3980</v>
      </c>
      <c r="AC62" s="437" t="s">
        <v>112</v>
      </c>
      <c r="AD62" s="347">
        <f>I62</f>
        <v>320</v>
      </c>
      <c r="AE62" s="347"/>
      <c r="AF62" s="437" t="s">
        <v>5125</v>
      </c>
      <c r="AG62" s="347"/>
      <c r="AH62" s="347">
        <f>AG62-I62</f>
        <v>-320</v>
      </c>
      <c r="AI62" s="352"/>
      <c r="AJ62" s="442" t="s">
        <v>95</v>
      </c>
      <c r="AK62" s="348">
        <f>I62</f>
        <v>320</v>
      </c>
      <c r="AL62" s="348"/>
      <c r="AM62" s="348"/>
      <c r="AN62" s="348">
        <f>I62</f>
        <v>320</v>
      </c>
      <c r="AO62" s="348"/>
      <c r="AP62" s="348"/>
      <c r="AQ62" s="348"/>
      <c r="AR62" s="348"/>
      <c r="AS62" s="348"/>
      <c r="AT62" s="348">
        <f>I62/8</f>
        <v>40</v>
      </c>
      <c r="AU62" s="348"/>
      <c r="AV62" s="348"/>
      <c r="AW62" s="348"/>
      <c r="AX62" s="348"/>
      <c r="AY62" s="348"/>
      <c r="AZ62" s="348"/>
      <c r="BA62" s="348"/>
      <c r="BB62" s="348"/>
      <c r="BC62" s="348"/>
      <c r="BD62" s="348"/>
      <c r="BE62" s="433"/>
      <c r="BF62" s="433"/>
      <c r="BG62" s="433"/>
      <c r="BH62" s="433"/>
      <c r="BI62" s="433"/>
      <c r="BJ62" s="433"/>
      <c r="BK62" s="433"/>
      <c r="BL62" s="433"/>
      <c r="BM62" s="433"/>
      <c r="BN62" s="433"/>
      <c r="BO62" s="433"/>
      <c r="BP62" s="433"/>
      <c r="BQ62" s="433"/>
      <c r="BR62" s="433"/>
      <c r="BS62" s="433"/>
      <c r="BT62" s="433"/>
      <c r="BU62" s="433"/>
      <c r="BV62" s="433"/>
      <c r="BW62" s="433"/>
      <c r="BX62" s="433"/>
      <c r="BY62" s="433"/>
      <c r="BZ62" s="433"/>
      <c r="CA62" s="433"/>
      <c r="CB62" s="433"/>
      <c r="CC62" s="433"/>
      <c r="CD62" s="433"/>
      <c r="CE62" s="433"/>
      <c r="CF62" s="433"/>
      <c r="CG62" s="433"/>
      <c r="CH62" s="433"/>
      <c r="CI62" s="433"/>
      <c r="CJ62" s="433"/>
      <c r="CK62" s="433"/>
      <c r="CL62" s="433"/>
      <c r="CM62" s="433"/>
    </row>
    <row r="63" s="286" customFormat="1" ht="31" customHeight="1" spans="1:91">
      <c r="A63" s="435">
        <v>46136</v>
      </c>
      <c r="B63" s="472" t="s">
        <v>264</v>
      </c>
      <c r="C63" s="473" t="s">
        <v>265</v>
      </c>
      <c r="D63" s="474" t="s">
        <v>6927</v>
      </c>
      <c r="E63" s="475" t="s">
        <v>6928</v>
      </c>
      <c r="F63" s="474" t="s">
        <v>6929</v>
      </c>
      <c r="G63" s="476" t="s">
        <v>270</v>
      </c>
      <c r="H63" s="454" t="s">
        <v>893</v>
      </c>
      <c r="I63" s="477">
        <v>3000</v>
      </c>
      <c r="J63" s="478">
        <v>0</v>
      </c>
      <c r="K63" s="478">
        <v>25</v>
      </c>
      <c r="L63" s="441">
        <f t="shared" si="5"/>
        <v>120</v>
      </c>
      <c r="M63" s="459">
        <v>46212</v>
      </c>
      <c r="N63" s="459">
        <v>46209</v>
      </c>
      <c r="O63" s="442"/>
      <c r="P63" s="442"/>
      <c r="Q63" s="437"/>
      <c r="R63" s="443" t="s">
        <v>6909</v>
      </c>
      <c r="S63" s="452" t="s">
        <v>95</v>
      </c>
      <c r="T63" s="452" t="s">
        <v>95</v>
      </c>
      <c r="U63" s="438" t="s">
        <v>140</v>
      </c>
      <c r="V63" s="436"/>
      <c r="W63" s="454" t="s">
        <v>6930</v>
      </c>
      <c r="X63" s="479" t="s">
        <v>142</v>
      </c>
      <c r="Y63" s="469">
        <v>1.0803</v>
      </c>
      <c r="Z63" s="446">
        <f t="shared" ref="Z63:Z69" si="12">I63*Y63</f>
        <v>3240.9</v>
      </c>
      <c r="AA63" s="437"/>
      <c r="AB63" s="437" t="s">
        <v>137</v>
      </c>
      <c r="AC63" s="437" t="s">
        <v>112</v>
      </c>
      <c r="AD63" s="437"/>
      <c r="AE63" s="437"/>
      <c r="AF63" s="442"/>
      <c r="AG63" s="442">
        <f>AF63-I63</f>
        <v>-3000</v>
      </c>
      <c r="AH63" s="437"/>
      <c r="AI63" s="437"/>
      <c r="AJ63" s="438">
        <f>I63</f>
        <v>3000</v>
      </c>
      <c r="AK63" s="438"/>
      <c r="AL63" s="438"/>
      <c r="AM63" s="438"/>
      <c r="AN63" s="438"/>
      <c r="AO63" s="447"/>
      <c r="AP63" s="438"/>
      <c r="AQ63" s="448"/>
      <c r="AR63" s="438"/>
      <c r="AS63" s="449">
        <f>I63*0.06</f>
        <v>180</v>
      </c>
      <c r="AT63" s="449">
        <f>I63</f>
        <v>3000</v>
      </c>
      <c r="AU63" s="438"/>
      <c r="AV63" s="438"/>
      <c r="AW63" s="438"/>
      <c r="AX63" s="438"/>
      <c r="AY63" s="438"/>
      <c r="AZ63" s="438"/>
      <c r="BA63" s="438"/>
      <c r="BB63" s="438"/>
      <c r="BC63" s="438">
        <f>I63</f>
        <v>3000</v>
      </c>
      <c r="BD63" s="438"/>
      <c r="BE63" s="438"/>
      <c r="BF63" s="438"/>
      <c r="BG63" s="438"/>
      <c r="BH63" s="438"/>
      <c r="BI63" s="438"/>
      <c r="BJ63" s="447">
        <f>I63/25</f>
        <v>120</v>
      </c>
      <c r="BK63" s="447"/>
      <c r="BL63" s="438"/>
      <c r="BM63" s="448"/>
      <c r="BN63" s="448"/>
      <c r="BO63" s="438"/>
      <c r="BP63" s="438"/>
      <c r="BQ63" s="447"/>
      <c r="BR63" s="438"/>
      <c r="BS63" s="438"/>
      <c r="BT63" s="438"/>
      <c r="BU63" s="438"/>
      <c r="BV63" s="438"/>
      <c r="BW63" s="438">
        <f>BI63+BJ63+BL63+BN63+BM63</f>
        <v>120</v>
      </c>
      <c r="BX63" s="438">
        <f>BP63</f>
        <v>0</v>
      </c>
      <c r="BY63" s="438">
        <f>BV63</f>
        <v>0</v>
      </c>
      <c r="BZ63" s="438">
        <f>BQ63+BR63+BS63</f>
        <v>0</v>
      </c>
      <c r="CA63" s="448"/>
      <c r="CB63" s="448"/>
      <c r="CC63" s="448"/>
      <c r="CD63" s="438"/>
      <c r="CE63" s="438"/>
    </row>
    <row r="64" s="289" customFormat="1" ht="31" customHeight="1" spans="1:91">
      <c r="A64" s="345">
        <v>46136</v>
      </c>
      <c r="B64" s="346" t="s">
        <v>134</v>
      </c>
      <c r="C64" s="347" t="s">
        <v>135</v>
      </c>
      <c r="D64" s="348" t="s">
        <v>6931</v>
      </c>
      <c r="E64" s="347" t="s">
        <v>6932</v>
      </c>
      <c r="F64" s="348" t="s">
        <v>6933</v>
      </c>
      <c r="G64" s="349" t="s">
        <v>3973</v>
      </c>
      <c r="H64" s="347" t="s">
        <v>3995</v>
      </c>
      <c r="I64" s="369">
        <v>10000</v>
      </c>
      <c r="J64" s="347">
        <v>0</v>
      </c>
      <c r="K64" s="347">
        <v>16</v>
      </c>
      <c r="L64" s="347">
        <f t="shared" si="5"/>
        <v>625</v>
      </c>
      <c r="M64" s="351">
        <v>46203</v>
      </c>
      <c r="N64" s="351">
        <v>46199</v>
      </c>
      <c r="O64" s="346"/>
      <c r="P64" s="352"/>
      <c r="Q64" s="352"/>
      <c r="R64" s="370" t="s">
        <v>6909</v>
      </c>
      <c r="S64" s="353" t="s">
        <v>107</v>
      </c>
      <c r="T64" s="353" t="s">
        <v>4347</v>
      </c>
      <c r="U64" s="353"/>
      <c r="V64" s="353"/>
      <c r="W64" s="353" t="s">
        <v>6934</v>
      </c>
      <c r="X64" s="351" t="s">
        <v>142</v>
      </c>
      <c r="Y64" s="431">
        <v>4.5493</v>
      </c>
      <c r="Z64" s="348">
        <f t="shared" si="12"/>
        <v>45493</v>
      </c>
      <c r="AA64" s="355"/>
      <c r="AB64" s="348" t="s">
        <v>4108</v>
      </c>
      <c r="AC64" s="347" t="s">
        <v>112</v>
      </c>
      <c r="AD64" s="347">
        <f>I64</f>
        <v>10000</v>
      </c>
      <c r="AE64" s="347" t="s">
        <v>3981</v>
      </c>
      <c r="AF64" s="347"/>
      <c r="AG64" s="347"/>
      <c r="AH64" s="347">
        <f>AG64-I64</f>
        <v>-10000</v>
      </c>
      <c r="AI64" s="352"/>
      <c r="AJ64" s="352"/>
      <c r="AK64" s="348"/>
      <c r="AL64" s="348">
        <f>I64</f>
        <v>10000</v>
      </c>
      <c r="AM64" s="348"/>
      <c r="AN64" s="348">
        <f>I64</f>
        <v>10000</v>
      </c>
      <c r="AO64" s="348"/>
      <c r="AP64" s="348"/>
      <c r="AQ64" s="348"/>
      <c r="AR64" s="348"/>
      <c r="AS64" s="348"/>
      <c r="AT64" s="348"/>
      <c r="AU64" s="348">
        <f>I64/8</f>
        <v>1250</v>
      </c>
      <c r="AV64" s="348"/>
      <c r="AW64" s="348"/>
      <c r="AX64" s="348"/>
      <c r="AY64" s="348"/>
      <c r="AZ64" s="348"/>
      <c r="BA64" s="348"/>
      <c r="BB64" s="348"/>
      <c r="BC64" s="348"/>
      <c r="BD64" s="348"/>
    </row>
    <row r="65" s="286" customFormat="1" ht="31" customHeight="1" spans="1:107">
      <c r="A65" s="435">
        <v>46136</v>
      </c>
      <c r="B65" s="460" t="s">
        <v>134</v>
      </c>
      <c r="C65" s="461" t="s">
        <v>135</v>
      </c>
      <c r="D65" s="462" t="s">
        <v>6931</v>
      </c>
      <c r="E65" s="463" t="s">
        <v>6932</v>
      </c>
      <c r="F65" s="462" t="s">
        <v>6935</v>
      </c>
      <c r="G65" s="464" t="s">
        <v>270</v>
      </c>
      <c r="H65" s="436" t="s">
        <v>893</v>
      </c>
      <c r="I65" s="465">
        <v>15000</v>
      </c>
      <c r="J65" s="466">
        <v>0</v>
      </c>
      <c r="K65" s="466">
        <v>25</v>
      </c>
      <c r="L65" s="441">
        <f t="shared" si="5"/>
        <v>600</v>
      </c>
      <c r="M65" s="445">
        <v>46203</v>
      </c>
      <c r="N65" s="445">
        <v>46199</v>
      </c>
      <c r="O65" s="442"/>
      <c r="P65" s="442"/>
      <c r="Q65" s="437"/>
      <c r="R65" s="451" t="s">
        <v>6909</v>
      </c>
      <c r="S65" s="444" t="s">
        <v>95</v>
      </c>
      <c r="T65" s="444" t="s">
        <v>95</v>
      </c>
      <c r="U65" s="438" t="s">
        <v>140</v>
      </c>
      <c r="V65" s="436"/>
      <c r="W65" s="436" t="s">
        <v>6936</v>
      </c>
      <c r="X65" s="468" t="s">
        <v>142</v>
      </c>
      <c r="Y65" s="469">
        <v>1.0697</v>
      </c>
      <c r="Z65" s="446">
        <f t="shared" si="12"/>
        <v>16045.5</v>
      </c>
      <c r="AA65" s="437"/>
      <c r="AB65" s="437" t="s">
        <v>137</v>
      </c>
      <c r="AC65" s="437" t="s">
        <v>112</v>
      </c>
      <c r="AD65" s="437" t="s">
        <v>113</v>
      </c>
      <c r="AE65" s="437"/>
      <c r="AF65" s="442"/>
      <c r="AG65" s="442">
        <f>AF65-I65</f>
        <v>-15000</v>
      </c>
      <c r="AH65" s="437"/>
      <c r="AI65" s="437"/>
      <c r="AJ65" s="438">
        <f>I65</f>
        <v>15000</v>
      </c>
      <c r="AK65" s="438"/>
      <c r="AL65" s="438"/>
      <c r="AM65" s="438"/>
      <c r="AN65" s="438"/>
      <c r="AO65" s="447"/>
      <c r="AP65" s="438"/>
      <c r="AQ65" s="448"/>
      <c r="AR65" s="438"/>
      <c r="AS65" s="449">
        <f>I65*0.06</f>
        <v>900</v>
      </c>
      <c r="AT65" s="449">
        <f>I65</f>
        <v>15000</v>
      </c>
      <c r="AU65" s="438"/>
      <c r="AV65" s="438"/>
      <c r="AW65" s="438"/>
      <c r="AX65" s="438"/>
      <c r="AY65" s="438"/>
      <c r="AZ65" s="438"/>
      <c r="BA65" s="438"/>
      <c r="BB65" s="438"/>
      <c r="BC65" s="438">
        <f>I65</f>
        <v>15000</v>
      </c>
      <c r="BD65" s="438"/>
      <c r="BE65" s="438"/>
      <c r="BF65" s="438"/>
      <c r="BG65" s="438"/>
      <c r="BH65" s="438"/>
      <c r="BI65" s="438"/>
      <c r="BJ65" s="447">
        <f>I65/25</f>
        <v>600</v>
      </c>
      <c r="BK65" s="447"/>
      <c r="BL65" s="438"/>
      <c r="BM65" s="448"/>
      <c r="BN65" s="448"/>
      <c r="BO65" s="438"/>
      <c r="BP65" s="438"/>
      <c r="BQ65" s="447"/>
      <c r="BR65" s="438"/>
      <c r="BS65" s="438"/>
      <c r="BT65" s="438"/>
      <c r="BU65" s="438"/>
      <c r="BV65" s="438"/>
      <c r="BW65" s="438">
        <f>BI65+BJ65+BL65+BN65+BM65</f>
        <v>600</v>
      </c>
      <c r="BX65" s="438">
        <f>BP65</f>
        <v>0</v>
      </c>
      <c r="BY65" s="438">
        <f>BV65</f>
        <v>0</v>
      </c>
      <c r="BZ65" s="438">
        <f>BQ65+BR65+BS65</f>
        <v>0</v>
      </c>
      <c r="CA65" s="448"/>
      <c r="CB65" s="448"/>
      <c r="CC65" s="448"/>
      <c r="CD65" s="438"/>
      <c r="CE65" s="438"/>
    </row>
    <row r="66" s="286" customFormat="1" ht="31" customHeight="1" spans="1:107">
      <c r="A66" s="435">
        <v>46178</v>
      </c>
      <c r="B66" s="436" t="s">
        <v>6937</v>
      </c>
      <c r="C66" s="437" t="s">
        <v>2523</v>
      </c>
      <c r="D66" s="438">
        <v>4500210644</v>
      </c>
      <c r="E66" s="437" t="s">
        <v>6938</v>
      </c>
      <c r="F66" s="438" t="s">
        <v>6939</v>
      </c>
      <c r="G66" s="439" t="s">
        <v>389</v>
      </c>
      <c r="H66" s="437" t="s">
        <v>390</v>
      </c>
      <c r="I66" s="440">
        <v>996</v>
      </c>
      <c r="J66" s="437">
        <v>0</v>
      </c>
      <c r="K66" s="437">
        <v>12</v>
      </c>
      <c r="L66" s="441">
        <f t="shared" si="5"/>
        <v>83</v>
      </c>
      <c r="M66" s="434">
        <v>46233</v>
      </c>
      <c r="N66" s="434">
        <f>M66-3</f>
        <v>46230</v>
      </c>
      <c r="O66" s="442"/>
      <c r="P66" s="442"/>
      <c r="Q66" s="437"/>
      <c r="R66" s="443" t="s">
        <v>3064</v>
      </c>
      <c r="S66" s="452" t="s">
        <v>95</v>
      </c>
      <c r="T66" s="452" t="s">
        <v>6940</v>
      </c>
      <c r="U66" s="436"/>
      <c r="V66" s="436"/>
      <c r="W66" s="480" t="s">
        <v>6941</v>
      </c>
      <c r="X66" s="445" t="s">
        <v>6942</v>
      </c>
      <c r="Y66" s="481">
        <v>2.5332</v>
      </c>
      <c r="Z66" s="446">
        <f t="shared" si="12"/>
        <v>2523.0672</v>
      </c>
      <c r="AA66" s="437"/>
      <c r="AB66" s="482" t="s">
        <v>389</v>
      </c>
      <c r="AC66" s="437" t="s">
        <v>112</v>
      </c>
      <c r="AD66" s="437"/>
      <c r="AE66" s="437"/>
      <c r="AF66" s="442"/>
      <c r="AG66" s="442">
        <f>AF66-I66</f>
        <v>-996</v>
      </c>
      <c r="AH66" s="437"/>
      <c r="AI66" s="437"/>
      <c r="AJ66" s="438">
        <f>I66*2</f>
        <v>1992</v>
      </c>
      <c r="AK66" s="438"/>
      <c r="AL66" s="438"/>
      <c r="AM66" s="438"/>
      <c r="AN66" s="438"/>
      <c r="AO66" s="447">
        <f>I66*2</f>
        <v>1992</v>
      </c>
      <c r="AP66" s="438"/>
      <c r="AQ66" s="448"/>
      <c r="AR66" s="438">
        <f>I66*2</f>
        <v>1992</v>
      </c>
      <c r="AS66" s="449">
        <f>I66*0.06*2</f>
        <v>119.52</v>
      </c>
      <c r="AT66" s="449"/>
      <c r="AU66" s="438"/>
      <c r="AV66" s="438"/>
      <c r="AW66" s="438"/>
      <c r="AX66" s="438"/>
      <c r="AY66" s="438"/>
      <c r="AZ66" s="438"/>
      <c r="BA66" s="438"/>
      <c r="BB66" s="438"/>
      <c r="BC66" s="438"/>
      <c r="BD66" s="438"/>
      <c r="BE66" s="438"/>
      <c r="BF66" s="438"/>
      <c r="BG66" s="438"/>
      <c r="BH66" s="438"/>
      <c r="BI66" s="438"/>
      <c r="BJ66" s="447"/>
      <c r="BK66" s="447"/>
      <c r="BL66" s="438"/>
      <c r="BM66" s="448"/>
      <c r="BN66" s="448"/>
      <c r="BO66" s="438"/>
      <c r="BP66" s="438"/>
      <c r="BQ66" s="447"/>
      <c r="BR66" s="438"/>
      <c r="BS66" s="438"/>
      <c r="BT66" s="438"/>
      <c r="BU66" s="438"/>
      <c r="BV66" s="438"/>
      <c r="BW66" s="453">
        <f>BI66+BJ66+BL66+BN66+BM66</f>
        <v>0</v>
      </c>
      <c r="BX66" s="453">
        <f>BP66</f>
        <v>0</v>
      </c>
      <c r="BY66" s="453">
        <f>BV66</f>
        <v>0</v>
      </c>
      <c r="BZ66" s="453">
        <f>BQ66+BR66+BS66</f>
        <v>0</v>
      </c>
      <c r="CA66" s="483"/>
      <c r="CB66" s="483"/>
      <c r="CC66" s="483">
        <f>I66</f>
        <v>996</v>
      </c>
      <c r="CD66" s="453">
        <f>I66</f>
        <v>996</v>
      </c>
      <c r="CE66" s="453">
        <f>I66</f>
        <v>996</v>
      </c>
    </row>
    <row r="67" s="286" customFormat="1" ht="31" customHeight="1" spans="1:107">
      <c r="A67" s="435">
        <v>46151</v>
      </c>
      <c r="B67" s="436" t="s">
        <v>2097</v>
      </c>
      <c r="C67" s="437" t="s">
        <v>115</v>
      </c>
      <c r="D67" s="438" t="s">
        <v>6943</v>
      </c>
      <c r="E67" s="484">
        <v>4365829456</v>
      </c>
      <c r="F67" s="438" t="s">
        <v>6944</v>
      </c>
      <c r="G67" s="439" t="s">
        <v>146</v>
      </c>
      <c r="H67" s="437" t="s">
        <v>104</v>
      </c>
      <c r="I67" s="440">
        <v>7900</v>
      </c>
      <c r="J67" s="437">
        <v>0</v>
      </c>
      <c r="K67" s="437">
        <v>25</v>
      </c>
      <c r="L67" s="441">
        <f t="shared" si="5"/>
        <v>316</v>
      </c>
      <c r="M67" s="445">
        <v>46211</v>
      </c>
      <c r="N67" s="445">
        <v>46207</v>
      </c>
      <c r="O67" s="442"/>
      <c r="P67" s="442"/>
      <c r="Q67" s="437"/>
      <c r="R67" s="443">
        <v>46181</v>
      </c>
      <c r="S67" s="444" t="s">
        <v>95</v>
      </c>
      <c r="T67" s="444" t="s">
        <v>2100</v>
      </c>
      <c r="U67" s="436"/>
      <c r="V67" s="436"/>
      <c r="W67" s="436" t="s">
        <v>6945</v>
      </c>
      <c r="X67" s="445" t="s">
        <v>2102</v>
      </c>
      <c r="Y67" s="438">
        <v>0.645</v>
      </c>
      <c r="Z67" s="446">
        <f t="shared" si="12"/>
        <v>5095.5</v>
      </c>
      <c r="AA67" s="437"/>
      <c r="AB67" s="437" t="s">
        <v>146</v>
      </c>
      <c r="AC67" s="437" t="s">
        <v>112</v>
      </c>
      <c r="AD67" s="437"/>
      <c r="AE67" s="437"/>
      <c r="AF67" s="442"/>
      <c r="AG67" s="442">
        <f>AF67-I67</f>
        <v>-7900</v>
      </c>
      <c r="AH67" s="437"/>
      <c r="AI67" s="437"/>
      <c r="AJ67" s="438">
        <f>I67</f>
        <v>7900</v>
      </c>
      <c r="AK67" s="438"/>
      <c r="AL67" s="438"/>
      <c r="AM67" s="438">
        <f>I67</f>
        <v>7900</v>
      </c>
      <c r="AN67" s="438"/>
      <c r="AO67" s="447"/>
      <c r="AP67" s="438"/>
      <c r="AQ67" s="448"/>
      <c r="AR67" s="438">
        <f>I67</f>
        <v>7900</v>
      </c>
      <c r="AS67" s="449">
        <f>I67*0.06*2</f>
        <v>948</v>
      </c>
      <c r="AT67" s="449"/>
      <c r="AU67" s="438"/>
      <c r="AV67" s="438"/>
      <c r="AW67" s="438"/>
      <c r="AX67" s="438"/>
      <c r="AY67" s="438"/>
      <c r="AZ67" s="438"/>
      <c r="BA67" s="438"/>
      <c r="BB67" s="438"/>
      <c r="BC67" s="438"/>
      <c r="BD67" s="438"/>
      <c r="BE67" s="438"/>
      <c r="BF67" s="438"/>
      <c r="BG67" s="438"/>
      <c r="BH67" s="438"/>
      <c r="BI67" s="438">
        <f>I67/25</f>
        <v>316</v>
      </c>
      <c r="BJ67" s="447"/>
      <c r="BK67" s="447"/>
      <c r="BL67" s="438"/>
      <c r="BM67" s="448"/>
      <c r="BN67" s="448"/>
      <c r="BO67" s="438"/>
      <c r="BP67" s="438"/>
      <c r="BQ67" s="447"/>
      <c r="BR67" s="438"/>
      <c r="BS67" s="438"/>
      <c r="BT67" s="438"/>
      <c r="BU67" s="438"/>
      <c r="BV67" s="438"/>
      <c r="BW67" s="438">
        <f>BI67+BJ67+BL67+BN67+BM67</f>
        <v>316</v>
      </c>
      <c r="BX67" s="438">
        <f>BP67</f>
        <v>0</v>
      </c>
      <c r="BY67" s="438">
        <f>BV67</f>
        <v>0</v>
      </c>
      <c r="BZ67" s="438">
        <f>BQ67+BR67+BS67</f>
        <v>0</v>
      </c>
      <c r="CA67" s="448"/>
      <c r="CB67" s="448"/>
      <c r="CC67" s="448"/>
      <c r="CD67" s="438"/>
      <c r="CE67" s="438"/>
    </row>
    <row r="68" s="286" customFormat="1" ht="31" customHeight="1" spans="1:107">
      <c r="A68" s="435">
        <v>46151</v>
      </c>
      <c r="B68" s="436" t="s">
        <v>2097</v>
      </c>
      <c r="C68" s="437" t="s">
        <v>115</v>
      </c>
      <c r="D68" s="438" t="s">
        <v>6946</v>
      </c>
      <c r="E68" s="484">
        <v>4365916939</v>
      </c>
      <c r="F68" s="438" t="s">
        <v>6947</v>
      </c>
      <c r="G68" s="439" t="s">
        <v>146</v>
      </c>
      <c r="H68" s="437" t="s">
        <v>104</v>
      </c>
      <c r="I68" s="440">
        <v>9650</v>
      </c>
      <c r="J68" s="437">
        <v>0</v>
      </c>
      <c r="K68" s="437">
        <v>25</v>
      </c>
      <c r="L68" s="441">
        <f t="shared" si="5"/>
        <v>386</v>
      </c>
      <c r="M68" s="445">
        <v>46211</v>
      </c>
      <c r="N68" s="445">
        <v>46207</v>
      </c>
      <c r="O68" s="442"/>
      <c r="P68" s="442"/>
      <c r="Q68" s="437"/>
      <c r="R68" s="443">
        <v>46181</v>
      </c>
      <c r="S68" s="444" t="s">
        <v>95</v>
      </c>
      <c r="T68" s="452" t="s">
        <v>2100</v>
      </c>
      <c r="U68" s="436"/>
      <c r="V68" s="436"/>
      <c r="W68" s="436" t="s">
        <v>6945</v>
      </c>
      <c r="X68" s="445" t="s">
        <v>2102</v>
      </c>
      <c r="Y68" s="438">
        <v>0.645</v>
      </c>
      <c r="Z68" s="446">
        <f t="shared" si="12"/>
        <v>6224.25</v>
      </c>
      <c r="AA68" s="437"/>
      <c r="AB68" s="437" t="s">
        <v>146</v>
      </c>
      <c r="AC68" s="437" t="s">
        <v>112</v>
      </c>
      <c r="AD68" s="437"/>
      <c r="AE68" s="437"/>
      <c r="AF68" s="442"/>
      <c r="AG68" s="442">
        <f>AF68-I68</f>
        <v>-9650</v>
      </c>
      <c r="AH68" s="437"/>
      <c r="AI68" s="437"/>
      <c r="AJ68" s="438">
        <f>I68</f>
        <v>9650</v>
      </c>
      <c r="AK68" s="438"/>
      <c r="AL68" s="438"/>
      <c r="AM68" s="438">
        <f>I68</f>
        <v>9650</v>
      </c>
      <c r="AN68" s="438"/>
      <c r="AO68" s="447"/>
      <c r="AP68" s="438"/>
      <c r="AQ68" s="448"/>
      <c r="AR68" s="438">
        <f>I68</f>
        <v>9650</v>
      </c>
      <c r="AS68" s="449">
        <f>I68*0.06*2</f>
        <v>1158</v>
      </c>
      <c r="AT68" s="449"/>
      <c r="AU68" s="438"/>
      <c r="AV68" s="438"/>
      <c r="AW68" s="438"/>
      <c r="AX68" s="438"/>
      <c r="AY68" s="438"/>
      <c r="AZ68" s="438"/>
      <c r="BA68" s="438"/>
      <c r="BB68" s="438"/>
      <c r="BC68" s="438"/>
      <c r="BD68" s="438"/>
      <c r="BE68" s="438"/>
      <c r="BF68" s="438"/>
      <c r="BG68" s="438"/>
      <c r="BH68" s="438"/>
      <c r="BI68" s="438">
        <f>I68/25</f>
        <v>386</v>
      </c>
      <c r="BJ68" s="447"/>
      <c r="BK68" s="447"/>
      <c r="BL68" s="438"/>
      <c r="BM68" s="448"/>
      <c r="BN68" s="448"/>
      <c r="BO68" s="438"/>
      <c r="BP68" s="438"/>
      <c r="BQ68" s="447"/>
      <c r="BR68" s="438"/>
      <c r="BS68" s="438"/>
      <c r="BT68" s="438"/>
      <c r="BU68" s="438"/>
      <c r="BV68" s="438"/>
      <c r="BW68" s="438">
        <f>BI68+BJ68+BL68+BN68+BM68</f>
        <v>386</v>
      </c>
      <c r="BX68" s="438">
        <f>BP68</f>
        <v>0</v>
      </c>
      <c r="BY68" s="438">
        <f>BV68</f>
        <v>0</v>
      </c>
      <c r="BZ68" s="438">
        <f>BQ68+BR68+BS68</f>
        <v>0</v>
      </c>
      <c r="CA68" s="448"/>
      <c r="CB68" s="448"/>
      <c r="CC68" s="448"/>
      <c r="CD68" s="438"/>
      <c r="CE68" s="438"/>
    </row>
    <row r="69" s="289" customFormat="1" ht="31" customHeight="1" spans="1:107">
      <c r="A69" s="345">
        <v>46178</v>
      </c>
      <c r="B69" s="346" t="s">
        <v>6937</v>
      </c>
      <c r="C69" s="347" t="s">
        <v>2523</v>
      </c>
      <c r="D69" s="348">
        <v>4500210649</v>
      </c>
      <c r="E69" s="347" t="s">
        <v>6948</v>
      </c>
      <c r="F69" s="348" t="s">
        <v>6949</v>
      </c>
      <c r="G69" s="349" t="s">
        <v>3968</v>
      </c>
      <c r="H69" s="347" t="s">
        <v>3969</v>
      </c>
      <c r="I69" s="369">
        <v>480</v>
      </c>
      <c r="J69" s="347">
        <v>0</v>
      </c>
      <c r="K69" s="347">
        <v>16</v>
      </c>
      <c r="L69" s="347">
        <f t="shared" si="5"/>
        <v>30</v>
      </c>
      <c r="M69" s="351">
        <v>46259</v>
      </c>
      <c r="N69" s="351">
        <v>46255</v>
      </c>
      <c r="O69" s="346"/>
      <c r="P69" s="352"/>
      <c r="Q69" s="352"/>
      <c r="R69" s="451" t="s">
        <v>3064</v>
      </c>
      <c r="S69" s="444" t="s">
        <v>107</v>
      </c>
      <c r="T69" s="451" t="s">
        <v>6950</v>
      </c>
      <c r="U69" s="353"/>
      <c r="V69" s="353"/>
      <c r="W69" s="444" t="s">
        <v>6951</v>
      </c>
      <c r="X69" s="351" t="s">
        <v>2487</v>
      </c>
      <c r="Y69" s="431">
        <v>4.7259</v>
      </c>
      <c r="Z69" s="348">
        <f t="shared" si="12"/>
        <v>2268.432</v>
      </c>
      <c r="AA69" s="355"/>
      <c r="AB69" s="348" t="s">
        <v>4426</v>
      </c>
      <c r="AC69" s="437" t="s">
        <v>112</v>
      </c>
      <c r="AD69" s="347">
        <f>I69</f>
        <v>480</v>
      </c>
      <c r="AE69" s="347"/>
      <c r="AF69" s="437"/>
      <c r="AG69" s="347"/>
      <c r="AH69" s="347">
        <f>AG69-I69</f>
        <v>-480</v>
      </c>
      <c r="AI69" s="352"/>
      <c r="AJ69" s="352"/>
      <c r="AK69" s="348"/>
      <c r="AL69" s="348">
        <f>I69</f>
        <v>480</v>
      </c>
      <c r="AM69" s="348"/>
      <c r="AN69" s="348">
        <f>I69</f>
        <v>480</v>
      </c>
      <c r="AO69" s="348"/>
      <c r="AP69" s="348"/>
      <c r="AQ69" s="348"/>
      <c r="AR69" s="348"/>
      <c r="AS69" s="348"/>
      <c r="AT69" s="348"/>
      <c r="AU69" s="348"/>
      <c r="AV69" s="348"/>
      <c r="AW69" s="348"/>
      <c r="AX69" s="348"/>
      <c r="AY69" s="348"/>
      <c r="AZ69" s="348"/>
      <c r="BA69" s="348"/>
      <c r="BB69" s="348"/>
      <c r="BC69" s="348"/>
      <c r="BD69" s="348"/>
    </row>
    <row r="70" s="286" customFormat="1" ht="31" customHeight="1" spans="1:107">
      <c r="A70" s="435">
        <v>46083</v>
      </c>
      <c r="B70" s="436" t="s">
        <v>1979</v>
      </c>
      <c r="C70" s="437" t="s">
        <v>164</v>
      </c>
      <c r="D70" s="438">
        <v>4500194401</v>
      </c>
      <c r="E70" s="437">
        <v>4500191728</v>
      </c>
      <c r="F70" s="438" t="s">
        <v>6952</v>
      </c>
      <c r="G70" s="439" t="s">
        <v>174</v>
      </c>
      <c r="H70" s="437" t="s">
        <v>859</v>
      </c>
      <c r="I70" s="440">
        <v>1040</v>
      </c>
      <c r="J70" s="437">
        <v>0</v>
      </c>
      <c r="K70" s="437">
        <v>52</v>
      </c>
      <c r="L70" s="441">
        <f t="shared" si="5"/>
        <v>20</v>
      </c>
      <c r="M70" s="445">
        <v>46188</v>
      </c>
      <c r="N70" s="445">
        <v>46184</v>
      </c>
      <c r="O70" s="442"/>
      <c r="P70" s="485">
        <v>46188</v>
      </c>
      <c r="Q70" s="437"/>
      <c r="R70" s="451">
        <v>46136</v>
      </c>
      <c r="S70" s="444" t="s">
        <v>95</v>
      </c>
      <c r="T70" s="444" t="s">
        <v>1982</v>
      </c>
      <c r="U70" s="436" t="s">
        <v>6953</v>
      </c>
      <c r="V70" s="436"/>
      <c r="W70" s="436" t="s">
        <v>4565</v>
      </c>
      <c r="X70" s="436" t="s">
        <v>6954</v>
      </c>
      <c r="Y70" s="445" t="s">
        <v>1985</v>
      </c>
      <c r="Z70" s="438">
        <v>1.033</v>
      </c>
      <c r="AA70" s="446">
        <f>I70*Z70</f>
        <v>1074.32</v>
      </c>
      <c r="AB70" s="437"/>
      <c r="AC70" s="437" t="s">
        <v>1027</v>
      </c>
      <c r="AD70" s="437" t="s">
        <v>112</v>
      </c>
      <c r="AE70" s="437"/>
      <c r="AF70" s="437" t="s">
        <v>943</v>
      </c>
      <c r="AG70" s="442">
        <v>1040</v>
      </c>
      <c r="AH70" s="442">
        <f>AG70-I70</f>
        <v>0</v>
      </c>
      <c r="AI70" s="437"/>
      <c r="AJ70" s="437"/>
      <c r="AK70" s="438">
        <f>I70</f>
        <v>1040</v>
      </c>
      <c r="AL70" s="438"/>
      <c r="AM70" s="438"/>
      <c r="AN70" s="438"/>
      <c r="AO70" s="438">
        <f>I70</f>
        <v>1040</v>
      </c>
      <c r="AP70" s="447"/>
      <c r="AQ70" s="438"/>
      <c r="AR70" s="448"/>
      <c r="AS70" s="438">
        <f>I70</f>
        <v>1040</v>
      </c>
      <c r="AT70" s="449">
        <f>I70*0.06</f>
        <v>62.4</v>
      </c>
      <c r="AU70" s="449"/>
      <c r="AV70" s="438"/>
      <c r="AW70" s="438"/>
      <c r="AX70" s="438"/>
      <c r="AY70" s="438"/>
      <c r="AZ70" s="438"/>
      <c r="BA70" s="438"/>
      <c r="BB70" s="438"/>
      <c r="BC70" s="438"/>
      <c r="BD70" s="438"/>
      <c r="BE70" s="438"/>
      <c r="BF70" s="438"/>
      <c r="BG70" s="438"/>
      <c r="BH70" s="438"/>
      <c r="BI70" s="438">
        <f>I70/13</f>
        <v>80</v>
      </c>
      <c r="BJ70" s="438"/>
      <c r="BK70" s="447"/>
      <c r="BL70" s="447"/>
      <c r="BM70" s="438"/>
      <c r="BN70" s="448"/>
      <c r="BO70" s="438"/>
      <c r="BP70" s="438"/>
      <c r="BQ70" s="438"/>
      <c r="BR70" s="447"/>
      <c r="BS70" s="438"/>
      <c r="BT70" s="438"/>
      <c r="BU70" s="438"/>
      <c r="BV70" s="438"/>
      <c r="BW70" s="438"/>
      <c r="BX70" s="438">
        <f>BJ70+BK70+BM70+BO70+BN70</f>
        <v>0</v>
      </c>
      <c r="BY70" s="438">
        <f>BQ70</f>
        <v>0</v>
      </c>
      <c r="BZ70" s="438">
        <f>BW70</f>
        <v>0</v>
      </c>
      <c r="CA70" s="438">
        <f>BR70+BS70+BT70</f>
        <v>0</v>
      </c>
      <c r="CB70" s="448"/>
      <c r="CC70" s="448"/>
      <c r="CD70" s="448"/>
      <c r="CE70" s="438"/>
      <c r="CF70" s="438"/>
    </row>
    <row r="71" s="286" customFormat="1" ht="31" customHeight="1" spans="1:107">
      <c r="A71" s="435">
        <v>46153</v>
      </c>
      <c r="B71" s="436" t="s">
        <v>6955</v>
      </c>
      <c r="C71" s="437" t="s">
        <v>115</v>
      </c>
      <c r="D71" s="438" t="s">
        <v>6956</v>
      </c>
      <c r="E71" s="437" t="s">
        <v>6891</v>
      </c>
      <c r="F71" s="438" t="s">
        <v>6957</v>
      </c>
      <c r="G71" s="439" t="s">
        <v>146</v>
      </c>
      <c r="H71" s="437" t="s">
        <v>104</v>
      </c>
      <c r="I71" s="440">
        <v>28775</v>
      </c>
      <c r="J71" s="437">
        <v>0</v>
      </c>
      <c r="K71" s="437">
        <v>25</v>
      </c>
      <c r="L71" s="441">
        <f t="shared" si="5"/>
        <v>1151</v>
      </c>
      <c r="M71" s="445">
        <v>46233</v>
      </c>
      <c r="N71" s="445">
        <v>46229</v>
      </c>
      <c r="O71" s="442" t="s">
        <v>6958</v>
      </c>
      <c r="P71" s="436" t="s">
        <v>708</v>
      </c>
      <c r="Q71" s="437"/>
      <c r="R71" s="451" t="s">
        <v>3064</v>
      </c>
      <c r="S71" s="444" t="s">
        <v>107</v>
      </c>
      <c r="T71" s="444" t="s">
        <v>6959</v>
      </c>
      <c r="U71" s="436"/>
      <c r="V71" s="436"/>
      <c r="W71" s="436"/>
      <c r="X71" s="436" t="s">
        <v>6960</v>
      </c>
      <c r="Y71" s="445" t="s">
        <v>6961</v>
      </c>
      <c r="Z71" s="438"/>
      <c r="AA71" s="446"/>
      <c r="AB71" s="437"/>
      <c r="AC71" s="437" t="s">
        <v>146</v>
      </c>
      <c r="AD71" s="437" t="s">
        <v>112</v>
      </c>
      <c r="AE71" s="437"/>
      <c r="AF71" s="437"/>
      <c r="AG71" s="442"/>
      <c r="AH71" s="442">
        <f>AG71-I71</f>
        <v>-28775</v>
      </c>
      <c r="AI71" s="437"/>
      <c r="AJ71" s="437"/>
      <c r="AK71" s="438">
        <f>I71</f>
        <v>28775</v>
      </c>
      <c r="AL71" s="438"/>
      <c r="AM71" s="438"/>
      <c r="AN71" s="438">
        <f>I71</f>
        <v>28775</v>
      </c>
      <c r="AO71" s="438"/>
      <c r="AP71" s="447"/>
      <c r="AQ71" s="438"/>
      <c r="AR71" s="448"/>
      <c r="AS71" s="438">
        <f>I71</f>
        <v>28775</v>
      </c>
      <c r="AT71" s="449">
        <f>I71*0.06*2</f>
        <v>3453</v>
      </c>
      <c r="AU71" s="449"/>
      <c r="AV71" s="438"/>
      <c r="AW71" s="438"/>
      <c r="AX71" s="438"/>
      <c r="AY71" s="438"/>
      <c r="AZ71" s="438"/>
      <c r="BA71" s="438"/>
      <c r="BB71" s="438"/>
      <c r="BC71" s="438"/>
      <c r="BD71" s="438"/>
      <c r="BE71" s="438"/>
      <c r="BF71" s="438"/>
      <c r="BG71" s="438"/>
      <c r="BH71" s="438"/>
      <c r="BI71" s="438"/>
      <c r="BJ71" s="438">
        <f>I71/25</f>
        <v>1151</v>
      </c>
      <c r="BK71" s="447"/>
      <c r="BL71" s="447"/>
      <c r="BM71" s="438"/>
      <c r="BN71" s="448"/>
      <c r="BO71" s="448"/>
      <c r="BP71" s="438"/>
      <c r="BQ71" s="438"/>
      <c r="BR71" s="447"/>
      <c r="BS71" s="438"/>
      <c r="BT71" s="438"/>
      <c r="BU71" s="438"/>
      <c r="BV71" s="438"/>
      <c r="BW71" s="438"/>
      <c r="BX71" s="438"/>
      <c r="BY71" s="438">
        <f>BJ71+BK71+BM71+BO71+BN71</f>
        <v>1151</v>
      </c>
      <c r="BZ71" s="438">
        <f>BQ71</f>
        <v>0</v>
      </c>
      <c r="CA71" s="438">
        <f>BX71</f>
        <v>0</v>
      </c>
      <c r="CB71" s="438">
        <f>BR71+BS71+BT71</f>
        <v>0</v>
      </c>
      <c r="CC71" s="448"/>
      <c r="CD71" s="448"/>
      <c r="CE71" s="448"/>
      <c r="CF71" s="438"/>
      <c r="CG71" s="438"/>
    </row>
    <row r="72" s="286" customFormat="1" ht="31" customHeight="1" spans="1:107">
      <c r="A72" s="435">
        <v>46153</v>
      </c>
      <c r="B72" s="436" t="s">
        <v>6955</v>
      </c>
      <c r="C72" s="437" t="s">
        <v>115</v>
      </c>
      <c r="D72" s="438" t="s">
        <v>6956</v>
      </c>
      <c r="E72" s="437" t="s">
        <v>6891</v>
      </c>
      <c r="F72" s="438" t="s">
        <v>6962</v>
      </c>
      <c r="G72" s="439" t="s">
        <v>146</v>
      </c>
      <c r="H72" s="437" t="s">
        <v>104</v>
      </c>
      <c r="I72" s="440">
        <v>300</v>
      </c>
      <c r="J72" s="437">
        <v>0</v>
      </c>
      <c r="K72" s="437">
        <v>25</v>
      </c>
      <c r="L72" s="441">
        <f t="shared" si="5"/>
        <v>12</v>
      </c>
      <c r="M72" s="445">
        <v>46233</v>
      </c>
      <c r="N72" s="445">
        <v>46229</v>
      </c>
      <c r="O72" s="442" t="s">
        <v>6958</v>
      </c>
      <c r="P72" s="436" t="s">
        <v>708</v>
      </c>
      <c r="Q72" s="437"/>
      <c r="R72" s="451" t="s">
        <v>3064</v>
      </c>
      <c r="S72" s="444" t="s">
        <v>107</v>
      </c>
      <c r="T72" s="444" t="s">
        <v>6959</v>
      </c>
      <c r="U72" s="436"/>
      <c r="V72" s="436"/>
      <c r="W72" s="436"/>
      <c r="X72" s="436" t="s">
        <v>6960</v>
      </c>
      <c r="Y72" s="445" t="s">
        <v>6961</v>
      </c>
      <c r="Z72" s="438"/>
      <c r="AA72" s="446"/>
      <c r="AB72" s="437"/>
      <c r="AC72" s="437" t="s">
        <v>146</v>
      </c>
      <c r="AD72" s="437" t="s">
        <v>112</v>
      </c>
      <c r="AE72" s="437"/>
      <c r="AF72" s="437"/>
      <c r="AG72" s="442"/>
      <c r="AH72" s="442">
        <f>AG72-I72</f>
        <v>-300</v>
      </c>
      <c r="AI72" s="437"/>
      <c r="AJ72" s="437"/>
      <c r="AK72" s="438">
        <f>I72</f>
        <v>300</v>
      </c>
      <c r="AL72" s="438"/>
      <c r="AM72" s="438"/>
      <c r="AN72" s="438">
        <f>I72</f>
        <v>300</v>
      </c>
      <c r="AO72" s="438"/>
      <c r="AP72" s="447"/>
      <c r="AQ72" s="438"/>
      <c r="AR72" s="448"/>
      <c r="AS72" s="438">
        <f>I72</f>
        <v>300</v>
      </c>
      <c r="AT72" s="449">
        <f>I72*0.06*2</f>
        <v>36</v>
      </c>
      <c r="AU72" s="449"/>
      <c r="AV72" s="438"/>
      <c r="AW72" s="438"/>
      <c r="AX72" s="438"/>
      <c r="AY72" s="438"/>
      <c r="AZ72" s="438"/>
      <c r="BA72" s="438"/>
      <c r="BB72" s="438"/>
      <c r="BC72" s="438"/>
      <c r="BD72" s="438"/>
      <c r="BE72" s="438"/>
      <c r="BF72" s="438"/>
      <c r="BG72" s="438"/>
      <c r="BH72" s="438"/>
      <c r="BI72" s="438"/>
      <c r="BJ72" s="438">
        <f>I72/25</f>
        <v>12</v>
      </c>
      <c r="BK72" s="447"/>
      <c r="BL72" s="447"/>
      <c r="BM72" s="438"/>
      <c r="BN72" s="448"/>
      <c r="BO72" s="448"/>
      <c r="BP72" s="438"/>
      <c r="BQ72" s="438"/>
      <c r="BR72" s="447"/>
      <c r="BS72" s="438"/>
      <c r="BT72" s="438"/>
      <c r="BU72" s="438"/>
      <c r="BV72" s="438"/>
      <c r="BW72" s="438"/>
      <c r="BX72" s="438"/>
      <c r="BY72" s="438">
        <f>BJ72+BK72+BM72+BO72+BN72</f>
        <v>12</v>
      </c>
      <c r="BZ72" s="438">
        <f>BQ72</f>
        <v>0</v>
      </c>
      <c r="CA72" s="438">
        <f>BX72</f>
        <v>0</v>
      </c>
      <c r="CB72" s="438">
        <f>BR72+BS72+BT72</f>
        <v>0</v>
      </c>
      <c r="CC72" s="448"/>
      <c r="CD72" s="448"/>
      <c r="CE72" s="448"/>
      <c r="CF72" s="438"/>
      <c r="CG72" s="438"/>
    </row>
    <row r="73" s="289" customFormat="1" ht="31" customHeight="1" spans="1:107">
      <c r="A73" s="345">
        <v>46153</v>
      </c>
      <c r="B73" s="346" t="s">
        <v>6955</v>
      </c>
      <c r="C73" s="347" t="s">
        <v>115</v>
      </c>
      <c r="D73" s="348" t="s">
        <v>6956</v>
      </c>
      <c r="E73" s="347" t="s">
        <v>6891</v>
      </c>
      <c r="F73" s="348" t="s">
        <v>6963</v>
      </c>
      <c r="G73" s="349" t="s">
        <v>3980</v>
      </c>
      <c r="H73" s="347" t="s">
        <v>3978</v>
      </c>
      <c r="I73" s="369">
        <v>9208</v>
      </c>
      <c r="J73" s="347">
        <v>0</v>
      </c>
      <c r="K73" s="347">
        <v>8</v>
      </c>
      <c r="L73" s="347">
        <f t="shared" si="5"/>
        <v>1151</v>
      </c>
      <c r="M73" s="351">
        <v>46233</v>
      </c>
      <c r="N73" s="351">
        <v>46229</v>
      </c>
      <c r="O73" s="436" t="s">
        <v>708</v>
      </c>
      <c r="P73" s="352"/>
      <c r="Q73" s="352"/>
      <c r="R73" s="412" t="s">
        <v>3064</v>
      </c>
      <c r="S73" s="353" t="s">
        <v>107</v>
      </c>
      <c r="T73" s="414" t="s">
        <v>6959</v>
      </c>
      <c r="U73" s="414"/>
      <c r="V73" s="353"/>
      <c r="W73" s="353"/>
      <c r="X73" s="353" t="s">
        <v>6960</v>
      </c>
      <c r="Y73" s="337" t="s">
        <v>6961</v>
      </c>
      <c r="Z73" s="486"/>
      <c r="AA73" s="334"/>
      <c r="AB73" s="341"/>
      <c r="AC73" s="487" t="s">
        <v>3980</v>
      </c>
      <c r="AD73" s="488" t="s">
        <v>112</v>
      </c>
      <c r="AE73" s="333">
        <f>I73</f>
        <v>9208</v>
      </c>
      <c r="AF73" s="333"/>
      <c r="AG73" s="437" t="s">
        <v>5125</v>
      </c>
      <c r="AH73" s="347"/>
      <c r="AI73" s="347">
        <f>AH73-I73</f>
        <v>-9208</v>
      </c>
      <c r="AJ73" s="352"/>
      <c r="AK73" s="352"/>
      <c r="AL73" s="348">
        <f>I73</f>
        <v>9208</v>
      </c>
      <c r="AM73" s="348"/>
      <c r="AN73" s="348"/>
      <c r="AO73" s="348">
        <f>I73</f>
        <v>9208</v>
      </c>
      <c r="AP73" s="348"/>
      <c r="AQ73" s="348"/>
      <c r="AR73" s="348"/>
      <c r="AS73" s="348"/>
      <c r="AT73" s="348"/>
      <c r="AU73" s="348">
        <f>I73/8</f>
        <v>1151</v>
      </c>
      <c r="AV73" s="348"/>
      <c r="AW73" s="348"/>
      <c r="AX73" s="348"/>
      <c r="AY73" s="348"/>
      <c r="AZ73" s="348"/>
      <c r="BA73" s="348"/>
      <c r="BB73" s="348"/>
      <c r="BC73" s="348"/>
      <c r="BD73" s="348"/>
      <c r="BE73" s="348"/>
      <c r="BF73" s="433"/>
      <c r="BG73" s="433"/>
      <c r="BH73" s="433"/>
      <c r="BI73" s="433"/>
      <c r="BJ73" s="433"/>
      <c r="BK73" s="433"/>
      <c r="BL73" s="433"/>
      <c r="BM73" s="433"/>
      <c r="BN73" s="433"/>
      <c r="BO73" s="433"/>
      <c r="BP73" s="433"/>
      <c r="BQ73" s="433"/>
      <c r="BR73" s="433"/>
      <c r="BS73" s="433"/>
      <c r="BT73" s="433"/>
      <c r="BU73" s="433"/>
      <c r="BV73" s="433"/>
      <c r="BW73" s="433"/>
      <c r="BX73" s="433"/>
      <c r="BY73" s="433"/>
      <c r="BZ73" s="433"/>
      <c r="CA73" s="433"/>
      <c r="CB73" s="433"/>
      <c r="CC73" s="433"/>
      <c r="CD73" s="433"/>
      <c r="CE73" s="433"/>
      <c r="CF73" s="433"/>
      <c r="CG73" s="433"/>
      <c r="CH73" s="433"/>
      <c r="CI73" s="433"/>
      <c r="CJ73" s="433"/>
      <c r="CK73" s="433"/>
      <c r="CL73" s="433"/>
      <c r="CM73" s="433"/>
      <c r="CN73" s="433"/>
    </row>
    <row r="74" s="289" customFormat="1" ht="31" customHeight="1" spans="1:107">
      <c r="A74" s="345">
        <v>46153</v>
      </c>
      <c r="B74" s="346" t="s">
        <v>6955</v>
      </c>
      <c r="C74" s="347" t="s">
        <v>115</v>
      </c>
      <c r="D74" s="348" t="s">
        <v>6956</v>
      </c>
      <c r="E74" s="347" t="s">
        <v>6891</v>
      </c>
      <c r="F74" s="348" t="s">
        <v>6964</v>
      </c>
      <c r="G74" s="349" t="s">
        <v>3980</v>
      </c>
      <c r="H74" s="347" t="s">
        <v>3978</v>
      </c>
      <c r="I74" s="369">
        <v>300</v>
      </c>
      <c r="J74" s="347">
        <v>0</v>
      </c>
      <c r="K74" s="347">
        <v>8</v>
      </c>
      <c r="L74" s="350">
        <f t="shared" si="5"/>
        <v>37.5</v>
      </c>
      <c r="M74" s="351">
        <v>46233</v>
      </c>
      <c r="N74" s="351">
        <v>46229</v>
      </c>
      <c r="O74" s="436" t="s">
        <v>708</v>
      </c>
      <c r="P74" s="352"/>
      <c r="Q74" s="352"/>
      <c r="R74" s="412" t="s">
        <v>3064</v>
      </c>
      <c r="S74" s="353" t="s">
        <v>107</v>
      </c>
      <c r="T74" s="414" t="s">
        <v>6959</v>
      </c>
      <c r="U74" s="414"/>
      <c r="V74" s="353"/>
      <c r="W74" s="353"/>
      <c r="X74" s="353" t="s">
        <v>6960</v>
      </c>
      <c r="Y74" s="337" t="s">
        <v>6961</v>
      </c>
      <c r="Z74" s="486"/>
      <c r="AA74" s="334"/>
      <c r="AB74" s="341"/>
      <c r="AC74" s="487" t="s">
        <v>3980</v>
      </c>
      <c r="AD74" s="488" t="s">
        <v>112</v>
      </c>
      <c r="AE74" s="333">
        <f>I74</f>
        <v>300</v>
      </c>
      <c r="AF74" s="333"/>
      <c r="AG74" s="437" t="s">
        <v>5125</v>
      </c>
      <c r="AH74" s="347"/>
      <c r="AI74" s="347">
        <f>AH74-I74</f>
        <v>-300</v>
      </c>
      <c r="AJ74" s="352"/>
      <c r="AK74" s="352"/>
      <c r="AL74" s="348">
        <f>I74</f>
        <v>300</v>
      </c>
      <c r="AM74" s="348"/>
      <c r="AN74" s="348"/>
      <c r="AO74" s="348">
        <f>I74</f>
        <v>300</v>
      </c>
      <c r="AP74" s="348"/>
      <c r="AQ74" s="348"/>
      <c r="AR74" s="348"/>
      <c r="AS74" s="348"/>
      <c r="AT74" s="348"/>
      <c r="AU74" s="348">
        <f>I74/8</f>
        <v>37.5</v>
      </c>
      <c r="AV74" s="348"/>
      <c r="AW74" s="348"/>
      <c r="AX74" s="348"/>
      <c r="AY74" s="348"/>
      <c r="AZ74" s="348"/>
      <c r="BA74" s="348"/>
      <c r="BB74" s="348"/>
      <c r="BC74" s="348"/>
      <c r="BD74" s="348"/>
      <c r="BE74" s="348"/>
      <c r="BF74" s="433"/>
      <c r="BG74" s="433"/>
      <c r="BH74" s="433"/>
      <c r="BI74" s="433"/>
      <c r="BJ74" s="433"/>
      <c r="BK74" s="433"/>
      <c r="BL74" s="433"/>
      <c r="BM74" s="433"/>
      <c r="BN74" s="433"/>
      <c r="BO74" s="433"/>
      <c r="BP74" s="433"/>
      <c r="BQ74" s="433"/>
      <c r="BR74" s="433"/>
      <c r="BS74" s="433"/>
      <c r="BT74" s="433"/>
      <c r="BU74" s="433"/>
      <c r="BV74" s="433"/>
      <c r="BW74" s="433"/>
      <c r="BX74" s="433"/>
      <c r="BY74" s="433"/>
      <c r="BZ74" s="433"/>
      <c r="CA74" s="433"/>
      <c r="CB74" s="433"/>
      <c r="CC74" s="433"/>
      <c r="CD74" s="433"/>
      <c r="CE74" s="433"/>
      <c r="CF74" s="433"/>
      <c r="CG74" s="433"/>
      <c r="CH74" s="433"/>
      <c r="CI74" s="433"/>
      <c r="CJ74" s="433"/>
      <c r="CK74" s="433"/>
      <c r="CL74" s="433"/>
      <c r="CM74" s="433"/>
      <c r="CN74" s="433"/>
    </row>
    <row r="75" s="289" customFormat="1" ht="31" customHeight="1" spans="1:107">
      <c r="A75" s="345">
        <v>46164</v>
      </c>
      <c r="B75" s="346" t="s">
        <v>6965</v>
      </c>
      <c r="C75" s="347" t="s">
        <v>115</v>
      </c>
      <c r="D75" s="348" t="s">
        <v>6966</v>
      </c>
      <c r="E75" s="347" t="s">
        <v>1569</v>
      </c>
      <c r="F75" s="348" t="s">
        <v>6967</v>
      </c>
      <c r="G75" s="349" t="s">
        <v>5921</v>
      </c>
      <c r="H75" s="347"/>
      <c r="I75" s="369">
        <v>10000</v>
      </c>
      <c r="J75" s="347">
        <v>0</v>
      </c>
      <c r="K75" s="347">
        <v>8</v>
      </c>
      <c r="L75" s="350">
        <f t="shared" si="5"/>
        <v>1250</v>
      </c>
      <c r="M75" s="351">
        <v>46234</v>
      </c>
      <c r="N75" s="351">
        <v>46230</v>
      </c>
      <c r="O75" s="436" t="s">
        <v>708</v>
      </c>
      <c r="P75" s="352"/>
      <c r="Q75" s="352"/>
      <c r="R75" s="370" t="s">
        <v>3064</v>
      </c>
      <c r="S75" s="353" t="s">
        <v>107</v>
      </c>
      <c r="T75" s="353" t="s">
        <v>2962</v>
      </c>
      <c r="U75" s="353"/>
      <c r="V75" s="353"/>
      <c r="W75" s="353"/>
      <c r="X75" s="353" t="s">
        <v>6968</v>
      </c>
      <c r="Y75" s="351" t="s">
        <v>1569</v>
      </c>
      <c r="Z75" s="431"/>
      <c r="AA75" s="348"/>
      <c r="AB75" s="355"/>
      <c r="AC75" s="438" t="s">
        <v>3630</v>
      </c>
      <c r="AD75" s="347"/>
      <c r="AE75" s="347">
        <f>I75</f>
        <v>10000</v>
      </c>
      <c r="AF75" s="347"/>
      <c r="AG75" s="437" t="s">
        <v>5125</v>
      </c>
      <c r="AH75" s="347"/>
      <c r="AI75" s="347">
        <f>AH75-I75</f>
        <v>-10000</v>
      </c>
      <c r="AJ75" s="352"/>
      <c r="AK75" s="352"/>
      <c r="AL75" s="348">
        <f>I75</f>
        <v>10000</v>
      </c>
      <c r="AM75" s="348"/>
      <c r="AN75" s="348"/>
      <c r="AO75" s="348">
        <f>I75</f>
        <v>10000</v>
      </c>
      <c r="AP75" s="348"/>
      <c r="AQ75" s="348"/>
      <c r="AR75" s="348"/>
      <c r="AS75" s="348"/>
      <c r="AT75" s="348"/>
      <c r="AU75" s="348"/>
      <c r="AV75" s="348"/>
      <c r="AW75" s="348"/>
      <c r="AX75" s="348"/>
      <c r="AY75" s="348"/>
      <c r="AZ75" s="348"/>
      <c r="BA75" s="348"/>
      <c r="BB75" s="348"/>
      <c r="BC75" s="348"/>
      <c r="BD75" s="348"/>
      <c r="BE75" s="348"/>
      <c r="BF75" s="290"/>
      <c r="BG75" s="290"/>
      <c r="BH75" s="290"/>
      <c r="BI75" s="290"/>
      <c r="BJ75" s="290"/>
      <c r="BK75" s="290"/>
      <c r="BL75" s="290"/>
      <c r="BM75" s="290"/>
      <c r="BN75" s="290"/>
      <c r="BO75" s="290"/>
      <c r="BP75" s="290"/>
      <c r="BQ75" s="290"/>
      <c r="BR75" s="290"/>
      <c r="BS75" s="290"/>
      <c r="BT75" s="290"/>
      <c r="BU75" s="290"/>
      <c r="BV75" s="290"/>
      <c r="BW75" s="290"/>
      <c r="BX75" s="290"/>
      <c r="BY75" s="290"/>
      <c r="BZ75" s="290"/>
      <c r="CA75" s="290"/>
      <c r="CB75" s="290"/>
      <c r="CC75" s="290"/>
      <c r="CD75" s="290"/>
      <c r="CE75" s="290"/>
      <c r="CF75" s="290"/>
      <c r="CG75" s="290"/>
      <c r="CH75" s="290"/>
      <c r="CI75" s="290"/>
      <c r="CJ75" s="290"/>
      <c r="CK75" s="290"/>
      <c r="CL75" s="290"/>
      <c r="CM75" s="290"/>
      <c r="CN75" s="290"/>
    </row>
    <row r="76" s="286" customFormat="1" ht="31" customHeight="1" spans="1:107">
      <c r="A76" s="435">
        <v>46164</v>
      </c>
      <c r="B76" s="454" t="s">
        <v>6965</v>
      </c>
      <c r="C76" s="455" t="s">
        <v>115</v>
      </c>
      <c r="D76" s="456" t="s">
        <v>6966</v>
      </c>
      <c r="E76" s="455" t="s">
        <v>1569</v>
      </c>
      <c r="F76" s="456" t="s">
        <v>6967</v>
      </c>
      <c r="G76" s="457" t="s">
        <v>6969</v>
      </c>
      <c r="H76" s="455"/>
      <c r="I76" s="458">
        <v>10000</v>
      </c>
      <c r="J76" s="455">
        <v>0</v>
      </c>
      <c r="K76" s="455">
        <v>16</v>
      </c>
      <c r="L76" s="441">
        <f t="shared" si="5"/>
        <v>625</v>
      </c>
      <c r="M76" s="459">
        <v>46234</v>
      </c>
      <c r="N76" s="489">
        <v>46230</v>
      </c>
      <c r="O76" s="442" t="s">
        <v>708</v>
      </c>
      <c r="P76" s="442"/>
      <c r="Q76" s="437"/>
      <c r="R76" s="443" t="s">
        <v>3064</v>
      </c>
      <c r="S76" s="452" t="s">
        <v>95</v>
      </c>
      <c r="T76" s="444" t="s">
        <v>460</v>
      </c>
      <c r="U76" s="436"/>
      <c r="V76" s="436"/>
      <c r="W76" s="436"/>
      <c r="X76" s="452" t="s">
        <v>6968</v>
      </c>
      <c r="Y76" s="459" t="s">
        <v>1569</v>
      </c>
      <c r="Z76" s="490"/>
      <c r="AA76" s="438"/>
      <c r="AB76" s="437"/>
      <c r="AC76" s="437" t="s">
        <v>3630</v>
      </c>
      <c r="AD76" s="437"/>
      <c r="AE76" s="437"/>
      <c r="AF76" s="437"/>
      <c r="AG76" s="442"/>
      <c r="AH76" s="442">
        <f>AG76-I76</f>
        <v>-10000</v>
      </c>
      <c r="AI76" s="437"/>
      <c r="AJ76" s="437"/>
      <c r="AK76" s="438">
        <f>I76</f>
        <v>10000</v>
      </c>
      <c r="AL76" s="438"/>
      <c r="AM76" s="438"/>
      <c r="AN76" s="438">
        <f>I76</f>
        <v>10000</v>
      </c>
      <c r="AO76" s="438"/>
      <c r="AP76" s="447"/>
      <c r="AQ76" s="438"/>
      <c r="AR76" s="448"/>
      <c r="AS76" s="438">
        <f>I76</f>
        <v>10000</v>
      </c>
      <c r="AT76" s="449">
        <f>I76*0.06*2</f>
        <v>1200</v>
      </c>
      <c r="AU76" s="449"/>
      <c r="AV76" s="438"/>
      <c r="AW76" s="438"/>
      <c r="AX76" s="438"/>
      <c r="AY76" s="438"/>
      <c r="AZ76" s="438"/>
      <c r="BA76" s="438"/>
      <c r="BB76" s="438"/>
      <c r="BC76" s="438"/>
      <c r="BD76" s="438"/>
      <c r="BE76" s="438"/>
      <c r="BF76" s="438"/>
      <c r="BG76" s="438"/>
      <c r="BH76" s="438"/>
      <c r="BI76" s="438"/>
      <c r="BJ76" s="438"/>
      <c r="BK76" s="447"/>
      <c r="BL76" s="447"/>
      <c r="BM76" s="438"/>
      <c r="BN76" s="448"/>
      <c r="BO76" s="448"/>
      <c r="BP76" s="438"/>
      <c r="BQ76" s="438"/>
      <c r="BR76" s="447"/>
      <c r="BS76" s="438"/>
      <c r="BT76" s="438"/>
      <c r="BU76" s="438"/>
      <c r="BV76" s="438"/>
      <c r="BW76" s="438"/>
      <c r="BX76" s="438"/>
      <c r="BY76" s="438">
        <f>BJ76+BK76+BM76+BO76+BN76</f>
        <v>0</v>
      </c>
      <c r="BZ76" s="438">
        <f>BQ76</f>
        <v>0</v>
      </c>
      <c r="CA76" s="438">
        <f>BX76</f>
        <v>0</v>
      </c>
      <c r="CB76" s="438">
        <f>BR76+BS76+BT76</f>
        <v>0</v>
      </c>
      <c r="CC76" s="448"/>
      <c r="CD76" s="448"/>
      <c r="CE76" s="448"/>
      <c r="CF76" s="438"/>
      <c r="CG76" s="438"/>
    </row>
    <row r="77" s="292" customFormat="1" ht="31" customHeight="1" spans="1:107">
      <c r="A77" s="435">
        <v>46121</v>
      </c>
      <c r="B77" s="436" t="s">
        <v>114</v>
      </c>
      <c r="C77" s="437" t="s">
        <v>115</v>
      </c>
      <c r="D77" s="438" t="s">
        <v>6970</v>
      </c>
      <c r="E77" s="437" t="s">
        <v>6971</v>
      </c>
      <c r="F77" s="438" t="s">
        <v>6972</v>
      </c>
      <c r="G77" s="439" t="s">
        <v>118</v>
      </c>
      <c r="H77" s="437" t="s">
        <v>104</v>
      </c>
      <c r="I77" s="440">
        <v>100000</v>
      </c>
      <c r="J77" s="437">
        <v>0</v>
      </c>
      <c r="K77" s="437">
        <v>25</v>
      </c>
      <c r="L77" s="441">
        <f>I77/K77</f>
        <v>4000</v>
      </c>
      <c r="M77" s="445">
        <v>46184</v>
      </c>
      <c r="N77" s="445">
        <v>46198</v>
      </c>
      <c r="O77" s="442" t="s">
        <v>6973</v>
      </c>
      <c r="P77" s="470" t="s">
        <v>106</v>
      </c>
      <c r="Q77" s="437" t="s">
        <v>1368</v>
      </c>
      <c r="R77" s="443">
        <v>46151</v>
      </c>
      <c r="S77" s="452" t="s">
        <v>107</v>
      </c>
      <c r="T77" s="452" t="s">
        <v>6974</v>
      </c>
      <c r="U77" s="438"/>
      <c r="V77" s="438"/>
      <c r="W77" s="436"/>
      <c r="X77" s="436" t="s">
        <v>6975</v>
      </c>
      <c r="Y77" s="445" t="s">
        <v>123</v>
      </c>
      <c r="Z77" s="491">
        <v>0.6131</v>
      </c>
      <c r="AA77" s="446">
        <f>I77*Z77</f>
        <v>61310</v>
      </c>
      <c r="AB77" s="437"/>
      <c r="AC77" s="437" t="s">
        <v>118</v>
      </c>
      <c r="AD77" s="437" t="s">
        <v>112</v>
      </c>
      <c r="AE77" s="437"/>
      <c r="AF77" s="437" t="s">
        <v>718</v>
      </c>
      <c r="AG77" s="442">
        <v>100000</v>
      </c>
      <c r="AH77" s="442">
        <f>AG77-I77</f>
        <v>0</v>
      </c>
      <c r="AI77" s="437"/>
      <c r="AJ77" s="437"/>
      <c r="AK77" s="438"/>
      <c r="AL77" s="438"/>
      <c r="AM77" s="438">
        <f>I77</f>
        <v>100000</v>
      </c>
      <c r="AN77" s="438">
        <f>I77</f>
        <v>100000</v>
      </c>
      <c r="AO77" s="438"/>
      <c r="AP77" s="447"/>
      <c r="AQ77" s="438"/>
      <c r="AR77" s="448"/>
      <c r="AS77" s="438">
        <f>I77</f>
        <v>100000</v>
      </c>
      <c r="AT77" s="449">
        <f>I77*0.06</f>
        <v>6000</v>
      </c>
      <c r="AU77" s="449"/>
      <c r="AV77" s="438"/>
      <c r="AW77" s="438"/>
      <c r="AX77" s="438"/>
      <c r="AY77" s="438"/>
      <c r="AZ77" s="438"/>
      <c r="BA77" s="438"/>
      <c r="BB77" s="438"/>
      <c r="BC77" s="438"/>
      <c r="BD77" s="438"/>
      <c r="BE77" s="438"/>
      <c r="BF77" s="438"/>
      <c r="BG77" s="438"/>
      <c r="BH77" s="438"/>
      <c r="BI77" s="438"/>
      <c r="BJ77" s="438"/>
      <c r="BK77" s="447"/>
      <c r="BL77" s="447"/>
      <c r="BM77" s="438"/>
      <c r="BN77" s="448"/>
      <c r="BO77" s="448"/>
      <c r="BP77" s="438"/>
      <c r="BQ77" s="438">
        <f>I77/25</f>
        <v>4000</v>
      </c>
      <c r="BR77" s="447"/>
      <c r="BS77" s="438"/>
      <c r="BT77" s="438"/>
      <c r="BU77" s="438"/>
      <c r="BV77" s="438"/>
      <c r="BW77" s="438"/>
      <c r="BX77" s="438"/>
      <c r="BY77" s="438">
        <f>BJ77+BK77+BM77+BO77+BN77</f>
        <v>0</v>
      </c>
      <c r="BZ77" s="438">
        <f>BQ77</f>
        <v>4000</v>
      </c>
      <c r="CA77" s="438">
        <f>BX77</f>
        <v>0</v>
      </c>
      <c r="CB77" s="438">
        <f>BR77+BS77+BT77</f>
        <v>0</v>
      </c>
      <c r="CC77" s="448"/>
      <c r="CD77" s="448"/>
      <c r="CE77" s="448"/>
      <c r="CF77" s="438"/>
      <c r="CG77" s="438"/>
      <c r="CH77" s="286"/>
      <c r="CI77" s="286"/>
      <c r="CJ77" s="286"/>
      <c r="CK77" s="286"/>
      <c r="CL77" s="286"/>
      <c r="CM77" s="286"/>
      <c r="CN77" s="286"/>
      <c r="CO77" s="286"/>
      <c r="CP77" s="286"/>
      <c r="CQ77" s="286"/>
      <c r="CR77" s="286"/>
      <c r="CS77" s="286"/>
      <c r="CT77" s="286"/>
      <c r="CU77" s="286"/>
      <c r="CV77" s="286"/>
      <c r="CW77" s="286"/>
      <c r="CX77" s="286"/>
      <c r="CY77" s="286"/>
      <c r="CZ77" s="286"/>
      <c r="DA77" s="286"/>
      <c r="DB77" s="286"/>
    </row>
    <row r="78" s="286" customFormat="1" ht="32.05" customHeight="1" spans="1:107">
      <c r="A78" s="435">
        <v>46198</v>
      </c>
      <c r="B78" s="454" t="s">
        <v>1567</v>
      </c>
      <c r="C78" s="455" t="s">
        <v>115</v>
      </c>
      <c r="D78" s="456" t="s">
        <v>1568</v>
      </c>
      <c r="E78" s="455" t="s">
        <v>1569</v>
      </c>
      <c r="F78" s="456" t="s">
        <v>6976</v>
      </c>
      <c r="G78" s="457" t="s">
        <v>380</v>
      </c>
      <c r="H78" s="455" t="s">
        <v>381</v>
      </c>
      <c r="I78" s="492">
        <v>46921</v>
      </c>
      <c r="J78" s="455">
        <v>0</v>
      </c>
      <c r="K78" s="455">
        <v>16</v>
      </c>
      <c r="L78" s="441">
        <f>IF(K78=0,"",I78/K78)</f>
        <v>2932.5625</v>
      </c>
      <c r="M78" s="459">
        <v>46216</v>
      </c>
      <c r="N78" s="459">
        <v>46212</v>
      </c>
      <c r="O78" s="442"/>
      <c r="P78" s="442"/>
      <c r="Q78" s="437"/>
      <c r="R78" s="451" t="s">
        <v>3064</v>
      </c>
      <c r="S78" s="444" t="s">
        <v>95</v>
      </c>
      <c r="T78" s="444" t="s">
        <v>1542</v>
      </c>
      <c r="U78" s="436"/>
      <c r="V78" s="436"/>
      <c r="W78" s="436"/>
      <c r="X78" s="454" t="s">
        <v>1573</v>
      </c>
      <c r="Y78" s="489"/>
      <c r="Z78" s="453"/>
      <c r="AA78" s="493">
        <f>Z78*I78</f>
        <v>0</v>
      </c>
      <c r="AB78" s="484"/>
      <c r="AC78" s="437" t="s">
        <v>380</v>
      </c>
      <c r="AD78" s="437"/>
      <c r="AE78" s="437"/>
      <c r="AF78" s="437"/>
      <c r="AG78" s="442"/>
      <c r="AH78" s="442">
        <f>AG78-I78</f>
        <v>-46921</v>
      </c>
      <c r="AI78" s="437"/>
      <c r="AJ78" s="437"/>
      <c r="AK78" s="438">
        <f>I78</f>
        <v>46921</v>
      </c>
      <c r="AL78" s="438"/>
      <c r="AM78" s="438"/>
      <c r="AN78" s="438">
        <f>I78</f>
        <v>46921</v>
      </c>
      <c r="AO78" s="438"/>
      <c r="AP78" s="447"/>
      <c r="AQ78" s="438"/>
      <c r="AR78" s="448"/>
      <c r="AS78" s="438">
        <f>I78</f>
        <v>46921</v>
      </c>
      <c r="AT78" s="449"/>
      <c r="AU78" s="449"/>
      <c r="AV78" s="438"/>
      <c r="AW78" s="438"/>
      <c r="AX78" s="438"/>
      <c r="AY78" s="438"/>
      <c r="AZ78" s="438"/>
      <c r="BA78" s="438"/>
      <c r="BB78" s="438"/>
      <c r="BC78" s="438"/>
      <c r="BD78" s="438"/>
      <c r="BE78" s="438"/>
      <c r="BF78" s="438"/>
      <c r="BG78" s="438"/>
      <c r="BH78" s="438"/>
      <c r="BI78" s="438"/>
      <c r="BJ78" s="438"/>
      <c r="BK78" s="447"/>
      <c r="BL78" s="447"/>
      <c r="BM78" s="438"/>
      <c r="BN78" s="448">
        <f>I78/16</f>
        <v>2932.5625</v>
      </c>
      <c r="BO78" s="448"/>
      <c r="BP78" s="438"/>
      <c r="BQ78" s="438"/>
      <c r="BR78" s="447"/>
      <c r="BS78" s="438"/>
      <c r="BT78" s="438"/>
      <c r="BU78" s="438"/>
      <c r="BV78" s="438"/>
      <c r="BW78" s="438"/>
      <c r="BX78" s="438"/>
      <c r="BY78" s="438">
        <f>BJ78+BK78+BM78+BO78+BN78</f>
        <v>2932.5625</v>
      </c>
      <c r="BZ78" s="438">
        <f>BQ78</f>
        <v>0</v>
      </c>
      <c r="CA78" s="438">
        <f>BX78</f>
        <v>0</v>
      </c>
      <c r="CB78" s="438">
        <f>BR78+BS78+BT78</f>
        <v>0</v>
      </c>
      <c r="CC78" s="448"/>
      <c r="CD78" s="448"/>
      <c r="CE78" s="448"/>
      <c r="CF78" s="438"/>
      <c r="CG78" s="438"/>
    </row>
    <row r="79" s="291" customFormat="1" ht="32.05" customHeight="1" spans="1:107">
      <c r="A79" s="435">
        <v>46188</v>
      </c>
      <c r="B79" s="436" t="s">
        <v>5917</v>
      </c>
      <c r="C79" s="437" t="s">
        <v>115</v>
      </c>
      <c r="D79" s="438" t="s">
        <v>6977</v>
      </c>
      <c r="E79" s="437" t="s">
        <v>6978</v>
      </c>
      <c r="F79" s="438" t="s">
        <v>6979</v>
      </c>
      <c r="G79" s="439" t="s">
        <v>6969</v>
      </c>
      <c r="H79" s="437"/>
      <c r="I79" s="440">
        <v>4432</v>
      </c>
      <c r="J79" s="437">
        <v>0</v>
      </c>
      <c r="K79" s="437">
        <v>16</v>
      </c>
      <c r="L79" s="441">
        <f>I79/K79</f>
        <v>277</v>
      </c>
      <c r="M79" s="445">
        <v>46233</v>
      </c>
      <c r="N79" s="445">
        <v>46230</v>
      </c>
      <c r="O79" s="442" t="s">
        <v>6980</v>
      </c>
      <c r="P79" s="442"/>
      <c r="Q79" s="437" t="s">
        <v>6981</v>
      </c>
      <c r="R79" s="451" t="s">
        <v>459</v>
      </c>
      <c r="S79" s="444" t="s">
        <v>95</v>
      </c>
      <c r="T79" s="452" t="s">
        <v>2962</v>
      </c>
      <c r="U79" s="436"/>
      <c r="V79" s="436"/>
      <c r="W79" s="436"/>
      <c r="X79" s="436" t="s">
        <v>6982</v>
      </c>
      <c r="Y79" s="445" t="s">
        <v>354</v>
      </c>
      <c r="Z79" s="438">
        <v>0.6202</v>
      </c>
      <c r="AA79" s="446">
        <f>Z79*I79</f>
        <v>2748.7264</v>
      </c>
      <c r="AB79" s="437"/>
      <c r="AC79" s="437" t="s">
        <v>3630</v>
      </c>
      <c r="AD79" s="437"/>
      <c r="AE79" s="437"/>
      <c r="AF79" s="437"/>
      <c r="AG79" s="442"/>
      <c r="AH79" s="442">
        <f>AG79-I79</f>
        <v>-4432</v>
      </c>
      <c r="AI79" s="437"/>
      <c r="AJ79" s="437"/>
      <c r="AK79" s="438">
        <f>I79</f>
        <v>4432</v>
      </c>
      <c r="AL79" s="438"/>
      <c r="AM79" s="438"/>
      <c r="AN79" s="438">
        <f>I79</f>
        <v>4432</v>
      </c>
      <c r="AO79" s="438"/>
      <c r="AP79" s="447"/>
      <c r="AQ79" s="438"/>
      <c r="AR79" s="448"/>
      <c r="AS79" s="438">
        <f>I79</f>
        <v>4432</v>
      </c>
      <c r="AT79" s="449"/>
      <c r="AU79" s="449"/>
      <c r="AV79" s="438"/>
      <c r="AW79" s="438"/>
      <c r="AX79" s="438"/>
      <c r="AY79" s="438"/>
      <c r="AZ79" s="438"/>
      <c r="BA79" s="438"/>
      <c r="BB79" s="438"/>
      <c r="BC79" s="438"/>
      <c r="BD79" s="438"/>
      <c r="BE79" s="438"/>
      <c r="BF79" s="438"/>
      <c r="BG79" s="438"/>
      <c r="BH79" s="438"/>
      <c r="BI79" s="438"/>
      <c r="BJ79" s="438"/>
      <c r="BK79" s="447"/>
      <c r="BL79" s="447"/>
      <c r="BM79" s="438"/>
      <c r="BN79" s="448"/>
      <c r="BO79" s="438"/>
      <c r="BP79" s="438"/>
      <c r="BQ79" s="438"/>
      <c r="BR79" s="447"/>
      <c r="BS79" s="438"/>
      <c r="BT79" s="438"/>
      <c r="BU79" s="438"/>
      <c r="BV79" s="438"/>
      <c r="BW79" s="438"/>
      <c r="BX79" s="438"/>
      <c r="BY79" s="438"/>
      <c r="BZ79" s="438">
        <f>BJ79+BK79+BM79+BO79+BN79</f>
        <v>0</v>
      </c>
      <c r="CA79" s="438">
        <f>BQ79</f>
        <v>0</v>
      </c>
      <c r="CB79" s="438">
        <f>BY79</f>
        <v>0</v>
      </c>
      <c r="CC79" s="438">
        <f>BR79+BS79+BT79</f>
        <v>0</v>
      </c>
      <c r="CD79" s="448"/>
      <c r="CE79" s="448"/>
      <c r="CF79" s="448"/>
      <c r="CG79" s="438"/>
      <c r="CH79" s="438"/>
      <c r="CI79" s="286"/>
      <c r="CJ79" s="286"/>
      <c r="CK79" s="286"/>
      <c r="CL79" s="286"/>
      <c r="CM79" s="286"/>
      <c r="CN79" s="286"/>
      <c r="CO79" s="286"/>
      <c r="CP79" s="286"/>
      <c r="CQ79" s="286"/>
      <c r="CR79" s="286"/>
      <c r="CS79" s="286"/>
      <c r="CT79" s="286"/>
      <c r="CU79" s="286"/>
      <c r="CV79" s="286"/>
      <c r="CW79" s="286"/>
      <c r="CX79" s="286"/>
      <c r="CY79" s="286"/>
      <c r="CZ79" s="286"/>
      <c r="DA79" s="286"/>
      <c r="DB79" s="286"/>
      <c r="DC79" s="286"/>
    </row>
    <row r="80" s="286" customFormat="1" ht="32.05" customHeight="1" spans="1:107">
      <c r="A80" s="435">
        <v>46140</v>
      </c>
      <c r="B80" s="436" t="s">
        <v>386</v>
      </c>
      <c r="C80" s="437" t="s">
        <v>115</v>
      </c>
      <c r="D80" s="438" t="s">
        <v>6983</v>
      </c>
      <c r="E80" s="437" t="s">
        <v>6984</v>
      </c>
      <c r="F80" s="438" t="s">
        <v>6985</v>
      </c>
      <c r="G80" s="439" t="s">
        <v>389</v>
      </c>
      <c r="H80" s="437" t="s">
        <v>390</v>
      </c>
      <c r="I80" s="440">
        <v>1164</v>
      </c>
      <c r="J80" s="437">
        <v>0</v>
      </c>
      <c r="K80" s="437">
        <v>12</v>
      </c>
      <c r="L80" s="441">
        <f t="shared" ref="L80:L95" si="13">I80/K80</f>
        <v>97</v>
      </c>
      <c r="M80" s="445">
        <v>46184</v>
      </c>
      <c r="N80" s="434">
        <v>46202</v>
      </c>
      <c r="O80" s="442"/>
      <c r="P80" s="485" t="s">
        <v>106</v>
      </c>
      <c r="Q80" s="437"/>
      <c r="R80" s="443">
        <v>46140</v>
      </c>
      <c r="S80" s="452" t="s">
        <v>107</v>
      </c>
      <c r="T80" s="452" t="s">
        <v>1047</v>
      </c>
      <c r="U80" s="436"/>
      <c r="V80" s="436"/>
      <c r="W80" s="436"/>
      <c r="X80" s="436" t="s">
        <v>6986</v>
      </c>
      <c r="Y80" s="445" t="s">
        <v>393</v>
      </c>
      <c r="Z80" s="438">
        <v>1.374</v>
      </c>
      <c r="AA80" s="446">
        <f t="shared" ref="AA80:AA94" si="14">I80*Z80</f>
        <v>1599.336</v>
      </c>
      <c r="AB80" s="437"/>
      <c r="AC80" s="439" t="s">
        <v>389</v>
      </c>
      <c r="AD80" s="437" t="s">
        <v>112</v>
      </c>
      <c r="AE80" s="437" t="s">
        <v>113</v>
      </c>
      <c r="AF80" s="437" t="s">
        <v>718</v>
      </c>
      <c r="AG80" s="442">
        <v>1164</v>
      </c>
      <c r="AH80" s="442">
        <f t="shared" ref="AH80:AH95" si="15">AG80-I80</f>
        <v>0</v>
      </c>
      <c r="AI80" s="437"/>
      <c r="AJ80" s="437"/>
      <c r="AK80" s="438">
        <f t="shared" ref="AK80:AK89" si="16">I80*2</f>
        <v>2328</v>
      </c>
      <c r="AL80" s="438"/>
      <c r="AM80" s="438"/>
      <c r="AN80" s="438"/>
      <c r="AO80" s="438"/>
      <c r="AP80" s="447">
        <f t="shared" ref="AP80:AP89" si="17">I80*2</f>
        <v>2328</v>
      </c>
      <c r="AQ80" s="438"/>
      <c r="AR80" s="448"/>
      <c r="AS80" s="438">
        <f t="shared" ref="AS80:AS89" si="18">I80*2</f>
        <v>2328</v>
      </c>
      <c r="AT80" s="449">
        <f t="shared" ref="AT80:AT89" si="19">I80*0.06*2</f>
        <v>139.68</v>
      </c>
      <c r="AU80" s="449"/>
      <c r="AV80" s="438"/>
      <c r="AW80" s="438"/>
      <c r="AX80" s="438"/>
      <c r="AY80" s="438"/>
      <c r="AZ80" s="438"/>
      <c r="BA80" s="438"/>
      <c r="BB80" s="438"/>
      <c r="BC80" s="438"/>
      <c r="BD80" s="438"/>
      <c r="BE80" s="438"/>
      <c r="BF80" s="438"/>
      <c r="BG80" s="438"/>
      <c r="BH80" s="438"/>
      <c r="BI80" s="438"/>
      <c r="BJ80" s="438"/>
      <c r="BK80" s="447"/>
      <c r="BL80" s="447"/>
      <c r="BM80" s="438"/>
      <c r="BN80" s="448"/>
      <c r="BO80" s="448"/>
      <c r="BP80" s="438"/>
      <c r="BQ80" s="438"/>
      <c r="BR80" s="447"/>
      <c r="BS80" s="438"/>
      <c r="BT80" s="438"/>
      <c r="BU80" s="438"/>
      <c r="BV80" s="438"/>
      <c r="BW80" s="438"/>
      <c r="BX80" s="438"/>
      <c r="BY80" s="438">
        <f t="shared" ref="BY80:BY92" si="20">BJ80+BK80+BM80+BO80+BN80</f>
        <v>0</v>
      </c>
      <c r="BZ80" s="438">
        <f t="shared" ref="BZ80:BZ92" si="21">BQ80</f>
        <v>0</v>
      </c>
      <c r="CA80" s="438">
        <f t="shared" ref="CA80:CA92" si="22">BX80</f>
        <v>0</v>
      </c>
      <c r="CB80" s="438">
        <f t="shared" ref="CB80:CB92" si="23">BR80+BS80+BT80</f>
        <v>0</v>
      </c>
      <c r="CC80" s="448"/>
      <c r="CD80" s="448"/>
      <c r="CE80" s="448">
        <f t="shared" ref="CE80:CE89" si="24">I80</f>
        <v>1164</v>
      </c>
      <c r="CF80" s="438">
        <f t="shared" ref="CF80:CF89" si="25">I80</f>
        <v>1164</v>
      </c>
      <c r="CG80" s="438">
        <f t="shared" ref="CG80:CG89" si="26">I80</f>
        <v>1164</v>
      </c>
    </row>
    <row r="81" s="286" customFormat="1" ht="32.05" customHeight="1" spans="1:107">
      <c r="A81" s="435">
        <v>46140</v>
      </c>
      <c r="B81" s="436" t="s">
        <v>386</v>
      </c>
      <c r="C81" s="437" t="s">
        <v>115</v>
      </c>
      <c r="D81" s="438" t="s">
        <v>6987</v>
      </c>
      <c r="E81" s="437" t="s">
        <v>6988</v>
      </c>
      <c r="F81" s="438" t="s">
        <v>6989</v>
      </c>
      <c r="G81" s="439" t="s">
        <v>389</v>
      </c>
      <c r="H81" s="437" t="s">
        <v>390</v>
      </c>
      <c r="I81" s="440">
        <v>780</v>
      </c>
      <c r="J81" s="437">
        <v>0</v>
      </c>
      <c r="K81" s="437">
        <v>12</v>
      </c>
      <c r="L81" s="441">
        <f t="shared" si="13"/>
        <v>65</v>
      </c>
      <c r="M81" s="445">
        <v>46184</v>
      </c>
      <c r="N81" s="434">
        <v>46202</v>
      </c>
      <c r="O81" s="442"/>
      <c r="P81" s="485" t="s">
        <v>106</v>
      </c>
      <c r="Q81" s="437"/>
      <c r="R81" s="443">
        <v>46140</v>
      </c>
      <c r="S81" s="452" t="s">
        <v>107</v>
      </c>
      <c r="T81" s="452" t="s">
        <v>1047</v>
      </c>
      <c r="U81" s="436"/>
      <c r="V81" s="436"/>
      <c r="W81" s="436"/>
      <c r="X81" s="436" t="s">
        <v>3103</v>
      </c>
      <c r="Y81" s="445" t="s">
        <v>393</v>
      </c>
      <c r="Z81" s="438">
        <v>1.374</v>
      </c>
      <c r="AA81" s="446">
        <f t="shared" si="14"/>
        <v>1071.72</v>
      </c>
      <c r="AB81" s="437"/>
      <c r="AC81" s="439" t="s">
        <v>389</v>
      </c>
      <c r="AD81" s="437" t="s">
        <v>112</v>
      </c>
      <c r="AE81" s="437" t="s">
        <v>113</v>
      </c>
      <c r="AF81" s="437" t="s">
        <v>718</v>
      </c>
      <c r="AG81" s="442">
        <v>780</v>
      </c>
      <c r="AH81" s="442">
        <f t="shared" si="15"/>
        <v>0</v>
      </c>
      <c r="AI81" s="437"/>
      <c r="AJ81" s="437"/>
      <c r="AK81" s="438">
        <f t="shared" si="16"/>
        <v>1560</v>
      </c>
      <c r="AL81" s="438"/>
      <c r="AM81" s="438"/>
      <c r="AN81" s="438"/>
      <c r="AO81" s="438"/>
      <c r="AP81" s="447">
        <f t="shared" si="17"/>
        <v>1560</v>
      </c>
      <c r="AQ81" s="438"/>
      <c r="AR81" s="448"/>
      <c r="AS81" s="438">
        <f t="shared" si="18"/>
        <v>1560</v>
      </c>
      <c r="AT81" s="449">
        <f t="shared" si="19"/>
        <v>93.6</v>
      </c>
      <c r="AU81" s="449"/>
      <c r="AV81" s="438"/>
      <c r="AW81" s="438"/>
      <c r="AX81" s="438"/>
      <c r="AY81" s="438"/>
      <c r="AZ81" s="438"/>
      <c r="BA81" s="438"/>
      <c r="BB81" s="438"/>
      <c r="BC81" s="438"/>
      <c r="BD81" s="438"/>
      <c r="BE81" s="438"/>
      <c r="BF81" s="438"/>
      <c r="BG81" s="438"/>
      <c r="BH81" s="438"/>
      <c r="BI81" s="438"/>
      <c r="BJ81" s="438"/>
      <c r="BK81" s="447"/>
      <c r="BL81" s="447"/>
      <c r="BM81" s="438"/>
      <c r="BN81" s="448"/>
      <c r="BO81" s="448"/>
      <c r="BP81" s="438"/>
      <c r="BQ81" s="438"/>
      <c r="BR81" s="447"/>
      <c r="BS81" s="438"/>
      <c r="BT81" s="438"/>
      <c r="BU81" s="438"/>
      <c r="BV81" s="438"/>
      <c r="BW81" s="438"/>
      <c r="BX81" s="438"/>
      <c r="BY81" s="438">
        <f t="shared" si="20"/>
        <v>0</v>
      </c>
      <c r="BZ81" s="438">
        <f t="shared" si="21"/>
        <v>0</v>
      </c>
      <c r="CA81" s="438">
        <f t="shared" si="22"/>
        <v>0</v>
      </c>
      <c r="CB81" s="438">
        <f t="shared" si="23"/>
        <v>0</v>
      </c>
      <c r="CC81" s="448"/>
      <c r="CD81" s="448"/>
      <c r="CE81" s="448">
        <f t="shared" si="24"/>
        <v>780</v>
      </c>
      <c r="CF81" s="438">
        <f t="shared" si="25"/>
        <v>780</v>
      </c>
      <c r="CG81" s="438">
        <f t="shared" si="26"/>
        <v>780</v>
      </c>
    </row>
    <row r="82" s="286" customFormat="1" ht="32.05" customHeight="1" spans="1:107">
      <c r="A82" s="435">
        <v>46140</v>
      </c>
      <c r="B82" s="436" t="s">
        <v>386</v>
      </c>
      <c r="C82" s="437" t="s">
        <v>115</v>
      </c>
      <c r="D82" s="438" t="s">
        <v>6987</v>
      </c>
      <c r="E82" s="437" t="s">
        <v>6990</v>
      </c>
      <c r="F82" s="438" t="s">
        <v>6991</v>
      </c>
      <c r="G82" s="439" t="s">
        <v>389</v>
      </c>
      <c r="H82" s="437" t="s">
        <v>390</v>
      </c>
      <c r="I82" s="440">
        <v>1032</v>
      </c>
      <c r="J82" s="437">
        <v>0</v>
      </c>
      <c r="K82" s="437">
        <v>12</v>
      </c>
      <c r="L82" s="441">
        <f t="shared" si="13"/>
        <v>86</v>
      </c>
      <c r="M82" s="445">
        <v>46184</v>
      </c>
      <c r="N82" s="434">
        <v>46202</v>
      </c>
      <c r="O82" s="442"/>
      <c r="P82" s="485" t="s">
        <v>106</v>
      </c>
      <c r="Q82" s="437"/>
      <c r="R82" s="451">
        <v>46140</v>
      </c>
      <c r="S82" s="444" t="s">
        <v>107</v>
      </c>
      <c r="T82" s="444" t="s">
        <v>1047</v>
      </c>
      <c r="U82" s="436"/>
      <c r="V82" s="436"/>
      <c r="W82" s="436"/>
      <c r="X82" s="436" t="s">
        <v>3103</v>
      </c>
      <c r="Y82" s="445" t="s">
        <v>393</v>
      </c>
      <c r="Z82" s="438">
        <v>1.374</v>
      </c>
      <c r="AA82" s="446">
        <f t="shared" si="14"/>
        <v>1417.968</v>
      </c>
      <c r="AB82" s="437"/>
      <c r="AC82" s="439" t="s">
        <v>389</v>
      </c>
      <c r="AD82" s="437" t="s">
        <v>112</v>
      </c>
      <c r="AE82" s="437" t="s">
        <v>113</v>
      </c>
      <c r="AF82" s="437" t="s">
        <v>718</v>
      </c>
      <c r="AG82" s="442">
        <v>1032</v>
      </c>
      <c r="AH82" s="442">
        <f t="shared" si="15"/>
        <v>0</v>
      </c>
      <c r="AI82" s="437"/>
      <c r="AJ82" s="437"/>
      <c r="AK82" s="438">
        <f t="shared" si="16"/>
        <v>2064</v>
      </c>
      <c r="AL82" s="438"/>
      <c r="AM82" s="438"/>
      <c r="AN82" s="438"/>
      <c r="AO82" s="438"/>
      <c r="AP82" s="447">
        <f t="shared" si="17"/>
        <v>2064</v>
      </c>
      <c r="AQ82" s="438"/>
      <c r="AR82" s="448"/>
      <c r="AS82" s="438">
        <f t="shared" si="18"/>
        <v>2064</v>
      </c>
      <c r="AT82" s="449">
        <f t="shared" si="19"/>
        <v>123.84</v>
      </c>
      <c r="AU82" s="449"/>
      <c r="AV82" s="438"/>
      <c r="AW82" s="438"/>
      <c r="AX82" s="438"/>
      <c r="AY82" s="438"/>
      <c r="AZ82" s="438"/>
      <c r="BA82" s="438"/>
      <c r="BB82" s="438"/>
      <c r="BC82" s="438"/>
      <c r="BD82" s="438"/>
      <c r="BE82" s="438"/>
      <c r="BF82" s="438"/>
      <c r="BG82" s="438"/>
      <c r="BH82" s="438"/>
      <c r="BI82" s="438"/>
      <c r="BJ82" s="438"/>
      <c r="BK82" s="447"/>
      <c r="BL82" s="447"/>
      <c r="BM82" s="438"/>
      <c r="BN82" s="448"/>
      <c r="BO82" s="438"/>
      <c r="BP82" s="438"/>
      <c r="BQ82" s="438"/>
      <c r="BR82" s="447"/>
      <c r="BS82" s="438"/>
      <c r="BT82" s="438"/>
      <c r="BU82" s="438"/>
      <c r="BV82" s="438"/>
      <c r="BW82" s="438"/>
      <c r="BX82" s="438"/>
      <c r="BY82" s="438">
        <f t="shared" si="20"/>
        <v>0</v>
      </c>
      <c r="BZ82" s="438">
        <f t="shared" si="21"/>
        <v>0</v>
      </c>
      <c r="CA82" s="438">
        <f t="shared" si="22"/>
        <v>0</v>
      </c>
      <c r="CB82" s="438">
        <f t="shared" si="23"/>
        <v>0</v>
      </c>
      <c r="CC82" s="448"/>
      <c r="CD82" s="448"/>
      <c r="CE82" s="448">
        <f t="shared" si="24"/>
        <v>1032</v>
      </c>
      <c r="CF82" s="438">
        <f t="shared" si="25"/>
        <v>1032</v>
      </c>
      <c r="CG82" s="438">
        <f t="shared" si="26"/>
        <v>1032</v>
      </c>
    </row>
    <row r="83" s="286" customFormat="1" ht="32.05" customHeight="1" spans="1:107">
      <c r="A83" s="435">
        <v>46140</v>
      </c>
      <c r="B83" s="436" t="s">
        <v>386</v>
      </c>
      <c r="C83" s="437" t="s">
        <v>115</v>
      </c>
      <c r="D83" s="438" t="s">
        <v>6987</v>
      </c>
      <c r="E83" s="437" t="s">
        <v>6992</v>
      </c>
      <c r="F83" s="438" t="s">
        <v>6993</v>
      </c>
      <c r="G83" s="439" t="s">
        <v>389</v>
      </c>
      <c r="H83" s="437" t="s">
        <v>390</v>
      </c>
      <c r="I83" s="440">
        <v>1320</v>
      </c>
      <c r="J83" s="437">
        <v>0</v>
      </c>
      <c r="K83" s="437">
        <v>12</v>
      </c>
      <c r="L83" s="441">
        <f t="shared" si="13"/>
        <v>110</v>
      </c>
      <c r="M83" s="445">
        <v>46184</v>
      </c>
      <c r="N83" s="434">
        <v>46202</v>
      </c>
      <c r="O83" s="442"/>
      <c r="P83" s="485" t="s">
        <v>106</v>
      </c>
      <c r="Q83" s="437"/>
      <c r="R83" s="451">
        <v>46140</v>
      </c>
      <c r="S83" s="444" t="s">
        <v>107</v>
      </c>
      <c r="T83" s="444" t="s">
        <v>1047</v>
      </c>
      <c r="U83" s="436"/>
      <c r="V83" s="436"/>
      <c r="W83" s="436"/>
      <c r="X83" s="436" t="s">
        <v>3103</v>
      </c>
      <c r="Y83" s="445" t="s">
        <v>393</v>
      </c>
      <c r="Z83" s="438">
        <v>1.374</v>
      </c>
      <c r="AA83" s="446">
        <f t="shared" si="14"/>
        <v>1813.68</v>
      </c>
      <c r="AB83" s="437"/>
      <c r="AC83" s="439" t="s">
        <v>389</v>
      </c>
      <c r="AD83" s="437" t="s">
        <v>112</v>
      </c>
      <c r="AE83" s="437" t="s">
        <v>113</v>
      </c>
      <c r="AF83" s="437" t="s">
        <v>718</v>
      </c>
      <c r="AG83" s="442">
        <v>1320</v>
      </c>
      <c r="AH83" s="442">
        <f t="shared" si="15"/>
        <v>0</v>
      </c>
      <c r="AI83" s="437"/>
      <c r="AJ83" s="437"/>
      <c r="AK83" s="438">
        <f t="shared" si="16"/>
        <v>2640</v>
      </c>
      <c r="AL83" s="438"/>
      <c r="AM83" s="438"/>
      <c r="AN83" s="438"/>
      <c r="AO83" s="438"/>
      <c r="AP83" s="447">
        <f t="shared" si="17"/>
        <v>2640</v>
      </c>
      <c r="AQ83" s="438"/>
      <c r="AR83" s="448"/>
      <c r="AS83" s="438">
        <f t="shared" si="18"/>
        <v>2640</v>
      </c>
      <c r="AT83" s="449">
        <f t="shared" si="19"/>
        <v>158.4</v>
      </c>
      <c r="AU83" s="449"/>
      <c r="AV83" s="438"/>
      <c r="AW83" s="438"/>
      <c r="AX83" s="438"/>
      <c r="AY83" s="438"/>
      <c r="AZ83" s="438"/>
      <c r="BA83" s="438"/>
      <c r="BB83" s="438"/>
      <c r="BC83" s="438"/>
      <c r="BD83" s="438"/>
      <c r="BE83" s="438"/>
      <c r="BF83" s="438"/>
      <c r="BG83" s="438"/>
      <c r="BH83" s="438"/>
      <c r="BI83" s="438"/>
      <c r="BJ83" s="438"/>
      <c r="BK83" s="447"/>
      <c r="BL83" s="447"/>
      <c r="BM83" s="438"/>
      <c r="BN83" s="448"/>
      <c r="BO83" s="448"/>
      <c r="BP83" s="438"/>
      <c r="BQ83" s="438"/>
      <c r="BR83" s="447"/>
      <c r="BS83" s="438"/>
      <c r="BT83" s="438"/>
      <c r="BU83" s="438"/>
      <c r="BV83" s="438"/>
      <c r="BW83" s="438"/>
      <c r="BX83" s="438"/>
      <c r="BY83" s="438">
        <f t="shared" si="20"/>
        <v>0</v>
      </c>
      <c r="BZ83" s="438">
        <f t="shared" si="21"/>
        <v>0</v>
      </c>
      <c r="CA83" s="438">
        <f t="shared" si="22"/>
        <v>0</v>
      </c>
      <c r="CB83" s="438">
        <f t="shared" si="23"/>
        <v>0</v>
      </c>
      <c r="CC83" s="448"/>
      <c r="CD83" s="448"/>
      <c r="CE83" s="448">
        <f t="shared" si="24"/>
        <v>1320</v>
      </c>
      <c r="CF83" s="438">
        <f t="shared" si="25"/>
        <v>1320</v>
      </c>
      <c r="CG83" s="438">
        <f t="shared" si="26"/>
        <v>1320</v>
      </c>
    </row>
    <row r="84" s="286" customFormat="1" ht="32.05" customHeight="1" spans="1:107">
      <c r="A84" s="435">
        <v>46140</v>
      </c>
      <c r="B84" s="436" t="s">
        <v>386</v>
      </c>
      <c r="C84" s="437" t="s">
        <v>115</v>
      </c>
      <c r="D84" s="438" t="s">
        <v>6994</v>
      </c>
      <c r="E84" s="437" t="s">
        <v>6995</v>
      </c>
      <c r="F84" s="438" t="s">
        <v>6996</v>
      </c>
      <c r="G84" s="439" t="s">
        <v>389</v>
      </c>
      <c r="H84" s="437" t="s">
        <v>390</v>
      </c>
      <c r="I84" s="440">
        <v>4272</v>
      </c>
      <c r="J84" s="437">
        <v>0</v>
      </c>
      <c r="K84" s="437">
        <v>12</v>
      </c>
      <c r="L84" s="441">
        <f t="shared" si="13"/>
        <v>356</v>
      </c>
      <c r="M84" s="445">
        <v>46184</v>
      </c>
      <c r="N84" s="434">
        <v>46202</v>
      </c>
      <c r="O84" s="442"/>
      <c r="P84" s="485" t="s">
        <v>106</v>
      </c>
      <c r="Q84" s="437"/>
      <c r="R84" s="451">
        <v>46140</v>
      </c>
      <c r="S84" s="444" t="s">
        <v>107</v>
      </c>
      <c r="T84" s="444" t="s">
        <v>1047</v>
      </c>
      <c r="U84" s="436"/>
      <c r="V84" s="436"/>
      <c r="W84" s="436"/>
      <c r="X84" s="436" t="s">
        <v>6997</v>
      </c>
      <c r="Y84" s="445" t="s">
        <v>393</v>
      </c>
      <c r="Z84" s="438">
        <v>1.374</v>
      </c>
      <c r="AA84" s="446">
        <f t="shared" si="14"/>
        <v>5869.728</v>
      </c>
      <c r="AB84" s="437"/>
      <c r="AC84" s="439" t="s">
        <v>389</v>
      </c>
      <c r="AD84" s="437" t="s">
        <v>112</v>
      </c>
      <c r="AE84" s="437" t="s">
        <v>113</v>
      </c>
      <c r="AF84" s="437" t="s">
        <v>718</v>
      </c>
      <c r="AG84" s="442">
        <v>4772</v>
      </c>
      <c r="AH84" s="442">
        <f t="shared" si="15"/>
        <v>500</v>
      </c>
      <c r="AI84" s="437"/>
      <c r="AJ84" s="437"/>
      <c r="AK84" s="438">
        <f t="shared" si="16"/>
        <v>8544</v>
      </c>
      <c r="AL84" s="438"/>
      <c r="AM84" s="438"/>
      <c r="AN84" s="438"/>
      <c r="AO84" s="438"/>
      <c r="AP84" s="447">
        <f t="shared" si="17"/>
        <v>8544</v>
      </c>
      <c r="AQ84" s="438"/>
      <c r="AR84" s="448"/>
      <c r="AS84" s="438">
        <f t="shared" si="18"/>
        <v>8544</v>
      </c>
      <c r="AT84" s="449">
        <f t="shared" si="19"/>
        <v>512.64</v>
      </c>
      <c r="AU84" s="449"/>
      <c r="AV84" s="438"/>
      <c r="AW84" s="438"/>
      <c r="AX84" s="438"/>
      <c r="AY84" s="438"/>
      <c r="AZ84" s="438"/>
      <c r="BA84" s="438"/>
      <c r="BB84" s="438"/>
      <c r="BC84" s="438"/>
      <c r="BD84" s="438"/>
      <c r="BE84" s="438"/>
      <c r="BF84" s="438"/>
      <c r="BG84" s="438"/>
      <c r="BH84" s="438"/>
      <c r="BI84" s="438"/>
      <c r="BJ84" s="438"/>
      <c r="BK84" s="447"/>
      <c r="BL84" s="447"/>
      <c r="BM84" s="438"/>
      <c r="BN84" s="448"/>
      <c r="BO84" s="438"/>
      <c r="BP84" s="438"/>
      <c r="BQ84" s="438"/>
      <c r="BR84" s="447"/>
      <c r="BS84" s="438"/>
      <c r="BT84" s="438"/>
      <c r="BU84" s="438"/>
      <c r="BV84" s="438"/>
      <c r="BW84" s="438"/>
      <c r="BX84" s="438"/>
      <c r="BY84" s="438">
        <f t="shared" si="20"/>
        <v>0</v>
      </c>
      <c r="BZ84" s="438">
        <f t="shared" si="21"/>
        <v>0</v>
      </c>
      <c r="CA84" s="438">
        <f t="shared" si="22"/>
        <v>0</v>
      </c>
      <c r="CB84" s="438">
        <f t="shared" si="23"/>
        <v>0</v>
      </c>
      <c r="CC84" s="448"/>
      <c r="CD84" s="448"/>
      <c r="CE84" s="448">
        <f t="shared" si="24"/>
        <v>4272</v>
      </c>
      <c r="CF84" s="438">
        <f t="shared" si="25"/>
        <v>4272</v>
      </c>
      <c r="CG84" s="438">
        <f t="shared" si="26"/>
        <v>4272</v>
      </c>
    </row>
    <row r="85" s="286" customFormat="1" ht="32.05" customHeight="1" spans="1:107">
      <c r="A85" s="435">
        <v>46140</v>
      </c>
      <c r="B85" s="436" t="s">
        <v>386</v>
      </c>
      <c r="C85" s="437" t="s">
        <v>115</v>
      </c>
      <c r="D85" s="438" t="s">
        <v>6998</v>
      </c>
      <c r="E85" s="437" t="s">
        <v>6999</v>
      </c>
      <c r="F85" s="438" t="s">
        <v>7000</v>
      </c>
      <c r="G85" s="439" t="s">
        <v>389</v>
      </c>
      <c r="H85" s="439" t="s">
        <v>389</v>
      </c>
      <c r="I85" s="440">
        <v>4980</v>
      </c>
      <c r="J85" s="437">
        <v>0</v>
      </c>
      <c r="K85" s="437">
        <v>12</v>
      </c>
      <c r="L85" s="441">
        <f t="shared" si="13"/>
        <v>415</v>
      </c>
      <c r="M85" s="445">
        <v>46184</v>
      </c>
      <c r="N85" s="434">
        <v>46202</v>
      </c>
      <c r="O85" s="442"/>
      <c r="P85" s="442" t="s">
        <v>106</v>
      </c>
      <c r="Q85" s="437"/>
      <c r="R85" s="443">
        <v>46140</v>
      </c>
      <c r="S85" s="452" t="s">
        <v>107</v>
      </c>
      <c r="T85" s="452" t="s">
        <v>1047</v>
      </c>
      <c r="U85" s="436"/>
      <c r="V85" s="436"/>
      <c r="W85" s="436"/>
      <c r="X85" s="436" t="s">
        <v>7001</v>
      </c>
      <c r="Y85" s="445" t="s">
        <v>393</v>
      </c>
      <c r="Z85" s="438">
        <v>1.374</v>
      </c>
      <c r="AA85" s="446">
        <f t="shared" si="14"/>
        <v>6842.52</v>
      </c>
      <c r="AB85" s="437"/>
      <c r="AC85" s="439" t="s">
        <v>389</v>
      </c>
      <c r="AD85" s="437" t="s">
        <v>112</v>
      </c>
      <c r="AE85" s="437" t="s">
        <v>113</v>
      </c>
      <c r="AF85" s="437" t="s">
        <v>718</v>
      </c>
      <c r="AG85" s="442">
        <f>3024+1956</f>
        <v>4980</v>
      </c>
      <c r="AH85" s="442">
        <f t="shared" si="15"/>
        <v>0</v>
      </c>
      <c r="AI85" s="437"/>
      <c r="AJ85" s="437"/>
      <c r="AK85" s="438">
        <f t="shared" si="16"/>
        <v>9960</v>
      </c>
      <c r="AL85" s="438"/>
      <c r="AM85" s="438"/>
      <c r="AN85" s="438"/>
      <c r="AO85" s="438"/>
      <c r="AP85" s="447">
        <f t="shared" si="17"/>
        <v>9960</v>
      </c>
      <c r="AQ85" s="438"/>
      <c r="AR85" s="448"/>
      <c r="AS85" s="438">
        <f t="shared" si="18"/>
        <v>9960</v>
      </c>
      <c r="AT85" s="449">
        <f t="shared" si="19"/>
        <v>597.6</v>
      </c>
      <c r="AU85" s="449"/>
      <c r="AV85" s="438"/>
      <c r="AW85" s="438"/>
      <c r="AX85" s="438"/>
      <c r="AY85" s="438"/>
      <c r="AZ85" s="438"/>
      <c r="BA85" s="438"/>
      <c r="BB85" s="438"/>
      <c r="BC85" s="438"/>
      <c r="BD85" s="438"/>
      <c r="BE85" s="438"/>
      <c r="BF85" s="438"/>
      <c r="BG85" s="438"/>
      <c r="BH85" s="438"/>
      <c r="BI85" s="438"/>
      <c r="BJ85" s="438"/>
      <c r="BK85" s="447"/>
      <c r="BL85" s="447"/>
      <c r="BM85" s="438"/>
      <c r="BN85" s="448"/>
      <c r="BO85" s="448"/>
      <c r="BP85" s="438"/>
      <c r="BQ85" s="438"/>
      <c r="BR85" s="447"/>
      <c r="BS85" s="438"/>
      <c r="BT85" s="438"/>
      <c r="BU85" s="438"/>
      <c r="BV85" s="438"/>
      <c r="BW85" s="438"/>
      <c r="BX85" s="438"/>
      <c r="BY85" s="438">
        <f t="shared" si="20"/>
        <v>0</v>
      </c>
      <c r="BZ85" s="438">
        <f t="shared" si="21"/>
        <v>0</v>
      </c>
      <c r="CA85" s="438">
        <f t="shared" si="22"/>
        <v>0</v>
      </c>
      <c r="CB85" s="438">
        <f t="shared" si="23"/>
        <v>0</v>
      </c>
      <c r="CC85" s="448"/>
      <c r="CD85" s="448"/>
      <c r="CE85" s="448">
        <f t="shared" si="24"/>
        <v>4980</v>
      </c>
      <c r="CF85" s="438">
        <f t="shared" si="25"/>
        <v>4980</v>
      </c>
      <c r="CG85" s="438">
        <f t="shared" si="26"/>
        <v>4980</v>
      </c>
    </row>
    <row r="86" s="286" customFormat="1" ht="32.05" customHeight="1" spans="1:107">
      <c r="A86" s="435">
        <v>46140</v>
      </c>
      <c r="B86" s="436" t="s">
        <v>386</v>
      </c>
      <c r="C86" s="437" t="s">
        <v>115</v>
      </c>
      <c r="D86" s="438" t="s">
        <v>6998</v>
      </c>
      <c r="E86" s="437" t="s">
        <v>7002</v>
      </c>
      <c r="F86" s="438" t="s">
        <v>7003</v>
      </c>
      <c r="G86" s="439" t="s">
        <v>389</v>
      </c>
      <c r="H86" s="437" t="s">
        <v>390</v>
      </c>
      <c r="I86" s="440">
        <v>12</v>
      </c>
      <c r="J86" s="437">
        <v>0</v>
      </c>
      <c r="K86" s="437">
        <v>12</v>
      </c>
      <c r="L86" s="441">
        <f t="shared" si="13"/>
        <v>1</v>
      </c>
      <c r="M86" s="445">
        <v>46184</v>
      </c>
      <c r="N86" s="434">
        <v>46202</v>
      </c>
      <c r="O86" s="442"/>
      <c r="P86" s="467" t="s">
        <v>106</v>
      </c>
      <c r="Q86" s="437"/>
      <c r="R86" s="451">
        <v>46140</v>
      </c>
      <c r="S86" s="444" t="s">
        <v>107</v>
      </c>
      <c r="T86" s="444" t="s">
        <v>1047</v>
      </c>
      <c r="U86" s="436"/>
      <c r="V86" s="436"/>
      <c r="W86" s="436"/>
      <c r="X86" s="436" t="s">
        <v>6997</v>
      </c>
      <c r="Y86" s="445" t="s">
        <v>393</v>
      </c>
      <c r="Z86" s="438">
        <v>1.3742</v>
      </c>
      <c r="AA86" s="446">
        <f t="shared" si="14"/>
        <v>16.4904</v>
      </c>
      <c r="AB86" s="437"/>
      <c r="AC86" s="439" t="s">
        <v>389</v>
      </c>
      <c r="AD86" s="437" t="s">
        <v>112</v>
      </c>
      <c r="AE86" s="437" t="s">
        <v>113</v>
      </c>
      <c r="AF86" s="437" t="s">
        <v>718</v>
      </c>
      <c r="AG86" s="442">
        <v>12</v>
      </c>
      <c r="AH86" s="442">
        <f t="shared" si="15"/>
        <v>0</v>
      </c>
      <c r="AI86" s="437"/>
      <c r="AJ86" s="437"/>
      <c r="AK86" s="438">
        <f t="shared" si="16"/>
        <v>24</v>
      </c>
      <c r="AL86" s="438"/>
      <c r="AM86" s="438"/>
      <c r="AN86" s="438"/>
      <c r="AO86" s="438"/>
      <c r="AP86" s="447">
        <f t="shared" si="17"/>
        <v>24</v>
      </c>
      <c r="AQ86" s="438"/>
      <c r="AR86" s="448"/>
      <c r="AS86" s="438">
        <f t="shared" si="18"/>
        <v>24</v>
      </c>
      <c r="AT86" s="449">
        <f t="shared" si="19"/>
        <v>1.44</v>
      </c>
      <c r="AU86" s="449"/>
      <c r="AV86" s="438"/>
      <c r="AW86" s="438"/>
      <c r="AX86" s="438"/>
      <c r="AY86" s="438"/>
      <c r="AZ86" s="438"/>
      <c r="BA86" s="438"/>
      <c r="BB86" s="438"/>
      <c r="BC86" s="438"/>
      <c r="BD86" s="438"/>
      <c r="BE86" s="438"/>
      <c r="BF86" s="438"/>
      <c r="BG86" s="438"/>
      <c r="BH86" s="438"/>
      <c r="BI86" s="438"/>
      <c r="BJ86" s="438"/>
      <c r="BK86" s="447"/>
      <c r="BL86" s="447"/>
      <c r="BM86" s="438"/>
      <c r="BN86" s="448"/>
      <c r="BO86" s="438"/>
      <c r="BP86" s="438"/>
      <c r="BQ86" s="438"/>
      <c r="BR86" s="447"/>
      <c r="BS86" s="438"/>
      <c r="BT86" s="438"/>
      <c r="BU86" s="438"/>
      <c r="BV86" s="438"/>
      <c r="BW86" s="438"/>
      <c r="BX86" s="438"/>
      <c r="BY86" s="438">
        <f t="shared" si="20"/>
        <v>0</v>
      </c>
      <c r="BZ86" s="438">
        <f t="shared" si="21"/>
        <v>0</v>
      </c>
      <c r="CA86" s="438">
        <f t="shared" si="22"/>
        <v>0</v>
      </c>
      <c r="CB86" s="438">
        <f t="shared" si="23"/>
        <v>0</v>
      </c>
      <c r="CC86" s="448"/>
      <c r="CD86" s="448"/>
      <c r="CE86" s="448">
        <f t="shared" si="24"/>
        <v>12</v>
      </c>
      <c r="CF86" s="438">
        <f t="shared" si="25"/>
        <v>12</v>
      </c>
      <c r="CG86" s="438">
        <f t="shared" si="26"/>
        <v>12</v>
      </c>
    </row>
    <row r="87" s="286" customFormat="1" ht="32.05" customHeight="1" spans="1:107">
      <c r="A87" s="435">
        <v>46140</v>
      </c>
      <c r="B87" s="436" t="s">
        <v>386</v>
      </c>
      <c r="C87" s="437" t="s">
        <v>115</v>
      </c>
      <c r="D87" s="438" t="s">
        <v>7004</v>
      </c>
      <c r="E87" s="437" t="s">
        <v>7005</v>
      </c>
      <c r="F87" s="438" t="s">
        <v>7006</v>
      </c>
      <c r="G87" s="439" t="s">
        <v>389</v>
      </c>
      <c r="H87" s="437" t="s">
        <v>390</v>
      </c>
      <c r="I87" s="440">
        <v>2244</v>
      </c>
      <c r="J87" s="437">
        <v>0</v>
      </c>
      <c r="K87" s="437">
        <v>12</v>
      </c>
      <c r="L87" s="441">
        <f t="shared" si="13"/>
        <v>187</v>
      </c>
      <c r="M87" s="445">
        <v>46184</v>
      </c>
      <c r="N87" s="434">
        <v>46202</v>
      </c>
      <c r="O87" s="442"/>
      <c r="P87" s="467" t="s">
        <v>106</v>
      </c>
      <c r="Q87" s="437"/>
      <c r="R87" s="451">
        <v>46140</v>
      </c>
      <c r="S87" s="444" t="s">
        <v>107</v>
      </c>
      <c r="T87" s="444" t="s">
        <v>1047</v>
      </c>
      <c r="U87" s="436"/>
      <c r="V87" s="436"/>
      <c r="W87" s="436"/>
      <c r="X87" s="436" t="s">
        <v>3103</v>
      </c>
      <c r="Y87" s="445" t="s">
        <v>393</v>
      </c>
      <c r="Z87" s="438">
        <v>1.374</v>
      </c>
      <c r="AA87" s="446">
        <f t="shared" si="14"/>
        <v>3083.256</v>
      </c>
      <c r="AB87" s="437"/>
      <c r="AC87" s="439" t="s">
        <v>389</v>
      </c>
      <c r="AD87" s="437" t="s">
        <v>112</v>
      </c>
      <c r="AE87" s="437" t="s">
        <v>113</v>
      </c>
      <c r="AF87" s="437" t="s">
        <v>718</v>
      </c>
      <c r="AG87" s="442">
        <v>2244</v>
      </c>
      <c r="AH87" s="442">
        <f t="shared" si="15"/>
        <v>0</v>
      </c>
      <c r="AI87" s="437"/>
      <c r="AJ87" s="437"/>
      <c r="AK87" s="438">
        <f t="shared" si="16"/>
        <v>4488</v>
      </c>
      <c r="AL87" s="438"/>
      <c r="AM87" s="438"/>
      <c r="AN87" s="438"/>
      <c r="AO87" s="438"/>
      <c r="AP87" s="447">
        <f t="shared" si="17"/>
        <v>4488</v>
      </c>
      <c r="AQ87" s="438"/>
      <c r="AR87" s="494"/>
      <c r="AS87" s="438">
        <f t="shared" si="18"/>
        <v>4488</v>
      </c>
      <c r="AT87" s="449">
        <f t="shared" si="19"/>
        <v>269.28</v>
      </c>
      <c r="AU87" s="449"/>
      <c r="AV87" s="438"/>
      <c r="AW87" s="438"/>
      <c r="AX87" s="438"/>
      <c r="AY87" s="438"/>
      <c r="AZ87" s="438"/>
      <c r="BA87" s="438"/>
      <c r="BB87" s="438"/>
      <c r="BC87" s="438"/>
      <c r="BD87" s="438"/>
      <c r="BE87" s="438"/>
      <c r="BF87" s="438"/>
      <c r="BG87" s="438"/>
      <c r="BH87" s="438"/>
      <c r="BI87" s="438"/>
      <c r="BJ87" s="438"/>
      <c r="BK87" s="447"/>
      <c r="BL87" s="447"/>
      <c r="BM87" s="438"/>
      <c r="BN87" s="448"/>
      <c r="BO87" s="438"/>
      <c r="BP87" s="438"/>
      <c r="BQ87" s="438"/>
      <c r="BR87" s="447"/>
      <c r="BS87" s="438"/>
      <c r="BT87" s="438"/>
      <c r="BU87" s="438"/>
      <c r="BV87" s="438"/>
      <c r="BW87" s="438"/>
      <c r="BX87" s="438"/>
      <c r="BY87" s="438">
        <f t="shared" si="20"/>
        <v>0</v>
      </c>
      <c r="BZ87" s="438">
        <f t="shared" si="21"/>
        <v>0</v>
      </c>
      <c r="CA87" s="438">
        <f t="shared" si="22"/>
        <v>0</v>
      </c>
      <c r="CB87" s="438">
        <f t="shared" si="23"/>
        <v>0</v>
      </c>
      <c r="CC87" s="448"/>
      <c r="CD87" s="448"/>
      <c r="CE87" s="448">
        <f t="shared" si="24"/>
        <v>2244</v>
      </c>
      <c r="CF87" s="438">
        <f t="shared" si="25"/>
        <v>2244</v>
      </c>
      <c r="CG87" s="438">
        <f t="shared" si="26"/>
        <v>2244</v>
      </c>
    </row>
    <row r="88" s="286" customFormat="1" ht="32.05" customHeight="1" spans="1:107">
      <c r="A88" s="435">
        <v>46140</v>
      </c>
      <c r="B88" s="436" t="s">
        <v>386</v>
      </c>
      <c r="C88" s="437" t="s">
        <v>115</v>
      </c>
      <c r="D88" s="438" t="s">
        <v>7007</v>
      </c>
      <c r="E88" s="437" t="s">
        <v>7008</v>
      </c>
      <c r="F88" s="438" t="s">
        <v>7009</v>
      </c>
      <c r="G88" s="439" t="s">
        <v>389</v>
      </c>
      <c r="H88" s="437" t="s">
        <v>390</v>
      </c>
      <c r="I88" s="440">
        <v>2532</v>
      </c>
      <c r="J88" s="437">
        <v>0</v>
      </c>
      <c r="K88" s="437">
        <v>12</v>
      </c>
      <c r="L88" s="441">
        <f t="shared" si="13"/>
        <v>211</v>
      </c>
      <c r="M88" s="445">
        <v>46184</v>
      </c>
      <c r="N88" s="434">
        <v>46202</v>
      </c>
      <c r="O88" s="442"/>
      <c r="P88" s="467" t="s">
        <v>106</v>
      </c>
      <c r="Q88" s="437"/>
      <c r="R88" s="443">
        <v>46140</v>
      </c>
      <c r="S88" s="444" t="s">
        <v>107</v>
      </c>
      <c r="T88" s="444" t="s">
        <v>1047</v>
      </c>
      <c r="U88" s="436"/>
      <c r="V88" s="436"/>
      <c r="W88" s="436"/>
      <c r="X88" s="436" t="s">
        <v>785</v>
      </c>
      <c r="Y88" s="445" t="s">
        <v>393</v>
      </c>
      <c r="Z88" s="438">
        <v>1.374</v>
      </c>
      <c r="AA88" s="446">
        <f t="shared" si="14"/>
        <v>3478.968</v>
      </c>
      <c r="AB88" s="437"/>
      <c r="AC88" s="439" t="s">
        <v>389</v>
      </c>
      <c r="AD88" s="437" t="s">
        <v>112</v>
      </c>
      <c r="AE88" s="437" t="s">
        <v>113</v>
      </c>
      <c r="AF88" s="437" t="s">
        <v>718</v>
      </c>
      <c r="AG88" s="442">
        <v>2532</v>
      </c>
      <c r="AH88" s="442">
        <f t="shared" si="15"/>
        <v>0</v>
      </c>
      <c r="AI88" s="437"/>
      <c r="AJ88" s="437"/>
      <c r="AK88" s="438">
        <f t="shared" si="16"/>
        <v>5064</v>
      </c>
      <c r="AL88" s="438"/>
      <c r="AM88" s="438"/>
      <c r="AN88" s="438"/>
      <c r="AO88" s="438"/>
      <c r="AP88" s="447">
        <f t="shared" si="17"/>
        <v>5064</v>
      </c>
      <c r="AQ88" s="438"/>
      <c r="AR88" s="448"/>
      <c r="AS88" s="438">
        <f t="shared" si="18"/>
        <v>5064</v>
      </c>
      <c r="AT88" s="449">
        <f t="shared" si="19"/>
        <v>303.84</v>
      </c>
      <c r="AU88" s="449"/>
      <c r="AV88" s="438"/>
      <c r="AW88" s="438"/>
      <c r="AX88" s="438"/>
      <c r="AY88" s="438"/>
      <c r="AZ88" s="438"/>
      <c r="BA88" s="438"/>
      <c r="BB88" s="438"/>
      <c r="BC88" s="438"/>
      <c r="BD88" s="438"/>
      <c r="BE88" s="438"/>
      <c r="BF88" s="438"/>
      <c r="BG88" s="438"/>
      <c r="BH88" s="438"/>
      <c r="BI88" s="438"/>
      <c r="BJ88" s="438"/>
      <c r="BK88" s="447"/>
      <c r="BL88" s="447"/>
      <c r="BM88" s="438"/>
      <c r="BN88" s="448"/>
      <c r="BO88" s="448"/>
      <c r="BP88" s="438"/>
      <c r="BQ88" s="438"/>
      <c r="BR88" s="447"/>
      <c r="BS88" s="438"/>
      <c r="BT88" s="438"/>
      <c r="BU88" s="438"/>
      <c r="BV88" s="438"/>
      <c r="BW88" s="438"/>
      <c r="BX88" s="438"/>
      <c r="BY88" s="438">
        <f t="shared" si="20"/>
        <v>0</v>
      </c>
      <c r="BZ88" s="438">
        <f t="shared" si="21"/>
        <v>0</v>
      </c>
      <c r="CA88" s="438">
        <f t="shared" si="22"/>
        <v>0</v>
      </c>
      <c r="CB88" s="438">
        <f t="shared" si="23"/>
        <v>0</v>
      </c>
      <c r="CC88" s="448"/>
      <c r="CD88" s="448"/>
      <c r="CE88" s="448">
        <f t="shared" si="24"/>
        <v>2532</v>
      </c>
      <c r="CF88" s="438">
        <f t="shared" si="25"/>
        <v>2532</v>
      </c>
      <c r="CG88" s="438">
        <f t="shared" si="26"/>
        <v>2532</v>
      </c>
    </row>
    <row r="89" s="286" customFormat="1" ht="32.05" customHeight="1" spans="1:107">
      <c r="A89" s="435">
        <v>46140</v>
      </c>
      <c r="B89" s="436" t="s">
        <v>386</v>
      </c>
      <c r="C89" s="437" t="s">
        <v>115</v>
      </c>
      <c r="D89" s="438" t="s">
        <v>7007</v>
      </c>
      <c r="E89" s="437" t="s">
        <v>7010</v>
      </c>
      <c r="F89" s="438" t="s">
        <v>7011</v>
      </c>
      <c r="G89" s="439" t="s">
        <v>389</v>
      </c>
      <c r="H89" s="437" t="s">
        <v>390</v>
      </c>
      <c r="I89" s="440">
        <v>4224</v>
      </c>
      <c r="J89" s="437">
        <v>0</v>
      </c>
      <c r="K89" s="437">
        <v>12</v>
      </c>
      <c r="L89" s="441">
        <f t="shared" si="13"/>
        <v>352</v>
      </c>
      <c r="M89" s="445">
        <v>46184</v>
      </c>
      <c r="N89" s="434">
        <v>46202</v>
      </c>
      <c r="O89" s="442"/>
      <c r="P89" s="467" t="s">
        <v>106</v>
      </c>
      <c r="Q89" s="437"/>
      <c r="R89" s="443">
        <v>46140</v>
      </c>
      <c r="S89" s="444" t="s">
        <v>107</v>
      </c>
      <c r="T89" s="444" t="s">
        <v>1047</v>
      </c>
      <c r="U89" s="436"/>
      <c r="V89" s="436"/>
      <c r="W89" s="436"/>
      <c r="X89" s="436" t="s">
        <v>785</v>
      </c>
      <c r="Y89" s="445" t="s">
        <v>393</v>
      </c>
      <c r="Z89" s="438">
        <v>1.374</v>
      </c>
      <c r="AA89" s="446">
        <f t="shared" si="14"/>
        <v>5803.776</v>
      </c>
      <c r="AB89" s="437"/>
      <c r="AC89" s="439" t="s">
        <v>389</v>
      </c>
      <c r="AD89" s="437" t="s">
        <v>112</v>
      </c>
      <c r="AE89" s="437" t="s">
        <v>113</v>
      </c>
      <c r="AF89" s="437" t="s">
        <v>718</v>
      </c>
      <c r="AG89" s="442">
        <v>4224</v>
      </c>
      <c r="AH89" s="442">
        <f t="shared" si="15"/>
        <v>0</v>
      </c>
      <c r="AI89" s="437"/>
      <c r="AJ89" s="437"/>
      <c r="AK89" s="438">
        <f t="shared" si="16"/>
        <v>8448</v>
      </c>
      <c r="AL89" s="438"/>
      <c r="AM89" s="438"/>
      <c r="AN89" s="438"/>
      <c r="AO89" s="438"/>
      <c r="AP89" s="447">
        <f t="shared" si="17"/>
        <v>8448</v>
      </c>
      <c r="AQ89" s="438"/>
      <c r="AR89" s="448"/>
      <c r="AS89" s="438">
        <f t="shared" si="18"/>
        <v>8448</v>
      </c>
      <c r="AT89" s="449">
        <f t="shared" si="19"/>
        <v>506.88</v>
      </c>
      <c r="AU89" s="449"/>
      <c r="AV89" s="438"/>
      <c r="AW89" s="438"/>
      <c r="AX89" s="438"/>
      <c r="AY89" s="438"/>
      <c r="AZ89" s="438"/>
      <c r="BA89" s="438"/>
      <c r="BB89" s="438"/>
      <c r="BC89" s="438"/>
      <c r="BD89" s="438"/>
      <c r="BE89" s="438"/>
      <c r="BF89" s="438"/>
      <c r="BG89" s="438"/>
      <c r="BH89" s="438"/>
      <c r="BI89" s="438"/>
      <c r="BJ89" s="438"/>
      <c r="BK89" s="447"/>
      <c r="BL89" s="447"/>
      <c r="BM89" s="438"/>
      <c r="BN89" s="448"/>
      <c r="BO89" s="448"/>
      <c r="BP89" s="438"/>
      <c r="BQ89" s="438"/>
      <c r="BR89" s="447"/>
      <c r="BS89" s="438"/>
      <c r="BT89" s="438"/>
      <c r="BU89" s="438"/>
      <c r="BV89" s="438"/>
      <c r="BW89" s="438"/>
      <c r="BX89" s="438"/>
      <c r="BY89" s="438">
        <f t="shared" si="20"/>
        <v>0</v>
      </c>
      <c r="BZ89" s="438">
        <f t="shared" si="21"/>
        <v>0</v>
      </c>
      <c r="CA89" s="438">
        <f t="shared" si="22"/>
        <v>0</v>
      </c>
      <c r="CB89" s="438">
        <f t="shared" si="23"/>
        <v>0</v>
      </c>
      <c r="CC89" s="448"/>
      <c r="CD89" s="448"/>
      <c r="CE89" s="448">
        <f t="shared" si="24"/>
        <v>4224</v>
      </c>
      <c r="CF89" s="438">
        <f t="shared" si="25"/>
        <v>4224</v>
      </c>
      <c r="CG89" s="438">
        <f t="shared" si="26"/>
        <v>4224</v>
      </c>
    </row>
    <row r="90" s="292" customFormat="1" ht="31" customHeight="1" spans="1:107">
      <c r="A90" s="435">
        <v>46121</v>
      </c>
      <c r="B90" s="436" t="s">
        <v>114</v>
      </c>
      <c r="C90" s="437" t="s">
        <v>115</v>
      </c>
      <c r="D90" s="438" t="s">
        <v>7012</v>
      </c>
      <c r="E90" s="437" t="s">
        <v>7013</v>
      </c>
      <c r="F90" s="438" t="s">
        <v>7014</v>
      </c>
      <c r="G90" s="439" t="s">
        <v>118</v>
      </c>
      <c r="H90" s="437" t="s">
        <v>104</v>
      </c>
      <c r="I90" s="440">
        <v>23800</v>
      </c>
      <c r="J90" s="437">
        <v>0</v>
      </c>
      <c r="K90" s="437">
        <v>25</v>
      </c>
      <c r="L90" s="441">
        <f t="shared" si="13"/>
        <v>952</v>
      </c>
      <c r="M90" s="445">
        <v>46177</v>
      </c>
      <c r="N90" s="434">
        <v>46204</v>
      </c>
      <c r="O90" s="442"/>
      <c r="P90" s="485" t="s">
        <v>106</v>
      </c>
      <c r="Q90" s="437"/>
      <c r="R90" s="451">
        <v>46148</v>
      </c>
      <c r="S90" s="444" t="s">
        <v>107</v>
      </c>
      <c r="T90" s="444" t="s">
        <v>7015</v>
      </c>
      <c r="U90" s="436"/>
      <c r="V90" s="436"/>
      <c r="W90" s="436"/>
      <c r="X90" s="436" t="s">
        <v>7016</v>
      </c>
      <c r="Y90" s="495" t="s">
        <v>123</v>
      </c>
      <c r="Z90" s="496">
        <v>0.6242</v>
      </c>
      <c r="AA90" s="497">
        <f t="shared" si="14"/>
        <v>14855.96</v>
      </c>
      <c r="AB90" s="498"/>
      <c r="AC90" s="499" t="s">
        <v>118</v>
      </c>
      <c r="AD90" s="498" t="s">
        <v>112</v>
      </c>
      <c r="AE90" s="498"/>
      <c r="AF90" s="437" t="s">
        <v>943</v>
      </c>
      <c r="AG90" s="500">
        <v>23800</v>
      </c>
      <c r="AH90" s="500">
        <f t="shared" si="15"/>
        <v>0</v>
      </c>
      <c r="AI90" s="498"/>
      <c r="AJ90" s="498"/>
      <c r="AK90" s="496"/>
      <c r="AL90" s="496"/>
      <c r="AM90" s="496">
        <f>I90</f>
        <v>23800</v>
      </c>
      <c r="AN90" s="438">
        <f>I90</f>
        <v>23800</v>
      </c>
      <c r="AO90" s="438"/>
      <c r="AP90" s="447"/>
      <c r="AQ90" s="438"/>
      <c r="AR90" s="448"/>
      <c r="AS90" s="438">
        <f t="shared" ref="AS90:AS95" si="27">I90</f>
        <v>23800</v>
      </c>
      <c r="AT90" s="449">
        <f t="shared" ref="AT90:AT95" si="28">I90*0.06</f>
        <v>1428</v>
      </c>
      <c r="AU90" s="449"/>
      <c r="AV90" s="438"/>
      <c r="AW90" s="438"/>
      <c r="AX90" s="438"/>
      <c r="AY90" s="438"/>
      <c r="AZ90" s="438"/>
      <c r="BA90" s="438"/>
      <c r="BB90" s="438"/>
      <c r="BC90" s="438"/>
      <c r="BD90" s="438"/>
      <c r="BE90" s="438"/>
      <c r="BF90" s="438"/>
      <c r="BG90" s="438"/>
      <c r="BH90" s="438"/>
      <c r="BI90" s="438"/>
      <c r="BJ90" s="438"/>
      <c r="BK90" s="447"/>
      <c r="BL90" s="447"/>
      <c r="BM90" s="438"/>
      <c r="BN90" s="448"/>
      <c r="BO90" s="438"/>
      <c r="BP90" s="438"/>
      <c r="BQ90" s="438">
        <f>I90/25</f>
        <v>952</v>
      </c>
      <c r="BR90" s="447"/>
      <c r="BS90" s="438"/>
      <c r="BT90" s="438"/>
      <c r="BU90" s="438"/>
      <c r="BV90" s="438"/>
      <c r="BW90" s="438"/>
      <c r="BX90" s="438"/>
      <c r="BY90" s="438">
        <f t="shared" si="20"/>
        <v>0</v>
      </c>
      <c r="BZ90" s="438">
        <f t="shared" si="21"/>
        <v>952</v>
      </c>
      <c r="CA90" s="438">
        <f t="shared" si="22"/>
        <v>0</v>
      </c>
      <c r="CB90" s="438">
        <f t="shared" si="23"/>
        <v>0</v>
      </c>
      <c r="CC90" s="448"/>
      <c r="CD90" s="448"/>
      <c r="CE90" s="448"/>
      <c r="CF90" s="438"/>
      <c r="CG90" s="438"/>
      <c r="CH90" s="286"/>
      <c r="CI90" s="286"/>
      <c r="CJ90" s="286"/>
      <c r="CK90" s="286"/>
      <c r="CL90" s="286"/>
      <c r="CM90" s="286"/>
      <c r="CN90" s="286"/>
      <c r="CO90" s="286"/>
      <c r="CP90" s="286"/>
      <c r="CQ90" s="286"/>
      <c r="CR90" s="286"/>
      <c r="CS90" s="286"/>
      <c r="CT90" s="286"/>
      <c r="CU90" s="286"/>
      <c r="CV90" s="286"/>
      <c r="CW90" s="286"/>
      <c r="CX90" s="286"/>
      <c r="CY90" s="286"/>
      <c r="CZ90" s="286"/>
      <c r="DA90" s="286"/>
      <c r="DB90" s="286"/>
    </row>
    <row r="91" s="292" customFormat="1" ht="31" customHeight="1" spans="1:107">
      <c r="A91" s="435">
        <v>46121</v>
      </c>
      <c r="B91" s="436" t="s">
        <v>114</v>
      </c>
      <c r="C91" s="437" t="s">
        <v>115</v>
      </c>
      <c r="D91" s="438" t="s">
        <v>4532</v>
      </c>
      <c r="E91" s="437" t="s">
        <v>4533</v>
      </c>
      <c r="F91" s="438" t="s">
        <v>7017</v>
      </c>
      <c r="G91" s="439" t="s">
        <v>118</v>
      </c>
      <c r="H91" s="437" t="s">
        <v>104</v>
      </c>
      <c r="I91" s="440">
        <v>16775</v>
      </c>
      <c r="J91" s="437">
        <v>0</v>
      </c>
      <c r="K91" s="437">
        <v>25</v>
      </c>
      <c r="L91" s="441">
        <f t="shared" si="13"/>
        <v>671</v>
      </c>
      <c r="M91" s="445">
        <v>46184</v>
      </c>
      <c r="N91" s="434">
        <v>46205</v>
      </c>
      <c r="O91" s="442"/>
      <c r="P91" s="485"/>
      <c r="Q91" s="437"/>
      <c r="R91" s="443">
        <v>46151</v>
      </c>
      <c r="S91" s="452" t="s">
        <v>107</v>
      </c>
      <c r="T91" s="452" t="s">
        <v>6974</v>
      </c>
      <c r="U91" s="436"/>
      <c r="V91" s="436"/>
      <c r="W91" s="436"/>
      <c r="X91" s="436" t="s">
        <v>4536</v>
      </c>
      <c r="Y91" s="501" t="s">
        <v>123</v>
      </c>
      <c r="Z91" s="502">
        <v>0.6313</v>
      </c>
      <c r="AA91" s="503">
        <f t="shared" si="14"/>
        <v>10590.0575</v>
      </c>
      <c r="AB91" s="504"/>
      <c r="AC91" s="505" t="s">
        <v>118</v>
      </c>
      <c r="AD91" s="504" t="s">
        <v>112</v>
      </c>
      <c r="AE91" s="504"/>
      <c r="AF91" s="437" t="s">
        <v>943</v>
      </c>
      <c r="AG91" s="506">
        <v>16750</v>
      </c>
      <c r="AH91" s="506">
        <f t="shared" si="15"/>
        <v>-25</v>
      </c>
      <c r="AI91" s="504"/>
      <c r="AJ91" s="504"/>
      <c r="AK91" s="502"/>
      <c r="AL91" s="502"/>
      <c r="AM91" s="327">
        <f>I91</f>
        <v>16775</v>
      </c>
      <c r="AN91" s="438">
        <f>I91</f>
        <v>16775</v>
      </c>
      <c r="AO91" s="438"/>
      <c r="AP91" s="447"/>
      <c r="AQ91" s="438"/>
      <c r="AR91" s="448"/>
      <c r="AS91" s="438">
        <f t="shared" si="27"/>
        <v>16775</v>
      </c>
      <c r="AT91" s="449">
        <f t="shared" si="28"/>
        <v>1006.5</v>
      </c>
      <c r="AU91" s="449"/>
      <c r="AV91" s="438"/>
      <c r="AW91" s="438"/>
      <c r="AX91" s="438"/>
      <c r="AY91" s="438"/>
      <c r="AZ91" s="438"/>
      <c r="BA91" s="438"/>
      <c r="BB91" s="438"/>
      <c r="BC91" s="438"/>
      <c r="BD91" s="438"/>
      <c r="BE91" s="438"/>
      <c r="BF91" s="438"/>
      <c r="BG91" s="438"/>
      <c r="BH91" s="438"/>
      <c r="BI91" s="438"/>
      <c r="BJ91" s="438"/>
      <c r="BK91" s="447"/>
      <c r="BL91" s="447"/>
      <c r="BM91" s="438"/>
      <c r="BN91" s="448"/>
      <c r="BO91" s="448"/>
      <c r="BP91" s="438"/>
      <c r="BQ91" s="438">
        <f>I91/25</f>
        <v>671</v>
      </c>
      <c r="BR91" s="447"/>
      <c r="BS91" s="438"/>
      <c r="BT91" s="438"/>
      <c r="BU91" s="438"/>
      <c r="BV91" s="438"/>
      <c r="BW91" s="438"/>
      <c r="BX91" s="438"/>
      <c r="BY91" s="438">
        <f t="shared" si="20"/>
        <v>0</v>
      </c>
      <c r="BZ91" s="438">
        <f t="shared" si="21"/>
        <v>671</v>
      </c>
      <c r="CA91" s="438">
        <f t="shared" si="22"/>
        <v>0</v>
      </c>
      <c r="CB91" s="438">
        <f t="shared" si="23"/>
        <v>0</v>
      </c>
      <c r="CC91" s="448"/>
      <c r="CD91" s="448"/>
      <c r="CE91" s="448"/>
      <c r="CF91" s="438"/>
      <c r="CG91" s="438"/>
      <c r="CH91" s="291"/>
      <c r="CI91" s="291"/>
      <c r="CJ91" s="291"/>
      <c r="CK91" s="291"/>
      <c r="CL91" s="291"/>
      <c r="CM91" s="291"/>
      <c r="CN91" s="291"/>
      <c r="CO91" s="291"/>
      <c r="CP91" s="291"/>
      <c r="CQ91" s="291"/>
      <c r="CR91" s="291"/>
      <c r="CS91" s="291"/>
      <c r="CT91" s="291"/>
      <c r="CU91" s="291"/>
      <c r="CV91" s="291"/>
      <c r="CW91" s="291"/>
      <c r="CX91" s="291"/>
      <c r="CY91" s="291"/>
      <c r="CZ91" s="291"/>
      <c r="DA91" s="291"/>
      <c r="DB91" s="291"/>
    </row>
    <row r="92" s="292" customFormat="1" ht="31" customHeight="1" spans="1:107">
      <c r="A92" s="435">
        <v>46121</v>
      </c>
      <c r="B92" s="436" t="s">
        <v>114</v>
      </c>
      <c r="C92" s="437" t="s">
        <v>115</v>
      </c>
      <c r="D92" s="438" t="s">
        <v>4611</v>
      </c>
      <c r="E92" s="437" t="s">
        <v>4612</v>
      </c>
      <c r="F92" s="438" t="s">
        <v>7018</v>
      </c>
      <c r="G92" s="439" t="s">
        <v>118</v>
      </c>
      <c r="H92" s="437" t="s">
        <v>104</v>
      </c>
      <c r="I92" s="440">
        <v>23800</v>
      </c>
      <c r="J92" s="437">
        <v>0</v>
      </c>
      <c r="K92" s="437">
        <v>25</v>
      </c>
      <c r="L92" s="441">
        <f t="shared" si="13"/>
        <v>952</v>
      </c>
      <c r="M92" s="445">
        <v>46191</v>
      </c>
      <c r="N92" s="434">
        <v>46205</v>
      </c>
      <c r="O92" s="442"/>
      <c r="P92" s="442"/>
      <c r="Q92" s="437"/>
      <c r="R92" s="451">
        <v>46157</v>
      </c>
      <c r="S92" s="444" t="s">
        <v>107</v>
      </c>
      <c r="T92" s="444" t="s">
        <v>7019</v>
      </c>
      <c r="U92" s="436"/>
      <c r="V92" s="436"/>
      <c r="W92" s="436"/>
      <c r="X92" s="436" t="s">
        <v>4536</v>
      </c>
      <c r="Y92" s="501" t="s">
        <v>123</v>
      </c>
      <c r="Z92" s="502">
        <v>0.6242</v>
      </c>
      <c r="AA92" s="503">
        <f t="shared" si="14"/>
        <v>14855.96</v>
      </c>
      <c r="AB92" s="504"/>
      <c r="AC92" s="505" t="s">
        <v>118</v>
      </c>
      <c r="AD92" s="504" t="s">
        <v>112</v>
      </c>
      <c r="AE92" s="504"/>
      <c r="AF92" s="437" t="s">
        <v>943</v>
      </c>
      <c r="AG92" s="506">
        <v>23775</v>
      </c>
      <c r="AH92" s="506">
        <f t="shared" si="15"/>
        <v>-25</v>
      </c>
      <c r="AI92" s="504"/>
      <c r="AJ92" s="504"/>
      <c r="AK92" s="438"/>
      <c r="AL92" s="438"/>
      <c r="AM92" s="438">
        <f>I92</f>
        <v>23800</v>
      </c>
      <c r="AN92" s="438">
        <f>I92</f>
        <v>23800</v>
      </c>
      <c r="AO92" s="438"/>
      <c r="AP92" s="447"/>
      <c r="AQ92" s="438"/>
      <c r="AR92" s="448"/>
      <c r="AS92" s="438">
        <f t="shared" si="27"/>
        <v>23800</v>
      </c>
      <c r="AT92" s="449">
        <f t="shared" si="28"/>
        <v>1428</v>
      </c>
      <c r="AU92" s="449"/>
      <c r="AV92" s="438"/>
      <c r="AW92" s="438"/>
      <c r="AX92" s="438"/>
      <c r="AY92" s="438"/>
      <c r="AZ92" s="438"/>
      <c r="BA92" s="438"/>
      <c r="BB92" s="438"/>
      <c r="BC92" s="438"/>
      <c r="BD92" s="438"/>
      <c r="BE92" s="438"/>
      <c r="BF92" s="438"/>
      <c r="BG92" s="438"/>
      <c r="BH92" s="438"/>
      <c r="BI92" s="438"/>
      <c r="BJ92" s="438"/>
      <c r="BK92" s="447"/>
      <c r="BL92" s="447"/>
      <c r="BM92" s="438"/>
      <c r="BN92" s="448"/>
      <c r="BO92" s="438"/>
      <c r="BP92" s="438"/>
      <c r="BQ92" s="438">
        <f>I92/25</f>
        <v>952</v>
      </c>
      <c r="BR92" s="447"/>
      <c r="BS92" s="438"/>
      <c r="BT92" s="438"/>
      <c r="BU92" s="438"/>
      <c r="BV92" s="438"/>
      <c r="BW92" s="438"/>
      <c r="BX92" s="438"/>
      <c r="BY92" s="438">
        <f t="shared" si="20"/>
        <v>0</v>
      </c>
      <c r="BZ92" s="438">
        <f t="shared" si="21"/>
        <v>952</v>
      </c>
      <c r="CA92" s="438">
        <f t="shared" si="22"/>
        <v>0</v>
      </c>
      <c r="CB92" s="438">
        <f t="shared" si="23"/>
        <v>0</v>
      </c>
      <c r="CC92" s="448"/>
      <c r="CD92" s="448"/>
      <c r="CE92" s="448"/>
      <c r="CF92" s="438"/>
      <c r="CG92" s="438"/>
      <c r="CH92" s="291"/>
      <c r="CI92" s="291"/>
      <c r="CJ92" s="291"/>
      <c r="CK92" s="291"/>
      <c r="CL92" s="291"/>
      <c r="CM92" s="291"/>
      <c r="CN92" s="291"/>
      <c r="CO92" s="291"/>
      <c r="CP92" s="291"/>
      <c r="CQ92" s="291"/>
      <c r="CR92" s="291"/>
      <c r="CS92" s="291"/>
      <c r="CT92" s="291"/>
      <c r="CU92" s="291"/>
      <c r="CV92" s="291"/>
      <c r="CW92" s="291"/>
      <c r="CX92" s="291"/>
      <c r="CY92" s="291"/>
      <c r="CZ92" s="291"/>
      <c r="DA92" s="291"/>
      <c r="DB92" s="291"/>
    </row>
    <row r="93" s="283" customFormat="1" ht="31" customHeight="1" spans="1:107">
      <c r="A93" s="435">
        <v>46182</v>
      </c>
      <c r="B93" s="460" t="s">
        <v>114</v>
      </c>
      <c r="C93" s="461" t="s">
        <v>115</v>
      </c>
      <c r="D93" s="462" t="s">
        <v>7020</v>
      </c>
      <c r="E93" s="463" t="s">
        <v>4862</v>
      </c>
      <c r="F93" s="462" t="s">
        <v>7021</v>
      </c>
      <c r="G93" s="464" t="s">
        <v>118</v>
      </c>
      <c r="H93" s="437" t="s">
        <v>104</v>
      </c>
      <c r="I93" s="465">
        <v>16775</v>
      </c>
      <c r="J93" s="466">
        <v>0</v>
      </c>
      <c r="K93" s="466">
        <v>25</v>
      </c>
      <c r="L93" s="441">
        <f t="shared" si="13"/>
        <v>671</v>
      </c>
      <c r="M93" s="445">
        <v>46204</v>
      </c>
      <c r="N93" s="434">
        <v>46205</v>
      </c>
      <c r="O93" s="442" t="s">
        <v>4867</v>
      </c>
      <c r="P93" s="442"/>
      <c r="Q93" s="437" t="s">
        <v>7022</v>
      </c>
      <c r="R93" s="443">
        <v>46182</v>
      </c>
      <c r="S93" s="444" t="s">
        <v>107</v>
      </c>
      <c r="T93" s="444" t="s">
        <v>7023</v>
      </c>
      <c r="U93" s="436"/>
      <c r="V93" s="436"/>
      <c r="W93" s="436"/>
      <c r="X93" s="436" t="s">
        <v>7024</v>
      </c>
      <c r="Y93" s="468" t="s">
        <v>123</v>
      </c>
      <c r="Z93" s="469">
        <v>0.6478</v>
      </c>
      <c r="AA93" s="446">
        <f t="shared" si="14"/>
        <v>10866.845</v>
      </c>
      <c r="AB93" s="437"/>
      <c r="AC93" s="439" t="s">
        <v>118</v>
      </c>
      <c r="AD93" s="437" t="s">
        <v>112</v>
      </c>
      <c r="AE93" s="437"/>
      <c r="AF93" s="437" t="s">
        <v>943</v>
      </c>
      <c r="AG93" s="442"/>
      <c r="AH93" s="442">
        <f t="shared" si="15"/>
        <v>-16775</v>
      </c>
      <c r="AI93" s="437"/>
      <c r="AJ93" s="437"/>
      <c r="AK93" s="438"/>
      <c r="AL93" s="438"/>
      <c r="AM93" s="438">
        <f>I93</f>
        <v>16775</v>
      </c>
      <c r="AN93" s="438">
        <f>I93</f>
        <v>16775</v>
      </c>
      <c r="AO93" s="438"/>
      <c r="AP93" s="447"/>
      <c r="AQ93" s="438"/>
      <c r="AR93" s="448"/>
      <c r="AS93" s="438">
        <f t="shared" si="27"/>
        <v>16775</v>
      </c>
      <c r="AT93" s="449">
        <f t="shared" si="28"/>
        <v>1006.5</v>
      </c>
      <c r="AU93" s="449"/>
      <c r="AV93" s="438"/>
      <c r="AW93" s="438"/>
      <c r="AX93" s="438"/>
      <c r="AY93" s="438"/>
      <c r="AZ93" s="438"/>
      <c r="BA93" s="438"/>
      <c r="BB93" s="438"/>
      <c r="BC93" s="438"/>
      <c r="BD93" s="438"/>
      <c r="BE93" s="438"/>
      <c r="BF93" s="438"/>
      <c r="BG93" s="438"/>
      <c r="BH93" s="438"/>
      <c r="BI93" s="438"/>
      <c r="BJ93" s="438"/>
      <c r="BK93" s="447"/>
      <c r="BL93" s="447"/>
      <c r="BM93" s="438"/>
      <c r="BN93" s="448"/>
      <c r="BO93" s="448"/>
      <c r="BP93" s="438"/>
      <c r="BQ93" s="438">
        <f>I93/25</f>
        <v>671</v>
      </c>
      <c r="BR93" s="447"/>
      <c r="BS93" s="438"/>
      <c r="BT93" s="438"/>
      <c r="BU93" s="438"/>
      <c r="BV93" s="438"/>
      <c r="BW93" s="438"/>
      <c r="BX93" s="438"/>
      <c r="BY93" s="438"/>
      <c r="BZ93" s="438">
        <f>BJ93+BK93+BM93+BO93+BN93</f>
        <v>0</v>
      </c>
      <c r="CA93" s="438">
        <f>BQ93</f>
        <v>671</v>
      </c>
      <c r="CB93" s="438">
        <f>BY93</f>
        <v>0</v>
      </c>
      <c r="CC93" s="438">
        <f>BR93+BS93+BT93</f>
        <v>0</v>
      </c>
      <c r="CD93" s="448"/>
      <c r="CE93" s="448"/>
      <c r="CF93" s="448"/>
      <c r="CG93" s="438"/>
      <c r="CH93" s="438"/>
      <c r="CI93" s="286"/>
      <c r="CJ93" s="286"/>
      <c r="CK93" s="286"/>
      <c r="CL93" s="286"/>
      <c r="CM93" s="286"/>
      <c r="CN93" s="286"/>
      <c r="CO93" s="286"/>
      <c r="CP93" s="286"/>
      <c r="CQ93" s="286"/>
      <c r="CR93" s="286"/>
      <c r="CS93" s="286"/>
      <c r="CT93" s="286"/>
      <c r="CU93" s="286"/>
      <c r="CV93" s="286"/>
      <c r="CW93" s="286"/>
      <c r="CX93" s="286"/>
      <c r="CY93" s="286"/>
      <c r="CZ93" s="286"/>
      <c r="DA93" s="286"/>
      <c r="DB93" s="286"/>
      <c r="DC93" s="286"/>
    </row>
    <row r="94" s="283" customFormat="1" ht="31" customHeight="1" spans="1:107">
      <c r="A94" s="435">
        <v>46157</v>
      </c>
      <c r="B94" s="454" t="s">
        <v>438</v>
      </c>
      <c r="C94" s="455" t="s">
        <v>115</v>
      </c>
      <c r="D94" s="456" t="s">
        <v>6870</v>
      </c>
      <c r="E94" s="455" t="s">
        <v>6871</v>
      </c>
      <c r="F94" s="456" t="s">
        <v>7025</v>
      </c>
      <c r="G94" s="457" t="s">
        <v>118</v>
      </c>
      <c r="H94" s="437" t="s">
        <v>104</v>
      </c>
      <c r="I94" s="458">
        <v>23800</v>
      </c>
      <c r="J94" s="455">
        <v>0</v>
      </c>
      <c r="K94" s="455">
        <v>25</v>
      </c>
      <c r="L94" s="441">
        <f t="shared" si="13"/>
        <v>952</v>
      </c>
      <c r="M94" s="459">
        <v>46205</v>
      </c>
      <c r="N94" s="489">
        <v>46205</v>
      </c>
      <c r="O94" s="442"/>
      <c r="P94" s="442"/>
      <c r="Q94" s="437"/>
      <c r="R94" s="443">
        <v>46170</v>
      </c>
      <c r="S94" s="452" t="s">
        <v>107</v>
      </c>
      <c r="T94" s="452" t="s">
        <v>6878</v>
      </c>
      <c r="U94" s="436"/>
      <c r="V94" s="436"/>
      <c r="W94" s="436"/>
      <c r="X94" s="454" t="s">
        <v>7026</v>
      </c>
      <c r="Y94" s="459" t="s">
        <v>443</v>
      </c>
      <c r="Z94" s="438">
        <v>0.6242</v>
      </c>
      <c r="AA94" s="446">
        <f t="shared" si="14"/>
        <v>14855.96</v>
      </c>
      <c r="AB94" s="437"/>
      <c r="AC94" s="439" t="s">
        <v>118</v>
      </c>
      <c r="AD94" s="437" t="s">
        <v>112</v>
      </c>
      <c r="AE94" s="437"/>
      <c r="AF94" s="437" t="s">
        <v>943</v>
      </c>
      <c r="AG94" s="442"/>
      <c r="AH94" s="442">
        <f t="shared" si="15"/>
        <v>-23800</v>
      </c>
      <c r="AI94" s="437"/>
      <c r="AJ94" s="437"/>
      <c r="AK94" s="438"/>
      <c r="AL94" s="438"/>
      <c r="AM94" s="438">
        <f>I94</f>
        <v>23800</v>
      </c>
      <c r="AN94" s="438">
        <f>I94</f>
        <v>23800</v>
      </c>
      <c r="AO94" s="438"/>
      <c r="AP94" s="447"/>
      <c r="AQ94" s="438"/>
      <c r="AR94" s="448"/>
      <c r="AS94" s="438">
        <f t="shared" si="27"/>
        <v>23800</v>
      </c>
      <c r="AT94" s="449">
        <f t="shared" si="28"/>
        <v>1428</v>
      </c>
      <c r="AU94" s="449"/>
      <c r="AV94" s="438"/>
      <c r="AW94" s="438"/>
      <c r="AX94" s="438"/>
      <c r="AY94" s="438"/>
      <c r="AZ94" s="438"/>
      <c r="BA94" s="438"/>
      <c r="BB94" s="438"/>
      <c r="BC94" s="438"/>
      <c r="BD94" s="438"/>
      <c r="BE94" s="438"/>
      <c r="BF94" s="438"/>
      <c r="BG94" s="438"/>
      <c r="BH94" s="438"/>
      <c r="BI94" s="438"/>
      <c r="BJ94" s="438"/>
      <c r="BK94" s="447"/>
      <c r="BL94" s="447"/>
      <c r="BM94" s="438"/>
      <c r="BN94" s="448"/>
      <c r="BO94" s="448"/>
      <c r="BP94" s="438"/>
      <c r="BQ94" s="438">
        <f>I94/25</f>
        <v>952</v>
      </c>
      <c r="BR94" s="447"/>
      <c r="BS94" s="438"/>
      <c r="BT94" s="438"/>
      <c r="BU94" s="438"/>
      <c r="BV94" s="438"/>
      <c r="BW94" s="438"/>
      <c r="BX94" s="438"/>
      <c r="BY94" s="438"/>
      <c r="BZ94" s="438">
        <f>BJ94+BK94+BM94+BO94+BN94</f>
        <v>0</v>
      </c>
      <c r="CA94" s="438">
        <f>BQ94</f>
        <v>952</v>
      </c>
      <c r="CB94" s="438">
        <f>BY94</f>
        <v>0</v>
      </c>
      <c r="CC94" s="438">
        <f>BR94+BS94+BT94</f>
        <v>0</v>
      </c>
      <c r="CD94" s="448"/>
      <c r="CE94" s="448"/>
      <c r="CF94" s="448"/>
      <c r="CG94" s="438"/>
      <c r="CH94" s="438"/>
      <c r="CI94" s="286"/>
      <c r="CJ94" s="286"/>
      <c r="CK94" s="286"/>
      <c r="CL94" s="286"/>
      <c r="CM94" s="286"/>
      <c r="CN94" s="286"/>
      <c r="CO94" s="286"/>
      <c r="CP94" s="286"/>
      <c r="CQ94" s="286"/>
      <c r="CR94" s="286"/>
      <c r="CS94" s="286"/>
      <c r="CT94" s="286"/>
      <c r="CU94" s="286"/>
      <c r="CV94" s="286"/>
      <c r="CW94" s="286"/>
      <c r="CX94" s="286"/>
      <c r="CY94" s="286"/>
      <c r="CZ94" s="286"/>
      <c r="DA94" s="286"/>
      <c r="DB94" s="286"/>
      <c r="DC94" s="286"/>
    </row>
    <row r="95" s="283" customFormat="1" ht="32.05" customHeight="1" spans="1:107">
      <c r="A95" s="435">
        <v>46157</v>
      </c>
      <c r="B95" s="436" t="s">
        <v>438</v>
      </c>
      <c r="C95" s="437" t="s">
        <v>115</v>
      </c>
      <c r="D95" s="438" t="s">
        <v>7027</v>
      </c>
      <c r="E95" s="437" t="s">
        <v>7028</v>
      </c>
      <c r="F95" s="438" t="s">
        <v>7029</v>
      </c>
      <c r="G95" s="439" t="s">
        <v>118</v>
      </c>
      <c r="H95" s="437" t="s">
        <v>104</v>
      </c>
      <c r="I95" s="440">
        <v>30000</v>
      </c>
      <c r="J95" s="437">
        <v>0</v>
      </c>
      <c r="K95" s="437">
        <v>25</v>
      </c>
      <c r="L95" s="441">
        <f t="shared" si="13"/>
        <v>1200</v>
      </c>
      <c r="M95" s="445">
        <v>46206</v>
      </c>
      <c r="N95" s="434">
        <v>46206</v>
      </c>
      <c r="O95" s="442"/>
      <c r="P95" s="442"/>
      <c r="Q95" s="437" t="s">
        <v>7030</v>
      </c>
      <c r="R95" s="443">
        <v>46170</v>
      </c>
      <c r="S95" s="452" t="s">
        <v>107</v>
      </c>
      <c r="T95" s="452" t="s">
        <v>7031</v>
      </c>
      <c r="U95" s="436"/>
      <c r="V95" s="436"/>
      <c r="W95" s="436"/>
      <c r="X95" s="436" t="s">
        <v>7032</v>
      </c>
      <c r="Y95" s="445" t="s">
        <v>443</v>
      </c>
      <c r="Z95" s="438">
        <v>0.6242</v>
      </c>
      <c r="AA95" s="446">
        <f t="shared" ref="AA95:AA104" si="29">I95*Z95</f>
        <v>18726</v>
      </c>
      <c r="AB95" s="437"/>
      <c r="AC95" s="439" t="s">
        <v>118</v>
      </c>
      <c r="AD95" s="437" t="s">
        <v>112</v>
      </c>
      <c r="AE95" s="437"/>
      <c r="AF95" s="437"/>
      <c r="AG95" s="442"/>
      <c r="AH95" s="442">
        <f t="shared" si="15"/>
        <v>-30000</v>
      </c>
      <c r="AI95" s="437"/>
      <c r="AJ95" s="437"/>
      <c r="AK95" s="438"/>
      <c r="AL95" s="438"/>
      <c r="AM95" s="438">
        <f t="shared" ref="AM95:AM104" si="30">I95</f>
        <v>30000</v>
      </c>
      <c r="AN95" s="438">
        <f t="shared" ref="AN95:AN104" si="31">I95</f>
        <v>30000</v>
      </c>
      <c r="AO95" s="438"/>
      <c r="AP95" s="447"/>
      <c r="AQ95" s="438"/>
      <c r="AR95" s="448"/>
      <c r="AS95" s="438">
        <f t="shared" si="27"/>
        <v>30000</v>
      </c>
      <c r="AT95" s="449">
        <f t="shared" si="28"/>
        <v>1800</v>
      </c>
      <c r="AU95" s="449"/>
      <c r="AV95" s="438"/>
      <c r="AW95" s="438"/>
      <c r="AX95" s="438"/>
      <c r="AY95" s="438"/>
      <c r="AZ95" s="438"/>
      <c r="BA95" s="438"/>
      <c r="BB95" s="438"/>
      <c r="BC95" s="438"/>
      <c r="BD95" s="438"/>
      <c r="BE95" s="438"/>
      <c r="BF95" s="438"/>
      <c r="BG95" s="438"/>
      <c r="BH95" s="438"/>
      <c r="BI95" s="438"/>
      <c r="BJ95" s="438"/>
      <c r="BK95" s="447"/>
      <c r="BL95" s="447"/>
      <c r="BM95" s="438"/>
      <c r="BN95" s="448"/>
      <c r="BO95" s="448"/>
      <c r="BP95" s="438"/>
      <c r="BQ95" s="438">
        <f t="shared" ref="BQ95:BQ104" si="32">I95/25</f>
        <v>1200</v>
      </c>
      <c r="BR95" s="447"/>
      <c r="BS95" s="438"/>
      <c r="BT95" s="438"/>
      <c r="BU95" s="438"/>
      <c r="BV95" s="438"/>
      <c r="BW95" s="438"/>
      <c r="BX95" s="438"/>
      <c r="BY95" s="438"/>
      <c r="BZ95" s="438">
        <f>BJ95+BK95+BM95+BO95+BN95</f>
        <v>0</v>
      </c>
      <c r="CA95" s="438">
        <f>BQ95</f>
        <v>1200</v>
      </c>
      <c r="CB95" s="438">
        <f>BY95</f>
        <v>0</v>
      </c>
      <c r="CC95" s="438">
        <f>BR95+BS95+BT95</f>
        <v>0</v>
      </c>
      <c r="CD95" s="448"/>
      <c r="CE95" s="448"/>
      <c r="CF95" s="448"/>
      <c r="CG95" s="438"/>
      <c r="CH95" s="438"/>
      <c r="CI95" s="286"/>
      <c r="CJ95" s="286"/>
      <c r="CK95" s="286"/>
      <c r="CL95" s="286"/>
      <c r="CM95" s="286"/>
      <c r="CN95" s="286"/>
      <c r="CO95" s="286"/>
      <c r="CP95" s="286"/>
      <c r="CQ95" s="286"/>
      <c r="CR95" s="286"/>
      <c r="CS95" s="286"/>
      <c r="CT95" s="286"/>
      <c r="CU95" s="286"/>
      <c r="CV95" s="286"/>
      <c r="CW95" s="286"/>
      <c r="CX95" s="286"/>
      <c r="CY95" s="286"/>
      <c r="CZ95" s="286"/>
      <c r="DA95" s="286"/>
      <c r="DB95" s="286"/>
      <c r="DC95" s="286"/>
    </row>
    <row r="96" s="291" customFormat="1" ht="32.05" customHeight="1" spans="1:107">
      <c r="A96" s="435">
        <v>46157</v>
      </c>
      <c r="B96" s="454" t="s">
        <v>438</v>
      </c>
      <c r="C96" s="455" t="s">
        <v>115</v>
      </c>
      <c r="D96" s="456" t="s">
        <v>6856</v>
      </c>
      <c r="E96" s="455" t="s">
        <v>6857</v>
      </c>
      <c r="F96" s="456" t="s">
        <v>7033</v>
      </c>
      <c r="G96" s="457" t="s">
        <v>118</v>
      </c>
      <c r="H96" s="437" t="s">
        <v>104</v>
      </c>
      <c r="I96" s="458">
        <v>16775</v>
      </c>
      <c r="J96" s="455">
        <v>0</v>
      </c>
      <c r="K96" s="455">
        <v>25</v>
      </c>
      <c r="L96" s="441">
        <f t="shared" ref="L96:L104" si="33">I96/K96</f>
        <v>671</v>
      </c>
      <c r="M96" s="459">
        <v>46212</v>
      </c>
      <c r="N96" s="489">
        <v>46225</v>
      </c>
      <c r="O96" s="442"/>
      <c r="P96" s="442"/>
      <c r="Q96" s="437"/>
      <c r="R96" s="443">
        <v>46181</v>
      </c>
      <c r="S96" s="452" t="s">
        <v>107</v>
      </c>
      <c r="T96" s="452" t="s">
        <v>7034</v>
      </c>
      <c r="U96" s="436"/>
      <c r="V96" s="436"/>
      <c r="W96" s="436"/>
      <c r="X96" s="454" t="s">
        <v>7035</v>
      </c>
      <c r="Y96" s="507" t="s">
        <v>443</v>
      </c>
      <c r="Z96" s="502">
        <v>0.6313</v>
      </c>
      <c r="AA96" s="503">
        <f t="shared" si="29"/>
        <v>10590.0575</v>
      </c>
      <c r="AB96" s="504"/>
      <c r="AC96" s="505" t="s">
        <v>118</v>
      </c>
      <c r="AD96" s="504" t="s">
        <v>112</v>
      </c>
      <c r="AE96" s="504"/>
      <c r="AF96" s="504"/>
      <c r="AG96" s="506"/>
      <c r="AH96" s="506">
        <f t="shared" ref="AH96:AH104" si="34">AG96-I96</f>
        <v>-16775</v>
      </c>
      <c r="AI96" s="504"/>
      <c r="AJ96" s="504"/>
      <c r="AK96" s="502"/>
      <c r="AL96" s="502"/>
      <c r="AM96" s="502">
        <f t="shared" si="30"/>
        <v>16775</v>
      </c>
      <c r="AN96" s="438">
        <f t="shared" si="31"/>
        <v>16775</v>
      </c>
      <c r="AO96" s="438"/>
      <c r="AP96" s="447"/>
      <c r="AQ96" s="438"/>
      <c r="AR96" s="448"/>
      <c r="AS96" s="438">
        <f t="shared" ref="AS96:AS106" si="35">I96</f>
        <v>16775</v>
      </c>
      <c r="AT96" s="449">
        <f t="shared" ref="AT96:AT106" si="36">I96*0.06</f>
        <v>1006.5</v>
      </c>
      <c r="AU96" s="449"/>
      <c r="AV96" s="438"/>
      <c r="AW96" s="438"/>
      <c r="AX96" s="438"/>
      <c r="AY96" s="438"/>
      <c r="AZ96" s="438"/>
      <c r="BA96" s="438"/>
      <c r="BB96" s="438"/>
      <c r="BC96" s="438"/>
      <c r="BD96" s="438"/>
      <c r="BE96" s="438"/>
      <c r="BF96" s="438"/>
      <c r="BG96" s="438"/>
      <c r="BH96" s="438"/>
      <c r="BI96" s="438"/>
      <c r="BJ96" s="438"/>
      <c r="BK96" s="447"/>
      <c r="BL96" s="447"/>
      <c r="BM96" s="438"/>
      <c r="BN96" s="448"/>
      <c r="BO96" s="448"/>
      <c r="BP96" s="438"/>
      <c r="BQ96" s="438">
        <f t="shared" si="32"/>
        <v>671</v>
      </c>
      <c r="BR96" s="447"/>
      <c r="BS96" s="438"/>
      <c r="BT96" s="438"/>
      <c r="BU96" s="438"/>
      <c r="BV96" s="438"/>
      <c r="BW96" s="438"/>
      <c r="BX96" s="438"/>
      <c r="BY96" s="438"/>
      <c r="BZ96" s="438">
        <f t="shared" ref="BZ96:BZ104" si="37">BJ96+BK96+BM96+BO96+BN96</f>
        <v>0</v>
      </c>
      <c r="CA96" s="438">
        <f t="shared" ref="CA96:CA104" si="38">BQ96</f>
        <v>671</v>
      </c>
      <c r="CB96" s="438">
        <f t="shared" ref="CB96:CB104" si="39">BY96</f>
        <v>0</v>
      </c>
      <c r="CC96" s="438">
        <f t="shared" ref="CC96:CC104" si="40">BR96+BS96+BT96</f>
        <v>0</v>
      </c>
      <c r="CD96" s="448"/>
      <c r="CE96" s="448"/>
      <c r="CF96" s="448"/>
      <c r="CG96" s="438"/>
      <c r="CH96" s="438"/>
    </row>
    <row r="97" s="293" customFormat="1" ht="32.05" customHeight="1" spans="1:107">
      <c r="A97" s="435">
        <v>46161</v>
      </c>
      <c r="B97" s="454" t="s">
        <v>114</v>
      </c>
      <c r="C97" s="455" t="s">
        <v>115</v>
      </c>
      <c r="D97" s="456" t="s">
        <v>6853</v>
      </c>
      <c r="E97" s="455" t="s">
        <v>6854</v>
      </c>
      <c r="F97" s="456" t="s">
        <v>7036</v>
      </c>
      <c r="G97" s="457" t="s">
        <v>118</v>
      </c>
      <c r="H97" s="455" t="s">
        <v>104</v>
      </c>
      <c r="I97" s="458">
        <v>23800</v>
      </c>
      <c r="J97" s="455">
        <v>0</v>
      </c>
      <c r="K97" s="455">
        <v>25</v>
      </c>
      <c r="L97" s="441">
        <f t="shared" si="33"/>
        <v>952</v>
      </c>
      <c r="M97" s="459">
        <v>46219</v>
      </c>
      <c r="N97" s="489">
        <v>46230</v>
      </c>
      <c r="O97" s="442"/>
      <c r="P97" s="442"/>
      <c r="Q97" s="437"/>
      <c r="R97" s="443" t="s">
        <v>3064</v>
      </c>
      <c r="S97" s="452" t="s">
        <v>107</v>
      </c>
      <c r="T97" s="452" t="s">
        <v>6806</v>
      </c>
      <c r="U97" s="436"/>
      <c r="V97" s="436"/>
      <c r="W97" s="436"/>
      <c r="X97" s="454" t="s">
        <v>4536</v>
      </c>
      <c r="Y97" s="459" t="s">
        <v>123</v>
      </c>
      <c r="Z97" s="438">
        <v>0.6406</v>
      </c>
      <c r="AA97" s="446">
        <f t="shared" si="29"/>
        <v>15246.28</v>
      </c>
      <c r="AB97" s="437"/>
      <c r="AC97" s="439" t="s">
        <v>118</v>
      </c>
      <c r="AD97" s="437" t="s">
        <v>112</v>
      </c>
      <c r="AE97" s="437"/>
      <c r="AF97" s="437"/>
      <c r="AG97" s="442"/>
      <c r="AH97" s="442">
        <f t="shared" si="34"/>
        <v>-23800</v>
      </c>
      <c r="AI97" s="437"/>
      <c r="AJ97" s="437"/>
      <c r="AK97" s="438"/>
      <c r="AL97" s="438"/>
      <c r="AM97" s="438">
        <f t="shared" si="30"/>
        <v>23800</v>
      </c>
      <c r="AN97" s="438">
        <f t="shared" si="31"/>
        <v>23800</v>
      </c>
      <c r="AO97" s="438"/>
      <c r="AP97" s="447"/>
      <c r="AQ97" s="438"/>
      <c r="AR97" s="448"/>
      <c r="AS97" s="438">
        <f t="shared" si="35"/>
        <v>23800</v>
      </c>
      <c r="AT97" s="449">
        <f t="shared" si="36"/>
        <v>1428</v>
      </c>
      <c r="AU97" s="449"/>
      <c r="AV97" s="438"/>
      <c r="AW97" s="438"/>
      <c r="AX97" s="438"/>
      <c r="AY97" s="438"/>
      <c r="AZ97" s="438"/>
      <c r="BA97" s="438"/>
      <c r="BB97" s="438"/>
      <c r="BC97" s="438"/>
      <c r="BD97" s="438"/>
      <c r="BE97" s="438"/>
      <c r="BF97" s="438"/>
      <c r="BG97" s="438"/>
      <c r="BH97" s="438"/>
      <c r="BI97" s="438"/>
      <c r="BJ97" s="438"/>
      <c r="BK97" s="447"/>
      <c r="BL97" s="447"/>
      <c r="BM97" s="438"/>
      <c r="BN97" s="448"/>
      <c r="BO97" s="448"/>
      <c r="BP97" s="438"/>
      <c r="BQ97" s="438">
        <f t="shared" si="32"/>
        <v>952</v>
      </c>
      <c r="BR97" s="447"/>
      <c r="BS97" s="438"/>
      <c r="BT97" s="438"/>
      <c r="BU97" s="438"/>
      <c r="BV97" s="438"/>
      <c r="BW97" s="438"/>
      <c r="BX97" s="438"/>
      <c r="BY97" s="438"/>
      <c r="BZ97" s="438">
        <f t="shared" si="37"/>
        <v>0</v>
      </c>
      <c r="CA97" s="438">
        <f t="shared" si="38"/>
        <v>952</v>
      </c>
      <c r="CB97" s="438">
        <f t="shared" si="39"/>
        <v>0</v>
      </c>
      <c r="CC97" s="438">
        <f t="shared" si="40"/>
        <v>0</v>
      </c>
      <c r="CD97" s="448"/>
      <c r="CE97" s="448"/>
      <c r="CF97" s="448"/>
      <c r="CG97" s="438"/>
      <c r="CH97" s="438"/>
      <c r="CI97" s="286"/>
      <c r="CJ97" s="286"/>
      <c r="CK97" s="286"/>
      <c r="CL97" s="286"/>
      <c r="CM97" s="286"/>
      <c r="CN97" s="286"/>
      <c r="CO97" s="286"/>
      <c r="CP97" s="286"/>
      <c r="CQ97" s="286"/>
      <c r="CR97" s="286"/>
      <c r="CS97" s="286"/>
      <c r="CT97" s="286"/>
      <c r="CU97" s="286"/>
      <c r="CV97" s="286"/>
      <c r="CW97" s="286"/>
      <c r="CX97" s="286"/>
      <c r="CY97" s="286"/>
      <c r="CZ97" s="286"/>
      <c r="DA97" s="286"/>
      <c r="DB97" s="286"/>
      <c r="DC97" s="286"/>
    </row>
    <row r="98" s="293" customFormat="1" ht="32.05" customHeight="1" spans="1:107">
      <c r="A98" s="435">
        <v>46170</v>
      </c>
      <c r="B98" s="436" t="s">
        <v>114</v>
      </c>
      <c r="C98" s="437" t="s">
        <v>115</v>
      </c>
      <c r="D98" s="438" t="s">
        <v>7037</v>
      </c>
      <c r="E98" s="437" t="s">
        <v>7038</v>
      </c>
      <c r="F98" s="438" t="s">
        <v>7039</v>
      </c>
      <c r="G98" s="439" t="s">
        <v>118</v>
      </c>
      <c r="H98" s="437" t="s">
        <v>104</v>
      </c>
      <c r="I98" s="440">
        <v>37900</v>
      </c>
      <c r="J98" s="437">
        <v>0</v>
      </c>
      <c r="K98" s="437">
        <v>25</v>
      </c>
      <c r="L98" s="441">
        <f t="shared" si="33"/>
        <v>1516</v>
      </c>
      <c r="M98" s="434">
        <v>46220</v>
      </c>
      <c r="N98" s="434">
        <v>46231</v>
      </c>
      <c r="O98" s="442"/>
      <c r="P98" s="442"/>
      <c r="Q98" s="437"/>
      <c r="R98" s="451">
        <v>46190</v>
      </c>
      <c r="S98" s="444" t="s">
        <v>107</v>
      </c>
      <c r="T98" s="444" t="s">
        <v>7023</v>
      </c>
      <c r="U98" s="436"/>
      <c r="V98" s="436"/>
      <c r="W98" s="436"/>
      <c r="X98" s="436" t="s">
        <v>7040</v>
      </c>
      <c r="Y98" s="445" t="s">
        <v>123</v>
      </c>
      <c r="Z98" s="438">
        <v>0.6406</v>
      </c>
      <c r="AA98" s="446">
        <v>24278.74</v>
      </c>
      <c r="AB98" s="437"/>
      <c r="AC98" s="482" t="s">
        <v>118</v>
      </c>
      <c r="AD98" s="437" t="s">
        <v>112</v>
      </c>
      <c r="AE98" s="437"/>
      <c r="AF98" s="437"/>
      <c r="AG98" s="442"/>
      <c r="AH98" s="442">
        <f t="shared" si="34"/>
        <v>-37900</v>
      </c>
      <c r="AI98" s="437"/>
      <c r="AJ98" s="437"/>
      <c r="AK98" s="438"/>
      <c r="AL98" s="438"/>
      <c r="AM98" s="438">
        <f t="shared" si="30"/>
        <v>37900</v>
      </c>
      <c r="AN98" s="438">
        <f t="shared" si="31"/>
        <v>37900</v>
      </c>
      <c r="AO98" s="438"/>
      <c r="AP98" s="447"/>
      <c r="AQ98" s="438"/>
      <c r="AR98" s="448"/>
      <c r="AS98" s="438">
        <f t="shared" si="35"/>
        <v>37900</v>
      </c>
      <c r="AT98" s="449">
        <f t="shared" si="36"/>
        <v>2274</v>
      </c>
      <c r="AU98" s="449"/>
      <c r="AV98" s="438"/>
      <c r="AW98" s="438"/>
      <c r="AX98" s="438"/>
      <c r="AY98" s="438"/>
      <c r="AZ98" s="438"/>
      <c r="BA98" s="438"/>
      <c r="BB98" s="438"/>
      <c r="BC98" s="438"/>
      <c r="BD98" s="438"/>
      <c r="BE98" s="438"/>
      <c r="BF98" s="438"/>
      <c r="BG98" s="438"/>
      <c r="BH98" s="438"/>
      <c r="BI98" s="438"/>
      <c r="BJ98" s="438"/>
      <c r="BK98" s="447"/>
      <c r="BL98" s="447"/>
      <c r="BM98" s="438"/>
      <c r="BN98" s="448"/>
      <c r="BO98" s="438"/>
      <c r="BP98" s="438"/>
      <c r="BQ98" s="438">
        <f t="shared" si="32"/>
        <v>1516</v>
      </c>
      <c r="BR98" s="447"/>
      <c r="BS98" s="438"/>
      <c r="BT98" s="438"/>
      <c r="BU98" s="438"/>
      <c r="BV98" s="438"/>
      <c r="BW98" s="438"/>
      <c r="BX98" s="438"/>
      <c r="BY98" s="438"/>
      <c r="BZ98" s="438">
        <f t="shared" si="37"/>
        <v>0</v>
      </c>
      <c r="CA98" s="438">
        <f t="shared" si="38"/>
        <v>1516</v>
      </c>
      <c r="CB98" s="438">
        <f t="shared" si="39"/>
        <v>0</v>
      </c>
      <c r="CC98" s="438">
        <f t="shared" si="40"/>
        <v>0</v>
      </c>
      <c r="CD98" s="448"/>
      <c r="CE98" s="448"/>
      <c r="CF98" s="448"/>
      <c r="CG98" s="438"/>
      <c r="CH98" s="438"/>
      <c r="CI98" s="286"/>
      <c r="CJ98" s="286"/>
      <c r="CK98" s="286"/>
      <c r="CL98" s="286"/>
      <c r="CM98" s="286"/>
      <c r="CN98" s="286"/>
      <c r="CO98" s="286"/>
      <c r="CP98" s="286"/>
      <c r="CQ98" s="286"/>
      <c r="CR98" s="286"/>
      <c r="CS98" s="286"/>
      <c r="CT98" s="286"/>
      <c r="CU98" s="286"/>
      <c r="CV98" s="286"/>
      <c r="CW98" s="286"/>
      <c r="CX98" s="286"/>
      <c r="CY98" s="286"/>
      <c r="CZ98" s="286"/>
      <c r="DA98" s="286"/>
      <c r="DB98" s="286"/>
      <c r="DC98" s="286"/>
    </row>
    <row r="99" s="293" customFormat="1" ht="32.05" customHeight="1" spans="1:107">
      <c r="A99" s="435">
        <v>46182</v>
      </c>
      <c r="B99" s="436" t="s">
        <v>114</v>
      </c>
      <c r="C99" s="437" t="s">
        <v>115</v>
      </c>
      <c r="D99" s="438" t="s">
        <v>7041</v>
      </c>
      <c r="E99" s="437" t="s">
        <v>5341</v>
      </c>
      <c r="F99" s="438" t="s">
        <v>7042</v>
      </c>
      <c r="G99" s="439" t="s">
        <v>118</v>
      </c>
      <c r="H99" s="437" t="s">
        <v>104</v>
      </c>
      <c r="I99" s="440">
        <v>23800</v>
      </c>
      <c r="J99" s="437">
        <v>0</v>
      </c>
      <c r="K99" s="437">
        <v>25</v>
      </c>
      <c r="L99" s="441">
        <f t="shared" si="33"/>
        <v>952</v>
      </c>
      <c r="M99" s="445">
        <v>46226</v>
      </c>
      <c r="N99" s="434">
        <v>46232</v>
      </c>
      <c r="O99" s="442" t="s">
        <v>5345</v>
      </c>
      <c r="P99" s="442"/>
      <c r="Q99" s="437"/>
      <c r="R99" s="451" t="s">
        <v>3064</v>
      </c>
      <c r="S99" s="444" t="s">
        <v>107</v>
      </c>
      <c r="T99" s="444" t="s">
        <v>7023</v>
      </c>
      <c r="U99" s="436"/>
      <c r="V99" s="436"/>
      <c r="W99" s="436"/>
      <c r="X99" s="436" t="s">
        <v>7043</v>
      </c>
      <c r="Y99" s="445" t="s">
        <v>123</v>
      </c>
      <c r="Z99" s="438">
        <v>0.6406</v>
      </c>
      <c r="AA99" s="446">
        <v>24278.74</v>
      </c>
      <c r="AB99" s="437"/>
      <c r="AC99" s="508" t="s">
        <v>118</v>
      </c>
      <c r="AD99" s="437" t="s">
        <v>112</v>
      </c>
      <c r="AE99" s="437"/>
      <c r="AF99" s="437"/>
      <c r="AG99" s="442"/>
      <c r="AH99" s="442">
        <f t="shared" si="34"/>
        <v>-23800</v>
      </c>
      <c r="AI99" s="437"/>
      <c r="AJ99" s="437"/>
      <c r="AK99" s="438"/>
      <c r="AL99" s="438"/>
      <c r="AM99" s="438">
        <f t="shared" si="30"/>
        <v>23800</v>
      </c>
      <c r="AN99" s="438">
        <f t="shared" si="31"/>
        <v>23800</v>
      </c>
      <c r="AO99" s="438"/>
      <c r="AP99" s="447"/>
      <c r="AQ99" s="438"/>
      <c r="AR99" s="448"/>
      <c r="AS99" s="438">
        <f t="shared" si="35"/>
        <v>23800</v>
      </c>
      <c r="AT99" s="449">
        <f t="shared" si="36"/>
        <v>1428</v>
      </c>
      <c r="AU99" s="449"/>
      <c r="AV99" s="438"/>
      <c r="AW99" s="438"/>
      <c r="AX99" s="438"/>
      <c r="AY99" s="438"/>
      <c r="AZ99" s="438"/>
      <c r="BA99" s="438"/>
      <c r="BB99" s="438"/>
      <c r="BC99" s="438"/>
      <c r="BD99" s="438"/>
      <c r="BE99" s="438"/>
      <c r="BF99" s="438"/>
      <c r="BG99" s="438"/>
      <c r="BH99" s="438"/>
      <c r="BI99" s="438"/>
      <c r="BJ99" s="438"/>
      <c r="BK99" s="447"/>
      <c r="BL99" s="447"/>
      <c r="BM99" s="438"/>
      <c r="BN99" s="448"/>
      <c r="BO99" s="438"/>
      <c r="BP99" s="438"/>
      <c r="BQ99" s="438">
        <f t="shared" si="32"/>
        <v>952</v>
      </c>
      <c r="BR99" s="447"/>
      <c r="BS99" s="438"/>
      <c r="BT99" s="438"/>
      <c r="BU99" s="438"/>
      <c r="BV99" s="438"/>
      <c r="BW99" s="438"/>
      <c r="BX99" s="438"/>
      <c r="BY99" s="438"/>
      <c r="BZ99" s="438">
        <f t="shared" si="37"/>
        <v>0</v>
      </c>
      <c r="CA99" s="438">
        <f t="shared" si="38"/>
        <v>952</v>
      </c>
      <c r="CB99" s="438">
        <f t="shared" si="39"/>
        <v>0</v>
      </c>
      <c r="CC99" s="438">
        <f t="shared" si="40"/>
        <v>0</v>
      </c>
      <c r="CD99" s="448"/>
      <c r="CE99" s="448"/>
      <c r="CF99" s="448"/>
      <c r="CG99" s="438"/>
      <c r="CH99" s="438"/>
      <c r="CI99" s="286"/>
      <c r="CJ99" s="286"/>
      <c r="CK99" s="286"/>
      <c r="CL99" s="286"/>
      <c r="CM99" s="286"/>
      <c r="CN99" s="286"/>
      <c r="CO99" s="286"/>
      <c r="CP99" s="286"/>
      <c r="CQ99" s="286"/>
      <c r="CR99" s="286"/>
      <c r="CS99" s="286"/>
      <c r="CT99" s="286"/>
      <c r="CU99" s="286"/>
      <c r="CV99" s="286"/>
      <c r="CW99" s="286"/>
      <c r="CX99" s="286"/>
      <c r="CY99" s="286"/>
      <c r="CZ99" s="286"/>
      <c r="DA99" s="286"/>
      <c r="DB99" s="286"/>
      <c r="DC99" s="286"/>
    </row>
    <row r="100" s="293" customFormat="1" ht="32.05" customHeight="1" spans="1:107">
      <c r="A100" s="435">
        <v>46161</v>
      </c>
      <c r="B100" s="436" t="s">
        <v>114</v>
      </c>
      <c r="C100" s="437" t="s">
        <v>115</v>
      </c>
      <c r="D100" s="438" t="s">
        <v>6866</v>
      </c>
      <c r="E100" s="437" t="s">
        <v>6867</v>
      </c>
      <c r="F100" s="438" t="s">
        <v>7044</v>
      </c>
      <c r="G100" s="439" t="s">
        <v>118</v>
      </c>
      <c r="H100" s="437" t="s">
        <v>104</v>
      </c>
      <c r="I100" s="440">
        <v>16775</v>
      </c>
      <c r="J100" s="437">
        <v>0</v>
      </c>
      <c r="K100" s="437">
        <v>25</v>
      </c>
      <c r="L100" s="441">
        <f t="shared" si="33"/>
        <v>671</v>
      </c>
      <c r="M100" s="445">
        <v>46226</v>
      </c>
      <c r="N100" s="434">
        <v>46230</v>
      </c>
      <c r="O100" s="442"/>
      <c r="P100" s="442"/>
      <c r="Q100" s="437"/>
      <c r="R100" s="443" t="s">
        <v>3064</v>
      </c>
      <c r="S100" s="452" t="s">
        <v>107</v>
      </c>
      <c r="T100" s="452" t="s">
        <v>7023</v>
      </c>
      <c r="U100" s="436"/>
      <c r="V100" s="436"/>
      <c r="W100" s="436"/>
      <c r="X100" s="436" t="s">
        <v>7045</v>
      </c>
      <c r="Y100" s="445" t="s">
        <v>123</v>
      </c>
      <c r="Z100" s="438">
        <v>0.6478</v>
      </c>
      <c r="AA100" s="446">
        <f t="shared" si="29"/>
        <v>10866.845</v>
      </c>
      <c r="AB100" s="437"/>
      <c r="AC100" s="439" t="s">
        <v>118</v>
      </c>
      <c r="AD100" s="437" t="s">
        <v>112</v>
      </c>
      <c r="AE100" s="437"/>
      <c r="AF100" s="437"/>
      <c r="AG100" s="442"/>
      <c r="AH100" s="442">
        <f t="shared" si="34"/>
        <v>-16775</v>
      </c>
      <c r="AI100" s="437"/>
      <c r="AJ100" s="437"/>
      <c r="AK100" s="438"/>
      <c r="AL100" s="438"/>
      <c r="AM100" s="438">
        <f t="shared" si="30"/>
        <v>16775</v>
      </c>
      <c r="AN100" s="438">
        <f t="shared" si="31"/>
        <v>16775</v>
      </c>
      <c r="AO100" s="438"/>
      <c r="AP100" s="447"/>
      <c r="AQ100" s="438"/>
      <c r="AR100" s="448"/>
      <c r="AS100" s="438">
        <f t="shared" si="35"/>
        <v>16775</v>
      </c>
      <c r="AT100" s="449">
        <f t="shared" si="36"/>
        <v>1006.5</v>
      </c>
      <c r="AU100" s="449"/>
      <c r="AV100" s="438"/>
      <c r="AW100" s="438"/>
      <c r="AX100" s="438"/>
      <c r="AY100" s="438"/>
      <c r="AZ100" s="438"/>
      <c r="BA100" s="438"/>
      <c r="BB100" s="438"/>
      <c r="BC100" s="438"/>
      <c r="BD100" s="438"/>
      <c r="BE100" s="438"/>
      <c r="BF100" s="438"/>
      <c r="BG100" s="438"/>
      <c r="BH100" s="438"/>
      <c r="BI100" s="438"/>
      <c r="BJ100" s="438"/>
      <c r="BK100" s="447"/>
      <c r="BL100" s="447"/>
      <c r="BM100" s="438"/>
      <c r="BN100" s="448"/>
      <c r="BO100" s="448"/>
      <c r="BP100" s="438"/>
      <c r="BQ100" s="438">
        <f t="shared" si="32"/>
        <v>671</v>
      </c>
      <c r="BR100" s="447"/>
      <c r="BS100" s="438"/>
      <c r="BT100" s="438"/>
      <c r="BU100" s="438"/>
      <c r="BV100" s="438"/>
      <c r="BW100" s="438"/>
      <c r="BX100" s="438"/>
      <c r="BY100" s="438"/>
      <c r="BZ100" s="438">
        <f t="shared" si="37"/>
        <v>0</v>
      </c>
      <c r="CA100" s="438">
        <f t="shared" si="38"/>
        <v>671</v>
      </c>
      <c r="CB100" s="438">
        <f t="shared" si="39"/>
        <v>0</v>
      </c>
      <c r="CC100" s="438">
        <f t="shared" si="40"/>
        <v>0</v>
      </c>
      <c r="CD100" s="448"/>
      <c r="CE100" s="448"/>
      <c r="CF100" s="448"/>
      <c r="CG100" s="438"/>
      <c r="CH100" s="438"/>
      <c r="CI100" s="286"/>
      <c r="CJ100" s="286"/>
      <c r="CK100" s="286"/>
      <c r="CL100" s="286"/>
      <c r="CM100" s="286"/>
      <c r="CN100" s="286"/>
      <c r="CO100" s="286"/>
      <c r="CP100" s="286"/>
      <c r="CQ100" s="286"/>
      <c r="CR100" s="286"/>
      <c r="CS100" s="286"/>
      <c r="CT100" s="286"/>
      <c r="CU100" s="286"/>
      <c r="CV100" s="286"/>
      <c r="CW100" s="286"/>
      <c r="CX100" s="286"/>
      <c r="CY100" s="286"/>
      <c r="CZ100" s="286"/>
      <c r="DA100" s="286"/>
      <c r="DB100" s="286"/>
      <c r="DC100" s="286"/>
    </row>
    <row r="101" s="294" customFormat="1" ht="32.05" customHeight="1" spans="1:107">
      <c r="A101" s="435">
        <v>46184</v>
      </c>
      <c r="B101" s="454" t="s">
        <v>114</v>
      </c>
      <c r="C101" s="455" t="s">
        <v>115</v>
      </c>
      <c r="D101" s="456" t="s">
        <v>7046</v>
      </c>
      <c r="E101" s="455" t="s">
        <v>7047</v>
      </c>
      <c r="F101" s="456" t="s">
        <v>7048</v>
      </c>
      <c r="G101" s="457" t="s">
        <v>118</v>
      </c>
      <c r="H101" s="437" t="s">
        <v>104</v>
      </c>
      <c r="I101" s="458">
        <v>16775</v>
      </c>
      <c r="J101" s="455">
        <v>0</v>
      </c>
      <c r="K101" s="455">
        <v>25</v>
      </c>
      <c r="L101" s="441">
        <f t="shared" si="33"/>
        <v>671</v>
      </c>
      <c r="M101" s="459">
        <v>46231</v>
      </c>
      <c r="N101" s="459">
        <v>46238</v>
      </c>
      <c r="O101" s="442"/>
      <c r="P101" s="442"/>
      <c r="Q101" s="437"/>
      <c r="R101" s="451" t="s">
        <v>3064</v>
      </c>
      <c r="S101" s="444" t="s">
        <v>107</v>
      </c>
      <c r="T101" s="444" t="s">
        <v>7023</v>
      </c>
      <c r="U101" s="436"/>
      <c r="V101" s="436"/>
      <c r="W101" s="436"/>
      <c r="X101" s="454" t="s">
        <v>7040</v>
      </c>
      <c r="Y101" s="459" t="s">
        <v>123</v>
      </c>
      <c r="Z101" s="438">
        <v>0.6478</v>
      </c>
      <c r="AA101" s="446">
        <f t="shared" si="29"/>
        <v>10866.845</v>
      </c>
      <c r="AB101" s="437"/>
      <c r="AC101" s="508" t="s">
        <v>118</v>
      </c>
      <c r="AD101" s="437" t="s">
        <v>112</v>
      </c>
      <c r="AE101" s="437"/>
      <c r="AF101" s="437"/>
      <c r="AG101" s="442"/>
      <c r="AH101" s="442">
        <f t="shared" si="34"/>
        <v>-16775</v>
      </c>
      <c r="AI101" s="437"/>
      <c r="AJ101" s="437"/>
      <c r="AK101" s="438"/>
      <c r="AL101" s="438"/>
      <c r="AM101" s="438">
        <f t="shared" si="30"/>
        <v>16775</v>
      </c>
      <c r="AN101" s="438">
        <f t="shared" si="31"/>
        <v>16775</v>
      </c>
      <c r="AO101" s="438"/>
      <c r="AP101" s="447"/>
      <c r="AQ101" s="438"/>
      <c r="AR101" s="448"/>
      <c r="AS101" s="438">
        <f t="shared" si="35"/>
        <v>16775</v>
      </c>
      <c r="AT101" s="449">
        <f t="shared" si="36"/>
        <v>1006.5</v>
      </c>
      <c r="AU101" s="449"/>
      <c r="AV101" s="438"/>
      <c r="AW101" s="438"/>
      <c r="AX101" s="438"/>
      <c r="AY101" s="438"/>
      <c r="AZ101" s="438"/>
      <c r="BA101" s="438"/>
      <c r="BB101" s="438"/>
      <c r="BC101" s="438"/>
      <c r="BD101" s="438"/>
      <c r="BE101" s="438"/>
      <c r="BF101" s="438"/>
      <c r="BG101" s="438"/>
      <c r="BH101" s="438"/>
      <c r="BI101" s="438"/>
      <c r="BJ101" s="438"/>
      <c r="BK101" s="447"/>
      <c r="BL101" s="447"/>
      <c r="BM101" s="438"/>
      <c r="BN101" s="448"/>
      <c r="BO101" s="448"/>
      <c r="BP101" s="438"/>
      <c r="BQ101" s="438">
        <f t="shared" si="32"/>
        <v>671</v>
      </c>
      <c r="BR101" s="447"/>
      <c r="BS101" s="438"/>
      <c r="BT101" s="438"/>
      <c r="BU101" s="438"/>
      <c r="BV101" s="438"/>
      <c r="BW101" s="438"/>
      <c r="BX101" s="438"/>
      <c r="BY101" s="438"/>
      <c r="BZ101" s="438">
        <f t="shared" si="37"/>
        <v>0</v>
      </c>
      <c r="CA101" s="438">
        <f t="shared" si="38"/>
        <v>671</v>
      </c>
      <c r="CB101" s="438">
        <f t="shared" si="39"/>
        <v>0</v>
      </c>
      <c r="CC101" s="438">
        <f t="shared" si="40"/>
        <v>0</v>
      </c>
      <c r="CD101" s="448"/>
      <c r="CE101" s="448"/>
      <c r="CF101" s="448"/>
      <c r="CG101" s="438"/>
      <c r="CH101" s="438"/>
      <c r="CI101" s="286"/>
      <c r="CJ101" s="286"/>
      <c r="CK101" s="286"/>
      <c r="CL101" s="286"/>
      <c r="CM101" s="286"/>
      <c r="CN101" s="286"/>
      <c r="CO101" s="286"/>
      <c r="CP101" s="286"/>
      <c r="CQ101" s="286"/>
      <c r="CR101" s="286"/>
      <c r="CS101" s="286"/>
      <c r="CT101" s="286"/>
      <c r="CU101" s="286"/>
      <c r="CV101" s="286"/>
      <c r="CW101" s="286"/>
      <c r="CX101" s="286"/>
      <c r="CY101" s="286"/>
      <c r="CZ101" s="286"/>
      <c r="DA101" s="286"/>
      <c r="DB101" s="286"/>
      <c r="DC101" s="286"/>
    </row>
    <row r="102" s="283" customFormat="1" ht="32.05" customHeight="1" spans="1:107">
      <c r="A102" s="435">
        <v>46184</v>
      </c>
      <c r="B102" s="454" t="s">
        <v>114</v>
      </c>
      <c r="C102" s="455" t="s">
        <v>115</v>
      </c>
      <c r="D102" s="456" t="s">
        <v>7049</v>
      </c>
      <c r="E102" s="455" t="s">
        <v>5535</v>
      </c>
      <c r="F102" s="456" t="s">
        <v>7050</v>
      </c>
      <c r="G102" s="457" t="s">
        <v>118</v>
      </c>
      <c r="H102" s="455" t="s">
        <v>104</v>
      </c>
      <c r="I102" s="458">
        <v>23800</v>
      </c>
      <c r="J102" s="455">
        <v>0</v>
      </c>
      <c r="K102" s="455">
        <v>25</v>
      </c>
      <c r="L102" s="441">
        <f t="shared" si="33"/>
        <v>952</v>
      </c>
      <c r="M102" s="459">
        <v>46234</v>
      </c>
      <c r="N102" s="459">
        <v>46241</v>
      </c>
      <c r="O102" s="442"/>
      <c r="P102" s="442"/>
      <c r="Q102" s="437"/>
      <c r="R102" s="443" t="s">
        <v>3064</v>
      </c>
      <c r="S102" s="452" t="s">
        <v>107</v>
      </c>
      <c r="T102" s="452" t="s">
        <v>6806</v>
      </c>
      <c r="U102" s="436"/>
      <c r="V102" s="436"/>
      <c r="W102" s="436"/>
      <c r="X102" s="454" t="s">
        <v>5537</v>
      </c>
      <c r="Y102" s="459" t="s">
        <v>123</v>
      </c>
      <c r="Z102" s="438">
        <v>0.6406</v>
      </c>
      <c r="AA102" s="446">
        <f t="shared" si="29"/>
        <v>15246.28</v>
      </c>
      <c r="AB102" s="437"/>
      <c r="AC102" s="508" t="s">
        <v>118</v>
      </c>
      <c r="AD102" s="437" t="s">
        <v>112</v>
      </c>
      <c r="AE102" s="437"/>
      <c r="AF102" s="437"/>
      <c r="AG102" s="442"/>
      <c r="AH102" s="442">
        <f t="shared" si="34"/>
        <v>-23800</v>
      </c>
      <c r="AI102" s="437"/>
      <c r="AJ102" s="437"/>
      <c r="AK102" s="438"/>
      <c r="AL102" s="438"/>
      <c r="AM102" s="438">
        <f t="shared" si="30"/>
        <v>23800</v>
      </c>
      <c r="AN102" s="438">
        <f t="shared" si="31"/>
        <v>23800</v>
      </c>
      <c r="AO102" s="438"/>
      <c r="AP102" s="447"/>
      <c r="AQ102" s="438"/>
      <c r="AR102" s="448"/>
      <c r="AS102" s="438">
        <f t="shared" si="35"/>
        <v>23800</v>
      </c>
      <c r="AT102" s="449">
        <f t="shared" si="36"/>
        <v>1428</v>
      </c>
      <c r="AU102" s="449"/>
      <c r="AV102" s="438"/>
      <c r="AW102" s="438"/>
      <c r="AX102" s="438"/>
      <c r="AY102" s="438"/>
      <c r="AZ102" s="438"/>
      <c r="BA102" s="438"/>
      <c r="BB102" s="438"/>
      <c r="BC102" s="438"/>
      <c r="BD102" s="438"/>
      <c r="BE102" s="438"/>
      <c r="BF102" s="438"/>
      <c r="BG102" s="438"/>
      <c r="BH102" s="438"/>
      <c r="BI102" s="438"/>
      <c r="BJ102" s="438"/>
      <c r="BK102" s="447"/>
      <c r="BL102" s="447"/>
      <c r="BM102" s="438"/>
      <c r="BN102" s="448"/>
      <c r="BO102" s="448"/>
      <c r="BP102" s="438"/>
      <c r="BQ102" s="438">
        <f t="shared" si="32"/>
        <v>952</v>
      </c>
      <c r="BR102" s="447"/>
      <c r="BS102" s="438"/>
      <c r="BT102" s="438"/>
      <c r="BU102" s="438"/>
      <c r="BV102" s="438"/>
      <c r="BW102" s="438"/>
      <c r="BX102" s="438"/>
      <c r="BY102" s="438"/>
      <c r="BZ102" s="438">
        <f t="shared" si="37"/>
        <v>0</v>
      </c>
      <c r="CA102" s="438">
        <f t="shared" si="38"/>
        <v>952</v>
      </c>
      <c r="CB102" s="438">
        <f t="shared" si="39"/>
        <v>0</v>
      </c>
      <c r="CC102" s="438">
        <f t="shared" si="40"/>
        <v>0</v>
      </c>
      <c r="CD102" s="448"/>
      <c r="CE102" s="448"/>
      <c r="CF102" s="448"/>
      <c r="CG102" s="438"/>
      <c r="CH102" s="438"/>
      <c r="CI102" s="286"/>
      <c r="CJ102" s="286"/>
      <c r="CK102" s="286"/>
      <c r="CL102" s="286"/>
      <c r="CM102" s="286"/>
      <c r="CN102" s="286"/>
      <c r="CO102" s="286"/>
      <c r="CP102" s="286"/>
      <c r="CQ102" s="286"/>
      <c r="CR102" s="286"/>
      <c r="CS102" s="286"/>
      <c r="CT102" s="286"/>
      <c r="CU102" s="286"/>
      <c r="CV102" s="286"/>
      <c r="CW102" s="286"/>
      <c r="CX102" s="286"/>
      <c r="CY102" s="286"/>
      <c r="CZ102" s="286"/>
      <c r="DA102" s="286"/>
      <c r="DB102" s="286"/>
      <c r="DC102" s="286"/>
    </row>
    <row r="103" s="283" customFormat="1" ht="32.05" customHeight="1" spans="1:107">
      <c r="A103" s="435">
        <v>46185</v>
      </c>
      <c r="B103" s="454" t="s">
        <v>7051</v>
      </c>
      <c r="C103" s="455" t="s">
        <v>115</v>
      </c>
      <c r="D103" s="456" t="s">
        <v>7052</v>
      </c>
      <c r="E103" s="455" t="s">
        <v>5981</v>
      </c>
      <c r="F103" s="456" t="s">
        <v>7053</v>
      </c>
      <c r="G103" s="457" t="s">
        <v>118</v>
      </c>
      <c r="H103" s="437" t="s">
        <v>104</v>
      </c>
      <c r="I103" s="458">
        <v>16775</v>
      </c>
      <c r="J103" s="455">
        <v>0</v>
      </c>
      <c r="K103" s="455">
        <v>25</v>
      </c>
      <c r="L103" s="441">
        <f t="shared" si="33"/>
        <v>671</v>
      </c>
      <c r="M103" s="459">
        <v>46247</v>
      </c>
      <c r="N103" s="459">
        <v>46244</v>
      </c>
      <c r="O103" s="442"/>
      <c r="P103" s="442"/>
      <c r="Q103" s="437"/>
      <c r="R103" s="443" t="s">
        <v>3064</v>
      </c>
      <c r="S103" s="444" t="s">
        <v>107</v>
      </c>
      <c r="T103" s="444" t="s">
        <v>3392</v>
      </c>
      <c r="U103" s="436"/>
      <c r="V103" s="436"/>
      <c r="W103" s="436"/>
      <c r="X103" s="454" t="s">
        <v>7054</v>
      </c>
      <c r="Y103" s="459" t="s">
        <v>7055</v>
      </c>
      <c r="Z103" s="438">
        <v>0.6478</v>
      </c>
      <c r="AA103" s="446">
        <f t="shared" si="29"/>
        <v>10866.845</v>
      </c>
      <c r="AB103" s="437"/>
      <c r="AC103" s="508" t="s">
        <v>118</v>
      </c>
      <c r="AD103" s="437" t="s">
        <v>112</v>
      </c>
      <c r="AE103" s="437"/>
      <c r="AF103" s="437"/>
      <c r="AG103" s="442"/>
      <c r="AH103" s="442">
        <f t="shared" si="34"/>
        <v>-16775</v>
      </c>
      <c r="AI103" s="437"/>
      <c r="AJ103" s="437"/>
      <c r="AK103" s="438"/>
      <c r="AL103" s="438"/>
      <c r="AM103" s="438">
        <f t="shared" si="30"/>
        <v>16775</v>
      </c>
      <c r="AN103" s="438">
        <f t="shared" si="31"/>
        <v>16775</v>
      </c>
      <c r="AO103" s="438"/>
      <c r="AP103" s="447"/>
      <c r="AQ103" s="438"/>
      <c r="AR103" s="448"/>
      <c r="AS103" s="438">
        <f t="shared" si="35"/>
        <v>16775</v>
      </c>
      <c r="AT103" s="449">
        <f t="shared" si="36"/>
        <v>1006.5</v>
      </c>
      <c r="AU103" s="449"/>
      <c r="AV103" s="438"/>
      <c r="AW103" s="438"/>
      <c r="AX103" s="438"/>
      <c r="AY103" s="438"/>
      <c r="AZ103" s="438"/>
      <c r="BA103" s="438"/>
      <c r="BB103" s="438"/>
      <c r="BC103" s="438"/>
      <c r="BD103" s="438"/>
      <c r="BE103" s="438"/>
      <c r="BF103" s="438"/>
      <c r="BG103" s="438"/>
      <c r="BH103" s="438"/>
      <c r="BI103" s="438"/>
      <c r="BJ103" s="438"/>
      <c r="BK103" s="447"/>
      <c r="BL103" s="447"/>
      <c r="BM103" s="438"/>
      <c r="BN103" s="448"/>
      <c r="BO103" s="448"/>
      <c r="BP103" s="438"/>
      <c r="BQ103" s="438">
        <f t="shared" si="32"/>
        <v>671</v>
      </c>
      <c r="BR103" s="447"/>
      <c r="BS103" s="438"/>
      <c r="BT103" s="438"/>
      <c r="BU103" s="438"/>
      <c r="BV103" s="438"/>
      <c r="BW103" s="438"/>
      <c r="BX103" s="438"/>
      <c r="BY103" s="438"/>
      <c r="BZ103" s="438">
        <f t="shared" si="37"/>
        <v>0</v>
      </c>
      <c r="CA103" s="438">
        <f t="shared" si="38"/>
        <v>671</v>
      </c>
      <c r="CB103" s="438">
        <f t="shared" si="39"/>
        <v>0</v>
      </c>
      <c r="CC103" s="438">
        <f t="shared" si="40"/>
        <v>0</v>
      </c>
      <c r="CD103" s="448"/>
      <c r="CE103" s="448"/>
      <c r="CF103" s="448"/>
      <c r="CG103" s="438"/>
      <c r="CH103" s="438"/>
      <c r="CI103" s="286"/>
      <c r="CJ103" s="286"/>
      <c r="CK103" s="286"/>
      <c r="CL103" s="286"/>
      <c r="CM103" s="286"/>
      <c r="CN103" s="286"/>
      <c r="CO103" s="286"/>
      <c r="CP103" s="286"/>
      <c r="CQ103" s="286"/>
      <c r="CR103" s="286"/>
      <c r="CS103" s="286"/>
      <c r="CT103" s="286"/>
      <c r="CU103" s="286"/>
      <c r="CV103" s="286"/>
      <c r="CW103" s="286"/>
      <c r="CX103" s="286"/>
      <c r="CY103" s="286"/>
      <c r="CZ103" s="286"/>
      <c r="DA103" s="286"/>
      <c r="DB103" s="286"/>
      <c r="DC103" s="286"/>
    </row>
    <row r="104" s="283" customFormat="1" ht="32.05" customHeight="1" spans="1:107">
      <c r="A104" s="435">
        <v>46185</v>
      </c>
      <c r="B104" s="436" t="s">
        <v>7051</v>
      </c>
      <c r="C104" s="437" t="s">
        <v>115</v>
      </c>
      <c r="D104" s="438" t="s">
        <v>7056</v>
      </c>
      <c r="E104" s="437" t="s">
        <v>7057</v>
      </c>
      <c r="F104" s="438" t="s">
        <v>7058</v>
      </c>
      <c r="G104" s="439" t="s">
        <v>118</v>
      </c>
      <c r="H104" s="437" t="s">
        <v>104</v>
      </c>
      <c r="I104" s="440">
        <v>75775</v>
      </c>
      <c r="J104" s="437">
        <v>0</v>
      </c>
      <c r="K104" s="437">
        <v>25</v>
      </c>
      <c r="L104" s="441">
        <f t="shared" si="33"/>
        <v>3031</v>
      </c>
      <c r="M104" s="445">
        <v>46248</v>
      </c>
      <c r="N104" s="445">
        <v>46244</v>
      </c>
      <c r="O104" s="442"/>
      <c r="P104" s="442"/>
      <c r="Q104" s="437"/>
      <c r="R104" s="451" t="s">
        <v>3064</v>
      </c>
      <c r="S104" s="452" t="s">
        <v>107</v>
      </c>
      <c r="T104" s="452" t="s">
        <v>3392</v>
      </c>
      <c r="U104" s="436"/>
      <c r="V104" s="436"/>
      <c r="W104" s="436"/>
      <c r="X104" s="436" t="s">
        <v>7059</v>
      </c>
      <c r="Y104" s="445" t="s">
        <v>7055</v>
      </c>
      <c r="Z104" s="438">
        <v>0.6291</v>
      </c>
      <c r="AA104" s="446">
        <f t="shared" si="29"/>
        <v>47670.0525</v>
      </c>
      <c r="AB104" s="437"/>
      <c r="AC104" s="508" t="s">
        <v>118</v>
      </c>
      <c r="AD104" s="437" t="s">
        <v>112</v>
      </c>
      <c r="AE104" s="437"/>
      <c r="AF104" s="437"/>
      <c r="AG104" s="442"/>
      <c r="AH104" s="442">
        <f t="shared" si="34"/>
        <v>-75775</v>
      </c>
      <c r="AI104" s="437"/>
      <c r="AJ104" s="437"/>
      <c r="AK104" s="438"/>
      <c r="AL104" s="438"/>
      <c r="AM104" s="438">
        <f t="shared" si="30"/>
        <v>75775</v>
      </c>
      <c r="AN104" s="438">
        <f t="shared" si="31"/>
        <v>75775</v>
      </c>
      <c r="AO104" s="438"/>
      <c r="AP104" s="447"/>
      <c r="AQ104" s="438"/>
      <c r="AR104" s="448"/>
      <c r="AS104" s="438">
        <f t="shared" si="35"/>
        <v>75775</v>
      </c>
      <c r="AT104" s="449">
        <f t="shared" si="36"/>
        <v>4546.5</v>
      </c>
      <c r="AU104" s="449"/>
      <c r="AV104" s="438"/>
      <c r="AW104" s="438"/>
      <c r="AX104" s="438"/>
      <c r="AY104" s="438"/>
      <c r="AZ104" s="438"/>
      <c r="BA104" s="438"/>
      <c r="BB104" s="438"/>
      <c r="BC104" s="438"/>
      <c r="BD104" s="438"/>
      <c r="BE104" s="438"/>
      <c r="BF104" s="438"/>
      <c r="BG104" s="438"/>
      <c r="BH104" s="438"/>
      <c r="BI104" s="438"/>
      <c r="BJ104" s="438"/>
      <c r="BK104" s="447"/>
      <c r="BL104" s="447"/>
      <c r="BM104" s="438"/>
      <c r="BN104" s="448"/>
      <c r="BO104" s="448"/>
      <c r="BP104" s="438"/>
      <c r="BQ104" s="438">
        <f t="shared" si="32"/>
        <v>3031</v>
      </c>
      <c r="BR104" s="447"/>
      <c r="BS104" s="438"/>
      <c r="BT104" s="438"/>
      <c r="BU104" s="438"/>
      <c r="BV104" s="438"/>
      <c r="BW104" s="438"/>
      <c r="BX104" s="438"/>
      <c r="BY104" s="438"/>
      <c r="BZ104" s="438">
        <f t="shared" si="37"/>
        <v>0</v>
      </c>
      <c r="CA104" s="438">
        <f t="shared" si="38"/>
        <v>3031</v>
      </c>
      <c r="CB104" s="438">
        <f t="shared" si="39"/>
        <v>0</v>
      </c>
      <c r="CC104" s="438">
        <f t="shared" si="40"/>
        <v>0</v>
      </c>
      <c r="CD104" s="448"/>
      <c r="CE104" s="448"/>
      <c r="CF104" s="448"/>
      <c r="CG104" s="438"/>
      <c r="CH104" s="438"/>
      <c r="CI104" s="286"/>
      <c r="CJ104" s="286"/>
      <c r="CK104" s="286"/>
      <c r="CL104" s="286"/>
      <c r="CM104" s="286"/>
      <c r="CN104" s="286"/>
      <c r="CO104" s="286"/>
      <c r="CP104" s="286"/>
      <c r="CQ104" s="286"/>
      <c r="CR104" s="286"/>
      <c r="CS104" s="286"/>
      <c r="CT104" s="286"/>
      <c r="CU104" s="286"/>
      <c r="CV104" s="286"/>
      <c r="CW104" s="286"/>
      <c r="CX104" s="286"/>
      <c r="CY104" s="286"/>
      <c r="CZ104" s="286"/>
      <c r="DA104" s="286"/>
      <c r="DB104" s="286"/>
      <c r="DC104" s="286"/>
    </row>
    <row r="105" s="291" customFormat="1" ht="32.05" customHeight="1" spans="1:107">
      <c r="A105" s="435">
        <v>46135</v>
      </c>
      <c r="B105" s="436" t="s">
        <v>378</v>
      </c>
      <c r="C105" s="437" t="s">
        <v>201</v>
      </c>
      <c r="D105" s="438">
        <v>4500202342</v>
      </c>
      <c r="E105" s="437">
        <v>7000992559</v>
      </c>
      <c r="F105" s="438" t="s">
        <v>7060</v>
      </c>
      <c r="G105" s="439" t="s">
        <v>380</v>
      </c>
      <c r="H105" s="437" t="s">
        <v>381</v>
      </c>
      <c r="I105" s="440">
        <v>1808</v>
      </c>
      <c r="J105" s="437">
        <v>0</v>
      </c>
      <c r="K105" s="437">
        <v>16</v>
      </c>
      <c r="L105" s="441">
        <f t="shared" ref="L105:L132" si="41">I105/K105</f>
        <v>113</v>
      </c>
      <c r="M105" s="445">
        <v>46190</v>
      </c>
      <c r="N105" s="434">
        <v>46220</v>
      </c>
      <c r="O105" s="442" t="s">
        <v>4594</v>
      </c>
      <c r="P105" s="442" t="s">
        <v>106</v>
      </c>
      <c r="Q105" s="437"/>
      <c r="R105" s="443">
        <v>46150</v>
      </c>
      <c r="S105" s="452" t="s">
        <v>95</v>
      </c>
      <c r="T105" s="452" t="s">
        <v>95</v>
      </c>
      <c r="U105" s="436"/>
      <c r="V105" s="436"/>
      <c r="W105" s="436"/>
      <c r="X105" s="509" t="s">
        <v>7061</v>
      </c>
      <c r="Y105" s="445" t="s">
        <v>384</v>
      </c>
      <c r="Z105" s="438">
        <v>1.3</v>
      </c>
      <c r="AA105" s="446">
        <f>Z105*I105</f>
        <v>2350.4</v>
      </c>
      <c r="AB105" s="437"/>
      <c r="AC105" s="437" t="s">
        <v>385</v>
      </c>
      <c r="AD105" s="437" t="s">
        <v>112</v>
      </c>
      <c r="AE105" s="437"/>
      <c r="AF105" s="437" t="s">
        <v>943</v>
      </c>
      <c r="AG105" s="442">
        <v>1808</v>
      </c>
      <c r="AH105" s="442">
        <f t="shared" ref="AH105:AH132" si="42">AG105-I105</f>
        <v>0</v>
      </c>
      <c r="AI105" s="437"/>
      <c r="AJ105" s="437"/>
      <c r="AK105" s="438">
        <f>I105</f>
        <v>1808</v>
      </c>
      <c r="AL105" s="438"/>
      <c r="AM105" s="438"/>
      <c r="AN105" s="438"/>
      <c r="AO105" s="438"/>
      <c r="AP105" s="447"/>
      <c r="AQ105" s="438"/>
      <c r="AR105" s="448">
        <f>I105</f>
        <v>1808</v>
      </c>
      <c r="AS105" s="438">
        <f t="shared" si="35"/>
        <v>1808</v>
      </c>
      <c r="AT105" s="449">
        <f t="shared" si="36"/>
        <v>108.48</v>
      </c>
      <c r="AU105" s="449"/>
      <c r="AV105" s="438"/>
      <c r="AW105" s="438"/>
      <c r="AX105" s="438"/>
      <c r="AY105" s="438"/>
      <c r="AZ105" s="438"/>
      <c r="BA105" s="438"/>
      <c r="BB105" s="438"/>
      <c r="BC105" s="438"/>
      <c r="BD105" s="438"/>
      <c r="BE105" s="438"/>
      <c r="BF105" s="438"/>
      <c r="BG105" s="438"/>
      <c r="BH105" s="438"/>
      <c r="BI105" s="438"/>
      <c r="BJ105" s="438"/>
      <c r="BK105" s="447"/>
      <c r="BL105" s="447"/>
      <c r="BM105" s="438"/>
      <c r="BN105" s="448"/>
      <c r="BO105" s="448">
        <f>I105/16</f>
        <v>113</v>
      </c>
      <c r="BP105" s="438"/>
      <c r="BQ105" s="438"/>
      <c r="BR105" s="447"/>
      <c r="BS105" s="438"/>
      <c r="BT105" s="438"/>
      <c r="BU105" s="438"/>
      <c r="BV105" s="438"/>
      <c r="BW105" s="438"/>
      <c r="BX105" s="438"/>
      <c r="BY105" s="438"/>
      <c r="BZ105" s="438">
        <f t="shared" ref="BZ105:BZ132" si="43">BJ105+BK105+BM105+BO105+BN105</f>
        <v>113</v>
      </c>
      <c r="CA105" s="438">
        <f t="shared" ref="CA105:CA132" si="44">BQ105</f>
        <v>0</v>
      </c>
      <c r="CB105" s="438">
        <f t="shared" ref="CB105:CB132" si="45">BY105</f>
        <v>0</v>
      </c>
      <c r="CC105" s="438">
        <f t="shared" ref="CC105:CC132" si="46">BR105+BS105+BT105</f>
        <v>0</v>
      </c>
      <c r="CD105" s="448"/>
      <c r="CE105" s="448"/>
      <c r="CF105" s="448"/>
      <c r="CG105" s="438"/>
      <c r="CH105" s="438"/>
      <c r="CI105" s="286"/>
      <c r="CJ105" s="286"/>
      <c r="CK105" s="286"/>
      <c r="CL105" s="286"/>
      <c r="CM105" s="286"/>
      <c r="CN105" s="286"/>
      <c r="CO105" s="286"/>
      <c r="CP105" s="286"/>
      <c r="CQ105" s="286"/>
      <c r="CR105" s="286"/>
      <c r="CS105" s="286"/>
      <c r="CT105" s="286"/>
      <c r="CU105" s="286"/>
      <c r="CV105" s="286"/>
      <c r="CW105" s="286"/>
      <c r="CX105" s="286"/>
      <c r="CY105" s="286"/>
      <c r="CZ105" s="286"/>
      <c r="DA105" s="286"/>
      <c r="DB105" s="286"/>
      <c r="DC105" s="286"/>
    </row>
    <row r="106" s="291" customFormat="1" ht="32.05" customHeight="1" spans="1:107">
      <c r="A106" s="510">
        <v>46142</v>
      </c>
      <c r="B106" s="454" t="s">
        <v>378</v>
      </c>
      <c r="C106" s="455" t="s">
        <v>201</v>
      </c>
      <c r="D106" s="456" t="s">
        <v>4885</v>
      </c>
      <c r="E106" s="457" t="s">
        <v>7062</v>
      </c>
      <c r="F106" s="456" t="s">
        <v>7063</v>
      </c>
      <c r="G106" s="457" t="s">
        <v>380</v>
      </c>
      <c r="H106" s="455" t="s">
        <v>381</v>
      </c>
      <c r="I106" s="458">
        <v>3024</v>
      </c>
      <c r="J106" s="455">
        <v>0</v>
      </c>
      <c r="K106" s="455">
        <v>16</v>
      </c>
      <c r="L106" s="511">
        <f t="shared" si="41"/>
        <v>189</v>
      </c>
      <c r="M106" s="489">
        <v>46228</v>
      </c>
      <c r="N106" s="489">
        <v>46224</v>
      </c>
      <c r="O106" s="512"/>
      <c r="P106" s="512"/>
      <c r="Q106" s="455"/>
      <c r="R106" s="443">
        <v>46171</v>
      </c>
      <c r="S106" s="452" t="s">
        <v>95</v>
      </c>
      <c r="T106" s="452" t="s">
        <v>95</v>
      </c>
      <c r="U106" s="454" t="s">
        <v>7064</v>
      </c>
      <c r="V106" s="454"/>
      <c r="W106" s="454"/>
      <c r="X106" s="513" t="s">
        <v>7065</v>
      </c>
      <c r="Y106" s="459" t="s">
        <v>384</v>
      </c>
      <c r="Z106" s="514">
        <v>1.3</v>
      </c>
      <c r="AA106" s="515">
        <f>Z106*I106</f>
        <v>3931.2</v>
      </c>
      <c r="AB106" s="455"/>
      <c r="AC106" s="437" t="s">
        <v>385</v>
      </c>
      <c r="AD106" s="437" t="s">
        <v>112</v>
      </c>
      <c r="AE106" s="455" t="s">
        <v>113</v>
      </c>
      <c r="AF106" s="455"/>
      <c r="AG106" s="512"/>
      <c r="AH106" s="442">
        <f t="shared" si="42"/>
        <v>-3024</v>
      </c>
      <c r="AI106" s="455"/>
      <c r="AJ106" s="455"/>
      <c r="AK106" s="438">
        <f>I106</f>
        <v>3024</v>
      </c>
      <c r="AL106" s="456"/>
      <c r="AM106" s="456"/>
      <c r="AN106" s="438"/>
      <c r="AO106" s="438"/>
      <c r="AP106" s="447"/>
      <c r="AQ106" s="438"/>
      <c r="AR106" s="448">
        <f>I106</f>
        <v>3024</v>
      </c>
      <c r="AS106" s="438">
        <f t="shared" si="35"/>
        <v>3024</v>
      </c>
      <c r="AT106" s="516">
        <f t="shared" si="36"/>
        <v>181.44</v>
      </c>
      <c r="AU106" s="516"/>
      <c r="AV106" s="456"/>
      <c r="AW106" s="438"/>
      <c r="AX106" s="438"/>
      <c r="AY106" s="456"/>
      <c r="AZ106" s="456"/>
      <c r="BA106" s="456"/>
      <c r="BB106" s="456"/>
      <c r="BC106" s="456"/>
      <c r="BD106" s="456"/>
      <c r="BE106" s="456"/>
      <c r="BF106" s="456"/>
      <c r="BG106" s="456"/>
      <c r="BH106" s="456"/>
      <c r="BI106" s="456"/>
      <c r="BJ106" s="456"/>
      <c r="BK106" s="517"/>
      <c r="BL106" s="517"/>
      <c r="BM106" s="456"/>
      <c r="BN106" s="518"/>
      <c r="BO106" s="518">
        <f>I106/16</f>
        <v>189</v>
      </c>
      <c r="BP106" s="456"/>
      <c r="BQ106" s="456"/>
      <c r="BR106" s="517"/>
      <c r="BS106" s="456"/>
      <c r="BT106" s="456"/>
      <c r="BU106" s="456"/>
      <c r="BV106" s="456"/>
      <c r="BW106" s="456"/>
      <c r="BX106" s="456"/>
      <c r="BY106" s="456"/>
      <c r="BZ106" s="438">
        <f t="shared" si="43"/>
        <v>189</v>
      </c>
      <c r="CA106" s="438">
        <f t="shared" si="44"/>
        <v>0</v>
      </c>
      <c r="CB106" s="438">
        <f t="shared" si="45"/>
        <v>0</v>
      </c>
      <c r="CC106" s="438">
        <f t="shared" si="46"/>
        <v>0</v>
      </c>
      <c r="CD106" s="518"/>
      <c r="CE106" s="518"/>
      <c r="CF106" s="518"/>
      <c r="CG106" s="456"/>
      <c r="CH106" s="456"/>
    </row>
    <row r="107" s="291" customFormat="1" ht="32.05" customHeight="1" spans="1:107">
      <c r="A107" s="435">
        <v>46139</v>
      </c>
      <c r="B107" s="436" t="s">
        <v>5291</v>
      </c>
      <c r="C107" s="437" t="s">
        <v>201</v>
      </c>
      <c r="D107" s="438" t="s">
        <v>5292</v>
      </c>
      <c r="E107" s="437" t="s">
        <v>7066</v>
      </c>
      <c r="F107" s="438" t="s">
        <v>7067</v>
      </c>
      <c r="G107" s="439" t="s">
        <v>389</v>
      </c>
      <c r="H107" s="437" t="s">
        <v>390</v>
      </c>
      <c r="I107" s="440">
        <v>12</v>
      </c>
      <c r="J107" s="437">
        <v>0</v>
      </c>
      <c r="K107" s="437">
        <v>12</v>
      </c>
      <c r="L107" s="441">
        <f t="shared" si="41"/>
        <v>1</v>
      </c>
      <c r="M107" s="445">
        <v>46225</v>
      </c>
      <c r="N107" s="445">
        <v>46232</v>
      </c>
      <c r="O107" s="442" t="s">
        <v>7068</v>
      </c>
      <c r="P107" s="442"/>
      <c r="Q107" s="437"/>
      <c r="R107" s="443">
        <v>46139</v>
      </c>
      <c r="S107" s="452" t="s">
        <v>107</v>
      </c>
      <c r="T107" s="444" t="s">
        <v>3064</v>
      </c>
      <c r="U107" s="436"/>
      <c r="V107" s="436"/>
      <c r="W107" s="436"/>
      <c r="X107" s="436" t="s">
        <v>5296</v>
      </c>
      <c r="Y107" s="445" t="s">
        <v>557</v>
      </c>
      <c r="Z107" s="438">
        <v>2.29</v>
      </c>
      <c r="AA107" s="446">
        <f t="shared" ref="AA107:AA132" si="47">I107*Z107</f>
        <v>27.48</v>
      </c>
      <c r="AB107" s="437"/>
      <c r="AC107" s="439" t="s">
        <v>389</v>
      </c>
      <c r="AD107" s="437" t="s">
        <v>112</v>
      </c>
      <c r="AE107" s="437"/>
      <c r="AF107" s="437"/>
      <c r="AG107" s="442"/>
      <c r="AH107" s="442">
        <f t="shared" si="42"/>
        <v>-12</v>
      </c>
      <c r="AI107" s="437"/>
      <c r="AJ107" s="437"/>
      <c r="AK107" s="438">
        <f t="shared" ref="AK107:AK132" si="48">I107*2</f>
        <v>24</v>
      </c>
      <c r="AL107" s="438"/>
      <c r="AM107" s="438"/>
      <c r="AN107" s="438"/>
      <c r="AO107" s="438"/>
      <c r="AP107" s="447">
        <f t="shared" ref="AP107:AP132" si="49">I107*2</f>
        <v>24</v>
      </c>
      <c r="AQ107" s="438"/>
      <c r="AR107" s="448"/>
      <c r="AS107" s="438">
        <f t="shared" ref="AS107:AS132" si="50">I107*2</f>
        <v>24</v>
      </c>
      <c r="AT107" s="449">
        <f t="shared" ref="AT107:AT132" si="51">I107*0.06*2</f>
        <v>1.44</v>
      </c>
      <c r="AU107" s="449"/>
      <c r="AV107" s="438"/>
      <c r="AW107" s="438"/>
      <c r="AX107" s="438"/>
      <c r="AY107" s="438"/>
      <c r="AZ107" s="438"/>
      <c r="BA107" s="438"/>
      <c r="BB107" s="438"/>
      <c r="BC107" s="438"/>
      <c r="BD107" s="438"/>
      <c r="BE107" s="438"/>
      <c r="BF107" s="438"/>
      <c r="BG107" s="438"/>
      <c r="BH107" s="438"/>
      <c r="BI107" s="438"/>
      <c r="BJ107" s="438"/>
      <c r="BK107" s="447"/>
      <c r="BL107" s="447"/>
      <c r="BM107" s="438"/>
      <c r="BN107" s="448"/>
      <c r="BO107" s="448"/>
      <c r="BP107" s="438"/>
      <c r="BQ107" s="438"/>
      <c r="BR107" s="447"/>
      <c r="BS107" s="438"/>
      <c r="BT107" s="438"/>
      <c r="BU107" s="438"/>
      <c r="BV107" s="438"/>
      <c r="BW107" s="438"/>
      <c r="BX107" s="438"/>
      <c r="BY107" s="438"/>
      <c r="BZ107" s="438">
        <f t="shared" si="43"/>
        <v>0</v>
      </c>
      <c r="CA107" s="438">
        <f t="shared" si="44"/>
        <v>0</v>
      </c>
      <c r="CB107" s="438">
        <f t="shared" si="45"/>
        <v>0</v>
      </c>
      <c r="CC107" s="438">
        <f t="shared" si="46"/>
        <v>0</v>
      </c>
      <c r="CD107" s="448"/>
      <c r="CE107" s="448"/>
      <c r="CF107" s="448">
        <f t="shared" ref="CF107:CF132" si="52">I107</f>
        <v>12</v>
      </c>
      <c r="CG107" s="438">
        <f t="shared" ref="CG107:CG132" si="53">I107</f>
        <v>12</v>
      </c>
      <c r="CH107" s="438">
        <f t="shared" ref="CH107:CH132" si="54">I107</f>
        <v>12</v>
      </c>
    </row>
    <row r="108" s="291" customFormat="1" ht="32.05" customHeight="1" spans="1:107">
      <c r="A108" s="435">
        <v>46139</v>
      </c>
      <c r="B108" s="436" t="s">
        <v>5291</v>
      </c>
      <c r="C108" s="437" t="s">
        <v>201</v>
      </c>
      <c r="D108" s="438" t="s">
        <v>5292</v>
      </c>
      <c r="E108" s="437" t="s">
        <v>7069</v>
      </c>
      <c r="F108" s="438" t="s">
        <v>7070</v>
      </c>
      <c r="G108" s="439" t="s">
        <v>389</v>
      </c>
      <c r="H108" s="437" t="s">
        <v>390</v>
      </c>
      <c r="I108" s="440">
        <v>12</v>
      </c>
      <c r="J108" s="437">
        <v>0</v>
      </c>
      <c r="K108" s="437">
        <v>12</v>
      </c>
      <c r="L108" s="441">
        <f t="shared" si="41"/>
        <v>1</v>
      </c>
      <c r="M108" s="445">
        <v>46225</v>
      </c>
      <c r="N108" s="445">
        <v>46232</v>
      </c>
      <c r="O108" s="442" t="s">
        <v>7068</v>
      </c>
      <c r="P108" s="442"/>
      <c r="Q108" s="437"/>
      <c r="R108" s="443">
        <v>46139</v>
      </c>
      <c r="S108" s="452" t="s">
        <v>107</v>
      </c>
      <c r="T108" s="444" t="s">
        <v>3064</v>
      </c>
      <c r="U108" s="436"/>
      <c r="V108" s="436"/>
      <c r="W108" s="436"/>
      <c r="X108" s="436" t="s">
        <v>5296</v>
      </c>
      <c r="Y108" s="445" t="s">
        <v>557</v>
      </c>
      <c r="Z108" s="438">
        <v>2.29</v>
      </c>
      <c r="AA108" s="446">
        <f t="shared" si="47"/>
        <v>27.48</v>
      </c>
      <c r="AB108" s="437"/>
      <c r="AC108" s="439" t="s">
        <v>389</v>
      </c>
      <c r="AD108" s="437" t="s">
        <v>112</v>
      </c>
      <c r="AE108" s="437"/>
      <c r="AF108" s="437"/>
      <c r="AG108" s="442"/>
      <c r="AH108" s="442">
        <f t="shared" si="42"/>
        <v>-12</v>
      </c>
      <c r="AI108" s="437"/>
      <c r="AJ108" s="437"/>
      <c r="AK108" s="438">
        <f t="shared" si="48"/>
        <v>24</v>
      </c>
      <c r="AL108" s="438"/>
      <c r="AM108" s="438"/>
      <c r="AN108" s="438"/>
      <c r="AO108" s="438"/>
      <c r="AP108" s="447">
        <f t="shared" si="49"/>
        <v>24</v>
      </c>
      <c r="AQ108" s="438"/>
      <c r="AR108" s="448"/>
      <c r="AS108" s="438">
        <f t="shared" si="50"/>
        <v>24</v>
      </c>
      <c r="AT108" s="449">
        <f t="shared" si="51"/>
        <v>1.44</v>
      </c>
      <c r="AU108" s="449"/>
      <c r="AV108" s="438"/>
      <c r="AW108" s="438"/>
      <c r="AX108" s="438"/>
      <c r="AY108" s="438"/>
      <c r="AZ108" s="438"/>
      <c r="BA108" s="438"/>
      <c r="BB108" s="438"/>
      <c r="BC108" s="438"/>
      <c r="BD108" s="438"/>
      <c r="BE108" s="438"/>
      <c r="BF108" s="438"/>
      <c r="BG108" s="438"/>
      <c r="BH108" s="438"/>
      <c r="BI108" s="438"/>
      <c r="BJ108" s="438"/>
      <c r="BK108" s="447"/>
      <c r="BL108" s="447"/>
      <c r="BM108" s="438"/>
      <c r="BN108" s="448"/>
      <c r="BO108" s="448"/>
      <c r="BP108" s="438"/>
      <c r="BQ108" s="438"/>
      <c r="BR108" s="447"/>
      <c r="BS108" s="438"/>
      <c r="BT108" s="438"/>
      <c r="BU108" s="438"/>
      <c r="BV108" s="438"/>
      <c r="BW108" s="438"/>
      <c r="BX108" s="438"/>
      <c r="BY108" s="438"/>
      <c r="BZ108" s="438">
        <f t="shared" si="43"/>
        <v>0</v>
      </c>
      <c r="CA108" s="438">
        <f t="shared" si="44"/>
        <v>0</v>
      </c>
      <c r="CB108" s="438">
        <f t="shared" si="45"/>
        <v>0</v>
      </c>
      <c r="CC108" s="438">
        <f t="shared" si="46"/>
        <v>0</v>
      </c>
      <c r="CD108" s="448"/>
      <c r="CE108" s="448"/>
      <c r="CF108" s="448">
        <f t="shared" si="52"/>
        <v>12</v>
      </c>
      <c r="CG108" s="438">
        <f t="shared" si="53"/>
        <v>12</v>
      </c>
      <c r="CH108" s="438">
        <f t="shared" si="54"/>
        <v>12</v>
      </c>
    </row>
    <row r="109" s="291" customFormat="1" ht="32.05" customHeight="1" spans="1:107">
      <c r="A109" s="435">
        <v>46139</v>
      </c>
      <c r="B109" s="436" t="s">
        <v>5291</v>
      </c>
      <c r="C109" s="437" t="s">
        <v>201</v>
      </c>
      <c r="D109" s="438" t="s">
        <v>5292</v>
      </c>
      <c r="E109" s="437" t="s">
        <v>7071</v>
      </c>
      <c r="F109" s="438" t="s">
        <v>7072</v>
      </c>
      <c r="G109" s="439" t="s">
        <v>389</v>
      </c>
      <c r="H109" s="437" t="s">
        <v>390</v>
      </c>
      <c r="I109" s="440">
        <v>12</v>
      </c>
      <c r="J109" s="437">
        <v>0</v>
      </c>
      <c r="K109" s="437">
        <v>12</v>
      </c>
      <c r="L109" s="441">
        <f t="shared" si="41"/>
        <v>1</v>
      </c>
      <c r="M109" s="445">
        <v>46225</v>
      </c>
      <c r="N109" s="445">
        <v>46232</v>
      </c>
      <c r="O109" s="442" t="s">
        <v>7068</v>
      </c>
      <c r="P109" s="442"/>
      <c r="Q109" s="437"/>
      <c r="R109" s="443">
        <v>46139</v>
      </c>
      <c r="S109" s="452" t="s">
        <v>107</v>
      </c>
      <c r="T109" s="452" t="s">
        <v>3064</v>
      </c>
      <c r="U109" s="436"/>
      <c r="V109" s="436"/>
      <c r="W109" s="436"/>
      <c r="X109" s="436" t="s">
        <v>5296</v>
      </c>
      <c r="Y109" s="445" t="s">
        <v>557</v>
      </c>
      <c r="Z109" s="438">
        <v>2.29</v>
      </c>
      <c r="AA109" s="446">
        <f t="shared" si="47"/>
        <v>27.48</v>
      </c>
      <c r="AB109" s="437"/>
      <c r="AC109" s="439" t="s">
        <v>389</v>
      </c>
      <c r="AD109" s="437" t="s">
        <v>112</v>
      </c>
      <c r="AE109" s="437"/>
      <c r="AF109" s="437"/>
      <c r="AG109" s="442"/>
      <c r="AH109" s="442">
        <f t="shared" si="42"/>
        <v>-12</v>
      </c>
      <c r="AI109" s="437"/>
      <c r="AJ109" s="437"/>
      <c r="AK109" s="438">
        <f t="shared" si="48"/>
        <v>24</v>
      </c>
      <c r="AL109" s="438"/>
      <c r="AM109" s="438"/>
      <c r="AN109" s="438"/>
      <c r="AO109" s="438"/>
      <c r="AP109" s="447">
        <f t="shared" si="49"/>
        <v>24</v>
      </c>
      <c r="AQ109" s="438"/>
      <c r="AR109" s="448"/>
      <c r="AS109" s="438">
        <f t="shared" si="50"/>
        <v>24</v>
      </c>
      <c r="AT109" s="449">
        <f t="shared" si="51"/>
        <v>1.44</v>
      </c>
      <c r="AU109" s="449"/>
      <c r="AV109" s="438"/>
      <c r="AW109" s="438"/>
      <c r="AX109" s="438"/>
      <c r="AY109" s="438"/>
      <c r="AZ109" s="438"/>
      <c r="BA109" s="438"/>
      <c r="BB109" s="438"/>
      <c r="BC109" s="438"/>
      <c r="BD109" s="438"/>
      <c r="BE109" s="438"/>
      <c r="BF109" s="438"/>
      <c r="BG109" s="438"/>
      <c r="BH109" s="438"/>
      <c r="BI109" s="438"/>
      <c r="BJ109" s="438"/>
      <c r="BK109" s="447"/>
      <c r="BL109" s="447"/>
      <c r="BM109" s="438"/>
      <c r="BN109" s="448"/>
      <c r="BO109" s="448"/>
      <c r="BP109" s="438"/>
      <c r="BQ109" s="438"/>
      <c r="BR109" s="447"/>
      <c r="BS109" s="438"/>
      <c r="BT109" s="438"/>
      <c r="BU109" s="438"/>
      <c r="BV109" s="438"/>
      <c r="BW109" s="438"/>
      <c r="BX109" s="438"/>
      <c r="BY109" s="438"/>
      <c r="BZ109" s="438">
        <f t="shared" si="43"/>
        <v>0</v>
      </c>
      <c r="CA109" s="438">
        <f t="shared" si="44"/>
        <v>0</v>
      </c>
      <c r="CB109" s="438">
        <f t="shared" si="45"/>
        <v>0</v>
      </c>
      <c r="CC109" s="438">
        <f t="shared" si="46"/>
        <v>0</v>
      </c>
      <c r="CD109" s="448"/>
      <c r="CE109" s="448"/>
      <c r="CF109" s="448">
        <f t="shared" si="52"/>
        <v>12</v>
      </c>
      <c r="CG109" s="438">
        <f t="shared" si="53"/>
        <v>12</v>
      </c>
      <c r="CH109" s="438">
        <f t="shared" si="54"/>
        <v>12</v>
      </c>
    </row>
    <row r="110" s="291" customFormat="1" ht="32.05" customHeight="1" spans="1:107">
      <c r="A110" s="435">
        <v>46139</v>
      </c>
      <c r="B110" s="436" t="s">
        <v>5291</v>
      </c>
      <c r="C110" s="437" t="s">
        <v>201</v>
      </c>
      <c r="D110" s="438" t="s">
        <v>5292</v>
      </c>
      <c r="E110" s="437" t="s">
        <v>7073</v>
      </c>
      <c r="F110" s="438" t="s">
        <v>7074</v>
      </c>
      <c r="G110" s="439" t="s">
        <v>389</v>
      </c>
      <c r="H110" s="437" t="s">
        <v>390</v>
      </c>
      <c r="I110" s="440">
        <v>12</v>
      </c>
      <c r="J110" s="437">
        <v>0</v>
      </c>
      <c r="K110" s="437">
        <v>12</v>
      </c>
      <c r="L110" s="441">
        <f t="shared" si="41"/>
        <v>1</v>
      </c>
      <c r="M110" s="445">
        <v>46225</v>
      </c>
      <c r="N110" s="445">
        <v>46232</v>
      </c>
      <c r="O110" s="442" t="s">
        <v>7068</v>
      </c>
      <c r="P110" s="442"/>
      <c r="Q110" s="437"/>
      <c r="R110" s="443">
        <v>46139</v>
      </c>
      <c r="S110" s="452" t="s">
        <v>107</v>
      </c>
      <c r="T110" s="452" t="s">
        <v>3064</v>
      </c>
      <c r="U110" s="436"/>
      <c r="V110" s="436"/>
      <c r="W110" s="436"/>
      <c r="X110" s="436" t="s">
        <v>5296</v>
      </c>
      <c r="Y110" s="445" t="s">
        <v>557</v>
      </c>
      <c r="Z110" s="438">
        <v>2.29</v>
      </c>
      <c r="AA110" s="446">
        <f t="shared" si="47"/>
        <v>27.48</v>
      </c>
      <c r="AB110" s="437"/>
      <c r="AC110" s="439" t="s">
        <v>389</v>
      </c>
      <c r="AD110" s="437" t="s">
        <v>112</v>
      </c>
      <c r="AE110" s="437"/>
      <c r="AF110" s="437"/>
      <c r="AG110" s="442"/>
      <c r="AH110" s="442">
        <f t="shared" si="42"/>
        <v>-12</v>
      </c>
      <c r="AI110" s="437"/>
      <c r="AJ110" s="437"/>
      <c r="AK110" s="438">
        <f t="shared" si="48"/>
        <v>24</v>
      </c>
      <c r="AL110" s="438"/>
      <c r="AM110" s="438"/>
      <c r="AN110" s="438"/>
      <c r="AO110" s="438"/>
      <c r="AP110" s="447">
        <f t="shared" si="49"/>
        <v>24</v>
      </c>
      <c r="AQ110" s="438"/>
      <c r="AR110" s="448"/>
      <c r="AS110" s="438">
        <f t="shared" si="50"/>
        <v>24</v>
      </c>
      <c r="AT110" s="449">
        <f t="shared" si="51"/>
        <v>1.44</v>
      </c>
      <c r="AU110" s="449"/>
      <c r="AV110" s="438"/>
      <c r="AW110" s="438"/>
      <c r="AX110" s="438"/>
      <c r="AY110" s="438"/>
      <c r="AZ110" s="438"/>
      <c r="BA110" s="438"/>
      <c r="BB110" s="438"/>
      <c r="BC110" s="438"/>
      <c r="BD110" s="438"/>
      <c r="BE110" s="438"/>
      <c r="BF110" s="438"/>
      <c r="BG110" s="438"/>
      <c r="BH110" s="438"/>
      <c r="BI110" s="438"/>
      <c r="BJ110" s="438"/>
      <c r="BK110" s="447"/>
      <c r="BL110" s="447"/>
      <c r="BM110" s="438"/>
      <c r="BN110" s="448"/>
      <c r="BO110" s="448"/>
      <c r="BP110" s="438"/>
      <c r="BQ110" s="438"/>
      <c r="BR110" s="447"/>
      <c r="BS110" s="438"/>
      <c r="BT110" s="438"/>
      <c r="BU110" s="438"/>
      <c r="BV110" s="438"/>
      <c r="BW110" s="438"/>
      <c r="BX110" s="438"/>
      <c r="BY110" s="438"/>
      <c r="BZ110" s="438">
        <f t="shared" si="43"/>
        <v>0</v>
      </c>
      <c r="CA110" s="438">
        <f t="shared" si="44"/>
        <v>0</v>
      </c>
      <c r="CB110" s="438">
        <f t="shared" si="45"/>
        <v>0</v>
      </c>
      <c r="CC110" s="438">
        <f t="shared" si="46"/>
        <v>0</v>
      </c>
      <c r="CD110" s="448"/>
      <c r="CE110" s="448"/>
      <c r="CF110" s="448">
        <f t="shared" si="52"/>
        <v>12</v>
      </c>
      <c r="CG110" s="438">
        <f t="shared" si="53"/>
        <v>12</v>
      </c>
      <c r="CH110" s="438">
        <f t="shared" si="54"/>
        <v>12</v>
      </c>
    </row>
    <row r="111" s="291" customFormat="1" ht="32.05" customHeight="1" spans="1:107">
      <c r="A111" s="435">
        <v>46139</v>
      </c>
      <c r="B111" s="436" t="s">
        <v>5291</v>
      </c>
      <c r="C111" s="437" t="s">
        <v>201</v>
      </c>
      <c r="D111" s="438" t="s">
        <v>5292</v>
      </c>
      <c r="E111" s="437" t="s">
        <v>7075</v>
      </c>
      <c r="F111" s="438" t="s">
        <v>7076</v>
      </c>
      <c r="G111" s="439" t="s">
        <v>389</v>
      </c>
      <c r="H111" s="437" t="s">
        <v>390</v>
      </c>
      <c r="I111" s="440">
        <v>12</v>
      </c>
      <c r="J111" s="437">
        <v>0</v>
      </c>
      <c r="K111" s="437">
        <v>12</v>
      </c>
      <c r="L111" s="441">
        <f t="shared" si="41"/>
        <v>1</v>
      </c>
      <c r="M111" s="445">
        <v>46225</v>
      </c>
      <c r="N111" s="445">
        <v>46232</v>
      </c>
      <c r="O111" s="442" t="s">
        <v>7068</v>
      </c>
      <c r="P111" s="442"/>
      <c r="Q111" s="437"/>
      <c r="R111" s="451">
        <v>46139</v>
      </c>
      <c r="S111" s="452" t="s">
        <v>107</v>
      </c>
      <c r="T111" s="452" t="s">
        <v>3064</v>
      </c>
      <c r="U111" s="436"/>
      <c r="V111" s="436"/>
      <c r="W111" s="436"/>
      <c r="X111" s="436" t="s">
        <v>5296</v>
      </c>
      <c r="Y111" s="445" t="s">
        <v>557</v>
      </c>
      <c r="Z111" s="438">
        <v>2.29</v>
      </c>
      <c r="AA111" s="446">
        <f t="shared" si="47"/>
        <v>27.48</v>
      </c>
      <c r="AB111" s="437"/>
      <c r="AC111" s="519" t="s">
        <v>389</v>
      </c>
      <c r="AD111" s="437" t="s">
        <v>112</v>
      </c>
      <c r="AE111" s="437"/>
      <c r="AF111" s="437"/>
      <c r="AG111" s="442"/>
      <c r="AH111" s="442">
        <f t="shared" si="42"/>
        <v>-12</v>
      </c>
      <c r="AI111" s="437"/>
      <c r="AJ111" s="437"/>
      <c r="AK111" s="438">
        <f t="shared" si="48"/>
        <v>24</v>
      </c>
      <c r="AL111" s="438"/>
      <c r="AM111" s="438"/>
      <c r="AN111" s="438"/>
      <c r="AO111" s="438"/>
      <c r="AP111" s="447">
        <f t="shared" si="49"/>
        <v>24</v>
      </c>
      <c r="AQ111" s="438"/>
      <c r="AR111" s="448"/>
      <c r="AS111" s="438">
        <f t="shared" si="50"/>
        <v>24</v>
      </c>
      <c r="AT111" s="449">
        <f t="shared" si="51"/>
        <v>1.44</v>
      </c>
      <c r="AU111" s="449"/>
      <c r="AV111" s="438"/>
      <c r="AW111" s="438"/>
      <c r="AX111" s="438"/>
      <c r="AY111" s="438"/>
      <c r="AZ111" s="438"/>
      <c r="BA111" s="438"/>
      <c r="BB111" s="438"/>
      <c r="BC111" s="438"/>
      <c r="BD111" s="438"/>
      <c r="BE111" s="438"/>
      <c r="BF111" s="438"/>
      <c r="BG111" s="438"/>
      <c r="BH111" s="438"/>
      <c r="BI111" s="438"/>
      <c r="BJ111" s="438"/>
      <c r="BK111" s="447"/>
      <c r="BL111" s="447"/>
      <c r="BM111" s="438"/>
      <c r="BN111" s="448"/>
      <c r="BO111" s="448"/>
      <c r="BP111" s="438"/>
      <c r="BQ111" s="438"/>
      <c r="BR111" s="447"/>
      <c r="BS111" s="438"/>
      <c r="BT111" s="438"/>
      <c r="BU111" s="438"/>
      <c r="BV111" s="438"/>
      <c r="BW111" s="438"/>
      <c r="BX111" s="438"/>
      <c r="BY111" s="438"/>
      <c r="BZ111" s="438">
        <f t="shared" si="43"/>
        <v>0</v>
      </c>
      <c r="CA111" s="438">
        <f t="shared" si="44"/>
        <v>0</v>
      </c>
      <c r="CB111" s="438">
        <f t="shared" si="45"/>
        <v>0</v>
      </c>
      <c r="CC111" s="438">
        <f t="shared" si="46"/>
        <v>0</v>
      </c>
      <c r="CD111" s="448"/>
      <c r="CE111" s="448"/>
      <c r="CF111" s="448">
        <f t="shared" si="52"/>
        <v>12</v>
      </c>
      <c r="CG111" s="438">
        <f t="shared" si="53"/>
        <v>12</v>
      </c>
      <c r="CH111" s="438">
        <f t="shared" si="54"/>
        <v>12</v>
      </c>
    </row>
    <row r="112" s="286" customFormat="1" ht="32.05" customHeight="1" spans="1:107">
      <c r="A112" s="435">
        <v>46139</v>
      </c>
      <c r="B112" s="436" t="s">
        <v>5291</v>
      </c>
      <c r="C112" s="437" t="s">
        <v>201</v>
      </c>
      <c r="D112" s="438" t="s">
        <v>5292</v>
      </c>
      <c r="E112" s="437" t="s">
        <v>7077</v>
      </c>
      <c r="F112" s="438" t="s">
        <v>7078</v>
      </c>
      <c r="G112" s="439" t="s">
        <v>389</v>
      </c>
      <c r="H112" s="437" t="s">
        <v>390</v>
      </c>
      <c r="I112" s="440">
        <v>12</v>
      </c>
      <c r="J112" s="437">
        <v>0</v>
      </c>
      <c r="K112" s="437">
        <v>12</v>
      </c>
      <c r="L112" s="441">
        <f t="shared" si="41"/>
        <v>1</v>
      </c>
      <c r="M112" s="445">
        <v>46225</v>
      </c>
      <c r="N112" s="445">
        <v>46232</v>
      </c>
      <c r="O112" s="442" t="s">
        <v>7068</v>
      </c>
      <c r="P112" s="442"/>
      <c r="Q112" s="437"/>
      <c r="R112" s="451">
        <v>46139</v>
      </c>
      <c r="S112" s="444" t="s">
        <v>107</v>
      </c>
      <c r="T112" s="444" t="s">
        <v>3064</v>
      </c>
      <c r="U112" s="436"/>
      <c r="V112" s="436"/>
      <c r="W112" s="436"/>
      <c r="X112" s="436" t="s">
        <v>5296</v>
      </c>
      <c r="Y112" s="445" t="s">
        <v>557</v>
      </c>
      <c r="Z112" s="438">
        <v>2.29</v>
      </c>
      <c r="AA112" s="446">
        <f t="shared" si="47"/>
        <v>27.48</v>
      </c>
      <c r="AB112" s="437"/>
      <c r="AC112" s="439" t="s">
        <v>389</v>
      </c>
      <c r="AD112" s="437" t="s">
        <v>112</v>
      </c>
      <c r="AE112" s="437"/>
      <c r="AF112" s="437"/>
      <c r="AG112" s="442"/>
      <c r="AH112" s="442">
        <f t="shared" si="42"/>
        <v>-12</v>
      </c>
      <c r="AI112" s="437"/>
      <c r="AJ112" s="437"/>
      <c r="AK112" s="438">
        <f t="shared" si="48"/>
        <v>24</v>
      </c>
      <c r="AL112" s="438"/>
      <c r="AM112" s="438"/>
      <c r="AN112" s="438"/>
      <c r="AO112" s="438"/>
      <c r="AP112" s="447">
        <f t="shared" si="49"/>
        <v>24</v>
      </c>
      <c r="AQ112" s="438"/>
      <c r="AR112" s="448"/>
      <c r="AS112" s="438">
        <f t="shared" si="50"/>
        <v>24</v>
      </c>
      <c r="AT112" s="449">
        <f t="shared" si="51"/>
        <v>1.44</v>
      </c>
      <c r="AU112" s="449"/>
      <c r="AV112" s="438"/>
      <c r="AW112" s="438"/>
      <c r="AX112" s="438"/>
      <c r="AY112" s="438"/>
      <c r="AZ112" s="438"/>
      <c r="BA112" s="438"/>
      <c r="BB112" s="438"/>
      <c r="BC112" s="438"/>
      <c r="BD112" s="438"/>
      <c r="BE112" s="438"/>
      <c r="BF112" s="438"/>
      <c r="BG112" s="438"/>
      <c r="BH112" s="438"/>
      <c r="BI112" s="438"/>
      <c r="BJ112" s="438"/>
      <c r="BK112" s="447"/>
      <c r="BL112" s="447"/>
      <c r="BM112" s="438"/>
      <c r="BN112" s="448"/>
      <c r="BO112" s="438"/>
      <c r="BP112" s="438"/>
      <c r="BQ112" s="438"/>
      <c r="BR112" s="447"/>
      <c r="BS112" s="438"/>
      <c r="BT112" s="438"/>
      <c r="BU112" s="438"/>
      <c r="BV112" s="438"/>
      <c r="BW112" s="438"/>
      <c r="BX112" s="438"/>
      <c r="BY112" s="438"/>
      <c r="BZ112" s="438">
        <f t="shared" si="43"/>
        <v>0</v>
      </c>
      <c r="CA112" s="438">
        <f t="shared" si="44"/>
        <v>0</v>
      </c>
      <c r="CB112" s="438">
        <f t="shared" si="45"/>
        <v>0</v>
      </c>
      <c r="CC112" s="438">
        <f t="shared" si="46"/>
        <v>0</v>
      </c>
      <c r="CD112" s="448"/>
      <c r="CE112" s="448"/>
      <c r="CF112" s="448">
        <f t="shared" si="52"/>
        <v>12</v>
      </c>
      <c r="CG112" s="438">
        <f t="shared" si="53"/>
        <v>12</v>
      </c>
      <c r="CH112" s="438">
        <f t="shared" si="54"/>
        <v>12</v>
      </c>
      <c r="CI112" s="291"/>
      <c r="CJ112" s="291"/>
      <c r="CK112" s="291"/>
      <c r="CL112" s="291"/>
      <c r="CM112" s="291"/>
      <c r="CN112" s="291"/>
      <c r="CO112" s="291"/>
      <c r="CP112" s="291"/>
      <c r="CQ112" s="291"/>
      <c r="CR112" s="291"/>
      <c r="CS112" s="291"/>
      <c r="CT112" s="291"/>
      <c r="CU112" s="291"/>
      <c r="CV112" s="291"/>
      <c r="CW112" s="291"/>
      <c r="CX112" s="291"/>
      <c r="CY112" s="291"/>
      <c r="CZ112" s="291"/>
      <c r="DA112" s="291"/>
      <c r="DB112" s="291"/>
      <c r="DC112" s="291"/>
    </row>
    <row r="113" s="291" customFormat="1" ht="32.05" customHeight="1" spans="1:107">
      <c r="A113" s="435">
        <v>46139</v>
      </c>
      <c r="B113" s="436" t="s">
        <v>5291</v>
      </c>
      <c r="C113" s="437" t="s">
        <v>201</v>
      </c>
      <c r="D113" s="438" t="s">
        <v>5292</v>
      </c>
      <c r="E113" s="437" t="s">
        <v>7079</v>
      </c>
      <c r="F113" s="438" t="s">
        <v>7080</v>
      </c>
      <c r="G113" s="439" t="s">
        <v>389</v>
      </c>
      <c r="H113" s="437" t="s">
        <v>390</v>
      </c>
      <c r="I113" s="440">
        <v>12</v>
      </c>
      <c r="J113" s="437">
        <v>0</v>
      </c>
      <c r="K113" s="437">
        <v>12</v>
      </c>
      <c r="L113" s="441">
        <f t="shared" si="41"/>
        <v>1</v>
      </c>
      <c r="M113" s="445">
        <v>46225</v>
      </c>
      <c r="N113" s="445">
        <v>46232</v>
      </c>
      <c r="O113" s="442" t="s">
        <v>7068</v>
      </c>
      <c r="P113" s="442"/>
      <c r="Q113" s="437"/>
      <c r="R113" s="443">
        <v>46139</v>
      </c>
      <c r="S113" s="444" t="s">
        <v>107</v>
      </c>
      <c r="T113" s="444" t="s">
        <v>3064</v>
      </c>
      <c r="U113" s="436"/>
      <c r="V113" s="436"/>
      <c r="W113" s="436"/>
      <c r="X113" s="436" t="s">
        <v>5296</v>
      </c>
      <c r="Y113" s="445" t="s">
        <v>557</v>
      </c>
      <c r="Z113" s="438">
        <v>2.29</v>
      </c>
      <c r="AA113" s="446">
        <f t="shared" si="47"/>
        <v>27.48</v>
      </c>
      <c r="AB113" s="437"/>
      <c r="AC113" s="439" t="s">
        <v>389</v>
      </c>
      <c r="AD113" s="437" t="s">
        <v>112</v>
      </c>
      <c r="AE113" s="437"/>
      <c r="AF113" s="437"/>
      <c r="AG113" s="442"/>
      <c r="AH113" s="442">
        <f t="shared" si="42"/>
        <v>-12</v>
      </c>
      <c r="AI113" s="437"/>
      <c r="AJ113" s="437"/>
      <c r="AK113" s="438">
        <f t="shared" si="48"/>
        <v>24</v>
      </c>
      <c r="AL113" s="438"/>
      <c r="AM113" s="438"/>
      <c r="AN113" s="438"/>
      <c r="AO113" s="438"/>
      <c r="AP113" s="447">
        <f t="shared" si="49"/>
        <v>24</v>
      </c>
      <c r="AQ113" s="438"/>
      <c r="AR113" s="448"/>
      <c r="AS113" s="438">
        <f t="shared" si="50"/>
        <v>24</v>
      </c>
      <c r="AT113" s="449">
        <f t="shared" si="51"/>
        <v>1.44</v>
      </c>
      <c r="AU113" s="449"/>
      <c r="AV113" s="438"/>
      <c r="AW113" s="438"/>
      <c r="AX113" s="438"/>
      <c r="AY113" s="438"/>
      <c r="AZ113" s="438"/>
      <c r="BA113" s="438"/>
      <c r="BB113" s="438"/>
      <c r="BC113" s="438"/>
      <c r="BD113" s="438"/>
      <c r="BE113" s="438"/>
      <c r="BF113" s="438"/>
      <c r="BG113" s="438"/>
      <c r="BH113" s="438"/>
      <c r="BI113" s="438"/>
      <c r="BJ113" s="438"/>
      <c r="BK113" s="447"/>
      <c r="BL113" s="447"/>
      <c r="BM113" s="438"/>
      <c r="BN113" s="448"/>
      <c r="BO113" s="438"/>
      <c r="BP113" s="438"/>
      <c r="BQ113" s="438"/>
      <c r="BR113" s="447"/>
      <c r="BS113" s="438"/>
      <c r="BT113" s="438"/>
      <c r="BU113" s="438"/>
      <c r="BV113" s="438"/>
      <c r="BW113" s="438"/>
      <c r="BX113" s="438"/>
      <c r="BY113" s="438"/>
      <c r="BZ113" s="438">
        <f t="shared" si="43"/>
        <v>0</v>
      </c>
      <c r="CA113" s="438">
        <f t="shared" si="44"/>
        <v>0</v>
      </c>
      <c r="CB113" s="438">
        <f t="shared" si="45"/>
        <v>0</v>
      </c>
      <c r="CC113" s="438">
        <f t="shared" si="46"/>
        <v>0</v>
      </c>
      <c r="CD113" s="448"/>
      <c r="CE113" s="448"/>
      <c r="CF113" s="448">
        <f t="shared" si="52"/>
        <v>12</v>
      </c>
      <c r="CG113" s="438">
        <f t="shared" si="53"/>
        <v>12</v>
      </c>
      <c r="CH113" s="438">
        <f t="shared" si="54"/>
        <v>12</v>
      </c>
    </row>
    <row r="114" s="291" customFormat="1" ht="32.05" customHeight="1" spans="1:107">
      <c r="A114" s="435">
        <v>46139</v>
      </c>
      <c r="B114" s="436" t="s">
        <v>5291</v>
      </c>
      <c r="C114" s="437" t="s">
        <v>201</v>
      </c>
      <c r="D114" s="438" t="s">
        <v>5292</v>
      </c>
      <c r="E114" s="437" t="s">
        <v>7081</v>
      </c>
      <c r="F114" s="438" t="s">
        <v>7082</v>
      </c>
      <c r="G114" s="439" t="s">
        <v>389</v>
      </c>
      <c r="H114" s="437" t="s">
        <v>390</v>
      </c>
      <c r="I114" s="440">
        <v>12</v>
      </c>
      <c r="J114" s="437">
        <v>0</v>
      </c>
      <c r="K114" s="437">
        <v>12</v>
      </c>
      <c r="L114" s="441">
        <f t="shared" si="41"/>
        <v>1</v>
      </c>
      <c r="M114" s="445">
        <v>46225</v>
      </c>
      <c r="N114" s="445">
        <v>46232</v>
      </c>
      <c r="O114" s="442" t="s">
        <v>7068</v>
      </c>
      <c r="P114" s="442"/>
      <c r="Q114" s="437"/>
      <c r="R114" s="451">
        <v>46139</v>
      </c>
      <c r="S114" s="444" t="s">
        <v>107</v>
      </c>
      <c r="T114" s="444" t="s">
        <v>3064</v>
      </c>
      <c r="U114" s="436"/>
      <c r="V114" s="436"/>
      <c r="W114" s="436"/>
      <c r="X114" s="436" t="s">
        <v>5296</v>
      </c>
      <c r="Y114" s="445" t="s">
        <v>557</v>
      </c>
      <c r="Z114" s="438">
        <v>2.29</v>
      </c>
      <c r="AA114" s="446">
        <f t="shared" si="47"/>
        <v>27.48</v>
      </c>
      <c r="AB114" s="437"/>
      <c r="AC114" s="439" t="s">
        <v>389</v>
      </c>
      <c r="AD114" s="437" t="s">
        <v>112</v>
      </c>
      <c r="AE114" s="437"/>
      <c r="AF114" s="437"/>
      <c r="AG114" s="442"/>
      <c r="AH114" s="442">
        <f t="shared" si="42"/>
        <v>-12</v>
      </c>
      <c r="AI114" s="437"/>
      <c r="AJ114" s="437"/>
      <c r="AK114" s="520">
        <f t="shared" si="48"/>
        <v>24</v>
      </c>
      <c r="AL114" s="438"/>
      <c r="AM114" s="438"/>
      <c r="AN114" s="438"/>
      <c r="AO114" s="438"/>
      <c r="AP114" s="447">
        <f t="shared" si="49"/>
        <v>24</v>
      </c>
      <c r="AQ114" s="438"/>
      <c r="AR114" s="448"/>
      <c r="AS114" s="438">
        <f t="shared" si="50"/>
        <v>24</v>
      </c>
      <c r="AT114" s="449">
        <f t="shared" si="51"/>
        <v>1.44</v>
      </c>
      <c r="AU114" s="449"/>
      <c r="AV114" s="438"/>
      <c r="AW114" s="438"/>
      <c r="AX114" s="438"/>
      <c r="AY114" s="438"/>
      <c r="AZ114" s="438"/>
      <c r="BA114" s="438"/>
      <c r="BB114" s="438"/>
      <c r="BC114" s="438"/>
      <c r="BD114" s="438"/>
      <c r="BE114" s="438"/>
      <c r="BF114" s="438"/>
      <c r="BG114" s="438"/>
      <c r="BH114" s="438"/>
      <c r="BI114" s="438"/>
      <c r="BJ114" s="438"/>
      <c r="BK114" s="447"/>
      <c r="BL114" s="447"/>
      <c r="BM114" s="438"/>
      <c r="BN114" s="448"/>
      <c r="BO114" s="448"/>
      <c r="BP114" s="438"/>
      <c r="BQ114" s="438"/>
      <c r="BR114" s="447"/>
      <c r="BS114" s="438"/>
      <c r="BT114" s="438"/>
      <c r="BU114" s="438"/>
      <c r="BV114" s="438"/>
      <c r="BW114" s="438"/>
      <c r="BX114" s="438"/>
      <c r="BY114" s="438"/>
      <c r="BZ114" s="438">
        <f t="shared" si="43"/>
        <v>0</v>
      </c>
      <c r="CA114" s="438">
        <f t="shared" si="44"/>
        <v>0</v>
      </c>
      <c r="CB114" s="438">
        <f t="shared" si="45"/>
        <v>0</v>
      </c>
      <c r="CC114" s="438">
        <f t="shared" si="46"/>
        <v>0</v>
      </c>
      <c r="CD114" s="448"/>
      <c r="CE114" s="448"/>
      <c r="CF114" s="448">
        <f t="shared" si="52"/>
        <v>12</v>
      </c>
      <c r="CG114" s="438">
        <f t="shared" si="53"/>
        <v>12</v>
      </c>
      <c r="CH114" s="438">
        <f t="shared" si="54"/>
        <v>12</v>
      </c>
    </row>
    <row r="115" s="291" customFormat="1" ht="32.05" customHeight="1" spans="1:107">
      <c r="A115" s="435">
        <v>46139</v>
      </c>
      <c r="B115" s="436" t="s">
        <v>5291</v>
      </c>
      <c r="C115" s="437" t="s">
        <v>201</v>
      </c>
      <c r="D115" s="438" t="s">
        <v>5292</v>
      </c>
      <c r="E115" s="437" t="s">
        <v>7083</v>
      </c>
      <c r="F115" s="438" t="s">
        <v>7084</v>
      </c>
      <c r="G115" s="439" t="s">
        <v>389</v>
      </c>
      <c r="H115" s="437" t="s">
        <v>390</v>
      </c>
      <c r="I115" s="440">
        <v>288</v>
      </c>
      <c r="J115" s="437">
        <v>0</v>
      </c>
      <c r="K115" s="437">
        <v>12</v>
      </c>
      <c r="L115" s="441">
        <f t="shared" si="41"/>
        <v>24</v>
      </c>
      <c r="M115" s="445">
        <v>46225</v>
      </c>
      <c r="N115" s="445">
        <v>46232</v>
      </c>
      <c r="O115" s="442" t="s">
        <v>7068</v>
      </c>
      <c r="P115" s="442"/>
      <c r="Q115" s="437"/>
      <c r="R115" s="443">
        <v>46139</v>
      </c>
      <c r="S115" s="452" t="s">
        <v>107</v>
      </c>
      <c r="T115" s="452" t="s">
        <v>3064</v>
      </c>
      <c r="U115" s="436"/>
      <c r="V115" s="436"/>
      <c r="W115" s="436"/>
      <c r="X115" s="436" t="s">
        <v>5296</v>
      </c>
      <c r="Y115" s="445" t="s">
        <v>557</v>
      </c>
      <c r="Z115" s="438">
        <v>2.29</v>
      </c>
      <c r="AA115" s="446">
        <f t="shared" si="47"/>
        <v>659.52</v>
      </c>
      <c r="AB115" s="437"/>
      <c r="AC115" s="439" t="s">
        <v>389</v>
      </c>
      <c r="AD115" s="437" t="s">
        <v>112</v>
      </c>
      <c r="AE115" s="437"/>
      <c r="AF115" s="437"/>
      <c r="AG115" s="442"/>
      <c r="AH115" s="442">
        <f t="shared" si="42"/>
        <v>-288</v>
      </c>
      <c r="AI115" s="437"/>
      <c r="AJ115" s="437"/>
      <c r="AK115" s="438">
        <f t="shared" si="48"/>
        <v>576</v>
      </c>
      <c r="AL115" s="438"/>
      <c r="AM115" s="438"/>
      <c r="AN115" s="438"/>
      <c r="AO115" s="438"/>
      <c r="AP115" s="447">
        <f t="shared" si="49"/>
        <v>576</v>
      </c>
      <c r="AQ115" s="438"/>
      <c r="AR115" s="448"/>
      <c r="AS115" s="438">
        <f t="shared" si="50"/>
        <v>576</v>
      </c>
      <c r="AT115" s="449">
        <f t="shared" si="51"/>
        <v>34.56</v>
      </c>
      <c r="AU115" s="449"/>
      <c r="AV115" s="438"/>
      <c r="AW115" s="438"/>
      <c r="AX115" s="438"/>
      <c r="AY115" s="438"/>
      <c r="AZ115" s="438"/>
      <c r="BA115" s="438"/>
      <c r="BB115" s="438"/>
      <c r="BC115" s="438"/>
      <c r="BD115" s="438"/>
      <c r="BE115" s="438"/>
      <c r="BF115" s="438"/>
      <c r="BG115" s="438"/>
      <c r="BH115" s="438"/>
      <c r="BI115" s="438"/>
      <c r="BJ115" s="438"/>
      <c r="BK115" s="447"/>
      <c r="BL115" s="447"/>
      <c r="BM115" s="438"/>
      <c r="BN115" s="448"/>
      <c r="BO115" s="448"/>
      <c r="BP115" s="438"/>
      <c r="BQ115" s="438"/>
      <c r="BR115" s="447"/>
      <c r="BS115" s="438"/>
      <c r="BT115" s="438"/>
      <c r="BU115" s="438"/>
      <c r="BV115" s="438"/>
      <c r="BW115" s="438"/>
      <c r="BX115" s="438"/>
      <c r="BY115" s="438"/>
      <c r="BZ115" s="438">
        <f t="shared" si="43"/>
        <v>0</v>
      </c>
      <c r="CA115" s="438">
        <f t="shared" si="44"/>
        <v>0</v>
      </c>
      <c r="CB115" s="438">
        <f t="shared" si="45"/>
        <v>0</v>
      </c>
      <c r="CC115" s="438">
        <f t="shared" si="46"/>
        <v>0</v>
      </c>
      <c r="CD115" s="448"/>
      <c r="CE115" s="448"/>
      <c r="CF115" s="448">
        <f t="shared" si="52"/>
        <v>288</v>
      </c>
      <c r="CG115" s="438">
        <f t="shared" si="53"/>
        <v>288</v>
      </c>
      <c r="CH115" s="438">
        <f t="shared" si="54"/>
        <v>288</v>
      </c>
    </row>
    <row r="116" s="291" customFormat="1" ht="32.05" customHeight="1" spans="1:107">
      <c r="A116" s="435">
        <v>46139</v>
      </c>
      <c r="B116" s="436" t="s">
        <v>5291</v>
      </c>
      <c r="C116" s="437" t="s">
        <v>201</v>
      </c>
      <c r="D116" s="438" t="s">
        <v>5292</v>
      </c>
      <c r="E116" s="437" t="s">
        <v>7085</v>
      </c>
      <c r="F116" s="438" t="s">
        <v>7086</v>
      </c>
      <c r="G116" s="439" t="s">
        <v>389</v>
      </c>
      <c r="H116" s="437" t="s">
        <v>390</v>
      </c>
      <c r="I116" s="440">
        <v>180</v>
      </c>
      <c r="J116" s="437">
        <v>0</v>
      </c>
      <c r="K116" s="437">
        <v>12</v>
      </c>
      <c r="L116" s="441">
        <f t="shared" si="41"/>
        <v>15</v>
      </c>
      <c r="M116" s="445">
        <v>46225</v>
      </c>
      <c r="N116" s="445">
        <v>46232</v>
      </c>
      <c r="O116" s="442" t="s">
        <v>7068</v>
      </c>
      <c r="P116" s="442"/>
      <c r="Q116" s="437"/>
      <c r="R116" s="451">
        <v>46139</v>
      </c>
      <c r="S116" s="444" t="s">
        <v>107</v>
      </c>
      <c r="T116" s="444" t="s">
        <v>3064</v>
      </c>
      <c r="U116" s="436"/>
      <c r="V116" s="436"/>
      <c r="W116" s="436"/>
      <c r="X116" s="436" t="s">
        <v>5296</v>
      </c>
      <c r="Y116" s="445" t="s">
        <v>557</v>
      </c>
      <c r="Z116" s="438">
        <v>2.29</v>
      </c>
      <c r="AA116" s="446">
        <f t="shared" si="47"/>
        <v>412.2</v>
      </c>
      <c r="AB116" s="437"/>
      <c r="AC116" s="439" t="s">
        <v>389</v>
      </c>
      <c r="AD116" s="437" t="s">
        <v>112</v>
      </c>
      <c r="AE116" s="437"/>
      <c r="AF116" s="437"/>
      <c r="AG116" s="442"/>
      <c r="AH116" s="442">
        <f t="shared" si="42"/>
        <v>-180</v>
      </c>
      <c r="AI116" s="437"/>
      <c r="AJ116" s="437"/>
      <c r="AK116" s="438">
        <f t="shared" si="48"/>
        <v>360</v>
      </c>
      <c r="AL116" s="438"/>
      <c r="AM116" s="438"/>
      <c r="AN116" s="438"/>
      <c r="AO116" s="438"/>
      <c r="AP116" s="447">
        <f t="shared" si="49"/>
        <v>360</v>
      </c>
      <c r="AQ116" s="438"/>
      <c r="AR116" s="448"/>
      <c r="AS116" s="438">
        <f t="shared" si="50"/>
        <v>360</v>
      </c>
      <c r="AT116" s="449">
        <f t="shared" si="51"/>
        <v>21.6</v>
      </c>
      <c r="AU116" s="449"/>
      <c r="AV116" s="438"/>
      <c r="AW116" s="438"/>
      <c r="AX116" s="438"/>
      <c r="AY116" s="438"/>
      <c r="AZ116" s="438"/>
      <c r="BA116" s="438"/>
      <c r="BB116" s="438"/>
      <c r="BC116" s="438"/>
      <c r="BD116" s="438"/>
      <c r="BE116" s="438"/>
      <c r="BF116" s="438"/>
      <c r="BG116" s="438"/>
      <c r="BH116" s="438"/>
      <c r="BI116" s="438"/>
      <c r="BJ116" s="438"/>
      <c r="BK116" s="447"/>
      <c r="BL116" s="447"/>
      <c r="BM116" s="438"/>
      <c r="BN116" s="448"/>
      <c r="BO116" s="448"/>
      <c r="BP116" s="438"/>
      <c r="BQ116" s="438"/>
      <c r="BR116" s="447"/>
      <c r="BS116" s="438"/>
      <c r="BT116" s="438"/>
      <c r="BU116" s="438"/>
      <c r="BV116" s="438"/>
      <c r="BW116" s="438"/>
      <c r="BX116" s="438"/>
      <c r="BY116" s="438"/>
      <c r="BZ116" s="438">
        <f t="shared" si="43"/>
        <v>0</v>
      </c>
      <c r="CA116" s="438">
        <f t="shared" si="44"/>
        <v>0</v>
      </c>
      <c r="CB116" s="438">
        <f t="shared" si="45"/>
        <v>0</v>
      </c>
      <c r="CC116" s="438">
        <f t="shared" si="46"/>
        <v>0</v>
      </c>
      <c r="CD116" s="448"/>
      <c r="CE116" s="448"/>
      <c r="CF116" s="448">
        <f t="shared" si="52"/>
        <v>180</v>
      </c>
      <c r="CG116" s="438">
        <f t="shared" si="53"/>
        <v>180</v>
      </c>
      <c r="CH116" s="438">
        <f t="shared" si="54"/>
        <v>180</v>
      </c>
    </row>
    <row r="117" s="291" customFormat="1" ht="32.05" customHeight="1" spans="1:107">
      <c r="A117" s="435">
        <v>46139</v>
      </c>
      <c r="B117" s="436" t="s">
        <v>5291</v>
      </c>
      <c r="C117" s="437" t="s">
        <v>201</v>
      </c>
      <c r="D117" s="438" t="s">
        <v>5292</v>
      </c>
      <c r="E117" s="437" t="s">
        <v>7087</v>
      </c>
      <c r="F117" s="438" t="s">
        <v>7088</v>
      </c>
      <c r="G117" s="439" t="s">
        <v>389</v>
      </c>
      <c r="H117" s="437" t="s">
        <v>390</v>
      </c>
      <c r="I117" s="440">
        <v>240</v>
      </c>
      <c r="J117" s="437">
        <v>0</v>
      </c>
      <c r="K117" s="437">
        <v>12</v>
      </c>
      <c r="L117" s="441">
        <f t="shared" si="41"/>
        <v>20</v>
      </c>
      <c r="M117" s="445">
        <v>46225</v>
      </c>
      <c r="N117" s="445">
        <v>46232</v>
      </c>
      <c r="O117" s="442" t="s">
        <v>7068</v>
      </c>
      <c r="P117" s="442"/>
      <c r="Q117" s="437"/>
      <c r="R117" s="451">
        <v>46139</v>
      </c>
      <c r="S117" s="444" t="s">
        <v>107</v>
      </c>
      <c r="T117" s="444" t="s">
        <v>3064</v>
      </c>
      <c r="U117" s="436"/>
      <c r="V117" s="436"/>
      <c r="W117" s="436"/>
      <c r="X117" s="436" t="s">
        <v>5296</v>
      </c>
      <c r="Y117" s="445" t="s">
        <v>557</v>
      </c>
      <c r="Z117" s="438">
        <v>2.29</v>
      </c>
      <c r="AA117" s="446">
        <f t="shared" si="47"/>
        <v>549.6</v>
      </c>
      <c r="AB117" s="437"/>
      <c r="AC117" s="439" t="s">
        <v>389</v>
      </c>
      <c r="AD117" s="437" t="s">
        <v>112</v>
      </c>
      <c r="AE117" s="437"/>
      <c r="AF117" s="437"/>
      <c r="AG117" s="442"/>
      <c r="AH117" s="442">
        <f t="shared" si="42"/>
        <v>-240</v>
      </c>
      <c r="AI117" s="437"/>
      <c r="AJ117" s="437"/>
      <c r="AK117" s="438">
        <f t="shared" si="48"/>
        <v>480</v>
      </c>
      <c r="AL117" s="438"/>
      <c r="AM117" s="438"/>
      <c r="AN117" s="438"/>
      <c r="AO117" s="438"/>
      <c r="AP117" s="447">
        <f t="shared" si="49"/>
        <v>480</v>
      </c>
      <c r="AQ117" s="438"/>
      <c r="AR117" s="448"/>
      <c r="AS117" s="438">
        <f t="shared" si="50"/>
        <v>480</v>
      </c>
      <c r="AT117" s="449">
        <f t="shared" si="51"/>
        <v>28.8</v>
      </c>
      <c r="AU117" s="449"/>
      <c r="AV117" s="438"/>
      <c r="AW117" s="438"/>
      <c r="AX117" s="438"/>
      <c r="AY117" s="438"/>
      <c r="AZ117" s="438"/>
      <c r="BA117" s="438"/>
      <c r="BB117" s="438"/>
      <c r="BC117" s="438"/>
      <c r="BD117" s="438"/>
      <c r="BE117" s="438"/>
      <c r="BF117" s="438"/>
      <c r="BG117" s="438"/>
      <c r="BH117" s="438"/>
      <c r="BI117" s="438"/>
      <c r="BJ117" s="438"/>
      <c r="BK117" s="447"/>
      <c r="BL117" s="447"/>
      <c r="BM117" s="438"/>
      <c r="BN117" s="448"/>
      <c r="BO117" s="448"/>
      <c r="BP117" s="438"/>
      <c r="BQ117" s="438"/>
      <c r="BR117" s="447"/>
      <c r="BS117" s="438"/>
      <c r="BT117" s="438"/>
      <c r="BU117" s="438"/>
      <c r="BV117" s="438"/>
      <c r="BW117" s="438"/>
      <c r="BX117" s="438"/>
      <c r="BY117" s="438"/>
      <c r="BZ117" s="438">
        <f t="shared" si="43"/>
        <v>0</v>
      </c>
      <c r="CA117" s="438">
        <f t="shared" si="44"/>
        <v>0</v>
      </c>
      <c r="CB117" s="438">
        <f t="shared" si="45"/>
        <v>0</v>
      </c>
      <c r="CC117" s="438">
        <f t="shared" si="46"/>
        <v>0</v>
      </c>
      <c r="CD117" s="448"/>
      <c r="CE117" s="448"/>
      <c r="CF117" s="448">
        <f t="shared" si="52"/>
        <v>240</v>
      </c>
      <c r="CG117" s="438">
        <f t="shared" si="53"/>
        <v>240</v>
      </c>
      <c r="CH117" s="438">
        <f t="shared" si="54"/>
        <v>240</v>
      </c>
    </row>
    <row r="118" s="291" customFormat="1" ht="32.05" customHeight="1" spans="1:107">
      <c r="A118" s="435">
        <v>46139</v>
      </c>
      <c r="B118" s="436" t="s">
        <v>5291</v>
      </c>
      <c r="C118" s="437" t="s">
        <v>201</v>
      </c>
      <c r="D118" s="438" t="s">
        <v>5292</v>
      </c>
      <c r="E118" s="437" t="s">
        <v>7089</v>
      </c>
      <c r="F118" s="438" t="s">
        <v>7090</v>
      </c>
      <c r="G118" s="439" t="s">
        <v>389</v>
      </c>
      <c r="H118" s="437" t="s">
        <v>390</v>
      </c>
      <c r="I118" s="440">
        <v>840</v>
      </c>
      <c r="J118" s="437">
        <v>0</v>
      </c>
      <c r="K118" s="437">
        <v>12</v>
      </c>
      <c r="L118" s="441">
        <f t="shared" si="41"/>
        <v>70</v>
      </c>
      <c r="M118" s="445">
        <v>46225</v>
      </c>
      <c r="N118" s="445">
        <v>46232</v>
      </c>
      <c r="O118" s="442" t="s">
        <v>7068</v>
      </c>
      <c r="P118" s="442"/>
      <c r="Q118" s="437"/>
      <c r="R118" s="451">
        <v>46139</v>
      </c>
      <c r="S118" s="444" t="s">
        <v>107</v>
      </c>
      <c r="T118" s="444" t="s">
        <v>3064</v>
      </c>
      <c r="U118" s="436"/>
      <c r="V118" s="436"/>
      <c r="W118" s="436"/>
      <c r="X118" s="436" t="s">
        <v>5296</v>
      </c>
      <c r="Y118" s="445" t="s">
        <v>557</v>
      </c>
      <c r="Z118" s="438">
        <v>2.29</v>
      </c>
      <c r="AA118" s="446">
        <f t="shared" si="47"/>
        <v>1923.6</v>
      </c>
      <c r="AB118" s="437"/>
      <c r="AC118" s="439" t="s">
        <v>389</v>
      </c>
      <c r="AD118" s="437" t="s">
        <v>112</v>
      </c>
      <c r="AE118" s="437"/>
      <c r="AF118" s="437"/>
      <c r="AG118" s="442"/>
      <c r="AH118" s="442">
        <f t="shared" si="42"/>
        <v>-840</v>
      </c>
      <c r="AI118" s="437"/>
      <c r="AJ118" s="437"/>
      <c r="AK118" s="438">
        <f t="shared" si="48"/>
        <v>1680</v>
      </c>
      <c r="AL118" s="438"/>
      <c r="AM118" s="438"/>
      <c r="AN118" s="438"/>
      <c r="AO118" s="438"/>
      <c r="AP118" s="447">
        <f t="shared" si="49"/>
        <v>1680</v>
      </c>
      <c r="AQ118" s="438"/>
      <c r="AR118" s="448"/>
      <c r="AS118" s="438">
        <f t="shared" si="50"/>
        <v>1680</v>
      </c>
      <c r="AT118" s="449">
        <f t="shared" si="51"/>
        <v>100.8</v>
      </c>
      <c r="AU118" s="449"/>
      <c r="AV118" s="438"/>
      <c r="AW118" s="438"/>
      <c r="AX118" s="438"/>
      <c r="AY118" s="438"/>
      <c r="AZ118" s="438"/>
      <c r="BA118" s="438"/>
      <c r="BB118" s="438"/>
      <c r="BC118" s="438"/>
      <c r="BD118" s="438"/>
      <c r="BE118" s="438"/>
      <c r="BF118" s="438"/>
      <c r="BG118" s="438"/>
      <c r="BH118" s="438"/>
      <c r="BI118" s="438"/>
      <c r="BJ118" s="438"/>
      <c r="BK118" s="447"/>
      <c r="BL118" s="447"/>
      <c r="BM118" s="438"/>
      <c r="BN118" s="448"/>
      <c r="BO118" s="448"/>
      <c r="BP118" s="438"/>
      <c r="BQ118" s="438"/>
      <c r="BR118" s="447"/>
      <c r="BS118" s="438"/>
      <c r="BT118" s="438"/>
      <c r="BU118" s="438"/>
      <c r="BV118" s="438"/>
      <c r="BW118" s="438"/>
      <c r="BX118" s="438"/>
      <c r="BY118" s="438"/>
      <c r="BZ118" s="438">
        <f t="shared" si="43"/>
        <v>0</v>
      </c>
      <c r="CA118" s="438">
        <f t="shared" si="44"/>
        <v>0</v>
      </c>
      <c r="CB118" s="438">
        <f t="shared" si="45"/>
        <v>0</v>
      </c>
      <c r="CC118" s="438">
        <f t="shared" si="46"/>
        <v>0</v>
      </c>
      <c r="CD118" s="448"/>
      <c r="CE118" s="448"/>
      <c r="CF118" s="448">
        <f t="shared" si="52"/>
        <v>840</v>
      </c>
      <c r="CG118" s="438">
        <f t="shared" si="53"/>
        <v>840</v>
      </c>
      <c r="CH118" s="438">
        <f t="shared" si="54"/>
        <v>840</v>
      </c>
    </row>
    <row r="119" s="291" customFormat="1" ht="32.05" customHeight="1" spans="1:107">
      <c r="A119" s="435">
        <v>46139</v>
      </c>
      <c r="B119" s="436" t="s">
        <v>5291</v>
      </c>
      <c r="C119" s="437" t="s">
        <v>201</v>
      </c>
      <c r="D119" s="438" t="s">
        <v>5292</v>
      </c>
      <c r="E119" s="437" t="s">
        <v>7091</v>
      </c>
      <c r="F119" s="438" t="s">
        <v>7092</v>
      </c>
      <c r="G119" s="439" t="s">
        <v>389</v>
      </c>
      <c r="H119" s="437" t="s">
        <v>390</v>
      </c>
      <c r="I119" s="440">
        <v>312</v>
      </c>
      <c r="J119" s="437">
        <v>0</v>
      </c>
      <c r="K119" s="437">
        <v>12</v>
      </c>
      <c r="L119" s="441">
        <f t="shared" si="41"/>
        <v>26</v>
      </c>
      <c r="M119" s="445">
        <v>46225</v>
      </c>
      <c r="N119" s="445">
        <v>46232</v>
      </c>
      <c r="O119" s="442" t="s">
        <v>7068</v>
      </c>
      <c r="P119" s="442"/>
      <c r="Q119" s="437"/>
      <c r="R119" s="451">
        <v>46139</v>
      </c>
      <c r="S119" s="444" t="s">
        <v>107</v>
      </c>
      <c r="T119" s="444" t="s">
        <v>3064</v>
      </c>
      <c r="U119" s="436"/>
      <c r="V119" s="436"/>
      <c r="W119" s="436"/>
      <c r="X119" s="436" t="s">
        <v>5296</v>
      </c>
      <c r="Y119" s="445" t="s">
        <v>557</v>
      </c>
      <c r="Z119" s="438">
        <v>2.29</v>
      </c>
      <c r="AA119" s="446">
        <f t="shared" si="47"/>
        <v>714.48</v>
      </c>
      <c r="AB119" s="437"/>
      <c r="AC119" s="439" t="s">
        <v>389</v>
      </c>
      <c r="AD119" s="437" t="s">
        <v>112</v>
      </c>
      <c r="AE119" s="437"/>
      <c r="AF119" s="437"/>
      <c r="AG119" s="442"/>
      <c r="AH119" s="442">
        <f t="shared" si="42"/>
        <v>-312</v>
      </c>
      <c r="AI119" s="437"/>
      <c r="AJ119" s="437"/>
      <c r="AK119" s="438">
        <f t="shared" si="48"/>
        <v>624</v>
      </c>
      <c r="AL119" s="438"/>
      <c r="AM119" s="438"/>
      <c r="AN119" s="438"/>
      <c r="AO119" s="438"/>
      <c r="AP119" s="447">
        <f t="shared" si="49"/>
        <v>624</v>
      </c>
      <c r="AQ119" s="438"/>
      <c r="AR119" s="448"/>
      <c r="AS119" s="438">
        <f t="shared" si="50"/>
        <v>624</v>
      </c>
      <c r="AT119" s="449">
        <f t="shared" si="51"/>
        <v>37.44</v>
      </c>
      <c r="AU119" s="449"/>
      <c r="AV119" s="438"/>
      <c r="AW119" s="438"/>
      <c r="AX119" s="438"/>
      <c r="AY119" s="438"/>
      <c r="AZ119" s="438"/>
      <c r="BA119" s="438"/>
      <c r="BB119" s="438"/>
      <c r="BC119" s="438"/>
      <c r="BD119" s="438"/>
      <c r="BE119" s="438"/>
      <c r="BF119" s="438"/>
      <c r="BG119" s="438"/>
      <c r="BH119" s="438"/>
      <c r="BI119" s="438"/>
      <c r="BJ119" s="438"/>
      <c r="BK119" s="447"/>
      <c r="BL119" s="447"/>
      <c r="BM119" s="438"/>
      <c r="BN119" s="448"/>
      <c r="BO119" s="448"/>
      <c r="BP119" s="438"/>
      <c r="BQ119" s="438"/>
      <c r="BR119" s="447"/>
      <c r="BS119" s="438"/>
      <c r="BT119" s="438"/>
      <c r="BU119" s="438"/>
      <c r="BV119" s="438"/>
      <c r="BW119" s="438"/>
      <c r="BX119" s="438"/>
      <c r="BY119" s="438"/>
      <c r="BZ119" s="438">
        <f t="shared" si="43"/>
        <v>0</v>
      </c>
      <c r="CA119" s="438">
        <f t="shared" si="44"/>
        <v>0</v>
      </c>
      <c r="CB119" s="438">
        <f t="shared" si="45"/>
        <v>0</v>
      </c>
      <c r="CC119" s="438">
        <f t="shared" si="46"/>
        <v>0</v>
      </c>
      <c r="CD119" s="448"/>
      <c r="CE119" s="448"/>
      <c r="CF119" s="448">
        <f t="shared" si="52"/>
        <v>312</v>
      </c>
      <c r="CG119" s="438">
        <f t="shared" si="53"/>
        <v>312</v>
      </c>
      <c r="CH119" s="438">
        <f t="shared" si="54"/>
        <v>312</v>
      </c>
    </row>
    <row r="120" s="291" customFormat="1" ht="32.05" customHeight="1" spans="1:107">
      <c r="A120" s="435">
        <v>46139</v>
      </c>
      <c r="B120" s="436" t="s">
        <v>5291</v>
      </c>
      <c r="C120" s="437" t="s">
        <v>201</v>
      </c>
      <c r="D120" s="438" t="s">
        <v>5292</v>
      </c>
      <c r="E120" s="437" t="s">
        <v>7093</v>
      </c>
      <c r="F120" s="438" t="s">
        <v>7094</v>
      </c>
      <c r="G120" s="439" t="s">
        <v>389</v>
      </c>
      <c r="H120" s="437" t="s">
        <v>390</v>
      </c>
      <c r="I120" s="440">
        <v>252</v>
      </c>
      <c r="J120" s="437">
        <v>0</v>
      </c>
      <c r="K120" s="437">
        <v>12</v>
      </c>
      <c r="L120" s="441">
        <f t="shared" si="41"/>
        <v>21</v>
      </c>
      <c r="M120" s="445">
        <v>46225</v>
      </c>
      <c r="N120" s="445">
        <v>46232</v>
      </c>
      <c r="O120" s="442" t="s">
        <v>7068</v>
      </c>
      <c r="P120" s="442"/>
      <c r="Q120" s="437"/>
      <c r="R120" s="451">
        <v>46139</v>
      </c>
      <c r="S120" s="444" t="s">
        <v>107</v>
      </c>
      <c r="T120" s="444" t="s">
        <v>3064</v>
      </c>
      <c r="U120" s="436"/>
      <c r="V120" s="436"/>
      <c r="W120" s="436"/>
      <c r="X120" s="436" t="s">
        <v>5296</v>
      </c>
      <c r="Y120" s="445" t="s">
        <v>557</v>
      </c>
      <c r="Z120" s="438">
        <v>2.29</v>
      </c>
      <c r="AA120" s="446">
        <f t="shared" si="47"/>
        <v>577.08</v>
      </c>
      <c r="AB120" s="437"/>
      <c r="AC120" s="439" t="s">
        <v>389</v>
      </c>
      <c r="AD120" s="437" t="s">
        <v>112</v>
      </c>
      <c r="AE120" s="437"/>
      <c r="AF120" s="437"/>
      <c r="AG120" s="442"/>
      <c r="AH120" s="442">
        <f t="shared" si="42"/>
        <v>-252</v>
      </c>
      <c r="AI120" s="437"/>
      <c r="AJ120" s="437"/>
      <c r="AK120" s="438">
        <f t="shared" si="48"/>
        <v>504</v>
      </c>
      <c r="AL120" s="438"/>
      <c r="AM120" s="438"/>
      <c r="AN120" s="438"/>
      <c r="AO120" s="438"/>
      <c r="AP120" s="447">
        <f t="shared" si="49"/>
        <v>504</v>
      </c>
      <c r="AQ120" s="438"/>
      <c r="AR120" s="448"/>
      <c r="AS120" s="438">
        <f t="shared" si="50"/>
        <v>504</v>
      </c>
      <c r="AT120" s="449">
        <f t="shared" si="51"/>
        <v>30.24</v>
      </c>
      <c r="AU120" s="449"/>
      <c r="AV120" s="438"/>
      <c r="AW120" s="438"/>
      <c r="AX120" s="438"/>
      <c r="AY120" s="438"/>
      <c r="AZ120" s="438"/>
      <c r="BA120" s="438"/>
      <c r="BB120" s="438"/>
      <c r="BC120" s="438"/>
      <c r="BD120" s="438"/>
      <c r="BE120" s="438"/>
      <c r="BF120" s="438"/>
      <c r="BG120" s="438"/>
      <c r="BH120" s="438"/>
      <c r="BI120" s="438"/>
      <c r="BJ120" s="438"/>
      <c r="BK120" s="447"/>
      <c r="BL120" s="447"/>
      <c r="BM120" s="438"/>
      <c r="BN120" s="448"/>
      <c r="BO120" s="448"/>
      <c r="BP120" s="438"/>
      <c r="BQ120" s="438"/>
      <c r="BR120" s="447"/>
      <c r="BS120" s="438"/>
      <c r="BT120" s="438"/>
      <c r="BU120" s="438"/>
      <c r="BV120" s="438"/>
      <c r="BW120" s="438"/>
      <c r="BX120" s="438"/>
      <c r="BY120" s="438"/>
      <c r="BZ120" s="438">
        <f t="shared" si="43"/>
        <v>0</v>
      </c>
      <c r="CA120" s="438">
        <f t="shared" si="44"/>
        <v>0</v>
      </c>
      <c r="CB120" s="438">
        <f t="shared" si="45"/>
        <v>0</v>
      </c>
      <c r="CC120" s="438">
        <f t="shared" si="46"/>
        <v>0</v>
      </c>
      <c r="CD120" s="448"/>
      <c r="CE120" s="448"/>
      <c r="CF120" s="448">
        <f t="shared" si="52"/>
        <v>252</v>
      </c>
      <c r="CG120" s="438">
        <f t="shared" si="53"/>
        <v>252</v>
      </c>
      <c r="CH120" s="438">
        <f t="shared" si="54"/>
        <v>252</v>
      </c>
    </row>
    <row r="121" s="291" customFormat="1" ht="32.05" customHeight="1" spans="1:107">
      <c r="A121" s="435">
        <v>46139</v>
      </c>
      <c r="B121" s="436" t="s">
        <v>5291</v>
      </c>
      <c r="C121" s="437" t="s">
        <v>201</v>
      </c>
      <c r="D121" s="438" t="s">
        <v>5292</v>
      </c>
      <c r="E121" s="437" t="s">
        <v>7095</v>
      </c>
      <c r="F121" s="438" t="s">
        <v>7096</v>
      </c>
      <c r="G121" s="439" t="s">
        <v>389</v>
      </c>
      <c r="H121" s="437" t="s">
        <v>390</v>
      </c>
      <c r="I121" s="440">
        <v>216</v>
      </c>
      <c r="J121" s="437">
        <v>0</v>
      </c>
      <c r="K121" s="437">
        <v>12</v>
      </c>
      <c r="L121" s="441">
        <f t="shared" si="41"/>
        <v>18</v>
      </c>
      <c r="M121" s="445">
        <v>46225</v>
      </c>
      <c r="N121" s="445">
        <v>46232</v>
      </c>
      <c r="O121" s="442" t="s">
        <v>7068</v>
      </c>
      <c r="P121" s="442"/>
      <c r="Q121" s="437"/>
      <c r="R121" s="443">
        <v>46139</v>
      </c>
      <c r="S121" s="452" t="s">
        <v>107</v>
      </c>
      <c r="T121" s="452" t="s">
        <v>3064</v>
      </c>
      <c r="U121" s="436"/>
      <c r="V121" s="436"/>
      <c r="W121" s="436"/>
      <c r="X121" s="436" t="s">
        <v>5296</v>
      </c>
      <c r="Y121" s="445" t="s">
        <v>557</v>
      </c>
      <c r="Z121" s="438">
        <v>2.29</v>
      </c>
      <c r="AA121" s="446">
        <f t="shared" si="47"/>
        <v>494.64</v>
      </c>
      <c r="AB121" s="437"/>
      <c r="AC121" s="439" t="s">
        <v>389</v>
      </c>
      <c r="AD121" s="437" t="s">
        <v>112</v>
      </c>
      <c r="AE121" s="437"/>
      <c r="AF121" s="437"/>
      <c r="AG121" s="442"/>
      <c r="AH121" s="442">
        <f t="shared" si="42"/>
        <v>-216</v>
      </c>
      <c r="AI121" s="437"/>
      <c r="AJ121" s="437"/>
      <c r="AK121" s="438">
        <f t="shared" si="48"/>
        <v>432</v>
      </c>
      <c r="AL121" s="438"/>
      <c r="AM121" s="438"/>
      <c r="AN121" s="438"/>
      <c r="AO121" s="438"/>
      <c r="AP121" s="447">
        <f t="shared" si="49"/>
        <v>432</v>
      </c>
      <c r="AQ121" s="438"/>
      <c r="AR121" s="448"/>
      <c r="AS121" s="438">
        <f t="shared" si="50"/>
        <v>432</v>
      </c>
      <c r="AT121" s="449">
        <f t="shared" si="51"/>
        <v>25.92</v>
      </c>
      <c r="AU121" s="449"/>
      <c r="AV121" s="438"/>
      <c r="AW121" s="438"/>
      <c r="AX121" s="438"/>
      <c r="AY121" s="438"/>
      <c r="AZ121" s="438"/>
      <c r="BA121" s="438"/>
      <c r="BB121" s="438"/>
      <c r="BC121" s="438"/>
      <c r="BD121" s="438"/>
      <c r="BE121" s="438"/>
      <c r="BF121" s="438"/>
      <c r="BG121" s="438"/>
      <c r="BH121" s="438"/>
      <c r="BI121" s="438"/>
      <c r="BJ121" s="438"/>
      <c r="BK121" s="447"/>
      <c r="BL121" s="447"/>
      <c r="BM121" s="438"/>
      <c r="BN121" s="448"/>
      <c r="BO121" s="448"/>
      <c r="BP121" s="438"/>
      <c r="BQ121" s="438"/>
      <c r="BR121" s="447"/>
      <c r="BS121" s="438"/>
      <c r="BT121" s="438"/>
      <c r="BU121" s="438"/>
      <c r="BV121" s="438"/>
      <c r="BW121" s="438"/>
      <c r="BX121" s="438"/>
      <c r="BY121" s="438"/>
      <c r="BZ121" s="438">
        <f t="shared" si="43"/>
        <v>0</v>
      </c>
      <c r="CA121" s="438">
        <f t="shared" si="44"/>
        <v>0</v>
      </c>
      <c r="CB121" s="438">
        <f t="shared" si="45"/>
        <v>0</v>
      </c>
      <c r="CC121" s="438">
        <f t="shared" si="46"/>
        <v>0</v>
      </c>
      <c r="CD121" s="448"/>
      <c r="CE121" s="448"/>
      <c r="CF121" s="448">
        <f t="shared" si="52"/>
        <v>216</v>
      </c>
      <c r="CG121" s="438">
        <f t="shared" si="53"/>
        <v>216</v>
      </c>
      <c r="CH121" s="438">
        <f t="shared" si="54"/>
        <v>216</v>
      </c>
    </row>
    <row r="122" s="291" customFormat="1" ht="32.05" customHeight="1" spans="1:107">
      <c r="A122" s="435">
        <v>46139</v>
      </c>
      <c r="B122" s="436" t="s">
        <v>5291</v>
      </c>
      <c r="C122" s="437" t="s">
        <v>201</v>
      </c>
      <c r="D122" s="438" t="s">
        <v>5292</v>
      </c>
      <c r="E122" s="437" t="s">
        <v>7097</v>
      </c>
      <c r="F122" s="438" t="s">
        <v>7098</v>
      </c>
      <c r="G122" s="439" t="s">
        <v>389</v>
      </c>
      <c r="H122" s="437" t="s">
        <v>390</v>
      </c>
      <c r="I122" s="440">
        <v>156</v>
      </c>
      <c r="J122" s="437">
        <v>0</v>
      </c>
      <c r="K122" s="437">
        <v>12</v>
      </c>
      <c r="L122" s="441">
        <f t="shared" si="41"/>
        <v>13</v>
      </c>
      <c r="M122" s="445">
        <v>46225</v>
      </c>
      <c r="N122" s="445">
        <v>46232</v>
      </c>
      <c r="O122" s="442" t="s">
        <v>7068</v>
      </c>
      <c r="P122" s="442"/>
      <c r="Q122" s="437"/>
      <c r="R122" s="443">
        <v>46139</v>
      </c>
      <c r="S122" s="452" t="s">
        <v>107</v>
      </c>
      <c r="T122" s="452" t="s">
        <v>3064</v>
      </c>
      <c r="U122" s="436"/>
      <c r="V122" s="436"/>
      <c r="W122" s="436"/>
      <c r="X122" s="436" t="s">
        <v>5296</v>
      </c>
      <c r="Y122" s="445" t="s">
        <v>557</v>
      </c>
      <c r="Z122" s="438">
        <v>2.29</v>
      </c>
      <c r="AA122" s="446">
        <f t="shared" si="47"/>
        <v>357.24</v>
      </c>
      <c r="AB122" s="437"/>
      <c r="AC122" s="439" t="s">
        <v>389</v>
      </c>
      <c r="AD122" s="437" t="s">
        <v>112</v>
      </c>
      <c r="AE122" s="437"/>
      <c r="AF122" s="437"/>
      <c r="AG122" s="442"/>
      <c r="AH122" s="442">
        <f t="shared" si="42"/>
        <v>-156</v>
      </c>
      <c r="AI122" s="437"/>
      <c r="AJ122" s="437"/>
      <c r="AK122" s="438">
        <f t="shared" si="48"/>
        <v>312</v>
      </c>
      <c r="AL122" s="438"/>
      <c r="AM122" s="438"/>
      <c r="AN122" s="438"/>
      <c r="AO122" s="438"/>
      <c r="AP122" s="447">
        <f t="shared" si="49"/>
        <v>312</v>
      </c>
      <c r="AQ122" s="438"/>
      <c r="AR122" s="448"/>
      <c r="AS122" s="438">
        <f t="shared" si="50"/>
        <v>312</v>
      </c>
      <c r="AT122" s="449">
        <f t="shared" si="51"/>
        <v>18.72</v>
      </c>
      <c r="AU122" s="449"/>
      <c r="AV122" s="438"/>
      <c r="AW122" s="438"/>
      <c r="AX122" s="438"/>
      <c r="AY122" s="438"/>
      <c r="AZ122" s="438"/>
      <c r="BA122" s="438"/>
      <c r="BB122" s="438"/>
      <c r="BC122" s="438"/>
      <c r="BD122" s="438"/>
      <c r="BE122" s="438"/>
      <c r="BF122" s="438"/>
      <c r="BG122" s="438"/>
      <c r="BH122" s="438"/>
      <c r="BI122" s="438"/>
      <c r="BJ122" s="438"/>
      <c r="BK122" s="447"/>
      <c r="BL122" s="447"/>
      <c r="BM122" s="438"/>
      <c r="BN122" s="448"/>
      <c r="BO122" s="448"/>
      <c r="BP122" s="438"/>
      <c r="BQ122" s="438"/>
      <c r="BR122" s="447"/>
      <c r="BS122" s="438"/>
      <c r="BT122" s="438"/>
      <c r="BU122" s="438"/>
      <c r="BV122" s="438"/>
      <c r="BW122" s="438"/>
      <c r="BX122" s="438"/>
      <c r="BY122" s="438"/>
      <c r="BZ122" s="438">
        <f t="shared" si="43"/>
        <v>0</v>
      </c>
      <c r="CA122" s="438">
        <f t="shared" si="44"/>
        <v>0</v>
      </c>
      <c r="CB122" s="438">
        <f t="shared" si="45"/>
        <v>0</v>
      </c>
      <c r="CC122" s="438">
        <f t="shared" si="46"/>
        <v>0</v>
      </c>
      <c r="CD122" s="448"/>
      <c r="CE122" s="448"/>
      <c r="CF122" s="448">
        <f t="shared" si="52"/>
        <v>156</v>
      </c>
      <c r="CG122" s="438">
        <f t="shared" si="53"/>
        <v>156</v>
      </c>
      <c r="CH122" s="438">
        <f t="shared" si="54"/>
        <v>156</v>
      </c>
    </row>
    <row r="123" s="286" customFormat="1" ht="32.05" customHeight="1" spans="1:107">
      <c r="A123" s="435">
        <v>46139</v>
      </c>
      <c r="B123" s="436" t="s">
        <v>5291</v>
      </c>
      <c r="C123" s="437" t="s">
        <v>201</v>
      </c>
      <c r="D123" s="438" t="s">
        <v>5292</v>
      </c>
      <c r="E123" s="437" t="s">
        <v>7099</v>
      </c>
      <c r="F123" s="438" t="s">
        <v>7100</v>
      </c>
      <c r="G123" s="439" t="s">
        <v>389</v>
      </c>
      <c r="H123" s="437" t="s">
        <v>390</v>
      </c>
      <c r="I123" s="440">
        <v>192</v>
      </c>
      <c r="J123" s="437">
        <v>0</v>
      </c>
      <c r="K123" s="437">
        <v>12</v>
      </c>
      <c r="L123" s="441">
        <f t="shared" si="41"/>
        <v>16</v>
      </c>
      <c r="M123" s="445">
        <v>46225</v>
      </c>
      <c r="N123" s="445">
        <v>46232</v>
      </c>
      <c r="O123" s="442" t="s">
        <v>7068</v>
      </c>
      <c r="P123" s="442"/>
      <c r="Q123" s="437"/>
      <c r="R123" s="443">
        <v>46139</v>
      </c>
      <c r="S123" s="452" t="s">
        <v>107</v>
      </c>
      <c r="T123" s="452" t="s">
        <v>3064</v>
      </c>
      <c r="U123" s="436"/>
      <c r="V123" s="436"/>
      <c r="W123" s="436"/>
      <c r="X123" s="436" t="s">
        <v>5296</v>
      </c>
      <c r="Y123" s="445" t="s">
        <v>557</v>
      </c>
      <c r="Z123" s="438">
        <v>2.29</v>
      </c>
      <c r="AA123" s="446">
        <f t="shared" si="47"/>
        <v>439.68</v>
      </c>
      <c r="AB123" s="437"/>
      <c r="AC123" s="439" t="s">
        <v>389</v>
      </c>
      <c r="AD123" s="437" t="s">
        <v>112</v>
      </c>
      <c r="AE123" s="437"/>
      <c r="AF123" s="437"/>
      <c r="AG123" s="442"/>
      <c r="AH123" s="442">
        <f t="shared" si="42"/>
        <v>-192</v>
      </c>
      <c r="AI123" s="437"/>
      <c r="AJ123" s="437"/>
      <c r="AK123" s="438">
        <f t="shared" si="48"/>
        <v>384</v>
      </c>
      <c r="AL123" s="438"/>
      <c r="AM123" s="438"/>
      <c r="AN123" s="438"/>
      <c r="AO123" s="438"/>
      <c r="AP123" s="447">
        <f t="shared" si="49"/>
        <v>384</v>
      </c>
      <c r="AQ123" s="438"/>
      <c r="AR123" s="448"/>
      <c r="AS123" s="438">
        <f t="shared" si="50"/>
        <v>384</v>
      </c>
      <c r="AT123" s="449">
        <f t="shared" si="51"/>
        <v>23.04</v>
      </c>
      <c r="AU123" s="449"/>
      <c r="AV123" s="438"/>
      <c r="AW123" s="438"/>
      <c r="AX123" s="438"/>
      <c r="AY123" s="438"/>
      <c r="AZ123" s="438"/>
      <c r="BA123" s="438"/>
      <c r="BB123" s="438"/>
      <c r="BC123" s="438"/>
      <c r="BD123" s="438"/>
      <c r="BE123" s="438"/>
      <c r="BF123" s="438"/>
      <c r="BG123" s="438"/>
      <c r="BH123" s="438"/>
      <c r="BI123" s="438"/>
      <c r="BJ123" s="438"/>
      <c r="BK123" s="447"/>
      <c r="BL123" s="447"/>
      <c r="BM123" s="438"/>
      <c r="BN123" s="448"/>
      <c r="BO123" s="448"/>
      <c r="BP123" s="438"/>
      <c r="BQ123" s="438"/>
      <c r="BR123" s="447"/>
      <c r="BS123" s="438"/>
      <c r="BT123" s="438"/>
      <c r="BU123" s="438"/>
      <c r="BV123" s="438"/>
      <c r="BW123" s="438"/>
      <c r="BX123" s="438"/>
      <c r="BY123" s="438"/>
      <c r="BZ123" s="438">
        <f t="shared" si="43"/>
        <v>0</v>
      </c>
      <c r="CA123" s="438">
        <f t="shared" si="44"/>
        <v>0</v>
      </c>
      <c r="CB123" s="438">
        <f t="shared" si="45"/>
        <v>0</v>
      </c>
      <c r="CC123" s="438">
        <f t="shared" si="46"/>
        <v>0</v>
      </c>
      <c r="CD123" s="448"/>
      <c r="CE123" s="448"/>
      <c r="CF123" s="448">
        <f t="shared" si="52"/>
        <v>192</v>
      </c>
      <c r="CG123" s="438">
        <f t="shared" si="53"/>
        <v>192</v>
      </c>
      <c r="CH123" s="438">
        <f t="shared" si="54"/>
        <v>192</v>
      </c>
      <c r="CI123" s="291"/>
      <c r="CJ123" s="291"/>
      <c r="CK123" s="291"/>
      <c r="CL123" s="291"/>
      <c r="CM123" s="291"/>
      <c r="CN123" s="291"/>
      <c r="CO123" s="291"/>
      <c r="CP123" s="291"/>
      <c r="CQ123" s="291"/>
      <c r="CR123" s="291"/>
      <c r="CS123" s="291"/>
      <c r="CT123" s="291"/>
      <c r="CU123" s="291"/>
      <c r="CV123" s="291"/>
      <c r="CW123" s="291"/>
      <c r="CX123" s="291"/>
      <c r="CY123" s="291"/>
      <c r="CZ123" s="291"/>
      <c r="DA123" s="291"/>
      <c r="DB123" s="291"/>
      <c r="DC123" s="291"/>
    </row>
    <row r="124" s="291" customFormat="1" ht="32.05" customHeight="1" spans="1:107">
      <c r="A124" s="435">
        <v>46139</v>
      </c>
      <c r="B124" s="436" t="s">
        <v>5291</v>
      </c>
      <c r="C124" s="437" t="s">
        <v>201</v>
      </c>
      <c r="D124" s="438" t="s">
        <v>7101</v>
      </c>
      <c r="E124" s="437" t="s">
        <v>7102</v>
      </c>
      <c r="F124" s="438" t="s">
        <v>7103</v>
      </c>
      <c r="G124" s="439" t="s">
        <v>389</v>
      </c>
      <c r="H124" s="437" t="s">
        <v>390</v>
      </c>
      <c r="I124" s="440">
        <v>1260</v>
      </c>
      <c r="J124" s="437">
        <v>0</v>
      </c>
      <c r="K124" s="437">
        <v>12</v>
      </c>
      <c r="L124" s="441">
        <f t="shared" si="41"/>
        <v>105</v>
      </c>
      <c r="M124" s="445">
        <v>46204</v>
      </c>
      <c r="N124" s="445">
        <v>46221</v>
      </c>
      <c r="O124" s="442"/>
      <c r="P124" s="442"/>
      <c r="Q124" s="437"/>
      <c r="R124" s="451">
        <v>46139</v>
      </c>
      <c r="S124" s="444" t="s">
        <v>107</v>
      </c>
      <c r="T124" s="444">
        <v>46189</v>
      </c>
      <c r="U124" s="436"/>
      <c r="V124" s="436"/>
      <c r="W124" s="436"/>
      <c r="X124" s="436" t="s">
        <v>7104</v>
      </c>
      <c r="Y124" s="445" t="s">
        <v>557</v>
      </c>
      <c r="Z124" s="438">
        <v>2.29</v>
      </c>
      <c r="AA124" s="446">
        <f t="shared" si="47"/>
        <v>2885.4</v>
      </c>
      <c r="AB124" s="437"/>
      <c r="AC124" s="439" t="s">
        <v>389</v>
      </c>
      <c r="AD124" s="437" t="s">
        <v>112</v>
      </c>
      <c r="AE124" s="437" t="s">
        <v>113</v>
      </c>
      <c r="AF124" s="437"/>
      <c r="AG124" s="442"/>
      <c r="AH124" s="442">
        <f t="shared" si="42"/>
        <v>-1260</v>
      </c>
      <c r="AI124" s="437"/>
      <c r="AJ124" s="437"/>
      <c r="AK124" s="438">
        <f t="shared" si="48"/>
        <v>2520</v>
      </c>
      <c r="AL124" s="438"/>
      <c r="AM124" s="438"/>
      <c r="AN124" s="438"/>
      <c r="AO124" s="438"/>
      <c r="AP124" s="447">
        <f t="shared" si="49"/>
        <v>2520</v>
      </c>
      <c r="AQ124" s="438"/>
      <c r="AR124" s="448"/>
      <c r="AS124" s="438">
        <f t="shared" si="50"/>
        <v>2520</v>
      </c>
      <c r="AT124" s="449">
        <f t="shared" si="51"/>
        <v>151.2</v>
      </c>
      <c r="AU124" s="449"/>
      <c r="AV124" s="438"/>
      <c r="AW124" s="438"/>
      <c r="AX124" s="438"/>
      <c r="AY124" s="438"/>
      <c r="AZ124" s="438"/>
      <c r="BA124" s="438"/>
      <c r="BB124" s="438"/>
      <c r="BC124" s="438"/>
      <c r="BD124" s="438"/>
      <c r="BE124" s="438"/>
      <c r="BF124" s="438"/>
      <c r="BG124" s="438"/>
      <c r="BH124" s="438"/>
      <c r="BI124" s="438"/>
      <c r="BJ124" s="438"/>
      <c r="BK124" s="447"/>
      <c r="BL124" s="447"/>
      <c r="BM124" s="438"/>
      <c r="BN124" s="448"/>
      <c r="BO124" s="438"/>
      <c r="BP124" s="438"/>
      <c r="BQ124" s="438"/>
      <c r="BR124" s="447"/>
      <c r="BS124" s="438"/>
      <c r="BT124" s="438"/>
      <c r="BU124" s="438"/>
      <c r="BV124" s="438"/>
      <c r="BW124" s="438"/>
      <c r="BX124" s="438"/>
      <c r="BY124" s="438"/>
      <c r="BZ124" s="438">
        <f t="shared" si="43"/>
        <v>0</v>
      </c>
      <c r="CA124" s="438">
        <f t="shared" si="44"/>
        <v>0</v>
      </c>
      <c r="CB124" s="438">
        <f t="shared" si="45"/>
        <v>0</v>
      </c>
      <c r="CC124" s="438">
        <f t="shared" si="46"/>
        <v>0</v>
      </c>
      <c r="CD124" s="448"/>
      <c r="CE124" s="448"/>
      <c r="CF124" s="448">
        <f t="shared" si="52"/>
        <v>1260</v>
      </c>
      <c r="CG124" s="438">
        <f t="shared" si="53"/>
        <v>1260</v>
      </c>
      <c r="CH124" s="438">
        <f t="shared" si="54"/>
        <v>1260</v>
      </c>
    </row>
    <row r="125" s="286" customFormat="1" ht="32.05" customHeight="1" spans="1:107">
      <c r="A125" s="435">
        <v>46139</v>
      </c>
      <c r="B125" s="436" t="s">
        <v>5291</v>
      </c>
      <c r="C125" s="437" t="s">
        <v>201</v>
      </c>
      <c r="D125" s="438" t="s">
        <v>7101</v>
      </c>
      <c r="E125" s="437" t="s">
        <v>7105</v>
      </c>
      <c r="F125" s="438" t="s">
        <v>7106</v>
      </c>
      <c r="G125" s="439" t="s">
        <v>389</v>
      </c>
      <c r="H125" s="437" t="s">
        <v>390</v>
      </c>
      <c r="I125" s="440">
        <v>276</v>
      </c>
      <c r="J125" s="437">
        <v>0</v>
      </c>
      <c r="K125" s="437">
        <v>12</v>
      </c>
      <c r="L125" s="441">
        <f t="shared" si="41"/>
        <v>23</v>
      </c>
      <c r="M125" s="445">
        <v>46204</v>
      </c>
      <c r="N125" s="445">
        <v>46221</v>
      </c>
      <c r="O125" s="442"/>
      <c r="P125" s="442"/>
      <c r="Q125" s="437"/>
      <c r="R125" s="451">
        <v>46139</v>
      </c>
      <c r="S125" s="444" t="s">
        <v>107</v>
      </c>
      <c r="T125" s="444">
        <v>46189</v>
      </c>
      <c r="U125" s="436"/>
      <c r="V125" s="436"/>
      <c r="W125" s="436"/>
      <c r="X125" s="436" t="s">
        <v>7104</v>
      </c>
      <c r="Y125" s="445" t="s">
        <v>557</v>
      </c>
      <c r="Z125" s="438">
        <v>2.29</v>
      </c>
      <c r="AA125" s="446">
        <f t="shared" si="47"/>
        <v>632.04</v>
      </c>
      <c r="AB125" s="437"/>
      <c r="AC125" s="439" t="s">
        <v>389</v>
      </c>
      <c r="AD125" s="437" t="s">
        <v>112</v>
      </c>
      <c r="AE125" s="437" t="s">
        <v>113</v>
      </c>
      <c r="AF125" s="437"/>
      <c r="AG125" s="442"/>
      <c r="AH125" s="442">
        <f t="shared" si="42"/>
        <v>-276</v>
      </c>
      <c r="AI125" s="437"/>
      <c r="AJ125" s="437"/>
      <c r="AK125" s="438">
        <f t="shared" si="48"/>
        <v>552</v>
      </c>
      <c r="AL125" s="438"/>
      <c r="AM125" s="438"/>
      <c r="AN125" s="438"/>
      <c r="AO125" s="438"/>
      <c r="AP125" s="447">
        <f t="shared" si="49"/>
        <v>552</v>
      </c>
      <c r="AQ125" s="438"/>
      <c r="AR125" s="448"/>
      <c r="AS125" s="438">
        <f t="shared" si="50"/>
        <v>552</v>
      </c>
      <c r="AT125" s="449">
        <f t="shared" si="51"/>
        <v>33.12</v>
      </c>
      <c r="AU125" s="449"/>
      <c r="AV125" s="438"/>
      <c r="AW125" s="438"/>
      <c r="AX125" s="438"/>
      <c r="AY125" s="438"/>
      <c r="AZ125" s="438"/>
      <c r="BA125" s="438"/>
      <c r="BB125" s="438"/>
      <c r="BC125" s="438"/>
      <c r="BD125" s="438"/>
      <c r="BE125" s="438"/>
      <c r="BF125" s="438"/>
      <c r="BG125" s="438"/>
      <c r="BH125" s="438"/>
      <c r="BI125" s="438"/>
      <c r="BJ125" s="438"/>
      <c r="BK125" s="447"/>
      <c r="BL125" s="447"/>
      <c r="BM125" s="438"/>
      <c r="BN125" s="448"/>
      <c r="BO125" s="448"/>
      <c r="BP125" s="438"/>
      <c r="BQ125" s="438"/>
      <c r="BR125" s="447"/>
      <c r="BS125" s="438"/>
      <c r="BT125" s="438"/>
      <c r="BU125" s="438"/>
      <c r="BV125" s="438"/>
      <c r="BW125" s="438"/>
      <c r="BX125" s="438"/>
      <c r="BY125" s="438"/>
      <c r="BZ125" s="438">
        <f t="shared" si="43"/>
        <v>0</v>
      </c>
      <c r="CA125" s="438">
        <f t="shared" si="44"/>
        <v>0</v>
      </c>
      <c r="CB125" s="438">
        <f t="shared" si="45"/>
        <v>0</v>
      </c>
      <c r="CC125" s="438">
        <f t="shared" si="46"/>
        <v>0</v>
      </c>
      <c r="CD125" s="448"/>
      <c r="CE125" s="448"/>
      <c r="CF125" s="448">
        <f t="shared" si="52"/>
        <v>276</v>
      </c>
      <c r="CG125" s="438">
        <f t="shared" si="53"/>
        <v>276</v>
      </c>
      <c r="CH125" s="438">
        <f t="shared" si="54"/>
        <v>276</v>
      </c>
      <c r="CI125" s="291"/>
      <c r="CJ125" s="291"/>
      <c r="CK125" s="291"/>
      <c r="CL125" s="291"/>
      <c r="CM125" s="291"/>
      <c r="CN125" s="291"/>
      <c r="CO125" s="291"/>
      <c r="CP125" s="291"/>
      <c r="CQ125" s="291"/>
      <c r="CR125" s="291"/>
      <c r="CS125" s="291"/>
      <c r="CT125" s="291"/>
      <c r="CU125" s="291"/>
      <c r="CV125" s="291"/>
      <c r="CW125" s="291"/>
      <c r="CX125" s="291"/>
      <c r="CY125" s="291"/>
      <c r="CZ125" s="291"/>
      <c r="DA125" s="291"/>
      <c r="DB125" s="291"/>
      <c r="DC125" s="291"/>
    </row>
    <row r="126" s="286" customFormat="1" ht="32.05" customHeight="1" spans="1:107">
      <c r="A126" s="435">
        <v>46139</v>
      </c>
      <c r="B126" s="436" t="s">
        <v>5291</v>
      </c>
      <c r="C126" s="437" t="s">
        <v>201</v>
      </c>
      <c r="D126" s="438" t="s">
        <v>7101</v>
      </c>
      <c r="E126" s="437" t="s">
        <v>7107</v>
      </c>
      <c r="F126" s="438" t="s">
        <v>7108</v>
      </c>
      <c r="G126" s="439" t="s">
        <v>389</v>
      </c>
      <c r="H126" s="437" t="s">
        <v>390</v>
      </c>
      <c r="I126" s="440">
        <v>468</v>
      </c>
      <c r="J126" s="437">
        <v>0</v>
      </c>
      <c r="K126" s="437">
        <v>12</v>
      </c>
      <c r="L126" s="441">
        <f t="shared" si="41"/>
        <v>39</v>
      </c>
      <c r="M126" s="445">
        <v>46204</v>
      </c>
      <c r="N126" s="445">
        <v>46221</v>
      </c>
      <c r="O126" s="442"/>
      <c r="P126" s="442"/>
      <c r="Q126" s="437"/>
      <c r="R126" s="451">
        <v>46139</v>
      </c>
      <c r="S126" s="444" t="s">
        <v>107</v>
      </c>
      <c r="T126" s="444">
        <v>46189</v>
      </c>
      <c r="U126" s="436"/>
      <c r="V126" s="436"/>
      <c r="W126" s="436"/>
      <c r="X126" s="436" t="s">
        <v>7104</v>
      </c>
      <c r="Y126" s="445" t="s">
        <v>557</v>
      </c>
      <c r="Z126" s="438">
        <v>2.29</v>
      </c>
      <c r="AA126" s="446">
        <f t="shared" si="47"/>
        <v>1071.72</v>
      </c>
      <c r="AB126" s="437"/>
      <c r="AC126" s="439" t="s">
        <v>389</v>
      </c>
      <c r="AD126" s="437" t="s">
        <v>112</v>
      </c>
      <c r="AE126" s="437" t="s">
        <v>113</v>
      </c>
      <c r="AF126" s="437"/>
      <c r="AG126" s="442"/>
      <c r="AH126" s="442">
        <f t="shared" si="42"/>
        <v>-468</v>
      </c>
      <c r="AI126" s="437"/>
      <c r="AJ126" s="437"/>
      <c r="AK126" s="438">
        <f t="shared" si="48"/>
        <v>936</v>
      </c>
      <c r="AL126" s="438"/>
      <c r="AM126" s="438"/>
      <c r="AN126" s="438"/>
      <c r="AO126" s="438"/>
      <c r="AP126" s="447">
        <f t="shared" si="49"/>
        <v>936</v>
      </c>
      <c r="AQ126" s="438"/>
      <c r="AR126" s="448"/>
      <c r="AS126" s="438">
        <f t="shared" si="50"/>
        <v>936</v>
      </c>
      <c r="AT126" s="449">
        <f t="shared" si="51"/>
        <v>56.16</v>
      </c>
      <c r="AU126" s="449"/>
      <c r="AV126" s="438"/>
      <c r="AW126" s="438"/>
      <c r="AX126" s="438"/>
      <c r="AY126" s="438"/>
      <c r="AZ126" s="438"/>
      <c r="BA126" s="438"/>
      <c r="BB126" s="438"/>
      <c r="BC126" s="438"/>
      <c r="BD126" s="438"/>
      <c r="BE126" s="438"/>
      <c r="BF126" s="438"/>
      <c r="BG126" s="438"/>
      <c r="BH126" s="438"/>
      <c r="BI126" s="438"/>
      <c r="BJ126" s="438"/>
      <c r="BK126" s="447"/>
      <c r="BL126" s="447"/>
      <c r="BM126" s="438"/>
      <c r="BN126" s="448"/>
      <c r="BO126" s="448"/>
      <c r="BP126" s="438"/>
      <c r="BQ126" s="438"/>
      <c r="BR126" s="447"/>
      <c r="BS126" s="438"/>
      <c r="BT126" s="438"/>
      <c r="BU126" s="438"/>
      <c r="BV126" s="438"/>
      <c r="BW126" s="438"/>
      <c r="BX126" s="438"/>
      <c r="BY126" s="438"/>
      <c r="BZ126" s="438">
        <f t="shared" si="43"/>
        <v>0</v>
      </c>
      <c r="CA126" s="438">
        <f t="shared" si="44"/>
        <v>0</v>
      </c>
      <c r="CB126" s="438">
        <f t="shared" si="45"/>
        <v>0</v>
      </c>
      <c r="CC126" s="438">
        <f t="shared" si="46"/>
        <v>0</v>
      </c>
      <c r="CD126" s="448"/>
      <c r="CE126" s="448"/>
      <c r="CF126" s="448">
        <f t="shared" si="52"/>
        <v>468</v>
      </c>
      <c r="CG126" s="438">
        <f t="shared" si="53"/>
        <v>468</v>
      </c>
      <c r="CH126" s="438">
        <f t="shared" si="54"/>
        <v>468</v>
      </c>
      <c r="CI126" s="291"/>
      <c r="CJ126" s="291"/>
      <c r="CK126" s="291"/>
      <c r="CL126" s="291"/>
      <c r="CM126" s="291"/>
      <c r="CN126" s="291"/>
      <c r="CO126" s="291"/>
      <c r="CP126" s="291"/>
      <c r="CQ126" s="291"/>
      <c r="CR126" s="291"/>
      <c r="CS126" s="291"/>
      <c r="CT126" s="291"/>
      <c r="CU126" s="291"/>
      <c r="CV126" s="291"/>
      <c r="CW126" s="291"/>
      <c r="CX126" s="291"/>
      <c r="CY126" s="291"/>
      <c r="CZ126" s="291"/>
      <c r="DA126" s="291"/>
      <c r="DB126" s="291"/>
      <c r="DC126" s="291"/>
    </row>
    <row r="127" s="286" customFormat="1" ht="32.05" customHeight="1" spans="1:107">
      <c r="A127" s="435">
        <v>46139</v>
      </c>
      <c r="B127" s="436" t="s">
        <v>5291</v>
      </c>
      <c r="C127" s="437" t="s">
        <v>201</v>
      </c>
      <c r="D127" s="438" t="s">
        <v>7101</v>
      </c>
      <c r="E127" s="437" t="s">
        <v>7109</v>
      </c>
      <c r="F127" s="438" t="s">
        <v>7110</v>
      </c>
      <c r="G127" s="439" t="s">
        <v>389</v>
      </c>
      <c r="H127" s="437" t="s">
        <v>390</v>
      </c>
      <c r="I127" s="440">
        <v>420</v>
      </c>
      <c r="J127" s="437">
        <v>0</v>
      </c>
      <c r="K127" s="437">
        <v>12</v>
      </c>
      <c r="L127" s="441">
        <f t="shared" si="41"/>
        <v>35</v>
      </c>
      <c r="M127" s="445">
        <v>46204</v>
      </c>
      <c r="N127" s="445">
        <v>46221</v>
      </c>
      <c r="O127" s="442"/>
      <c r="P127" s="442"/>
      <c r="Q127" s="437"/>
      <c r="R127" s="443">
        <v>46139</v>
      </c>
      <c r="S127" s="452" t="s">
        <v>107</v>
      </c>
      <c r="T127" s="452">
        <v>46189</v>
      </c>
      <c r="U127" s="436"/>
      <c r="V127" s="436"/>
      <c r="W127" s="436"/>
      <c r="X127" s="436" t="s">
        <v>7104</v>
      </c>
      <c r="Y127" s="445" t="s">
        <v>557</v>
      </c>
      <c r="Z127" s="438">
        <v>2.29</v>
      </c>
      <c r="AA127" s="446">
        <f t="shared" si="47"/>
        <v>961.8</v>
      </c>
      <c r="AB127" s="437"/>
      <c r="AC127" s="439" t="s">
        <v>389</v>
      </c>
      <c r="AD127" s="437" t="s">
        <v>112</v>
      </c>
      <c r="AE127" s="437" t="s">
        <v>113</v>
      </c>
      <c r="AF127" s="437"/>
      <c r="AG127" s="442"/>
      <c r="AH127" s="442">
        <f t="shared" si="42"/>
        <v>-420</v>
      </c>
      <c r="AI127" s="437"/>
      <c r="AJ127" s="437"/>
      <c r="AK127" s="438">
        <f t="shared" si="48"/>
        <v>840</v>
      </c>
      <c r="AL127" s="438"/>
      <c r="AM127" s="438"/>
      <c r="AN127" s="438"/>
      <c r="AO127" s="438"/>
      <c r="AP127" s="447">
        <f t="shared" si="49"/>
        <v>840</v>
      </c>
      <c r="AQ127" s="438"/>
      <c r="AR127" s="448"/>
      <c r="AS127" s="438">
        <f t="shared" si="50"/>
        <v>840</v>
      </c>
      <c r="AT127" s="449">
        <f t="shared" si="51"/>
        <v>50.4</v>
      </c>
      <c r="AU127" s="449"/>
      <c r="AV127" s="438"/>
      <c r="AW127" s="438"/>
      <c r="AX127" s="438"/>
      <c r="AY127" s="438"/>
      <c r="AZ127" s="438"/>
      <c r="BA127" s="438"/>
      <c r="BB127" s="438"/>
      <c r="BC127" s="438"/>
      <c r="BD127" s="438"/>
      <c r="BE127" s="438"/>
      <c r="BF127" s="438"/>
      <c r="BG127" s="438"/>
      <c r="BH127" s="438"/>
      <c r="BI127" s="438"/>
      <c r="BJ127" s="438"/>
      <c r="BK127" s="447"/>
      <c r="BL127" s="447"/>
      <c r="BM127" s="438"/>
      <c r="BN127" s="448"/>
      <c r="BO127" s="448"/>
      <c r="BP127" s="438"/>
      <c r="BQ127" s="438"/>
      <c r="BR127" s="447"/>
      <c r="BS127" s="438"/>
      <c r="BT127" s="438"/>
      <c r="BU127" s="438"/>
      <c r="BV127" s="438"/>
      <c r="BW127" s="438"/>
      <c r="BX127" s="438"/>
      <c r="BY127" s="438"/>
      <c r="BZ127" s="438">
        <f t="shared" si="43"/>
        <v>0</v>
      </c>
      <c r="CA127" s="438">
        <f t="shared" si="44"/>
        <v>0</v>
      </c>
      <c r="CB127" s="438">
        <f t="shared" si="45"/>
        <v>0</v>
      </c>
      <c r="CC127" s="438">
        <f t="shared" si="46"/>
        <v>0</v>
      </c>
      <c r="CD127" s="448"/>
      <c r="CE127" s="448"/>
      <c r="CF127" s="448">
        <f t="shared" si="52"/>
        <v>420</v>
      </c>
      <c r="CG127" s="438">
        <f t="shared" si="53"/>
        <v>420</v>
      </c>
      <c r="CH127" s="438">
        <f t="shared" si="54"/>
        <v>420</v>
      </c>
      <c r="CI127" s="291"/>
      <c r="CJ127" s="291"/>
      <c r="CK127" s="291"/>
      <c r="CL127" s="291"/>
      <c r="CM127" s="291"/>
      <c r="CN127" s="291"/>
      <c r="CO127" s="291"/>
      <c r="CP127" s="291"/>
      <c r="CQ127" s="291"/>
      <c r="CR127" s="291"/>
      <c r="CS127" s="291"/>
      <c r="CT127" s="291"/>
      <c r="CU127" s="291"/>
      <c r="CV127" s="291"/>
      <c r="CW127" s="291"/>
      <c r="CX127" s="291"/>
      <c r="CY127" s="291"/>
      <c r="CZ127" s="291"/>
      <c r="DA127" s="291"/>
      <c r="DB127" s="291"/>
      <c r="DC127" s="291"/>
    </row>
    <row r="128" s="286" customFormat="1" ht="32.05" customHeight="1" spans="1:107">
      <c r="A128" s="435">
        <v>46139</v>
      </c>
      <c r="B128" s="436" t="s">
        <v>5291</v>
      </c>
      <c r="C128" s="437" t="s">
        <v>201</v>
      </c>
      <c r="D128" s="438" t="s">
        <v>7101</v>
      </c>
      <c r="E128" s="437" t="s">
        <v>7111</v>
      </c>
      <c r="F128" s="438" t="s">
        <v>7112</v>
      </c>
      <c r="G128" s="439" t="s">
        <v>389</v>
      </c>
      <c r="H128" s="455" t="s">
        <v>390</v>
      </c>
      <c r="I128" s="440">
        <v>396</v>
      </c>
      <c r="J128" s="437">
        <v>0</v>
      </c>
      <c r="K128" s="437">
        <v>12</v>
      </c>
      <c r="L128" s="441">
        <f t="shared" si="41"/>
        <v>33</v>
      </c>
      <c r="M128" s="445">
        <v>46204</v>
      </c>
      <c r="N128" s="445">
        <v>46221</v>
      </c>
      <c r="O128" s="442"/>
      <c r="P128" s="442"/>
      <c r="Q128" s="437"/>
      <c r="R128" s="443">
        <v>46139</v>
      </c>
      <c r="S128" s="452" t="s">
        <v>107</v>
      </c>
      <c r="T128" s="444">
        <v>46189</v>
      </c>
      <c r="U128" s="436"/>
      <c r="V128" s="436"/>
      <c r="W128" s="436"/>
      <c r="X128" s="436" t="s">
        <v>7104</v>
      </c>
      <c r="Y128" s="445" t="s">
        <v>557</v>
      </c>
      <c r="Z128" s="438">
        <v>2.29</v>
      </c>
      <c r="AA128" s="446">
        <f t="shared" si="47"/>
        <v>906.84</v>
      </c>
      <c r="AB128" s="437"/>
      <c r="AC128" s="439" t="s">
        <v>389</v>
      </c>
      <c r="AD128" s="437" t="s">
        <v>112</v>
      </c>
      <c r="AE128" s="437" t="s">
        <v>113</v>
      </c>
      <c r="AF128" s="437"/>
      <c r="AG128" s="442"/>
      <c r="AH128" s="442">
        <f t="shared" si="42"/>
        <v>-396</v>
      </c>
      <c r="AI128" s="437"/>
      <c r="AJ128" s="437"/>
      <c r="AK128" s="438">
        <f t="shared" si="48"/>
        <v>792</v>
      </c>
      <c r="AL128" s="438"/>
      <c r="AM128" s="438"/>
      <c r="AN128" s="438"/>
      <c r="AO128" s="438"/>
      <c r="AP128" s="447">
        <f t="shared" si="49"/>
        <v>792</v>
      </c>
      <c r="AQ128" s="438"/>
      <c r="AR128" s="448"/>
      <c r="AS128" s="438">
        <f t="shared" si="50"/>
        <v>792</v>
      </c>
      <c r="AT128" s="449">
        <f t="shared" si="51"/>
        <v>47.52</v>
      </c>
      <c r="AU128" s="449"/>
      <c r="AV128" s="438"/>
      <c r="AW128" s="438"/>
      <c r="AX128" s="438"/>
      <c r="AY128" s="438"/>
      <c r="AZ128" s="438"/>
      <c r="BA128" s="438"/>
      <c r="BB128" s="438"/>
      <c r="BC128" s="438"/>
      <c r="BD128" s="438"/>
      <c r="BE128" s="438"/>
      <c r="BF128" s="438"/>
      <c r="BG128" s="438"/>
      <c r="BH128" s="438"/>
      <c r="BI128" s="438"/>
      <c r="BJ128" s="438"/>
      <c r="BK128" s="447"/>
      <c r="BL128" s="447"/>
      <c r="BM128" s="438"/>
      <c r="BN128" s="448"/>
      <c r="BO128" s="448"/>
      <c r="BP128" s="438"/>
      <c r="BQ128" s="438"/>
      <c r="BR128" s="447"/>
      <c r="BS128" s="438"/>
      <c r="BT128" s="438"/>
      <c r="BU128" s="438"/>
      <c r="BV128" s="438"/>
      <c r="BW128" s="438"/>
      <c r="BX128" s="438"/>
      <c r="BY128" s="438"/>
      <c r="BZ128" s="438">
        <f t="shared" si="43"/>
        <v>0</v>
      </c>
      <c r="CA128" s="438">
        <f t="shared" si="44"/>
        <v>0</v>
      </c>
      <c r="CB128" s="438">
        <f t="shared" si="45"/>
        <v>0</v>
      </c>
      <c r="CC128" s="438">
        <f t="shared" si="46"/>
        <v>0</v>
      </c>
      <c r="CD128" s="448"/>
      <c r="CE128" s="448"/>
      <c r="CF128" s="448">
        <f t="shared" si="52"/>
        <v>396</v>
      </c>
      <c r="CG128" s="438">
        <f t="shared" si="53"/>
        <v>396</v>
      </c>
      <c r="CH128" s="438">
        <f t="shared" si="54"/>
        <v>396</v>
      </c>
      <c r="CI128" s="291"/>
      <c r="CJ128" s="291"/>
      <c r="CK128" s="291"/>
      <c r="CL128" s="291"/>
      <c r="CM128" s="291"/>
      <c r="CN128" s="291"/>
      <c r="CO128" s="291"/>
      <c r="CP128" s="291"/>
      <c r="CQ128" s="291"/>
      <c r="CR128" s="291"/>
      <c r="CS128" s="291"/>
      <c r="CT128" s="291"/>
      <c r="CU128" s="291"/>
      <c r="CV128" s="291"/>
      <c r="CW128" s="291"/>
      <c r="CX128" s="291"/>
      <c r="CY128" s="291"/>
      <c r="CZ128" s="291"/>
      <c r="DA128" s="291"/>
      <c r="DB128" s="291"/>
      <c r="DC128" s="291"/>
    </row>
    <row r="129" s="286" customFormat="1" ht="32.05" customHeight="1" spans="1:107">
      <c r="A129" s="435">
        <v>46139</v>
      </c>
      <c r="B129" s="436" t="s">
        <v>5291</v>
      </c>
      <c r="C129" s="437" t="s">
        <v>201</v>
      </c>
      <c r="D129" s="438" t="s">
        <v>7101</v>
      </c>
      <c r="E129" s="437" t="s">
        <v>7113</v>
      </c>
      <c r="F129" s="438" t="s">
        <v>7114</v>
      </c>
      <c r="G129" s="439" t="s">
        <v>389</v>
      </c>
      <c r="H129" s="437" t="s">
        <v>390</v>
      </c>
      <c r="I129" s="440">
        <v>288</v>
      </c>
      <c r="J129" s="437">
        <v>0</v>
      </c>
      <c r="K129" s="437">
        <v>12</v>
      </c>
      <c r="L129" s="441">
        <f t="shared" si="41"/>
        <v>24</v>
      </c>
      <c r="M129" s="445">
        <v>46204</v>
      </c>
      <c r="N129" s="445">
        <v>46221</v>
      </c>
      <c r="O129" s="442"/>
      <c r="P129" s="442"/>
      <c r="Q129" s="437"/>
      <c r="R129" s="443">
        <v>46139</v>
      </c>
      <c r="S129" s="452" t="s">
        <v>107</v>
      </c>
      <c r="T129" s="452">
        <v>46189</v>
      </c>
      <c r="U129" s="436"/>
      <c r="V129" s="436"/>
      <c r="W129" s="436"/>
      <c r="X129" s="436" t="s">
        <v>7104</v>
      </c>
      <c r="Y129" s="445" t="s">
        <v>557</v>
      </c>
      <c r="Z129" s="438">
        <v>2.29</v>
      </c>
      <c r="AA129" s="446">
        <f t="shared" si="47"/>
        <v>659.52</v>
      </c>
      <c r="AB129" s="437"/>
      <c r="AC129" s="439" t="s">
        <v>389</v>
      </c>
      <c r="AD129" s="437" t="s">
        <v>112</v>
      </c>
      <c r="AE129" s="437" t="s">
        <v>113</v>
      </c>
      <c r="AF129" s="437"/>
      <c r="AG129" s="442"/>
      <c r="AH129" s="442">
        <f t="shared" si="42"/>
        <v>-288</v>
      </c>
      <c r="AI129" s="437"/>
      <c r="AJ129" s="437"/>
      <c r="AK129" s="438">
        <f t="shared" si="48"/>
        <v>576</v>
      </c>
      <c r="AL129" s="438"/>
      <c r="AM129" s="438"/>
      <c r="AN129" s="438"/>
      <c r="AO129" s="438"/>
      <c r="AP129" s="447">
        <f t="shared" si="49"/>
        <v>576</v>
      </c>
      <c r="AQ129" s="438"/>
      <c r="AR129" s="448"/>
      <c r="AS129" s="438">
        <f t="shared" si="50"/>
        <v>576</v>
      </c>
      <c r="AT129" s="449">
        <f t="shared" si="51"/>
        <v>34.56</v>
      </c>
      <c r="AU129" s="449"/>
      <c r="AV129" s="438"/>
      <c r="AW129" s="438"/>
      <c r="AX129" s="438"/>
      <c r="AY129" s="438"/>
      <c r="AZ129" s="438"/>
      <c r="BA129" s="438"/>
      <c r="BB129" s="438"/>
      <c r="BC129" s="438"/>
      <c r="BD129" s="438"/>
      <c r="BE129" s="438"/>
      <c r="BF129" s="438"/>
      <c r="BG129" s="438"/>
      <c r="BH129" s="438"/>
      <c r="BI129" s="438"/>
      <c r="BJ129" s="438"/>
      <c r="BK129" s="447"/>
      <c r="BL129" s="447"/>
      <c r="BM129" s="438"/>
      <c r="BN129" s="448"/>
      <c r="BO129" s="448"/>
      <c r="BP129" s="438"/>
      <c r="BQ129" s="438"/>
      <c r="BR129" s="447"/>
      <c r="BS129" s="438"/>
      <c r="BT129" s="438"/>
      <c r="BU129" s="438"/>
      <c r="BV129" s="438"/>
      <c r="BW129" s="438"/>
      <c r="BX129" s="438"/>
      <c r="BY129" s="438"/>
      <c r="BZ129" s="438">
        <f t="shared" si="43"/>
        <v>0</v>
      </c>
      <c r="CA129" s="438">
        <f t="shared" si="44"/>
        <v>0</v>
      </c>
      <c r="CB129" s="438">
        <f t="shared" si="45"/>
        <v>0</v>
      </c>
      <c r="CC129" s="438">
        <f t="shared" si="46"/>
        <v>0</v>
      </c>
      <c r="CD129" s="448"/>
      <c r="CE129" s="448"/>
      <c r="CF129" s="448">
        <f t="shared" si="52"/>
        <v>288</v>
      </c>
      <c r="CG129" s="438">
        <f t="shared" si="53"/>
        <v>288</v>
      </c>
      <c r="CH129" s="438">
        <f t="shared" si="54"/>
        <v>288</v>
      </c>
      <c r="CI129" s="291"/>
      <c r="CJ129" s="291"/>
      <c r="CK129" s="291"/>
      <c r="CL129" s="291"/>
      <c r="CM129" s="291"/>
      <c r="CN129" s="291"/>
      <c r="CO129" s="291"/>
      <c r="CP129" s="291"/>
      <c r="CQ129" s="291"/>
      <c r="CR129" s="291"/>
      <c r="CS129" s="291"/>
      <c r="CT129" s="291"/>
      <c r="CU129" s="291"/>
      <c r="CV129" s="291"/>
      <c r="CW129" s="291"/>
      <c r="CX129" s="291"/>
      <c r="CY129" s="291"/>
      <c r="CZ129" s="291"/>
      <c r="DA129" s="291"/>
      <c r="DB129" s="291"/>
      <c r="DC129" s="291"/>
    </row>
    <row r="130" s="286" customFormat="1" ht="32.05" customHeight="1" spans="1:107">
      <c r="A130" s="435">
        <v>46139</v>
      </c>
      <c r="B130" s="436" t="s">
        <v>5291</v>
      </c>
      <c r="C130" s="437" t="s">
        <v>201</v>
      </c>
      <c r="D130" s="438" t="s">
        <v>7101</v>
      </c>
      <c r="E130" s="437" t="s">
        <v>7115</v>
      </c>
      <c r="F130" s="438" t="s">
        <v>7116</v>
      </c>
      <c r="G130" s="439" t="s">
        <v>389</v>
      </c>
      <c r="H130" s="437" t="s">
        <v>390</v>
      </c>
      <c r="I130" s="440">
        <v>324</v>
      </c>
      <c r="J130" s="437">
        <v>0</v>
      </c>
      <c r="K130" s="437">
        <v>12</v>
      </c>
      <c r="L130" s="441">
        <f t="shared" si="41"/>
        <v>27</v>
      </c>
      <c r="M130" s="445">
        <v>46204</v>
      </c>
      <c r="N130" s="445">
        <v>46221</v>
      </c>
      <c r="O130" s="442"/>
      <c r="P130" s="442"/>
      <c r="Q130" s="437"/>
      <c r="R130" s="443">
        <v>46139</v>
      </c>
      <c r="S130" s="452" t="s">
        <v>107</v>
      </c>
      <c r="T130" s="452">
        <v>46189</v>
      </c>
      <c r="U130" s="436"/>
      <c r="V130" s="436"/>
      <c r="W130" s="436"/>
      <c r="X130" s="436" t="s">
        <v>7104</v>
      </c>
      <c r="Y130" s="445" t="s">
        <v>557</v>
      </c>
      <c r="Z130" s="438">
        <v>2.29</v>
      </c>
      <c r="AA130" s="446">
        <f t="shared" si="47"/>
        <v>741.96</v>
      </c>
      <c r="AB130" s="437"/>
      <c r="AC130" s="439" t="s">
        <v>389</v>
      </c>
      <c r="AD130" s="437" t="s">
        <v>112</v>
      </c>
      <c r="AE130" s="437" t="s">
        <v>113</v>
      </c>
      <c r="AF130" s="437"/>
      <c r="AG130" s="442"/>
      <c r="AH130" s="442">
        <f t="shared" si="42"/>
        <v>-324</v>
      </c>
      <c r="AI130" s="437"/>
      <c r="AJ130" s="437"/>
      <c r="AK130" s="438">
        <f t="shared" si="48"/>
        <v>648</v>
      </c>
      <c r="AL130" s="438"/>
      <c r="AM130" s="438"/>
      <c r="AN130" s="438"/>
      <c r="AO130" s="438"/>
      <c r="AP130" s="447">
        <f t="shared" si="49"/>
        <v>648</v>
      </c>
      <c r="AQ130" s="438"/>
      <c r="AR130" s="448"/>
      <c r="AS130" s="438">
        <f t="shared" si="50"/>
        <v>648</v>
      </c>
      <c r="AT130" s="449">
        <f t="shared" si="51"/>
        <v>38.88</v>
      </c>
      <c r="AU130" s="449"/>
      <c r="AV130" s="438"/>
      <c r="AW130" s="438"/>
      <c r="AX130" s="438"/>
      <c r="AY130" s="438"/>
      <c r="AZ130" s="438"/>
      <c r="BA130" s="438"/>
      <c r="BB130" s="438"/>
      <c r="BC130" s="438"/>
      <c r="BD130" s="438"/>
      <c r="BE130" s="438"/>
      <c r="BF130" s="438"/>
      <c r="BG130" s="438"/>
      <c r="BH130" s="438"/>
      <c r="BI130" s="438"/>
      <c r="BJ130" s="438"/>
      <c r="BK130" s="447"/>
      <c r="BL130" s="447"/>
      <c r="BM130" s="438"/>
      <c r="BN130" s="448"/>
      <c r="BO130" s="448"/>
      <c r="BP130" s="438"/>
      <c r="BQ130" s="438"/>
      <c r="BR130" s="447"/>
      <c r="BS130" s="438"/>
      <c r="BT130" s="438"/>
      <c r="BU130" s="438"/>
      <c r="BV130" s="438"/>
      <c r="BW130" s="438"/>
      <c r="BX130" s="438"/>
      <c r="BY130" s="438"/>
      <c r="BZ130" s="438">
        <f t="shared" si="43"/>
        <v>0</v>
      </c>
      <c r="CA130" s="438">
        <f t="shared" si="44"/>
        <v>0</v>
      </c>
      <c r="CB130" s="438">
        <f t="shared" si="45"/>
        <v>0</v>
      </c>
      <c r="CC130" s="438">
        <f t="shared" si="46"/>
        <v>0</v>
      </c>
      <c r="CD130" s="448"/>
      <c r="CE130" s="448"/>
      <c r="CF130" s="448">
        <f t="shared" si="52"/>
        <v>324</v>
      </c>
      <c r="CG130" s="438">
        <f t="shared" si="53"/>
        <v>324</v>
      </c>
      <c r="CH130" s="438">
        <f t="shared" si="54"/>
        <v>324</v>
      </c>
      <c r="CI130" s="291"/>
      <c r="CJ130" s="291"/>
      <c r="CK130" s="291"/>
      <c r="CL130" s="291"/>
      <c r="CM130" s="291"/>
      <c r="CN130" s="291"/>
      <c r="CO130" s="291"/>
      <c r="CP130" s="291"/>
      <c r="CQ130" s="291"/>
      <c r="CR130" s="291"/>
      <c r="CS130" s="291"/>
      <c r="CT130" s="291"/>
      <c r="CU130" s="291"/>
      <c r="CV130" s="291"/>
      <c r="CW130" s="291"/>
      <c r="CX130" s="291"/>
      <c r="CY130" s="291"/>
      <c r="CZ130" s="291"/>
      <c r="DA130" s="291"/>
      <c r="DB130" s="291"/>
      <c r="DC130" s="291"/>
    </row>
    <row r="131" s="286" customFormat="1" ht="32.05" customHeight="1" spans="1:107">
      <c r="A131" s="435">
        <v>46139</v>
      </c>
      <c r="B131" s="436" t="s">
        <v>5291</v>
      </c>
      <c r="C131" s="437" t="s">
        <v>201</v>
      </c>
      <c r="D131" s="438" t="s">
        <v>7101</v>
      </c>
      <c r="E131" s="437" t="s">
        <v>7117</v>
      </c>
      <c r="F131" s="438" t="s">
        <v>7118</v>
      </c>
      <c r="G131" s="439" t="s">
        <v>389</v>
      </c>
      <c r="H131" s="437" t="s">
        <v>390</v>
      </c>
      <c r="I131" s="440">
        <v>360</v>
      </c>
      <c r="J131" s="437">
        <v>0</v>
      </c>
      <c r="K131" s="437">
        <v>12</v>
      </c>
      <c r="L131" s="441">
        <f t="shared" si="41"/>
        <v>30</v>
      </c>
      <c r="M131" s="445">
        <v>46204</v>
      </c>
      <c r="N131" s="445">
        <v>46221</v>
      </c>
      <c r="O131" s="442"/>
      <c r="P131" s="442"/>
      <c r="Q131" s="437"/>
      <c r="R131" s="451">
        <v>46139</v>
      </c>
      <c r="S131" s="444" t="s">
        <v>107</v>
      </c>
      <c r="T131" s="444">
        <v>46189</v>
      </c>
      <c r="U131" s="436"/>
      <c r="V131" s="436"/>
      <c r="W131" s="436"/>
      <c r="X131" s="436" t="s">
        <v>7104</v>
      </c>
      <c r="Y131" s="445" t="s">
        <v>557</v>
      </c>
      <c r="Z131" s="438">
        <v>2.29</v>
      </c>
      <c r="AA131" s="446">
        <f t="shared" si="47"/>
        <v>824.4</v>
      </c>
      <c r="AB131" s="437"/>
      <c r="AC131" s="439" t="s">
        <v>389</v>
      </c>
      <c r="AD131" s="437" t="s">
        <v>112</v>
      </c>
      <c r="AE131" s="437" t="s">
        <v>113</v>
      </c>
      <c r="AF131" s="437"/>
      <c r="AG131" s="442"/>
      <c r="AH131" s="512">
        <f t="shared" si="42"/>
        <v>-360</v>
      </c>
      <c r="AI131" s="437"/>
      <c r="AJ131" s="437"/>
      <c r="AK131" s="438">
        <f t="shared" si="48"/>
        <v>720</v>
      </c>
      <c r="AL131" s="438"/>
      <c r="AM131" s="438"/>
      <c r="AN131" s="438"/>
      <c r="AO131" s="438"/>
      <c r="AP131" s="447">
        <f t="shared" si="49"/>
        <v>720</v>
      </c>
      <c r="AQ131" s="438"/>
      <c r="AR131" s="448"/>
      <c r="AS131" s="438">
        <f t="shared" si="50"/>
        <v>720</v>
      </c>
      <c r="AT131" s="449">
        <f t="shared" si="51"/>
        <v>43.2</v>
      </c>
      <c r="AU131" s="449"/>
      <c r="AV131" s="438"/>
      <c r="AW131" s="438"/>
      <c r="AX131" s="438"/>
      <c r="AY131" s="438"/>
      <c r="AZ131" s="438"/>
      <c r="BA131" s="438"/>
      <c r="BB131" s="438"/>
      <c r="BC131" s="438"/>
      <c r="BD131" s="438"/>
      <c r="BE131" s="438"/>
      <c r="BF131" s="438"/>
      <c r="BG131" s="438"/>
      <c r="BH131" s="438"/>
      <c r="BI131" s="438"/>
      <c r="BJ131" s="438"/>
      <c r="BK131" s="447"/>
      <c r="BL131" s="447"/>
      <c r="BM131" s="438"/>
      <c r="BN131" s="448"/>
      <c r="BO131" s="448"/>
      <c r="BP131" s="438"/>
      <c r="BQ131" s="438"/>
      <c r="BR131" s="447"/>
      <c r="BS131" s="438"/>
      <c r="BT131" s="438"/>
      <c r="BU131" s="438"/>
      <c r="BV131" s="438"/>
      <c r="BW131" s="438"/>
      <c r="BX131" s="438"/>
      <c r="BY131" s="438"/>
      <c r="BZ131" s="438">
        <f t="shared" si="43"/>
        <v>0</v>
      </c>
      <c r="CA131" s="438">
        <f t="shared" si="44"/>
        <v>0</v>
      </c>
      <c r="CB131" s="438">
        <f t="shared" si="45"/>
        <v>0</v>
      </c>
      <c r="CC131" s="438">
        <f t="shared" si="46"/>
        <v>0</v>
      </c>
      <c r="CD131" s="448"/>
      <c r="CE131" s="448"/>
      <c r="CF131" s="448">
        <f t="shared" si="52"/>
        <v>360</v>
      </c>
      <c r="CG131" s="438">
        <f t="shared" si="53"/>
        <v>360</v>
      </c>
      <c r="CH131" s="438">
        <f t="shared" si="54"/>
        <v>360</v>
      </c>
      <c r="CI131" s="291"/>
      <c r="CJ131" s="291"/>
      <c r="CK131" s="291"/>
      <c r="CL131" s="291"/>
      <c r="CM131" s="291"/>
      <c r="CN131" s="291"/>
      <c r="CO131" s="291"/>
      <c r="CP131" s="291"/>
      <c r="CQ131" s="291"/>
      <c r="CR131" s="291"/>
      <c r="CS131" s="291"/>
      <c r="CT131" s="291"/>
      <c r="CU131" s="291"/>
      <c r="CV131" s="291"/>
      <c r="CW131" s="291"/>
      <c r="CX131" s="291"/>
      <c r="CY131" s="291"/>
      <c r="CZ131" s="291"/>
      <c r="DA131" s="291"/>
      <c r="DB131" s="291"/>
      <c r="DC131" s="291"/>
    </row>
    <row r="132" s="286" customFormat="1" ht="32.05" customHeight="1" spans="1:107">
      <c r="A132" s="435">
        <v>46139</v>
      </c>
      <c r="B132" s="436" t="s">
        <v>5291</v>
      </c>
      <c r="C132" s="437" t="s">
        <v>201</v>
      </c>
      <c r="D132" s="438" t="s">
        <v>7101</v>
      </c>
      <c r="E132" s="437" t="s">
        <v>7119</v>
      </c>
      <c r="F132" s="438" t="s">
        <v>7120</v>
      </c>
      <c r="G132" s="439" t="s">
        <v>389</v>
      </c>
      <c r="H132" s="437" t="s">
        <v>390</v>
      </c>
      <c r="I132" s="440">
        <v>240</v>
      </c>
      <c r="J132" s="437">
        <v>0</v>
      </c>
      <c r="K132" s="437">
        <v>12</v>
      </c>
      <c r="L132" s="441">
        <f t="shared" si="41"/>
        <v>20</v>
      </c>
      <c r="M132" s="445">
        <v>46204</v>
      </c>
      <c r="N132" s="445">
        <v>46221</v>
      </c>
      <c r="O132" s="442"/>
      <c r="P132" s="442"/>
      <c r="Q132" s="437"/>
      <c r="R132" s="443">
        <v>46139</v>
      </c>
      <c r="S132" s="444" t="s">
        <v>107</v>
      </c>
      <c r="T132" s="444">
        <v>46189</v>
      </c>
      <c r="U132" s="436"/>
      <c r="V132" s="436"/>
      <c r="W132" s="436"/>
      <c r="X132" s="436" t="s">
        <v>7104</v>
      </c>
      <c r="Y132" s="445" t="s">
        <v>557</v>
      </c>
      <c r="Z132" s="438">
        <v>2.29</v>
      </c>
      <c r="AA132" s="446">
        <f t="shared" si="47"/>
        <v>549.6</v>
      </c>
      <c r="AB132" s="437"/>
      <c r="AC132" s="439" t="s">
        <v>389</v>
      </c>
      <c r="AD132" s="437" t="s">
        <v>112</v>
      </c>
      <c r="AE132" s="437" t="s">
        <v>113</v>
      </c>
      <c r="AF132" s="437"/>
      <c r="AG132" s="442"/>
      <c r="AH132" s="442">
        <f t="shared" si="42"/>
        <v>-240</v>
      </c>
      <c r="AI132" s="437"/>
      <c r="AJ132" s="437"/>
      <c r="AK132" s="438">
        <f t="shared" si="48"/>
        <v>480</v>
      </c>
      <c r="AL132" s="438"/>
      <c r="AM132" s="438"/>
      <c r="AN132" s="438"/>
      <c r="AO132" s="438"/>
      <c r="AP132" s="447">
        <f t="shared" si="49"/>
        <v>480</v>
      </c>
      <c r="AQ132" s="438"/>
      <c r="AR132" s="448"/>
      <c r="AS132" s="438">
        <f t="shared" si="50"/>
        <v>480</v>
      </c>
      <c r="AT132" s="449">
        <f t="shared" si="51"/>
        <v>28.8</v>
      </c>
      <c r="AU132" s="449"/>
      <c r="AV132" s="438"/>
      <c r="AW132" s="438"/>
      <c r="AX132" s="438"/>
      <c r="AY132" s="438"/>
      <c r="AZ132" s="438"/>
      <c r="BA132" s="438"/>
      <c r="BB132" s="438"/>
      <c r="BC132" s="438"/>
      <c r="BD132" s="438"/>
      <c r="BE132" s="438"/>
      <c r="BF132" s="438"/>
      <c r="BG132" s="438"/>
      <c r="BH132" s="438"/>
      <c r="BI132" s="438"/>
      <c r="BJ132" s="438"/>
      <c r="BK132" s="447"/>
      <c r="BL132" s="447"/>
      <c r="BM132" s="438"/>
      <c r="BN132" s="448"/>
      <c r="BO132" s="448"/>
      <c r="BP132" s="438"/>
      <c r="BQ132" s="438"/>
      <c r="BR132" s="447"/>
      <c r="BS132" s="438"/>
      <c r="BT132" s="438"/>
      <c r="BU132" s="438"/>
      <c r="BV132" s="438"/>
      <c r="BW132" s="438"/>
      <c r="BX132" s="438"/>
      <c r="BY132" s="438"/>
      <c r="BZ132" s="438">
        <f t="shared" si="43"/>
        <v>0</v>
      </c>
      <c r="CA132" s="438">
        <f t="shared" si="44"/>
        <v>0</v>
      </c>
      <c r="CB132" s="438">
        <f t="shared" si="45"/>
        <v>0</v>
      </c>
      <c r="CC132" s="438">
        <f t="shared" si="46"/>
        <v>0</v>
      </c>
      <c r="CD132" s="448"/>
      <c r="CE132" s="448"/>
      <c r="CF132" s="448">
        <f t="shared" si="52"/>
        <v>240</v>
      </c>
      <c r="CG132" s="438">
        <f t="shared" si="53"/>
        <v>240</v>
      </c>
      <c r="CH132" s="438">
        <f t="shared" si="54"/>
        <v>240</v>
      </c>
      <c r="CI132" s="291"/>
      <c r="CJ132" s="291"/>
      <c r="CK132" s="291"/>
      <c r="CL132" s="291"/>
      <c r="CM132" s="291"/>
      <c r="CN132" s="291"/>
      <c r="CO132" s="291"/>
      <c r="CP132" s="291"/>
      <c r="CQ132" s="291"/>
      <c r="CR132" s="291"/>
      <c r="CS132" s="291"/>
      <c r="CT132" s="291"/>
      <c r="CU132" s="291"/>
      <c r="CV132" s="291"/>
      <c r="CW132" s="291"/>
      <c r="CX132" s="291"/>
      <c r="CY132" s="291"/>
      <c r="CZ132" s="291"/>
      <c r="DA132" s="291"/>
      <c r="DB132" s="291"/>
      <c r="DC132" s="291"/>
    </row>
    <row r="133" s="286" customFormat="1" ht="32.05" customHeight="1" spans="1:107">
      <c r="A133" s="435">
        <v>46129</v>
      </c>
      <c r="B133" s="436" t="s">
        <v>5291</v>
      </c>
      <c r="C133" s="437" t="s">
        <v>201</v>
      </c>
      <c r="D133" s="438" t="s">
        <v>7121</v>
      </c>
      <c r="E133" s="437" t="s">
        <v>7122</v>
      </c>
      <c r="F133" s="438" t="s">
        <v>7123</v>
      </c>
      <c r="G133" s="439" t="s">
        <v>389</v>
      </c>
      <c r="H133" s="437" t="s">
        <v>390</v>
      </c>
      <c r="I133" s="440">
        <v>12</v>
      </c>
      <c r="J133" s="437">
        <v>0</v>
      </c>
      <c r="K133" s="437">
        <v>12</v>
      </c>
      <c r="L133" s="441">
        <v>1</v>
      </c>
      <c r="M133" s="445">
        <v>46204</v>
      </c>
      <c r="N133" s="434">
        <v>46200</v>
      </c>
      <c r="O133" s="442"/>
      <c r="P133" s="485"/>
      <c r="U133" s="436"/>
      <c r="V133" s="436"/>
      <c r="X133" s="437" t="s">
        <v>7124</v>
      </c>
      <c r="Y133" s="451" t="s">
        <v>557</v>
      </c>
      <c r="Z133" s="444">
        <v>2.29</v>
      </c>
      <c r="AA133" s="444">
        <v>27.48</v>
      </c>
      <c r="AB133" s="437"/>
      <c r="AC133" s="439"/>
      <c r="AD133" s="437"/>
      <c r="AE133" s="437"/>
      <c r="AF133" s="437"/>
      <c r="AG133" s="442"/>
      <c r="AH133" s="442"/>
      <c r="AI133" s="437"/>
      <c r="AJ133" s="437"/>
      <c r="AK133" s="438"/>
      <c r="AL133" s="438"/>
      <c r="AM133" s="438"/>
      <c r="AN133" s="438"/>
      <c r="AO133" s="438"/>
      <c r="AP133" s="447"/>
      <c r="AQ133" s="438"/>
      <c r="AR133" s="448"/>
      <c r="AS133" s="438"/>
      <c r="AT133" s="449"/>
      <c r="AU133" s="449"/>
      <c r="AV133" s="438"/>
      <c r="AW133" s="438"/>
      <c r="AX133" s="438"/>
      <c r="AY133" s="438"/>
      <c r="AZ133" s="438"/>
      <c r="BA133" s="438"/>
      <c r="BB133" s="438"/>
      <c r="BC133" s="438"/>
      <c r="BD133" s="438"/>
      <c r="BE133" s="438"/>
      <c r="BF133" s="438"/>
      <c r="BG133" s="438"/>
      <c r="BH133" s="438"/>
      <c r="BI133" s="438"/>
      <c r="BJ133" s="438"/>
      <c r="BK133" s="447"/>
      <c r="BL133" s="447"/>
      <c r="BM133" s="438"/>
      <c r="BN133" s="448"/>
      <c r="BO133" s="448"/>
      <c r="BP133" s="438"/>
      <c r="BQ133" s="438"/>
      <c r="BR133" s="447"/>
      <c r="BS133" s="438"/>
      <c r="BT133" s="438"/>
      <c r="BU133" s="438"/>
      <c r="BV133" s="438"/>
      <c r="BW133" s="438"/>
      <c r="BX133" s="438"/>
      <c r="BY133" s="438"/>
      <c r="BZ133" s="438"/>
      <c r="CA133" s="438"/>
      <c r="CB133" s="438"/>
      <c r="CC133" s="448"/>
      <c r="CD133" s="448"/>
      <c r="CE133" s="448"/>
      <c r="CF133" s="438"/>
      <c r="CG133" s="438"/>
    </row>
    <row r="134" s="286" customFormat="1" ht="32.05" customHeight="1" spans="1:107">
      <c r="A134" s="435">
        <v>46129</v>
      </c>
      <c r="B134" s="436" t="s">
        <v>5291</v>
      </c>
      <c r="C134" s="437" t="s">
        <v>201</v>
      </c>
      <c r="D134" s="438" t="s">
        <v>7121</v>
      </c>
      <c r="E134" s="437" t="s">
        <v>7125</v>
      </c>
      <c r="F134" s="438" t="s">
        <v>7126</v>
      </c>
      <c r="G134" s="439" t="s">
        <v>389</v>
      </c>
      <c r="H134" s="437" t="s">
        <v>390</v>
      </c>
      <c r="I134" s="440">
        <v>12</v>
      </c>
      <c r="J134" s="437">
        <v>0</v>
      </c>
      <c r="K134" s="437">
        <v>12</v>
      </c>
      <c r="L134" s="441">
        <v>1</v>
      </c>
      <c r="M134" s="445">
        <v>46204</v>
      </c>
      <c r="N134" s="434">
        <v>46200</v>
      </c>
      <c r="O134" s="442"/>
      <c r="P134" s="485"/>
      <c r="U134" s="436"/>
      <c r="V134" s="436"/>
      <c r="X134" s="437" t="s">
        <v>7124</v>
      </c>
      <c r="Y134" s="451" t="s">
        <v>557</v>
      </c>
      <c r="Z134" s="444">
        <v>2.29</v>
      </c>
      <c r="AA134" s="444">
        <v>27.48</v>
      </c>
      <c r="AB134" s="437"/>
      <c r="AC134" s="439"/>
      <c r="AD134" s="437"/>
      <c r="AE134" s="437"/>
      <c r="AF134" s="437"/>
      <c r="AG134" s="442"/>
      <c r="AH134" s="442"/>
      <c r="AI134" s="437"/>
      <c r="AJ134" s="437"/>
      <c r="AK134" s="438"/>
      <c r="AL134" s="438"/>
      <c r="AM134" s="438"/>
      <c r="AN134" s="438"/>
      <c r="AO134" s="438"/>
      <c r="AP134" s="447"/>
      <c r="AQ134" s="438"/>
      <c r="AR134" s="448"/>
      <c r="AS134" s="438"/>
      <c r="AT134" s="449"/>
      <c r="AU134" s="449"/>
      <c r="AV134" s="438"/>
      <c r="AW134" s="438"/>
      <c r="AX134" s="438"/>
      <c r="AY134" s="438"/>
      <c r="AZ134" s="438"/>
      <c r="BA134" s="438"/>
      <c r="BB134" s="438"/>
      <c r="BC134" s="438"/>
      <c r="BD134" s="438"/>
      <c r="BE134" s="438"/>
      <c r="BF134" s="438"/>
      <c r="BG134" s="438"/>
      <c r="BH134" s="438"/>
      <c r="BI134" s="438"/>
      <c r="BJ134" s="438"/>
      <c r="BK134" s="447"/>
      <c r="BL134" s="447"/>
      <c r="BM134" s="438"/>
      <c r="BN134" s="448"/>
      <c r="BO134" s="448"/>
      <c r="BP134" s="438"/>
      <c r="BQ134" s="438"/>
      <c r="BR134" s="447"/>
      <c r="BS134" s="438"/>
      <c r="BT134" s="438"/>
      <c r="BU134" s="438"/>
      <c r="BV134" s="438"/>
      <c r="BW134" s="438"/>
      <c r="BX134" s="438"/>
      <c r="BY134" s="438"/>
      <c r="BZ134" s="438"/>
      <c r="CA134" s="438"/>
      <c r="CB134" s="438"/>
      <c r="CC134" s="448"/>
      <c r="CD134" s="448"/>
      <c r="CE134" s="448"/>
      <c r="CF134" s="438"/>
      <c r="CG134" s="438"/>
    </row>
    <row r="135" s="286" customFormat="1" ht="32.05" customHeight="1" spans="1:107">
      <c r="A135" s="435">
        <v>46129</v>
      </c>
      <c r="B135" s="436" t="s">
        <v>5291</v>
      </c>
      <c r="C135" s="437" t="s">
        <v>201</v>
      </c>
      <c r="D135" s="438" t="s">
        <v>7121</v>
      </c>
      <c r="E135" s="437" t="s">
        <v>7127</v>
      </c>
      <c r="F135" s="438" t="s">
        <v>7128</v>
      </c>
      <c r="G135" s="439" t="s">
        <v>389</v>
      </c>
      <c r="H135" s="437" t="s">
        <v>390</v>
      </c>
      <c r="I135" s="440">
        <v>12</v>
      </c>
      <c r="J135" s="437">
        <v>0</v>
      </c>
      <c r="K135" s="437">
        <v>12</v>
      </c>
      <c r="L135" s="441">
        <v>1</v>
      </c>
      <c r="M135" s="445">
        <v>46204</v>
      </c>
      <c r="N135" s="434">
        <v>46200</v>
      </c>
      <c r="O135" s="442"/>
      <c r="P135" s="485"/>
      <c r="U135" s="436"/>
      <c r="V135" s="436"/>
      <c r="X135" s="437" t="s">
        <v>7124</v>
      </c>
      <c r="Y135" s="451" t="s">
        <v>557</v>
      </c>
      <c r="Z135" s="444">
        <v>2.29</v>
      </c>
      <c r="AA135" s="444">
        <v>27.48</v>
      </c>
      <c r="AB135" s="437"/>
      <c r="AC135" s="439"/>
      <c r="AD135" s="437"/>
      <c r="AE135" s="437"/>
      <c r="AF135" s="437"/>
      <c r="AG135" s="442"/>
      <c r="AH135" s="442"/>
      <c r="AI135" s="437"/>
      <c r="AJ135" s="437"/>
      <c r="AK135" s="438"/>
      <c r="AL135" s="438"/>
      <c r="AM135" s="438"/>
      <c r="AN135" s="438"/>
      <c r="AO135" s="438"/>
      <c r="AP135" s="447"/>
      <c r="AQ135" s="438"/>
      <c r="AR135" s="448"/>
      <c r="AS135" s="438"/>
      <c r="AT135" s="449"/>
      <c r="AU135" s="449"/>
      <c r="AV135" s="438"/>
      <c r="AW135" s="438"/>
      <c r="AX135" s="438"/>
      <c r="AY135" s="438"/>
      <c r="AZ135" s="438"/>
      <c r="BA135" s="438"/>
      <c r="BB135" s="438"/>
      <c r="BC135" s="438"/>
      <c r="BD135" s="438"/>
      <c r="BE135" s="438"/>
      <c r="BF135" s="438"/>
      <c r="BG135" s="438"/>
      <c r="BH135" s="438"/>
      <c r="BI135" s="438"/>
      <c r="BJ135" s="438"/>
      <c r="BK135" s="447"/>
      <c r="BL135" s="447"/>
      <c r="BM135" s="438"/>
      <c r="BN135" s="448"/>
      <c r="BO135" s="448"/>
      <c r="BP135" s="438"/>
      <c r="BQ135" s="438"/>
      <c r="BR135" s="447"/>
      <c r="BS135" s="438"/>
      <c r="BT135" s="438"/>
      <c r="BU135" s="438"/>
      <c r="BV135" s="438"/>
      <c r="BW135" s="438"/>
      <c r="BX135" s="438"/>
      <c r="BY135" s="438"/>
      <c r="BZ135" s="438"/>
      <c r="CA135" s="438"/>
      <c r="CB135" s="438"/>
      <c r="CC135" s="448"/>
      <c r="CD135" s="448"/>
      <c r="CE135" s="448"/>
      <c r="CF135" s="438"/>
      <c r="CG135" s="438"/>
    </row>
    <row r="136" s="286" customFormat="1" ht="32.05" customHeight="1" spans="1:107">
      <c r="A136" s="435">
        <v>46129</v>
      </c>
      <c r="B136" s="436" t="s">
        <v>5291</v>
      </c>
      <c r="C136" s="437" t="s">
        <v>201</v>
      </c>
      <c r="D136" s="438" t="s">
        <v>7121</v>
      </c>
      <c r="E136" s="437" t="s">
        <v>7129</v>
      </c>
      <c r="F136" s="438" t="s">
        <v>7130</v>
      </c>
      <c r="G136" s="439" t="s">
        <v>389</v>
      </c>
      <c r="H136" s="437" t="s">
        <v>390</v>
      </c>
      <c r="I136" s="440">
        <v>12</v>
      </c>
      <c r="J136" s="437">
        <v>0</v>
      </c>
      <c r="K136" s="437">
        <v>12</v>
      </c>
      <c r="L136" s="441">
        <v>1</v>
      </c>
      <c r="M136" s="445">
        <v>46204</v>
      </c>
      <c r="N136" s="434">
        <v>46200</v>
      </c>
      <c r="O136" s="442"/>
      <c r="P136" s="485"/>
      <c r="U136" s="436"/>
      <c r="V136" s="436"/>
      <c r="X136" s="437" t="s">
        <v>7124</v>
      </c>
      <c r="Y136" s="451" t="s">
        <v>557</v>
      </c>
      <c r="Z136" s="444">
        <v>2.29</v>
      </c>
      <c r="AA136" s="444">
        <v>27.48</v>
      </c>
      <c r="AB136" s="437"/>
      <c r="AC136" s="439"/>
      <c r="AD136" s="437"/>
      <c r="AE136" s="437"/>
      <c r="AF136" s="437"/>
      <c r="AG136" s="442"/>
      <c r="AH136" s="442"/>
      <c r="AI136" s="437"/>
      <c r="AJ136" s="437"/>
      <c r="AK136" s="438"/>
      <c r="AL136" s="438"/>
      <c r="AM136" s="438"/>
      <c r="AN136" s="438"/>
      <c r="AO136" s="438"/>
      <c r="AP136" s="447"/>
      <c r="AQ136" s="438"/>
      <c r="AR136" s="448"/>
      <c r="AS136" s="438"/>
      <c r="AT136" s="449"/>
      <c r="AU136" s="449"/>
      <c r="AV136" s="438"/>
      <c r="AW136" s="438"/>
      <c r="AX136" s="438"/>
      <c r="AY136" s="438"/>
      <c r="AZ136" s="438"/>
      <c r="BA136" s="438"/>
      <c r="BB136" s="438"/>
      <c r="BC136" s="438"/>
      <c r="BD136" s="438"/>
      <c r="BE136" s="438"/>
      <c r="BF136" s="438"/>
      <c r="BG136" s="438"/>
      <c r="BH136" s="438"/>
      <c r="BI136" s="438"/>
      <c r="BJ136" s="438"/>
      <c r="BK136" s="447"/>
      <c r="BL136" s="447"/>
      <c r="BM136" s="438"/>
      <c r="BN136" s="448"/>
      <c r="BO136" s="448"/>
      <c r="BP136" s="438"/>
      <c r="BQ136" s="438"/>
      <c r="BR136" s="447"/>
      <c r="BS136" s="438"/>
      <c r="BT136" s="438"/>
      <c r="BU136" s="438"/>
      <c r="BV136" s="438"/>
      <c r="BW136" s="438"/>
      <c r="BX136" s="438"/>
      <c r="BY136" s="438"/>
      <c r="BZ136" s="438"/>
      <c r="CA136" s="438"/>
      <c r="CB136" s="438"/>
      <c r="CC136" s="448"/>
      <c r="CD136" s="448"/>
      <c r="CE136" s="448"/>
      <c r="CF136" s="438"/>
      <c r="CG136" s="438"/>
    </row>
    <row r="137" s="286" customFormat="1" ht="32.05" customHeight="1" spans="1:107">
      <c r="A137" s="510">
        <v>46169</v>
      </c>
      <c r="B137" s="454" t="s">
        <v>346</v>
      </c>
      <c r="C137" s="455" t="s">
        <v>115</v>
      </c>
      <c r="D137" s="456" t="s">
        <v>7131</v>
      </c>
      <c r="E137" s="455" t="s">
        <v>7132</v>
      </c>
      <c r="F137" s="456" t="s">
        <v>7133</v>
      </c>
      <c r="G137" s="457" t="s">
        <v>1016</v>
      </c>
      <c r="H137" s="455" t="s">
        <v>350</v>
      </c>
      <c r="I137" s="458">
        <v>39360</v>
      </c>
      <c r="J137" s="455">
        <v>0</v>
      </c>
      <c r="K137" s="455">
        <v>960</v>
      </c>
      <c r="L137" s="511">
        <f t="shared" ref="L137:L150" si="55">I137/K137</f>
        <v>41</v>
      </c>
      <c r="M137" s="459">
        <v>46262</v>
      </c>
      <c r="N137" s="459">
        <v>46258</v>
      </c>
      <c r="O137" s="512" t="s">
        <v>7134</v>
      </c>
      <c r="P137" s="512"/>
      <c r="Q137" s="455"/>
      <c r="R137" s="443" t="s">
        <v>459</v>
      </c>
      <c r="S137" s="452" t="s">
        <v>95</v>
      </c>
      <c r="T137" s="452" t="s">
        <v>7135</v>
      </c>
      <c r="U137" s="454"/>
      <c r="V137" s="454"/>
      <c r="W137" s="454"/>
      <c r="X137" s="454" t="s">
        <v>7136</v>
      </c>
      <c r="Y137" s="459" t="s">
        <v>354</v>
      </c>
      <c r="Z137" s="456">
        <v>641.9183</v>
      </c>
      <c r="AA137" s="515">
        <f t="shared" ref="AA137:AA140" si="56">Z137*L137</f>
        <v>26318.6503</v>
      </c>
      <c r="AB137" s="455"/>
      <c r="AC137" s="457" t="s">
        <v>356</v>
      </c>
      <c r="AD137" s="455" t="s">
        <v>112</v>
      </c>
      <c r="AE137" s="455"/>
      <c r="AF137" s="455"/>
      <c r="AG137" s="512"/>
      <c r="AH137" s="512">
        <f t="shared" ref="AH137:AH150" si="57">AG137-I137</f>
        <v>-39360</v>
      </c>
      <c r="AI137" s="455"/>
      <c r="AJ137" s="455"/>
      <c r="AK137" s="456">
        <f t="shared" ref="AK137:AK150" si="58">I137</f>
        <v>39360</v>
      </c>
      <c r="AL137" s="456"/>
      <c r="AM137" s="456"/>
      <c r="AN137" s="456">
        <f t="shared" ref="AN137:AN150" si="59">I137</f>
        <v>39360</v>
      </c>
      <c r="AO137" s="456"/>
      <c r="AP137" s="517"/>
      <c r="AQ137" s="456"/>
      <c r="AR137" s="518"/>
      <c r="AS137" s="456">
        <f t="shared" ref="AS137:AS150" si="60">I137</f>
        <v>39360</v>
      </c>
      <c r="AT137" s="516">
        <f t="shared" ref="AT137:AT140" si="61">I137*0.06*2</f>
        <v>4723.2</v>
      </c>
      <c r="AU137" s="516"/>
      <c r="AV137" s="456"/>
      <c r="AW137" s="456"/>
      <c r="AX137" s="456"/>
      <c r="AY137" s="456"/>
      <c r="AZ137" s="456"/>
      <c r="BA137" s="456"/>
      <c r="BB137" s="456"/>
      <c r="BC137" s="456"/>
      <c r="BD137" s="456"/>
      <c r="BE137" s="456"/>
      <c r="BF137" s="456"/>
      <c r="BG137" s="456"/>
      <c r="BH137" s="456"/>
      <c r="BI137" s="456"/>
      <c r="BJ137" s="456"/>
      <c r="BK137" s="517"/>
      <c r="BL137" s="517"/>
      <c r="BM137" s="456"/>
      <c r="BN137" s="518">
        <f t="shared" ref="BN137:BN140" si="62">I137/16</f>
        <v>2460</v>
      </c>
      <c r="BO137" s="518"/>
      <c r="BP137" s="456"/>
      <c r="BQ137" s="456"/>
      <c r="BR137" s="517"/>
      <c r="BS137" s="456"/>
      <c r="BT137" s="456"/>
      <c r="BU137" s="456"/>
      <c r="BV137" s="456"/>
      <c r="BW137" s="456"/>
      <c r="BX137" s="456"/>
      <c r="BY137" s="456"/>
      <c r="BZ137" s="456">
        <f t="shared" ref="BZ137:BZ150" si="63">BJ137+BK137+BM137+BO137+BN137</f>
        <v>2460</v>
      </c>
      <c r="CA137" s="456">
        <f t="shared" ref="CA137:CA150" si="64">BQ137</f>
        <v>0</v>
      </c>
      <c r="CB137" s="456">
        <f t="shared" ref="CB137:CB150" si="65">BY137</f>
        <v>0</v>
      </c>
      <c r="CC137" s="456">
        <f t="shared" ref="CC137:CC150" si="66">BR137+BS137+BT137</f>
        <v>0</v>
      </c>
      <c r="CD137" s="518"/>
      <c r="CE137" s="518"/>
      <c r="CF137" s="518"/>
      <c r="CG137" s="456"/>
      <c r="CH137" s="456"/>
    </row>
    <row r="138" s="286" customFormat="1" ht="32.05" customHeight="1" spans="1:107">
      <c r="A138" s="435">
        <v>46169</v>
      </c>
      <c r="B138" s="436" t="s">
        <v>346</v>
      </c>
      <c r="C138" s="437" t="s">
        <v>115</v>
      </c>
      <c r="D138" s="438" t="s">
        <v>7131</v>
      </c>
      <c r="E138" s="437" t="s">
        <v>7137</v>
      </c>
      <c r="F138" s="438" t="s">
        <v>7138</v>
      </c>
      <c r="G138" s="439" t="s">
        <v>1016</v>
      </c>
      <c r="H138" s="437" t="s">
        <v>350</v>
      </c>
      <c r="I138" s="440">
        <v>41280</v>
      </c>
      <c r="J138" s="437">
        <v>0</v>
      </c>
      <c r="K138" s="437">
        <v>960</v>
      </c>
      <c r="L138" s="441">
        <f t="shared" si="55"/>
        <v>43</v>
      </c>
      <c r="M138" s="445">
        <v>46262</v>
      </c>
      <c r="N138" s="445">
        <v>46258</v>
      </c>
      <c r="O138" s="512" t="s">
        <v>7134</v>
      </c>
      <c r="P138" s="442"/>
      <c r="Q138" s="437"/>
      <c r="R138" s="443" t="s">
        <v>459</v>
      </c>
      <c r="S138" s="452" t="s">
        <v>95</v>
      </c>
      <c r="T138" s="452" t="s">
        <v>7135</v>
      </c>
      <c r="U138" s="436"/>
      <c r="V138" s="436"/>
      <c r="W138" s="436"/>
      <c r="X138" s="436" t="s">
        <v>7136</v>
      </c>
      <c r="Y138" s="445" t="s">
        <v>354</v>
      </c>
      <c r="Z138" s="438">
        <v>641.9184</v>
      </c>
      <c r="AA138" s="446">
        <f t="shared" si="56"/>
        <v>27602.4912</v>
      </c>
      <c r="AB138" s="437"/>
      <c r="AC138" s="439" t="s">
        <v>356</v>
      </c>
      <c r="AD138" s="437" t="s">
        <v>112</v>
      </c>
      <c r="AE138" s="437"/>
      <c r="AF138" s="437"/>
      <c r="AG138" s="442"/>
      <c r="AH138" s="512">
        <f t="shared" si="57"/>
        <v>-41280</v>
      </c>
      <c r="AI138" s="437"/>
      <c r="AJ138" s="437"/>
      <c r="AK138" s="438">
        <f t="shared" si="58"/>
        <v>41280</v>
      </c>
      <c r="AL138" s="438"/>
      <c r="AM138" s="438"/>
      <c r="AN138" s="438">
        <f t="shared" si="59"/>
        <v>41280</v>
      </c>
      <c r="AO138" s="438"/>
      <c r="AP138" s="447"/>
      <c r="AQ138" s="438"/>
      <c r="AR138" s="448"/>
      <c r="AS138" s="438">
        <f t="shared" si="60"/>
        <v>41280</v>
      </c>
      <c r="AT138" s="449">
        <f t="shared" si="61"/>
        <v>4953.6</v>
      </c>
      <c r="AU138" s="449"/>
      <c r="AV138" s="438"/>
      <c r="AW138" s="438"/>
      <c r="AX138" s="438"/>
      <c r="AY138" s="438"/>
      <c r="AZ138" s="438"/>
      <c r="BA138" s="438"/>
      <c r="BB138" s="438"/>
      <c r="BC138" s="438"/>
      <c r="BD138" s="438"/>
      <c r="BE138" s="438"/>
      <c r="BF138" s="438"/>
      <c r="BG138" s="438"/>
      <c r="BH138" s="438"/>
      <c r="BI138" s="438"/>
      <c r="BJ138" s="438"/>
      <c r="BK138" s="447"/>
      <c r="BL138" s="447"/>
      <c r="BM138" s="438"/>
      <c r="BN138" s="448">
        <f t="shared" si="62"/>
        <v>2580</v>
      </c>
      <c r="BO138" s="448"/>
      <c r="BP138" s="438"/>
      <c r="BQ138" s="438"/>
      <c r="BR138" s="447"/>
      <c r="BS138" s="438"/>
      <c r="BT138" s="438"/>
      <c r="BU138" s="438"/>
      <c r="BV138" s="438"/>
      <c r="BW138" s="438"/>
      <c r="BX138" s="438"/>
      <c r="BY138" s="438"/>
      <c r="BZ138" s="438">
        <f t="shared" si="63"/>
        <v>2580</v>
      </c>
      <c r="CA138" s="438">
        <f t="shared" si="64"/>
        <v>0</v>
      </c>
      <c r="CB138" s="438">
        <f t="shared" si="65"/>
        <v>0</v>
      </c>
      <c r="CC138" s="438">
        <f t="shared" si="66"/>
        <v>0</v>
      </c>
      <c r="CD138" s="448"/>
      <c r="CE138" s="448"/>
      <c r="CF138" s="448"/>
      <c r="CG138" s="438"/>
      <c r="CH138" s="438"/>
    </row>
    <row r="139" s="286" customFormat="1" ht="32.05" customHeight="1" spans="1:107">
      <c r="A139" s="435">
        <v>46169</v>
      </c>
      <c r="B139" s="454" t="s">
        <v>346</v>
      </c>
      <c r="C139" s="455" t="s">
        <v>115</v>
      </c>
      <c r="D139" s="456" t="s">
        <v>7131</v>
      </c>
      <c r="E139" s="455" t="s">
        <v>7139</v>
      </c>
      <c r="F139" s="456" t="s">
        <v>7140</v>
      </c>
      <c r="G139" s="457" t="s">
        <v>1016</v>
      </c>
      <c r="H139" s="437" t="s">
        <v>350</v>
      </c>
      <c r="I139" s="458">
        <v>29760</v>
      </c>
      <c r="J139" s="455">
        <v>0</v>
      </c>
      <c r="K139" s="455">
        <v>960</v>
      </c>
      <c r="L139" s="441">
        <f t="shared" si="55"/>
        <v>31</v>
      </c>
      <c r="M139" s="459">
        <v>46262</v>
      </c>
      <c r="N139" s="459">
        <v>46258</v>
      </c>
      <c r="O139" s="512" t="s">
        <v>7134</v>
      </c>
      <c r="P139" s="442"/>
      <c r="Q139" s="437"/>
      <c r="R139" s="443" t="s">
        <v>459</v>
      </c>
      <c r="S139" s="452" t="s">
        <v>95</v>
      </c>
      <c r="T139" s="452" t="s">
        <v>7135</v>
      </c>
      <c r="U139" s="436"/>
      <c r="V139" s="436"/>
      <c r="W139" s="436"/>
      <c r="X139" s="454" t="s">
        <v>7136</v>
      </c>
      <c r="Y139" s="459" t="s">
        <v>354</v>
      </c>
      <c r="Z139" s="438">
        <v>641.9184</v>
      </c>
      <c r="AA139" s="446">
        <f t="shared" si="56"/>
        <v>19899.4704</v>
      </c>
      <c r="AB139" s="437"/>
      <c r="AC139" s="457" t="s">
        <v>356</v>
      </c>
      <c r="AD139" s="437" t="s">
        <v>112</v>
      </c>
      <c r="AE139" s="437"/>
      <c r="AF139" s="437"/>
      <c r="AG139" s="442"/>
      <c r="AH139" s="442">
        <f t="shared" si="57"/>
        <v>-29760</v>
      </c>
      <c r="AI139" s="437"/>
      <c r="AJ139" s="437"/>
      <c r="AK139" s="438">
        <f t="shared" si="58"/>
        <v>29760</v>
      </c>
      <c r="AL139" s="438"/>
      <c r="AM139" s="438"/>
      <c r="AN139" s="438">
        <f t="shared" si="59"/>
        <v>29760</v>
      </c>
      <c r="AO139" s="438"/>
      <c r="AP139" s="447"/>
      <c r="AQ139" s="438"/>
      <c r="AR139" s="448"/>
      <c r="AS139" s="438">
        <f t="shared" si="60"/>
        <v>29760</v>
      </c>
      <c r="AT139" s="449">
        <f t="shared" si="61"/>
        <v>3571.2</v>
      </c>
      <c r="AU139" s="449"/>
      <c r="AV139" s="438"/>
      <c r="AW139" s="438"/>
      <c r="AX139" s="438"/>
      <c r="AY139" s="438"/>
      <c r="AZ139" s="438"/>
      <c r="BA139" s="438"/>
      <c r="BB139" s="438"/>
      <c r="BC139" s="438"/>
      <c r="BD139" s="438"/>
      <c r="BE139" s="438"/>
      <c r="BF139" s="438"/>
      <c r="BG139" s="438"/>
      <c r="BH139" s="438"/>
      <c r="BI139" s="438"/>
      <c r="BJ139" s="438"/>
      <c r="BK139" s="447"/>
      <c r="BL139" s="447"/>
      <c r="BM139" s="438"/>
      <c r="BN139" s="448">
        <f t="shared" si="62"/>
        <v>1860</v>
      </c>
      <c r="BO139" s="448"/>
      <c r="BP139" s="438"/>
      <c r="BQ139" s="438"/>
      <c r="BR139" s="447"/>
      <c r="BS139" s="438"/>
      <c r="BT139" s="438"/>
      <c r="BU139" s="438"/>
      <c r="BV139" s="438"/>
      <c r="BW139" s="438"/>
      <c r="BX139" s="438"/>
      <c r="BY139" s="438"/>
      <c r="BZ139" s="438">
        <f t="shared" si="63"/>
        <v>1860</v>
      </c>
      <c r="CA139" s="438">
        <f t="shared" si="64"/>
        <v>0</v>
      </c>
      <c r="CB139" s="438">
        <f t="shared" si="65"/>
        <v>0</v>
      </c>
      <c r="CC139" s="438">
        <f t="shared" si="66"/>
        <v>0</v>
      </c>
      <c r="CD139" s="448"/>
      <c r="CE139" s="448"/>
      <c r="CF139" s="448"/>
      <c r="CG139" s="438"/>
      <c r="CH139" s="438"/>
    </row>
    <row r="140" s="291" customFormat="1" ht="32.05" customHeight="1" spans="1:107">
      <c r="A140" s="435">
        <v>46169</v>
      </c>
      <c r="B140" s="436" t="s">
        <v>346</v>
      </c>
      <c r="C140" s="437" t="s">
        <v>115</v>
      </c>
      <c r="D140" s="438" t="s">
        <v>7131</v>
      </c>
      <c r="E140" s="437" t="s">
        <v>7141</v>
      </c>
      <c r="F140" s="438" t="s">
        <v>7142</v>
      </c>
      <c r="G140" s="439" t="s">
        <v>1016</v>
      </c>
      <c r="H140" s="437" t="s">
        <v>350</v>
      </c>
      <c r="I140" s="440">
        <v>26880</v>
      </c>
      <c r="J140" s="437">
        <v>0</v>
      </c>
      <c r="K140" s="437">
        <v>960</v>
      </c>
      <c r="L140" s="441">
        <f t="shared" si="55"/>
        <v>28</v>
      </c>
      <c r="M140" s="445">
        <v>46262</v>
      </c>
      <c r="N140" s="445">
        <v>46258</v>
      </c>
      <c r="O140" s="512" t="s">
        <v>7134</v>
      </c>
      <c r="P140" s="442"/>
      <c r="Q140" s="437"/>
      <c r="R140" s="443" t="s">
        <v>459</v>
      </c>
      <c r="S140" s="452" t="s">
        <v>95</v>
      </c>
      <c r="T140" s="452" t="s">
        <v>7135</v>
      </c>
      <c r="U140" s="436"/>
      <c r="V140" s="436"/>
      <c r="W140" s="436"/>
      <c r="X140" s="436" t="s">
        <v>7136</v>
      </c>
      <c r="Y140" s="445" t="s">
        <v>354</v>
      </c>
      <c r="Z140" s="438">
        <v>641.9182</v>
      </c>
      <c r="AA140" s="446">
        <f t="shared" si="56"/>
        <v>17973.7096</v>
      </c>
      <c r="AB140" s="437"/>
      <c r="AC140" s="439" t="s">
        <v>356</v>
      </c>
      <c r="AD140" s="437" t="s">
        <v>112</v>
      </c>
      <c r="AE140" s="437"/>
      <c r="AF140" s="437"/>
      <c r="AG140" s="442"/>
      <c r="AH140" s="442">
        <f t="shared" si="57"/>
        <v>-26880</v>
      </c>
      <c r="AI140" s="437"/>
      <c r="AJ140" s="437"/>
      <c r="AK140" s="438">
        <f t="shared" si="58"/>
        <v>26880</v>
      </c>
      <c r="AL140" s="438"/>
      <c r="AM140" s="438"/>
      <c r="AN140" s="438">
        <f t="shared" si="59"/>
        <v>26880</v>
      </c>
      <c r="AO140" s="438"/>
      <c r="AP140" s="447"/>
      <c r="AQ140" s="438"/>
      <c r="AR140" s="448"/>
      <c r="AS140" s="438">
        <f t="shared" si="60"/>
        <v>26880</v>
      </c>
      <c r="AT140" s="449">
        <f t="shared" si="61"/>
        <v>3225.6</v>
      </c>
      <c r="AU140" s="449"/>
      <c r="AV140" s="438"/>
      <c r="AW140" s="438"/>
      <c r="AX140" s="438"/>
      <c r="AY140" s="438"/>
      <c r="AZ140" s="438"/>
      <c r="BA140" s="438"/>
      <c r="BB140" s="438"/>
      <c r="BC140" s="438"/>
      <c r="BD140" s="438"/>
      <c r="BE140" s="438"/>
      <c r="BF140" s="438"/>
      <c r="BG140" s="438"/>
      <c r="BH140" s="438"/>
      <c r="BI140" s="438"/>
      <c r="BJ140" s="438"/>
      <c r="BK140" s="447"/>
      <c r="BL140" s="447"/>
      <c r="BM140" s="438"/>
      <c r="BN140" s="448">
        <f t="shared" si="62"/>
        <v>1680</v>
      </c>
      <c r="BO140" s="448"/>
      <c r="BP140" s="438"/>
      <c r="BQ140" s="438"/>
      <c r="BR140" s="447"/>
      <c r="BS140" s="438"/>
      <c r="BT140" s="438"/>
      <c r="BU140" s="438"/>
      <c r="BV140" s="438"/>
      <c r="BW140" s="438"/>
      <c r="BX140" s="438"/>
      <c r="BY140" s="438"/>
      <c r="BZ140" s="438">
        <f t="shared" si="63"/>
        <v>1680</v>
      </c>
      <c r="CA140" s="438">
        <f t="shared" si="64"/>
        <v>0</v>
      </c>
      <c r="CB140" s="438">
        <f t="shared" si="65"/>
        <v>0</v>
      </c>
      <c r="CC140" s="438">
        <f t="shared" si="66"/>
        <v>0</v>
      </c>
      <c r="CD140" s="448"/>
      <c r="CE140" s="448"/>
      <c r="CF140" s="448"/>
      <c r="CG140" s="438"/>
      <c r="CH140" s="438"/>
      <c r="CI140" s="286"/>
      <c r="CJ140" s="286"/>
      <c r="CK140" s="286"/>
      <c r="CL140" s="286"/>
      <c r="CM140" s="286"/>
      <c r="CN140" s="286"/>
      <c r="CO140" s="286"/>
      <c r="CP140" s="286"/>
      <c r="CQ140" s="286"/>
      <c r="CR140" s="286"/>
      <c r="CS140" s="286"/>
      <c r="CT140" s="286"/>
      <c r="CU140" s="286"/>
      <c r="CV140" s="286"/>
      <c r="CW140" s="286"/>
      <c r="CX140" s="286"/>
      <c r="CY140" s="286"/>
      <c r="CZ140" s="286"/>
      <c r="DA140" s="286"/>
      <c r="DB140" s="286"/>
      <c r="DC140" s="286"/>
    </row>
    <row r="141" s="286" customFormat="1" ht="32.05" customHeight="1" spans="1:107">
      <c r="A141" s="435">
        <v>46188</v>
      </c>
      <c r="B141" s="436" t="s">
        <v>5917</v>
      </c>
      <c r="C141" s="437" t="s">
        <v>115</v>
      </c>
      <c r="D141" s="438" t="s">
        <v>7143</v>
      </c>
      <c r="E141" s="437" t="s">
        <v>7144</v>
      </c>
      <c r="F141" s="438" t="s">
        <v>7145</v>
      </c>
      <c r="G141" s="439" t="s">
        <v>6969</v>
      </c>
      <c r="H141" s="437"/>
      <c r="I141" s="440">
        <v>2512</v>
      </c>
      <c r="J141" s="437">
        <v>0</v>
      </c>
      <c r="K141" s="437">
        <v>16</v>
      </c>
      <c r="L141" s="441">
        <f t="shared" si="55"/>
        <v>157</v>
      </c>
      <c r="M141" s="445">
        <v>46251</v>
      </c>
      <c r="N141" s="445">
        <v>46247</v>
      </c>
      <c r="O141" s="442" t="s">
        <v>7134</v>
      </c>
      <c r="P141" s="442"/>
      <c r="Q141" s="437" t="s">
        <v>6981</v>
      </c>
      <c r="R141" s="443" t="s">
        <v>459</v>
      </c>
      <c r="S141" s="444" t="s">
        <v>95</v>
      </c>
      <c r="T141" s="444" t="s">
        <v>460</v>
      </c>
      <c r="U141" s="436"/>
      <c r="V141" s="436"/>
      <c r="W141" s="436"/>
      <c r="X141" s="436" t="s">
        <v>7146</v>
      </c>
      <c r="Y141" s="445" t="s">
        <v>7147</v>
      </c>
      <c r="Z141" s="438">
        <v>0.6202</v>
      </c>
      <c r="AA141" s="446">
        <f>Z141*I141</f>
        <v>1557.9424</v>
      </c>
      <c r="AB141" s="437"/>
      <c r="AC141" s="521" t="s">
        <v>3630</v>
      </c>
      <c r="AD141" s="437"/>
      <c r="AE141" s="437"/>
      <c r="AF141" s="437"/>
      <c r="AG141" s="442"/>
      <c r="AH141" s="442">
        <f t="shared" si="57"/>
        <v>-2512</v>
      </c>
      <c r="AI141" s="437"/>
      <c r="AJ141" s="437"/>
      <c r="AK141" s="438">
        <f t="shared" si="58"/>
        <v>2512</v>
      </c>
      <c r="AL141" s="438"/>
      <c r="AM141" s="438"/>
      <c r="AN141" s="438">
        <f t="shared" si="59"/>
        <v>2512</v>
      </c>
      <c r="AO141" s="438"/>
      <c r="AP141" s="447"/>
      <c r="AQ141" s="438"/>
      <c r="AR141" s="448"/>
      <c r="AS141" s="438">
        <f t="shared" si="60"/>
        <v>2512</v>
      </c>
      <c r="AT141" s="449"/>
      <c r="AU141" s="449"/>
      <c r="AV141" s="438"/>
      <c r="AW141" s="438"/>
      <c r="AX141" s="438"/>
      <c r="AY141" s="438"/>
      <c r="AZ141" s="438"/>
      <c r="BA141" s="438"/>
      <c r="BB141" s="438"/>
      <c r="BC141" s="438"/>
      <c r="BD141" s="438"/>
      <c r="BE141" s="438"/>
      <c r="BF141" s="438"/>
      <c r="BG141" s="438"/>
      <c r="BH141" s="438"/>
      <c r="BI141" s="438"/>
      <c r="BJ141" s="438"/>
      <c r="BK141" s="447"/>
      <c r="BL141" s="447"/>
      <c r="BM141" s="438"/>
      <c r="BN141" s="448"/>
      <c r="BO141" s="448"/>
      <c r="BP141" s="438"/>
      <c r="BQ141" s="438"/>
      <c r="BR141" s="447"/>
      <c r="BS141" s="438"/>
      <c r="BT141" s="438"/>
      <c r="BU141" s="438"/>
      <c r="BV141" s="438"/>
      <c r="BW141" s="438"/>
      <c r="BX141" s="438"/>
      <c r="BY141" s="438"/>
      <c r="BZ141" s="438">
        <f t="shared" si="63"/>
        <v>0</v>
      </c>
      <c r="CA141" s="438">
        <f t="shared" si="64"/>
        <v>0</v>
      </c>
      <c r="CB141" s="438">
        <f t="shared" si="65"/>
        <v>0</v>
      </c>
      <c r="CC141" s="438">
        <f t="shared" si="66"/>
        <v>0</v>
      </c>
      <c r="CD141" s="448"/>
      <c r="CE141" s="448"/>
      <c r="CF141" s="448"/>
      <c r="CG141" s="438"/>
      <c r="CH141" s="438"/>
    </row>
    <row r="142" s="286" customFormat="1" ht="32.05" customHeight="1" spans="1:107">
      <c r="A142" s="435">
        <v>46188</v>
      </c>
      <c r="B142" s="454" t="s">
        <v>5917</v>
      </c>
      <c r="C142" s="455" t="s">
        <v>115</v>
      </c>
      <c r="D142" s="456" t="s">
        <v>7143</v>
      </c>
      <c r="E142" s="455" t="s">
        <v>7148</v>
      </c>
      <c r="F142" s="456" t="s">
        <v>7149</v>
      </c>
      <c r="G142" s="457" t="s">
        <v>6969</v>
      </c>
      <c r="H142" s="437"/>
      <c r="I142" s="458">
        <v>1120</v>
      </c>
      <c r="J142" s="455">
        <v>0</v>
      </c>
      <c r="K142" s="455">
        <v>16</v>
      </c>
      <c r="L142" s="441">
        <f t="shared" si="55"/>
        <v>70</v>
      </c>
      <c r="M142" s="459">
        <v>46251</v>
      </c>
      <c r="N142" s="459">
        <v>46247</v>
      </c>
      <c r="O142" s="442" t="s">
        <v>7134</v>
      </c>
      <c r="P142" s="442"/>
      <c r="Q142" s="437" t="s">
        <v>6981</v>
      </c>
      <c r="R142" s="443" t="s">
        <v>459</v>
      </c>
      <c r="S142" s="452" t="s">
        <v>95</v>
      </c>
      <c r="T142" s="452" t="s">
        <v>460</v>
      </c>
      <c r="U142" s="436"/>
      <c r="V142" s="436"/>
      <c r="W142" s="436"/>
      <c r="X142" s="454" t="s">
        <v>7146</v>
      </c>
      <c r="Y142" s="459" t="s">
        <v>7147</v>
      </c>
      <c r="Z142" s="438">
        <v>0.6202</v>
      </c>
      <c r="AA142" s="446">
        <f>Z142*I142</f>
        <v>694.624</v>
      </c>
      <c r="AB142" s="437"/>
      <c r="AC142" s="455" t="s">
        <v>3630</v>
      </c>
      <c r="AD142" s="437"/>
      <c r="AE142" s="437"/>
      <c r="AF142" s="437"/>
      <c r="AG142" s="442"/>
      <c r="AH142" s="442">
        <f t="shared" si="57"/>
        <v>-1120</v>
      </c>
      <c r="AI142" s="437"/>
      <c r="AJ142" s="437"/>
      <c r="AK142" s="438">
        <f t="shared" si="58"/>
        <v>1120</v>
      </c>
      <c r="AL142" s="438"/>
      <c r="AM142" s="438"/>
      <c r="AN142" s="438">
        <f t="shared" si="59"/>
        <v>1120</v>
      </c>
      <c r="AO142" s="438"/>
      <c r="AP142" s="447"/>
      <c r="AQ142" s="438"/>
      <c r="AR142" s="448"/>
      <c r="AS142" s="438">
        <f t="shared" si="60"/>
        <v>1120</v>
      </c>
      <c r="AT142" s="449"/>
      <c r="AU142" s="449"/>
      <c r="AV142" s="438"/>
      <c r="AW142" s="438"/>
      <c r="AX142" s="438"/>
      <c r="AY142" s="438"/>
      <c r="AZ142" s="438"/>
      <c r="BA142" s="438"/>
      <c r="BB142" s="438"/>
      <c r="BC142" s="438"/>
      <c r="BD142" s="438"/>
      <c r="BE142" s="438"/>
      <c r="BF142" s="438"/>
      <c r="BG142" s="438"/>
      <c r="BH142" s="438"/>
      <c r="BI142" s="438"/>
      <c r="BJ142" s="438"/>
      <c r="BK142" s="447"/>
      <c r="BL142" s="447"/>
      <c r="BM142" s="438"/>
      <c r="BN142" s="448"/>
      <c r="BO142" s="448"/>
      <c r="BP142" s="438"/>
      <c r="BQ142" s="438"/>
      <c r="BR142" s="447"/>
      <c r="BS142" s="438"/>
      <c r="BT142" s="438"/>
      <c r="BU142" s="438"/>
      <c r="BV142" s="438"/>
      <c r="BW142" s="438"/>
      <c r="BX142" s="438"/>
      <c r="BY142" s="438"/>
      <c r="BZ142" s="438">
        <f t="shared" si="63"/>
        <v>0</v>
      </c>
      <c r="CA142" s="438">
        <f t="shared" si="64"/>
        <v>0</v>
      </c>
      <c r="CB142" s="438">
        <f t="shared" si="65"/>
        <v>0</v>
      </c>
      <c r="CC142" s="438">
        <f t="shared" si="66"/>
        <v>0</v>
      </c>
      <c r="CD142" s="448"/>
      <c r="CE142" s="448"/>
      <c r="CF142" s="448"/>
      <c r="CG142" s="438"/>
      <c r="CH142" s="438"/>
    </row>
    <row r="143" s="286" customFormat="1" ht="31" customHeight="1" spans="1:107">
      <c r="A143" s="435">
        <v>46129</v>
      </c>
      <c r="B143" s="436" t="s">
        <v>346</v>
      </c>
      <c r="C143" s="437" t="s">
        <v>115</v>
      </c>
      <c r="D143" s="438" t="s">
        <v>4411</v>
      </c>
      <c r="E143" s="437" t="s">
        <v>7150</v>
      </c>
      <c r="F143" s="438" t="s">
        <v>7151</v>
      </c>
      <c r="G143" s="439" t="s">
        <v>349</v>
      </c>
      <c r="H143" s="437" t="s">
        <v>350</v>
      </c>
      <c r="I143" s="440">
        <v>18240</v>
      </c>
      <c r="J143" s="437">
        <v>0</v>
      </c>
      <c r="K143" s="437">
        <v>960</v>
      </c>
      <c r="L143" s="441">
        <f t="shared" si="55"/>
        <v>19</v>
      </c>
      <c r="M143" s="445">
        <v>46176</v>
      </c>
      <c r="N143" s="434">
        <v>46212</v>
      </c>
      <c r="O143" s="442" t="s">
        <v>7134</v>
      </c>
      <c r="P143" s="522" t="s">
        <v>106</v>
      </c>
      <c r="Q143" s="437"/>
      <c r="R143" s="451" t="s">
        <v>459</v>
      </c>
      <c r="S143" s="444" t="s">
        <v>95</v>
      </c>
      <c r="T143" s="444" t="s">
        <v>7152</v>
      </c>
      <c r="U143" s="436"/>
      <c r="V143" s="436"/>
      <c r="W143" s="436"/>
      <c r="X143" s="436" t="s">
        <v>4416</v>
      </c>
      <c r="Y143" s="445" t="s">
        <v>354</v>
      </c>
      <c r="Z143" s="438">
        <v>637.5984</v>
      </c>
      <c r="AA143" s="446">
        <f t="shared" ref="AA143:AA155" si="67">Z143*L143</f>
        <v>12114.3696</v>
      </c>
      <c r="AB143" s="437"/>
      <c r="AC143" s="437" t="s">
        <v>356</v>
      </c>
      <c r="AD143" s="437" t="s">
        <v>112</v>
      </c>
      <c r="AE143" s="437" t="s">
        <v>113</v>
      </c>
      <c r="AF143" s="437" t="s">
        <v>943</v>
      </c>
      <c r="AG143" s="442">
        <v>18224</v>
      </c>
      <c r="AH143" s="442">
        <f t="shared" si="57"/>
        <v>-16</v>
      </c>
      <c r="AI143" s="437"/>
      <c r="AJ143" s="437" t="s">
        <v>120</v>
      </c>
      <c r="AK143" s="438">
        <f t="shared" si="58"/>
        <v>18240</v>
      </c>
      <c r="AL143" s="438"/>
      <c r="AM143" s="438"/>
      <c r="AN143" s="438">
        <f t="shared" si="59"/>
        <v>18240</v>
      </c>
      <c r="AO143" s="438"/>
      <c r="AP143" s="447"/>
      <c r="AQ143" s="438"/>
      <c r="AR143" s="448"/>
      <c r="AS143" s="438">
        <f t="shared" si="60"/>
        <v>18240</v>
      </c>
      <c r="AT143" s="449">
        <f t="shared" ref="AT143:AT155" si="68">I143*0.06*2</f>
        <v>2188.8</v>
      </c>
      <c r="AU143" s="449"/>
      <c r="AV143" s="438"/>
      <c r="AW143" s="438"/>
      <c r="AX143" s="438"/>
      <c r="AY143" s="438"/>
      <c r="AZ143" s="438"/>
      <c r="BA143" s="438"/>
      <c r="BB143" s="438"/>
      <c r="BC143" s="438"/>
      <c r="BD143" s="438"/>
      <c r="BE143" s="438"/>
      <c r="BF143" s="438"/>
      <c r="BG143" s="438"/>
      <c r="BH143" s="438"/>
      <c r="BI143" s="438"/>
      <c r="BJ143" s="438"/>
      <c r="BK143" s="447"/>
      <c r="BL143" s="447"/>
      <c r="BM143" s="438"/>
      <c r="BN143" s="448">
        <f t="shared" ref="BN143:BN155" si="69">I143/16</f>
        <v>1140</v>
      </c>
      <c r="BO143" s="438"/>
      <c r="BP143" s="438"/>
      <c r="BQ143" s="438"/>
      <c r="BR143" s="447"/>
      <c r="BS143" s="438"/>
      <c r="BT143" s="438"/>
      <c r="BU143" s="438"/>
      <c r="BV143" s="438"/>
      <c r="BW143" s="438"/>
      <c r="BX143" s="438"/>
      <c r="BY143" s="438"/>
      <c r="BZ143" s="438">
        <f t="shared" si="63"/>
        <v>1140</v>
      </c>
      <c r="CA143" s="438">
        <f t="shared" si="64"/>
        <v>0</v>
      </c>
      <c r="CB143" s="438">
        <f t="shared" si="65"/>
        <v>0</v>
      </c>
      <c r="CC143" s="438">
        <f t="shared" si="66"/>
        <v>0</v>
      </c>
      <c r="CD143" s="448"/>
      <c r="CE143" s="448"/>
      <c r="CF143" s="448"/>
      <c r="CG143" s="438"/>
      <c r="CH143" s="438"/>
    </row>
    <row r="144" s="291" customFormat="1" ht="31" customHeight="1" spans="1:107">
      <c r="A144" s="435">
        <v>46129</v>
      </c>
      <c r="B144" s="436" t="s">
        <v>346</v>
      </c>
      <c r="C144" s="437" t="s">
        <v>115</v>
      </c>
      <c r="D144" s="438" t="s">
        <v>4411</v>
      </c>
      <c r="E144" s="437" t="s">
        <v>7153</v>
      </c>
      <c r="F144" s="438" t="s">
        <v>7154</v>
      </c>
      <c r="G144" s="439" t="s">
        <v>349</v>
      </c>
      <c r="H144" s="437" t="s">
        <v>350</v>
      </c>
      <c r="I144" s="440">
        <v>8640</v>
      </c>
      <c r="J144" s="437">
        <v>0</v>
      </c>
      <c r="K144" s="437">
        <v>960</v>
      </c>
      <c r="L144" s="441">
        <f t="shared" si="55"/>
        <v>9</v>
      </c>
      <c r="M144" s="445">
        <v>46176</v>
      </c>
      <c r="N144" s="434">
        <v>46212</v>
      </c>
      <c r="O144" s="442" t="s">
        <v>7134</v>
      </c>
      <c r="P144" s="522" t="s">
        <v>106</v>
      </c>
      <c r="Q144" s="437"/>
      <c r="R144" s="451" t="s">
        <v>459</v>
      </c>
      <c r="S144" s="444" t="s">
        <v>95</v>
      </c>
      <c r="T144" s="444" t="s">
        <v>7152</v>
      </c>
      <c r="U144" s="436"/>
      <c r="V144" s="436"/>
      <c r="W144" s="436"/>
      <c r="X144" s="436" t="s">
        <v>4416</v>
      </c>
      <c r="Y144" s="445" t="s">
        <v>354</v>
      </c>
      <c r="Z144" s="438">
        <v>640.6511</v>
      </c>
      <c r="AA144" s="446">
        <f t="shared" si="67"/>
        <v>5765.8599</v>
      </c>
      <c r="AB144" s="437"/>
      <c r="AC144" s="437" t="s">
        <v>356</v>
      </c>
      <c r="AD144" s="437" t="s">
        <v>112</v>
      </c>
      <c r="AE144" s="437" t="s">
        <v>113</v>
      </c>
      <c r="AF144" s="437" t="s">
        <v>943</v>
      </c>
      <c r="AG144" s="442">
        <v>8640</v>
      </c>
      <c r="AH144" s="442">
        <f t="shared" si="57"/>
        <v>0</v>
      </c>
      <c r="AI144" s="437"/>
      <c r="AJ144" s="437" t="s">
        <v>120</v>
      </c>
      <c r="AK144" s="438">
        <f t="shared" si="58"/>
        <v>8640</v>
      </c>
      <c r="AL144" s="438"/>
      <c r="AM144" s="438"/>
      <c r="AN144" s="438">
        <f t="shared" si="59"/>
        <v>8640</v>
      </c>
      <c r="AO144" s="438"/>
      <c r="AP144" s="447"/>
      <c r="AQ144" s="438"/>
      <c r="AR144" s="448"/>
      <c r="AS144" s="438">
        <f t="shared" si="60"/>
        <v>8640</v>
      </c>
      <c r="AT144" s="449">
        <f t="shared" si="68"/>
        <v>1036.8</v>
      </c>
      <c r="AU144" s="449"/>
      <c r="AV144" s="438"/>
      <c r="AW144" s="438"/>
      <c r="AX144" s="438"/>
      <c r="AY144" s="438"/>
      <c r="AZ144" s="438"/>
      <c r="BA144" s="438"/>
      <c r="BB144" s="438"/>
      <c r="BC144" s="438"/>
      <c r="BD144" s="438"/>
      <c r="BE144" s="438"/>
      <c r="BF144" s="438"/>
      <c r="BG144" s="438"/>
      <c r="BH144" s="438"/>
      <c r="BI144" s="438"/>
      <c r="BJ144" s="438"/>
      <c r="BK144" s="447"/>
      <c r="BL144" s="447"/>
      <c r="BM144" s="438"/>
      <c r="BN144" s="448">
        <f t="shared" si="69"/>
        <v>540</v>
      </c>
      <c r="BO144" s="448"/>
      <c r="BP144" s="438"/>
      <c r="BQ144" s="438"/>
      <c r="BR144" s="447"/>
      <c r="BS144" s="438"/>
      <c r="BT144" s="438"/>
      <c r="BU144" s="438"/>
      <c r="BV144" s="438"/>
      <c r="BW144" s="438"/>
      <c r="BX144" s="438"/>
      <c r="BY144" s="438"/>
      <c r="BZ144" s="438">
        <f t="shared" si="63"/>
        <v>540</v>
      </c>
      <c r="CA144" s="438">
        <f t="shared" si="64"/>
        <v>0</v>
      </c>
      <c r="CB144" s="438">
        <f t="shared" si="65"/>
        <v>0</v>
      </c>
      <c r="CC144" s="438">
        <f t="shared" si="66"/>
        <v>0</v>
      </c>
      <c r="CD144" s="448"/>
      <c r="CE144" s="448"/>
      <c r="CF144" s="448"/>
      <c r="CG144" s="438"/>
      <c r="CH144" s="438"/>
      <c r="CI144" s="286"/>
      <c r="CJ144" s="286"/>
      <c r="CK144" s="286"/>
      <c r="CL144" s="286"/>
      <c r="CM144" s="286"/>
      <c r="CN144" s="286"/>
      <c r="CO144" s="286"/>
      <c r="CP144" s="286"/>
      <c r="CQ144" s="286"/>
      <c r="CR144" s="286"/>
      <c r="CS144" s="286"/>
      <c r="CT144" s="286"/>
      <c r="CU144" s="286"/>
      <c r="CV144" s="286"/>
      <c r="CW144" s="286"/>
      <c r="CX144" s="286"/>
      <c r="CY144" s="286"/>
      <c r="CZ144" s="286"/>
      <c r="DA144" s="286"/>
      <c r="DB144" s="286"/>
      <c r="DC144" s="286"/>
    </row>
    <row r="145" s="291" customFormat="1" ht="31" customHeight="1" spans="1:107">
      <c r="A145" s="435">
        <v>46129</v>
      </c>
      <c r="B145" s="436" t="s">
        <v>346</v>
      </c>
      <c r="C145" s="437" t="s">
        <v>115</v>
      </c>
      <c r="D145" s="438" t="s">
        <v>4411</v>
      </c>
      <c r="E145" s="437" t="s">
        <v>7155</v>
      </c>
      <c r="F145" s="438" t="s">
        <v>7156</v>
      </c>
      <c r="G145" s="439" t="s">
        <v>349</v>
      </c>
      <c r="H145" s="437" t="s">
        <v>350</v>
      </c>
      <c r="I145" s="440">
        <v>14400</v>
      </c>
      <c r="J145" s="437">
        <v>0</v>
      </c>
      <c r="K145" s="437">
        <v>960</v>
      </c>
      <c r="L145" s="441">
        <f t="shared" si="55"/>
        <v>15</v>
      </c>
      <c r="M145" s="445">
        <v>46182</v>
      </c>
      <c r="N145" s="434">
        <v>46212</v>
      </c>
      <c r="O145" s="442" t="s">
        <v>7134</v>
      </c>
      <c r="P145" s="522" t="s">
        <v>106</v>
      </c>
      <c r="Q145" s="437"/>
      <c r="R145" s="451" t="s">
        <v>459</v>
      </c>
      <c r="S145" s="444" t="s">
        <v>95</v>
      </c>
      <c r="T145" s="444" t="s">
        <v>7152</v>
      </c>
      <c r="U145" s="436"/>
      <c r="V145" s="436"/>
      <c r="W145" s="436"/>
      <c r="X145" s="436" t="s">
        <v>4416</v>
      </c>
      <c r="Y145" s="445" t="s">
        <v>354</v>
      </c>
      <c r="Z145" s="438">
        <v>637.5987</v>
      </c>
      <c r="AA145" s="446">
        <f t="shared" si="67"/>
        <v>9563.9805</v>
      </c>
      <c r="AB145" s="437"/>
      <c r="AC145" s="437" t="s">
        <v>356</v>
      </c>
      <c r="AD145" s="437" t="s">
        <v>112</v>
      </c>
      <c r="AE145" s="437" t="s">
        <v>113</v>
      </c>
      <c r="AF145" s="437" t="s">
        <v>943</v>
      </c>
      <c r="AG145" s="442">
        <v>14400</v>
      </c>
      <c r="AH145" s="442">
        <f t="shared" si="57"/>
        <v>0</v>
      </c>
      <c r="AI145" s="437"/>
      <c r="AJ145" s="437" t="s">
        <v>120</v>
      </c>
      <c r="AK145" s="438">
        <f t="shared" si="58"/>
        <v>14400</v>
      </c>
      <c r="AL145" s="438"/>
      <c r="AM145" s="438"/>
      <c r="AN145" s="438">
        <f t="shared" si="59"/>
        <v>14400</v>
      </c>
      <c r="AO145" s="438"/>
      <c r="AP145" s="447"/>
      <c r="AQ145" s="438"/>
      <c r="AR145" s="448"/>
      <c r="AS145" s="438">
        <f t="shared" si="60"/>
        <v>14400</v>
      </c>
      <c r="AT145" s="449">
        <f t="shared" si="68"/>
        <v>1728</v>
      </c>
      <c r="AU145" s="449"/>
      <c r="AV145" s="438"/>
      <c r="AW145" s="438"/>
      <c r="AX145" s="438"/>
      <c r="AY145" s="438"/>
      <c r="AZ145" s="438"/>
      <c r="BA145" s="438"/>
      <c r="BB145" s="438"/>
      <c r="BC145" s="438"/>
      <c r="BD145" s="438"/>
      <c r="BE145" s="438"/>
      <c r="BF145" s="438"/>
      <c r="BG145" s="438"/>
      <c r="BH145" s="438"/>
      <c r="BI145" s="438"/>
      <c r="BJ145" s="438"/>
      <c r="BK145" s="447"/>
      <c r="BL145" s="447"/>
      <c r="BM145" s="438"/>
      <c r="BN145" s="448">
        <f t="shared" si="69"/>
        <v>900</v>
      </c>
      <c r="BO145" s="438"/>
      <c r="BP145" s="438"/>
      <c r="BQ145" s="438"/>
      <c r="BR145" s="447"/>
      <c r="BS145" s="438"/>
      <c r="BT145" s="438"/>
      <c r="BU145" s="438"/>
      <c r="BV145" s="438"/>
      <c r="BW145" s="438"/>
      <c r="BX145" s="438"/>
      <c r="BY145" s="438"/>
      <c r="BZ145" s="438">
        <f t="shared" si="63"/>
        <v>900</v>
      </c>
      <c r="CA145" s="438">
        <f t="shared" si="64"/>
        <v>0</v>
      </c>
      <c r="CB145" s="438">
        <f t="shared" si="65"/>
        <v>0</v>
      </c>
      <c r="CC145" s="438">
        <f t="shared" si="66"/>
        <v>0</v>
      </c>
      <c r="CD145" s="448"/>
      <c r="CE145" s="448"/>
      <c r="CF145" s="448"/>
      <c r="CG145" s="438"/>
      <c r="CH145" s="438"/>
      <c r="CI145" s="286"/>
      <c r="CJ145" s="286"/>
      <c r="CK145" s="286"/>
      <c r="CL145" s="286"/>
      <c r="CM145" s="286"/>
      <c r="CN145" s="286"/>
      <c r="CO145" s="286"/>
      <c r="CP145" s="286"/>
      <c r="CQ145" s="286"/>
      <c r="CR145" s="286"/>
      <c r="CS145" s="286"/>
      <c r="CT145" s="286"/>
      <c r="CU145" s="286"/>
      <c r="CV145" s="286"/>
      <c r="CW145" s="286"/>
      <c r="CX145" s="286"/>
      <c r="CY145" s="286"/>
      <c r="CZ145" s="286"/>
      <c r="DA145" s="286"/>
      <c r="DB145" s="286"/>
      <c r="DC145" s="286"/>
    </row>
    <row r="146" s="291" customFormat="1" ht="31" customHeight="1" spans="1:107">
      <c r="A146" s="435">
        <v>46129</v>
      </c>
      <c r="B146" s="436" t="s">
        <v>346</v>
      </c>
      <c r="C146" s="437" t="s">
        <v>115</v>
      </c>
      <c r="D146" s="438" t="s">
        <v>4495</v>
      </c>
      <c r="E146" s="437" t="s">
        <v>7157</v>
      </c>
      <c r="F146" s="438" t="s">
        <v>7158</v>
      </c>
      <c r="G146" s="439" t="s">
        <v>349</v>
      </c>
      <c r="H146" s="437" t="s">
        <v>350</v>
      </c>
      <c r="I146" s="440">
        <v>15360</v>
      </c>
      <c r="J146" s="437">
        <v>0</v>
      </c>
      <c r="K146" s="437">
        <v>960</v>
      </c>
      <c r="L146" s="441">
        <f t="shared" si="55"/>
        <v>16</v>
      </c>
      <c r="M146" s="445">
        <v>46182</v>
      </c>
      <c r="N146" s="434">
        <v>46212</v>
      </c>
      <c r="O146" s="442" t="s">
        <v>7134</v>
      </c>
      <c r="P146" s="522" t="s">
        <v>106</v>
      </c>
      <c r="Q146" s="437"/>
      <c r="R146" s="451" t="s">
        <v>459</v>
      </c>
      <c r="S146" s="444" t="s">
        <v>95</v>
      </c>
      <c r="T146" s="444" t="s">
        <v>1018</v>
      </c>
      <c r="U146" s="436"/>
      <c r="V146" s="436"/>
      <c r="W146" s="436"/>
      <c r="X146" s="436" t="s">
        <v>1019</v>
      </c>
      <c r="Y146" s="445" t="s">
        <v>354</v>
      </c>
      <c r="Z146" s="438">
        <v>637.5981</v>
      </c>
      <c r="AA146" s="446">
        <f t="shared" si="67"/>
        <v>10201.5696</v>
      </c>
      <c r="AB146" s="437"/>
      <c r="AC146" s="437" t="s">
        <v>356</v>
      </c>
      <c r="AD146" s="437" t="s">
        <v>112</v>
      </c>
      <c r="AE146" s="437" t="s">
        <v>113</v>
      </c>
      <c r="AF146" s="437" t="s">
        <v>943</v>
      </c>
      <c r="AG146" s="442">
        <v>15360</v>
      </c>
      <c r="AH146" s="442">
        <f t="shared" si="57"/>
        <v>0</v>
      </c>
      <c r="AI146" s="437"/>
      <c r="AJ146" s="437" t="s">
        <v>120</v>
      </c>
      <c r="AK146" s="438">
        <f t="shared" si="58"/>
        <v>15360</v>
      </c>
      <c r="AL146" s="438"/>
      <c r="AM146" s="438"/>
      <c r="AN146" s="438">
        <f t="shared" si="59"/>
        <v>15360</v>
      </c>
      <c r="AO146" s="438"/>
      <c r="AP146" s="447"/>
      <c r="AQ146" s="438"/>
      <c r="AR146" s="448"/>
      <c r="AS146" s="438">
        <f t="shared" si="60"/>
        <v>15360</v>
      </c>
      <c r="AT146" s="449">
        <f t="shared" si="68"/>
        <v>1843.2</v>
      </c>
      <c r="AU146" s="449"/>
      <c r="AV146" s="438"/>
      <c r="AW146" s="438"/>
      <c r="AX146" s="438"/>
      <c r="AY146" s="438"/>
      <c r="AZ146" s="438"/>
      <c r="BA146" s="438"/>
      <c r="BB146" s="438"/>
      <c r="BC146" s="438"/>
      <c r="BD146" s="438"/>
      <c r="BE146" s="438"/>
      <c r="BF146" s="438"/>
      <c r="BG146" s="438"/>
      <c r="BH146" s="438"/>
      <c r="BI146" s="438"/>
      <c r="BJ146" s="438"/>
      <c r="BK146" s="447"/>
      <c r="BL146" s="447"/>
      <c r="BM146" s="438"/>
      <c r="BN146" s="448">
        <f t="shared" si="69"/>
        <v>960</v>
      </c>
      <c r="BO146" s="438"/>
      <c r="BP146" s="438"/>
      <c r="BQ146" s="438"/>
      <c r="BR146" s="447"/>
      <c r="BS146" s="438"/>
      <c r="BT146" s="438"/>
      <c r="BU146" s="438"/>
      <c r="BV146" s="438"/>
      <c r="BW146" s="438"/>
      <c r="BX146" s="438"/>
      <c r="BY146" s="438"/>
      <c r="BZ146" s="438">
        <f t="shared" si="63"/>
        <v>960</v>
      </c>
      <c r="CA146" s="438">
        <f t="shared" si="64"/>
        <v>0</v>
      </c>
      <c r="CB146" s="438">
        <f t="shared" si="65"/>
        <v>0</v>
      </c>
      <c r="CC146" s="438">
        <f t="shared" si="66"/>
        <v>0</v>
      </c>
      <c r="CD146" s="448"/>
      <c r="CE146" s="448"/>
      <c r="CF146" s="448"/>
      <c r="CG146" s="438"/>
      <c r="CH146" s="438"/>
      <c r="CI146" s="286"/>
      <c r="CJ146" s="286"/>
      <c r="CK146" s="286"/>
      <c r="CL146" s="286"/>
      <c r="CM146" s="286"/>
      <c r="CN146" s="286"/>
      <c r="CO146" s="286"/>
      <c r="CP146" s="286"/>
      <c r="CQ146" s="286"/>
      <c r="CR146" s="286"/>
      <c r="CS146" s="286"/>
      <c r="CT146" s="286"/>
      <c r="CU146" s="286"/>
      <c r="CV146" s="286"/>
      <c r="CW146" s="286"/>
      <c r="CX146" s="286"/>
      <c r="CY146" s="286"/>
      <c r="CZ146" s="286"/>
      <c r="DA146" s="286"/>
      <c r="DB146" s="286"/>
      <c r="DC146" s="286"/>
    </row>
    <row r="147" s="291" customFormat="1" ht="32.05" customHeight="1" spans="1:107">
      <c r="A147" s="435">
        <v>46129</v>
      </c>
      <c r="B147" s="454" t="s">
        <v>346</v>
      </c>
      <c r="C147" s="455" t="s">
        <v>115</v>
      </c>
      <c r="D147" s="456" t="s">
        <v>4495</v>
      </c>
      <c r="E147" s="455" t="s">
        <v>7159</v>
      </c>
      <c r="F147" s="456" t="s">
        <v>7160</v>
      </c>
      <c r="G147" s="457" t="s">
        <v>349</v>
      </c>
      <c r="H147" s="437" t="s">
        <v>350</v>
      </c>
      <c r="I147" s="458">
        <v>13440</v>
      </c>
      <c r="J147" s="455">
        <v>0</v>
      </c>
      <c r="K147" s="455">
        <v>960</v>
      </c>
      <c r="L147" s="441">
        <f t="shared" si="55"/>
        <v>14</v>
      </c>
      <c r="M147" s="459">
        <v>46182</v>
      </c>
      <c r="N147" s="489">
        <v>46218</v>
      </c>
      <c r="O147" s="442" t="s">
        <v>7134</v>
      </c>
      <c r="P147" s="523" t="s">
        <v>106</v>
      </c>
      <c r="Q147" s="437"/>
      <c r="R147" s="451" t="s">
        <v>459</v>
      </c>
      <c r="S147" s="444" t="s">
        <v>95</v>
      </c>
      <c r="T147" s="444" t="s">
        <v>1018</v>
      </c>
      <c r="U147" s="436"/>
      <c r="V147" s="436"/>
      <c r="W147" s="436"/>
      <c r="X147" s="454" t="s">
        <v>1019</v>
      </c>
      <c r="Y147" s="459" t="s">
        <v>354</v>
      </c>
      <c r="Z147" s="438">
        <v>637.5986</v>
      </c>
      <c r="AA147" s="446">
        <f t="shared" si="67"/>
        <v>8926.3804</v>
      </c>
      <c r="AB147" s="437"/>
      <c r="AC147" s="437" t="s">
        <v>356</v>
      </c>
      <c r="AD147" s="437" t="s">
        <v>112</v>
      </c>
      <c r="AE147" s="437" t="s">
        <v>113</v>
      </c>
      <c r="AF147" s="437" t="s">
        <v>943</v>
      </c>
      <c r="AG147" s="442">
        <v>13440</v>
      </c>
      <c r="AH147" s="442">
        <f t="shared" si="57"/>
        <v>0</v>
      </c>
      <c r="AI147" s="437"/>
      <c r="AJ147" s="437" t="s">
        <v>120</v>
      </c>
      <c r="AK147" s="438">
        <f t="shared" si="58"/>
        <v>13440</v>
      </c>
      <c r="AL147" s="438"/>
      <c r="AM147" s="438"/>
      <c r="AN147" s="438">
        <f t="shared" si="59"/>
        <v>13440</v>
      </c>
      <c r="AO147" s="438"/>
      <c r="AP147" s="447"/>
      <c r="AQ147" s="438"/>
      <c r="AR147" s="448"/>
      <c r="AS147" s="438">
        <f t="shared" si="60"/>
        <v>13440</v>
      </c>
      <c r="AT147" s="449">
        <f t="shared" si="68"/>
        <v>1612.8</v>
      </c>
      <c r="AU147" s="449"/>
      <c r="AV147" s="438"/>
      <c r="AW147" s="438"/>
      <c r="AX147" s="438"/>
      <c r="AY147" s="438"/>
      <c r="AZ147" s="438"/>
      <c r="BA147" s="438"/>
      <c r="BB147" s="438"/>
      <c r="BC147" s="438"/>
      <c r="BD147" s="438"/>
      <c r="BE147" s="438"/>
      <c r="BF147" s="438"/>
      <c r="BG147" s="438"/>
      <c r="BH147" s="438"/>
      <c r="BI147" s="438"/>
      <c r="BJ147" s="438"/>
      <c r="BK147" s="447"/>
      <c r="BL147" s="447"/>
      <c r="BM147" s="438"/>
      <c r="BN147" s="448">
        <f t="shared" si="69"/>
        <v>840</v>
      </c>
      <c r="BO147" s="448"/>
      <c r="BP147" s="438"/>
      <c r="BQ147" s="438"/>
      <c r="BR147" s="447"/>
      <c r="BS147" s="438"/>
      <c r="BT147" s="438"/>
      <c r="BU147" s="438"/>
      <c r="BV147" s="438"/>
      <c r="BW147" s="438"/>
      <c r="BX147" s="438"/>
      <c r="BY147" s="438"/>
      <c r="BZ147" s="438">
        <f t="shared" si="63"/>
        <v>840</v>
      </c>
      <c r="CA147" s="438">
        <f t="shared" si="64"/>
        <v>0</v>
      </c>
      <c r="CB147" s="438">
        <f t="shared" si="65"/>
        <v>0</v>
      </c>
      <c r="CC147" s="438">
        <f t="shared" si="66"/>
        <v>0</v>
      </c>
      <c r="CD147" s="448"/>
      <c r="CE147" s="448"/>
      <c r="CF147" s="448"/>
      <c r="CG147" s="438"/>
      <c r="CH147" s="438"/>
      <c r="CI147" s="286"/>
      <c r="CJ147" s="286"/>
      <c r="CK147" s="286"/>
      <c r="CL147" s="286"/>
      <c r="CM147" s="286"/>
      <c r="CN147" s="286"/>
      <c r="CO147" s="286"/>
      <c r="CP147" s="286"/>
      <c r="CQ147" s="286"/>
      <c r="CR147" s="286"/>
      <c r="CS147" s="286"/>
      <c r="CT147" s="286"/>
      <c r="CU147" s="286"/>
      <c r="CV147" s="286"/>
      <c r="CW147" s="286"/>
      <c r="CX147" s="286"/>
      <c r="CY147" s="286"/>
      <c r="CZ147" s="286"/>
      <c r="DA147" s="286"/>
      <c r="DB147" s="286"/>
      <c r="DC147" s="286"/>
    </row>
    <row r="148" s="291" customFormat="1" ht="32.05" customHeight="1" spans="1:107">
      <c r="A148" s="435">
        <v>46129</v>
      </c>
      <c r="B148" s="436" t="s">
        <v>346</v>
      </c>
      <c r="C148" s="437" t="s">
        <v>115</v>
      </c>
      <c r="D148" s="438" t="s">
        <v>4495</v>
      </c>
      <c r="E148" s="437" t="s">
        <v>7161</v>
      </c>
      <c r="F148" s="438" t="s">
        <v>7162</v>
      </c>
      <c r="G148" s="439" t="s">
        <v>349</v>
      </c>
      <c r="H148" s="437" t="s">
        <v>350</v>
      </c>
      <c r="I148" s="440">
        <v>21120</v>
      </c>
      <c r="J148" s="437">
        <v>0</v>
      </c>
      <c r="K148" s="437">
        <v>960</v>
      </c>
      <c r="L148" s="441">
        <f t="shared" si="55"/>
        <v>22</v>
      </c>
      <c r="M148" s="445">
        <v>46182</v>
      </c>
      <c r="N148" s="434">
        <v>46218</v>
      </c>
      <c r="O148" s="442" t="s">
        <v>7134</v>
      </c>
      <c r="P148" s="523" t="s">
        <v>106</v>
      </c>
      <c r="Q148" s="437"/>
      <c r="R148" s="443" t="s">
        <v>459</v>
      </c>
      <c r="S148" s="452" t="s">
        <v>95</v>
      </c>
      <c r="T148" s="452" t="s">
        <v>1018</v>
      </c>
      <c r="U148" s="436"/>
      <c r="V148" s="436"/>
      <c r="W148" s="436"/>
      <c r="X148" s="436" t="s">
        <v>1019</v>
      </c>
      <c r="Y148" s="445" t="s">
        <v>354</v>
      </c>
      <c r="Z148" s="438">
        <v>634.5455</v>
      </c>
      <c r="AA148" s="446">
        <f t="shared" si="67"/>
        <v>13960.001</v>
      </c>
      <c r="AB148" s="437"/>
      <c r="AC148" s="437" t="s">
        <v>356</v>
      </c>
      <c r="AD148" s="437" t="s">
        <v>112</v>
      </c>
      <c r="AE148" s="437" t="s">
        <v>113</v>
      </c>
      <c r="AF148" s="437" t="s">
        <v>943</v>
      </c>
      <c r="AG148" s="442">
        <v>21120</v>
      </c>
      <c r="AH148" s="442">
        <f t="shared" si="57"/>
        <v>0</v>
      </c>
      <c r="AI148" s="437"/>
      <c r="AJ148" s="437" t="s">
        <v>120</v>
      </c>
      <c r="AK148" s="438">
        <f t="shared" si="58"/>
        <v>21120</v>
      </c>
      <c r="AL148" s="438"/>
      <c r="AM148" s="438"/>
      <c r="AN148" s="438">
        <f t="shared" si="59"/>
        <v>21120</v>
      </c>
      <c r="AO148" s="438"/>
      <c r="AP148" s="447"/>
      <c r="AQ148" s="438"/>
      <c r="AR148" s="448"/>
      <c r="AS148" s="438">
        <f t="shared" si="60"/>
        <v>21120</v>
      </c>
      <c r="AT148" s="449">
        <f t="shared" si="68"/>
        <v>2534.4</v>
      </c>
      <c r="AU148" s="449"/>
      <c r="AV148" s="438"/>
      <c r="AW148" s="438"/>
      <c r="AX148" s="438"/>
      <c r="AY148" s="438"/>
      <c r="AZ148" s="438"/>
      <c r="BA148" s="438"/>
      <c r="BB148" s="438"/>
      <c r="BC148" s="438"/>
      <c r="BD148" s="438"/>
      <c r="BE148" s="438"/>
      <c r="BF148" s="438"/>
      <c r="BG148" s="438"/>
      <c r="BH148" s="438"/>
      <c r="BI148" s="438"/>
      <c r="BJ148" s="438"/>
      <c r="BK148" s="447"/>
      <c r="BL148" s="447"/>
      <c r="BM148" s="438"/>
      <c r="BN148" s="448">
        <f t="shared" si="69"/>
        <v>1320</v>
      </c>
      <c r="BO148" s="448"/>
      <c r="BP148" s="438"/>
      <c r="BQ148" s="438"/>
      <c r="BR148" s="447"/>
      <c r="BS148" s="438"/>
      <c r="BT148" s="438"/>
      <c r="BU148" s="438"/>
      <c r="BV148" s="438"/>
      <c r="BW148" s="438"/>
      <c r="BX148" s="438"/>
      <c r="BY148" s="438"/>
      <c r="BZ148" s="438">
        <f t="shared" si="63"/>
        <v>1320</v>
      </c>
      <c r="CA148" s="438">
        <f t="shared" si="64"/>
        <v>0</v>
      </c>
      <c r="CB148" s="438">
        <f t="shared" si="65"/>
        <v>0</v>
      </c>
      <c r="CC148" s="438">
        <f t="shared" si="66"/>
        <v>0</v>
      </c>
      <c r="CD148" s="448"/>
      <c r="CE148" s="448"/>
      <c r="CF148" s="448"/>
      <c r="CG148" s="438"/>
      <c r="CH148" s="438"/>
      <c r="CI148" s="286"/>
      <c r="CJ148" s="286"/>
      <c r="CK148" s="286"/>
      <c r="CL148" s="286"/>
      <c r="CM148" s="286"/>
      <c r="CN148" s="286"/>
      <c r="CO148" s="286"/>
      <c r="CP148" s="286"/>
      <c r="CQ148" s="286"/>
      <c r="CR148" s="286"/>
      <c r="CS148" s="286"/>
      <c r="CT148" s="286"/>
      <c r="CU148" s="286"/>
      <c r="CV148" s="286"/>
      <c r="CW148" s="286"/>
      <c r="CX148" s="286"/>
      <c r="CY148" s="286"/>
      <c r="CZ148" s="286"/>
      <c r="DA148" s="286"/>
      <c r="DB148" s="286"/>
      <c r="DC148" s="286"/>
    </row>
    <row r="149" s="291" customFormat="1" ht="32.05" customHeight="1" spans="1:107">
      <c r="A149" s="435">
        <v>46136</v>
      </c>
      <c r="B149" s="460" t="s">
        <v>346</v>
      </c>
      <c r="C149" s="461" t="s">
        <v>115</v>
      </c>
      <c r="D149" s="462" t="s">
        <v>4600</v>
      </c>
      <c r="E149" s="463" t="s">
        <v>7163</v>
      </c>
      <c r="F149" s="462" t="s">
        <v>7164</v>
      </c>
      <c r="G149" s="464" t="s">
        <v>349</v>
      </c>
      <c r="H149" s="436" t="s">
        <v>350</v>
      </c>
      <c r="I149" s="465">
        <v>14400</v>
      </c>
      <c r="J149" s="466">
        <v>0</v>
      </c>
      <c r="K149" s="466">
        <v>960</v>
      </c>
      <c r="L149" s="441">
        <f t="shared" si="55"/>
        <v>15</v>
      </c>
      <c r="M149" s="445">
        <v>46190</v>
      </c>
      <c r="N149" s="434">
        <v>46213</v>
      </c>
      <c r="O149" s="442" t="s">
        <v>7134</v>
      </c>
      <c r="P149" s="442"/>
      <c r="Q149" s="437"/>
      <c r="R149" s="443" t="s">
        <v>459</v>
      </c>
      <c r="S149" s="452" t="s">
        <v>95</v>
      </c>
      <c r="T149" s="452" t="s">
        <v>7165</v>
      </c>
      <c r="U149" s="436"/>
      <c r="V149" s="436"/>
      <c r="W149" s="436"/>
      <c r="X149" s="436" t="s">
        <v>4603</v>
      </c>
      <c r="Y149" s="468" t="s">
        <v>354</v>
      </c>
      <c r="Z149" s="469">
        <v>634.5453</v>
      </c>
      <c r="AA149" s="446">
        <f t="shared" si="67"/>
        <v>9518.1795</v>
      </c>
      <c r="AB149" s="437"/>
      <c r="AC149" s="437" t="s">
        <v>356</v>
      </c>
      <c r="AD149" s="437" t="s">
        <v>112</v>
      </c>
      <c r="AE149" s="437"/>
      <c r="AF149" s="437" t="s">
        <v>943</v>
      </c>
      <c r="AG149" s="442"/>
      <c r="AH149" s="442">
        <f t="shared" si="57"/>
        <v>-14400</v>
      </c>
      <c r="AI149" s="437"/>
      <c r="AJ149" s="442"/>
      <c r="AK149" s="438">
        <f t="shared" si="58"/>
        <v>14400</v>
      </c>
      <c r="AL149" s="438"/>
      <c r="AM149" s="438"/>
      <c r="AN149" s="438">
        <f t="shared" si="59"/>
        <v>14400</v>
      </c>
      <c r="AO149" s="438"/>
      <c r="AP149" s="447"/>
      <c r="AQ149" s="438"/>
      <c r="AR149" s="448"/>
      <c r="AS149" s="438">
        <f t="shared" si="60"/>
        <v>14400</v>
      </c>
      <c r="AT149" s="449">
        <f t="shared" si="68"/>
        <v>1728</v>
      </c>
      <c r="AU149" s="449"/>
      <c r="AV149" s="438"/>
      <c r="AW149" s="438"/>
      <c r="AX149" s="438"/>
      <c r="AY149" s="438"/>
      <c r="AZ149" s="438"/>
      <c r="BA149" s="438"/>
      <c r="BB149" s="438"/>
      <c r="BC149" s="438"/>
      <c r="BD149" s="438"/>
      <c r="BE149" s="438"/>
      <c r="BF149" s="438"/>
      <c r="BG149" s="438"/>
      <c r="BH149" s="438"/>
      <c r="BI149" s="438"/>
      <c r="BJ149" s="438"/>
      <c r="BK149" s="447"/>
      <c r="BL149" s="447"/>
      <c r="BM149" s="438"/>
      <c r="BN149" s="448">
        <f t="shared" si="69"/>
        <v>900</v>
      </c>
      <c r="BO149" s="448"/>
      <c r="BP149" s="438"/>
      <c r="BQ149" s="438"/>
      <c r="BR149" s="447"/>
      <c r="BS149" s="438"/>
      <c r="BT149" s="438"/>
      <c r="BU149" s="438"/>
      <c r="BV149" s="438"/>
      <c r="BW149" s="438"/>
      <c r="BX149" s="438"/>
      <c r="BY149" s="438"/>
      <c r="BZ149" s="438">
        <f t="shared" si="63"/>
        <v>900</v>
      </c>
      <c r="CA149" s="438">
        <f t="shared" si="64"/>
        <v>0</v>
      </c>
      <c r="CB149" s="438">
        <f t="shared" si="65"/>
        <v>0</v>
      </c>
      <c r="CC149" s="438">
        <f t="shared" si="66"/>
        <v>0</v>
      </c>
      <c r="CD149" s="448"/>
      <c r="CE149" s="448"/>
      <c r="CF149" s="448"/>
      <c r="CG149" s="438"/>
      <c r="CH149" s="438"/>
    </row>
    <row r="150" s="287" customFormat="1" ht="32.05" customHeight="1" spans="1:107">
      <c r="A150" s="435">
        <v>46136</v>
      </c>
      <c r="B150" s="460" t="s">
        <v>346</v>
      </c>
      <c r="C150" s="461" t="s">
        <v>115</v>
      </c>
      <c r="D150" s="462" t="s">
        <v>4600</v>
      </c>
      <c r="E150" s="463" t="s">
        <v>7166</v>
      </c>
      <c r="F150" s="462" t="s">
        <v>7167</v>
      </c>
      <c r="G150" s="464" t="s">
        <v>349</v>
      </c>
      <c r="H150" s="436" t="s">
        <v>350</v>
      </c>
      <c r="I150" s="465">
        <v>16320</v>
      </c>
      <c r="J150" s="466">
        <v>0</v>
      </c>
      <c r="K150" s="466">
        <v>960</v>
      </c>
      <c r="L150" s="441">
        <f t="shared" si="55"/>
        <v>17</v>
      </c>
      <c r="M150" s="445">
        <v>46190</v>
      </c>
      <c r="N150" s="434">
        <v>46213</v>
      </c>
      <c r="O150" s="442" t="s">
        <v>7134</v>
      </c>
      <c r="P150" s="442"/>
      <c r="Q150" s="437"/>
      <c r="R150" s="451" t="s">
        <v>459</v>
      </c>
      <c r="S150" s="444" t="s">
        <v>95</v>
      </c>
      <c r="T150" s="444" t="s">
        <v>7165</v>
      </c>
      <c r="U150" s="436"/>
      <c r="V150" s="436"/>
      <c r="W150" s="436"/>
      <c r="X150" s="436" t="s">
        <v>4603</v>
      </c>
      <c r="Y150" s="468" t="s">
        <v>354</v>
      </c>
      <c r="Z150" s="469">
        <v>634.5453</v>
      </c>
      <c r="AA150" s="446">
        <f t="shared" si="67"/>
        <v>10787.2701</v>
      </c>
      <c r="AB150" s="437"/>
      <c r="AC150" s="437" t="s">
        <v>356</v>
      </c>
      <c r="AD150" s="437" t="s">
        <v>112</v>
      </c>
      <c r="AE150" s="437"/>
      <c r="AF150" s="437" t="s">
        <v>943</v>
      </c>
      <c r="AG150" s="442"/>
      <c r="AH150" s="442">
        <f t="shared" si="57"/>
        <v>-16320</v>
      </c>
      <c r="AI150" s="437"/>
      <c r="AJ150" s="442"/>
      <c r="AK150" s="438">
        <f t="shared" si="58"/>
        <v>16320</v>
      </c>
      <c r="AL150" s="438"/>
      <c r="AM150" s="438"/>
      <c r="AN150" s="438">
        <f t="shared" si="59"/>
        <v>16320</v>
      </c>
      <c r="AO150" s="438"/>
      <c r="AP150" s="447"/>
      <c r="AQ150" s="438"/>
      <c r="AR150" s="448"/>
      <c r="AS150" s="438">
        <f t="shared" si="60"/>
        <v>16320</v>
      </c>
      <c r="AT150" s="449">
        <f t="shared" si="68"/>
        <v>1958.4</v>
      </c>
      <c r="AU150" s="449"/>
      <c r="AV150" s="438"/>
      <c r="AW150" s="438"/>
      <c r="AX150" s="438"/>
      <c r="AY150" s="438"/>
      <c r="AZ150" s="438"/>
      <c r="BA150" s="438"/>
      <c r="BB150" s="438"/>
      <c r="BC150" s="438"/>
      <c r="BD150" s="438"/>
      <c r="BE150" s="438"/>
      <c r="BF150" s="438"/>
      <c r="BG150" s="438"/>
      <c r="BH150" s="438"/>
      <c r="BI150" s="438"/>
      <c r="BJ150" s="438"/>
      <c r="BK150" s="447"/>
      <c r="BL150" s="447"/>
      <c r="BM150" s="438"/>
      <c r="BN150" s="448">
        <f t="shared" si="69"/>
        <v>1020</v>
      </c>
      <c r="BO150" s="438"/>
      <c r="BP150" s="438"/>
      <c r="BQ150" s="438"/>
      <c r="BR150" s="447"/>
      <c r="BS150" s="438"/>
      <c r="BT150" s="438"/>
      <c r="BU150" s="438"/>
      <c r="BV150" s="438"/>
      <c r="BW150" s="438"/>
      <c r="BX150" s="438"/>
      <c r="BY150" s="438"/>
      <c r="BZ150" s="438">
        <f t="shared" si="63"/>
        <v>1020</v>
      </c>
      <c r="CA150" s="438">
        <f t="shared" si="64"/>
        <v>0</v>
      </c>
      <c r="CB150" s="438">
        <f t="shared" si="65"/>
        <v>0</v>
      </c>
      <c r="CC150" s="438">
        <f t="shared" si="66"/>
        <v>0</v>
      </c>
      <c r="CD150" s="448"/>
      <c r="CE150" s="448"/>
      <c r="CF150" s="448"/>
      <c r="CG150" s="438"/>
      <c r="CH150" s="438"/>
      <c r="CI150" s="291"/>
      <c r="CJ150" s="291"/>
      <c r="CK150" s="291"/>
      <c r="CL150" s="291"/>
      <c r="CM150" s="291"/>
      <c r="CN150" s="291"/>
      <c r="CO150" s="291"/>
      <c r="CP150" s="291"/>
      <c r="CQ150" s="291"/>
      <c r="CR150" s="291"/>
      <c r="CS150" s="291"/>
      <c r="CT150" s="291"/>
      <c r="CU150" s="291"/>
      <c r="CV150" s="291"/>
      <c r="CW150" s="291"/>
      <c r="CX150" s="291"/>
      <c r="CY150" s="291"/>
      <c r="CZ150" s="291"/>
      <c r="DA150" s="291"/>
      <c r="DB150" s="291"/>
      <c r="DC150" s="291"/>
    </row>
    <row r="151" s="286" customFormat="1" ht="32.05" customHeight="1" spans="1:107">
      <c r="A151" s="435">
        <v>46136</v>
      </c>
      <c r="B151" s="460" t="s">
        <v>346</v>
      </c>
      <c r="C151" s="461" t="s">
        <v>115</v>
      </c>
      <c r="D151" s="462" t="s">
        <v>4600</v>
      </c>
      <c r="E151" s="463" t="s">
        <v>7168</v>
      </c>
      <c r="F151" s="462" t="s">
        <v>7169</v>
      </c>
      <c r="G151" s="464" t="s">
        <v>349</v>
      </c>
      <c r="H151" s="436" t="s">
        <v>350</v>
      </c>
      <c r="I151" s="465">
        <v>14400</v>
      </c>
      <c r="J151" s="466">
        <v>0</v>
      </c>
      <c r="K151" s="466">
        <v>960</v>
      </c>
      <c r="L151" s="441">
        <f t="shared" ref="L151:L155" si="70">I151/K151</f>
        <v>15</v>
      </c>
      <c r="M151" s="445">
        <v>46190</v>
      </c>
      <c r="N151" s="434">
        <v>46213</v>
      </c>
      <c r="O151" s="442" t="s">
        <v>7134</v>
      </c>
      <c r="P151" s="442"/>
      <c r="Q151" s="437"/>
      <c r="R151" s="443" t="s">
        <v>459</v>
      </c>
      <c r="S151" s="452" t="s">
        <v>95</v>
      </c>
      <c r="T151" s="452" t="s">
        <v>7165</v>
      </c>
      <c r="U151" s="436"/>
      <c r="V151" s="436"/>
      <c r="W151" s="436"/>
      <c r="X151" s="436" t="s">
        <v>4603</v>
      </c>
      <c r="Y151" s="468" t="s">
        <v>354</v>
      </c>
      <c r="Z151" s="469">
        <v>634.5453</v>
      </c>
      <c r="AA151" s="446">
        <f t="shared" si="67"/>
        <v>9518.1795</v>
      </c>
      <c r="AB151" s="437"/>
      <c r="AC151" s="437" t="s">
        <v>356</v>
      </c>
      <c r="AD151" s="437" t="s">
        <v>112</v>
      </c>
      <c r="AE151" s="437"/>
      <c r="AF151" s="437" t="s">
        <v>943</v>
      </c>
      <c r="AG151" s="442"/>
      <c r="AH151" s="442">
        <f t="shared" ref="AH151:AH155" si="71">AG151-I151</f>
        <v>-14400</v>
      </c>
      <c r="AI151" s="437"/>
      <c r="AJ151" s="442"/>
      <c r="AK151" s="438">
        <f t="shared" ref="AK151:AK155" si="72">I151</f>
        <v>14400</v>
      </c>
      <c r="AL151" s="438"/>
      <c r="AM151" s="438"/>
      <c r="AN151" s="438">
        <f t="shared" ref="AN151:AN155" si="73">I151</f>
        <v>14400</v>
      </c>
      <c r="AO151" s="438"/>
      <c r="AP151" s="447"/>
      <c r="AQ151" s="438"/>
      <c r="AR151" s="448"/>
      <c r="AS151" s="438">
        <f t="shared" ref="AS151:AS155" si="74">I151</f>
        <v>14400</v>
      </c>
      <c r="AT151" s="449">
        <f t="shared" si="68"/>
        <v>1728</v>
      </c>
      <c r="AU151" s="449"/>
      <c r="AV151" s="438"/>
      <c r="AW151" s="438"/>
      <c r="AX151" s="438"/>
      <c r="AY151" s="438"/>
      <c r="AZ151" s="438"/>
      <c r="BA151" s="438"/>
      <c r="BB151" s="438"/>
      <c r="BC151" s="438"/>
      <c r="BD151" s="438"/>
      <c r="BE151" s="438"/>
      <c r="BF151" s="438"/>
      <c r="BG151" s="438"/>
      <c r="BH151" s="438"/>
      <c r="BI151" s="438"/>
      <c r="BJ151" s="438"/>
      <c r="BK151" s="447"/>
      <c r="BL151" s="447"/>
      <c r="BM151" s="438"/>
      <c r="BN151" s="448">
        <f t="shared" si="69"/>
        <v>900</v>
      </c>
      <c r="BO151" s="448"/>
      <c r="BP151" s="438"/>
      <c r="BQ151" s="438"/>
      <c r="BR151" s="447"/>
      <c r="BS151" s="438"/>
      <c r="BT151" s="438"/>
      <c r="BU151" s="438"/>
      <c r="BV151" s="438"/>
      <c r="BW151" s="438"/>
      <c r="BX151" s="438"/>
      <c r="BY151" s="438"/>
      <c r="BZ151" s="438">
        <f t="shared" ref="BZ151:BZ155" si="75">BJ151+BK151+BM151+BO151+BN151</f>
        <v>900</v>
      </c>
      <c r="CA151" s="438">
        <f t="shared" ref="CA151:CA155" si="76">BQ151</f>
        <v>0</v>
      </c>
      <c r="CB151" s="438">
        <f t="shared" ref="CB151:CB155" si="77">BY151</f>
        <v>0</v>
      </c>
      <c r="CC151" s="438">
        <f t="shared" ref="CC151:CC155" si="78">BR151+BS151+BT151</f>
        <v>0</v>
      </c>
      <c r="CD151" s="448"/>
      <c r="CE151" s="448"/>
      <c r="CF151" s="448"/>
      <c r="CG151" s="438"/>
      <c r="CH151" s="438"/>
      <c r="CI151" s="291"/>
      <c r="CJ151" s="291"/>
      <c r="CK151" s="291"/>
      <c r="CL151" s="291"/>
      <c r="CM151" s="291"/>
      <c r="CN151" s="291"/>
      <c r="CO151" s="291"/>
      <c r="CP151" s="291"/>
      <c r="CQ151" s="291"/>
      <c r="CR151" s="291"/>
      <c r="CS151" s="291"/>
      <c r="CT151" s="291"/>
      <c r="CU151" s="291"/>
      <c r="CV151" s="291"/>
      <c r="CW151" s="291"/>
      <c r="CX151" s="291"/>
      <c r="CY151" s="291"/>
      <c r="CZ151" s="291"/>
      <c r="DA151" s="291"/>
      <c r="DB151" s="291"/>
      <c r="DC151" s="291"/>
    </row>
    <row r="152" s="295" customFormat="1" ht="32.05" customHeight="1" spans="1:107">
      <c r="A152" s="435">
        <v>46150</v>
      </c>
      <c r="B152" s="460" t="s">
        <v>499</v>
      </c>
      <c r="C152" s="461" t="s">
        <v>115</v>
      </c>
      <c r="D152" s="462" t="s">
        <v>4702</v>
      </c>
      <c r="E152" s="463" t="s">
        <v>7170</v>
      </c>
      <c r="F152" s="462" t="s">
        <v>7171</v>
      </c>
      <c r="G152" s="464" t="s">
        <v>349</v>
      </c>
      <c r="H152" s="436" t="s">
        <v>350</v>
      </c>
      <c r="I152" s="465">
        <v>20160</v>
      </c>
      <c r="J152" s="466">
        <v>0</v>
      </c>
      <c r="K152" s="466">
        <v>960</v>
      </c>
      <c r="L152" s="441">
        <f t="shared" si="70"/>
        <v>21</v>
      </c>
      <c r="M152" s="445">
        <v>46197</v>
      </c>
      <c r="N152" s="434">
        <v>46217</v>
      </c>
      <c r="O152" s="442" t="s">
        <v>7134</v>
      </c>
      <c r="P152" s="442"/>
      <c r="Q152" s="437"/>
      <c r="R152" s="451" t="s">
        <v>459</v>
      </c>
      <c r="S152" s="444" t="s">
        <v>95</v>
      </c>
      <c r="T152" s="444" t="s">
        <v>7172</v>
      </c>
      <c r="U152" s="436"/>
      <c r="V152" s="436"/>
      <c r="W152" s="436"/>
      <c r="X152" s="436" t="s">
        <v>7173</v>
      </c>
      <c r="Y152" s="468" t="s">
        <v>503</v>
      </c>
      <c r="Z152" s="469">
        <v>634.5457</v>
      </c>
      <c r="AA152" s="446">
        <f t="shared" si="67"/>
        <v>13325.4597</v>
      </c>
      <c r="AB152" s="437"/>
      <c r="AC152" s="437" t="s">
        <v>356</v>
      </c>
      <c r="AD152" s="437" t="s">
        <v>112</v>
      </c>
      <c r="AE152" s="437" t="s">
        <v>113</v>
      </c>
      <c r="AF152" s="437"/>
      <c r="AG152" s="442"/>
      <c r="AH152" s="442">
        <f t="shared" si="71"/>
        <v>-20160</v>
      </c>
      <c r="AI152" s="437"/>
      <c r="AJ152" s="437"/>
      <c r="AK152" s="438">
        <f t="shared" si="72"/>
        <v>20160</v>
      </c>
      <c r="AL152" s="438"/>
      <c r="AM152" s="438"/>
      <c r="AN152" s="438">
        <f t="shared" si="73"/>
        <v>20160</v>
      </c>
      <c r="AO152" s="438"/>
      <c r="AP152" s="447"/>
      <c r="AQ152" s="438"/>
      <c r="AR152" s="448"/>
      <c r="AS152" s="438">
        <f t="shared" si="74"/>
        <v>20160</v>
      </c>
      <c r="AT152" s="449">
        <f t="shared" si="68"/>
        <v>2419.2</v>
      </c>
      <c r="AU152" s="449"/>
      <c r="AV152" s="438"/>
      <c r="AW152" s="438"/>
      <c r="AX152" s="438"/>
      <c r="AY152" s="438"/>
      <c r="AZ152" s="438"/>
      <c r="BA152" s="438"/>
      <c r="BB152" s="438"/>
      <c r="BC152" s="438"/>
      <c r="BD152" s="438"/>
      <c r="BE152" s="438"/>
      <c r="BF152" s="438"/>
      <c r="BG152" s="438"/>
      <c r="BH152" s="438"/>
      <c r="BI152" s="438"/>
      <c r="BJ152" s="438"/>
      <c r="BK152" s="447"/>
      <c r="BL152" s="447"/>
      <c r="BM152" s="438"/>
      <c r="BN152" s="448">
        <f t="shared" si="69"/>
        <v>1260</v>
      </c>
      <c r="BO152" s="438"/>
      <c r="BP152" s="438"/>
      <c r="BQ152" s="438"/>
      <c r="BR152" s="447"/>
      <c r="BS152" s="438"/>
      <c r="BT152" s="438"/>
      <c r="BU152" s="438"/>
      <c r="BV152" s="438"/>
      <c r="BW152" s="438"/>
      <c r="BX152" s="438"/>
      <c r="BY152" s="438"/>
      <c r="BZ152" s="438">
        <f t="shared" si="75"/>
        <v>1260</v>
      </c>
      <c r="CA152" s="438">
        <f t="shared" si="76"/>
        <v>0</v>
      </c>
      <c r="CB152" s="438">
        <f t="shared" si="77"/>
        <v>0</v>
      </c>
      <c r="CC152" s="438">
        <f t="shared" si="78"/>
        <v>0</v>
      </c>
      <c r="CD152" s="448"/>
      <c r="CE152" s="448"/>
      <c r="CF152" s="448"/>
      <c r="CG152" s="438"/>
      <c r="CH152" s="438"/>
      <c r="CI152" s="291"/>
      <c r="CJ152" s="291"/>
      <c r="CK152" s="291"/>
      <c r="CL152" s="291"/>
      <c r="CM152" s="291"/>
      <c r="CN152" s="291"/>
      <c r="CO152" s="291"/>
      <c r="CP152" s="291"/>
      <c r="CQ152" s="291"/>
      <c r="CR152" s="291"/>
      <c r="CS152" s="291"/>
      <c r="CT152" s="291"/>
      <c r="CU152" s="291"/>
      <c r="CV152" s="291"/>
      <c r="CW152" s="291"/>
      <c r="CX152" s="291"/>
      <c r="CY152" s="291"/>
      <c r="CZ152" s="291"/>
      <c r="DA152" s="291"/>
      <c r="DB152" s="291"/>
      <c r="DC152" s="291"/>
    </row>
    <row r="153" s="291" customFormat="1" ht="32.05" customHeight="1" spans="1:107">
      <c r="A153" s="435">
        <v>46150</v>
      </c>
      <c r="B153" s="460" t="s">
        <v>499</v>
      </c>
      <c r="C153" s="461" t="s">
        <v>115</v>
      </c>
      <c r="D153" s="462" t="s">
        <v>4702</v>
      </c>
      <c r="E153" s="463" t="s">
        <v>7174</v>
      </c>
      <c r="F153" s="462" t="s">
        <v>7175</v>
      </c>
      <c r="G153" s="464" t="s">
        <v>349</v>
      </c>
      <c r="H153" s="436" t="s">
        <v>350</v>
      </c>
      <c r="I153" s="465">
        <v>9600</v>
      </c>
      <c r="J153" s="466">
        <v>0</v>
      </c>
      <c r="K153" s="466">
        <v>960</v>
      </c>
      <c r="L153" s="441">
        <f t="shared" si="70"/>
        <v>10</v>
      </c>
      <c r="M153" s="445">
        <v>46197</v>
      </c>
      <c r="N153" s="434">
        <v>46217</v>
      </c>
      <c r="O153" s="442" t="s">
        <v>7134</v>
      </c>
      <c r="P153" s="442"/>
      <c r="Q153" s="437"/>
      <c r="R153" s="451" t="s">
        <v>459</v>
      </c>
      <c r="S153" s="444" t="s">
        <v>95</v>
      </c>
      <c r="T153" s="444" t="s">
        <v>7172</v>
      </c>
      <c r="U153" s="436"/>
      <c r="V153" s="436"/>
      <c r="W153" s="436"/>
      <c r="X153" s="436" t="s">
        <v>7173</v>
      </c>
      <c r="Y153" s="468" t="s">
        <v>503</v>
      </c>
      <c r="Z153" s="469">
        <v>640.651</v>
      </c>
      <c r="AA153" s="446">
        <f t="shared" si="67"/>
        <v>6406.51</v>
      </c>
      <c r="AB153" s="437"/>
      <c r="AC153" s="437" t="s">
        <v>356</v>
      </c>
      <c r="AD153" s="437" t="s">
        <v>112</v>
      </c>
      <c r="AE153" s="437" t="s">
        <v>113</v>
      </c>
      <c r="AF153" s="437"/>
      <c r="AG153" s="442"/>
      <c r="AH153" s="442">
        <f t="shared" si="71"/>
        <v>-9600</v>
      </c>
      <c r="AI153" s="437"/>
      <c r="AJ153" s="437"/>
      <c r="AK153" s="438">
        <f t="shared" si="72"/>
        <v>9600</v>
      </c>
      <c r="AL153" s="438"/>
      <c r="AM153" s="438"/>
      <c r="AN153" s="438">
        <f t="shared" si="73"/>
        <v>9600</v>
      </c>
      <c r="AO153" s="438"/>
      <c r="AP153" s="447"/>
      <c r="AQ153" s="438"/>
      <c r="AR153" s="448"/>
      <c r="AS153" s="438">
        <f t="shared" si="74"/>
        <v>9600</v>
      </c>
      <c r="AT153" s="449">
        <f t="shared" si="68"/>
        <v>1152</v>
      </c>
      <c r="AU153" s="449"/>
      <c r="AV153" s="438"/>
      <c r="AW153" s="438"/>
      <c r="AX153" s="438"/>
      <c r="AY153" s="438"/>
      <c r="AZ153" s="438"/>
      <c r="BA153" s="438"/>
      <c r="BB153" s="438"/>
      <c r="BC153" s="438"/>
      <c r="BD153" s="438"/>
      <c r="BE153" s="438"/>
      <c r="BF153" s="438"/>
      <c r="BG153" s="438"/>
      <c r="BH153" s="438"/>
      <c r="BI153" s="438"/>
      <c r="BJ153" s="438"/>
      <c r="BK153" s="447"/>
      <c r="BL153" s="447"/>
      <c r="BM153" s="438"/>
      <c r="BN153" s="448">
        <f t="shared" si="69"/>
        <v>600</v>
      </c>
      <c r="BO153" s="448"/>
      <c r="BP153" s="438"/>
      <c r="BQ153" s="438"/>
      <c r="BR153" s="447"/>
      <c r="BS153" s="438"/>
      <c r="BT153" s="438"/>
      <c r="BU153" s="438"/>
      <c r="BV153" s="438"/>
      <c r="BW153" s="438"/>
      <c r="BX153" s="438"/>
      <c r="BY153" s="438"/>
      <c r="BZ153" s="438">
        <f t="shared" si="75"/>
        <v>600</v>
      </c>
      <c r="CA153" s="438">
        <f t="shared" si="76"/>
        <v>0</v>
      </c>
      <c r="CB153" s="438">
        <f t="shared" si="77"/>
        <v>0</v>
      </c>
      <c r="CC153" s="438">
        <f t="shared" si="78"/>
        <v>0</v>
      </c>
      <c r="CD153" s="448"/>
      <c r="CE153" s="448"/>
      <c r="CF153" s="448"/>
      <c r="CG153" s="438"/>
      <c r="CH153" s="438"/>
    </row>
    <row r="154" s="291" customFormat="1" ht="32.05" customHeight="1" spans="1:107">
      <c r="A154" s="435">
        <v>46150</v>
      </c>
      <c r="B154" s="460" t="s">
        <v>499</v>
      </c>
      <c r="C154" s="461" t="s">
        <v>115</v>
      </c>
      <c r="D154" s="462" t="s">
        <v>4702</v>
      </c>
      <c r="E154" s="463" t="s">
        <v>7176</v>
      </c>
      <c r="F154" s="462" t="s">
        <v>7177</v>
      </c>
      <c r="G154" s="464" t="s">
        <v>349</v>
      </c>
      <c r="H154" s="436" t="s">
        <v>350</v>
      </c>
      <c r="I154" s="465">
        <v>20160</v>
      </c>
      <c r="J154" s="466">
        <v>0</v>
      </c>
      <c r="K154" s="466">
        <v>960</v>
      </c>
      <c r="L154" s="441">
        <f t="shared" si="70"/>
        <v>21</v>
      </c>
      <c r="M154" s="445">
        <v>46197</v>
      </c>
      <c r="N154" s="434">
        <v>46217</v>
      </c>
      <c r="O154" s="442" t="s">
        <v>7134</v>
      </c>
      <c r="P154" s="442"/>
      <c r="Q154" s="437"/>
      <c r="R154" s="451" t="s">
        <v>459</v>
      </c>
      <c r="S154" s="444" t="s">
        <v>95</v>
      </c>
      <c r="T154" s="444" t="s">
        <v>7172</v>
      </c>
      <c r="U154" s="436"/>
      <c r="V154" s="436"/>
      <c r="W154" s="436"/>
      <c r="X154" s="436" t="s">
        <v>7173</v>
      </c>
      <c r="Y154" s="468" t="s">
        <v>503</v>
      </c>
      <c r="Z154" s="469">
        <v>634.5457</v>
      </c>
      <c r="AA154" s="446">
        <f t="shared" si="67"/>
        <v>13325.4597</v>
      </c>
      <c r="AB154" s="437"/>
      <c r="AC154" s="437" t="s">
        <v>356</v>
      </c>
      <c r="AD154" s="437" t="s">
        <v>112</v>
      </c>
      <c r="AE154" s="437" t="s">
        <v>113</v>
      </c>
      <c r="AF154" s="437"/>
      <c r="AG154" s="442"/>
      <c r="AH154" s="442">
        <f t="shared" si="71"/>
        <v>-20160</v>
      </c>
      <c r="AI154" s="437"/>
      <c r="AJ154" s="437"/>
      <c r="AK154" s="438">
        <f t="shared" si="72"/>
        <v>20160</v>
      </c>
      <c r="AL154" s="438"/>
      <c r="AM154" s="438"/>
      <c r="AN154" s="438">
        <f t="shared" si="73"/>
        <v>20160</v>
      </c>
      <c r="AO154" s="438"/>
      <c r="AP154" s="447"/>
      <c r="AQ154" s="438"/>
      <c r="AR154" s="448"/>
      <c r="AS154" s="438">
        <f t="shared" si="74"/>
        <v>20160</v>
      </c>
      <c r="AT154" s="449">
        <f t="shared" si="68"/>
        <v>2419.2</v>
      </c>
      <c r="AU154" s="449"/>
      <c r="AV154" s="438"/>
      <c r="AW154" s="438"/>
      <c r="AX154" s="438"/>
      <c r="AY154" s="438"/>
      <c r="AZ154" s="438"/>
      <c r="BA154" s="438"/>
      <c r="BB154" s="438"/>
      <c r="BC154" s="438"/>
      <c r="BD154" s="438"/>
      <c r="BE154" s="438"/>
      <c r="BF154" s="438"/>
      <c r="BG154" s="438"/>
      <c r="BH154" s="438"/>
      <c r="BI154" s="438"/>
      <c r="BJ154" s="438"/>
      <c r="BK154" s="447"/>
      <c r="BL154" s="447"/>
      <c r="BM154" s="438"/>
      <c r="BN154" s="448">
        <f t="shared" si="69"/>
        <v>1260</v>
      </c>
      <c r="BO154" s="448"/>
      <c r="BP154" s="438"/>
      <c r="BQ154" s="438"/>
      <c r="BR154" s="447"/>
      <c r="BS154" s="438"/>
      <c r="BT154" s="438"/>
      <c r="BU154" s="438"/>
      <c r="BV154" s="438"/>
      <c r="BW154" s="438"/>
      <c r="BX154" s="438"/>
      <c r="BY154" s="438"/>
      <c r="BZ154" s="438">
        <f t="shared" si="75"/>
        <v>1260</v>
      </c>
      <c r="CA154" s="438">
        <f t="shared" si="76"/>
        <v>0</v>
      </c>
      <c r="CB154" s="438">
        <f t="shared" si="77"/>
        <v>0</v>
      </c>
      <c r="CC154" s="438">
        <f t="shared" si="78"/>
        <v>0</v>
      </c>
      <c r="CD154" s="448"/>
      <c r="CE154" s="448"/>
      <c r="CF154" s="448"/>
      <c r="CG154" s="438"/>
      <c r="CH154" s="438"/>
    </row>
    <row r="155" s="291" customFormat="1" ht="32.05" customHeight="1" spans="1:107">
      <c r="A155" s="435">
        <v>46150</v>
      </c>
      <c r="B155" s="460" t="s">
        <v>499</v>
      </c>
      <c r="C155" s="461" t="s">
        <v>115</v>
      </c>
      <c r="D155" s="462" t="s">
        <v>4702</v>
      </c>
      <c r="E155" s="463" t="s">
        <v>7178</v>
      </c>
      <c r="F155" s="462" t="s">
        <v>7179</v>
      </c>
      <c r="G155" s="464" t="s">
        <v>349</v>
      </c>
      <c r="H155" s="436" t="s">
        <v>350</v>
      </c>
      <c r="I155" s="465">
        <v>14400</v>
      </c>
      <c r="J155" s="466">
        <v>0</v>
      </c>
      <c r="K155" s="466">
        <v>960</v>
      </c>
      <c r="L155" s="441">
        <f t="shared" si="70"/>
        <v>15</v>
      </c>
      <c r="M155" s="445">
        <v>46197</v>
      </c>
      <c r="N155" s="434">
        <v>46218</v>
      </c>
      <c r="O155" s="442" t="s">
        <v>7134</v>
      </c>
      <c r="P155" s="442"/>
      <c r="Q155" s="437"/>
      <c r="R155" s="451" t="s">
        <v>459</v>
      </c>
      <c r="S155" s="444" t="s">
        <v>95</v>
      </c>
      <c r="T155" s="444" t="s">
        <v>7172</v>
      </c>
      <c r="U155" s="436"/>
      <c r="V155" s="436"/>
      <c r="W155" s="436"/>
      <c r="X155" s="436" t="s">
        <v>7173</v>
      </c>
      <c r="Y155" s="468" t="s">
        <v>503</v>
      </c>
      <c r="Z155" s="469">
        <v>637.5987</v>
      </c>
      <c r="AA155" s="446">
        <f t="shared" si="67"/>
        <v>9563.9805</v>
      </c>
      <c r="AB155" s="437"/>
      <c r="AC155" s="437" t="s">
        <v>356</v>
      </c>
      <c r="AD155" s="437" t="s">
        <v>112</v>
      </c>
      <c r="AE155" s="437" t="s">
        <v>113</v>
      </c>
      <c r="AF155" s="437"/>
      <c r="AG155" s="442"/>
      <c r="AH155" s="442">
        <f t="shared" si="71"/>
        <v>-14400</v>
      </c>
      <c r="AI155" s="437"/>
      <c r="AJ155" s="437"/>
      <c r="AK155" s="438">
        <f t="shared" si="72"/>
        <v>14400</v>
      </c>
      <c r="AL155" s="438"/>
      <c r="AM155" s="438"/>
      <c r="AN155" s="438">
        <f t="shared" si="73"/>
        <v>14400</v>
      </c>
      <c r="AO155" s="438"/>
      <c r="AP155" s="447"/>
      <c r="AQ155" s="438"/>
      <c r="AR155" s="448"/>
      <c r="AS155" s="438">
        <f t="shared" si="74"/>
        <v>14400</v>
      </c>
      <c r="AT155" s="449">
        <f t="shared" si="68"/>
        <v>1728</v>
      </c>
      <c r="AU155" s="449"/>
      <c r="AV155" s="438"/>
      <c r="AW155" s="438"/>
      <c r="AX155" s="438"/>
      <c r="AY155" s="438"/>
      <c r="AZ155" s="438"/>
      <c r="BA155" s="438"/>
      <c r="BB155" s="438"/>
      <c r="BC155" s="438"/>
      <c r="BD155" s="438"/>
      <c r="BE155" s="438"/>
      <c r="BF155" s="438"/>
      <c r="BG155" s="438"/>
      <c r="BH155" s="438"/>
      <c r="BI155" s="438"/>
      <c r="BJ155" s="438"/>
      <c r="BK155" s="447"/>
      <c r="BL155" s="447"/>
      <c r="BM155" s="438"/>
      <c r="BN155" s="448">
        <f t="shared" si="69"/>
        <v>900</v>
      </c>
      <c r="BO155" s="438"/>
      <c r="BP155" s="438"/>
      <c r="BQ155" s="438"/>
      <c r="BR155" s="447"/>
      <c r="BS155" s="438"/>
      <c r="BT155" s="438"/>
      <c r="BU155" s="438"/>
      <c r="BV155" s="438"/>
      <c r="BW155" s="438"/>
      <c r="BX155" s="438"/>
      <c r="BY155" s="438"/>
      <c r="BZ155" s="438">
        <f t="shared" si="75"/>
        <v>900</v>
      </c>
      <c r="CA155" s="438">
        <f t="shared" si="76"/>
        <v>0</v>
      </c>
      <c r="CB155" s="438">
        <f t="shared" si="77"/>
        <v>0</v>
      </c>
      <c r="CC155" s="438">
        <f t="shared" si="78"/>
        <v>0</v>
      </c>
      <c r="CD155" s="448"/>
      <c r="CE155" s="448"/>
      <c r="CF155" s="448"/>
      <c r="CG155" s="438"/>
      <c r="CH155" s="438"/>
    </row>
    <row r="156" s="291" customFormat="1" ht="32.05" customHeight="1" spans="1:107">
      <c r="A156" s="435">
        <v>46153</v>
      </c>
      <c r="B156" s="472" t="s">
        <v>346</v>
      </c>
      <c r="C156" s="473" t="s">
        <v>115</v>
      </c>
      <c r="D156" s="474" t="s">
        <v>7180</v>
      </c>
      <c r="E156" s="475" t="s">
        <v>7181</v>
      </c>
      <c r="F156" s="474" t="s">
        <v>7182</v>
      </c>
      <c r="G156" s="476" t="s">
        <v>349</v>
      </c>
      <c r="H156" s="454" t="s">
        <v>350</v>
      </c>
      <c r="I156" s="477">
        <v>19200</v>
      </c>
      <c r="J156" s="478">
        <v>0</v>
      </c>
      <c r="K156" s="478">
        <v>960</v>
      </c>
      <c r="L156" s="441">
        <f t="shared" ref="L150:L210" si="79">I156/K156</f>
        <v>20</v>
      </c>
      <c r="M156" s="459">
        <v>46206</v>
      </c>
      <c r="N156" s="459">
        <v>46224</v>
      </c>
      <c r="O156" s="442" t="s">
        <v>7134</v>
      </c>
      <c r="P156" s="442"/>
      <c r="Q156" s="437"/>
      <c r="R156" s="451" t="s">
        <v>459</v>
      </c>
      <c r="S156" s="444" t="s">
        <v>95</v>
      </c>
      <c r="T156" s="444" t="s">
        <v>7172</v>
      </c>
      <c r="U156" s="436"/>
      <c r="V156" s="436"/>
      <c r="W156" s="436"/>
      <c r="X156" s="454" t="s">
        <v>7183</v>
      </c>
      <c r="Y156" s="479" t="s">
        <v>354</v>
      </c>
      <c r="Z156" s="469">
        <v>651.941</v>
      </c>
      <c r="AA156" s="446">
        <f t="shared" ref="AA156:AA203" si="80">Z156*L156</f>
        <v>13038.82</v>
      </c>
      <c r="AB156" s="437"/>
      <c r="AC156" s="437" t="s">
        <v>356</v>
      </c>
      <c r="AD156" s="437" t="s">
        <v>112</v>
      </c>
      <c r="AE156" s="437"/>
      <c r="AF156" s="437"/>
      <c r="AG156" s="442"/>
      <c r="AH156" s="442">
        <f t="shared" ref="AH150:AH204" si="81">AG156-I156</f>
        <v>-19200</v>
      </c>
      <c r="AI156" s="437"/>
      <c r="AJ156" s="437"/>
      <c r="AK156" s="438">
        <f t="shared" ref="AK150:AK204" si="82">I156</f>
        <v>19200</v>
      </c>
      <c r="AL156" s="438"/>
      <c r="AM156" s="438"/>
      <c r="AN156" s="438">
        <f t="shared" ref="AN150:AN204" si="83">I156</f>
        <v>19200</v>
      </c>
      <c r="AO156" s="438"/>
      <c r="AP156" s="447"/>
      <c r="AQ156" s="438"/>
      <c r="AR156" s="448"/>
      <c r="AS156" s="438">
        <f t="shared" ref="AS150:AS204" si="84">I156</f>
        <v>19200</v>
      </c>
      <c r="AT156" s="449">
        <f t="shared" ref="AT156:AT202" si="85">I156*0.06*2</f>
        <v>2304</v>
      </c>
      <c r="AU156" s="449"/>
      <c r="AV156" s="438"/>
      <c r="AW156" s="438"/>
      <c r="AX156" s="438"/>
      <c r="AY156" s="438"/>
      <c r="AZ156" s="438"/>
      <c r="BA156" s="438"/>
      <c r="BB156" s="438"/>
      <c r="BC156" s="438"/>
      <c r="BD156" s="438"/>
      <c r="BE156" s="438"/>
      <c r="BF156" s="438"/>
      <c r="BG156" s="438"/>
      <c r="BH156" s="438"/>
      <c r="BI156" s="438"/>
      <c r="BJ156" s="438"/>
      <c r="BK156" s="447"/>
      <c r="BL156" s="447"/>
      <c r="BM156" s="438"/>
      <c r="BN156" s="448">
        <f t="shared" ref="BN156:BN203" si="86">I156/16</f>
        <v>1200</v>
      </c>
      <c r="BO156" s="448"/>
      <c r="BP156" s="438"/>
      <c r="BQ156" s="438"/>
      <c r="BR156" s="447"/>
      <c r="BS156" s="438"/>
      <c r="BT156" s="438"/>
      <c r="BU156" s="438"/>
      <c r="BV156" s="438"/>
      <c r="BW156" s="438"/>
      <c r="BX156" s="438"/>
      <c r="BY156" s="438"/>
      <c r="BZ156" s="438">
        <f t="shared" ref="BZ150:BZ204" si="87">BJ156+BK156+BM156+BO156+BN156</f>
        <v>1200</v>
      </c>
      <c r="CA156" s="438">
        <f t="shared" ref="CA150:CA204" si="88">BQ156</f>
        <v>0</v>
      </c>
      <c r="CB156" s="438">
        <f t="shared" ref="CB150:CB204" si="89">BY156</f>
        <v>0</v>
      </c>
      <c r="CC156" s="438">
        <f t="shared" ref="CC150:CC204" si="90">BR156+BS156+BT156</f>
        <v>0</v>
      </c>
      <c r="CD156" s="448"/>
      <c r="CE156" s="448"/>
      <c r="CF156" s="448"/>
      <c r="CG156" s="438"/>
      <c r="CH156" s="438"/>
    </row>
    <row r="157" s="291" customFormat="1" ht="32.05" customHeight="1" spans="1:107">
      <c r="A157" s="435">
        <v>46153</v>
      </c>
      <c r="B157" s="460" t="s">
        <v>346</v>
      </c>
      <c r="C157" s="461" t="s">
        <v>115</v>
      </c>
      <c r="D157" s="462" t="s">
        <v>7180</v>
      </c>
      <c r="E157" s="463" t="s">
        <v>7184</v>
      </c>
      <c r="F157" s="462" t="s">
        <v>7185</v>
      </c>
      <c r="G157" s="464" t="s">
        <v>349</v>
      </c>
      <c r="H157" s="436" t="s">
        <v>350</v>
      </c>
      <c r="I157" s="465">
        <v>8640</v>
      </c>
      <c r="J157" s="466">
        <v>0</v>
      </c>
      <c r="K157" s="466">
        <v>960</v>
      </c>
      <c r="L157" s="441">
        <f t="shared" si="79"/>
        <v>9</v>
      </c>
      <c r="M157" s="445">
        <v>46206</v>
      </c>
      <c r="N157" s="445">
        <v>46224</v>
      </c>
      <c r="O157" s="442" t="s">
        <v>7134</v>
      </c>
      <c r="P157" s="442"/>
      <c r="Q157" s="437"/>
      <c r="R157" s="443" t="s">
        <v>459</v>
      </c>
      <c r="S157" s="452" t="s">
        <v>95</v>
      </c>
      <c r="T157" s="452" t="s">
        <v>7172</v>
      </c>
      <c r="U157" s="436"/>
      <c r="V157" s="436"/>
      <c r="W157" s="436"/>
      <c r="X157" s="436" t="s">
        <v>7183</v>
      </c>
      <c r="Y157" s="468" t="s">
        <v>354</v>
      </c>
      <c r="Z157" s="469">
        <v>655.1089</v>
      </c>
      <c r="AA157" s="446">
        <f t="shared" si="80"/>
        <v>5895.9801</v>
      </c>
      <c r="AB157" s="437"/>
      <c r="AC157" s="437" t="s">
        <v>356</v>
      </c>
      <c r="AD157" s="437" t="s">
        <v>112</v>
      </c>
      <c r="AE157" s="437"/>
      <c r="AF157" s="437"/>
      <c r="AG157" s="442"/>
      <c r="AH157" s="442">
        <f t="shared" si="81"/>
        <v>-8640</v>
      </c>
      <c r="AI157" s="437"/>
      <c r="AJ157" s="437"/>
      <c r="AK157" s="438">
        <f t="shared" si="82"/>
        <v>8640</v>
      </c>
      <c r="AL157" s="438"/>
      <c r="AM157" s="438"/>
      <c r="AN157" s="438">
        <f t="shared" si="83"/>
        <v>8640</v>
      </c>
      <c r="AO157" s="438"/>
      <c r="AP157" s="447"/>
      <c r="AQ157" s="438"/>
      <c r="AR157" s="448"/>
      <c r="AS157" s="438">
        <f t="shared" si="84"/>
        <v>8640</v>
      </c>
      <c r="AT157" s="449">
        <f t="shared" si="85"/>
        <v>1036.8</v>
      </c>
      <c r="AU157" s="449"/>
      <c r="AV157" s="438"/>
      <c r="AW157" s="438"/>
      <c r="AX157" s="438"/>
      <c r="AY157" s="438"/>
      <c r="AZ157" s="438"/>
      <c r="BA157" s="438"/>
      <c r="BB157" s="438"/>
      <c r="BC157" s="438"/>
      <c r="BD157" s="438"/>
      <c r="BE157" s="438"/>
      <c r="BF157" s="438"/>
      <c r="BG157" s="438"/>
      <c r="BH157" s="438"/>
      <c r="BI157" s="438"/>
      <c r="BJ157" s="438"/>
      <c r="BK157" s="447"/>
      <c r="BL157" s="447"/>
      <c r="BM157" s="438"/>
      <c r="BN157" s="448">
        <f t="shared" si="86"/>
        <v>540</v>
      </c>
      <c r="BO157" s="448"/>
      <c r="BP157" s="438"/>
      <c r="BQ157" s="438"/>
      <c r="BR157" s="447"/>
      <c r="BS157" s="438"/>
      <c r="BT157" s="438"/>
      <c r="BU157" s="438"/>
      <c r="BV157" s="438"/>
      <c r="BW157" s="438"/>
      <c r="BX157" s="438"/>
      <c r="BY157" s="438"/>
      <c r="BZ157" s="438">
        <f t="shared" si="87"/>
        <v>540</v>
      </c>
      <c r="CA157" s="438">
        <f t="shared" si="88"/>
        <v>0</v>
      </c>
      <c r="CB157" s="438">
        <f t="shared" si="89"/>
        <v>0</v>
      </c>
      <c r="CC157" s="438">
        <f t="shared" si="90"/>
        <v>0</v>
      </c>
      <c r="CD157" s="448"/>
      <c r="CE157" s="448"/>
      <c r="CF157" s="448"/>
      <c r="CG157" s="438"/>
      <c r="CH157" s="438"/>
    </row>
    <row r="158" s="291" customFormat="1" ht="32.05" customHeight="1" spans="1:107">
      <c r="A158" s="435">
        <v>46153</v>
      </c>
      <c r="B158" s="460" t="s">
        <v>346</v>
      </c>
      <c r="C158" s="461" t="s">
        <v>115</v>
      </c>
      <c r="D158" s="462" t="s">
        <v>7180</v>
      </c>
      <c r="E158" s="463" t="s">
        <v>7186</v>
      </c>
      <c r="F158" s="462" t="s">
        <v>7187</v>
      </c>
      <c r="G158" s="464" t="s">
        <v>349</v>
      </c>
      <c r="H158" s="436" t="s">
        <v>350</v>
      </c>
      <c r="I158" s="465">
        <v>18240</v>
      </c>
      <c r="J158" s="466">
        <v>0</v>
      </c>
      <c r="K158" s="466">
        <v>960</v>
      </c>
      <c r="L158" s="441">
        <f t="shared" si="79"/>
        <v>19</v>
      </c>
      <c r="M158" s="445">
        <v>46206</v>
      </c>
      <c r="N158" s="445">
        <v>46224</v>
      </c>
      <c r="O158" s="442" t="s">
        <v>7134</v>
      </c>
      <c r="P158" s="442"/>
      <c r="Q158" s="437"/>
      <c r="R158" s="443" t="s">
        <v>459</v>
      </c>
      <c r="S158" s="444" t="s">
        <v>95</v>
      </c>
      <c r="T158" s="452" t="s">
        <v>7172</v>
      </c>
      <c r="U158" s="436"/>
      <c r="V158" s="436"/>
      <c r="W158" s="436"/>
      <c r="X158" s="436" t="s">
        <v>7183</v>
      </c>
      <c r="Y158" s="468" t="s">
        <v>354</v>
      </c>
      <c r="Z158" s="469">
        <v>651.9405</v>
      </c>
      <c r="AA158" s="446">
        <f t="shared" si="80"/>
        <v>12386.8695</v>
      </c>
      <c r="AB158" s="437"/>
      <c r="AC158" s="437" t="s">
        <v>356</v>
      </c>
      <c r="AD158" s="437" t="s">
        <v>112</v>
      </c>
      <c r="AE158" s="437"/>
      <c r="AF158" s="437"/>
      <c r="AG158" s="442"/>
      <c r="AH158" s="442">
        <f t="shared" si="81"/>
        <v>-18240</v>
      </c>
      <c r="AI158" s="437"/>
      <c r="AJ158" s="437"/>
      <c r="AK158" s="438">
        <f t="shared" si="82"/>
        <v>18240</v>
      </c>
      <c r="AL158" s="438"/>
      <c r="AM158" s="438"/>
      <c r="AN158" s="438">
        <f t="shared" si="83"/>
        <v>18240</v>
      </c>
      <c r="AO158" s="438"/>
      <c r="AP158" s="447"/>
      <c r="AQ158" s="438"/>
      <c r="AR158" s="448"/>
      <c r="AS158" s="438">
        <f t="shared" si="84"/>
        <v>18240</v>
      </c>
      <c r="AT158" s="449">
        <f t="shared" si="85"/>
        <v>2188.8</v>
      </c>
      <c r="AU158" s="449"/>
      <c r="AV158" s="438"/>
      <c r="AW158" s="438"/>
      <c r="AX158" s="438"/>
      <c r="AY158" s="438"/>
      <c r="AZ158" s="438"/>
      <c r="BA158" s="438"/>
      <c r="BB158" s="438"/>
      <c r="BC158" s="438"/>
      <c r="BD158" s="438"/>
      <c r="BE158" s="438"/>
      <c r="BF158" s="438"/>
      <c r="BG158" s="438"/>
      <c r="BH158" s="438"/>
      <c r="BI158" s="438"/>
      <c r="BJ158" s="438"/>
      <c r="BK158" s="447"/>
      <c r="BL158" s="447"/>
      <c r="BM158" s="438"/>
      <c r="BN158" s="448">
        <f t="shared" si="86"/>
        <v>1140</v>
      </c>
      <c r="BO158" s="448"/>
      <c r="BP158" s="438"/>
      <c r="BQ158" s="438"/>
      <c r="BR158" s="447"/>
      <c r="BS158" s="438"/>
      <c r="BT158" s="438"/>
      <c r="BU158" s="438"/>
      <c r="BV158" s="438"/>
      <c r="BW158" s="438"/>
      <c r="BX158" s="438"/>
      <c r="BY158" s="438"/>
      <c r="BZ158" s="438">
        <f t="shared" si="87"/>
        <v>1140</v>
      </c>
      <c r="CA158" s="438">
        <f t="shared" si="88"/>
        <v>0</v>
      </c>
      <c r="CB158" s="438">
        <f t="shared" si="89"/>
        <v>0</v>
      </c>
      <c r="CC158" s="438">
        <f t="shared" si="90"/>
        <v>0</v>
      </c>
      <c r="CD158" s="448"/>
      <c r="CE158" s="448"/>
      <c r="CF158" s="448"/>
      <c r="CG158" s="438"/>
      <c r="CH158" s="438"/>
    </row>
    <row r="159" s="291" customFormat="1" ht="32.05" customHeight="1" spans="1:107">
      <c r="A159" s="435">
        <v>46153</v>
      </c>
      <c r="B159" s="472" t="s">
        <v>346</v>
      </c>
      <c r="C159" s="473" t="s">
        <v>115</v>
      </c>
      <c r="D159" s="474" t="s">
        <v>7180</v>
      </c>
      <c r="E159" s="475" t="s">
        <v>7188</v>
      </c>
      <c r="F159" s="474" t="s">
        <v>7189</v>
      </c>
      <c r="G159" s="476" t="s">
        <v>349</v>
      </c>
      <c r="H159" s="454" t="s">
        <v>350</v>
      </c>
      <c r="I159" s="477">
        <v>13440</v>
      </c>
      <c r="J159" s="478">
        <v>0</v>
      </c>
      <c r="K159" s="478">
        <v>960</v>
      </c>
      <c r="L159" s="441">
        <f t="shared" si="79"/>
        <v>14</v>
      </c>
      <c r="M159" s="459">
        <v>46206</v>
      </c>
      <c r="N159" s="459">
        <v>46224</v>
      </c>
      <c r="O159" s="442" t="s">
        <v>7134</v>
      </c>
      <c r="P159" s="442"/>
      <c r="Q159" s="437"/>
      <c r="R159" s="451" t="s">
        <v>459</v>
      </c>
      <c r="S159" s="444" t="s">
        <v>95</v>
      </c>
      <c r="T159" s="444" t="s">
        <v>7172</v>
      </c>
      <c r="U159" s="436"/>
      <c r="V159" s="436"/>
      <c r="W159" s="436"/>
      <c r="X159" s="454" t="s">
        <v>7183</v>
      </c>
      <c r="Y159" s="479" t="s">
        <v>354</v>
      </c>
      <c r="Z159" s="469">
        <v>651.9407</v>
      </c>
      <c r="AA159" s="446">
        <f t="shared" si="80"/>
        <v>9127.1698</v>
      </c>
      <c r="AB159" s="437"/>
      <c r="AC159" s="437" t="s">
        <v>356</v>
      </c>
      <c r="AD159" s="437" t="s">
        <v>112</v>
      </c>
      <c r="AE159" s="437"/>
      <c r="AF159" s="437"/>
      <c r="AG159" s="442"/>
      <c r="AH159" s="442">
        <f t="shared" si="81"/>
        <v>-13440</v>
      </c>
      <c r="AI159" s="437"/>
      <c r="AJ159" s="437"/>
      <c r="AK159" s="438">
        <f t="shared" si="82"/>
        <v>13440</v>
      </c>
      <c r="AL159" s="438"/>
      <c r="AM159" s="438"/>
      <c r="AN159" s="438">
        <f t="shared" si="83"/>
        <v>13440</v>
      </c>
      <c r="AO159" s="438"/>
      <c r="AP159" s="447"/>
      <c r="AQ159" s="438"/>
      <c r="AR159" s="448"/>
      <c r="AS159" s="438">
        <f t="shared" si="84"/>
        <v>13440</v>
      </c>
      <c r="AT159" s="449">
        <f t="shared" si="85"/>
        <v>1612.8</v>
      </c>
      <c r="AU159" s="449"/>
      <c r="AV159" s="438"/>
      <c r="AW159" s="438"/>
      <c r="AX159" s="438"/>
      <c r="AY159" s="438"/>
      <c r="AZ159" s="438"/>
      <c r="BA159" s="438"/>
      <c r="BB159" s="438"/>
      <c r="BC159" s="438"/>
      <c r="BD159" s="438"/>
      <c r="BE159" s="438"/>
      <c r="BF159" s="438"/>
      <c r="BG159" s="438"/>
      <c r="BH159" s="438"/>
      <c r="BI159" s="438"/>
      <c r="BJ159" s="438"/>
      <c r="BK159" s="447"/>
      <c r="BL159" s="447"/>
      <c r="BM159" s="438"/>
      <c r="BN159" s="448">
        <f t="shared" si="86"/>
        <v>840</v>
      </c>
      <c r="BO159" s="448"/>
      <c r="BP159" s="438"/>
      <c r="BQ159" s="438"/>
      <c r="BR159" s="447"/>
      <c r="BS159" s="438"/>
      <c r="BT159" s="438"/>
      <c r="BU159" s="438"/>
      <c r="BV159" s="438"/>
      <c r="BW159" s="438"/>
      <c r="BX159" s="438"/>
      <c r="BY159" s="438"/>
      <c r="BZ159" s="438">
        <f t="shared" si="87"/>
        <v>840</v>
      </c>
      <c r="CA159" s="438">
        <f t="shared" si="88"/>
        <v>0</v>
      </c>
      <c r="CB159" s="438">
        <f t="shared" si="89"/>
        <v>0</v>
      </c>
      <c r="CC159" s="438">
        <f t="shared" si="90"/>
        <v>0</v>
      </c>
      <c r="CD159" s="448"/>
      <c r="CE159" s="448"/>
      <c r="CF159" s="448"/>
      <c r="CG159" s="438"/>
      <c r="CH159" s="438"/>
    </row>
    <row r="160" s="286" customFormat="1" ht="32.05" customHeight="1" spans="1:107">
      <c r="A160" s="435">
        <v>46150</v>
      </c>
      <c r="B160" s="460" t="s">
        <v>499</v>
      </c>
      <c r="C160" s="461" t="s">
        <v>115</v>
      </c>
      <c r="D160" s="462" t="s">
        <v>7190</v>
      </c>
      <c r="E160" s="463" t="s">
        <v>7191</v>
      </c>
      <c r="F160" s="462" t="s">
        <v>7192</v>
      </c>
      <c r="G160" s="464" t="s">
        <v>349</v>
      </c>
      <c r="H160" s="436" t="s">
        <v>350</v>
      </c>
      <c r="I160" s="465">
        <v>12480</v>
      </c>
      <c r="J160" s="466">
        <v>0</v>
      </c>
      <c r="K160" s="466">
        <v>960</v>
      </c>
      <c r="L160" s="441">
        <f t="shared" si="79"/>
        <v>13</v>
      </c>
      <c r="M160" s="445">
        <v>46199</v>
      </c>
      <c r="N160" s="445">
        <v>46218</v>
      </c>
      <c r="O160" s="442" t="s">
        <v>7134</v>
      </c>
      <c r="P160" s="442"/>
      <c r="Q160" s="437"/>
      <c r="R160" s="443" t="s">
        <v>459</v>
      </c>
      <c r="S160" s="452" t="s">
        <v>95</v>
      </c>
      <c r="T160" s="444" t="s">
        <v>7172</v>
      </c>
      <c r="U160" s="436"/>
      <c r="V160" s="436"/>
      <c r="W160" s="436"/>
      <c r="X160" s="436" t="s">
        <v>7193</v>
      </c>
      <c r="Y160" s="468" t="s">
        <v>503</v>
      </c>
      <c r="Z160" s="469">
        <v>637.5985</v>
      </c>
      <c r="AA160" s="446">
        <f t="shared" si="80"/>
        <v>8288.7805</v>
      </c>
      <c r="AB160" s="437"/>
      <c r="AC160" s="437" t="s">
        <v>356</v>
      </c>
      <c r="AD160" s="437" t="s">
        <v>112</v>
      </c>
      <c r="AE160" s="437" t="s">
        <v>113</v>
      </c>
      <c r="AF160" s="437"/>
      <c r="AG160" s="442"/>
      <c r="AH160" s="442">
        <f t="shared" si="81"/>
        <v>-12480</v>
      </c>
      <c r="AI160" s="437"/>
      <c r="AJ160" s="437"/>
      <c r="AK160" s="438">
        <f t="shared" si="82"/>
        <v>12480</v>
      </c>
      <c r="AL160" s="438"/>
      <c r="AM160" s="438"/>
      <c r="AN160" s="438">
        <f t="shared" si="83"/>
        <v>12480</v>
      </c>
      <c r="AO160" s="438"/>
      <c r="AP160" s="447"/>
      <c r="AQ160" s="438"/>
      <c r="AR160" s="448"/>
      <c r="AS160" s="438">
        <f t="shared" si="84"/>
        <v>12480</v>
      </c>
      <c r="AT160" s="449">
        <f t="shared" si="85"/>
        <v>1497.6</v>
      </c>
      <c r="AU160" s="449"/>
      <c r="AV160" s="438"/>
      <c r="AW160" s="438"/>
      <c r="AX160" s="438"/>
      <c r="AY160" s="438"/>
      <c r="AZ160" s="438"/>
      <c r="BA160" s="438"/>
      <c r="BB160" s="438"/>
      <c r="BC160" s="438"/>
      <c r="BD160" s="438"/>
      <c r="BE160" s="438"/>
      <c r="BF160" s="438"/>
      <c r="BG160" s="438"/>
      <c r="BH160" s="438"/>
      <c r="BI160" s="438"/>
      <c r="BJ160" s="438"/>
      <c r="BK160" s="447"/>
      <c r="BL160" s="447"/>
      <c r="BM160" s="438"/>
      <c r="BN160" s="448">
        <f t="shared" si="86"/>
        <v>780</v>
      </c>
      <c r="BO160" s="438"/>
      <c r="BP160" s="438"/>
      <c r="BQ160" s="438"/>
      <c r="BR160" s="447"/>
      <c r="BS160" s="438"/>
      <c r="BT160" s="438"/>
      <c r="BU160" s="438"/>
      <c r="BV160" s="438"/>
      <c r="BW160" s="438"/>
      <c r="BX160" s="438"/>
      <c r="BY160" s="438"/>
      <c r="BZ160" s="438">
        <f t="shared" si="87"/>
        <v>780</v>
      </c>
      <c r="CA160" s="438">
        <f t="shared" si="88"/>
        <v>0</v>
      </c>
      <c r="CB160" s="438">
        <f t="shared" si="89"/>
        <v>0</v>
      </c>
      <c r="CC160" s="438">
        <f t="shared" si="90"/>
        <v>0</v>
      </c>
      <c r="CD160" s="448"/>
      <c r="CE160" s="448"/>
      <c r="CF160" s="448"/>
      <c r="CG160" s="438"/>
      <c r="CH160" s="438"/>
      <c r="CI160" s="291"/>
      <c r="CJ160" s="291"/>
      <c r="CK160" s="291"/>
      <c r="CL160" s="291"/>
      <c r="CM160" s="291"/>
      <c r="CN160" s="291"/>
      <c r="CO160" s="291"/>
      <c r="CP160" s="291"/>
      <c r="CQ160" s="291"/>
      <c r="CR160" s="291"/>
      <c r="CS160" s="291"/>
      <c r="CT160" s="291"/>
      <c r="CU160" s="291"/>
      <c r="CV160" s="291"/>
      <c r="CW160" s="291"/>
      <c r="CX160" s="291"/>
      <c r="CY160" s="291"/>
      <c r="CZ160" s="291"/>
      <c r="DA160" s="291"/>
      <c r="DB160" s="291"/>
      <c r="DC160" s="291"/>
    </row>
    <row r="161" s="286" customFormat="1" ht="32.05" customHeight="1" spans="1:107">
      <c r="A161" s="435">
        <v>46150</v>
      </c>
      <c r="B161" s="460" t="s">
        <v>499</v>
      </c>
      <c r="C161" s="461" t="s">
        <v>115</v>
      </c>
      <c r="D161" s="462" t="s">
        <v>7190</v>
      </c>
      <c r="E161" s="463" t="s">
        <v>7194</v>
      </c>
      <c r="F161" s="462" t="s">
        <v>7195</v>
      </c>
      <c r="G161" s="464" t="s">
        <v>349</v>
      </c>
      <c r="H161" s="436" t="s">
        <v>350</v>
      </c>
      <c r="I161" s="465">
        <v>15360</v>
      </c>
      <c r="J161" s="466">
        <v>0</v>
      </c>
      <c r="K161" s="466">
        <v>960</v>
      </c>
      <c r="L161" s="441">
        <f t="shared" si="79"/>
        <v>16</v>
      </c>
      <c r="M161" s="445">
        <v>46199</v>
      </c>
      <c r="N161" s="445">
        <v>46218</v>
      </c>
      <c r="O161" s="442" t="s">
        <v>7134</v>
      </c>
      <c r="P161" s="442"/>
      <c r="Q161" s="437"/>
      <c r="R161" s="443" t="s">
        <v>459</v>
      </c>
      <c r="S161" s="452" t="s">
        <v>95</v>
      </c>
      <c r="T161" s="452" t="s">
        <v>7172</v>
      </c>
      <c r="U161" s="436"/>
      <c r="V161" s="436"/>
      <c r="W161" s="436"/>
      <c r="X161" s="436" t="s">
        <v>7193</v>
      </c>
      <c r="Y161" s="468" t="s">
        <v>503</v>
      </c>
      <c r="Z161" s="469">
        <v>634.5456</v>
      </c>
      <c r="AA161" s="446">
        <f t="shared" si="80"/>
        <v>10152.7296</v>
      </c>
      <c r="AB161" s="437"/>
      <c r="AC161" s="437" t="s">
        <v>356</v>
      </c>
      <c r="AD161" s="437" t="s">
        <v>112</v>
      </c>
      <c r="AE161" s="437" t="s">
        <v>113</v>
      </c>
      <c r="AF161" s="437"/>
      <c r="AG161" s="442"/>
      <c r="AH161" s="442">
        <f t="shared" si="81"/>
        <v>-15360</v>
      </c>
      <c r="AI161" s="437"/>
      <c r="AJ161" s="437"/>
      <c r="AK161" s="438">
        <f t="shared" si="82"/>
        <v>15360</v>
      </c>
      <c r="AL161" s="438"/>
      <c r="AM161" s="438"/>
      <c r="AN161" s="438">
        <f t="shared" si="83"/>
        <v>15360</v>
      </c>
      <c r="AO161" s="438"/>
      <c r="AP161" s="447"/>
      <c r="AQ161" s="438"/>
      <c r="AR161" s="448"/>
      <c r="AS161" s="438">
        <f t="shared" si="84"/>
        <v>15360</v>
      </c>
      <c r="AT161" s="449">
        <f t="shared" si="85"/>
        <v>1843.2</v>
      </c>
      <c r="AU161" s="449"/>
      <c r="AV161" s="438"/>
      <c r="AW161" s="438"/>
      <c r="AX161" s="438"/>
      <c r="AY161" s="438"/>
      <c r="AZ161" s="438"/>
      <c r="BA161" s="438"/>
      <c r="BB161" s="438"/>
      <c r="BC161" s="438"/>
      <c r="BD161" s="438"/>
      <c r="BE161" s="438"/>
      <c r="BF161" s="438"/>
      <c r="BG161" s="438"/>
      <c r="BH161" s="438"/>
      <c r="BI161" s="438"/>
      <c r="BJ161" s="438"/>
      <c r="BK161" s="447"/>
      <c r="BL161" s="447"/>
      <c r="BM161" s="438"/>
      <c r="BN161" s="448">
        <f t="shared" si="86"/>
        <v>960</v>
      </c>
      <c r="BO161" s="448"/>
      <c r="BP161" s="438"/>
      <c r="BQ161" s="438"/>
      <c r="BR161" s="447"/>
      <c r="BS161" s="438"/>
      <c r="BT161" s="438"/>
      <c r="BU161" s="438"/>
      <c r="BV161" s="438"/>
      <c r="BW161" s="438"/>
      <c r="BX161" s="438"/>
      <c r="BY161" s="438"/>
      <c r="BZ161" s="438">
        <f t="shared" si="87"/>
        <v>960</v>
      </c>
      <c r="CA161" s="438">
        <f t="shared" si="88"/>
        <v>0</v>
      </c>
      <c r="CB161" s="438">
        <f t="shared" si="89"/>
        <v>0</v>
      </c>
      <c r="CC161" s="438">
        <f t="shared" si="90"/>
        <v>0</v>
      </c>
      <c r="CD161" s="448"/>
      <c r="CE161" s="448"/>
      <c r="CF161" s="448"/>
      <c r="CG161" s="438"/>
      <c r="CH161" s="438"/>
      <c r="CI161" s="291"/>
      <c r="CJ161" s="291"/>
      <c r="CK161" s="291"/>
      <c r="CL161" s="291"/>
      <c r="CM161" s="291"/>
      <c r="CN161" s="291"/>
      <c r="CO161" s="291"/>
      <c r="CP161" s="291"/>
      <c r="CQ161" s="291"/>
      <c r="CR161" s="291"/>
      <c r="CS161" s="291"/>
      <c r="CT161" s="291"/>
      <c r="CU161" s="291"/>
      <c r="CV161" s="291"/>
      <c r="CW161" s="291"/>
      <c r="CX161" s="291"/>
      <c r="CY161" s="291"/>
      <c r="CZ161" s="291"/>
      <c r="DA161" s="291"/>
      <c r="DB161" s="291"/>
      <c r="DC161" s="291"/>
    </row>
    <row r="162" s="286" customFormat="1" ht="32.05" customHeight="1" spans="1:107">
      <c r="A162" s="435">
        <v>46150</v>
      </c>
      <c r="B162" s="460" t="s">
        <v>499</v>
      </c>
      <c r="C162" s="461" t="s">
        <v>115</v>
      </c>
      <c r="D162" s="462" t="s">
        <v>7190</v>
      </c>
      <c r="E162" s="463" t="s">
        <v>7196</v>
      </c>
      <c r="F162" s="462" t="s">
        <v>7197</v>
      </c>
      <c r="G162" s="464" t="s">
        <v>349</v>
      </c>
      <c r="H162" s="436" t="s">
        <v>350</v>
      </c>
      <c r="I162" s="465">
        <v>12480</v>
      </c>
      <c r="J162" s="466">
        <v>0</v>
      </c>
      <c r="K162" s="466">
        <v>960</v>
      </c>
      <c r="L162" s="441">
        <f t="shared" si="79"/>
        <v>13</v>
      </c>
      <c r="M162" s="445">
        <v>46199</v>
      </c>
      <c r="N162" s="445">
        <v>46218</v>
      </c>
      <c r="O162" s="442" t="s">
        <v>7134</v>
      </c>
      <c r="P162" s="442"/>
      <c r="Q162" s="437"/>
      <c r="R162" s="451" t="s">
        <v>459</v>
      </c>
      <c r="S162" s="444" t="s">
        <v>95</v>
      </c>
      <c r="T162" s="444" t="s">
        <v>7172</v>
      </c>
      <c r="U162" s="436"/>
      <c r="V162" s="436"/>
      <c r="W162" s="436"/>
      <c r="X162" s="436" t="s">
        <v>7193</v>
      </c>
      <c r="Y162" s="468" t="s">
        <v>503</v>
      </c>
      <c r="Z162" s="469">
        <v>634.5454</v>
      </c>
      <c r="AA162" s="446">
        <f t="shared" si="80"/>
        <v>8249.0902</v>
      </c>
      <c r="AB162" s="437"/>
      <c r="AC162" s="437" t="s">
        <v>356</v>
      </c>
      <c r="AD162" s="437" t="s">
        <v>112</v>
      </c>
      <c r="AE162" s="437" t="s">
        <v>113</v>
      </c>
      <c r="AF162" s="437"/>
      <c r="AG162" s="442"/>
      <c r="AH162" s="442">
        <f t="shared" si="81"/>
        <v>-12480</v>
      </c>
      <c r="AI162" s="437"/>
      <c r="AJ162" s="437"/>
      <c r="AK162" s="438">
        <f t="shared" si="82"/>
        <v>12480</v>
      </c>
      <c r="AL162" s="438"/>
      <c r="AM162" s="438"/>
      <c r="AN162" s="438">
        <f t="shared" si="83"/>
        <v>12480</v>
      </c>
      <c r="AO162" s="438"/>
      <c r="AP162" s="447"/>
      <c r="AQ162" s="438"/>
      <c r="AR162" s="448"/>
      <c r="AS162" s="438">
        <f t="shared" si="84"/>
        <v>12480</v>
      </c>
      <c r="AT162" s="449">
        <f t="shared" si="85"/>
        <v>1497.6</v>
      </c>
      <c r="AU162" s="449"/>
      <c r="AV162" s="438"/>
      <c r="AW162" s="438"/>
      <c r="AX162" s="438"/>
      <c r="AY162" s="438"/>
      <c r="AZ162" s="438"/>
      <c r="BA162" s="438"/>
      <c r="BB162" s="438"/>
      <c r="BC162" s="438"/>
      <c r="BD162" s="438"/>
      <c r="BE162" s="438"/>
      <c r="BF162" s="438"/>
      <c r="BG162" s="438"/>
      <c r="BH162" s="438"/>
      <c r="BI162" s="438"/>
      <c r="BJ162" s="438"/>
      <c r="BK162" s="447"/>
      <c r="BL162" s="447"/>
      <c r="BM162" s="438"/>
      <c r="BN162" s="448">
        <f t="shared" si="86"/>
        <v>780</v>
      </c>
      <c r="BO162" s="448"/>
      <c r="BP162" s="438"/>
      <c r="BQ162" s="438"/>
      <c r="BR162" s="447"/>
      <c r="BS162" s="438"/>
      <c r="BT162" s="438"/>
      <c r="BU162" s="438"/>
      <c r="BV162" s="438"/>
      <c r="BW162" s="438"/>
      <c r="BX162" s="438"/>
      <c r="BY162" s="438"/>
      <c r="BZ162" s="438">
        <f t="shared" si="87"/>
        <v>780</v>
      </c>
      <c r="CA162" s="438">
        <f t="shared" si="88"/>
        <v>0</v>
      </c>
      <c r="CB162" s="438">
        <f t="shared" si="89"/>
        <v>0</v>
      </c>
      <c r="CC162" s="438">
        <f t="shared" si="90"/>
        <v>0</v>
      </c>
      <c r="CD162" s="448"/>
      <c r="CE162" s="448"/>
      <c r="CF162" s="448"/>
      <c r="CG162" s="438"/>
      <c r="CH162" s="438"/>
      <c r="CI162" s="291"/>
      <c r="CJ162" s="291"/>
      <c r="CK162" s="291"/>
      <c r="CL162" s="291"/>
      <c r="CM162" s="291"/>
      <c r="CN162" s="291"/>
      <c r="CO162" s="291"/>
      <c r="CP162" s="291"/>
      <c r="CQ162" s="291"/>
      <c r="CR162" s="291"/>
      <c r="CS162" s="291"/>
      <c r="CT162" s="291"/>
      <c r="CU162" s="291"/>
      <c r="CV162" s="291"/>
      <c r="CW162" s="291"/>
      <c r="CX162" s="291"/>
      <c r="CY162" s="291"/>
      <c r="CZ162" s="291"/>
      <c r="DA162" s="291"/>
      <c r="DB162" s="291"/>
      <c r="DC162" s="291"/>
    </row>
    <row r="163" s="286" customFormat="1" ht="32.05" customHeight="1" spans="1:107">
      <c r="A163" s="435">
        <v>46153</v>
      </c>
      <c r="B163" s="460" t="s">
        <v>346</v>
      </c>
      <c r="C163" s="461" t="s">
        <v>115</v>
      </c>
      <c r="D163" s="462" t="s">
        <v>7198</v>
      </c>
      <c r="E163" s="463" t="s">
        <v>7199</v>
      </c>
      <c r="F163" s="462" t="s">
        <v>7200</v>
      </c>
      <c r="G163" s="464" t="s">
        <v>349</v>
      </c>
      <c r="H163" s="436" t="s">
        <v>350</v>
      </c>
      <c r="I163" s="465">
        <v>12480</v>
      </c>
      <c r="J163" s="466">
        <v>0</v>
      </c>
      <c r="K163" s="466">
        <v>960</v>
      </c>
      <c r="L163" s="441">
        <f t="shared" si="79"/>
        <v>13</v>
      </c>
      <c r="M163" s="445">
        <v>46213</v>
      </c>
      <c r="N163" s="445">
        <v>46226</v>
      </c>
      <c r="O163" s="442" t="s">
        <v>7134</v>
      </c>
      <c r="P163" s="442"/>
      <c r="Q163" s="437"/>
      <c r="R163" s="443" t="s">
        <v>459</v>
      </c>
      <c r="S163" s="452" t="s">
        <v>95</v>
      </c>
      <c r="T163" s="444" t="s">
        <v>7172</v>
      </c>
      <c r="U163" s="436"/>
      <c r="V163" s="436"/>
      <c r="W163" s="436"/>
      <c r="X163" s="436" t="s">
        <v>7183</v>
      </c>
      <c r="Y163" s="468" t="s">
        <v>354</v>
      </c>
      <c r="Z163" s="469">
        <v>651.9408</v>
      </c>
      <c r="AA163" s="446">
        <f t="shared" si="80"/>
        <v>8475.2304</v>
      </c>
      <c r="AB163" s="437"/>
      <c r="AC163" s="437" t="s">
        <v>356</v>
      </c>
      <c r="AD163" s="437" t="s">
        <v>112</v>
      </c>
      <c r="AE163" s="437"/>
      <c r="AF163" s="437"/>
      <c r="AG163" s="442"/>
      <c r="AH163" s="442">
        <f t="shared" si="81"/>
        <v>-12480</v>
      </c>
      <c r="AI163" s="437"/>
      <c r="AJ163" s="437"/>
      <c r="AK163" s="438">
        <f t="shared" si="82"/>
        <v>12480</v>
      </c>
      <c r="AL163" s="438"/>
      <c r="AM163" s="438"/>
      <c r="AN163" s="438">
        <f t="shared" si="83"/>
        <v>12480</v>
      </c>
      <c r="AO163" s="438"/>
      <c r="AP163" s="447"/>
      <c r="AQ163" s="438"/>
      <c r="AR163" s="448"/>
      <c r="AS163" s="438">
        <f t="shared" si="84"/>
        <v>12480</v>
      </c>
      <c r="AT163" s="449">
        <f t="shared" si="85"/>
        <v>1497.6</v>
      </c>
      <c r="AU163" s="449"/>
      <c r="AV163" s="438"/>
      <c r="AW163" s="438"/>
      <c r="AX163" s="438"/>
      <c r="AY163" s="438"/>
      <c r="AZ163" s="438"/>
      <c r="BA163" s="438"/>
      <c r="BB163" s="438"/>
      <c r="BC163" s="438"/>
      <c r="BD163" s="438"/>
      <c r="BE163" s="438"/>
      <c r="BF163" s="438"/>
      <c r="BG163" s="438"/>
      <c r="BH163" s="438"/>
      <c r="BI163" s="438"/>
      <c r="BJ163" s="438"/>
      <c r="BK163" s="447"/>
      <c r="BL163" s="447"/>
      <c r="BM163" s="438"/>
      <c r="BN163" s="448">
        <f t="shared" si="86"/>
        <v>780</v>
      </c>
      <c r="BO163" s="448"/>
      <c r="BP163" s="438"/>
      <c r="BQ163" s="438"/>
      <c r="BR163" s="447"/>
      <c r="BS163" s="438"/>
      <c r="BT163" s="438"/>
      <c r="BU163" s="438"/>
      <c r="BV163" s="438"/>
      <c r="BW163" s="438"/>
      <c r="BX163" s="438"/>
      <c r="BY163" s="438"/>
      <c r="BZ163" s="438">
        <f t="shared" si="87"/>
        <v>780</v>
      </c>
      <c r="CA163" s="438">
        <f t="shared" si="88"/>
        <v>0</v>
      </c>
      <c r="CB163" s="438">
        <f t="shared" si="89"/>
        <v>0</v>
      </c>
      <c r="CC163" s="438">
        <f t="shared" si="90"/>
        <v>0</v>
      </c>
      <c r="CD163" s="448"/>
      <c r="CE163" s="448"/>
      <c r="CF163" s="448"/>
      <c r="CG163" s="438"/>
      <c r="CH163" s="438"/>
      <c r="CI163" s="291"/>
      <c r="CJ163" s="291"/>
      <c r="CK163" s="291"/>
      <c r="CL163" s="291"/>
      <c r="CM163" s="291"/>
      <c r="CN163" s="291"/>
      <c r="CO163" s="291"/>
      <c r="CP163" s="291"/>
      <c r="CQ163" s="291"/>
      <c r="CR163" s="291"/>
      <c r="CS163" s="291"/>
      <c r="CT163" s="291"/>
      <c r="CU163" s="291"/>
      <c r="CV163" s="291"/>
      <c r="CW163" s="291"/>
      <c r="CX163" s="291"/>
      <c r="CY163" s="291"/>
      <c r="CZ163" s="291"/>
      <c r="DA163" s="291"/>
      <c r="DB163" s="291"/>
      <c r="DC163" s="291"/>
    </row>
    <row r="164" s="286" customFormat="1" ht="32.05" customHeight="1" spans="1:107">
      <c r="A164" s="435">
        <v>46153</v>
      </c>
      <c r="B164" s="460" t="s">
        <v>346</v>
      </c>
      <c r="C164" s="461" t="s">
        <v>115</v>
      </c>
      <c r="D164" s="462" t="s">
        <v>7198</v>
      </c>
      <c r="E164" s="463" t="s">
        <v>7201</v>
      </c>
      <c r="F164" s="462" t="s">
        <v>7202</v>
      </c>
      <c r="G164" s="464" t="s">
        <v>349</v>
      </c>
      <c r="H164" s="436" t="s">
        <v>350</v>
      </c>
      <c r="I164" s="465">
        <v>13440</v>
      </c>
      <c r="J164" s="466">
        <v>0</v>
      </c>
      <c r="K164" s="466">
        <v>960</v>
      </c>
      <c r="L164" s="441">
        <f t="shared" si="79"/>
        <v>14</v>
      </c>
      <c r="M164" s="445">
        <v>46213</v>
      </c>
      <c r="N164" s="445">
        <v>46226</v>
      </c>
      <c r="O164" s="442" t="s">
        <v>7134</v>
      </c>
      <c r="P164" s="442"/>
      <c r="Q164" s="437"/>
      <c r="R164" s="443" t="s">
        <v>459</v>
      </c>
      <c r="S164" s="452" t="s">
        <v>95</v>
      </c>
      <c r="T164" s="444" t="s">
        <v>7172</v>
      </c>
      <c r="U164" s="436"/>
      <c r="V164" s="436"/>
      <c r="W164" s="436"/>
      <c r="X164" s="436" t="s">
        <v>7183</v>
      </c>
      <c r="Y164" s="468" t="s">
        <v>354</v>
      </c>
      <c r="Z164" s="469">
        <v>651.9407</v>
      </c>
      <c r="AA164" s="446">
        <f t="shared" si="80"/>
        <v>9127.1698</v>
      </c>
      <c r="AB164" s="437"/>
      <c r="AC164" s="437" t="s">
        <v>356</v>
      </c>
      <c r="AD164" s="437" t="s">
        <v>112</v>
      </c>
      <c r="AE164" s="437"/>
      <c r="AF164" s="437"/>
      <c r="AG164" s="442"/>
      <c r="AH164" s="442">
        <f t="shared" si="81"/>
        <v>-13440</v>
      </c>
      <c r="AI164" s="437"/>
      <c r="AJ164" s="437"/>
      <c r="AK164" s="438">
        <f t="shared" si="82"/>
        <v>13440</v>
      </c>
      <c r="AL164" s="438"/>
      <c r="AM164" s="438"/>
      <c r="AN164" s="438">
        <f t="shared" si="83"/>
        <v>13440</v>
      </c>
      <c r="AO164" s="438"/>
      <c r="AP164" s="447"/>
      <c r="AQ164" s="438"/>
      <c r="AR164" s="448"/>
      <c r="AS164" s="438">
        <f t="shared" si="84"/>
        <v>13440</v>
      </c>
      <c r="AT164" s="449">
        <f t="shared" si="85"/>
        <v>1612.8</v>
      </c>
      <c r="AU164" s="449"/>
      <c r="AV164" s="438"/>
      <c r="AW164" s="438"/>
      <c r="AX164" s="438"/>
      <c r="AY164" s="438"/>
      <c r="AZ164" s="438"/>
      <c r="BA164" s="438"/>
      <c r="BB164" s="438"/>
      <c r="BC164" s="438"/>
      <c r="BD164" s="438"/>
      <c r="BE164" s="438"/>
      <c r="BF164" s="438"/>
      <c r="BG164" s="438"/>
      <c r="BH164" s="438"/>
      <c r="BI164" s="438"/>
      <c r="BJ164" s="438"/>
      <c r="BK164" s="447"/>
      <c r="BL164" s="447"/>
      <c r="BM164" s="438"/>
      <c r="BN164" s="448">
        <f t="shared" si="86"/>
        <v>840</v>
      </c>
      <c r="BO164" s="448"/>
      <c r="BP164" s="438"/>
      <c r="BQ164" s="438"/>
      <c r="BR164" s="447"/>
      <c r="BS164" s="438"/>
      <c r="BT164" s="438"/>
      <c r="BU164" s="438"/>
      <c r="BV164" s="438"/>
      <c r="BW164" s="438"/>
      <c r="BX164" s="438"/>
      <c r="BY164" s="438"/>
      <c r="BZ164" s="438">
        <f t="shared" si="87"/>
        <v>840</v>
      </c>
      <c r="CA164" s="438">
        <f t="shared" si="88"/>
        <v>0</v>
      </c>
      <c r="CB164" s="438">
        <f t="shared" si="89"/>
        <v>0</v>
      </c>
      <c r="CC164" s="438">
        <f t="shared" si="90"/>
        <v>0</v>
      </c>
      <c r="CD164" s="448"/>
      <c r="CE164" s="448"/>
      <c r="CF164" s="448"/>
      <c r="CG164" s="438"/>
      <c r="CH164" s="438"/>
      <c r="CI164" s="291"/>
      <c r="CJ164" s="291"/>
      <c r="CK164" s="291"/>
      <c r="CL164" s="291"/>
      <c r="CM164" s="291"/>
      <c r="CN164" s="291"/>
      <c r="CO164" s="291"/>
      <c r="CP164" s="291"/>
      <c r="CQ164" s="291"/>
      <c r="CR164" s="291"/>
      <c r="CS164" s="291"/>
      <c r="CT164" s="291"/>
      <c r="CU164" s="291"/>
      <c r="CV164" s="291"/>
      <c r="CW164" s="291"/>
      <c r="CX164" s="291"/>
      <c r="CY164" s="291"/>
      <c r="CZ164" s="291"/>
      <c r="DA164" s="291"/>
      <c r="DB164" s="291"/>
      <c r="DC164" s="291"/>
    </row>
    <row r="165" s="291" customFormat="1" ht="32.05" customHeight="1" spans="1:107">
      <c r="A165" s="435">
        <v>46153</v>
      </c>
      <c r="B165" s="460" t="s">
        <v>346</v>
      </c>
      <c r="C165" s="461" t="s">
        <v>115</v>
      </c>
      <c r="D165" s="462" t="s">
        <v>7198</v>
      </c>
      <c r="E165" s="463" t="s">
        <v>7203</v>
      </c>
      <c r="F165" s="462" t="s">
        <v>7204</v>
      </c>
      <c r="G165" s="464" t="s">
        <v>349</v>
      </c>
      <c r="H165" s="436" t="s">
        <v>350</v>
      </c>
      <c r="I165" s="465">
        <v>11520</v>
      </c>
      <c r="J165" s="466">
        <v>0</v>
      </c>
      <c r="K165" s="466">
        <v>960</v>
      </c>
      <c r="L165" s="441">
        <f t="shared" si="79"/>
        <v>12</v>
      </c>
      <c r="M165" s="445">
        <v>46213</v>
      </c>
      <c r="N165" s="445">
        <v>46226</v>
      </c>
      <c r="O165" s="442" t="s">
        <v>7134</v>
      </c>
      <c r="P165" s="442"/>
      <c r="Q165" s="437"/>
      <c r="R165" s="443" t="s">
        <v>459</v>
      </c>
      <c r="S165" s="452" t="s">
        <v>95</v>
      </c>
      <c r="T165" s="452" t="s">
        <v>7172</v>
      </c>
      <c r="U165" s="436"/>
      <c r="V165" s="436"/>
      <c r="W165" s="436"/>
      <c r="X165" s="436" t="s">
        <v>7183</v>
      </c>
      <c r="Y165" s="468" t="s">
        <v>354</v>
      </c>
      <c r="Z165" s="469">
        <v>651.9408</v>
      </c>
      <c r="AA165" s="446">
        <f t="shared" si="80"/>
        <v>7823.2896</v>
      </c>
      <c r="AB165" s="437"/>
      <c r="AC165" s="437" t="s">
        <v>356</v>
      </c>
      <c r="AD165" s="437" t="s">
        <v>112</v>
      </c>
      <c r="AE165" s="437"/>
      <c r="AF165" s="437"/>
      <c r="AG165" s="442"/>
      <c r="AH165" s="442">
        <f t="shared" si="81"/>
        <v>-11520</v>
      </c>
      <c r="AI165" s="437"/>
      <c r="AJ165" s="437"/>
      <c r="AK165" s="438">
        <f t="shared" si="82"/>
        <v>11520</v>
      </c>
      <c r="AL165" s="438"/>
      <c r="AM165" s="438"/>
      <c r="AN165" s="438">
        <f t="shared" si="83"/>
        <v>11520</v>
      </c>
      <c r="AO165" s="438"/>
      <c r="AP165" s="447"/>
      <c r="AQ165" s="438"/>
      <c r="AR165" s="448"/>
      <c r="AS165" s="438">
        <f t="shared" si="84"/>
        <v>11520</v>
      </c>
      <c r="AT165" s="449">
        <f t="shared" si="85"/>
        <v>1382.4</v>
      </c>
      <c r="AU165" s="449"/>
      <c r="AV165" s="438"/>
      <c r="AW165" s="438"/>
      <c r="AX165" s="438"/>
      <c r="AY165" s="438"/>
      <c r="AZ165" s="438"/>
      <c r="BA165" s="438"/>
      <c r="BB165" s="438"/>
      <c r="BC165" s="438"/>
      <c r="BD165" s="438"/>
      <c r="BE165" s="438"/>
      <c r="BF165" s="438"/>
      <c r="BG165" s="438"/>
      <c r="BH165" s="438"/>
      <c r="BI165" s="438"/>
      <c r="BJ165" s="438"/>
      <c r="BK165" s="447"/>
      <c r="BL165" s="447"/>
      <c r="BM165" s="438"/>
      <c r="BN165" s="448">
        <f t="shared" si="86"/>
        <v>720</v>
      </c>
      <c r="BO165" s="448"/>
      <c r="BP165" s="438"/>
      <c r="BQ165" s="438"/>
      <c r="BR165" s="447"/>
      <c r="BS165" s="438"/>
      <c r="BT165" s="438"/>
      <c r="BU165" s="438"/>
      <c r="BV165" s="438"/>
      <c r="BW165" s="438"/>
      <c r="BX165" s="438"/>
      <c r="BY165" s="438"/>
      <c r="BZ165" s="438">
        <f t="shared" si="87"/>
        <v>720</v>
      </c>
      <c r="CA165" s="438">
        <f t="shared" si="88"/>
        <v>0</v>
      </c>
      <c r="CB165" s="438">
        <f t="shared" si="89"/>
        <v>0</v>
      </c>
      <c r="CC165" s="438">
        <f t="shared" si="90"/>
        <v>0</v>
      </c>
      <c r="CD165" s="448"/>
      <c r="CE165" s="448"/>
      <c r="CF165" s="448"/>
      <c r="CG165" s="438"/>
      <c r="CH165" s="438"/>
    </row>
    <row r="166" s="291" customFormat="1" ht="32.05" customHeight="1" spans="1:107">
      <c r="A166" s="435">
        <v>46157</v>
      </c>
      <c r="B166" s="472" t="s">
        <v>499</v>
      </c>
      <c r="C166" s="473" t="s">
        <v>115</v>
      </c>
      <c r="D166" s="474" t="s">
        <v>7205</v>
      </c>
      <c r="E166" s="475" t="s">
        <v>7206</v>
      </c>
      <c r="F166" s="474" t="s">
        <v>7207</v>
      </c>
      <c r="G166" s="476" t="s">
        <v>349</v>
      </c>
      <c r="H166" s="454" t="s">
        <v>350</v>
      </c>
      <c r="I166" s="477">
        <v>18240</v>
      </c>
      <c r="J166" s="478">
        <v>0</v>
      </c>
      <c r="K166" s="478">
        <v>960</v>
      </c>
      <c r="L166" s="441">
        <f t="shared" si="79"/>
        <v>19</v>
      </c>
      <c r="M166" s="459">
        <v>46218</v>
      </c>
      <c r="N166" s="459">
        <v>46228</v>
      </c>
      <c r="O166" s="442" t="s">
        <v>7134</v>
      </c>
      <c r="P166" s="442"/>
      <c r="Q166" s="437"/>
      <c r="R166" s="451" t="s">
        <v>459</v>
      </c>
      <c r="S166" s="444" t="s">
        <v>95</v>
      </c>
      <c r="T166" s="444" t="s">
        <v>7208</v>
      </c>
      <c r="U166" s="436"/>
      <c r="V166" s="436"/>
      <c r="W166" s="436"/>
      <c r="X166" s="454" t="s">
        <v>7209</v>
      </c>
      <c r="Y166" s="479" t="s">
        <v>503</v>
      </c>
      <c r="Z166" s="469">
        <v>651.9405</v>
      </c>
      <c r="AA166" s="446">
        <f t="shared" si="80"/>
        <v>12386.8695</v>
      </c>
      <c r="AB166" s="437"/>
      <c r="AC166" s="437" t="s">
        <v>356</v>
      </c>
      <c r="AD166" s="437" t="s">
        <v>112</v>
      </c>
      <c r="AE166" s="437"/>
      <c r="AF166" s="437"/>
      <c r="AG166" s="442"/>
      <c r="AH166" s="442">
        <f t="shared" si="81"/>
        <v>-18240</v>
      </c>
      <c r="AI166" s="437"/>
      <c r="AJ166" s="437"/>
      <c r="AK166" s="438">
        <f t="shared" si="82"/>
        <v>18240</v>
      </c>
      <c r="AL166" s="438"/>
      <c r="AM166" s="438"/>
      <c r="AN166" s="438">
        <f t="shared" si="83"/>
        <v>18240</v>
      </c>
      <c r="AO166" s="438"/>
      <c r="AP166" s="447"/>
      <c r="AQ166" s="438"/>
      <c r="AR166" s="448"/>
      <c r="AS166" s="438">
        <f t="shared" si="84"/>
        <v>18240</v>
      </c>
      <c r="AT166" s="449">
        <f t="shared" si="85"/>
        <v>2188.8</v>
      </c>
      <c r="AU166" s="449"/>
      <c r="AV166" s="438"/>
      <c r="AW166" s="438"/>
      <c r="AX166" s="438"/>
      <c r="AY166" s="438"/>
      <c r="AZ166" s="438"/>
      <c r="BA166" s="438"/>
      <c r="BB166" s="438"/>
      <c r="BC166" s="438"/>
      <c r="BD166" s="438"/>
      <c r="BE166" s="438"/>
      <c r="BF166" s="438"/>
      <c r="BG166" s="438"/>
      <c r="BH166" s="438"/>
      <c r="BI166" s="438"/>
      <c r="BJ166" s="438"/>
      <c r="BK166" s="447"/>
      <c r="BL166" s="447"/>
      <c r="BM166" s="438"/>
      <c r="BN166" s="448">
        <f t="shared" si="86"/>
        <v>1140</v>
      </c>
      <c r="BO166" s="448"/>
      <c r="BP166" s="438"/>
      <c r="BQ166" s="438"/>
      <c r="BR166" s="447"/>
      <c r="BS166" s="438"/>
      <c r="BT166" s="438"/>
      <c r="BU166" s="438"/>
      <c r="BV166" s="438"/>
      <c r="BW166" s="438"/>
      <c r="BX166" s="438"/>
      <c r="BY166" s="438"/>
      <c r="BZ166" s="438">
        <f t="shared" si="87"/>
        <v>1140</v>
      </c>
      <c r="CA166" s="438">
        <f t="shared" si="88"/>
        <v>0</v>
      </c>
      <c r="CB166" s="438">
        <f t="shared" si="89"/>
        <v>0</v>
      </c>
      <c r="CC166" s="438">
        <f t="shared" si="90"/>
        <v>0</v>
      </c>
      <c r="CD166" s="448"/>
      <c r="CE166" s="448"/>
      <c r="CF166" s="448"/>
      <c r="CG166" s="438"/>
      <c r="CH166" s="438"/>
    </row>
    <row r="167" s="291" customFormat="1" ht="32.05" customHeight="1" spans="1:107">
      <c r="A167" s="435">
        <v>46157</v>
      </c>
      <c r="B167" s="472" t="s">
        <v>499</v>
      </c>
      <c r="C167" s="473" t="s">
        <v>115</v>
      </c>
      <c r="D167" s="474" t="s">
        <v>7205</v>
      </c>
      <c r="E167" s="475" t="s">
        <v>7210</v>
      </c>
      <c r="F167" s="474" t="s">
        <v>7211</v>
      </c>
      <c r="G167" s="476" t="s">
        <v>349</v>
      </c>
      <c r="H167" s="454" t="s">
        <v>350</v>
      </c>
      <c r="I167" s="477">
        <v>8640</v>
      </c>
      <c r="J167" s="478">
        <v>0</v>
      </c>
      <c r="K167" s="478">
        <v>960</v>
      </c>
      <c r="L167" s="441">
        <f t="shared" si="79"/>
        <v>9</v>
      </c>
      <c r="M167" s="459">
        <v>46218</v>
      </c>
      <c r="N167" s="459">
        <v>46228</v>
      </c>
      <c r="O167" s="442" t="s">
        <v>7134</v>
      </c>
      <c r="P167" s="442"/>
      <c r="Q167" s="437"/>
      <c r="R167" s="451" t="s">
        <v>459</v>
      </c>
      <c r="S167" s="444" t="s">
        <v>95</v>
      </c>
      <c r="T167" s="444" t="s">
        <v>7208</v>
      </c>
      <c r="U167" s="436"/>
      <c r="V167" s="436"/>
      <c r="W167" s="436"/>
      <c r="X167" s="454" t="s">
        <v>7209</v>
      </c>
      <c r="Y167" s="479" t="s">
        <v>503</v>
      </c>
      <c r="Z167" s="469">
        <v>655.1089</v>
      </c>
      <c r="AA167" s="446">
        <f t="shared" si="80"/>
        <v>5895.9801</v>
      </c>
      <c r="AB167" s="437"/>
      <c r="AC167" s="437" t="s">
        <v>356</v>
      </c>
      <c r="AD167" s="437" t="s">
        <v>112</v>
      </c>
      <c r="AE167" s="437"/>
      <c r="AF167" s="437"/>
      <c r="AG167" s="442"/>
      <c r="AH167" s="442">
        <f t="shared" si="81"/>
        <v>-8640</v>
      </c>
      <c r="AI167" s="437"/>
      <c r="AJ167" s="437"/>
      <c r="AK167" s="438">
        <f t="shared" si="82"/>
        <v>8640</v>
      </c>
      <c r="AL167" s="438"/>
      <c r="AM167" s="438"/>
      <c r="AN167" s="438">
        <f t="shared" si="83"/>
        <v>8640</v>
      </c>
      <c r="AO167" s="438"/>
      <c r="AP167" s="447"/>
      <c r="AQ167" s="438"/>
      <c r="AR167" s="448"/>
      <c r="AS167" s="438">
        <f t="shared" si="84"/>
        <v>8640</v>
      </c>
      <c r="AT167" s="449">
        <f t="shared" si="85"/>
        <v>1036.8</v>
      </c>
      <c r="AU167" s="449"/>
      <c r="AV167" s="438"/>
      <c r="AW167" s="438"/>
      <c r="AX167" s="438"/>
      <c r="AY167" s="438"/>
      <c r="AZ167" s="438"/>
      <c r="BA167" s="438"/>
      <c r="BB167" s="438"/>
      <c r="BC167" s="438"/>
      <c r="BD167" s="438"/>
      <c r="BE167" s="438"/>
      <c r="BF167" s="438"/>
      <c r="BG167" s="438"/>
      <c r="BH167" s="438"/>
      <c r="BI167" s="438"/>
      <c r="BJ167" s="438"/>
      <c r="BK167" s="447"/>
      <c r="BL167" s="447"/>
      <c r="BM167" s="438"/>
      <c r="BN167" s="448">
        <f t="shared" si="86"/>
        <v>540</v>
      </c>
      <c r="BO167" s="448"/>
      <c r="BP167" s="438"/>
      <c r="BQ167" s="438"/>
      <c r="BR167" s="447"/>
      <c r="BS167" s="438"/>
      <c r="BT167" s="438"/>
      <c r="BU167" s="438"/>
      <c r="BV167" s="438"/>
      <c r="BW167" s="438"/>
      <c r="BX167" s="438"/>
      <c r="BY167" s="438"/>
      <c r="BZ167" s="438">
        <f t="shared" si="87"/>
        <v>540</v>
      </c>
      <c r="CA167" s="438">
        <f t="shared" si="88"/>
        <v>0</v>
      </c>
      <c r="CB167" s="438">
        <f t="shared" si="89"/>
        <v>0</v>
      </c>
      <c r="CC167" s="438">
        <f t="shared" si="90"/>
        <v>0</v>
      </c>
      <c r="CD167" s="448"/>
      <c r="CE167" s="448"/>
      <c r="CF167" s="448"/>
      <c r="CG167" s="438"/>
      <c r="CH167" s="438"/>
    </row>
    <row r="168" s="291" customFormat="1" ht="32.05" customHeight="1" spans="1:107">
      <c r="A168" s="435">
        <v>46157</v>
      </c>
      <c r="B168" s="460" t="s">
        <v>499</v>
      </c>
      <c r="C168" s="461" t="s">
        <v>115</v>
      </c>
      <c r="D168" s="462" t="s">
        <v>7205</v>
      </c>
      <c r="E168" s="463" t="s">
        <v>7212</v>
      </c>
      <c r="F168" s="462" t="s">
        <v>7213</v>
      </c>
      <c r="G168" s="464" t="s">
        <v>349</v>
      </c>
      <c r="H168" s="436" t="s">
        <v>350</v>
      </c>
      <c r="I168" s="465">
        <v>17280</v>
      </c>
      <c r="J168" s="466">
        <v>0</v>
      </c>
      <c r="K168" s="466">
        <v>960</v>
      </c>
      <c r="L168" s="441">
        <f t="shared" si="79"/>
        <v>18</v>
      </c>
      <c r="M168" s="445">
        <v>46218</v>
      </c>
      <c r="N168" s="445">
        <v>46228</v>
      </c>
      <c r="O168" s="442" t="s">
        <v>7134</v>
      </c>
      <c r="P168" s="442"/>
      <c r="Q168" s="437"/>
      <c r="R168" s="443" t="s">
        <v>459</v>
      </c>
      <c r="S168" s="452" t="s">
        <v>95</v>
      </c>
      <c r="T168" s="452" t="s">
        <v>7208</v>
      </c>
      <c r="U168" s="436"/>
      <c r="V168" s="436"/>
      <c r="W168" s="436"/>
      <c r="X168" s="436" t="s">
        <v>7209</v>
      </c>
      <c r="Y168" s="468" t="s">
        <v>503</v>
      </c>
      <c r="Z168" s="469">
        <v>651.9406</v>
      </c>
      <c r="AA168" s="446">
        <f t="shared" si="80"/>
        <v>11734.9308</v>
      </c>
      <c r="AB168" s="437"/>
      <c r="AC168" s="437" t="s">
        <v>356</v>
      </c>
      <c r="AD168" s="437" t="s">
        <v>112</v>
      </c>
      <c r="AE168" s="437"/>
      <c r="AF168" s="437"/>
      <c r="AG168" s="442"/>
      <c r="AH168" s="442">
        <f t="shared" si="81"/>
        <v>-17280</v>
      </c>
      <c r="AI168" s="437"/>
      <c r="AJ168" s="437"/>
      <c r="AK168" s="438">
        <f t="shared" si="82"/>
        <v>17280</v>
      </c>
      <c r="AL168" s="438"/>
      <c r="AM168" s="438"/>
      <c r="AN168" s="438">
        <f t="shared" si="83"/>
        <v>17280</v>
      </c>
      <c r="AO168" s="438"/>
      <c r="AP168" s="447"/>
      <c r="AQ168" s="438"/>
      <c r="AR168" s="448"/>
      <c r="AS168" s="438">
        <f t="shared" si="84"/>
        <v>17280</v>
      </c>
      <c r="AT168" s="449">
        <f t="shared" si="85"/>
        <v>2073.6</v>
      </c>
      <c r="AU168" s="449"/>
      <c r="AV168" s="438"/>
      <c r="AW168" s="438"/>
      <c r="AX168" s="438"/>
      <c r="AY168" s="438"/>
      <c r="AZ168" s="438"/>
      <c r="BA168" s="438"/>
      <c r="BB168" s="438"/>
      <c r="BC168" s="438"/>
      <c r="BD168" s="438"/>
      <c r="BE168" s="438"/>
      <c r="BF168" s="438"/>
      <c r="BG168" s="438"/>
      <c r="BH168" s="438"/>
      <c r="BI168" s="438"/>
      <c r="BJ168" s="438"/>
      <c r="BK168" s="447"/>
      <c r="BL168" s="447"/>
      <c r="BM168" s="438"/>
      <c r="BN168" s="448">
        <f t="shared" si="86"/>
        <v>1080</v>
      </c>
      <c r="BO168" s="448"/>
      <c r="BP168" s="438"/>
      <c r="BQ168" s="438"/>
      <c r="BR168" s="447"/>
      <c r="BS168" s="438"/>
      <c r="BT168" s="438"/>
      <c r="BU168" s="438"/>
      <c r="BV168" s="438"/>
      <c r="BW168" s="438"/>
      <c r="BX168" s="438"/>
      <c r="BY168" s="438"/>
      <c r="BZ168" s="438">
        <f t="shared" si="87"/>
        <v>1080</v>
      </c>
      <c r="CA168" s="438">
        <f t="shared" si="88"/>
        <v>0</v>
      </c>
      <c r="CB168" s="438">
        <f t="shared" si="89"/>
        <v>0</v>
      </c>
      <c r="CC168" s="438">
        <f t="shared" si="90"/>
        <v>0</v>
      </c>
      <c r="CD168" s="448"/>
      <c r="CE168" s="448"/>
      <c r="CF168" s="448"/>
      <c r="CG168" s="438"/>
      <c r="CH168" s="438"/>
    </row>
    <row r="169" s="291" customFormat="1" ht="32.05" customHeight="1" spans="1:107">
      <c r="A169" s="435">
        <v>46157</v>
      </c>
      <c r="B169" s="472" t="s">
        <v>499</v>
      </c>
      <c r="C169" s="473" t="s">
        <v>115</v>
      </c>
      <c r="D169" s="474" t="s">
        <v>7205</v>
      </c>
      <c r="E169" s="475" t="s">
        <v>7214</v>
      </c>
      <c r="F169" s="474" t="s">
        <v>7215</v>
      </c>
      <c r="G169" s="476" t="s">
        <v>349</v>
      </c>
      <c r="H169" s="454" t="s">
        <v>350</v>
      </c>
      <c r="I169" s="477">
        <v>12480</v>
      </c>
      <c r="J169" s="478">
        <v>0</v>
      </c>
      <c r="K169" s="478">
        <v>960</v>
      </c>
      <c r="L169" s="441">
        <f t="shared" si="79"/>
        <v>13</v>
      </c>
      <c r="M169" s="459">
        <v>46218</v>
      </c>
      <c r="N169" s="459">
        <v>46228</v>
      </c>
      <c r="O169" s="442" t="s">
        <v>7134</v>
      </c>
      <c r="P169" s="442"/>
      <c r="Q169" s="437"/>
      <c r="R169" s="451" t="s">
        <v>459</v>
      </c>
      <c r="S169" s="444" t="s">
        <v>95</v>
      </c>
      <c r="T169" s="444" t="s">
        <v>7208</v>
      </c>
      <c r="U169" s="436"/>
      <c r="V169" s="436"/>
      <c r="W169" s="436"/>
      <c r="X169" s="454" t="s">
        <v>7209</v>
      </c>
      <c r="Y169" s="479" t="s">
        <v>503</v>
      </c>
      <c r="Z169" s="469">
        <v>651.9408</v>
      </c>
      <c r="AA169" s="446">
        <f t="shared" si="80"/>
        <v>8475.2304</v>
      </c>
      <c r="AB169" s="437"/>
      <c r="AC169" s="437" t="s">
        <v>356</v>
      </c>
      <c r="AD169" s="437" t="s">
        <v>112</v>
      </c>
      <c r="AE169" s="437"/>
      <c r="AF169" s="437"/>
      <c r="AG169" s="442"/>
      <c r="AH169" s="442">
        <f t="shared" si="81"/>
        <v>-12480</v>
      </c>
      <c r="AI169" s="437"/>
      <c r="AJ169" s="437"/>
      <c r="AK169" s="438">
        <f t="shared" si="82"/>
        <v>12480</v>
      </c>
      <c r="AL169" s="438"/>
      <c r="AM169" s="438"/>
      <c r="AN169" s="438">
        <f t="shared" si="83"/>
        <v>12480</v>
      </c>
      <c r="AO169" s="438"/>
      <c r="AP169" s="447"/>
      <c r="AQ169" s="438"/>
      <c r="AR169" s="448"/>
      <c r="AS169" s="438">
        <f t="shared" si="84"/>
        <v>12480</v>
      </c>
      <c r="AT169" s="449">
        <f t="shared" si="85"/>
        <v>1497.6</v>
      </c>
      <c r="AU169" s="449"/>
      <c r="AV169" s="438"/>
      <c r="AW169" s="438"/>
      <c r="AX169" s="438"/>
      <c r="AY169" s="438"/>
      <c r="AZ169" s="438"/>
      <c r="BA169" s="438"/>
      <c r="BB169" s="438"/>
      <c r="BC169" s="438"/>
      <c r="BD169" s="438"/>
      <c r="BE169" s="438"/>
      <c r="BF169" s="438"/>
      <c r="BG169" s="438"/>
      <c r="BH169" s="438"/>
      <c r="BI169" s="438"/>
      <c r="BJ169" s="438"/>
      <c r="BK169" s="447"/>
      <c r="BL169" s="447"/>
      <c r="BM169" s="438"/>
      <c r="BN169" s="448">
        <f t="shared" si="86"/>
        <v>780</v>
      </c>
      <c r="BO169" s="448"/>
      <c r="BP169" s="438"/>
      <c r="BQ169" s="438"/>
      <c r="BR169" s="447"/>
      <c r="BS169" s="438"/>
      <c r="BT169" s="438"/>
      <c r="BU169" s="438"/>
      <c r="BV169" s="438"/>
      <c r="BW169" s="438"/>
      <c r="BX169" s="438"/>
      <c r="BY169" s="438"/>
      <c r="BZ169" s="438">
        <f t="shared" si="87"/>
        <v>780</v>
      </c>
      <c r="CA169" s="438">
        <f t="shared" si="88"/>
        <v>0</v>
      </c>
      <c r="CB169" s="438">
        <f t="shared" si="89"/>
        <v>0</v>
      </c>
      <c r="CC169" s="438">
        <f t="shared" si="90"/>
        <v>0</v>
      </c>
      <c r="CD169" s="448"/>
      <c r="CE169" s="448"/>
      <c r="CF169" s="448"/>
      <c r="CG169" s="438"/>
      <c r="CH169" s="438"/>
    </row>
    <row r="170" s="291" customFormat="1" ht="32.05" customHeight="1" spans="1:107">
      <c r="A170" s="510">
        <v>46157</v>
      </c>
      <c r="B170" s="472" t="s">
        <v>499</v>
      </c>
      <c r="C170" s="473" t="s">
        <v>115</v>
      </c>
      <c r="D170" s="474" t="s">
        <v>7216</v>
      </c>
      <c r="E170" s="475" t="s">
        <v>7217</v>
      </c>
      <c r="F170" s="474" t="s">
        <v>7218</v>
      </c>
      <c r="G170" s="476" t="s">
        <v>349</v>
      </c>
      <c r="H170" s="454" t="s">
        <v>350</v>
      </c>
      <c r="I170" s="477">
        <v>11520</v>
      </c>
      <c r="J170" s="478">
        <v>0</v>
      </c>
      <c r="K170" s="478">
        <v>960</v>
      </c>
      <c r="L170" s="511">
        <f t="shared" si="79"/>
        <v>12</v>
      </c>
      <c r="M170" s="459">
        <v>46227</v>
      </c>
      <c r="N170" s="459">
        <v>46233</v>
      </c>
      <c r="O170" s="512" t="s">
        <v>7134</v>
      </c>
      <c r="P170" s="512"/>
      <c r="Q170" s="455"/>
      <c r="R170" s="443" t="s">
        <v>459</v>
      </c>
      <c r="S170" s="452" t="s">
        <v>95</v>
      </c>
      <c r="T170" s="452" t="s">
        <v>7208</v>
      </c>
      <c r="U170" s="454"/>
      <c r="V170" s="454"/>
      <c r="W170" s="454"/>
      <c r="X170" s="454" t="s">
        <v>7209</v>
      </c>
      <c r="Y170" s="479" t="s">
        <v>503</v>
      </c>
      <c r="Z170" s="524">
        <v>651.9408</v>
      </c>
      <c r="AA170" s="515">
        <f t="shared" si="80"/>
        <v>7823.2896</v>
      </c>
      <c r="AB170" s="455"/>
      <c r="AC170" s="437" t="s">
        <v>356</v>
      </c>
      <c r="AD170" s="437" t="s">
        <v>112</v>
      </c>
      <c r="AE170" s="455"/>
      <c r="AF170" s="455"/>
      <c r="AG170" s="512"/>
      <c r="AH170" s="442">
        <f t="shared" si="81"/>
        <v>-11520</v>
      </c>
      <c r="AI170" s="455"/>
      <c r="AJ170" s="455"/>
      <c r="AK170" s="438">
        <f t="shared" si="82"/>
        <v>11520</v>
      </c>
      <c r="AL170" s="456"/>
      <c r="AM170" s="456"/>
      <c r="AN170" s="438">
        <f t="shared" si="83"/>
        <v>11520</v>
      </c>
      <c r="AO170" s="438"/>
      <c r="AP170" s="447"/>
      <c r="AQ170" s="438"/>
      <c r="AR170" s="448"/>
      <c r="AS170" s="438">
        <f t="shared" si="84"/>
        <v>11520</v>
      </c>
      <c r="AT170" s="516">
        <f t="shared" si="85"/>
        <v>1382.4</v>
      </c>
      <c r="AU170" s="516"/>
      <c r="AV170" s="456"/>
      <c r="AW170" s="438"/>
      <c r="AX170" s="438"/>
      <c r="AY170" s="456"/>
      <c r="AZ170" s="456"/>
      <c r="BA170" s="456"/>
      <c r="BB170" s="456"/>
      <c r="BC170" s="456"/>
      <c r="BD170" s="456"/>
      <c r="BE170" s="456"/>
      <c r="BF170" s="456"/>
      <c r="BG170" s="456"/>
      <c r="BH170" s="456"/>
      <c r="BI170" s="456"/>
      <c r="BJ170" s="456"/>
      <c r="BK170" s="517"/>
      <c r="BL170" s="517"/>
      <c r="BM170" s="456"/>
      <c r="BN170" s="518">
        <f t="shared" si="86"/>
        <v>720</v>
      </c>
      <c r="BO170" s="518"/>
      <c r="BP170" s="456"/>
      <c r="BQ170" s="456"/>
      <c r="BR170" s="517"/>
      <c r="BS170" s="456"/>
      <c r="BT170" s="456"/>
      <c r="BU170" s="456"/>
      <c r="BV170" s="456"/>
      <c r="BW170" s="456"/>
      <c r="BX170" s="456"/>
      <c r="BY170" s="456"/>
      <c r="BZ170" s="438">
        <f t="shared" si="87"/>
        <v>720</v>
      </c>
      <c r="CA170" s="438">
        <f t="shared" si="88"/>
        <v>0</v>
      </c>
      <c r="CB170" s="438">
        <f t="shared" si="89"/>
        <v>0</v>
      </c>
      <c r="CC170" s="438">
        <f t="shared" si="90"/>
        <v>0</v>
      </c>
      <c r="CD170" s="518"/>
      <c r="CE170" s="518"/>
      <c r="CF170" s="518"/>
      <c r="CG170" s="456"/>
      <c r="CH170" s="456"/>
    </row>
    <row r="171" s="286" customFormat="1" ht="32.05" customHeight="1" spans="1:107">
      <c r="A171" s="435">
        <v>46157</v>
      </c>
      <c r="B171" s="460" t="s">
        <v>499</v>
      </c>
      <c r="C171" s="461" t="s">
        <v>115</v>
      </c>
      <c r="D171" s="462" t="s">
        <v>7216</v>
      </c>
      <c r="E171" s="463" t="s">
        <v>7219</v>
      </c>
      <c r="F171" s="462" t="s">
        <v>7220</v>
      </c>
      <c r="G171" s="464" t="s">
        <v>349</v>
      </c>
      <c r="H171" s="436" t="s">
        <v>350</v>
      </c>
      <c r="I171" s="465">
        <v>14400</v>
      </c>
      <c r="J171" s="466">
        <v>0</v>
      </c>
      <c r="K171" s="466">
        <v>960</v>
      </c>
      <c r="L171" s="441">
        <f t="shared" si="79"/>
        <v>15</v>
      </c>
      <c r="M171" s="445">
        <v>46227</v>
      </c>
      <c r="N171" s="445">
        <v>46233</v>
      </c>
      <c r="O171" s="512" t="s">
        <v>7134</v>
      </c>
      <c r="P171" s="525"/>
      <c r="Q171" s="437"/>
      <c r="R171" s="443" t="s">
        <v>459</v>
      </c>
      <c r="S171" s="452" t="s">
        <v>95</v>
      </c>
      <c r="T171" s="452" t="s">
        <v>7208</v>
      </c>
      <c r="U171" s="436"/>
      <c r="V171" s="436"/>
      <c r="W171" s="436"/>
      <c r="X171" s="436" t="s">
        <v>7209</v>
      </c>
      <c r="Y171" s="468" t="s">
        <v>503</v>
      </c>
      <c r="Z171" s="469">
        <v>651.9407</v>
      </c>
      <c r="AA171" s="446">
        <f t="shared" si="80"/>
        <v>9779.1105</v>
      </c>
      <c r="AB171" s="437"/>
      <c r="AC171" s="437" t="s">
        <v>356</v>
      </c>
      <c r="AD171" s="437" t="s">
        <v>112</v>
      </c>
      <c r="AE171" s="437"/>
      <c r="AF171" s="437"/>
      <c r="AG171" s="442"/>
      <c r="AH171" s="442">
        <f t="shared" si="81"/>
        <v>-14400</v>
      </c>
      <c r="AI171" s="437"/>
      <c r="AJ171" s="437"/>
      <c r="AK171" s="438">
        <f t="shared" si="82"/>
        <v>14400</v>
      </c>
      <c r="AL171" s="438"/>
      <c r="AM171" s="438"/>
      <c r="AN171" s="438">
        <f t="shared" si="83"/>
        <v>14400</v>
      </c>
      <c r="AO171" s="438"/>
      <c r="AP171" s="447"/>
      <c r="AQ171" s="438"/>
      <c r="AR171" s="448"/>
      <c r="AS171" s="438">
        <f t="shared" si="84"/>
        <v>14400</v>
      </c>
      <c r="AT171" s="449">
        <f t="shared" si="85"/>
        <v>1728</v>
      </c>
      <c r="AU171" s="449"/>
      <c r="AV171" s="438"/>
      <c r="AW171" s="438"/>
      <c r="AX171" s="438"/>
      <c r="AY171" s="438"/>
      <c r="AZ171" s="438"/>
      <c r="BA171" s="438"/>
      <c r="BB171" s="438"/>
      <c r="BC171" s="438"/>
      <c r="BD171" s="438"/>
      <c r="BE171" s="438"/>
      <c r="BF171" s="438"/>
      <c r="BG171" s="438"/>
      <c r="BH171" s="438"/>
      <c r="BI171" s="438"/>
      <c r="BJ171" s="438"/>
      <c r="BK171" s="447"/>
      <c r="BL171" s="447"/>
      <c r="BM171" s="438"/>
      <c r="BN171" s="448">
        <f t="shared" si="86"/>
        <v>900</v>
      </c>
      <c r="BO171" s="448"/>
      <c r="BP171" s="438"/>
      <c r="BQ171" s="438"/>
      <c r="BR171" s="447"/>
      <c r="BS171" s="438"/>
      <c r="BT171" s="438"/>
      <c r="BU171" s="438"/>
      <c r="BV171" s="438"/>
      <c r="BW171" s="438"/>
      <c r="BX171" s="438"/>
      <c r="BY171" s="438"/>
      <c r="BZ171" s="438">
        <f t="shared" si="87"/>
        <v>900</v>
      </c>
      <c r="CA171" s="438">
        <f t="shared" si="88"/>
        <v>0</v>
      </c>
      <c r="CB171" s="438">
        <f t="shared" si="89"/>
        <v>0</v>
      </c>
      <c r="CC171" s="438">
        <f t="shared" si="90"/>
        <v>0</v>
      </c>
      <c r="CD171" s="448"/>
      <c r="CE171" s="448"/>
      <c r="CF171" s="448"/>
      <c r="CG171" s="438"/>
      <c r="CH171" s="438"/>
      <c r="CI171" s="291"/>
      <c r="CJ171" s="291"/>
      <c r="CK171" s="291"/>
      <c r="CL171" s="291"/>
      <c r="CM171" s="291"/>
      <c r="CN171" s="291"/>
      <c r="CO171" s="291"/>
      <c r="CP171" s="291"/>
      <c r="CQ171" s="291"/>
      <c r="CR171" s="291"/>
      <c r="CS171" s="291"/>
      <c r="CT171" s="291"/>
      <c r="CU171" s="291"/>
      <c r="CV171" s="291"/>
      <c r="CW171" s="291"/>
      <c r="CX171" s="291"/>
      <c r="CY171" s="291"/>
      <c r="CZ171" s="291"/>
      <c r="DA171" s="291"/>
      <c r="DB171" s="291"/>
      <c r="DC171" s="291"/>
    </row>
    <row r="172" s="291" customFormat="1" ht="32.05" customHeight="1" spans="1:107">
      <c r="A172" s="435">
        <v>46157</v>
      </c>
      <c r="B172" s="460" t="s">
        <v>499</v>
      </c>
      <c r="C172" s="461" t="s">
        <v>115</v>
      </c>
      <c r="D172" s="462" t="s">
        <v>7216</v>
      </c>
      <c r="E172" s="463" t="s">
        <v>7221</v>
      </c>
      <c r="F172" s="462" t="s">
        <v>7222</v>
      </c>
      <c r="G172" s="464" t="s">
        <v>349</v>
      </c>
      <c r="H172" s="436" t="s">
        <v>350</v>
      </c>
      <c r="I172" s="465">
        <v>11520</v>
      </c>
      <c r="J172" s="466">
        <v>0</v>
      </c>
      <c r="K172" s="466">
        <v>960</v>
      </c>
      <c r="L172" s="441">
        <f t="shared" si="79"/>
        <v>12</v>
      </c>
      <c r="M172" s="445">
        <v>46227</v>
      </c>
      <c r="N172" s="445">
        <v>46233</v>
      </c>
      <c r="O172" s="512" t="s">
        <v>7134</v>
      </c>
      <c r="P172" s="442"/>
      <c r="Q172" s="437"/>
      <c r="R172" s="443" t="s">
        <v>459</v>
      </c>
      <c r="S172" s="452" t="s">
        <v>95</v>
      </c>
      <c r="T172" s="444" t="s">
        <v>7208</v>
      </c>
      <c r="U172" s="436"/>
      <c r="V172" s="436"/>
      <c r="W172" s="436"/>
      <c r="X172" s="436" t="s">
        <v>7209</v>
      </c>
      <c r="Y172" s="468" t="s">
        <v>503</v>
      </c>
      <c r="Z172" s="469">
        <v>651.9408</v>
      </c>
      <c r="AA172" s="446">
        <f t="shared" si="80"/>
        <v>7823.2896</v>
      </c>
      <c r="AB172" s="437"/>
      <c r="AC172" s="437" t="s">
        <v>356</v>
      </c>
      <c r="AD172" s="437" t="s">
        <v>112</v>
      </c>
      <c r="AE172" s="437"/>
      <c r="AF172" s="437"/>
      <c r="AG172" s="442"/>
      <c r="AH172" s="442">
        <f t="shared" si="81"/>
        <v>-11520</v>
      </c>
      <c r="AI172" s="437"/>
      <c r="AJ172" s="437"/>
      <c r="AK172" s="438">
        <f t="shared" si="82"/>
        <v>11520</v>
      </c>
      <c r="AL172" s="438"/>
      <c r="AM172" s="438"/>
      <c r="AN172" s="438">
        <f t="shared" si="83"/>
        <v>11520</v>
      </c>
      <c r="AO172" s="438"/>
      <c r="AP172" s="447"/>
      <c r="AQ172" s="438"/>
      <c r="AR172" s="448"/>
      <c r="AS172" s="438">
        <f t="shared" si="84"/>
        <v>11520</v>
      </c>
      <c r="AT172" s="449">
        <f t="shared" si="85"/>
        <v>1382.4</v>
      </c>
      <c r="AU172" s="449"/>
      <c r="AV172" s="438"/>
      <c r="AW172" s="438"/>
      <c r="AX172" s="438"/>
      <c r="AY172" s="438"/>
      <c r="AZ172" s="438"/>
      <c r="BA172" s="438"/>
      <c r="BB172" s="438"/>
      <c r="BC172" s="438"/>
      <c r="BD172" s="438"/>
      <c r="BE172" s="438"/>
      <c r="BF172" s="438"/>
      <c r="BG172" s="438"/>
      <c r="BH172" s="438"/>
      <c r="BI172" s="438"/>
      <c r="BJ172" s="438"/>
      <c r="BK172" s="447"/>
      <c r="BL172" s="447"/>
      <c r="BM172" s="438"/>
      <c r="BN172" s="448">
        <f t="shared" si="86"/>
        <v>720</v>
      </c>
      <c r="BO172" s="438"/>
      <c r="BP172" s="438"/>
      <c r="BQ172" s="438"/>
      <c r="BR172" s="447"/>
      <c r="BS172" s="438"/>
      <c r="BT172" s="438"/>
      <c r="BU172" s="438"/>
      <c r="BV172" s="438"/>
      <c r="BW172" s="438"/>
      <c r="BX172" s="438"/>
      <c r="BY172" s="438"/>
      <c r="BZ172" s="438">
        <f t="shared" si="87"/>
        <v>720</v>
      </c>
      <c r="CA172" s="438">
        <f t="shared" si="88"/>
        <v>0</v>
      </c>
      <c r="CB172" s="438">
        <f t="shared" si="89"/>
        <v>0</v>
      </c>
      <c r="CC172" s="438">
        <f t="shared" si="90"/>
        <v>0</v>
      </c>
      <c r="CD172" s="448"/>
      <c r="CE172" s="448"/>
      <c r="CF172" s="448"/>
      <c r="CG172" s="438"/>
      <c r="CH172" s="438"/>
    </row>
    <row r="173" s="286" customFormat="1" ht="32.05" customHeight="1" spans="1:107">
      <c r="A173" s="435">
        <v>46157</v>
      </c>
      <c r="B173" s="472" t="s">
        <v>499</v>
      </c>
      <c r="C173" s="473" t="s">
        <v>115</v>
      </c>
      <c r="D173" s="474" t="s">
        <v>7223</v>
      </c>
      <c r="E173" s="475" t="s">
        <v>7224</v>
      </c>
      <c r="F173" s="474" t="s">
        <v>7225</v>
      </c>
      <c r="G173" s="476" t="s">
        <v>349</v>
      </c>
      <c r="H173" s="454" t="s">
        <v>350</v>
      </c>
      <c r="I173" s="477">
        <v>16320</v>
      </c>
      <c r="J173" s="478">
        <v>0</v>
      </c>
      <c r="K173" s="478">
        <v>960</v>
      </c>
      <c r="L173" s="441">
        <f t="shared" si="79"/>
        <v>17</v>
      </c>
      <c r="M173" s="459">
        <v>46233</v>
      </c>
      <c r="N173" s="459">
        <v>46240</v>
      </c>
      <c r="O173" s="442" t="s">
        <v>7134</v>
      </c>
      <c r="P173" s="442"/>
      <c r="Q173" s="437"/>
      <c r="R173" s="451" t="s">
        <v>459</v>
      </c>
      <c r="S173" s="444" t="s">
        <v>95</v>
      </c>
      <c r="T173" s="444" t="s">
        <v>7226</v>
      </c>
      <c r="U173" s="436"/>
      <c r="V173" s="436"/>
      <c r="W173" s="436"/>
      <c r="X173" s="454" t="s">
        <v>7209</v>
      </c>
      <c r="Y173" s="479" t="s">
        <v>503</v>
      </c>
      <c r="Z173" s="469">
        <v>651.9412</v>
      </c>
      <c r="AA173" s="446">
        <f t="shared" si="80"/>
        <v>11083.0004</v>
      </c>
      <c r="AB173" s="437"/>
      <c r="AC173" s="437" t="s">
        <v>356</v>
      </c>
      <c r="AD173" s="437" t="s">
        <v>112</v>
      </c>
      <c r="AE173" s="437"/>
      <c r="AF173" s="437"/>
      <c r="AG173" s="442"/>
      <c r="AH173" s="442">
        <f t="shared" si="81"/>
        <v>-16320</v>
      </c>
      <c r="AI173" s="437"/>
      <c r="AJ173" s="437"/>
      <c r="AK173" s="438">
        <f t="shared" si="82"/>
        <v>16320</v>
      </c>
      <c r="AL173" s="438"/>
      <c r="AM173" s="438"/>
      <c r="AN173" s="438">
        <f t="shared" si="83"/>
        <v>16320</v>
      </c>
      <c r="AO173" s="438"/>
      <c r="AP173" s="447"/>
      <c r="AQ173" s="438"/>
      <c r="AR173" s="448"/>
      <c r="AS173" s="438">
        <f t="shared" si="84"/>
        <v>16320</v>
      </c>
      <c r="AT173" s="449">
        <f t="shared" si="85"/>
        <v>1958.4</v>
      </c>
      <c r="AU173" s="449"/>
      <c r="AV173" s="438"/>
      <c r="AW173" s="438"/>
      <c r="AX173" s="438"/>
      <c r="AY173" s="438"/>
      <c r="AZ173" s="438"/>
      <c r="BA173" s="438"/>
      <c r="BB173" s="438"/>
      <c r="BC173" s="438"/>
      <c r="BD173" s="438"/>
      <c r="BE173" s="438"/>
      <c r="BF173" s="438"/>
      <c r="BG173" s="438"/>
      <c r="BH173" s="438"/>
      <c r="BI173" s="438"/>
      <c r="BJ173" s="438"/>
      <c r="BK173" s="447"/>
      <c r="BL173" s="447"/>
      <c r="BM173" s="438"/>
      <c r="BN173" s="448">
        <f t="shared" si="86"/>
        <v>1020</v>
      </c>
      <c r="BO173" s="448"/>
      <c r="BP173" s="438"/>
      <c r="BQ173" s="438"/>
      <c r="BR173" s="447"/>
      <c r="BS173" s="438"/>
      <c r="BT173" s="438"/>
      <c r="BU173" s="438"/>
      <c r="BV173" s="438"/>
      <c r="BW173" s="438"/>
      <c r="BX173" s="438"/>
      <c r="BY173" s="438"/>
      <c r="BZ173" s="438">
        <f t="shared" si="87"/>
        <v>1020</v>
      </c>
      <c r="CA173" s="438">
        <f t="shared" si="88"/>
        <v>0</v>
      </c>
      <c r="CB173" s="438">
        <f t="shared" si="89"/>
        <v>0</v>
      </c>
      <c r="CC173" s="438">
        <f t="shared" si="90"/>
        <v>0</v>
      </c>
      <c r="CD173" s="448"/>
      <c r="CE173" s="448"/>
      <c r="CF173" s="448"/>
      <c r="CG173" s="438"/>
      <c r="CH173" s="438"/>
      <c r="CI173" s="291"/>
      <c r="CJ173" s="291"/>
      <c r="CK173" s="291"/>
      <c r="CL173" s="291"/>
      <c r="CM173" s="291"/>
      <c r="CN173" s="291"/>
      <c r="CO173" s="291"/>
      <c r="CP173" s="291"/>
      <c r="CQ173" s="291"/>
      <c r="CR173" s="291"/>
      <c r="CS173" s="291"/>
      <c r="CT173" s="291"/>
      <c r="CU173" s="291"/>
      <c r="CV173" s="291"/>
      <c r="CW173" s="291"/>
      <c r="CX173" s="291"/>
      <c r="CY173" s="291"/>
      <c r="CZ173" s="291"/>
      <c r="DA173" s="291"/>
      <c r="DB173" s="291"/>
      <c r="DC173" s="291"/>
    </row>
    <row r="174" s="291" customFormat="1" ht="32.05" customHeight="1" spans="1:107">
      <c r="A174" s="510">
        <v>46157</v>
      </c>
      <c r="B174" s="472" t="s">
        <v>499</v>
      </c>
      <c r="C174" s="473" t="s">
        <v>115</v>
      </c>
      <c r="D174" s="474" t="s">
        <v>7223</v>
      </c>
      <c r="E174" s="475" t="s">
        <v>7227</v>
      </c>
      <c r="F174" s="474" t="s">
        <v>7228</v>
      </c>
      <c r="G174" s="476" t="s">
        <v>349</v>
      </c>
      <c r="H174" s="454" t="s">
        <v>350</v>
      </c>
      <c r="I174" s="477">
        <v>8640</v>
      </c>
      <c r="J174" s="478">
        <v>0</v>
      </c>
      <c r="K174" s="478">
        <v>960</v>
      </c>
      <c r="L174" s="511">
        <f t="shared" si="79"/>
        <v>9</v>
      </c>
      <c r="M174" s="459">
        <v>46233</v>
      </c>
      <c r="N174" s="459">
        <v>46240</v>
      </c>
      <c r="O174" s="442" t="s">
        <v>7134</v>
      </c>
      <c r="P174" s="512"/>
      <c r="Q174" s="455"/>
      <c r="R174" s="443" t="s">
        <v>459</v>
      </c>
      <c r="S174" s="452" t="s">
        <v>95</v>
      </c>
      <c r="T174" s="452" t="s">
        <v>7226</v>
      </c>
      <c r="U174" s="454"/>
      <c r="V174" s="454"/>
      <c r="W174" s="454"/>
      <c r="X174" s="454" t="s">
        <v>7209</v>
      </c>
      <c r="Y174" s="479" t="s">
        <v>503</v>
      </c>
      <c r="Z174" s="524">
        <v>655.1089</v>
      </c>
      <c r="AA174" s="515">
        <f t="shared" si="80"/>
        <v>5895.9801</v>
      </c>
      <c r="AB174" s="455"/>
      <c r="AC174" s="455" t="s">
        <v>356</v>
      </c>
      <c r="AD174" s="455" t="s">
        <v>112</v>
      </c>
      <c r="AE174" s="455"/>
      <c r="AF174" s="455"/>
      <c r="AG174" s="512"/>
      <c r="AH174" s="512">
        <f t="shared" si="81"/>
        <v>-8640</v>
      </c>
      <c r="AI174" s="455"/>
      <c r="AJ174" s="455"/>
      <c r="AK174" s="456">
        <f t="shared" si="82"/>
        <v>8640</v>
      </c>
      <c r="AL174" s="456"/>
      <c r="AM174" s="456"/>
      <c r="AN174" s="456">
        <f t="shared" si="83"/>
        <v>8640</v>
      </c>
      <c r="AO174" s="456"/>
      <c r="AP174" s="517"/>
      <c r="AQ174" s="456"/>
      <c r="AR174" s="518"/>
      <c r="AS174" s="456">
        <f t="shared" si="84"/>
        <v>8640</v>
      </c>
      <c r="AT174" s="516">
        <f t="shared" si="85"/>
        <v>1036.8</v>
      </c>
      <c r="AU174" s="516"/>
      <c r="AV174" s="456"/>
      <c r="AW174" s="456"/>
      <c r="AX174" s="456"/>
      <c r="AY174" s="456"/>
      <c r="AZ174" s="456"/>
      <c r="BA174" s="456"/>
      <c r="BB174" s="456"/>
      <c r="BC174" s="456"/>
      <c r="BD174" s="456"/>
      <c r="BE174" s="456"/>
      <c r="BF174" s="456"/>
      <c r="BG174" s="456"/>
      <c r="BH174" s="456"/>
      <c r="BI174" s="456"/>
      <c r="BJ174" s="456"/>
      <c r="BK174" s="517"/>
      <c r="BL174" s="517"/>
      <c r="BM174" s="456"/>
      <c r="BN174" s="518">
        <f t="shared" si="86"/>
        <v>540</v>
      </c>
      <c r="BO174" s="518"/>
      <c r="BP174" s="456"/>
      <c r="BQ174" s="456"/>
      <c r="BR174" s="517"/>
      <c r="BS174" s="456"/>
      <c r="BT174" s="456"/>
      <c r="BU174" s="456"/>
      <c r="BV174" s="456"/>
      <c r="BW174" s="456"/>
      <c r="BX174" s="456"/>
      <c r="BY174" s="456"/>
      <c r="BZ174" s="456">
        <f t="shared" si="87"/>
        <v>540</v>
      </c>
      <c r="CA174" s="456">
        <f t="shared" si="88"/>
        <v>0</v>
      </c>
      <c r="CB174" s="456">
        <f t="shared" si="89"/>
        <v>0</v>
      </c>
      <c r="CC174" s="456">
        <f t="shared" si="90"/>
        <v>0</v>
      </c>
      <c r="CD174" s="518"/>
      <c r="CE174" s="518"/>
      <c r="CF174" s="518"/>
      <c r="CG174" s="456"/>
      <c r="CH174" s="456"/>
    </row>
    <row r="175" s="291" customFormat="1" ht="32.05" customHeight="1" spans="1:107">
      <c r="A175" s="435">
        <v>46157</v>
      </c>
      <c r="B175" s="460" t="s">
        <v>499</v>
      </c>
      <c r="C175" s="461" t="s">
        <v>115</v>
      </c>
      <c r="D175" s="462" t="s">
        <v>7223</v>
      </c>
      <c r="E175" s="463" t="s">
        <v>7229</v>
      </c>
      <c r="F175" s="462" t="s">
        <v>7230</v>
      </c>
      <c r="G175" s="464" t="s">
        <v>349</v>
      </c>
      <c r="H175" s="436" t="s">
        <v>350</v>
      </c>
      <c r="I175" s="465">
        <v>17280</v>
      </c>
      <c r="J175" s="466">
        <v>0</v>
      </c>
      <c r="K175" s="466">
        <v>960</v>
      </c>
      <c r="L175" s="441">
        <f t="shared" si="79"/>
        <v>18</v>
      </c>
      <c r="M175" s="445">
        <v>46233</v>
      </c>
      <c r="N175" s="445">
        <v>46240</v>
      </c>
      <c r="O175" s="442" t="s">
        <v>7134</v>
      </c>
      <c r="P175" s="442"/>
      <c r="Q175" s="437"/>
      <c r="R175" s="451" t="s">
        <v>459</v>
      </c>
      <c r="S175" s="444" t="s">
        <v>95</v>
      </c>
      <c r="T175" s="444" t="s">
        <v>7226</v>
      </c>
      <c r="U175" s="436"/>
      <c r="V175" s="436"/>
      <c r="W175" s="436"/>
      <c r="X175" s="436" t="s">
        <v>7209</v>
      </c>
      <c r="Y175" s="468" t="s">
        <v>503</v>
      </c>
      <c r="Z175" s="469">
        <v>651.9406</v>
      </c>
      <c r="AA175" s="446">
        <f t="shared" si="80"/>
        <v>11734.9308</v>
      </c>
      <c r="AB175" s="437"/>
      <c r="AC175" s="437" t="s">
        <v>356</v>
      </c>
      <c r="AD175" s="437" t="s">
        <v>112</v>
      </c>
      <c r="AE175" s="437"/>
      <c r="AF175" s="437"/>
      <c r="AG175" s="442"/>
      <c r="AH175" s="442">
        <f t="shared" si="81"/>
        <v>-17280</v>
      </c>
      <c r="AI175" s="437"/>
      <c r="AJ175" s="437"/>
      <c r="AK175" s="438">
        <f t="shared" si="82"/>
        <v>17280</v>
      </c>
      <c r="AL175" s="438"/>
      <c r="AM175" s="438"/>
      <c r="AN175" s="438">
        <f t="shared" si="83"/>
        <v>17280</v>
      </c>
      <c r="AO175" s="438"/>
      <c r="AP175" s="447"/>
      <c r="AQ175" s="438"/>
      <c r="AR175" s="448"/>
      <c r="AS175" s="438">
        <f t="shared" si="84"/>
        <v>17280</v>
      </c>
      <c r="AT175" s="449">
        <f t="shared" si="85"/>
        <v>2073.6</v>
      </c>
      <c r="AU175" s="449"/>
      <c r="AV175" s="438"/>
      <c r="AW175" s="438"/>
      <c r="AX175" s="438"/>
      <c r="AY175" s="438"/>
      <c r="AZ175" s="438"/>
      <c r="BA175" s="438"/>
      <c r="BB175" s="438"/>
      <c r="BC175" s="438"/>
      <c r="BD175" s="438"/>
      <c r="BE175" s="438"/>
      <c r="BF175" s="438"/>
      <c r="BG175" s="438"/>
      <c r="BH175" s="438"/>
      <c r="BI175" s="438"/>
      <c r="BJ175" s="438"/>
      <c r="BK175" s="447"/>
      <c r="BL175" s="447"/>
      <c r="BM175" s="438"/>
      <c r="BN175" s="448">
        <f t="shared" si="86"/>
        <v>1080</v>
      </c>
      <c r="BO175" s="448"/>
      <c r="BP175" s="438"/>
      <c r="BQ175" s="438"/>
      <c r="BR175" s="447"/>
      <c r="BS175" s="438"/>
      <c r="BT175" s="438"/>
      <c r="BU175" s="438"/>
      <c r="BV175" s="438"/>
      <c r="BW175" s="438"/>
      <c r="BX175" s="438"/>
      <c r="BY175" s="438"/>
      <c r="BZ175" s="438">
        <f t="shared" si="87"/>
        <v>1080</v>
      </c>
      <c r="CA175" s="438">
        <f t="shared" si="88"/>
        <v>0</v>
      </c>
      <c r="CB175" s="438">
        <f t="shared" si="89"/>
        <v>0</v>
      </c>
      <c r="CC175" s="438">
        <f t="shared" si="90"/>
        <v>0</v>
      </c>
      <c r="CD175" s="448"/>
      <c r="CE175" s="448"/>
      <c r="CF175" s="448"/>
      <c r="CG175" s="438"/>
      <c r="CH175" s="438"/>
      <c r="CI175" s="494"/>
      <c r="CJ175" s="494"/>
      <c r="CK175" s="494"/>
      <c r="CL175" s="494"/>
      <c r="CM175" s="494"/>
      <c r="CN175" s="494"/>
      <c r="CO175" s="494"/>
      <c r="CP175" s="494"/>
      <c r="CQ175" s="494"/>
      <c r="CR175" s="494"/>
      <c r="CS175" s="494"/>
      <c r="CT175" s="494"/>
      <c r="CU175" s="494"/>
      <c r="CV175" s="494"/>
      <c r="CW175" s="494"/>
      <c r="CX175" s="494"/>
      <c r="CY175" s="494"/>
      <c r="CZ175" s="494"/>
      <c r="DA175" s="494"/>
      <c r="DB175" s="494"/>
      <c r="DC175" s="494"/>
    </row>
    <row r="176" s="286" customFormat="1" ht="32.05" customHeight="1" spans="1:107">
      <c r="A176" s="435">
        <v>46157</v>
      </c>
      <c r="B176" s="460" t="s">
        <v>499</v>
      </c>
      <c r="C176" s="461" t="s">
        <v>115</v>
      </c>
      <c r="D176" s="462" t="s">
        <v>7223</v>
      </c>
      <c r="E176" s="463" t="s">
        <v>7231</v>
      </c>
      <c r="F176" s="462" t="s">
        <v>7232</v>
      </c>
      <c r="G176" s="464" t="s">
        <v>349</v>
      </c>
      <c r="H176" s="436" t="s">
        <v>350</v>
      </c>
      <c r="I176" s="465">
        <v>12480</v>
      </c>
      <c r="J176" s="466">
        <v>0</v>
      </c>
      <c r="K176" s="466">
        <v>960</v>
      </c>
      <c r="L176" s="441">
        <f t="shared" si="79"/>
        <v>13</v>
      </c>
      <c r="M176" s="445">
        <v>46233</v>
      </c>
      <c r="N176" s="445">
        <v>46240</v>
      </c>
      <c r="O176" s="442" t="s">
        <v>7134</v>
      </c>
      <c r="P176" s="442"/>
      <c r="Q176" s="437"/>
      <c r="R176" s="443" t="s">
        <v>459</v>
      </c>
      <c r="S176" s="452" t="s">
        <v>95</v>
      </c>
      <c r="T176" s="452" t="s">
        <v>7226</v>
      </c>
      <c r="U176" s="436"/>
      <c r="V176" s="436"/>
      <c r="W176" s="436"/>
      <c r="X176" s="436" t="s">
        <v>7209</v>
      </c>
      <c r="Y176" s="468" t="s">
        <v>503</v>
      </c>
      <c r="Z176" s="469">
        <v>651.9408</v>
      </c>
      <c r="AA176" s="446">
        <f t="shared" si="80"/>
        <v>8475.2304</v>
      </c>
      <c r="AB176" s="437"/>
      <c r="AC176" s="437" t="s">
        <v>356</v>
      </c>
      <c r="AD176" s="437" t="s">
        <v>112</v>
      </c>
      <c r="AE176" s="437"/>
      <c r="AF176" s="437"/>
      <c r="AG176" s="442"/>
      <c r="AH176" s="442">
        <f t="shared" si="81"/>
        <v>-12480</v>
      </c>
      <c r="AI176" s="437"/>
      <c r="AJ176" s="437"/>
      <c r="AK176" s="438">
        <f t="shared" si="82"/>
        <v>12480</v>
      </c>
      <c r="AL176" s="438"/>
      <c r="AM176" s="438"/>
      <c r="AN176" s="438">
        <f t="shared" si="83"/>
        <v>12480</v>
      </c>
      <c r="AO176" s="438"/>
      <c r="AP176" s="447"/>
      <c r="AQ176" s="438"/>
      <c r="AR176" s="448"/>
      <c r="AS176" s="438">
        <f t="shared" si="84"/>
        <v>12480</v>
      </c>
      <c r="AT176" s="449">
        <f t="shared" si="85"/>
        <v>1497.6</v>
      </c>
      <c r="AU176" s="449"/>
      <c r="AV176" s="438"/>
      <c r="AW176" s="438"/>
      <c r="AX176" s="438"/>
      <c r="AY176" s="438"/>
      <c r="AZ176" s="438"/>
      <c r="BA176" s="438"/>
      <c r="BB176" s="438"/>
      <c r="BC176" s="438"/>
      <c r="BD176" s="438"/>
      <c r="BE176" s="438"/>
      <c r="BF176" s="438"/>
      <c r="BG176" s="438"/>
      <c r="BH176" s="438"/>
      <c r="BI176" s="438"/>
      <c r="BJ176" s="438"/>
      <c r="BK176" s="447"/>
      <c r="BL176" s="447"/>
      <c r="BM176" s="438"/>
      <c r="BN176" s="448">
        <f t="shared" si="86"/>
        <v>780</v>
      </c>
      <c r="BO176" s="448"/>
      <c r="BP176" s="438"/>
      <c r="BQ176" s="438"/>
      <c r="BR176" s="447"/>
      <c r="BS176" s="438"/>
      <c r="BT176" s="438"/>
      <c r="BU176" s="438"/>
      <c r="BV176" s="438"/>
      <c r="BW176" s="438"/>
      <c r="BX176" s="438"/>
      <c r="BY176" s="438"/>
      <c r="BZ176" s="438">
        <f t="shared" si="87"/>
        <v>780</v>
      </c>
      <c r="CA176" s="438">
        <f t="shared" si="88"/>
        <v>0</v>
      </c>
      <c r="CB176" s="438">
        <f t="shared" si="89"/>
        <v>0</v>
      </c>
      <c r="CC176" s="438">
        <f t="shared" si="90"/>
        <v>0</v>
      </c>
      <c r="CD176" s="448"/>
      <c r="CE176" s="448"/>
      <c r="CF176" s="448"/>
      <c r="CG176" s="438"/>
      <c r="CH176" s="438"/>
      <c r="CI176" s="291"/>
      <c r="CJ176" s="291"/>
      <c r="CK176" s="291"/>
      <c r="CL176" s="291"/>
      <c r="CM176" s="291"/>
      <c r="CN176" s="291"/>
      <c r="CO176" s="291"/>
      <c r="CP176" s="291"/>
      <c r="CQ176" s="291"/>
      <c r="CR176" s="291"/>
      <c r="CS176" s="291"/>
      <c r="CT176" s="291"/>
      <c r="CU176" s="291"/>
      <c r="CV176" s="291"/>
      <c r="CW176" s="291"/>
      <c r="CX176" s="291"/>
      <c r="CY176" s="291"/>
      <c r="CZ176" s="291"/>
      <c r="DA176" s="291"/>
      <c r="DB176" s="291"/>
      <c r="DC176" s="291"/>
    </row>
    <row r="177" s="291" customFormat="1" ht="32.05" customHeight="1" spans="1:107">
      <c r="A177" s="435">
        <v>46157</v>
      </c>
      <c r="B177" s="460" t="s">
        <v>499</v>
      </c>
      <c r="C177" s="461" t="s">
        <v>115</v>
      </c>
      <c r="D177" s="462" t="s">
        <v>7233</v>
      </c>
      <c r="E177" s="463" t="s">
        <v>7234</v>
      </c>
      <c r="F177" s="462" t="s">
        <v>7235</v>
      </c>
      <c r="G177" s="464" t="s">
        <v>349</v>
      </c>
      <c r="H177" s="436" t="s">
        <v>350</v>
      </c>
      <c r="I177" s="465">
        <v>16320</v>
      </c>
      <c r="J177" s="466">
        <v>0</v>
      </c>
      <c r="K177" s="466">
        <v>960</v>
      </c>
      <c r="L177" s="441">
        <f t="shared" si="79"/>
        <v>17</v>
      </c>
      <c r="M177" s="445">
        <v>46234</v>
      </c>
      <c r="N177" s="445">
        <v>46241</v>
      </c>
      <c r="O177" s="442" t="s">
        <v>7134</v>
      </c>
      <c r="P177" s="442"/>
      <c r="Q177" s="437"/>
      <c r="R177" s="443" t="s">
        <v>459</v>
      </c>
      <c r="S177" s="444" t="s">
        <v>95</v>
      </c>
      <c r="T177" s="444" t="s">
        <v>7208</v>
      </c>
      <c r="U177" s="436"/>
      <c r="V177" s="436"/>
      <c r="W177" s="436"/>
      <c r="X177" s="436" t="s">
        <v>7236</v>
      </c>
      <c r="Y177" s="468" t="s">
        <v>503</v>
      </c>
      <c r="Z177" s="469">
        <v>651.9412</v>
      </c>
      <c r="AA177" s="446">
        <f t="shared" si="80"/>
        <v>11083.0004</v>
      </c>
      <c r="AB177" s="437"/>
      <c r="AC177" s="437" t="s">
        <v>356</v>
      </c>
      <c r="AD177" s="437" t="s">
        <v>112</v>
      </c>
      <c r="AE177" s="437"/>
      <c r="AF177" s="437"/>
      <c r="AG177" s="442"/>
      <c r="AH177" s="442">
        <f t="shared" si="81"/>
        <v>-16320</v>
      </c>
      <c r="AI177" s="437"/>
      <c r="AJ177" s="437"/>
      <c r="AK177" s="438">
        <f t="shared" si="82"/>
        <v>16320</v>
      </c>
      <c r="AL177" s="438"/>
      <c r="AM177" s="438"/>
      <c r="AN177" s="438">
        <f t="shared" si="83"/>
        <v>16320</v>
      </c>
      <c r="AO177" s="438"/>
      <c r="AP177" s="447"/>
      <c r="AQ177" s="438"/>
      <c r="AR177" s="448"/>
      <c r="AS177" s="438">
        <f t="shared" si="84"/>
        <v>16320</v>
      </c>
      <c r="AT177" s="449">
        <f t="shared" si="85"/>
        <v>1958.4</v>
      </c>
      <c r="AU177" s="449"/>
      <c r="AV177" s="438"/>
      <c r="AW177" s="438"/>
      <c r="AX177" s="438"/>
      <c r="AY177" s="438"/>
      <c r="AZ177" s="438"/>
      <c r="BA177" s="438"/>
      <c r="BB177" s="438"/>
      <c r="BC177" s="438"/>
      <c r="BD177" s="438"/>
      <c r="BE177" s="438"/>
      <c r="BF177" s="438"/>
      <c r="BG177" s="438"/>
      <c r="BH177" s="438"/>
      <c r="BI177" s="438"/>
      <c r="BJ177" s="438"/>
      <c r="BK177" s="447"/>
      <c r="BL177" s="447"/>
      <c r="BM177" s="438"/>
      <c r="BN177" s="448">
        <f t="shared" si="86"/>
        <v>1020</v>
      </c>
      <c r="BO177" s="448"/>
      <c r="BP177" s="438"/>
      <c r="BQ177" s="438"/>
      <c r="BR177" s="447"/>
      <c r="BS177" s="438"/>
      <c r="BT177" s="438"/>
      <c r="BU177" s="438"/>
      <c r="BV177" s="438"/>
      <c r="BW177" s="438"/>
      <c r="BX177" s="438"/>
      <c r="BY177" s="438"/>
      <c r="BZ177" s="438">
        <f t="shared" si="87"/>
        <v>1020</v>
      </c>
      <c r="CA177" s="438">
        <f t="shared" si="88"/>
        <v>0</v>
      </c>
      <c r="CB177" s="438">
        <f t="shared" si="89"/>
        <v>0</v>
      </c>
      <c r="CC177" s="438">
        <f t="shared" si="90"/>
        <v>0</v>
      </c>
      <c r="CD177" s="448"/>
      <c r="CE177" s="448"/>
      <c r="CF177" s="448"/>
      <c r="CG177" s="438"/>
      <c r="CH177" s="438"/>
    </row>
    <row r="178" s="286" customFormat="1" ht="32.05" customHeight="1" spans="1:107">
      <c r="A178" s="435">
        <v>46157</v>
      </c>
      <c r="B178" s="460" t="s">
        <v>499</v>
      </c>
      <c r="C178" s="461" t="s">
        <v>115</v>
      </c>
      <c r="D178" s="462" t="s">
        <v>7233</v>
      </c>
      <c r="E178" s="463" t="s">
        <v>7237</v>
      </c>
      <c r="F178" s="462" t="s">
        <v>7238</v>
      </c>
      <c r="G178" s="464" t="s">
        <v>349</v>
      </c>
      <c r="H178" s="436" t="s">
        <v>350</v>
      </c>
      <c r="I178" s="465">
        <v>10560</v>
      </c>
      <c r="J178" s="466">
        <v>0</v>
      </c>
      <c r="K178" s="466">
        <v>960</v>
      </c>
      <c r="L178" s="441">
        <f t="shared" si="79"/>
        <v>11</v>
      </c>
      <c r="M178" s="445">
        <v>46234</v>
      </c>
      <c r="N178" s="445">
        <v>46241</v>
      </c>
      <c r="O178" s="442" t="s">
        <v>7134</v>
      </c>
      <c r="P178" s="442"/>
      <c r="Q178" s="437"/>
      <c r="R178" s="443" t="s">
        <v>459</v>
      </c>
      <c r="S178" s="444" t="s">
        <v>95</v>
      </c>
      <c r="T178" s="444" t="s">
        <v>7208</v>
      </c>
      <c r="U178" s="436"/>
      <c r="V178" s="436"/>
      <c r="W178" s="436"/>
      <c r="X178" s="436" t="s">
        <v>7236</v>
      </c>
      <c r="Y178" s="468" t="s">
        <v>503</v>
      </c>
      <c r="Z178" s="469">
        <v>651.9409</v>
      </c>
      <c r="AA178" s="446">
        <f t="shared" si="80"/>
        <v>7171.3499</v>
      </c>
      <c r="AB178" s="437"/>
      <c r="AC178" s="437" t="s">
        <v>356</v>
      </c>
      <c r="AD178" s="437" t="s">
        <v>112</v>
      </c>
      <c r="AE178" s="437"/>
      <c r="AF178" s="437"/>
      <c r="AG178" s="442"/>
      <c r="AH178" s="442">
        <f t="shared" si="81"/>
        <v>-10560</v>
      </c>
      <c r="AI178" s="437"/>
      <c r="AJ178" s="437"/>
      <c r="AK178" s="438">
        <f t="shared" si="82"/>
        <v>10560</v>
      </c>
      <c r="AL178" s="438"/>
      <c r="AM178" s="438"/>
      <c r="AN178" s="438">
        <f t="shared" si="83"/>
        <v>10560</v>
      </c>
      <c r="AO178" s="438"/>
      <c r="AP178" s="447"/>
      <c r="AQ178" s="438"/>
      <c r="AR178" s="448"/>
      <c r="AS178" s="438">
        <f t="shared" si="84"/>
        <v>10560</v>
      </c>
      <c r="AT178" s="449">
        <f t="shared" si="85"/>
        <v>1267.2</v>
      </c>
      <c r="AU178" s="449"/>
      <c r="AV178" s="438"/>
      <c r="AW178" s="438"/>
      <c r="AX178" s="438"/>
      <c r="AY178" s="438"/>
      <c r="AZ178" s="438"/>
      <c r="BA178" s="438"/>
      <c r="BB178" s="438"/>
      <c r="BC178" s="438"/>
      <c r="BD178" s="438"/>
      <c r="BE178" s="438"/>
      <c r="BF178" s="438"/>
      <c r="BG178" s="438"/>
      <c r="BH178" s="438"/>
      <c r="BI178" s="438"/>
      <c r="BJ178" s="438"/>
      <c r="BK178" s="447"/>
      <c r="BL178" s="447"/>
      <c r="BM178" s="438"/>
      <c r="BN178" s="448">
        <f t="shared" si="86"/>
        <v>660</v>
      </c>
      <c r="BO178" s="448"/>
      <c r="BP178" s="438"/>
      <c r="BQ178" s="438"/>
      <c r="BR178" s="447"/>
      <c r="BS178" s="438"/>
      <c r="BT178" s="438"/>
      <c r="BU178" s="438"/>
      <c r="BV178" s="438"/>
      <c r="BW178" s="438"/>
      <c r="BX178" s="438"/>
      <c r="BY178" s="438"/>
      <c r="BZ178" s="438">
        <f t="shared" si="87"/>
        <v>660</v>
      </c>
      <c r="CA178" s="438">
        <f t="shared" si="88"/>
        <v>0</v>
      </c>
      <c r="CB178" s="438">
        <f t="shared" si="89"/>
        <v>0</v>
      </c>
      <c r="CC178" s="438">
        <f t="shared" si="90"/>
        <v>0</v>
      </c>
      <c r="CD178" s="448"/>
      <c r="CE178" s="448"/>
      <c r="CF178" s="448"/>
      <c r="CG178" s="438"/>
      <c r="CH178" s="438"/>
      <c r="CI178" s="291"/>
      <c r="CJ178" s="291"/>
      <c r="CK178" s="291"/>
      <c r="CL178" s="291"/>
      <c r="CM178" s="291"/>
      <c r="CN178" s="291"/>
      <c r="CO178" s="291"/>
      <c r="CP178" s="291"/>
      <c r="CQ178" s="291"/>
      <c r="CR178" s="291"/>
      <c r="CS178" s="291"/>
      <c r="CT178" s="291"/>
      <c r="CU178" s="291"/>
      <c r="CV178" s="291"/>
      <c r="CW178" s="291"/>
      <c r="CX178" s="291"/>
      <c r="CY178" s="291"/>
      <c r="CZ178" s="291"/>
      <c r="DA178" s="291"/>
      <c r="DB178" s="291"/>
      <c r="DC178" s="291"/>
    </row>
    <row r="179" s="286" customFormat="1" ht="32.05" customHeight="1" spans="1:107">
      <c r="A179" s="435">
        <v>46157</v>
      </c>
      <c r="B179" s="460" t="s">
        <v>499</v>
      </c>
      <c r="C179" s="461" t="s">
        <v>115</v>
      </c>
      <c r="D179" s="462" t="s">
        <v>7233</v>
      </c>
      <c r="E179" s="463" t="s">
        <v>7239</v>
      </c>
      <c r="F179" s="462" t="s">
        <v>7240</v>
      </c>
      <c r="G179" s="464" t="s">
        <v>349</v>
      </c>
      <c r="H179" s="436" t="s">
        <v>350</v>
      </c>
      <c r="I179" s="465">
        <v>16320</v>
      </c>
      <c r="J179" s="466">
        <v>0</v>
      </c>
      <c r="K179" s="466">
        <v>960</v>
      </c>
      <c r="L179" s="441">
        <f t="shared" si="79"/>
        <v>17</v>
      </c>
      <c r="M179" s="445">
        <v>46234</v>
      </c>
      <c r="N179" s="445">
        <v>46241</v>
      </c>
      <c r="O179" s="442" t="s">
        <v>7134</v>
      </c>
      <c r="P179" s="442"/>
      <c r="Q179" s="437"/>
      <c r="R179" s="443" t="s">
        <v>459</v>
      </c>
      <c r="S179" s="444" t="s">
        <v>95</v>
      </c>
      <c r="T179" s="444" t="s">
        <v>7208</v>
      </c>
      <c r="U179" s="436"/>
      <c r="V179" s="436"/>
      <c r="W179" s="436"/>
      <c r="X179" s="436" t="s">
        <v>7236</v>
      </c>
      <c r="Y179" s="468" t="s">
        <v>503</v>
      </c>
      <c r="Z179" s="469">
        <v>651.9412</v>
      </c>
      <c r="AA179" s="446">
        <f t="shared" si="80"/>
        <v>11083.0004</v>
      </c>
      <c r="AB179" s="437"/>
      <c r="AC179" s="437" t="s">
        <v>356</v>
      </c>
      <c r="AD179" s="437" t="s">
        <v>112</v>
      </c>
      <c r="AE179" s="437"/>
      <c r="AF179" s="437"/>
      <c r="AG179" s="442"/>
      <c r="AH179" s="442">
        <f t="shared" si="81"/>
        <v>-16320</v>
      </c>
      <c r="AI179" s="437"/>
      <c r="AJ179" s="437"/>
      <c r="AK179" s="438">
        <f t="shared" si="82"/>
        <v>16320</v>
      </c>
      <c r="AL179" s="438"/>
      <c r="AM179" s="438"/>
      <c r="AN179" s="438">
        <f t="shared" si="83"/>
        <v>16320</v>
      </c>
      <c r="AO179" s="438"/>
      <c r="AP179" s="447"/>
      <c r="AQ179" s="438"/>
      <c r="AR179" s="448"/>
      <c r="AS179" s="438">
        <f t="shared" si="84"/>
        <v>16320</v>
      </c>
      <c r="AT179" s="449">
        <f t="shared" si="85"/>
        <v>1958.4</v>
      </c>
      <c r="AU179" s="449"/>
      <c r="AV179" s="438"/>
      <c r="AW179" s="438"/>
      <c r="AX179" s="438"/>
      <c r="AY179" s="438"/>
      <c r="AZ179" s="438"/>
      <c r="BA179" s="438"/>
      <c r="BB179" s="438"/>
      <c r="BC179" s="438"/>
      <c r="BD179" s="438"/>
      <c r="BE179" s="438"/>
      <c r="BF179" s="438"/>
      <c r="BG179" s="438"/>
      <c r="BH179" s="438"/>
      <c r="BI179" s="438"/>
      <c r="BJ179" s="438"/>
      <c r="BK179" s="447"/>
      <c r="BL179" s="447"/>
      <c r="BM179" s="438"/>
      <c r="BN179" s="448">
        <f t="shared" si="86"/>
        <v>1020</v>
      </c>
      <c r="BO179" s="448"/>
      <c r="BP179" s="438"/>
      <c r="BQ179" s="438"/>
      <c r="BR179" s="447"/>
      <c r="BS179" s="438"/>
      <c r="BT179" s="438"/>
      <c r="BU179" s="438"/>
      <c r="BV179" s="438"/>
      <c r="BW179" s="438"/>
      <c r="BX179" s="438"/>
      <c r="BY179" s="438"/>
      <c r="BZ179" s="438">
        <f t="shared" si="87"/>
        <v>1020</v>
      </c>
      <c r="CA179" s="438">
        <f t="shared" si="88"/>
        <v>0</v>
      </c>
      <c r="CB179" s="438">
        <f t="shared" si="89"/>
        <v>0</v>
      </c>
      <c r="CC179" s="438">
        <f t="shared" si="90"/>
        <v>0</v>
      </c>
      <c r="CD179" s="448"/>
      <c r="CE179" s="448"/>
      <c r="CF179" s="448"/>
      <c r="CG179" s="438"/>
      <c r="CH179" s="438"/>
      <c r="CI179" s="291"/>
      <c r="CJ179" s="291"/>
      <c r="CK179" s="291"/>
      <c r="CL179" s="291"/>
      <c r="CM179" s="291"/>
      <c r="CN179" s="291"/>
      <c r="CO179" s="291"/>
      <c r="CP179" s="291"/>
      <c r="CQ179" s="291"/>
      <c r="CR179" s="291"/>
      <c r="CS179" s="291"/>
      <c r="CT179" s="291"/>
      <c r="CU179" s="291"/>
      <c r="CV179" s="291"/>
      <c r="CW179" s="291"/>
      <c r="CX179" s="291"/>
      <c r="CY179" s="291"/>
      <c r="CZ179" s="291"/>
      <c r="DA179" s="291"/>
      <c r="DB179" s="291"/>
      <c r="DC179" s="291"/>
    </row>
    <row r="180" s="286" customFormat="1" ht="32.05" customHeight="1" spans="1:107">
      <c r="A180" s="435">
        <v>46157</v>
      </c>
      <c r="B180" s="460" t="s">
        <v>499</v>
      </c>
      <c r="C180" s="461" t="s">
        <v>115</v>
      </c>
      <c r="D180" s="462" t="s">
        <v>7233</v>
      </c>
      <c r="E180" s="463" t="s">
        <v>7241</v>
      </c>
      <c r="F180" s="462" t="s">
        <v>7242</v>
      </c>
      <c r="G180" s="464" t="s">
        <v>349</v>
      </c>
      <c r="H180" s="436" t="s">
        <v>350</v>
      </c>
      <c r="I180" s="465">
        <v>13440</v>
      </c>
      <c r="J180" s="466">
        <v>0</v>
      </c>
      <c r="K180" s="466">
        <v>960</v>
      </c>
      <c r="L180" s="441">
        <f t="shared" si="79"/>
        <v>14</v>
      </c>
      <c r="M180" s="445">
        <v>46234</v>
      </c>
      <c r="N180" s="445">
        <v>46241</v>
      </c>
      <c r="O180" s="442" t="s">
        <v>7134</v>
      </c>
      <c r="P180" s="442"/>
      <c r="Q180" s="437"/>
      <c r="R180" s="443" t="s">
        <v>459</v>
      </c>
      <c r="S180" s="444" t="s">
        <v>95</v>
      </c>
      <c r="T180" s="444" t="s">
        <v>7208</v>
      </c>
      <c r="U180" s="436"/>
      <c r="V180" s="436"/>
      <c r="W180" s="436"/>
      <c r="X180" s="436" t="s">
        <v>7236</v>
      </c>
      <c r="Y180" s="468" t="s">
        <v>503</v>
      </c>
      <c r="Z180" s="469">
        <v>651.9407</v>
      </c>
      <c r="AA180" s="446">
        <f t="shared" si="80"/>
        <v>9127.1698</v>
      </c>
      <c r="AB180" s="437"/>
      <c r="AC180" s="437" t="s">
        <v>356</v>
      </c>
      <c r="AD180" s="437" t="s">
        <v>112</v>
      </c>
      <c r="AE180" s="437"/>
      <c r="AF180" s="437"/>
      <c r="AG180" s="442"/>
      <c r="AH180" s="442">
        <f t="shared" si="81"/>
        <v>-13440</v>
      </c>
      <c r="AI180" s="437"/>
      <c r="AJ180" s="437"/>
      <c r="AK180" s="438">
        <f t="shared" si="82"/>
        <v>13440</v>
      </c>
      <c r="AL180" s="438"/>
      <c r="AM180" s="438"/>
      <c r="AN180" s="438">
        <f t="shared" si="83"/>
        <v>13440</v>
      </c>
      <c r="AO180" s="438"/>
      <c r="AP180" s="447"/>
      <c r="AQ180" s="438"/>
      <c r="AR180" s="448"/>
      <c r="AS180" s="438">
        <f t="shared" si="84"/>
        <v>13440</v>
      </c>
      <c r="AT180" s="449">
        <f t="shared" si="85"/>
        <v>1612.8</v>
      </c>
      <c r="AU180" s="449"/>
      <c r="AV180" s="438"/>
      <c r="AW180" s="438"/>
      <c r="AX180" s="438"/>
      <c r="AY180" s="438"/>
      <c r="AZ180" s="438"/>
      <c r="BA180" s="438"/>
      <c r="BB180" s="438"/>
      <c r="BC180" s="438"/>
      <c r="BD180" s="438"/>
      <c r="BE180" s="438"/>
      <c r="BF180" s="438"/>
      <c r="BG180" s="438"/>
      <c r="BH180" s="438"/>
      <c r="BI180" s="438"/>
      <c r="BJ180" s="438"/>
      <c r="BK180" s="447"/>
      <c r="BL180" s="447"/>
      <c r="BM180" s="438"/>
      <c r="BN180" s="448">
        <f t="shared" si="86"/>
        <v>840</v>
      </c>
      <c r="BO180" s="448"/>
      <c r="BP180" s="438"/>
      <c r="BQ180" s="438"/>
      <c r="BR180" s="447"/>
      <c r="BS180" s="438"/>
      <c r="BT180" s="438"/>
      <c r="BU180" s="438"/>
      <c r="BV180" s="438"/>
      <c r="BW180" s="438"/>
      <c r="BX180" s="438"/>
      <c r="BY180" s="438"/>
      <c r="BZ180" s="438">
        <f t="shared" si="87"/>
        <v>840</v>
      </c>
      <c r="CA180" s="438">
        <f t="shared" si="88"/>
        <v>0</v>
      </c>
      <c r="CB180" s="438">
        <f t="shared" si="89"/>
        <v>0</v>
      </c>
      <c r="CC180" s="438">
        <f t="shared" si="90"/>
        <v>0</v>
      </c>
      <c r="CD180" s="448"/>
      <c r="CE180" s="448"/>
      <c r="CF180" s="448"/>
      <c r="CG180" s="438"/>
      <c r="CH180" s="438"/>
      <c r="CI180" s="494"/>
      <c r="CJ180" s="494"/>
      <c r="CK180" s="494"/>
      <c r="CL180" s="494"/>
      <c r="CM180" s="494"/>
      <c r="CN180" s="494"/>
      <c r="CO180" s="494"/>
      <c r="CP180" s="494"/>
      <c r="CQ180" s="494"/>
      <c r="CR180" s="494"/>
      <c r="CS180" s="494"/>
      <c r="CT180" s="494"/>
      <c r="CU180" s="494"/>
      <c r="CV180" s="494"/>
      <c r="CW180" s="494"/>
      <c r="CX180" s="494"/>
      <c r="CY180" s="494"/>
      <c r="CZ180" s="494"/>
      <c r="DA180" s="494"/>
      <c r="DB180" s="494"/>
      <c r="DC180" s="494"/>
    </row>
    <row r="181" s="286" customFormat="1" ht="32.05" customHeight="1" spans="1:107">
      <c r="A181" s="435">
        <v>46157</v>
      </c>
      <c r="B181" s="460" t="s">
        <v>499</v>
      </c>
      <c r="C181" s="461" t="s">
        <v>115</v>
      </c>
      <c r="D181" s="462" t="s">
        <v>7233</v>
      </c>
      <c r="E181" s="463" t="s">
        <v>7243</v>
      </c>
      <c r="F181" s="462" t="s">
        <v>7244</v>
      </c>
      <c r="G181" s="464" t="s">
        <v>349</v>
      </c>
      <c r="H181" s="436" t="s">
        <v>350</v>
      </c>
      <c r="I181" s="465">
        <v>7680</v>
      </c>
      <c r="J181" s="466">
        <v>0</v>
      </c>
      <c r="K181" s="466">
        <v>960</v>
      </c>
      <c r="L181" s="441">
        <f t="shared" si="79"/>
        <v>8</v>
      </c>
      <c r="M181" s="445">
        <v>46234</v>
      </c>
      <c r="N181" s="445">
        <v>46241</v>
      </c>
      <c r="O181" s="442" t="s">
        <v>7134</v>
      </c>
      <c r="P181" s="442"/>
      <c r="Q181" s="437"/>
      <c r="R181" s="443" t="s">
        <v>459</v>
      </c>
      <c r="S181" s="444" t="s">
        <v>95</v>
      </c>
      <c r="T181" s="444" t="s">
        <v>7208</v>
      </c>
      <c r="U181" s="436"/>
      <c r="V181" s="436"/>
      <c r="W181" s="436"/>
      <c r="X181" s="436" t="s">
        <v>7236</v>
      </c>
      <c r="Y181" s="468" t="s">
        <v>503</v>
      </c>
      <c r="Z181" s="469">
        <v>655.1088</v>
      </c>
      <c r="AA181" s="446">
        <f t="shared" si="80"/>
        <v>5240.8704</v>
      </c>
      <c r="AB181" s="437"/>
      <c r="AC181" s="437" t="s">
        <v>356</v>
      </c>
      <c r="AD181" s="437" t="s">
        <v>112</v>
      </c>
      <c r="AE181" s="437"/>
      <c r="AF181" s="437"/>
      <c r="AG181" s="442"/>
      <c r="AH181" s="442">
        <f t="shared" si="81"/>
        <v>-7680</v>
      </c>
      <c r="AI181" s="437"/>
      <c r="AJ181" s="437"/>
      <c r="AK181" s="438">
        <f t="shared" si="82"/>
        <v>7680</v>
      </c>
      <c r="AL181" s="438"/>
      <c r="AM181" s="438"/>
      <c r="AN181" s="438">
        <f t="shared" si="83"/>
        <v>7680</v>
      </c>
      <c r="AO181" s="438"/>
      <c r="AP181" s="447"/>
      <c r="AQ181" s="438"/>
      <c r="AR181" s="448"/>
      <c r="AS181" s="438">
        <f t="shared" si="84"/>
        <v>7680</v>
      </c>
      <c r="AT181" s="449">
        <f t="shared" si="85"/>
        <v>921.6</v>
      </c>
      <c r="AU181" s="449"/>
      <c r="AV181" s="438"/>
      <c r="AW181" s="438"/>
      <c r="AX181" s="438"/>
      <c r="AY181" s="438"/>
      <c r="AZ181" s="438"/>
      <c r="BA181" s="438"/>
      <c r="BB181" s="438"/>
      <c r="BC181" s="438"/>
      <c r="BD181" s="438"/>
      <c r="BE181" s="438"/>
      <c r="BF181" s="438"/>
      <c r="BG181" s="438"/>
      <c r="BH181" s="438"/>
      <c r="BI181" s="438"/>
      <c r="BJ181" s="438"/>
      <c r="BK181" s="447"/>
      <c r="BL181" s="447"/>
      <c r="BM181" s="438"/>
      <c r="BN181" s="448">
        <f t="shared" si="86"/>
        <v>480</v>
      </c>
      <c r="BO181" s="448"/>
      <c r="BP181" s="438"/>
      <c r="BQ181" s="438"/>
      <c r="BR181" s="447"/>
      <c r="BS181" s="438"/>
      <c r="BT181" s="438"/>
      <c r="BU181" s="438"/>
      <c r="BV181" s="438"/>
      <c r="BW181" s="438"/>
      <c r="BX181" s="438"/>
      <c r="BY181" s="438"/>
      <c r="BZ181" s="438">
        <f t="shared" si="87"/>
        <v>480</v>
      </c>
      <c r="CA181" s="438">
        <f t="shared" si="88"/>
        <v>0</v>
      </c>
      <c r="CB181" s="438">
        <f t="shared" si="89"/>
        <v>0</v>
      </c>
      <c r="CC181" s="438">
        <f t="shared" si="90"/>
        <v>0</v>
      </c>
      <c r="CD181" s="448"/>
      <c r="CE181" s="448"/>
      <c r="CF181" s="448"/>
      <c r="CG181" s="438"/>
      <c r="CH181" s="438"/>
      <c r="CI181" s="291"/>
      <c r="CJ181" s="291"/>
      <c r="CK181" s="291"/>
      <c r="CL181" s="291"/>
      <c r="CM181" s="291"/>
      <c r="CN181" s="291"/>
      <c r="CO181" s="291"/>
      <c r="CP181" s="291"/>
      <c r="CQ181" s="291"/>
      <c r="CR181" s="291"/>
      <c r="CS181" s="291"/>
      <c r="CT181" s="291"/>
      <c r="CU181" s="291"/>
      <c r="CV181" s="291"/>
      <c r="CW181" s="291"/>
      <c r="CX181" s="291"/>
      <c r="CY181" s="291"/>
      <c r="CZ181" s="291"/>
      <c r="DA181" s="291"/>
      <c r="DB181" s="291"/>
      <c r="DC181" s="291"/>
    </row>
    <row r="182" s="286" customFormat="1" ht="32.05" customHeight="1" spans="1:107">
      <c r="A182" s="510">
        <v>46161</v>
      </c>
      <c r="B182" s="454" t="s">
        <v>346</v>
      </c>
      <c r="C182" s="455" t="s">
        <v>115</v>
      </c>
      <c r="D182" s="456" t="s">
        <v>7245</v>
      </c>
      <c r="E182" s="455" t="s">
        <v>7246</v>
      </c>
      <c r="F182" s="456" t="s">
        <v>7247</v>
      </c>
      <c r="G182" s="457" t="s">
        <v>1016</v>
      </c>
      <c r="H182" s="455" t="s">
        <v>350</v>
      </c>
      <c r="I182" s="458">
        <v>18240</v>
      </c>
      <c r="J182" s="455">
        <v>0</v>
      </c>
      <c r="K182" s="455">
        <v>960</v>
      </c>
      <c r="L182" s="511">
        <f t="shared" si="79"/>
        <v>19</v>
      </c>
      <c r="M182" s="459">
        <v>46241</v>
      </c>
      <c r="N182" s="459">
        <v>46237</v>
      </c>
      <c r="O182" s="512" t="s">
        <v>7134</v>
      </c>
      <c r="P182" s="512"/>
      <c r="Q182" s="455"/>
      <c r="R182" s="443" t="s">
        <v>459</v>
      </c>
      <c r="S182" s="452" t="s">
        <v>95</v>
      </c>
      <c r="T182" s="452" t="s">
        <v>7135</v>
      </c>
      <c r="U182" s="454"/>
      <c r="V182" s="454"/>
      <c r="W182" s="454"/>
      <c r="X182" s="454" t="s">
        <v>7248</v>
      </c>
      <c r="Y182" s="459" t="s">
        <v>354</v>
      </c>
      <c r="Z182" s="456">
        <v>648.8305</v>
      </c>
      <c r="AA182" s="515">
        <f t="shared" si="80"/>
        <v>12327.7795</v>
      </c>
      <c r="AB182" s="455"/>
      <c r="AC182" s="457" t="s">
        <v>356</v>
      </c>
      <c r="AD182" s="455" t="s">
        <v>112</v>
      </c>
      <c r="AE182" s="455"/>
      <c r="AF182" s="455"/>
      <c r="AG182" s="512"/>
      <c r="AH182" s="512">
        <f t="shared" si="81"/>
        <v>-18240</v>
      </c>
      <c r="AI182" s="455"/>
      <c r="AJ182" s="455"/>
      <c r="AK182" s="456">
        <f t="shared" si="82"/>
        <v>18240</v>
      </c>
      <c r="AL182" s="456"/>
      <c r="AM182" s="456"/>
      <c r="AN182" s="456">
        <f t="shared" si="83"/>
        <v>18240</v>
      </c>
      <c r="AO182" s="456"/>
      <c r="AP182" s="517"/>
      <c r="AQ182" s="456"/>
      <c r="AR182" s="518"/>
      <c r="AS182" s="456">
        <f t="shared" si="84"/>
        <v>18240</v>
      </c>
      <c r="AT182" s="516">
        <f t="shared" si="85"/>
        <v>2188.8</v>
      </c>
      <c r="AU182" s="516"/>
      <c r="AV182" s="456"/>
      <c r="AW182" s="456"/>
      <c r="AX182" s="456"/>
      <c r="AY182" s="456"/>
      <c r="AZ182" s="456"/>
      <c r="BA182" s="456"/>
      <c r="BB182" s="456"/>
      <c r="BC182" s="456"/>
      <c r="BD182" s="456"/>
      <c r="BE182" s="456"/>
      <c r="BF182" s="456"/>
      <c r="BG182" s="456"/>
      <c r="BH182" s="456"/>
      <c r="BI182" s="456"/>
      <c r="BJ182" s="456"/>
      <c r="BK182" s="517"/>
      <c r="BL182" s="517"/>
      <c r="BM182" s="456"/>
      <c r="BN182" s="518">
        <f t="shared" si="86"/>
        <v>1140</v>
      </c>
      <c r="BO182" s="518"/>
      <c r="BP182" s="456"/>
      <c r="BQ182" s="456"/>
      <c r="BR182" s="517"/>
      <c r="BS182" s="456"/>
      <c r="BT182" s="456"/>
      <c r="BU182" s="456"/>
      <c r="BV182" s="456"/>
      <c r="BW182" s="456"/>
      <c r="BX182" s="456"/>
      <c r="BY182" s="456"/>
      <c r="BZ182" s="456">
        <f t="shared" si="87"/>
        <v>1140</v>
      </c>
      <c r="CA182" s="456">
        <f t="shared" si="88"/>
        <v>0</v>
      </c>
      <c r="CB182" s="456">
        <f t="shared" si="89"/>
        <v>0</v>
      </c>
      <c r="CC182" s="456">
        <f t="shared" si="90"/>
        <v>0</v>
      </c>
      <c r="CD182" s="518"/>
      <c r="CE182" s="518"/>
      <c r="CF182" s="518"/>
      <c r="CG182" s="456"/>
      <c r="CH182" s="456"/>
      <c r="CI182" s="291"/>
      <c r="CJ182" s="291"/>
      <c r="CK182" s="291"/>
      <c r="CL182" s="291"/>
      <c r="CM182" s="291"/>
      <c r="CN182" s="291"/>
      <c r="CO182" s="291"/>
      <c r="CP182" s="291"/>
      <c r="CQ182" s="291"/>
      <c r="CR182" s="291"/>
      <c r="CS182" s="291"/>
      <c r="CT182" s="291"/>
      <c r="CU182" s="291"/>
      <c r="CV182" s="291"/>
      <c r="CW182" s="291"/>
      <c r="CX182" s="291"/>
      <c r="CY182" s="291"/>
      <c r="CZ182" s="291"/>
      <c r="DA182" s="291"/>
      <c r="DB182" s="291"/>
      <c r="DC182" s="291"/>
    </row>
    <row r="183" s="286" customFormat="1" ht="32.05" customHeight="1" spans="1:107">
      <c r="A183" s="435">
        <v>46161</v>
      </c>
      <c r="B183" s="436" t="s">
        <v>346</v>
      </c>
      <c r="C183" s="437" t="s">
        <v>115</v>
      </c>
      <c r="D183" s="438" t="s">
        <v>7245</v>
      </c>
      <c r="E183" s="437" t="s">
        <v>7249</v>
      </c>
      <c r="F183" s="438" t="s">
        <v>7250</v>
      </c>
      <c r="G183" s="439" t="s">
        <v>1016</v>
      </c>
      <c r="H183" s="437" t="s">
        <v>350</v>
      </c>
      <c r="I183" s="440">
        <v>8640</v>
      </c>
      <c r="J183" s="437">
        <v>0</v>
      </c>
      <c r="K183" s="437">
        <v>960</v>
      </c>
      <c r="L183" s="441">
        <f t="shared" si="79"/>
        <v>9</v>
      </c>
      <c r="M183" s="445">
        <v>46241</v>
      </c>
      <c r="N183" s="445">
        <v>46237</v>
      </c>
      <c r="O183" s="512" t="s">
        <v>7134</v>
      </c>
      <c r="P183" s="442"/>
      <c r="Q183" s="437"/>
      <c r="R183" s="443" t="s">
        <v>459</v>
      </c>
      <c r="S183" s="444" t="s">
        <v>95</v>
      </c>
      <c r="T183" s="444" t="s">
        <v>7135</v>
      </c>
      <c r="U183" s="436"/>
      <c r="V183" s="436"/>
      <c r="W183" s="436"/>
      <c r="X183" s="436" t="s">
        <v>7248</v>
      </c>
      <c r="Y183" s="445" t="s">
        <v>354</v>
      </c>
      <c r="Z183" s="438">
        <v>651.9411</v>
      </c>
      <c r="AA183" s="446">
        <f t="shared" si="80"/>
        <v>5867.4699</v>
      </c>
      <c r="AB183" s="437"/>
      <c r="AC183" s="439" t="s">
        <v>356</v>
      </c>
      <c r="AD183" s="437" t="s">
        <v>112</v>
      </c>
      <c r="AE183" s="437"/>
      <c r="AF183" s="437"/>
      <c r="AG183" s="442"/>
      <c r="AH183" s="442">
        <f t="shared" si="81"/>
        <v>-8640</v>
      </c>
      <c r="AI183" s="437"/>
      <c r="AJ183" s="437"/>
      <c r="AK183" s="438">
        <f t="shared" si="82"/>
        <v>8640</v>
      </c>
      <c r="AL183" s="438"/>
      <c r="AM183" s="438"/>
      <c r="AN183" s="438">
        <f t="shared" si="83"/>
        <v>8640</v>
      </c>
      <c r="AO183" s="438"/>
      <c r="AP183" s="447"/>
      <c r="AQ183" s="438"/>
      <c r="AR183" s="448"/>
      <c r="AS183" s="438">
        <f t="shared" si="84"/>
        <v>8640</v>
      </c>
      <c r="AT183" s="449">
        <f t="shared" si="85"/>
        <v>1036.8</v>
      </c>
      <c r="AU183" s="449"/>
      <c r="AV183" s="438"/>
      <c r="AW183" s="438"/>
      <c r="AX183" s="438"/>
      <c r="AY183" s="438"/>
      <c r="AZ183" s="438"/>
      <c r="BA183" s="438"/>
      <c r="BB183" s="438"/>
      <c r="BC183" s="438"/>
      <c r="BD183" s="438"/>
      <c r="BE183" s="438"/>
      <c r="BF183" s="438"/>
      <c r="BG183" s="438"/>
      <c r="BH183" s="438"/>
      <c r="BI183" s="438"/>
      <c r="BJ183" s="438"/>
      <c r="BK183" s="447"/>
      <c r="BL183" s="447"/>
      <c r="BM183" s="438"/>
      <c r="BN183" s="448">
        <f t="shared" si="86"/>
        <v>540</v>
      </c>
      <c r="BO183" s="448"/>
      <c r="BP183" s="438"/>
      <c r="BQ183" s="438"/>
      <c r="BR183" s="447"/>
      <c r="BS183" s="438"/>
      <c r="BT183" s="438"/>
      <c r="BU183" s="438"/>
      <c r="BV183" s="438"/>
      <c r="BW183" s="438"/>
      <c r="BX183" s="438"/>
      <c r="BY183" s="438"/>
      <c r="BZ183" s="438">
        <f t="shared" si="87"/>
        <v>540</v>
      </c>
      <c r="CA183" s="438">
        <f t="shared" si="88"/>
        <v>0</v>
      </c>
      <c r="CB183" s="438">
        <f t="shared" si="89"/>
        <v>0</v>
      </c>
      <c r="CC183" s="438">
        <f t="shared" si="90"/>
        <v>0</v>
      </c>
      <c r="CD183" s="448"/>
      <c r="CE183" s="448"/>
      <c r="CF183" s="448"/>
      <c r="CG183" s="438"/>
      <c r="CH183" s="438"/>
      <c r="CI183" s="291"/>
      <c r="CJ183" s="291"/>
      <c r="CK183" s="291"/>
      <c r="CL183" s="291"/>
      <c r="CM183" s="291"/>
      <c r="CN183" s="291"/>
      <c r="CO183" s="291"/>
      <c r="CP183" s="291"/>
      <c r="CQ183" s="291"/>
      <c r="CR183" s="291"/>
      <c r="CS183" s="291"/>
      <c r="CT183" s="291"/>
      <c r="CU183" s="291"/>
      <c r="CV183" s="291"/>
      <c r="CW183" s="291"/>
      <c r="CX183" s="291"/>
      <c r="CY183" s="291"/>
      <c r="CZ183" s="291"/>
      <c r="DA183" s="291"/>
      <c r="DB183" s="291"/>
      <c r="DC183" s="291"/>
    </row>
    <row r="184" s="286" customFormat="1" ht="32.05" customHeight="1" spans="1:107">
      <c r="A184" s="435">
        <v>46161</v>
      </c>
      <c r="B184" s="436" t="s">
        <v>346</v>
      </c>
      <c r="C184" s="437" t="s">
        <v>115</v>
      </c>
      <c r="D184" s="438" t="s">
        <v>7245</v>
      </c>
      <c r="E184" s="437" t="s">
        <v>7251</v>
      </c>
      <c r="F184" s="438" t="s">
        <v>7252</v>
      </c>
      <c r="G184" s="439" t="s">
        <v>1016</v>
      </c>
      <c r="H184" s="437" t="s">
        <v>350</v>
      </c>
      <c r="I184" s="440">
        <v>19200</v>
      </c>
      <c r="J184" s="437">
        <v>0</v>
      </c>
      <c r="K184" s="437">
        <v>960</v>
      </c>
      <c r="L184" s="441">
        <f t="shared" si="79"/>
        <v>20</v>
      </c>
      <c r="M184" s="445">
        <v>46241</v>
      </c>
      <c r="N184" s="445">
        <v>46237</v>
      </c>
      <c r="O184" s="512" t="s">
        <v>7134</v>
      </c>
      <c r="P184" s="442"/>
      <c r="Q184" s="437"/>
      <c r="R184" s="443" t="s">
        <v>459</v>
      </c>
      <c r="S184" s="444" t="s">
        <v>95</v>
      </c>
      <c r="T184" s="452" t="s">
        <v>7135</v>
      </c>
      <c r="U184" s="436"/>
      <c r="V184" s="436"/>
      <c r="W184" s="436"/>
      <c r="X184" s="436" t="s">
        <v>7248</v>
      </c>
      <c r="Y184" s="445" t="s">
        <v>354</v>
      </c>
      <c r="Z184" s="438">
        <v>648.8305</v>
      </c>
      <c r="AA184" s="446">
        <f t="shared" si="80"/>
        <v>12976.61</v>
      </c>
      <c r="AB184" s="437"/>
      <c r="AC184" s="439" t="s">
        <v>356</v>
      </c>
      <c r="AD184" s="437" t="s">
        <v>112</v>
      </c>
      <c r="AE184" s="437"/>
      <c r="AF184" s="437"/>
      <c r="AG184" s="442"/>
      <c r="AH184" s="442">
        <f t="shared" si="81"/>
        <v>-19200</v>
      </c>
      <c r="AI184" s="437"/>
      <c r="AJ184" s="437"/>
      <c r="AK184" s="438">
        <f t="shared" si="82"/>
        <v>19200</v>
      </c>
      <c r="AL184" s="438"/>
      <c r="AM184" s="438"/>
      <c r="AN184" s="438">
        <f t="shared" si="83"/>
        <v>19200</v>
      </c>
      <c r="AO184" s="438"/>
      <c r="AP184" s="447"/>
      <c r="AQ184" s="438"/>
      <c r="AR184" s="448"/>
      <c r="AS184" s="438">
        <f t="shared" si="84"/>
        <v>19200</v>
      </c>
      <c r="AT184" s="449">
        <f t="shared" si="85"/>
        <v>2304</v>
      </c>
      <c r="AU184" s="449"/>
      <c r="AV184" s="438"/>
      <c r="AW184" s="438"/>
      <c r="AX184" s="438"/>
      <c r="AY184" s="438"/>
      <c r="AZ184" s="438"/>
      <c r="BA184" s="438"/>
      <c r="BB184" s="438"/>
      <c r="BC184" s="438"/>
      <c r="BD184" s="438"/>
      <c r="BE184" s="438"/>
      <c r="BF184" s="438"/>
      <c r="BG184" s="438"/>
      <c r="BH184" s="438"/>
      <c r="BI184" s="438"/>
      <c r="BJ184" s="438"/>
      <c r="BK184" s="447"/>
      <c r="BL184" s="447"/>
      <c r="BM184" s="438"/>
      <c r="BN184" s="448">
        <f t="shared" si="86"/>
        <v>1200</v>
      </c>
      <c r="BO184" s="448"/>
      <c r="BP184" s="438"/>
      <c r="BQ184" s="438"/>
      <c r="BR184" s="447"/>
      <c r="BS184" s="438"/>
      <c r="BT184" s="438"/>
      <c r="BU184" s="438"/>
      <c r="BV184" s="438"/>
      <c r="BW184" s="438"/>
      <c r="BX184" s="438"/>
      <c r="BY184" s="438"/>
      <c r="BZ184" s="438">
        <f t="shared" si="87"/>
        <v>1200</v>
      </c>
      <c r="CA184" s="438">
        <f t="shared" si="88"/>
        <v>0</v>
      </c>
      <c r="CB184" s="438">
        <f t="shared" si="89"/>
        <v>0</v>
      </c>
      <c r="CC184" s="438">
        <f t="shared" si="90"/>
        <v>0</v>
      </c>
      <c r="CD184" s="448"/>
      <c r="CE184" s="448"/>
      <c r="CF184" s="448"/>
      <c r="CG184" s="438"/>
      <c r="CH184" s="438"/>
      <c r="CI184" s="291"/>
      <c r="CJ184" s="291"/>
      <c r="CK184" s="291"/>
      <c r="CL184" s="291"/>
      <c r="CM184" s="291"/>
      <c r="CN184" s="291"/>
      <c r="CO184" s="291"/>
      <c r="CP184" s="291"/>
      <c r="CQ184" s="291"/>
      <c r="CR184" s="291"/>
      <c r="CS184" s="291"/>
      <c r="CT184" s="291"/>
      <c r="CU184" s="291"/>
      <c r="CV184" s="291"/>
      <c r="CW184" s="291"/>
      <c r="CX184" s="291"/>
      <c r="CY184" s="291"/>
      <c r="CZ184" s="291"/>
      <c r="DA184" s="291"/>
      <c r="DB184" s="291"/>
      <c r="DC184" s="291"/>
    </row>
    <row r="185" s="286" customFormat="1" ht="32.05" customHeight="1" spans="1:107">
      <c r="A185" s="526">
        <v>46161</v>
      </c>
      <c r="B185" s="527" t="s">
        <v>346</v>
      </c>
      <c r="C185" s="521" t="s">
        <v>115</v>
      </c>
      <c r="D185" s="520" t="s">
        <v>7245</v>
      </c>
      <c r="E185" s="521" t="s">
        <v>7253</v>
      </c>
      <c r="F185" s="520" t="s">
        <v>7254</v>
      </c>
      <c r="G185" s="519" t="s">
        <v>1016</v>
      </c>
      <c r="H185" s="521" t="s">
        <v>350</v>
      </c>
      <c r="I185" s="528">
        <v>13440</v>
      </c>
      <c r="J185" s="521">
        <v>0</v>
      </c>
      <c r="K185" s="521">
        <v>960</v>
      </c>
      <c r="L185" s="529">
        <f t="shared" si="79"/>
        <v>14</v>
      </c>
      <c r="M185" s="530">
        <v>46241</v>
      </c>
      <c r="N185" s="530">
        <v>46237</v>
      </c>
      <c r="O185" s="512" t="s">
        <v>7134</v>
      </c>
      <c r="P185" s="467"/>
      <c r="Q185" s="521"/>
      <c r="R185" s="531" t="s">
        <v>459</v>
      </c>
      <c r="S185" s="444" t="s">
        <v>95</v>
      </c>
      <c r="T185" s="532" t="s">
        <v>7135</v>
      </c>
      <c r="U185" s="527"/>
      <c r="V185" s="527"/>
      <c r="W185" s="527"/>
      <c r="X185" s="527" t="s">
        <v>7248</v>
      </c>
      <c r="Y185" s="530" t="s">
        <v>354</v>
      </c>
      <c r="Z185" s="520">
        <v>648.8307</v>
      </c>
      <c r="AA185" s="533">
        <f t="shared" si="80"/>
        <v>9083.6298</v>
      </c>
      <c r="AB185" s="521"/>
      <c r="AC185" s="439" t="s">
        <v>356</v>
      </c>
      <c r="AD185" s="437" t="s">
        <v>112</v>
      </c>
      <c r="AE185" s="521"/>
      <c r="AF185" s="521"/>
      <c r="AG185" s="467"/>
      <c r="AH185" s="442">
        <f t="shared" si="81"/>
        <v>-13440</v>
      </c>
      <c r="AI185" s="521"/>
      <c r="AJ185" s="521"/>
      <c r="AK185" s="520">
        <f t="shared" si="82"/>
        <v>13440</v>
      </c>
      <c r="AL185" s="520"/>
      <c r="AM185" s="520"/>
      <c r="AN185" s="520">
        <f t="shared" si="83"/>
        <v>13440</v>
      </c>
      <c r="AO185" s="438"/>
      <c r="AP185" s="447"/>
      <c r="AQ185" s="438"/>
      <c r="AR185" s="448"/>
      <c r="AS185" s="438">
        <f t="shared" si="84"/>
        <v>13440</v>
      </c>
      <c r="AT185" s="534">
        <f t="shared" si="85"/>
        <v>1612.8</v>
      </c>
      <c r="AU185" s="534"/>
      <c r="AV185" s="520"/>
      <c r="AW185" s="520"/>
      <c r="AX185" s="520"/>
      <c r="AY185" s="520"/>
      <c r="AZ185" s="520"/>
      <c r="BA185" s="520"/>
      <c r="BB185" s="520"/>
      <c r="BC185" s="520"/>
      <c r="BD185" s="520"/>
      <c r="BE185" s="520"/>
      <c r="BF185" s="520"/>
      <c r="BG185" s="520"/>
      <c r="BH185" s="520"/>
      <c r="BI185" s="520"/>
      <c r="BJ185" s="520"/>
      <c r="BK185" s="447"/>
      <c r="BL185" s="520"/>
      <c r="BM185" s="520"/>
      <c r="BN185" s="520">
        <f t="shared" si="86"/>
        <v>840</v>
      </c>
      <c r="BO185" s="520"/>
      <c r="BP185" s="520"/>
      <c r="BQ185" s="520"/>
      <c r="BR185" s="520"/>
      <c r="BS185" s="520"/>
      <c r="BT185" s="520"/>
      <c r="BU185" s="520"/>
      <c r="BV185" s="520"/>
      <c r="BW185" s="520"/>
      <c r="BX185" s="520"/>
      <c r="BY185" s="520"/>
      <c r="BZ185" s="438">
        <f t="shared" si="87"/>
        <v>840</v>
      </c>
      <c r="CA185" s="438">
        <f t="shared" si="88"/>
        <v>0</v>
      </c>
      <c r="CB185" s="438">
        <f t="shared" si="89"/>
        <v>0</v>
      </c>
      <c r="CC185" s="438">
        <f t="shared" si="90"/>
        <v>0</v>
      </c>
      <c r="CD185" s="520"/>
      <c r="CE185" s="520"/>
      <c r="CF185" s="520"/>
      <c r="CG185" s="520"/>
      <c r="CH185" s="520"/>
      <c r="CI185" s="291"/>
      <c r="CJ185" s="291"/>
      <c r="CK185" s="291"/>
      <c r="CL185" s="291"/>
      <c r="CM185" s="291"/>
      <c r="CN185" s="291"/>
      <c r="CO185" s="291"/>
      <c r="CP185" s="291"/>
      <c r="CQ185" s="291"/>
      <c r="CR185" s="291"/>
      <c r="CS185" s="291"/>
      <c r="CT185" s="291"/>
      <c r="CU185" s="291"/>
      <c r="CV185" s="291"/>
      <c r="CW185" s="291"/>
      <c r="CX185" s="291"/>
      <c r="CY185" s="291"/>
      <c r="CZ185" s="291"/>
      <c r="DA185" s="291"/>
      <c r="DB185" s="291"/>
      <c r="DC185" s="291"/>
    </row>
    <row r="186" s="291" customFormat="1" ht="32.05" customHeight="1" spans="1:107">
      <c r="A186" s="510">
        <v>46161</v>
      </c>
      <c r="B186" s="454" t="s">
        <v>346</v>
      </c>
      <c r="C186" s="455" t="s">
        <v>115</v>
      </c>
      <c r="D186" s="456" t="s">
        <v>7245</v>
      </c>
      <c r="E186" s="455" t="s">
        <v>7255</v>
      </c>
      <c r="F186" s="456" t="s">
        <v>7256</v>
      </c>
      <c r="G186" s="457" t="s">
        <v>1016</v>
      </c>
      <c r="H186" s="455" t="s">
        <v>350</v>
      </c>
      <c r="I186" s="458">
        <v>13440</v>
      </c>
      <c r="J186" s="455">
        <v>0</v>
      </c>
      <c r="K186" s="455">
        <v>960</v>
      </c>
      <c r="L186" s="511">
        <f t="shared" si="79"/>
        <v>14</v>
      </c>
      <c r="M186" s="459">
        <v>46241</v>
      </c>
      <c r="N186" s="459">
        <v>46237</v>
      </c>
      <c r="O186" s="512" t="s">
        <v>7134</v>
      </c>
      <c r="P186" s="512"/>
      <c r="Q186" s="455"/>
      <c r="R186" s="443" t="s">
        <v>459</v>
      </c>
      <c r="S186" s="452" t="s">
        <v>95</v>
      </c>
      <c r="T186" s="532" t="s">
        <v>7135</v>
      </c>
      <c r="U186" s="454"/>
      <c r="V186" s="454"/>
      <c r="W186" s="454"/>
      <c r="X186" s="454" t="s">
        <v>7248</v>
      </c>
      <c r="Y186" s="459" t="s">
        <v>354</v>
      </c>
      <c r="Z186" s="456">
        <v>651.9407</v>
      </c>
      <c r="AA186" s="515">
        <f t="shared" si="80"/>
        <v>9127.1698</v>
      </c>
      <c r="AB186" s="455"/>
      <c r="AC186" s="457" t="s">
        <v>356</v>
      </c>
      <c r="AD186" s="455" t="s">
        <v>112</v>
      </c>
      <c r="AE186" s="455"/>
      <c r="AF186" s="455"/>
      <c r="AG186" s="512"/>
      <c r="AH186" s="512">
        <f t="shared" si="81"/>
        <v>-13440</v>
      </c>
      <c r="AI186" s="455"/>
      <c r="AJ186" s="455"/>
      <c r="AK186" s="456">
        <f t="shared" si="82"/>
        <v>13440</v>
      </c>
      <c r="AL186" s="456"/>
      <c r="AM186" s="456"/>
      <c r="AN186" s="456">
        <f t="shared" si="83"/>
        <v>13440</v>
      </c>
      <c r="AO186" s="456"/>
      <c r="AP186" s="517"/>
      <c r="AQ186" s="456"/>
      <c r="AR186" s="518"/>
      <c r="AS186" s="456">
        <f t="shared" si="84"/>
        <v>13440</v>
      </c>
      <c r="AT186" s="516">
        <f t="shared" si="85"/>
        <v>1612.8</v>
      </c>
      <c r="AU186" s="516"/>
      <c r="AV186" s="456"/>
      <c r="AW186" s="456"/>
      <c r="AX186" s="456"/>
      <c r="AY186" s="456"/>
      <c r="AZ186" s="456"/>
      <c r="BA186" s="456"/>
      <c r="BB186" s="456"/>
      <c r="BC186" s="456"/>
      <c r="BD186" s="456"/>
      <c r="BE186" s="456"/>
      <c r="BF186" s="456"/>
      <c r="BG186" s="456"/>
      <c r="BH186" s="456"/>
      <c r="BI186" s="456"/>
      <c r="BJ186" s="456"/>
      <c r="BK186" s="517"/>
      <c r="BL186" s="517"/>
      <c r="BM186" s="456"/>
      <c r="BN186" s="518">
        <f t="shared" si="86"/>
        <v>840</v>
      </c>
      <c r="BO186" s="518"/>
      <c r="BP186" s="456"/>
      <c r="BQ186" s="456"/>
      <c r="BR186" s="517"/>
      <c r="BS186" s="456"/>
      <c r="BT186" s="456"/>
      <c r="BU186" s="456"/>
      <c r="BV186" s="456"/>
      <c r="BW186" s="456"/>
      <c r="BX186" s="456"/>
      <c r="BY186" s="456"/>
      <c r="BZ186" s="456">
        <f t="shared" si="87"/>
        <v>840</v>
      </c>
      <c r="CA186" s="456">
        <f t="shared" si="88"/>
        <v>0</v>
      </c>
      <c r="CB186" s="456">
        <f t="shared" si="89"/>
        <v>0</v>
      </c>
      <c r="CC186" s="456">
        <f t="shared" si="90"/>
        <v>0</v>
      </c>
      <c r="CD186" s="518"/>
      <c r="CE186" s="518"/>
      <c r="CF186" s="518"/>
      <c r="CG186" s="456"/>
      <c r="CH186" s="456"/>
    </row>
    <row r="187" s="291" customFormat="1" ht="32.05" customHeight="1" spans="1:107">
      <c r="A187" s="526">
        <v>46161</v>
      </c>
      <c r="B187" s="527" t="s">
        <v>346</v>
      </c>
      <c r="C187" s="521" t="s">
        <v>115</v>
      </c>
      <c r="D187" s="520" t="s">
        <v>7245</v>
      </c>
      <c r="E187" s="521" t="s">
        <v>7257</v>
      </c>
      <c r="F187" s="520" t="s">
        <v>7258</v>
      </c>
      <c r="G187" s="519" t="s">
        <v>1016</v>
      </c>
      <c r="H187" s="521" t="s">
        <v>350</v>
      </c>
      <c r="I187" s="528">
        <v>13440</v>
      </c>
      <c r="J187" s="521">
        <v>0</v>
      </c>
      <c r="K187" s="521">
        <v>960</v>
      </c>
      <c r="L187" s="529">
        <f t="shared" si="79"/>
        <v>14</v>
      </c>
      <c r="M187" s="530">
        <v>46241</v>
      </c>
      <c r="N187" s="530">
        <v>46237</v>
      </c>
      <c r="O187" s="512" t="s">
        <v>7134</v>
      </c>
      <c r="P187" s="467"/>
      <c r="Q187" s="521"/>
      <c r="R187" s="531" t="s">
        <v>459</v>
      </c>
      <c r="S187" s="444" t="s">
        <v>95</v>
      </c>
      <c r="T187" s="532" t="s">
        <v>7135</v>
      </c>
      <c r="U187" s="436"/>
      <c r="V187" s="436"/>
      <c r="W187" s="527"/>
      <c r="X187" s="527" t="s">
        <v>7248</v>
      </c>
      <c r="Y187" s="530" t="s">
        <v>354</v>
      </c>
      <c r="Z187" s="520">
        <v>651.9407</v>
      </c>
      <c r="AA187" s="533">
        <f t="shared" si="80"/>
        <v>9127.1698</v>
      </c>
      <c r="AB187" s="521"/>
      <c r="AC187" s="439" t="s">
        <v>356</v>
      </c>
      <c r="AD187" s="521" t="s">
        <v>112</v>
      </c>
      <c r="AE187" s="521"/>
      <c r="AF187" s="521"/>
      <c r="AG187" s="467"/>
      <c r="AH187" s="442">
        <f t="shared" si="81"/>
        <v>-13440</v>
      </c>
      <c r="AI187" s="521"/>
      <c r="AJ187" s="521"/>
      <c r="AK187" s="520">
        <f t="shared" si="82"/>
        <v>13440</v>
      </c>
      <c r="AL187" s="520"/>
      <c r="AM187" s="520"/>
      <c r="AN187" s="520">
        <f t="shared" si="83"/>
        <v>13440</v>
      </c>
      <c r="AO187" s="520"/>
      <c r="AP187" s="520"/>
      <c r="AQ187" s="520"/>
      <c r="AR187" s="520"/>
      <c r="AS187" s="520">
        <f t="shared" si="84"/>
        <v>13440</v>
      </c>
      <c r="AT187" s="449">
        <f t="shared" si="85"/>
        <v>1612.8</v>
      </c>
      <c r="AU187" s="534"/>
      <c r="AV187" s="520"/>
      <c r="AW187" s="520"/>
      <c r="AX187" s="520"/>
      <c r="AY187" s="520"/>
      <c r="AZ187" s="520"/>
      <c r="BA187" s="520"/>
      <c r="BB187" s="520"/>
      <c r="BC187" s="520"/>
      <c r="BD187" s="520"/>
      <c r="BE187" s="520"/>
      <c r="BF187" s="520"/>
      <c r="BG187" s="520"/>
      <c r="BH187" s="520"/>
      <c r="BI187" s="520"/>
      <c r="BJ187" s="520"/>
      <c r="BK187" s="520"/>
      <c r="BL187" s="520"/>
      <c r="BM187" s="520"/>
      <c r="BN187" s="520">
        <f t="shared" si="86"/>
        <v>840</v>
      </c>
      <c r="BO187" s="520"/>
      <c r="BP187" s="520"/>
      <c r="BQ187" s="520"/>
      <c r="BR187" s="520"/>
      <c r="BS187" s="520"/>
      <c r="BT187" s="520"/>
      <c r="BU187" s="520"/>
      <c r="BV187" s="520"/>
      <c r="BW187" s="520"/>
      <c r="BX187" s="520"/>
      <c r="BY187" s="520"/>
      <c r="BZ187" s="438">
        <f t="shared" si="87"/>
        <v>840</v>
      </c>
      <c r="CA187" s="438">
        <f t="shared" si="88"/>
        <v>0</v>
      </c>
      <c r="CB187" s="438">
        <f t="shared" si="89"/>
        <v>0</v>
      </c>
      <c r="CC187" s="438">
        <f t="shared" si="90"/>
        <v>0</v>
      </c>
      <c r="CD187" s="520"/>
      <c r="CE187" s="520"/>
      <c r="CF187" s="520"/>
      <c r="CG187" s="520"/>
      <c r="CH187" s="520"/>
    </row>
    <row r="188" s="291" customFormat="1" ht="32.05" customHeight="1" spans="1:107">
      <c r="A188" s="435">
        <v>46161</v>
      </c>
      <c r="B188" s="436" t="s">
        <v>346</v>
      </c>
      <c r="C188" s="437" t="s">
        <v>115</v>
      </c>
      <c r="D188" s="438" t="s">
        <v>7245</v>
      </c>
      <c r="E188" s="437" t="s">
        <v>7259</v>
      </c>
      <c r="F188" s="438" t="s">
        <v>7260</v>
      </c>
      <c r="G188" s="439" t="s">
        <v>1016</v>
      </c>
      <c r="H188" s="437" t="s">
        <v>350</v>
      </c>
      <c r="I188" s="440">
        <v>3840</v>
      </c>
      <c r="J188" s="437">
        <v>0</v>
      </c>
      <c r="K188" s="437">
        <v>960</v>
      </c>
      <c r="L188" s="441">
        <f t="shared" si="79"/>
        <v>4</v>
      </c>
      <c r="M188" s="445">
        <v>46241</v>
      </c>
      <c r="N188" s="445">
        <v>46237</v>
      </c>
      <c r="O188" s="512" t="s">
        <v>7134</v>
      </c>
      <c r="P188" s="442"/>
      <c r="Q188" s="437"/>
      <c r="R188" s="451" t="s">
        <v>459</v>
      </c>
      <c r="S188" s="444" t="s">
        <v>95</v>
      </c>
      <c r="T188" s="532" t="s">
        <v>7135</v>
      </c>
      <c r="U188" s="436"/>
      <c r="V188" s="436"/>
      <c r="W188" s="436"/>
      <c r="X188" s="436" t="s">
        <v>7248</v>
      </c>
      <c r="Y188" s="445" t="s">
        <v>354</v>
      </c>
      <c r="Z188" s="438">
        <v>651.94</v>
      </c>
      <c r="AA188" s="446">
        <f t="shared" si="80"/>
        <v>2607.76</v>
      </c>
      <c r="AB188" s="437"/>
      <c r="AC188" s="439" t="s">
        <v>356</v>
      </c>
      <c r="AD188" s="437" t="s">
        <v>112</v>
      </c>
      <c r="AE188" s="437"/>
      <c r="AF188" s="437"/>
      <c r="AG188" s="442"/>
      <c r="AH188" s="442">
        <f t="shared" si="81"/>
        <v>-3840</v>
      </c>
      <c r="AI188" s="437"/>
      <c r="AJ188" s="437"/>
      <c r="AK188" s="438">
        <f t="shared" si="82"/>
        <v>3840</v>
      </c>
      <c r="AL188" s="438"/>
      <c r="AM188" s="438"/>
      <c r="AN188" s="438">
        <f t="shared" si="83"/>
        <v>3840</v>
      </c>
      <c r="AO188" s="438"/>
      <c r="AP188" s="447"/>
      <c r="AQ188" s="438"/>
      <c r="AR188" s="448"/>
      <c r="AS188" s="438">
        <f t="shared" si="84"/>
        <v>3840</v>
      </c>
      <c r="AT188" s="449">
        <f t="shared" si="85"/>
        <v>460.8</v>
      </c>
      <c r="AU188" s="449"/>
      <c r="AV188" s="438"/>
      <c r="AW188" s="438"/>
      <c r="AX188" s="438"/>
      <c r="AY188" s="438"/>
      <c r="AZ188" s="438"/>
      <c r="BA188" s="438"/>
      <c r="BB188" s="438"/>
      <c r="BC188" s="438"/>
      <c r="BD188" s="438"/>
      <c r="BE188" s="438"/>
      <c r="BF188" s="438"/>
      <c r="BG188" s="438"/>
      <c r="BH188" s="438"/>
      <c r="BI188" s="438"/>
      <c r="BJ188" s="438"/>
      <c r="BK188" s="447"/>
      <c r="BL188" s="447"/>
      <c r="BM188" s="438"/>
      <c r="BN188" s="448">
        <f t="shared" si="86"/>
        <v>240</v>
      </c>
      <c r="BO188" s="448"/>
      <c r="BP188" s="438"/>
      <c r="BQ188" s="438"/>
      <c r="BR188" s="447"/>
      <c r="BS188" s="438"/>
      <c r="BT188" s="438"/>
      <c r="BU188" s="438"/>
      <c r="BV188" s="438"/>
      <c r="BW188" s="438"/>
      <c r="BX188" s="438"/>
      <c r="BY188" s="438"/>
      <c r="BZ188" s="438">
        <f t="shared" si="87"/>
        <v>240</v>
      </c>
      <c r="CA188" s="438">
        <f t="shared" si="88"/>
        <v>0</v>
      </c>
      <c r="CB188" s="438">
        <f t="shared" si="89"/>
        <v>0</v>
      </c>
      <c r="CC188" s="438">
        <f t="shared" si="90"/>
        <v>0</v>
      </c>
      <c r="CD188" s="448"/>
      <c r="CE188" s="448"/>
      <c r="CF188" s="448"/>
      <c r="CG188" s="438"/>
      <c r="CH188" s="438"/>
    </row>
    <row r="189" s="286" customFormat="1" ht="32.05" customHeight="1" spans="1:107">
      <c r="A189" s="435">
        <v>46161</v>
      </c>
      <c r="B189" s="436" t="s">
        <v>346</v>
      </c>
      <c r="C189" s="437" t="s">
        <v>115</v>
      </c>
      <c r="D189" s="438" t="s">
        <v>7245</v>
      </c>
      <c r="E189" s="437" t="s">
        <v>7261</v>
      </c>
      <c r="F189" s="438" t="s">
        <v>7262</v>
      </c>
      <c r="G189" s="439" t="s">
        <v>1016</v>
      </c>
      <c r="H189" s="437" t="s">
        <v>350</v>
      </c>
      <c r="I189" s="440">
        <v>9600</v>
      </c>
      <c r="J189" s="437">
        <v>0</v>
      </c>
      <c r="K189" s="437">
        <v>960</v>
      </c>
      <c r="L189" s="441">
        <f t="shared" si="79"/>
        <v>10</v>
      </c>
      <c r="M189" s="445">
        <v>46241</v>
      </c>
      <c r="N189" s="445">
        <v>46237</v>
      </c>
      <c r="O189" s="512" t="s">
        <v>7134</v>
      </c>
      <c r="P189" s="442"/>
      <c r="Q189" s="437"/>
      <c r="R189" s="443" t="s">
        <v>459</v>
      </c>
      <c r="S189" s="444" t="s">
        <v>95</v>
      </c>
      <c r="T189" s="532" t="s">
        <v>7135</v>
      </c>
      <c r="U189" s="436"/>
      <c r="V189" s="436"/>
      <c r="W189" s="436"/>
      <c r="X189" s="436" t="s">
        <v>7248</v>
      </c>
      <c r="Y189" s="445" t="s">
        <v>354</v>
      </c>
      <c r="Z189" s="438">
        <v>648.83</v>
      </c>
      <c r="AA189" s="446">
        <f t="shared" si="80"/>
        <v>6488.3</v>
      </c>
      <c r="AB189" s="437"/>
      <c r="AC189" s="439" t="s">
        <v>356</v>
      </c>
      <c r="AD189" s="437" t="s">
        <v>112</v>
      </c>
      <c r="AE189" s="437"/>
      <c r="AF189" s="437"/>
      <c r="AG189" s="442"/>
      <c r="AH189" s="442">
        <f t="shared" si="81"/>
        <v>-9600</v>
      </c>
      <c r="AI189" s="437"/>
      <c r="AJ189" s="437"/>
      <c r="AK189" s="438">
        <f t="shared" si="82"/>
        <v>9600</v>
      </c>
      <c r="AL189" s="438"/>
      <c r="AM189" s="438"/>
      <c r="AN189" s="438">
        <f t="shared" si="83"/>
        <v>9600</v>
      </c>
      <c r="AO189" s="438"/>
      <c r="AP189" s="447"/>
      <c r="AQ189" s="438"/>
      <c r="AR189" s="448"/>
      <c r="AS189" s="438">
        <f t="shared" si="84"/>
        <v>9600</v>
      </c>
      <c r="AT189" s="449">
        <f t="shared" si="85"/>
        <v>1152</v>
      </c>
      <c r="AU189" s="449"/>
      <c r="AV189" s="438"/>
      <c r="AW189" s="438"/>
      <c r="AX189" s="438"/>
      <c r="AY189" s="438"/>
      <c r="AZ189" s="438"/>
      <c r="BA189" s="438"/>
      <c r="BB189" s="438"/>
      <c r="BC189" s="438"/>
      <c r="BD189" s="438"/>
      <c r="BE189" s="438"/>
      <c r="BF189" s="438"/>
      <c r="BG189" s="438"/>
      <c r="BH189" s="438"/>
      <c r="BI189" s="438"/>
      <c r="BJ189" s="438"/>
      <c r="BK189" s="447"/>
      <c r="BL189" s="447"/>
      <c r="BM189" s="438"/>
      <c r="BN189" s="448">
        <f t="shared" si="86"/>
        <v>600</v>
      </c>
      <c r="BO189" s="448"/>
      <c r="BP189" s="438"/>
      <c r="BQ189" s="438"/>
      <c r="BR189" s="447"/>
      <c r="BS189" s="438"/>
      <c r="BT189" s="438"/>
      <c r="BU189" s="438"/>
      <c r="BV189" s="438"/>
      <c r="BW189" s="438"/>
      <c r="BX189" s="438"/>
      <c r="BY189" s="438"/>
      <c r="BZ189" s="438">
        <f t="shared" si="87"/>
        <v>600</v>
      </c>
      <c r="CA189" s="438">
        <f t="shared" si="88"/>
        <v>0</v>
      </c>
      <c r="CB189" s="438">
        <f t="shared" si="89"/>
        <v>0</v>
      </c>
      <c r="CC189" s="438">
        <f t="shared" si="90"/>
        <v>0</v>
      </c>
      <c r="CD189" s="448"/>
      <c r="CE189" s="448"/>
      <c r="CF189" s="448"/>
      <c r="CG189" s="438"/>
      <c r="CH189" s="438"/>
      <c r="CI189" s="291"/>
      <c r="CJ189" s="291"/>
      <c r="CK189" s="291"/>
      <c r="CL189" s="291"/>
      <c r="CM189" s="291"/>
      <c r="CN189" s="291"/>
      <c r="CO189" s="291"/>
      <c r="CP189" s="291"/>
      <c r="CQ189" s="291"/>
      <c r="CR189" s="291"/>
      <c r="CS189" s="291"/>
      <c r="CT189" s="291"/>
      <c r="CU189" s="291"/>
      <c r="CV189" s="291"/>
      <c r="CW189" s="291"/>
      <c r="CX189" s="291"/>
      <c r="CY189" s="291"/>
      <c r="CZ189" s="291"/>
      <c r="DA189" s="291"/>
      <c r="DB189" s="291"/>
      <c r="DC189" s="291"/>
    </row>
    <row r="190" s="286" customFormat="1" ht="32.05" customHeight="1" spans="1:107">
      <c r="A190" s="435">
        <v>46161</v>
      </c>
      <c r="B190" s="436" t="s">
        <v>346</v>
      </c>
      <c r="C190" s="437" t="s">
        <v>115</v>
      </c>
      <c r="D190" s="438" t="s">
        <v>7245</v>
      </c>
      <c r="E190" s="437" t="s">
        <v>7263</v>
      </c>
      <c r="F190" s="438" t="s">
        <v>7264</v>
      </c>
      <c r="G190" s="439" t="s">
        <v>1016</v>
      </c>
      <c r="H190" s="437" t="s">
        <v>350</v>
      </c>
      <c r="I190" s="440">
        <v>6720</v>
      </c>
      <c r="J190" s="437">
        <v>0</v>
      </c>
      <c r="K190" s="437">
        <v>960</v>
      </c>
      <c r="L190" s="441">
        <f t="shared" si="79"/>
        <v>7</v>
      </c>
      <c r="M190" s="445">
        <v>46241</v>
      </c>
      <c r="N190" s="445">
        <v>46237</v>
      </c>
      <c r="O190" s="512" t="s">
        <v>7134</v>
      </c>
      <c r="P190" s="442"/>
      <c r="Q190" s="437"/>
      <c r="R190" s="443" t="s">
        <v>459</v>
      </c>
      <c r="S190" s="452" t="s">
        <v>95</v>
      </c>
      <c r="T190" s="452" t="s">
        <v>7135</v>
      </c>
      <c r="U190" s="436"/>
      <c r="V190" s="436"/>
      <c r="W190" s="436"/>
      <c r="X190" s="436" t="s">
        <v>7248</v>
      </c>
      <c r="Y190" s="445" t="s">
        <v>354</v>
      </c>
      <c r="Z190" s="438">
        <v>648.83</v>
      </c>
      <c r="AA190" s="446">
        <f t="shared" si="80"/>
        <v>4541.81</v>
      </c>
      <c r="AB190" s="437"/>
      <c r="AC190" s="439" t="s">
        <v>356</v>
      </c>
      <c r="AD190" s="437" t="s">
        <v>112</v>
      </c>
      <c r="AE190" s="437"/>
      <c r="AF190" s="437"/>
      <c r="AG190" s="442"/>
      <c r="AH190" s="442">
        <f t="shared" si="81"/>
        <v>-6720</v>
      </c>
      <c r="AI190" s="437"/>
      <c r="AJ190" s="437"/>
      <c r="AK190" s="438">
        <f t="shared" si="82"/>
        <v>6720</v>
      </c>
      <c r="AL190" s="438"/>
      <c r="AM190" s="438"/>
      <c r="AN190" s="438">
        <f t="shared" si="83"/>
        <v>6720</v>
      </c>
      <c r="AO190" s="438"/>
      <c r="AP190" s="447"/>
      <c r="AQ190" s="438"/>
      <c r="AR190" s="448"/>
      <c r="AS190" s="438">
        <f t="shared" si="84"/>
        <v>6720</v>
      </c>
      <c r="AT190" s="449">
        <f t="shared" si="85"/>
        <v>806.4</v>
      </c>
      <c r="AU190" s="449"/>
      <c r="AV190" s="438"/>
      <c r="AW190" s="438"/>
      <c r="AX190" s="438"/>
      <c r="AY190" s="438"/>
      <c r="AZ190" s="438"/>
      <c r="BA190" s="438"/>
      <c r="BB190" s="438"/>
      <c r="BC190" s="438"/>
      <c r="BD190" s="438"/>
      <c r="BE190" s="438"/>
      <c r="BF190" s="438"/>
      <c r="BG190" s="438"/>
      <c r="BH190" s="438"/>
      <c r="BI190" s="438"/>
      <c r="BJ190" s="438"/>
      <c r="BK190" s="447"/>
      <c r="BL190" s="447"/>
      <c r="BM190" s="438"/>
      <c r="BN190" s="448">
        <f t="shared" si="86"/>
        <v>420</v>
      </c>
      <c r="BO190" s="448"/>
      <c r="BP190" s="438"/>
      <c r="BQ190" s="438"/>
      <c r="BR190" s="447"/>
      <c r="BS190" s="438"/>
      <c r="BT190" s="438"/>
      <c r="BU190" s="438"/>
      <c r="BV190" s="438"/>
      <c r="BW190" s="438"/>
      <c r="BX190" s="438"/>
      <c r="BY190" s="438"/>
      <c r="BZ190" s="438">
        <f t="shared" si="87"/>
        <v>420</v>
      </c>
      <c r="CA190" s="438">
        <f t="shared" si="88"/>
        <v>0</v>
      </c>
      <c r="CB190" s="438">
        <f t="shared" si="89"/>
        <v>0</v>
      </c>
      <c r="CC190" s="438">
        <f t="shared" si="90"/>
        <v>0</v>
      </c>
      <c r="CD190" s="448"/>
      <c r="CE190" s="448"/>
      <c r="CF190" s="448"/>
      <c r="CG190" s="438"/>
      <c r="CH190" s="438"/>
      <c r="CI190" s="291"/>
      <c r="CJ190" s="291"/>
      <c r="CK190" s="291"/>
      <c r="CL190" s="291"/>
      <c r="CM190" s="291"/>
      <c r="CN190" s="291"/>
      <c r="CO190" s="291"/>
      <c r="CP190" s="291"/>
      <c r="CQ190" s="291"/>
      <c r="CR190" s="291"/>
      <c r="CS190" s="291"/>
      <c r="CT190" s="291"/>
      <c r="CU190" s="291"/>
      <c r="CV190" s="291"/>
      <c r="CW190" s="291"/>
      <c r="CX190" s="291"/>
      <c r="CY190" s="291"/>
      <c r="CZ190" s="291"/>
      <c r="DA190" s="291"/>
      <c r="DB190" s="291"/>
      <c r="DC190" s="291"/>
    </row>
    <row r="191" s="286" customFormat="1" ht="32.05" customHeight="1" spans="1:107">
      <c r="A191" s="435">
        <v>46161</v>
      </c>
      <c r="B191" s="454" t="s">
        <v>346</v>
      </c>
      <c r="C191" s="455" t="s">
        <v>115</v>
      </c>
      <c r="D191" s="456" t="s">
        <v>7245</v>
      </c>
      <c r="E191" s="455" t="s">
        <v>7265</v>
      </c>
      <c r="F191" s="456" t="s">
        <v>7266</v>
      </c>
      <c r="G191" s="457" t="s">
        <v>1016</v>
      </c>
      <c r="H191" s="455" t="s">
        <v>350</v>
      </c>
      <c r="I191" s="458">
        <v>5760</v>
      </c>
      <c r="J191" s="455">
        <v>0</v>
      </c>
      <c r="K191" s="455">
        <v>960</v>
      </c>
      <c r="L191" s="441">
        <f t="shared" si="79"/>
        <v>6</v>
      </c>
      <c r="M191" s="459">
        <v>46241</v>
      </c>
      <c r="N191" s="459">
        <v>46237</v>
      </c>
      <c r="O191" s="512" t="s">
        <v>7134</v>
      </c>
      <c r="P191" s="442"/>
      <c r="Q191" s="437"/>
      <c r="R191" s="451" t="s">
        <v>459</v>
      </c>
      <c r="S191" s="444" t="s">
        <v>95</v>
      </c>
      <c r="T191" s="444" t="s">
        <v>7135</v>
      </c>
      <c r="U191" s="436"/>
      <c r="V191" s="436"/>
      <c r="W191" s="436"/>
      <c r="X191" s="454" t="s">
        <v>7248</v>
      </c>
      <c r="Y191" s="459" t="s">
        <v>354</v>
      </c>
      <c r="Z191" s="438">
        <v>655.1083</v>
      </c>
      <c r="AA191" s="446">
        <f t="shared" si="80"/>
        <v>3930.6498</v>
      </c>
      <c r="AB191" s="437"/>
      <c r="AC191" s="439" t="s">
        <v>356</v>
      </c>
      <c r="AD191" s="437" t="s">
        <v>112</v>
      </c>
      <c r="AE191" s="437"/>
      <c r="AF191" s="437"/>
      <c r="AG191" s="442"/>
      <c r="AH191" s="442">
        <f t="shared" si="81"/>
        <v>-5760</v>
      </c>
      <c r="AI191" s="437"/>
      <c r="AJ191" s="437"/>
      <c r="AK191" s="438">
        <f t="shared" si="82"/>
        <v>5760</v>
      </c>
      <c r="AL191" s="438"/>
      <c r="AM191" s="438"/>
      <c r="AN191" s="438">
        <f t="shared" si="83"/>
        <v>5760</v>
      </c>
      <c r="AO191" s="438"/>
      <c r="AP191" s="447"/>
      <c r="AQ191" s="438"/>
      <c r="AR191" s="448"/>
      <c r="AS191" s="438">
        <f t="shared" si="84"/>
        <v>5760</v>
      </c>
      <c r="AT191" s="449">
        <f t="shared" si="85"/>
        <v>691.2</v>
      </c>
      <c r="AU191" s="449"/>
      <c r="AV191" s="438"/>
      <c r="AW191" s="438"/>
      <c r="AX191" s="438"/>
      <c r="AY191" s="438"/>
      <c r="AZ191" s="438"/>
      <c r="BA191" s="438"/>
      <c r="BB191" s="438"/>
      <c r="BC191" s="438"/>
      <c r="BD191" s="438"/>
      <c r="BE191" s="438"/>
      <c r="BF191" s="438"/>
      <c r="BG191" s="438"/>
      <c r="BH191" s="438"/>
      <c r="BI191" s="438"/>
      <c r="BJ191" s="438"/>
      <c r="BK191" s="447"/>
      <c r="BL191" s="447"/>
      <c r="BM191" s="438"/>
      <c r="BN191" s="448">
        <f t="shared" si="86"/>
        <v>360</v>
      </c>
      <c r="BO191" s="448"/>
      <c r="BP191" s="438"/>
      <c r="BQ191" s="438"/>
      <c r="BR191" s="447"/>
      <c r="BS191" s="438"/>
      <c r="BT191" s="438"/>
      <c r="BU191" s="438"/>
      <c r="BV191" s="438"/>
      <c r="BW191" s="438"/>
      <c r="BX191" s="438"/>
      <c r="BY191" s="438"/>
      <c r="BZ191" s="438">
        <f t="shared" si="87"/>
        <v>360</v>
      </c>
      <c r="CA191" s="438">
        <f t="shared" si="88"/>
        <v>0</v>
      </c>
      <c r="CB191" s="438">
        <f t="shared" si="89"/>
        <v>0</v>
      </c>
      <c r="CC191" s="438">
        <f t="shared" si="90"/>
        <v>0</v>
      </c>
      <c r="CD191" s="448"/>
      <c r="CE191" s="448"/>
      <c r="CF191" s="448"/>
      <c r="CG191" s="438"/>
      <c r="CH191" s="438"/>
      <c r="CI191" s="291"/>
      <c r="CJ191" s="291"/>
      <c r="CK191" s="291"/>
      <c r="CL191" s="291"/>
      <c r="CM191" s="291"/>
      <c r="CN191" s="291"/>
      <c r="CO191" s="291"/>
      <c r="CP191" s="291"/>
      <c r="CQ191" s="291"/>
      <c r="CR191" s="291"/>
      <c r="CS191" s="291"/>
      <c r="CT191" s="291"/>
      <c r="CU191" s="291"/>
      <c r="CV191" s="291"/>
      <c r="CW191" s="291"/>
      <c r="CX191" s="291"/>
      <c r="CY191" s="291"/>
      <c r="CZ191" s="291"/>
      <c r="DA191" s="291"/>
      <c r="DB191" s="291"/>
      <c r="DC191" s="291"/>
    </row>
    <row r="192" s="286" customFormat="1" ht="32.05" customHeight="1" spans="1:107">
      <c r="A192" s="435">
        <v>46161</v>
      </c>
      <c r="B192" s="436" t="s">
        <v>346</v>
      </c>
      <c r="C192" s="437" t="s">
        <v>115</v>
      </c>
      <c r="D192" s="438" t="s">
        <v>7245</v>
      </c>
      <c r="E192" s="437" t="s">
        <v>7267</v>
      </c>
      <c r="F192" s="438" t="s">
        <v>7268</v>
      </c>
      <c r="G192" s="439" t="s">
        <v>1016</v>
      </c>
      <c r="H192" s="437" t="s">
        <v>350</v>
      </c>
      <c r="I192" s="440">
        <v>21120</v>
      </c>
      <c r="J192" s="437">
        <v>0</v>
      </c>
      <c r="K192" s="437">
        <v>960</v>
      </c>
      <c r="L192" s="441">
        <f t="shared" si="79"/>
        <v>22</v>
      </c>
      <c r="M192" s="445">
        <v>46248</v>
      </c>
      <c r="N192" s="445">
        <v>46244</v>
      </c>
      <c r="O192" s="512" t="s">
        <v>7134</v>
      </c>
      <c r="P192" s="442"/>
      <c r="Q192" s="437"/>
      <c r="R192" s="443" t="s">
        <v>459</v>
      </c>
      <c r="S192" s="452" t="s">
        <v>95</v>
      </c>
      <c r="T192" s="452" t="s">
        <v>7135</v>
      </c>
      <c r="U192" s="436"/>
      <c r="V192" s="436"/>
      <c r="W192" s="436"/>
      <c r="X192" s="436" t="s">
        <v>7248</v>
      </c>
      <c r="Y192" s="445" t="s">
        <v>354</v>
      </c>
      <c r="Z192" s="438">
        <v>648.8305</v>
      </c>
      <c r="AA192" s="446">
        <f t="shared" si="80"/>
        <v>14274.271</v>
      </c>
      <c r="AB192" s="437"/>
      <c r="AC192" s="439" t="s">
        <v>356</v>
      </c>
      <c r="AD192" s="437" t="s">
        <v>112</v>
      </c>
      <c r="AE192" s="437"/>
      <c r="AF192" s="437"/>
      <c r="AG192" s="442"/>
      <c r="AH192" s="442">
        <f t="shared" si="81"/>
        <v>-21120</v>
      </c>
      <c r="AI192" s="437"/>
      <c r="AJ192" s="437"/>
      <c r="AK192" s="438">
        <f t="shared" si="82"/>
        <v>21120</v>
      </c>
      <c r="AL192" s="438"/>
      <c r="AM192" s="438"/>
      <c r="AN192" s="438">
        <f t="shared" si="83"/>
        <v>21120</v>
      </c>
      <c r="AO192" s="438"/>
      <c r="AP192" s="447"/>
      <c r="AQ192" s="438"/>
      <c r="AR192" s="448"/>
      <c r="AS192" s="438">
        <f t="shared" si="84"/>
        <v>21120</v>
      </c>
      <c r="AT192" s="449">
        <f t="shared" si="85"/>
        <v>2534.4</v>
      </c>
      <c r="AU192" s="449"/>
      <c r="AV192" s="438"/>
      <c r="AW192" s="438"/>
      <c r="AX192" s="438"/>
      <c r="AY192" s="438"/>
      <c r="AZ192" s="438"/>
      <c r="BA192" s="438"/>
      <c r="BB192" s="438"/>
      <c r="BC192" s="438"/>
      <c r="BD192" s="438"/>
      <c r="BE192" s="438"/>
      <c r="BF192" s="438"/>
      <c r="BG192" s="438"/>
      <c r="BH192" s="438"/>
      <c r="BI192" s="438"/>
      <c r="BJ192" s="438"/>
      <c r="BK192" s="447"/>
      <c r="BL192" s="447"/>
      <c r="BM192" s="438"/>
      <c r="BN192" s="448">
        <f t="shared" si="86"/>
        <v>1320</v>
      </c>
      <c r="BO192" s="448"/>
      <c r="BP192" s="438"/>
      <c r="BQ192" s="438"/>
      <c r="BR192" s="447"/>
      <c r="BS192" s="438"/>
      <c r="BT192" s="438"/>
      <c r="BU192" s="438"/>
      <c r="BV192" s="438"/>
      <c r="BW192" s="438"/>
      <c r="BX192" s="438"/>
      <c r="BY192" s="438"/>
      <c r="BZ192" s="438">
        <f t="shared" si="87"/>
        <v>1320</v>
      </c>
      <c r="CA192" s="438">
        <f t="shared" si="88"/>
        <v>0</v>
      </c>
      <c r="CB192" s="438">
        <f t="shared" si="89"/>
        <v>0</v>
      </c>
      <c r="CC192" s="438">
        <f t="shared" si="90"/>
        <v>0</v>
      </c>
      <c r="CD192" s="448"/>
      <c r="CE192" s="448"/>
      <c r="CF192" s="448"/>
      <c r="CG192" s="438"/>
      <c r="CH192" s="438"/>
      <c r="CI192" s="291"/>
      <c r="CJ192" s="291"/>
      <c r="CK192" s="291"/>
      <c r="CL192" s="291"/>
      <c r="CM192" s="291"/>
      <c r="CN192" s="291"/>
      <c r="CO192" s="291"/>
      <c r="CP192" s="291"/>
      <c r="CQ192" s="291"/>
      <c r="CR192" s="291"/>
      <c r="CS192" s="291"/>
      <c r="CT192" s="291"/>
      <c r="CU192" s="291"/>
      <c r="CV192" s="291"/>
      <c r="CW192" s="291"/>
      <c r="CX192" s="291"/>
      <c r="CY192" s="291"/>
      <c r="CZ192" s="291"/>
      <c r="DA192" s="291"/>
      <c r="DB192" s="291"/>
      <c r="DC192" s="291"/>
    </row>
    <row r="193" s="286" customFormat="1" ht="32.05" customHeight="1" spans="1:108">
      <c r="A193" s="435">
        <v>46161</v>
      </c>
      <c r="B193" s="436" t="s">
        <v>346</v>
      </c>
      <c r="C193" s="437" t="s">
        <v>115</v>
      </c>
      <c r="D193" s="438" t="s">
        <v>7245</v>
      </c>
      <c r="E193" s="437" t="s">
        <v>7269</v>
      </c>
      <c r="F193" s="438" t="s">
        <v>7270</v>
      </c>
      <c r="G193" s="439" t="s">
        <v>1016</v>
      </c>
      <c r="H193" s="437" t="s">
        <v>350</v>
      </c>
      <c r="I193" s="440">
        <v>19200</v>
      </c>
      <c r="J193" s="437">
        <v>0</v>
      </c>
      <c r="K193" s="437">
        <v>960</v>
      </c>
      <c r="L193" s="441">
        <f t="shared" si="79"/>
        <v>20</v>
      </c>
      <c r="M193" s="445">
        <v>46248</v>
      </c>
      <c r="N193" s="445">
        <v>46244</v>
      </c>
      <c r="O193" s="512" t="s">
        <v>7134</v>
      </c>
      <c r="P193" s="442"/>
      <c r="Q193" s="437"/>
      <c r="R193" s="443" t="s">
        <v>459</v>
      </c>
      <c r="S193" s="452" t="s">
        <v>95</v>
      </c>
      <c r="T193" s="452" t="s">
        <v>7135</v>
      </c>
      <c r="U193" s="436"/>
      <c r="V193" s="436"/>
      <c r="W193" s="436"/>
      <c r="X193" s="436" t="s">
        <v>7248</v>
      </c>
      <c r="Y193" s="445" t="s">
        <v>354</v>
      </c>
      <c r="Z193" s="438">
        <v>651.941</v>
      </c>
      <c r="AA193" s="446">
        <f t="shared" si="80"/>
        <v>13038.82</v>
      </c>
      <c r="AB193" s="437"/>
      <c r="AC193" s="439" t="s">
        <v>356</v>
      </c>
      <c r="AD193" s="437" t="s">
        <v>112</v>
      </c>
      <c r="AE193" s="437"/>
      <c r="AF193" s="437"/>
      <c r="AG193" s="442"/>
      <c r="AH193" s="442">
        <f t="shared" si="81"/>
        <v>-19200</v>
      </c>
      <c r="AI193" s="437"/>
      <c r="AJ193" s="437"/>
      <c r="AK193" s="438">
        <f t="shared" si="82"/>
        <v>19200</v>
      </c>
      <c r="AL193" s="438"/>
      <c r="AM193" s="438"/>
      <c r="AN193" s="438">
        <f t="shared" si="83"/>
        <v>19200</v>
      </c>
      <c r="AO193" s="438"/>
      <c r="AP193" s="447"/>
      <c r="AQ193" s="438"/>
      <c r="AR193" s="448"/>
      <c r="AS193" s="438">
        <f t="shared" si="84"/>
        <v>19200</v>
      </c>
      <c r="AT193" s="449">
        <f t="shared" si="85"/>
        <v>2304</v>
      </c>
      <c r="AU193" s="449"/>
      <c r="AV193" s="438"/>
      <c r="AW193" s="438"/>
      <c r="AX193" s="438"/>
      <c r="AY193" s="438"/>
      <c r="AZ193" s="438"/>
      <c r="BA193" s="438"/>
      <c r="BB193" s="438"/>
      <c r="BC193" s="438"/>
      <c r="BD193" s="438"/>
      <c r="BE193" s="438"/>
      <c r="BF193" s="438"/>
      <c r="BG193" s="438"/>
      <c r="BH193" s="438"/>
      <c r="BI193" s="438"/>
      <c r="BJ193" s="438"/>
      <c r="BK193" s="447"/>
      <c r="BL193" s="447"/>
      <c r="BM193" s="438"/>
      <c r="BN193" s="448">
        <f t="shared" si="86"/>
        <v>1200</v>
      </c>
      <c r="BO193" s="448"/>
      <c r="BP193" s="438"/>
      <c r="BQ193" s="438"/>
      <c r="BR193" s="447"/>
      <c r="BS193" s="438"/>
      <c r="BT193" s="438"/>
      <c r="BU193" s="438"/>
      <c r="BV193" s="438"/>
      <c r="BW193" s="438"/>
      <c r="BX193" s="438"/>
      <c r="BY193" s="438"/>
      <c r="BZ193" s="438">
        <f t="shared" si="87"/>
        <v>1200</v>
      </c>
      <c r="CA193" s="438">
        <f t="shared" si="88"/>
        <v>0</v>
      </c>
      <c r="CB193" s="438">
        <f t="shared" si="89"/>
        <v>0</v>
      </c>
      <c r="CC193" s="438">
        <f t="shared" si="90"/>
        <v>0</v>
      </c>
      <c r="CD193" s="448"/>
      <c r="CE193" s="448"/>
      <c r="CF193" s="448"/>
      <c r="CG193" s="438"/>
      <c r="CH193" s="438"/>
      <c r="CI193" s="291"/>
      <c r="CJ193" s="291"/>
      <c r="CK193" s="291"/>
      <c r="CL193" s="291"/>
      <c r="CM193" s="291"/>
      <c r="CN193" s="291"/>
      <c r="CO193" s="291"/>
      <c r="CP193" s="291"/>
      <c r="CQ193" s="291"/>
      <c r="CR193" s="291"/>
      <c r="CS193" s="291"/>
      <c r="CT193" s="291"/>
      <c r="CU193" s="291"/>
      <c r="CV193" s="291"/>
      <c r="CW193" s="291"/>
      <c r="CX193" s="291"/>
      <c r="CY193" s="291"/>
      <c r="CZ193" s="291"/>
      <c r="DA193" s="291"/>
      <c r="DB193" s="291"/>
      <c r="DC193" s="291"/>
    </row>
    <row r="194" s="286" customFormat="1" ht="32.05" customHeight="1" spans="1:108">
      <c r="A194" s="526">
        <v>46161</v>
      </c>
      <c r="B194" s="527" t="s">
        <v>346</v>
      </c>
      <c r="C194" s="521" t="s">
        <v>115</v>
      </c>
      <c r="D194" s="520" t="s">
        <v>7245</v>
      </c>
      <c r="E194" s="521" t="s">
        <v>7271</v>
      </c>
      <c r="F194" s="520" t="s">
        <v>7272</v>
      </c>
      <c r="G194" s="519" t="s">
        <v>1016</v>
      </c>
      <c r="H194" s="521" t="s">
        <v>350</v>
      </c>
      <c r="I194" s="528">
        <v>18240</v>
      </c>
      <c r="J194" s="521">
        <v>0</v>
      </c>
      <c r="K194" s="521">
        <v>960</v>
      </c>
      <c r="L194" s="529">
        <f t="shared" si="79"/>
        <v>19</v>
      </c>
      <c r="M194" s="530">
        <v>46248</v>
      </c>
      <c r="N194" s="530">
        <v>46244</v>
      </c>
      <c r="O194" s="512" t="s">
        <v>7134</v>
      </c>
      <c r="P194" s="467"/>
      <c r="Q194" s="521"/>
      <c r="R194" s="443" t="s">
        <v>459</v>
      </c>
      <c r="S194" s="452" t="s">
        <v>95</v>
      </c>
      <c r="T194" s="452" t="s">
        <v>7135</v>
      </c>
      <c r="U194" s="527"/>
      <c r="V194" s="527"/>
      <c r="W194" s="527"/>
      <c r="X194" s="527" t="s">
        <v>7248</v>
      </c>
      <c r="Y194" s="530" t="s">
        <v>354</v>
      </c>
      <c r="Z194" s="520">
        <v>648.8305</v>
      </c>
      <c r="AA194" s="533">
        <f t="shared" si="80"/>
        <v>12327.7795</v>
      </c>
      <c r="AB194" s="521"/>
      <c r="AC194" s="519" t="s">
        <v>356</v>
      </c>
      <c r="AD194" s="437" t="s">
        <v>112</v>
      </c>
      <c r="AE194" s="521"/>
      <c r="AF194" s="521"/>
      <c r="AG194" s="467"/>
      <c r="AH194" s="442">
        <f t="shared" si="81"/>
        <v>-18240</v>
      </c>
      <c r="AI194" s="521"/>
      <c r="AJ194" s="521"/>
      <c r="AK194" s="520">
        <f t="shared" si="82"/>
        <v>18240</v>
      </c>
      <c r="AL194" s="520"/>
      <c r="AM194" s="520"/>
      <c r="AN194" s="438">
        <f t="shared" si="83"/>
        <v>18240</v>
      </c>
      <c r="AO194" s="520"/>
      <c r="AP194" s="520"/>
      <c r="AQ194" s="520"/>
      <c r="AR194" s="520"/>
      <c r="AS194" s="438">
        <f t="shared" si="84"/>
        <v>18240</v>
      </c>
      <c r="AT194" s="449">
        <f t="shared" si="85"/>
        <v>2188.8</v>
      </c>
      <c r="AU194" s="534"/>
      <c r="AV194" s="520"/>
      <c r="AW194" s="520"/>
      <c r="AX194" s="520"/>
      <c r="AY194" s="520"/>
      <c r="AZ194" s="520"/>
      <c r="BA194" s="520"/>
      <c r="BB194" s="520"/>
      <c r="BC194" s="520"/>
      <c r="BD194" s="520"/>
      <c r="BE194" s="520"/>
      <c r="BF194" s="520"/>
      <c r="BG194" s="520"/>
      <c r="BH194" s="520"/>
      <c r="BI194" s="520"/>
      <c r="BJ194" s="520"/>
      <c r="BK194" s="520"/>
      <c r="BL194" s="520"/>
      <c r="BM194" s="520"/>
      <c r="BN194" s="520">
        <f t="shared" si="86"/>
        <v>1140</v>
      </c>
      <c r="BO194" s="520"/>
      <c r="BP194" s="520"/>
      <c r="BQ194" s="438"/>
      <c r="BR194" s="520"/>
      <c r="BS194" s="520"/>
      <c r="BT194" s="520"/>
      <c r="BU194" s="520"/>
      <c r="BV194" s="520"/>
      <c r="BW194" s="520"/>
      <c r="BX194" s="520"/>
      <c r="BY194" s="520"/>
      <c r="BZ194" s="438">
        <f t="shared" si="87"/>
        <v>1140</v>
      </c>
      <c r="CA194" s="438">
        <f t="shared" si="88"/>
        <v>0</v>
      </c>
      <c r="CB194" s="438">
        <f t="shared" si="89"/>
        <v>0</v>
      </c>
      <c r="CC194" s="438">
        <f t="shared" si="90"/>
        <v>0</v>
      </c>
      <c r="CD194" s="438"/>
      <c r="CE194" s="438"/>
      <c r="CF194" s="520"/>
      <c r="CG194" s="520"/>
      <c r="CH194" s="520"/>
      <c r="CI194" s="291"/>
      <c r="CJ194" s="291"/>
      <c r="CK194" s="291"/>
      <c r="CL194" s="291"/>
      <c r="CM194" s="291"/>
      <c r="CN194" s="291"/>
      <c r="CO194" s="291"/>
      <c r="CP194" s="291"/>
      <c r="CQ194" s="291"/>
      <c r="CR194" s="291"/>
      <c r="CS194" s="291"/>
      <c r="CT194" s="291"/>
      <c r="CU194" s="291"/>
      <c r="CV194" s="291"/>
      <c r="CW194" s="291"/>
      <c r="CX194" s="291"/>
      <c r="CY194" s="291"/>
      <c r="CZ194" s="291"/>
      <c r="DA194" s="291"/>
      <c r="DB194" s="291"/>
      <c r="DC194" s="291"/>
    </row>
    <row r="195" s="291" customFormat="1" ht="32.05" customHeight="1" spans="1:108">
      <c r="A195" s="526">
        <v>46161</v>
      </c>
      <c r="B195" s="527" t="s">
        <v>346</v>
      </c>
      <c r="C195" s="521" t="s">
        <v>115</v>
      </c>
      <c r="D195" s="520" t="s">
        <v>7245</v>
      </c>
      <c r="E195" s="521" t="s">
        <v>7273</v>
      </c>
      <c r="F195" s="520" t="s">
        <v>7274</v>
      </c>
      <c r="G195" s="519" t="s">
        <v>1016</v>
      </c>
      <c r="H195" s="521" t="s">
        <v>350</v>
      </c>
      <c r="I195" s="528">
        <v>8640</v>
      </c>
      <c r="J195" s="521">
        <v>0</v>
      </c>
      <c r="K195" s="521">
        <v>960</v>
      </c>
      <c r="L195" s="529">
        <f t="shared" si="79"/>
        <v>9</v>
      </c>
      <c r="M195" s="530">
        <v>46248</v>
      </c>
      <c r="N195" s="530">
        <v>46244</v>
      </c>
      <c r="O195" s="512" t="s">
        <v>7134</v>
      </c>
      <c r="P195" s="467"/>
      <c r="Q195" s="521"/>
      <c r="R195" s="443" t="s">
        <v>459</v>
      </c>
      <c r="S195" s="452" t="s">
        <v>95</v>
      </c>
      <c r="T195" s="452" t="s">
        <v>7135</v>
      </c>
      <c r="U195" s="527"/>
      <c r="V195" s="527"/>
      <c r="W195" s="527"/>
      <c r="X195" s="527" t="s">
        <v>7248</v>
      </c>
      <c r="Y195" s="530" t="s">
        <v>354</v>
      </c>
      <c r="Z195" s="520">
        <v>648.8311</v>
      </c>
      <c r="AA195" s="533">
        <f t="shared" si="80"/>
        <v>5839.4799</v>
      </c>
      <c r="AB195" s="521"/>
      <c r="AC195" s="519" t="s">
        <v>356</v>
      </c>
      <c r="AD195" s="437" t="s">
        <v>112</v>
      </c>
      <c r="AE195" s="521"/>
      <c r="AF195" s="521"/>
      <c r="AG195" s="467"/>
      <c r="AH195" s="442">
        <f t="shared" si="81"/>
        <v>-8640</v>
      </c>
      <c r="AI195" s="521"/>
      <c r="AJ195" s="521"/>
      <c r="AK195" s="520">
        <f t="shared" si="82"/>
        <v>8640</v>
      </c>
      <c r="AL195" s="520"/>
      <c r="AM195" s="520"/>
      <c r="AN195" s="438">
        <f t="shared" si="83"/>
        <v>8640</v>
      </c>
      <c r="AO195" s="520"/>
      <c r="AP195" s="520"/>
      <c r="AQ195" s="520"/>
      <c r="AR195" s="520"/>
      <c r="AS195" s="438">
        <f t="shared" si="84"/>
        <v>8640</v>
      </c>
      <c r="AT195" s="449">
        <f t="shared" si="85"/>
        <v>1036.8</v>
      </c>
      <c r="AU195" s="534"/>
      <c r="AV195" s="520"/>
      <c r="AW195" s="520"/>
      <c r="AX195" s="520"/>
      <c r="AY195" s="520"/>
      <c r="AZ195" s="520"/>
      <c r="BA195" s="520"/>
      <c r="BB195" s="520"/>
      <c r="BC195" s="520"/>
      <c r="BD195" s="520"/>
      <c r="BE195" s="520"/>
      <c r="BF195" s="520"/>
      <c r="BG195" s="520"/>
      <c r="BH195" s="520"/>
      <c r="BI195" s="520"/>
      <c r="BJ195" s="520"/>
      <c r="BK195" s="520"/>
      <c r="BL195" s="520"/>
      <c r="BM195" s="520"/>
      <c r="BN195" s="520">
        <f t="shared" si="86"/>
        <v>540</v>
      </c>
      <c r="BO195" s="520"/>
      <c r="BP195" s="520"/>
      <c r="BQ195" s="438"/>
      <c r="BR195" s="520"/>
      <c r="BS195" s="520"/>
      <c r="BT195" s="520"/>
      <c r="BU195" s="520"/>
      <c r="BV195" s="520"/>
      <c r="BW195" s="520"/>
      <c r="BX195" s="520"/>
      <c r="BY195" s="520"/>
      <c r="BZ195" s="438">
        <f t="shared" si="87"/>
        <v>540</v>
      </c>
      <c r="CA195" s="438">
        <f t="shared" si="88"/>
        <v>0</v>
      </c>
      <c r="CB195" s="438">
        <f t="shared" si="89"/>
        <v>0</v>
      </c>
      <c r="CC195" s="438">
        <f t="shared" si="90"/>
        <v>0</v>
      </c>
      <c r="CD195" s="438"/>
      <c r="CE195" s="438"/>
      <c r="CF195" s="520"/>
      <c r="CG195" s="520"/>
      <c r="CH195" s="520"/>
    </row>
    <row r="196" s="291" customFormat="1" ht="32.05" customHeight="1" spans="1:108">
      <c r="A196" s="435">
        <v>46161</v>
      </c>
      <c r="B196" s="454" t="s">
        <v>346</v>
      </c>
      <c r="C196" s="455" t="s">
        <v>115</v>
      </c>
      <c r="D196" s="456" t="s">
        <v>7245</v>
      </c>
      <c r="E196" s="455" t="s">
        <v>7275</v>
      </c>
      <c r="F196" s="456" t="s">
        <v>7276</v>
      </c>
      <c r="G196" s="457" t="s">
        <v>1016</v>
      </c>
      <c r="H196" s="455" t="s">
        <v>350</v>
      </c>
      <c r="I196" s="458">
        <v>5760</v>
      </c>
      <c r="J196" s="455">
        <v>0</v>
      </c>
      <c r="K196" s="455">
        <v>960</v>
      </c>
      <c r="L196" s="441">
        <f t="shared" si="79"/>
        <v>6</v>
      </c>
      <c r="M196" s="459">
        <v>46248</v>
      </c>
      <c r="N196" s="459">
        <v>46244</v>
      </c>
      <c r="O196" s="512" t="s">
        <v>7134</v>
      </c>
      <c r="P196" s="442"/>
      <c r="Q196" s="437"/>
      <c r="R196" s="443" t="s">
        <v>459</v>
      </c>
      <c r="S196" s="452" t="s">
        <v>95</v>
      </c>
      <c r="T196" s="452" t="s">
        <v>7135</v>
      </c>
      <c r="U196" s="436"/>
      <c r="V196" s="436"/>
      <c r="W196" s="436"/>
      <c r="X196" s="436" t="s">
        <v>7248</v>
      </c>
      <c r="Y196" s="459" t="s">
        <v>354</v>
      </c>
      <c r="Z196" s="438">
        <v>651.9417</v>
      </c>
      <c r="AA196" s="446">
        <f t="shared" si="80"/>
        <v>3911.6502</v>
      </c>
      <c r="AB196" s="437"/>
      <c r="AC196" s="439" t="s">
        <v>356</v>
      </c>
      <c r="AD196" s="437" t="s">
        <v>112</v>
      </c>
      <c r="AE196" s="437"/>
      <c r="AF196" s="437"/>
      <c r="AG196" s="442"/>
      <c r="AH196" s="442">
        <f t="shared" si="81"/>
        <v>-5760</v>
      </c>
      <c r="AI196" s="437"/>
      <c r="AJ196" s="437"/>
      <c r="AK196" s="438">
        <f t="shared" si="82"/>
        <v>5760</v>
      </c>
      <c r="AL196" s="438"/>
      <c r="AM196" s="438"/>
      <c r="AN196" s="438">
        <f t="shared" si="83"/>
        <v>5760</v>
      </c>
      <c r="AO196" s="438"/>
      <c r="AP196" s="447"/>
      <c r="AQ196" s="438"/>
      <c r="AR196" s="448"/>
      <c r="AS196" s="438">
        <f t="shared" si="84"/>
        <v>5760</v>
      </c>
      <c r="AT196" s="449">
        <f t="shared" si="85"/>
        <v>691.2</v>
      </c>
      <c r="AU196" s="449"/>
      <c r="AV196" s="438"/>
      <c r="AW196" s="438"/>
      <c r="AX196" s="438"/>
      <c r="AY196" s="438"/>
      <c r="AZ196" s="438"/>
      <c r="BA196" s="438"/>
      <c r="BB196" s="438"/>
      <c r="BC196" s="438"/>
      <c r="BD196" s="438"/>
      <c r="BE196" s="438"/>
      <c r="BF196" s="438"/>
      <c r="BG196" s="438"/>
      <c r="BH196" s="438"/>
      <c r="BI196" s="438"/>
      <c r="BJ196" s="438"/>
      <c r="BK196" s="447"/>
      <c r="BL196" s="447"/>
      <c r="BM196" s="438"/>
      <c r="BN196" s="448">
        <f t="shared" si="86"/>
        <v>360</v>
      </c>
      <c r="BO196" s="448"/>
      <c r="BP196" s="438"/>
      <c r="BQ196" s="438"/>
      <c r="BR196" s="447"/>
      <c r="BS196" s="438"/>
      <c r="BT196" s="438"/>
      <c r="BU196" s="438"/>
      <c r="BV196" s="438"/>
      <c r="BW196" s="438"/>
      <c r="BX196" s="438"/>
      <c r="BY196" s="438"/>
      <c r="BZ196" s="438">
        <f t="shared" si="87"/>
        <v>360</v>
      </c>
      <c r="CA196" s="438">
        <f t="shared" si="88"/>
        <v>0</v>
      </c>
      <c r="CB196" s="438">
        <f t="shared" si="89"/>
        <v>0</v>
      </c>
      <c r="CC196" s="438">
        <f t="shared" si="90"/>
        <v>0</v>
      </c>
      <c r="CD196" s="448"/>
      <c r="CE196" s="448"/>
      <c r="CF196" s="448"/>
      <c r="CG196" s="438"/>
      <c r="CH196" s="438"/>
    </row>
    <row r="197" s="291" customFormat="1" ht="32.05" customHeight="1" spans="1:108">
      <c r="A197" s="435">
        <v>46164</v>
      </c>
      <c r="B197" s="454" t="s">
        <v>499</v>
      </c>
      <c r="C197" s="455" t="s">
        <v>115</v>
      </c>
      <c r="D197" s="456" t="s">
        <v>7277</v>
      </c>
      <c r="E197" s="455" t="s">
        <v>7278</v>
      </c>
      <c r="F197" s="456" t="s">
        <v>7279</v>
      </c>
      <c r="G197" s="457" t="s">
        <v>1016</v>
      </c>
      <c r="H197" s="455" t="s">
        <v>350</v>
      </c>
      <c r="I197" s="458">
        <v>26880</v>
      </c>
      <c r="J197" s="455">
        <v>0</v>
      </c>
      <c r="K197" s="455">
        <v>960</v>
      </c>
      <c r="L197" s="441">
        <f t="shared" si="79"/>
        <v>28</v>
      </c>
      <c r="M197" s="459">
        <v>46253</v>
      </c>
      <c r="N197" s="459">
        <v>46249</v>
      </c>
      <c r="O197" s="442" t="s">
        <v>7134</v>
      </c>
      <c r="P197" s="442"/>
      <c r="Q197" s="437"/>
      <c r="R197" s="443" t="s">
        <v>459</v>
      </c>
      <c r="S197" s="452" t="s">
        <v>95</v>
      </c>
      <c r="T197" s="452" t="s">
        <v>7135</v>
      </c>
      <c r="U197" s="436"/>
      <c r="V197" s="436"/>
      <c r="W197" s="436"/>
      <c r="X197" s="454" t="s">
        <v>7280</v>
      </c>
      <c r="Y197" s="459" t="s">
        <v>503</v>
      </c>
      <c r="Z197" s="438">
        <v>648.8304</v>
      </c>
      <c r="AA197" s="446">
        <f t="shared" si="80"/>
        <v>18167.2512</v>
      </c>
      <c r="AB197" s="437"/>
      <c r="AC197" s="439" t="s">
        <v>356</v>
      </c>
      <c r="AD197" s="437" t="s">
        <v>112</v>
      </c>
      <c r="AE197" s="437"/>
      <c r="AF197" s="437"/>
      <c r="AG197" s="442"/>
      <c r="AH197" s="442">
        <f t="shared" si="81"/>
        <v>-26880</v>
      </c>
      <c r="AI197" s="437"/>
      <c r="AJ197" s="437"/>
      <c r="AK197" s="438">
        <f t="shared" si="82"/>
        <v>26880</v>
      </c>
      <c r="AL197" s="438"/>
      <c r="AM197" s="438"/>
      <c r="AN197" s="438">
        <f t="shared" si="83"/>
        <v>26880</v>
      </c>
      <c r="AO197" s="438"/>
      <c r="AP197" s="447"/>
      <c r="AQ197" s="438"/>
      <c r="AR197" s="448"/>
      <c r="AS197" s="438">
        <f t="shared" si="84"/>
        <v>26880</v>
      </c>
      <c r="AT197" s="449">
        <f t="shared" si="85"/>
        <v>3225.6</v>
      </c>
      <c r="AU197" s="449"/>
      <c r="AV197" s="438"/>
      <c r="AW197" s="438"/>
      <c r="AX197" s="438"/>
      <c r="AY197" s="438"/>
      <c r="AZ197" s="438"/>
      <c r="BA197" s="438"/>
      <c r="BB197" s="438"/>
      <c r="BC197" s="438"/>
      <c r="BD197" s="438"/>
      <c r="BE197" s="438"/>
      <c r="BF197" s="438"/>
      <c r="BG197" s="438"/>
      <c r="BH197" s="438"/>
      <c r="BI197" s="438"/>
      <c r="BJ197" s="438"/>
      <c r="BK197" s="447"/>
      <c r="BL197" s="447"/>
      <c r="BM197" s="438"/>
      <c r="BN197" s="448">
        <f t="shared" si="86"/>
        <v>1680</v>
      </c>
      <c r="BO197" s="448"/>
      <c r="BP197" s="438"/>
      <c r="BQ197" s="438"/>
      <c r="BR197" s="447"/>
      <c r="BS197" s="438"/>
      <c r="BT197" s="438"/>
      <c r="BU197" s="438"/>
      <c r="BV197" s="438"/>
      <c r="BW197" s="438"/>
      <c r="BX197" s="438"/>
      <c r="BY197" s="438"/>
      <c r="BZ197" s="438">
        <f t="shared" si="87"/>
        <v>1680</v>
      </c>
      <c r="CA197" s="438">
        <f t="shared" si="88"/>
        <v>0</v>
      </c>
      <c r="CB197" s="438">
        <f t="shared" si="89"/>
        <v>0</v>
      </c>
      <c r="CC197" s="438">
        <f t="shared" si="90"/>
        <v>0</v>
      </c>
      <c r="CD197" s="448"/>
      <c r="CE197" s="448"/>
      <c r="CF197" s="448"/>
      <c r="CG197" s="438"/>
      <c r="CH197" s="438"/>
    </row>
    <row r="198" s="286" customFormat="1" ht="32.05" customHeight="1" spans="1:108">
      <c r="A198" s="435">
        <v>46164</v>
      </c>
      <c r="B198" s="454" t="s">
        <v>499</v>
      </c>
      <c r="C198" s="455" t="s">
        <v>115</v>
      </c>
      <c r="D198" s="456" t="s">
        <v>7277</v>
      </c>
      <c r="E198" s="455" t="s">
        <v>7281</v>
      </c>
      <c r="F198" s="456" t="s">
        <v>7282</v>
      </c>
      <c r="G198" s="457" t="s">
        <v>1016</v>
      </c>
      <c r="H198" s="455" t="s">
        <v>350</v>
      </c>
      <c r="I198" s="458">
        <v>17280</v>
      </c>
      <c r="J198" s="455">
        <v>0</v>
      </c>
      <c r="K198" s="455">
        <v>960</v>
      </c>
      <c r="L198" s="441">
        <f t="shared" si="79"/>
        <v>18</v>
      </c>
      <c r="M198" s="459">
        <v>46253</v>
      </c>
      <c r="N198" s="459">
        <v>46249</v>
      </c>
      <c r="O198" s="442" t="s">
        <v>7134</v>
      </c>
      <c r="P198" s="442"/>
      <c r="Q198" s="437"/>
      <c r="R198" s="443" t="s">
        <v>459</v>
      </c>
      <c r="S198" s="452" t="s">
        <v>95</v>
      </c>
      <c r="T198" s="444" t="s">
        <v>7135</v>
      </c>
      <c r="U198" s="436"/>
      <c r="V198" s="436"/>
      <c r="W198" s="436"/>
      <c r="X198" s="454" t="s">
        <v>7280</v>
      </c>
      <c r="Y198" s="459" t="s">
        <v>503</v>
      </c>
      <c r="Z198" s="438">
        <v>651.9406</v>
      </c>
      <c r="AA198" s="446">
        <f t="shared" si="80"/>
        <v>11734.9308</v>
      </c>
      <c r="AB198" s="437"/>
      <c r="AC198" s="439" t="s">
        <v>356</v>
      </c>
      <c r="AD198" s="437" t="s">
        <v>112</v>
      </c>
      <c r="AE198" s="437"/>
      <c r="AF198" s="437"/>
      <c r="AG198" s="442"/>
      <c r="AH198" s="512">
        <f t="shared" si="81"/>
        <v>-17280</v>
      </c>
      <c r="AI198" s="437"/>
      <c r="AJ198" s="437"/>
      <c r="AK198" s="438">
        <f t="shared" si="82"/>
        <v>17280</v>
      </c>
      <c r="AL198" s="438"/>
      <c r="AM198" s="438"/>
      <c r="AN198" s="438">
        <f t="shared" si="83"/>
        <v>17280</v>
      </c>
      <c r="AO198" s="438"/>
      <c r="AP198" s="447"/>
      <c r="AQ198" s="438"/>
      <c r="AR198" s="448"/>
      <c r="AS198" s="438">
        <f t="shared" si="84"/>
        <v>17280</v>
      </c>
      <c r="AT198" s="449">
        <f t="shared" si="85"/>
        <v>2073.6</v>
      </c>
      <c r="AU198" s="449"/>
      <c r="AV198" s="438"/>
      <c r="AW198" s="438"/>
      <c r="AX198" s="438"/>
      <c r="AY198" s="438"/>
      <c r="AZ198" s="438"/>
      <c r="BA198" s="438"/>
      <c r="BB198" s="438"/>
      <c r="BC198" s="438"/>
      <c r="BD198" s="438"/>
      <c r="BE198" s="438"/>
      <c r="BF198" s="438"/>
      <c r="BG198" s="438"/>
      <c r="BH198" s="438"/>
      <c r="BI198" s="438"/>
      <c r="BJ198" s="438"/>
      <c r="BK198" s="447"/>
      <c r="BL198" s="447"/>
      <c r="BM198" s="438"/>
      <c r="BN198" s="448">
        <f t="shared" si="86"/>
        <v>1080</v>
      </c>
      <c r="BO198" s="448"/>
      <c r="BP198" s="438"/>
      <c r="BQ198" s="438"/>
      <c r="BR198" s="447"/>
      <c r="BS198" s="438"/>
      <c r="BT198" s="438"/>
      <c r="BU198" s="438"/>
      <c r="BV198" s="438"/>
      <c r="BW198" s="438"/>
      <c r="BX198" s="438"/>
      <c r="BY198" s="438"/>
      <c r="BZ198" s="438">
        <f t="shared" si="87"/>
        <v>1080</v>
      </c>
      <c r="CA198" s="438">
        <f t="shared" si="88"/>
        <v>0</v>
      </c>
      <c r="CB198" s="438">
        <f t="shared" si="89"/>
        <v>0</v>
      </c>
      <c r="CC198" s="438">
        <f t="shared" si="90"/>
        <v>0</v>
      </c>
      <c r="CD198" s="448"/>
      <c r="CE198" s="448"/>
      <c r="CF198" s="448"/>
      <c r="CG198" s="438"/>
      <c r="CH198" s="438"/>
      <c r="CI198" s="291"/>
      <c r="CJ198" s="291"/>
      <c r="CK198" s="291"/>
      <c r="CL198" s="291"/>
      <c r="CM198" s="291"/>
      <c r="CN198" s="291"/>
      <c r="CO198" s="291"/>
      <c r="CP198" s="291"/>
      <c r="CQ198" s="291"/>
      <c r="CR198" s="291"/>
      <c r="CS198" s="291"/>
      <c r="CT198" s="291"/>
      <c r="CU198" s="291"/>
      <c r="CV198" s="291"/>
      <c r="CW198" s="291"/>
      <c r="CX198" s="291"/>
      <c r="CY198" s="291"/>
      <c r="CZ198" s="291"/>
      <c r="DA198" s="291"/>
      <c r="DB198" s="291"/>
      <c r="DC198" s="291"/>
    </row>
    <row r="199" s="286" customFormat="1" ht="32.05" customHeight="1" spans="1:108">
      <c r="A199" s="510">
        <v>46164</v>
      </c>
      <c r="B199" s="454" t="s">
        <v>499</v>
      </c>
      <c r="C199" s="455" t="s">
        <v>115</v>
      </c>
      <c r="D199" s="456" t="s">
        <v>7283</v>
      </c>
      <c r="E199" s="455" t="s">
        <v>7284</v>
      </c>
      <c r="F199" s="456" t="s">
        <v>7285</v>
      </c>
      <c r="G199" s="457" t="s">
        <v>1016</v>
      </c>
      <c r="H199" s="455" t="s">
        <v>350</v>
      </c>
      <c r="I199" s="458">
        <v>25920</v>
      </c>
      <c r="J199" s="455">
        <v>0</v>
      </c>
      <c r="K199" s="455">
        <v>960</v>
      </c>
      <c r="L199" s="511">
        <f t="shared" si="79"/>
        <v>27</v>
      </c>
      <c r="M199" s="459">
        <v>46255</v>
      </c>
      <c r="N199" s="459">
        <v>46251</v>
      </c>
      <c r="O199" s="512" t="s">
        <v>7134</v>
      </c>
      <c r="P199" s="512"/>
      <c r="Q199" s="455"/>
      <c r="R199" s="443" t="s">
        <v>459</v>
      </c>
      <c r="S199" s="452" t="s">
        <v>95</v>
      </c>
      <c r="T199" s="452" t="s">
        <v>7135</v>
      </c>
      <c r="U199" s="454"/>
      <c r="V199" s="454"/>
      <c r="W199" s="454"/>
      <c r="X199" s="454" t="s">
        <v>7280</v>
      </c>
      <c r="Y199" s="459" t="s">
        <v>503</v>
      </c>
      <c r="Z199" s="456">
        <v>648.8304</v>
      </c>
      <c r="AA199" s="515">
        <f t="shared" si="80"/>
        <v>17518.4208</v>
      </c>
      <c r="AB199" s="455"/>
      <c r="AC199" s="439" t="s">
        <v>356</v>
      </c>
      <c r="AD199" s="437" t="s">
        <v>112</v>
      </c>
      <c r="AE199" s="455"/>
      <c r="AF199" s="455"/>
      <c r="AG199" s="512"/>
      <c r="AH199" s="442">
        <f t="shared" si="81"/>
        <v>-25920</v>
      </c>
      <c r="AI199" s="455"/>
      <c r="AJ199" s="455"/>
      <c r="AK199" s="456">
        <f t="shared" si="82"/>
        <v>25920</v>
      </c>
      <c r="AL199" s="456"/>
      <c r="AM199" s="456"/>
      <c r="AN199" s="438">
        <f t="shared" si="83"/>
        <v>25920</v>
      </c>
      <c r="AO199" s="438"/>
      <c r="AP199" s="447"/>
      <c r="AQ199" s="438"/>
      <c r="AR199" s="448"/>
      <c r="AS199" s="438">
        <f t="shared" si="84"/>
        <v>25920</v>
      </c>
      <c r="AT199" s="449">
        <f t="shared" si="85"/>
        <v>3110.4</v>
      </c>
      <c r="AU199" s="449"/>
      <c r="AV199" s="456"/>
      <c r="AW199" s="438"/>
      <c r="AX199" s="438"/>
      <c r="AY199" s="456"/>
      <c r="AZ199" s="456"/>
      <c r="BA199" s="456"/>
      <c r="BB199" s="456"/>
      <c r="BC199" s="456"/>
      <c r="BD199" s="456"/>
      <c r="BE199" s="456"/>
      <c r="BF199" s="456"/>
      <c r="BG199" s="456"/>
      <c r="BH199" s="438"/>
      <c r="BI199" s="456"/>
      <c r="BJ199" s="456"/>
      <c r="BK199" s="517"/>
      <c r="BL199" s="517"/>
      <c r="BM199" s="456"/>
      <c r="BN199" s="518">
        <f t="shared" si="86"/>
        <v>1620</v>
      </c>
      <c r="BO199" s="518"/>
      <c r="BP199" s="456"/>
      <c r="BQ199" s="456"/>
      <c r="BR199" s="517"/>
      <c r="BS199" s="456"/>
      <c r="BT199" s="456"/>
      <c r="BU199" s="456"/>
      <c r="BV199" s="456"/>
      <c r="BW199" s="456"/>
      <c r="BX199" s="456"/>
      <c r="BY199" s="456"/>
      <c r="BZ199" s="438">
        <f t="shared" si="87"/>
        <v>1620</v>
      </c>
      <c r="CA199" s="438">
        <f t="shared" si="88"/>
        <v>0</v>
      </c>
      <c r="CB199" s="438">
        <f t="shared" si="89"/>
        <v>0</v>
      </c>
      <c r="CC199" s="438">
        <f t="shared" si="90"/>
        <v>0</v>
      </c>
      <c r="CD199" s="518"/>
      <c r="CE199" s="518"/>
      <c r="CF199" s="518"/>
      <c r="CG199" s="456"/>
      <c r="CH199" s="456"/>
      <c r="CI199" s="291"/>
      <c r="CJ199" s="291"/>
      <c r="CK199" s="291"/>
      <c r="CL199" s="291"/>
      <c r="CM199" s="291"/>
      <c r="CN199" s="291"/>
      <c r="CO199" s="291"/>
      <c r="CP199" s="291"/>
      <c r="CQ199" s="291"/>
      <c r="CR199" s="291"/>
      <c r="CS199" s="291"/>
      <c r="CT199" s="291"/>
      <c r="CU199" s="291"/>
      <c r="CV199" s="291"/>
      <c r="CW199" s="291"/>
      <c r="CX199" s="291"/>
      <c r="CY199" s="291"/>
      <c r="CZ199" s="291"/>
      <c r="DA199" s="291"/>
      <c r="DB199" s="291"/>
      <c r="DC199" s="291"/>
    </row>
    <row r="200" s="286" customFormat="1" ht="32.05" customHeight="1" spans="1:108">
      <c r="A200" s="510">
        <v>46164</v>
      </c>
      <c r="B200" s="454" t="s">
        <v>499</v>
      </c>
      <c r="C200" s="455" t="s">
        <v>115</v>
      </c>
      <c r="D200" s="456" t="s">
        <v>7283</v>
      </c>
      <c r="E200" s="455" t="s">
        <v>7286</v>
      </c>
      <c r="F200" s="456" t="s">
        <v>7287</v>
      </c>
      <c r="G200" s="457" t="s">
        <v>1016</v>
      </c>
      <c r="H200" s="455" t="s">
        <v>350</v>
      </c>
      <c r="I200" s="458">
        <v>20160</v>
      </c>
      <c r="J200" s="455">
        <v>0</v>
      </c>
      <c r="K200" s="455">
        <v>960</v>
      </c>
      <c r="L200" s="511">
        <f t="shared" si="79"/>
        <v>21</v>
      </c>
      <c r="M200" s="459">
        <v>46255</v>
      </c>
      <c r="N200" s="459">
        <v>46251</v>
      </c>
      <c r="O200" s="512" t="s">
        <v>7134</v>
      </c>
      <c r="P200" s="512"/>
      <c r="Q200" s="455"/>
      <c r="R200" s="443" t="s">
        <v>459</v>
      </c>
      <c r="S200" s="452" t="s">
        <v>95</v>
      </c>
      <c r="T200" s="452" t="s">
        <v>7135</v>
      </c>
      <c r="U200" s="454"/>
      <c r="V200" s="454"/>
      <c r="W200" s="454"/>
      <c r="X200" s="454" t="s">
        <v>7280</v>
      </c>
      <c r="Y200" s="459" t="s">
        <v>503</v>
      </c>
      <c r="Z200" s="456">
        <v>648.8305</v>
      </c>
      <c r="AA200" s="515">
        <f t="shared" si="80"/>
        <v>13625.4405</v>
      </c>
      <c r="AB200" s="455"/>
      <c r="AC200" s="439" t="s">
        <v>356</v>
      </c>
      <c r="AD200" s="437" t="s">
        <v>112</v>
      </c>
      <c r="AE200" s="455"/>
      <c r="AF200" s="455"/>
      <c r="AG200" s="512"/>
      <c r="AH200" s="442">
        <f t="shared" si="81"/>
        <v>-20160</v>
      </c>
      <c r="AI200" s="455"/>
      <c r="AJ200" s="455"/>
      <c r="AK200" s="456">
        <f t="shared" si="82"/>
        <v>20160</v>
      </c>
      <c r="AL200" s="456"/>
      <c r="AM200" s="456"/>
      <c r="AN200" s="438">
        <f t="shared" si="83"/>
        <v>20160</v>
      </c>
      <c r="AO200" s="438"/>
      <c r="AP200" s="447"/>
      <c r="AQ200" s="438"/>
      <c r="AR200" s="448"/>
      <c r="AS200" s="438">
        <f t="shared" si="84"/>
        <v>20160</v>
      </c>
      <c r="AT200" s="449">
        <f t="shared" si="85"/>
        <v>2419.2</v>
      </c>
      <c r="AU200" s="449"/>
      <c r="AV200" s="456"/>
      <c r="AW200" s="438"/>
      <c r="AX200" s="438"/>
      <c r="AY200" s="456"/>
      <c r="AZ200" s="456"/>
      <c r="BA200" s="456"/>
      <c r="BB200" s="456"/>
      <c r="BC200" s="456"/>
      <c r="BD200" s="456"/>
      <c r="BE200" s="456"/>
      <c r="BF200" s="456"/>
      <c r="BG200" s="456"/>
      <c r="BH200" s="456"/>
      <c r="BI200" s="456"/>
      <c r="BJ200" s="438"/>
      <c r="BK200" s="517"/>
      <c r="BL200" s="517"/>
      <c r="BM200" s="456"/>
      <c r="BN200" s="518">
        <f t="shared" si="86"/>
        <v>1260</v>
      </c>
      <c r="BO200" s="518"/>
      <c r="BP200" s="456"/>
      <c r="BQ200" s="456"/>
      <c r="BR200" s="517"/>
      <c r="BS200" s="456"/>
      <c r="BT200" s="456"/>
      <c r="BU200" s="456"/>
      <c r="BV200" s="456"/>
      <c r="BW200" s="456"/>
      <c r="BX200" s="456"/>
      <c r="BY200" s="456"/>
      <c r="BZ200" s="438">
        <f t="shared" si="87"/>
        <v>1260</v>
      </c>
      <c r="CA200" s="438">
        <f t="shared" si="88"/>
        <v>0</v>
      </c>
      <c r="CB200" s="438">
        <f t="shared" si="89"/>
        <v>0</v>
      </c>
      <c r="CC200" s="438">
        <f t="shared" si="90"/>
        <v>0</v>
      </c>
      <c r="CD200" s="518"/>
      <c r="CE200" s="518"/>
      <c r="CF200" s="518"/>
      <c r="CG200" s="456"/>
      <c r="CH200" s="456"/>
      <c r="CI200" s="291"/>
      <c r="CJ200" s="291"/>
      <c r="CK200" s="291"/>
      <c r="CL200" s="291"/>
      <c r="CM200" s="291"/>
      <c r="CN200" s="291"/>
      <c r="CO200" s="291"/>
      <c r="CP200" s="291"/>
      <c r="CQ200" s="291"/>
      <c r="CR200" s="291"/>
      <c r="CS200" s="291"/>
      <c r="CT200" s="291"/>
      <c r="CU200" s="291"/>
      <c r="CV200" s="291"/>
      <c r="CW200" s="291"/>
      <c r="CX200" s="291"/>
      <c r="CY200" s="291"/>
      <c r="CZ200" s="291"/>
      <c r="DA200" s="291"/>
      <c r="DB200" s="291"/>
      <c r="DC200" s="291"/>
    </row>
    <row r="201" s="291" customFormat="1" ht="32.05" customHeight="1" spans="1:108">
      <c r="A201" s="435">
        <v>46164</v>
      </c>
      <c r="B201" s="436" t="s">
        <v>499</v>
      </c>
      <c r="C201" s="437" t="s">
        <v>115</v>
      </c>
      <c r="D201" s="438" t="s">
        <v>7283</v>
      </c>
      <c r="E201" s="437" t="s">
        <v>7288</v>
      </c>
      <c r="F201" s="438" t="s">
        <v>7289</v>
      </c>
      <c r="G201" s="439" t="s">
        <v>1016</v>
      </c>
      <c r="H201" s="437" t="s">
        <v>350</v>
      </c>
      <c r="I201" s="440">
        <v>34560</v>
      </c>
      <c r="J201" s="437">
        <v>0</v>
      </c>
      <c r="K201" s="437">
        <v>960</v>
      </c>
      <c r="L201" s="441">
        <f t="shared" si="79"/>
        <v>36</v>
      </c>
      <c r="M201" s="445">
        <v>46255</v>
      </c>
      <c r="N201" s="445">
        <v>46251</v>
      </c>
      <c r="O201" s="512" t="s">
        <v>7134</v>
      </c>
      <c r="P201" s="442"/>
      <c r="Q201" s="437"/>
      <c r="R201" s="451" t="s">
        <v>459</v>
      </c>
      <c r="S201" s="452" t="s">
        <v>95</v>
      </c>
      <c r="T201" s="452" t="s">
        <v>7135</v>
      </c>
      <c r="U201" s="436"/>
      <c r="V201" s="436"/>
      <c r="W201" s="436"/>
      <c r="X201" s="436" t="s">
        <v>7280</v>
      </c>
      <c r="Y201" s="445" t="s">
        <v>503</v>
      </c>
      <c r="Z201" s="438">
        <v>641.9183</v>
      </c>
      <c r="AA201" s="446">
        <f t="shared" si="80"/>
        <v>23109.0588</v>
      </c>
      <c r="AB201" s="437"/>
      <c r="AC201" s="439" t="s">
        <v>356</v>
      </c>
      <c r="AD201" s="437" t="s">
        <v>112</v>
      </c>
      <c r="AE201" s="437"/>
      <c r="AF201" s="437"/>
      <c r="AG201" s="442"/>
      <c r="AH201" s="442">
        <f t="shared" si="81"/>
        <v>-34560</v>
      </c>
      <c r="AI201" s="437"/>
      <c r="AJ201" s="437"/>
      <c r="AK201" s="438">
        <f t="shared" si="82"/>
        <v>34560</v>
      </c>
      <c r="AL201" s="438"/>
      <c r="AM201" s="438"/>
      <c r="AN201" s="438">
        <f t="shared" si="83"/>
        <v>34560</v>
      </c>
      <c r="AO201" s="438"/>
      <c r="AP201" s="447"/>
      <c r="AQ201" s="438"/>
      <c r="AR201" s="448"/>
      <c r="AS201" s="438">
        <f t="shared" si="84"/>
        <v>34560</v>
      </c>
      <c r="AT201" s="449">
        <f t="shared" si="85"/>
        <v>4147.2</v>
      </c>
      <c r="AU201" s="449"/>
      <c r="AV201" s="438"/>
      <c r="AW201" s="438"/>
      <c r="AX201" s="438"/>
      <c r="AY201" s="438"/>
      <c r="AZ201" s="438"/>
      <c r="BA201" s="438"/>
      <c r="BB201" s="438"/>
      <c r="BC201" s="438"/>
      <c r="BD201" s="438"/>
      <c r="BE201" s="438"/>
      <c r="BF201" s="438"/>
      <c r="BG201" s="438"/>
      <c r="BH201" s="438"/>
      <c r="BI201" s="438"/>
      <c r="BJ201" s="438"/>
      <c r="BK201" s="447"/>
      <c r="BL201" s="447"/>
      <c r="BM201" s="438"/>
      <c r="BN201" s="448">
        <f t="shared" si="86"/>
        <v>2160</v>
      </c>
      <c r="BO201" s="448"/>
      <c r="BP201" s="438"/>
      <c r="BQ201" s="438"/>
      <c r="BR201" s="447"/>
      <c r="BS201" s="438"/>
      <c r="BT201" s="438"/>
      <c r="BU201" s="438"/>
      <c r="BV201" s="438"/>
      <c r="BW201" s="438"/>
      <c r="BX201" s="438"/>
      <c r="BY201" s="438"/>
      <c r="BZ201" s="438">
        <f t="shared" si="87"/>
        <v>2160</v>
      </c>
      <c r="CA201" s="438">
        <f t="shared" si="88"/>
        <v>0</v>
      </c>
      <c r="CB201" s="438">
        <f t="shared" si="89"/>
        <v>0</v>
      </c>
      <c r="CC201" s="438">
        <f t="shared" si="90"/>
        <v>0</v>
      </c>
      <c r="CD201" s="448"/>
      <c r="CE201" s="448"/>
      <c r="CF201" s="448"/>
      <c r="CG201" s="438"/>
      <c r="CH201" s="438"/>
    </row>
    <row r="202" s="286" customFormat="1" ht="32.05" customHeight="1" spans="1:108">
      <c r="A202" s="435">
        <v>46164</v>
      </c>
      <c r="B202" s="436" t="s">
        <v>499</v>
      </c>
      <c r="C202" s="437" t="s">
        <v>115</v>
      </c>
      <c r="D202" s="438" t="s">
        <v>7283</v>
      </c>
      <c r="E202" s="437" t="s">
        <v>7290</v>
      </c>
      <c r="F202" s="438" t="s">
        <v>7291</v>
      </c>
      <c r="G202" s="439" t="s">
        <v>1016</v>
      </c>
      <c r="H202" s="437" t="s">
        <v>350</v>
      </c>
      <c r="I202" s="440">
        <v>28800</v>
      </c>
      <c r="J202" s="437">
        <v>0</v>
      </c>
      <c r="K202" s="437">
        <v>960</v>
      </c>
      <c r="L202" s="441">
        <f t="shared" si="79"/>
        <v>30</v>
      </c>
      <c r="M202" s="445">
        <v>46255</v>
      </c>
      <c r="N202" s="445">
        <v>46251</v>
      </c>
      <c r="O202" s="512" t="s">
        <v>7134</v>
      </c>
      <c r="P202" s="442"/>
      <c r="Q202" s="437"/>
      <c r="R202" s="451" t="s">
        <v>459</v>
      </c>
      <c r="S202" s="452" t="s">
        <v>95</v>
      </c>
      <c r="T202" s="452" t="s">
        <v>7135</v>
      </c>
      <c r="U202" s="436"/>
      <c r="V202" s="436"/>
      <c r="W202" s="436"/>
      <c r="X202" s="436" t="s">
        <v>7280</v>
      </c>
      <c r="Y202" s="445" t="s">
        <v>503</v>
      </c>
      <c r="Z202" s="438">
        <v>641.9183</v>
      </c>
      <c r="AA202" s="446">
        <f t="shared" si="80"/>
        <v>19257.549</v>
      </c>
      <c r="AB202" s="437"/>
      <c r="AC202" s="439" t="s">
        <v>356</v>
      </c>
      <c r="AD202" s="437" t="s">
        <v>112</v>
      </c>
      <c r="AE202" s="437"/>
      <c r="AF202" s="437"/>
      <c r="AG202" s="442"/>
      <c r="AH202" s="442">
        <f t="shared" si="81"/>
        <v>-28800</v>
      </c>
      <c r="AI202" s="437"/>
      <c r="AJ202" s="437"/>
      <c r="AK202" s="438">
        <f t="shared" si="82"/>
        <v>28800</v>
      </c>
      <c r="AL202" s="438"/>
      <c r="AM202" s="438"/>
      <c r="AN202" s="438">
        <f t="shared" si="83"/>
        <v>28800</v>
      </c>
      <c r="AO202" s="438"/>
      <c r="AP202" s="447"/>
      <c r="AQ202" s="438"/>
      <c r="AR202" s="448"/>
      <c r="AS202" s="438">
        <f t="shared" si="84"/>
        <v>28800</v>
      </c>
      <c r="AT202" s="449">
        <f t="shared" si="85"/>
        <v>3456</v>
      </c>
      <c r="AU202" s="449"/>
      <c r="AV202" s="438"/>
      <c r="AW202" s="438"/>
      <c r="AX202" s="438"/>
      <c r="AY202" s="438"/>
      <c r="AZ202" s="438"/>
      <c r="BA202" s="438"/>
      <c r="BB202" s="438"/>
      <c r="BC202" s="438"/>
      <c r="BD202" s="438"/>
      <c r="BE202" s="438"/>
      <c r="BF202" s="438"/>
      <c r="BG202" s="438"/>
      <c r="BH202" s="438"/>
      <c r="BI202" s="438"/>
      <c r="BJ202" s="438"/>
      <c r="BK202" s="447"/>
      <c r="BL202" s="447"/>
      <c r="BM202" s="438"/>
      <c r="BN202" s="448">
        <f t="shared" si="86"/>
        <v>1800</v>
      </c>
      <c r="BO202" s="448"/>
      <c r="BP202" s="438"/>
      <c r="BQ202" s="438"/>
      <c r="BR202" s="447"/>
      <c r="BS202" s="438"/>
      <c r="BT202" s="438"/>
      <c r="BU202" s="438"/>
      <c r="BV202" s="438"/>
      <c r="BW202" s="438"/>
      <c r="BX202" s="438"/>
      <c r="BY202" s="438"/>
      <c r="BZ202" s="438">
        <f t="shared" si="87"/>
        <v>1800</v>
      </c>
      <c r="CA202" s="438">
        <f t="shared" si="88"/>
        <v>0</v>
      </c>
      <c r="CB202" s="438">
        <f t="shared" si="89"/>
        <v>0</v>
      </c>
      <c r="CC202" s="438">
        <f t="shared" si="90"/>
        <v>0</v>
      </c>
      <c r="CD202" s="448"/>
      <c r="CE202" s="448"/>
      <c r="CF202" s="448"/>
      <c r="CG202" s="438"/>
      <c r="CH202" s="438"/>
      <c r="CI202" s="291"/>
      <c r="CJ202" s="291"/>
      <c r="CK202" s="291"/>
      <c r="CL202" s="291"/>
      <c r="CM202" s="291"/>
      <c r="CN202" s="291"/>
      <c r="CO202" s="291"/>
      <c r="CP202" s="291"/>
      <c r="CQ202" s="291"/>
      <c r="CR202" s="291"/>
      <c r="CS202" s="291"/>
      <c r="CT202" s="291"/>
      <c r="CU202" s="291"/>
      <c r="CV202" s="291"/>
      <c r="CW202" s="291"/>
      <c r="CX202" s="291"/>
      <c r="CY202" s="291"/>
      <c r="CZ202" s="291"/>
      <c r="DA202" s="291"/>
      <c r="DB202" s="291"/>
      <c r="DC202" s="291"/>
    </row>
    <row r="203" s="286" customFormat="1" ht="31" customHeight="1" spans="1:108">
      <c r="A203" s="435">
        <v>46106</v>
      </c>
      <c r="B203" s="436" t="s">
        <v>346</v>
      </c>
      <c r="C203" s="437" t="s">
        <v>115</v>
      </c>
      <c r="D203" s="438">
        <v>4500197357</v>
      </c>
      <c r="E203" s="1924" t="s">
        <v>7292</v>
      </c>
      <c r="F203" s="438" t="s">
        <v>7293</v>
      </c>
      <c r="G203" s="439" t="s">
        <v>349</v>
      </c>
      <c r="H203" s="437" t="s">
        <v>350</v>
      </c>
      <c r="I203" s="440">
        <v>20160</v>
      </c>
      <c r="J203" s="437">
        <v>0</v>
      </c>
      <c r="K203" s="437">
        <v>960</v>
      </c>
      <c r="L203" s="441">
        <f t="shared" si="79"/>
        <v>21</v>
      </c>
      <c r="M203" s="445">
        <v>46167</v>
      </c>
      <c r="N203" s="445">
        <v>46212</v>
      </c>
      <c r="O203" s="442" t="s">
        <v>7134</v>
      </c>
      <c r="P203" s="467" t="s">
        <v>106</v>
      </c>
      <c r="Q203" s="437"/>
      <c r="R203" s="451" t="s">
        <v>459</v>
      </c>
      <c r="S203" s="444" t="s">
        <v>95</v>
      </c>
      <c r="T203" s="444" t="s">
        <v>620</v>
      </c>
      <c r="U203" s="436"/>
      <c r="V203" s="436"/>
      <c r="W203" s="436"/>
      <c r="X203" s="436" t="s">
        <v>517</v>
      </c>
      <c r="Y203" s="445" t="s">
        <v>354</v>
      </c>
      <c r="Z203" s="438">
        <v>645.1438</v>
      </c>
      <c r="AA203" s="446">
        <f t="shared" si="80"/>
        <v>13548.0198</v>
      </c>
      <c r="AB203" s="437"/>
      <c r="AC203" s="437" t="s">
        <v>356</v>
      </c>
      <c r="AD203" s="437" t="s">
        <v>112</v>
      </c>
      <c r="AE203" s="437" t="s">
        <v>113</v>
      </c>
      <c r="AF203" s="437" t="s">
        <v>943</v>
      </c>
      <c r="AG203" s="442">
        <v>20160</v>
      </c>
      <c r="AH203" s="442">
        <f t="shared" si="81"/>
        <v>0</v>
      </c>
      <c r="AI203" s="437"/>
      <c r="AJ203" s="437"/>
      <c r="AK203" s="438">
        <f t="shared" si="82"/>
        <v>20160</v>
      </c>
      <c r="AL203" s="438"/>
      <c r="AM203" s="438"/>
      <c r="AN203" s="438">
        <f t="shared" si="83"/>
        <v>20160</v>
      </c>
      <c r="AO203" s="438"/>
      <c r="AP203" s="447"/>
      <c r="AQ203" s="438"/>
      <c r="AR203" s="448"/>
      <c r="AS203" s="438">
        <f t="shared" si="84"/>
        <v>20160</v>
      </c>
      <c r="AT203" s="449">
        <f>I203*0.06</f>
        <v>1209.6</v>
      </c>
      <c r="AU203" s="449"/>
      <c r="AV203" s="438"/>
      <c r="AW203" s="438"/>
      <c r="AX203" s="438"/>
      <c r="AY203" s="438"/>
      <c r="AZ203" s="438"/>
      <c r="BA203" s="438"/>
      <c r="BB203" s="438"/>
      <c r="BC203" s="438"/>
      <c r="BD203" s="438"/>
      <c r="BE203" s="438"/>
      <c r="BF203" s="438"/>
      <c r="BG203" s="438"/>
      <c r="BH203" s="438"/>
      <c r="BI203" s="438"/>
      <c r="BJ203" s="438"/>
      <c r="BK203" s="447"/>
      <c r="BL203" s="447"/>
      <c r="BM203" s="438"/>
      <c r="BN203" s="448">
        <f t="shared" si="86"/>
        <v>1260</v>
      </c>
      <c r="BO203" s="438"/>
      <c r="BP203" s="438"/>
      <c r="BQ203" s="438"/>
      <c r="BR203" s="447"/>
      <c r="BS203" s="438"/>
      <c r="BT203" s="438"/>
      <c r="BU203" s="438"/>
      <c r="BV203" s="438"/>
      <c r="BW203" s="438"/>
      <c r="BX203" s="438"/>
      <c r="BY203" s="438"/>
      <c r="BZ203" s="438">
        <f t="shared" si="87"/>
        <v>1260</v>
      </c>
      <c r="CA203" s="438">
        <f t="shared" si="88"/>
        <v>0</v>
      </c>
      <c r="CB203" s="438">
        <f t="shared" si="89"/>
        <v>0</v>
      </c>
      <c r="CC203" s="438">
        <f t="shared" si="90"/>
        <v>0</v>
      </c>
      <c r="CD203" s="448"/>
      <c r="CE203" s="448"/>
      <c r="CF203" s="448"/>
      <c r="CG203" s="438"/>
      <c r="CH203" s="438"/>
    </row>
    <row r="204" s="286" customFormat="1" ht="32.05" customHeight="1" spans="1:108">
      <c r="A204" s="435">
        <v>46188</v>
      </c>
      <c r="B204" s="436" t="s">
        <v>5917</v>
      </c>
      <c r="C204" s="437" t="s">
        <v>115</v>
      </c>
      <c r="D204" s="438" t="s">
        <v>7294</v>
      </c>
      <c r="E204" s="437" t="s">
        <v>7295</v>
      </c>
      <c r="F204" s="438" t="s">
        <v>7296</v>
      </c>
      <c r="G204" s="439" t="s">
        <v>6969</v>
      </c>
      <c r="H204" s="437"/>
      <c r="I204" s="440">
        <v>1936</v>
      </c>
      <c r="J204" s="437">
        <v>0</v>
      </c>
      <c r="K204" s="437">
        <v>16</v>
      </c>
      <c r="L204" s="441">
        <f t="shared" si="79"/>
        <v>121</v>
      </c>
      <c r="M204" s="445">
        <v>46239</v>
      </c>
      <c r="N204" s="445">
        <v>46235</v>
      </c>
      <c r="O204" s="436" t="s">
        <v>5922</v>
      </c>
      <c r="P204" s="442"/>
      <c r="Q204" s="437" t="s">
        <v>6981</v>
      </c>
      <c r="R204" s="443" t="s">
        <v>459</v>
      </c>
      <c r="S204" s="452" t="s">
        <v>95</v>
      </c>
      <c r="T204" s="452" t="s">
        <v>2962</v>
      </c>
      <c r="U204" s="436"/>
      <c r="V204" s="436"/>
      <c r="W204" s="436"/>
      <c r="X204" s="436" t="s">
        <v>6982</v>
      </c>
      <c r="Y204" s="445" t="s">
        <v>354</v>
      </c>
      <c r="Z204" s="438">
        <v>0.6202</v>
      </c>
      <c r="AA204" s="446">
        <f>Z204*I204</f>
        <v>1200.7072</v>
      </c>
      <c r="AB204" s="437"/>
      <c r="AC204" s="437" t="s">
        <v>3630</v>
      </c>
      <c r="AD204" s="437"/>
      <c r="AE204" s="437"/>
      <c r="AF204" s="437"/>
      <c r="AG204" s="442"/>
      <c r="AH204" s="442">
        <f t="shared" si="81"/>
        <v>-1936</v>
      </c>
      <c r="AI204" s="437"/>
      <c r="AJ204" s="437"/>
      <c r="AK204" s="438">
        <f t="shared" si="82"/>
        <v>1936</v>
      </c>
      <c r="AL204" s="438"/>
      <c r="AM204" s="438"/>
      <c r="AN204" s="438">
        <f t="shared" si="83"/>
        <v>1936</v>
      </c>
      <c r="AO204" s="438"/>
      <c r="AP204" s="447"/>
      <c r="AQ204" s="438"/>
      <c r="AR204" s="448"/>
      <c r="AS204" s="438">
        <f t="shared" si="84"/>
        <v>1936</v>
      </c>
      <c r="AT204" s="449"/>
      <c r="AU204" s="449"/>
      <c r="AV204" s="438"/>
      <c r="AW204" s="438"/>
      <c r="AX204" s="438"/>
      <c r="AY204" s="438"/>
      <c r="AZ204" s="438"/>
      <c r="BA204" s="438"/>
      <c r="BB204" s="438"/>
      <c r="BC204" s="438"/>
      <c r="BD204" s="438"/>
      <c r="BE204" s="438"/>
      <c r="BF204" s="438"/>
      <c r="BG204" s="438"/>
      <c r="BH204" s="438"/>
      <c r="BI204" s="438"/>
      <c r="BJ204" s="438"/>
      <c r="BK204" s="447"/>
      <c r="BL204" s="447"/>
      <c r="BM204" s="438"/>
      <c r="BN204" s="448"/>
      <c r="BO204" s="448"/>
      <c r="BP204" s="438"/>
      <c r="BQ204" s="438"/>
      <c r="BR204" s="447"/>
      <c r="BS204" s="438"/>
      <c r="BT204" s="438"/>
      <c r="BU204" s="438"/>
      <c r="BV204" s="438"/>
      <c r="BW204" s="438"/>
      <c r="BX204" s="438"/>
      <c r="BY204" s="438"/>
      <c r="BZ204" s="438">
        <f t="shared" si="87"/>
        <v>0</v>
      </c>
      <c r="CA204" s="438">
        <f t="shared" si="88"/>
        <v>0</v>
      </c>
      <c r="CB204" s="438">
        <f t="shared" si="89"/>
        <v>0</v>
      </c>
      <c r="CC204" s="438">
        <f t="shared" si="90"/>
        <v>0</v>
      </c>
      <c r="CD204" s="448"/>
      <c r="CE204" s="448"/>
      <c r="CF204" s="448"/>
      <c r="CG204" s="438"/>
      <c r="CH204" s="438"/>
    </row>
    <row r="205" s="291" customFormat="1" ht="32.05" customHeight="1" spans="1:108">
      <c r="A205" s="510">
        <v>46151</v>
      </c>
      <c r="B205" s="454" t="s">
        <v>559</v>
      </c>
      <c r="C205" s="455" t="s">
        <v>115</v>
      </c>
      <c r="D205" s="456">
        <v>4500205973</v>
      </c>
      <c r="E205" s="455" t="s">
        <v>7297</v>
      </c>
      <c r="F205" s="456" t="s">
        <v>7298</v>
      </c>
      <c r="G205" s="457" t="s">
        <v>389</v>
      </c>
      <c r="H205" s="455" t="s">
        <v>390</v>
      </c>
      <c r="I205" s="458">
        <v>1176</v>
      </c>
      <c r="J205" s="455">
        <v>0</v>
      </c>
      <c r="K205" s="455">
        <v>12</v>
      </c>
      <c r="L205" s="511">
        <f t="shared" si="79"/>
        <v>98</v>
      </c>
      <c r="M205" s="459" t="s">
        <v>7299</v>
      </c>
      <c r="N205" s="489" t="s">
        <v>7300</v>
      </c>
      <c r="O205" s="434"/>
      <c r="P205" s="512"/>
      <c r="Q205" s="512"/>
      <c r="R205" s="455"/>
      <c r="S205" s="443"/>
      <c r="T205" s="452"/>
      <c r="U205" s="452"/>
      <c r="V205" s="454"/>
      <c r="W205" s="454"/>
      <c r="X205" s="454"/>
      <c r="Y205" s="535" t="s">
        <v>7301</v>
      </c>
      <c r="Z205" s="536" t="s">
        <v>7302</v>
      </c>
      <c r="AA205" s="537">
        <v>1.374</v>
      </c>
      <c r="AB205" s="515">
        <f t="shared" ref="AB205:AB210" si="91">I205*AA205</f>
        <v>1615.824</v>
      </c>
      <c r="AC205" s="455"/>
      <c r="AD205" s="455"/>
      <c r="AE205" s="455"/>
      <c r="AF205" s="455"/>
      <c r="AG205" s="455"/>
      <c r="AH205" s="512"/>
      <c r="AI205" s="442"/>
      <c r="AJ205" s="443"/>
      <c r="AK205" s="455"/>
      <c r="AL205" s="438"/>
      <c r="AM205" s="456"/>
      <c r="AN205" s="456"/>
      <c r="AO205" s="438"/>
      <c r="AP205" s="438"/>
      <c r="AQ205" s="447"/>
      <c r="AR205" s="438"/>
      <c r="AS205" s="448"/>
      <c r="AT205" s="438"/>
      <c r="AU205" s="516"/>
      <c r="AV205" s="516"/>
      <c r="AW205" s="456"/>
      <c r="AX205" s="438"/>
      <c r="AY205" s="438"/>
      <c r="AZ205" s="456"/>
      <c r="BA205" s="456"/>
      <c r="BB205" s="456"/>
      <c r="BC205" s="456"/>
      <c r="BD205" s="456"/>
      <c r="BE205" s="456"/>
      <c r="BF205" s="456"/>
      <c r="BG205" s="456"/>
      <c r="BH205" s="456"/>
      <c r="BI205" s="456"/>
      <c r="BJ205" s="456"/>
      <c r="BK205" s="456"/>
      <c r="BL205" s="517"/>
      <c r="BM205" s="517"/>
      <c r="BN205" s="456"/>
      <c r="BO205" s="518"/>
      <c r="BP205" s="518"/>
      <c r="BQ205" s="456"/>
      <c r="BR205" s="456"/>
      <c r="BS205" s="517"/>
      <c r="BT205" s="456"/>
      <c r="BU205" s="456"/>
      <c r="BV205" s="456"/>
      <c r="BW205" s="456"/>
      <c r="BX205" s="456"/>
      <c r="BY205" s="456"/>
      <c r="BZ205" s="456"/>
      <c r="CA205" s="438"/>
      <c r="CB205" s="438"/>
      <c r="CC205" s="438"/>
      <c r="CD205" s="438"/>
      <c r="CE205" s="518"/>
      <c r="CF205" s="518"/>
      <c r="CG205" s="518"/>
      <c r="CH205" s="456"/>
      <c r="CI205" s="456"/>
    </row>
    <row r="206" s="286" customFormat="1" ht="32.05" customHeight="1" spans="1:108">
      <c r="A206" s="435">
        <v>46140</v>
      </c>
      <c r="B206" s="454" t="s">
        <v>386</v>
      </c>
      <c r="C206" s="455" t="s">
        <v>115</v>
      </c>
      <c r="D206" s="456" t="s">
        <v>7303</v>
      </c>
      <c r="E206" s="455" t="s">
        <v>7304</v>
      </c>
      <c r="F206" s="456" t="s">
        <v>7305</v>
      </c>
      <c r="G206" s="457" t="s">
        <v>389</v>
      </c>
      <c r="H206" s="455" t="s">
        <v>390</v>
      </c>
      <c r="I206" s="458">
        <v>1188</v>
      </c>
      <c r="J206" s="455">
        <v>0</v>
      </c>
      <c r="K206" s="455">
        <v>12</v>
      </c>
      <c r="L206" s="441">
        <f t="shared" si="79"/>
        <v>99</v>
      </c>
      <c r="M206" s="489">
        <v>46218</v>
      </c>
      <c r="N206" s="489">
        <v>46227</v>
      </c>
      <c r="O206" s="434" t="s">
        <v>1772</v>
      </c>
      <c r="P206" s="442"/>
      <c r="Q206" s="442"/>
      <c r="R206" s="437"/>
      <c r="S206" s="443">
        <v>46140</v>
      </c>
      <c r="T206" s="452" t="s">
        <v>107</v>
      </c>
      <c r="U206" s="452" t="s">
        <v>7306</v>
      </c>
      <c r="V206" s="436"/>
      <c r="W206" s="436"/>
      <c r="X206" s="436"/>
      <c r="Y206" s="454" t="s">
        <v>7001</v>
      </c>
      <c r="Z206" s="459" t="s">
        <v>393</v>
      </c>
      <c r="AA206" s="538">
        <v>1.5199</v>
      </c>
      <c r="AB206" s="446">
        <f t="shared" si="91"/>
        <v>1805.6412</v>
      </c>
      <c r="AC206" s="437"/>
      <c r="AD206" s="439" t="s">
        <v>389</v>
      </c>
      <c r="AE206" s="437" t="s">
        <v>112</v>
      </c>
      <c r="AF206" s="437"/>
      <c r="AG206" s="437"/>
      <c r="AH206" s="442"/>
      <c r="AI206" s="512">
        <f t="shared" ref="AI206:AI210" si="92">AH206-I206</f>
        <v>-1188</v>
      </c>
      <c r="AJ206" s="451">
        <v>46233</v>
      </c>
      <c r="AK206" s="437"/>
      <c r="AL206" s="438">
        <f t="shared" ref="AL206:AL210" si="93">I206*2</f>
        <v>2376</v>
      </c>
      <c r="AM206" s="438"/>
      <c r="AN206" s="438"/>
      <c r="AO206" s="438"/>
      <c r="AP206" s="438"/>
      <c r="AQ206" s="447">
        <f t="shared" ref="AQ206:AQ210" si="94">I206*2</f>
        <v>2376</v>
      </c>
      <c r="AR206" s="438"/>
      <c r="AS206" s="448"/>
      <c r="AT206" s="438">
        <f t="shared" ref="AT206:AT210" si="95">I206*2</f>
        <v>2376</v>
      </c>
      <c r="AU206" s="449">
        <f t="shared" ref="AU206:AU210" si="96">I206*0.06*2</f>
        <v>142.56</v>
      </c>
      <c r="AV206" s="449"/>
      <c r="AW206" s="438"/>
      <c r="AX206" s="438"/>
      <c r="AY206" s="438"/>
      <c r="AZ206" s="438"/>
      <c r="BA206" s="438"/>
      <c r="BB206" s="438"/>
      <c r="BC206" s="438"/>
      <c r="BD206" s="438"/>
      <c r="BE206" s="438"/>
      <c r="BF206" s="438"/>
      <c r="BG206" s="438"/>
      <c r="BH206" s="438"/>
      <c r="BI206" s="438"/>
      <c r="BJ206" s="438"/>
      <c r="BK206" s="438"/>
      <c r="BL206" s="447"/>
      <c r="BM206" s="447"/>
      <c r="BN206" s="438"/>
      <c r="BO206" s="448"/>
      <c r="BP206" s="448"/>
      <c r="BQ206" s="438"/>
      <c r="BR206" s="438"/>
      <c r="BS206" s="447"/>
      <c r="BT206" s="438"/>
      <c r="BU206" s="438"/>
      <c r="BV206" s="438"/>
      <c r="BW206" s="438"/>
      <c r="BX206" s="438"/>
      <c r="BY206" s="438"/>
      <c r="BZ206" s="438"/>
      <c r="CA206" s="438">
        <f t="shared" ref="CA206:CA210" si="97">BK206+BL206+BN206+BP206+BO206</f>
        <v>0</v>
      </c>
      <c r="CB206" s="438">
        <f t="shared" ref="CB206:CB210" si="98">BR206</f>
        <v>0</v>
      </c>
      <c r="CC206" s="438">
        <f t="shared" ref="CC206:CC210" si="99">BZ206</f>
        <v>0</v>
      </c>
      <c r="CD206" s="438">
        <f t="shared" ref="CD206:CD210" si="100">BS206+BT206+BU206</f>
        <v>0</v>
      </c>
      <c r="CE206" s="448"/>
      <c r="CF206" s="448"/>
      <c r="CG206" s="448">
        <f t="shared" ref="CG206:CG210" si="101">I206</f>
        <v>1188</v>
      </c>
      <c r="CH206" s="438">
        <f t="shared" ref="CH206:CH210" si="102">I206</f>
        <v>1188</v>
      </c>
      <c r="CI206" s="438">
        <f t="shared" ref="CI206:CI210" si="103">I206</f>
        <v>1188</v>
      </c>
      <c r="CJ206" s="291"/>
      <c r="CK206" s="291"/>
      <c r="CL206" s="291"/>
      <c r="CM206" s="291"/>
      <c r="CN206" s="291"/>
      <c r="CO206" s="291"/>
      <c r="CP206" s="291"/>
      <c r="CQ206" s="291"/>
      <c r="CR206" s="291"/>
      <c r="CS206" s="291"/>
      <c r="CT206" s="291"/>
      <c r="CU206" s="291"/>
      <c r="CV206" s="291"/>
      <c r="CW206" s="291"/>
      <c r="CX206" s="291"/>
      <c r="CY206" s="291"/>
      <c r="CZ206" s="291"/>
      <c r="DA206" s="291"/>
      <c r="DB206" s="291"/>
      <c r="DC206" s="291"/>
      <c r="DD206" s="291"/>
    </row>
    <row r="207" s="286" customFormat="1" ht="32.05" customHeight="1" spans="1:108">
      <c r="A207" s="435">
        <v>46120</v>
      </c>
      <c r="B207" s="436" t="s">
        <v>386</v>
      </c>
      <c r="C207" s="437" t="s">
        <v>115</v>
      </c>
      <c r="D207" s="438" t="s">
        <v>7307</v>
      </c>
      <c r="E207" s="437" t="s">
        <v>7308</v>
      </c>
      <c r="F207" s="438" t="s">
        <v>7309</v>
      </c>
      <c r="G207" s="439" t="s">
        <v>389</v>
      </c>
      <c r="H207" s="437" t="s">
        <v>390</v>
      </c>
      <c r="I207" s="440">
        <v>2352</v>
      </c>
      <c r="J207" s="437">
        <v>0</v>
      </c>
      <c r="K207" s="437">
        <v>12</v>
      </c>
      <c r="L207" s="441">
        <f t="shared" si="79"/>
        <v>196</v>
      </c>
      <c r="M207" s="445">
        <v>46219</v>
      </c>
      <c r="N207" s="434">
        <v>46230</v>
      </c>
      <c r="O207" s="489" t="s">
        <v>1923</v>
      </c>
      <c r="P207" s="442"/>
      <c r="Q207" s="442"/>
      <c r="R207" s="437"/>
      <c r="S207" s="443">
        <v>46119</v>
      </c>
      <c r="T207" s="452" t="s">
        <v>107</v>
      </c>
      <c r="U207" s="452" t="s">
        <v>7310</v>
      </c>
      <c r="V207" s="436"/>
      <c r="W207" s="436"/>
      <c r="X207" s="436"/>
      <c r="Y207" s="444" t="s">
        <v>779</v>
      </c>
      <c r="Z207" s="445" t="s">
        <v>393</v>
      </c>
      <c r="AA207" s="481">
        <v>1.374</v>
      </c>
      <c r="AB207" s="446">
        <f t="shared" si="91"/>
        <v>3231.648</v>
      </c>
      <c r="AC207" s="437"/>
      <c r="AD207" s="437" t="s">
        <v>389</v>
      </c>
      <c r="AE207" s="437" t="s">
        <v>112</v>
      </c>
      <c r="AF207" s="437"/>
      <c r="AG207" s="437"/>
      <c r="AH207" s="442"/>
      <c r="AI207" s="539">
        <f t="shared" si="92"/>
        <v>-2352</v>
      </c>
      <c r="AJ207" s="451">
        <v>46235</v>
      </c>
      <c r="AK207" s="437"/>
      <c r="AL207" s="438">
        <f t="shared" si="93"/>
        <v>4704</v>
      </c>
      <c r="AM207" s="438"/>
      <c r="AN207" s="438"/>
      <c r="AO207" s="438"/>
      <c r="AP207" s="438"/>
      <c r="AQ207" s="447">
        <f t="shared" si="94"/>
        <v>4704</v>
      </c>
      <c r="AR207" s="438"/>
      <c r="AS207" s="448"/>
      <c r="AT207" s="438">
        <f t="shared" si="95"/>
        <v>4704</v>
      </c>
      <c r="AU207" s="449">
        <f t="shared" si="96"/>
        <v>282.24</v>
      </c>
      <c r="AV207" s="449"/>
      <c r="AW207" s="438"/>
      <c r="AX207" s="438"/>
      <c r="AY207" s="438"/>
      <c r="AZ207" s="438"/>
      <c r="BA207" s="438"/>
      <c r="BB207" s="438"/>
      <c r="BC207" s="438"/>
      <c r="BD207" s="438"/>
      <c r="BE207" s="438"/>
      <c r="BF207" s="438"/>
      <c r="BG207" s="438"/>
      <c r="BH207" s="438"/>
      <c r="BI207" s="438"/>
      <c r="BJ207" s="438"/>
      <c r="BK207" s="438"/>
      <c r="BL207" s="447"/>
      <c r="BM207" s="447"/>
      <c r="BN207" s="438"/>
      <c r="BO207" s="448"/>
      <c r="BP207" s="448"/>
      <c r="BQ207" s="438"/>
      <c r="BR207" s="438"/>
      <c r="BS207" s="447"/>
      <c r="BT207" s="438"/>
      <c r="BU207" s="438"/>
      <c r="BV207" s="438"/>
      <c r="BW207" s="438"/>
      <c r="BX207" s="438"/>
      <c r="BY207" s="438"/>
      <c r="BZ207" s="438"/>
      <c r="CA207" s="438">
        <f t="shared" si="97"/>
        <v>0</v>
      </c>
      <c r="CB207" s="438">
        <f t="shared" si="98"/>
        <v>0</v>
      </c>
      <c r="CC207" s="438">
        <f t="shared" si="99"/>
        <v>0</v>
      </c>
      <c r="CD207" s="438">
        <f t="shared" si="100"/>
        <v>0</v>
      </c>
      <c r="CE207" s="448"/>
      <c r="CF207" s="448"/>
      <c r="CG207" s="448">
        <f t="shared" si="101"/>
        <v>2352</v>
      </c>
      <c r="CH207" s="438">
        <f t="shared" si="102"/>
        <v>2352</v>
      </c>
      <c r="CI207" s="438">
        <f t="shared" si="103"/>
        <v>2352</v>
      </c>
      <c r="CJ207" s="291"/>
      <c r="CK207" s="291"/>
      <c r="CL207" s="291"/>
      <c r="CM207" s="291"/>
      <c r="CN207" s="291"/>
      <c r="CO207" s="291"/>
      <c r="CP207" s="291"/>
      <c r="CQ207" s="291"/>
      <c r="CR207" s="291"/>
      <c r="CS207" s="291"/>
      <c r="CT207" s="291"/>
      <c r="CU207" s="291"/>
      <c r="CV207" s="291"/>
      <c r="CW207" s="291"/>
      <c r="CX207" s="291"/>
      <c r="CY207" s="291"/>
      <c r="CZ207" s="291"/>
      <c r="DA207" s="291"/>
      <c r="DB207" s="291"/>
      <c r="DC207" s="291"/>
      <c r="DD207" s="291"/>
    </row>
    <row r="208" s="291" customFormat="1" ht="32.05" customHeight="1" spans="1:108">
      <c r="A208" s="435">
        <v>46120</v>
      </c>
      <c r="B208" s="436" t="s">
        <v>386</v>
      </c>
      <c r="C208" s="437" t="s">
        <v>115</v>
      </c>
      <c r="D208" s="438" t="s">
        <v>7307</v>
      </c>
      <c r="E208" s="437" t="s">
        <v>7311</v>
      </c>
      <c r="F208" s="438" t="s">
        <v>7312</v>
      </c>
      <c r="G208" s="439" t="s">
        <v>389</v>
      </c>
      <c r="H208" s="437" t="s">
        <v>390</v>
      </c>
      <c r="I208" s="440">
        <v>5040</v>
      </c>
      <c r="J208" s="437">
        <v>0</v>
      </c>
      <c r="K208" s="437">
        <v>12</v>
      </c>
      <c r="L208" s="441">
        <f t="shared" si="79"/>
        <v>420</v>
      </c>
      <c r="M208" s="445">
        <v>46219</v>
      </c>
      <c r="N208" s="434">
        <v>46230</v>
      </c>
      <c r="O208" s="489" t="s">
        <v>1923</v>
      </c>
      <c r="P208" s="442"/>
      <c r="Q208" s="442"/>
      <c r="R208" s="437"/>
      <c r="S208" s="443">
        <v>46119</v>
      </c>
      <c r="T208" s="444" t="s">
        <v>107</v>
      </c>
      <c r="U208" s="452" t="s">
        <v>7310</v>
      </c>
      <c r="V208" s="436"/>
      <c r="W208" s="436"/>
      <c r="X208" s="436"/>
      <c r="Y208" s="444" t="s">
        <v>779</v>
      </c>
      <c r="Z208" s="445" t="s">
        <v>393</v>
      </c>
      <c r="AA208" s="481">
        <v>1.374</v>
      </c>
      <c r="AB208" s="446">
        <f t="shared" si="91"/>
        <v>6924.96</v>
      </c>
      <c r="AC208" s="437"/>
      <c r="AD208" s="437" t="s">
        <v>389</v>
      </c>
      <c r="AE208" s="437" t="s">
        <v>112</v>
      </c>
      <c r="AF208" s="437"/>
      <c r="AG208" s="437"/>
      <c r="AH208" s="442"/>
      <c r="AI208" s="539">
        <f t="shared" si="92"/>
        <v>-5040</v>
      </c>
      <c r="AJ208" s="451">
        <v>46235</v>
      </c>
      <c r="AK208" s="437"/>
      <c r="AL208" s="438">
        <f t="shared" si="93"/>
        <v>10080</v>
      </c>
      <c r="AM208" s="438"/>
      <c r="AN208" s="438"/>
      <c r="AO208" s="438"/>
      <c r="AP208" s="438"/>
      <c r="AQ208" s="447">
        <f t="shared" si="94"/>
        <v>10080</v>
      </c>
      <c r="AR208" s="438"/>
      <c r="AS208" s="448"/>
      <c r="AT208" s="438">
        <f t="shared" si="95"/>
        <v>10080</v>
      </c>
      <c r="AU208" s="449">
        <f t="shared" si="96"/>
        <v>604.8</v>
      </c>
      <c r="AV208" s="449"/>
      <c r="AW208" s="438"/>
      <c r="AX208" s="438"/>
      <c r="AY208" s="438"/>
      <c r="AZ208" s="438"/>
      <c r="BA208" s="438"/>
      <c r="BB208" s="438"/>
      <c r="BC208" s="438"/>
      <c r="BD208" s="438"/>
      <c r="BE208" s="438"/>
      <c r="BF208" s="438"/>
      <c r="BG208" s="438"/>
      <c r="BH208" s="438"/>
      <c r="BI208" s="438"/>
      <c r="BJ208" s="438"/>
      <c r="BK208" s="438"/>
      <c r="BL208" s="447"/>
      <c r="BM208" s="447"/>
      <c r="BN208" s="438"/>
      <c r="BO208" s="448"/>
      <c r="BP208" s="448"/>
      <c r="BQ208" s="438"/>
      <c r="BR208" s="438"/>
      <c r="BS208" s="447"/>
      <c r="BT208" s="438"/>
      <c r="BU208" s="438"/>
      <c r="BV208" s="438"/>
      <c r="BW208" s="438"/>
      <c r="BX208" s="438"/>
      <c r="BY208" s="438"/>
      <c r="BZ208" s="438"/>
      <c r="CA208" s="438">
        <f t="shared" si="97"/>
        <v>0</v>
      </c>
      <c r="CB208" s="438">
        <f t="shared" si="98"/>
        <v>0</v>
      </c>
      <c r="CC208" s="438">
        <f t="shared" si="99"/>
        <v>0</v>
      </c>
      <c r="CD208" s="438">
        <f t="shared" si="100"/>
        <v>0</v>
      </c>
      <c r="CE208" s="448"/>
      <c r="CF208" s="448"/>
      <c r="CG208" s="448">
        <f t="shared" si="101"/>
        <v>5040</v>
      </c>
      <c r="CH208" s="438">
        <f t="shared" si="102"/>
        <v>5040</v>
      </c>
      <c r="CI208" s="438">
        <f t="shared" si="103"/>
        <v>5040</v>
      </c>
    </row>
    <row r="209" s="286" customFormat="1" ht="32.05" customHeight="1" spans="1:108">
      <c r="A209" s="435">
        <v>46120</v>
      </c>
      <c r="B209" s="436" t="s">
        <v>386</v>
      </c>
      <c r="C209" s="437" t="s">
        <v>115</v>
      </c>
      <c r="D209" s="438" t="s">
        <v>7313</v>
      </c>
      <c r="E209" s="437" t="s">
        <v>7314</v>
      </c>
      <c r="F209" s="438" t="s">
        <v>7315</v>
      </c>
      <c r="G209" s="439" t="s">
        <v>389</v>
      </c>
      <c r="H209" s="437" t="s">
        <v>390</v>
      </c>
      <c r="I209" s="440">
        <v>2508</v>
      </c>
      <c r="J209" s="437">
        <v>0</v>
      </c>
      <c r="K209" s="437">
        <v>12</v>
      </c>
      <c r="L209" s="441">
        <f t="shared" si="79"/>
        <v>209</v>
      </c>
      <c r="M209" s="445">
        <v>46226</v>
      </c>
      <c r="N209" s="434">
        <v>46232</v>
      </c>
      <c r="O209" s="434" t="s">
        <v>2151</v>
      </c>
      <c r="P209" s="442"/>
      <c r="Q209" s="442"/>
      <c r="R209" s="437"/>
      <c r="S209" s="443">
        <v>46119</v>
      </c>
      <c r="T209" s="444" t="s">
        <v>107</v>
      </c>
      <c r="U209" s="444" t="s">
        <v>7310</v>
      </c>
      <c r="V209" s="436"/>
      <c r="W209" s="436"/>
      <c r="X209" s="436"/>
      <c r="Y209" s="444" t="s">
        <v>785</v>
      </c>
      <c r="Z209" s="445" t="s">
        <v>393</v>
      </c>
      <c r="AA209" s="481">
        <v>1.374</v>
      </c>
      <c r="AB209" s="446">
        <f t="shared" si="91"/>
        <v>3445.992</v>
      </c>
      <c r="AC209" s="437"/>
      <c r="AD209" s="437" t="s">
        <v>389</v>
      </c>
      <c r="AE209" s="437" t="s">
        <v>112</v>
      </c>
      <c r="AF209" s="437"/>
      <c r="AG209" s="437"/>
      <c r="AH209" s="442"/>
      <c r="AI209" s="539">
        <f t="shared" si="92"/>
        <v>-2508</v>
      </c>
      <c r="AJ209" s="451">
        <v>46239</v>
      </c>
      <c r="AK209" s="437"/>
      <c r="AL209" s="438">
        <f t="shared" si="93"/>
        <v>5016</v>
      </c>
      <c r="AM209" s="438"/>
      <c r="AN209" s="438"/>
      <c r="AO209" s="438"/>
      <c r="AP209" s="438"/>
      <c r="AQ209" s="447">
        <f t="shared" si="94"/>
        <v>5016</v>
      </c>
      <c r="AR209" s="438"/>
      <c r="AS209" s="448"/>
      <c r="AT209" s="438">
        <f t="shared" si="95"/>
        <v>5016</v>
      </c>
      <c r="AU209" s="449">
        <f t="shared" si="96"/>
        <v>300.96</v>
      </c>
      <c r="AV209" s="449"/>
      <c r="AW209" s="438"/>
      <c r="AX209" s="438"/>
      <c r="AY209" s="438"/>
      <c r="AZ209" s="438"/>
      <c r="BA209" s="438"/>
      <c r="BB209" s="438"/>
      <c r="BC209" s="438"/>
      <c r="BD209" s="438"/>
      <c r="BE209" s="438"/>
      <c r="BF209" s="438"/>
      <c r="BG209" s="438"/>
      <c r="BH209" s="438"/>
      <c r="BI209" s="438"/>
      <c r="BJ209" s="438"/>
      <c r="BK209" s="438"/>
      <c r="BL209" s="447"/>
      <c r="BM209" s="447"/>
      <c r="BN209" s="438"/>
      <c r="BO209" s="448"/>
      <c r="BP209" s="438"/>
      <c r="BQ209" s="438"/>
      <c r="BR209" s="438"/>
      <c r="BS209" s="447"/>
      <c r="BT209" s="438"/>
      <c r="BU209" s="438"/>
      <c r="BV209" s="438"/>
      <c r="BW209" s="438"/>
      <c r="BX209" s="438"/>
      <c r="BY209" s="438"/>
      <c r="BZ209" s="438"/>
      <c r="CA209" s="438">
        <f t="shared" si="97"/>
        <v>0</v>
      </c>
      <c r="CB209" s="438">
        <f t="shared" si="98"/>
        <v>0</v>
      </c>
      <c r="CC209" s="438">
        <f t="shared" si="99"/>
        <v>0</v>
      </c>
      <c r="CD209" s="438">
        <f t="shared" si="100"/>
        <v>0</v>
      </c>
      <c r="CE209" s="448"/>
      <c r="CF209" s="448"/>
      <c r="CG209" s="448">
        <f t="shared" si="101"/>
        <v>2508</v>
      </c>
      <c r="CH209" s="438">
        <f t="shared" si="102"/>
        <v>2508</v>
      </c>
      <c r="CI209" s="438">
        <f t="shared" si="103"/>
        <v>2508</v>
      </c>
      <c r="CJ209" s="291"/>
      <c r="CK209" s="291"/>
      <c r="CL209" s="291"/>
      <c r="CM209" s="291"/>
      <c r="CN209" s="291"/>
      <c r="CO209" s="291"/>
      <c r="CP209" s="291"/>
      <c r="CQ209" s="291"/>
      <c r="CR209" s="291"/>
      <c r="CS209" s="291"/>
      <c r="CT209" s="291"/>
      <c r="CU209" s="291"/>
      <c r="CV209" s="291"/>
      <c r="CW209" s="291"/>
      <c r="CX209" s="291"/>
      <c r="CY209" s="291"/>
      <c r="CZ209" s="291"/>
      <c r="DA209" s="291"/>
      <c r="DB209" s="291"/>
      <c r="DC209" s="291"/>
      <c r="DD209" s="291"/>
    </row>
    <row r="210" s="287" customFormat="1" ht="32.05" customHeight="1" spans="1:108">
      <c r="A210" s="435">
        <v>46120</v>
      </c>
      <c r="B210" s="454" t="s">
        <v>386</v>
      </c>
      <c r="C210" s="455" t="s">
        <v>115</v>
      </c>
      <c r="D210" s="456" t="s">
        <v>7316</v>
      </c>
      <c r="E210" s="455" t="s">
        <v>7317</v>
      </c>
      <c r="F210" s="456" t="s">
        <v>7318</v>
      </c>
      <c r="G210" s="457" t="s">
        <v>389</v>
      </c>
      <c r="H210" s="455" t="s">
        <v>390</v>
      </c>
      <c r="I210" s="458">
        <v>1896</v>
      </c>
      <c r="J210" s="455">
        <v>0</v>
      </c>
      <c r="K210" s="455">
        <v>12</v>
      </c>
      <c r="L210" s="441">
        <f t="shared" si="79"/>
        <v>158</v>
      </c>
      <c r="M210" s="459">
        <v>46219</v>
      </c>
      <c r="N210" s="489">
        <v>46230</v>
      </c>
      <c r="O210" s="489" t="s">
        <v>1923</v>
      </c>
      <c r="P210" s="442"/>
      <c r="Q210" s="442"/>
      <c r="R210" s="437"/>
      <c r="S210" s="451">
        <v>46119</v>
      </c>
      <c r="T210" s="444" t="s">
        <v>107</v>
      </c>
      <c r="U210" s="452" t="s">
        <v>7310</v>
      </c>
      <c r="V210" s="436"/>
      <c r="W210" s="436"/>
      <c r="X210" s="436"/>
      <c r="Y210" s="452" t="s">
        <v>785</v>
      </c>
      <c r="Z210" s="459" t="s">
        <v>393</v>
      </c>
      <c r="AA210" s="481">
        <v>1.374</v>
      </c>
      <c r="AB210" s="446">
        <f t="shared" si="91"/>
        <v>2605.104</v>
      </c>
      <c r="AC210" s="437"/>
      <c r="AD210" s="437" t="s">
        <v>389</v>
      </c>
      <c r="AE210" s="437" t="s">
        <v>112</v>
      </c>
      <c r="AF210" s="437"/>
      <c r="AG210" s="437"/>
      <c r="AH210" s="442"/>
      <c r="AI210" s="539">
        <f t="shared" si="92"/>
        <v>-1896</v>
      </c>
      <c r="AJ210" s="451">
        <v>46235</v>
      </c>
      <c r="AK210" s="437"/>
      <c r="AL210" s="438">
        <f t="shared" si="93"/>
        <v>3792</v>
      </c>
      <c r="AM210" s="438"/>
      <c r="AN210" s="438"/>
      <c r="AO210" s="438"/>
      <c r="AP210" s="438"/>
      <c r="AQ210" s="447">
        <f t="shared" si="94"/>
        <v>3792</v>
      </c>
      <c r="AR210" s="438"/>
      <c r="AS210" s="448"/>
      <c r="AT210" s="438">
        <f t="shared" si="95"/>
        <v>3792</v>
      </c>
      <c r="AU210" s="449">
        <f t="shared" si="96"/>
        <v>227.52</v>
      </c>
      <c r="AV210" s="449"/>
      <c r="AW210" s="438"/>
      <c r="AX210" s="438"/>
      <c r="AY210" s="438"/>
      <c r="AZ210" s="438"/>
      <c r="BA210" s="438"/>
      <c r="BB210" s="438"/>
      <c r="BC210" s="438"/>
      <c r="BD210" s="438"/>
      <c r="BE210" s="438"/>
      <c r="BF210" s="438"/>
      <c r="BG210" s="438"/>
      <c r="BH210" s="438"/>
      <c r="BI210" s="438"/>
      <c r="BJ210" s="438"/>
      <c r="BK210" s="438"/>
      <c r="BL210" s="447"/>
      <c r="BM210" s="447"/>
      <c r="BN210" s="438"/>
      <c r="BO210" s="448"/>
      <c r="BP210" s="448"/>
      <c r="BQ210" s="438"/>
      <c r="BR210" s="438"/>
      <c r="BS210" s="447"/>
      <c r="BT210" s="438"/>
      <c r="BU210" s="438"/>
      <c r="BV210" s="438"/>
      <c r="BW210" s="438"/>
      <c r="BX210" s="438"/>
      <c r="BY210" s="438"/>
      <c r="BZ210" s="438"/>
      <c r="CA210" s="438">
        <f t="shared" si="97"/>
        <v>0</v>
      </c>
      <c r="CB210" s="438">
        <f t="shared" si="98"/>
        <v>0</v>
      </c>
      <c r="CC210" s="438">
        <f t="shared" si="99"/>
        <v>0</v>
      </c>
      <c r="CD210" s="438">
        <f t="shared" si="100"/>
        <v>0</v>
      </c>
      <c r="CE210" s="448"/>
      <c r="CF210" s="448"/>
      <c r="CG210" s="448">
        <f t="shared" si="101"/>
        <v>1896</v>
      </c>
      <c r="CH210" s="438">
        <f t="shared" si="102"/>
        <v>1896</v>
      </c>
      <c r="CI210" s="438">
        <f t="shared" si="103"/>
        <v>1896</v>
      </c>
      <c r="CJ210" s="291"/>
      <c r="CK210" s="291"/>
      <c r="CL210" s="291"/>
      <c r="CM210" s="291"/>
      <c r="CN210" s="291"/>
      <c r="CO210" s="291"/>
      <c r="CP210" s="291"/>
      <c r="CQ210" s="291"/>
      <c r="CR210" s="291"/>
      <c r="CS210" s="291"/>
      <c r="CT210" s="291"/>
      <c r="CU210" s="291"/>
      <c r="CV210" s="291"/>
      <c r="CW210" s="291"/>
      <c r="CX210" s="291"/>
      <c r="CY210" s="291"/>
      <c r="CZ210" s="291"/>
      <c r="DA210" s="291"/>
      <c r="DB210" s="291"/>
      <c r="DC210" s="291"/>
      <c r="DD210" s="291"/>
    </row>
    <row r="211" s="295" customFormat="1" ht="32.05" customHeight="1" spans="1:108">
      <c r="A211" s="435">
        <v>46151</v>
      </c>
      <c r="B211" s="436" t="s">
        <v>559</v>
      </c>
      <c r="C211" s="437" t="s">
        <v>115</v>
      </c>
      <c r="D211" s="438">
        <v>4500205996</v>
      </c>
      <c r="E211" s="437" t="s">
        <v>7319</v>
      </c>
      <c r="F211" s="438" t="s">
        <v>7320</v>
      </c>
      <c r="G211" s="439" t="s">
        <v>389</v>
      </c>
      <c r="H211" s="437" t="s">
        <v>390</v>
      </c>
      <c r="I211" s="440">
        <v>468</v>
      </c>
      <c r="J211" s="437">
        <v>0</v>
      </c>
      <c r="K211" s="437">
        <v>12</v>
      </c>
      <c r="L211" s="441">
        <v>39</v>
      </c>
      <c r="M211" s="445">
        <v>46226</v>
      </c>
      <c r="N211" s="434">
        <v>46223</v>
      </c>
      <c r="O211" s="434"/>
      <c r="P211" s="442"/>
      <c r="Q211" s="442"/>
      <c r="R211" s="437"/>
      <c r="S211" s="455"/>
      <c r="T211" s="452"/>
      <c r="U211" s="452"/>
      <c r="V211" s="436"/>
      <c r="W211" s="436"/>
      <c r="X211" s="436"/>
      <c r="Y211" s="535" t="s">
        <v>7321</v>
      </c>
      <c r="Z211" s="536" t="s">
        <v>7302</v>
      </c>
      <c r="AA211" s="537">
        <v>1.374</v>
      </c>
      <c r="AB211" s="540">
        <v>643.032</v>
      </c>
      <c r="AC211" s="437"/>
      <c r="AD211" s="437"/>
      <c r="AE211" s="437"/>
      <c r="AF211" s="437"/>
      <c r="AG211" s="437"/>
      <c r="AH211" s="442"/>
      <c r="AI211" s="512"/>
      <c r="AJ211" s="437"/>
      <c r="AK211" s="437"/>
      <c r="AL211" s="438"/>
      <c r="AM211" s="438"/>
      <c r="AN211" s="438"/>
      <c r="AO211" s="438"/>
      <c r="AP211" s="438"/>
      <c r="AQ211" s="447"/>
      <c r="AR211" s="438"/>
      <c r="AS211" s="448"/>
      <c r="AT211" s="438"/>
      <c r="AU211" s="449"/>
      <c r="AV211" s="449"/>
      <c r="AW211" s="438"/>
      <c r="AX211" s="438"/>
      <c r="AY211" s="438"/>
      <c r="AZ211" s="438"/>
      <c r="BA211" s="438"/>
      <c r="BB211" s="438"/>
      <c r="BC211" s="438"/>
      <c r="BD211" s="438"/>
      <c r="BE211" s="438"/>
      <c r="BF211" s="438"/>
      <c r="BG211" s="438"/>
      <c r="BH211" s="438"/>
      <c r="BI211" s="438"/>
      <c r="BJ211" s="438"/>
      <c r="BK211" s="438"/>
      <c r="BL211" s="447"/>
      <c r="BM211" s="447"/>
      <c r="BN211" s="438"/>
      <c r="BO211" s="448"/>
      <c r="BP211" s="448"/>
      <c r="BQ211" s="438"/>
      <c r="BR211" s="438"/>
      <c r="BS211" s="447"/>
      <c r="BT211" s="438"/>
      <c r="BU211" s="438"/>
      <c r="BV211" s="438"/>
      <c r="BW211" s="438"/>
      <c r="BX211" s="438"/>
      <c r="BY211" s="438"/>
      <c r="BZ211" s="438"/>
      <c r="CA211" s="438"/>
      <c r="CB211" s="438"/>
      <c r="CC211" s="438"/>
      <c r="CD211" s="438"/>
      <c r="CE211" s="448"/>
      <c r="CF211" s="448"/>
      <c r="CG211" s="448"/>
      <c r="CH211" s="438"/>
      <c r="CI211" s="438"/>
      <c r="CJ211" s="286"/>
      <c r="CK211" s="286"/>
      <c r="CL211" s="286"/>
      <c r="CM211" s="286"/>
      <c r="CN211" s="286"/>
      <c r="CO211" s="286"/>
      <c r="CP211" s="286"/>
      <c r="CQ211" s="286"/>
      <c r="CR211" s="286"/>
      <c r="CS211" s="286"/>
      <c r="CT211" s="286"/>
      <c r="CU211" s="286"/>
      <c r="CV211" s="286"/>
      <c r="CW211" s="286"/>
      <c r="CX211" s="286"/>
      <c r="CY211" s="286"/>
      <c r="CZ211" s="286"/>
      <c r="DA211" s="286"/>
      <c r="DB211" s="286"/>
      <c r="DC211" s="286"/>
      <c r="DD211" s="286"/>
    </row>
    <row r="212" s="295" customFormat="1" ht="32.05" customHeight="1" spans="1:108">
      <c r="A212" s="435">
        <v>46151</v>
      </c>
      <c r="B212" s="436" t="s">
        <v>559</v>
      </c>
      <c r="C212" s="437" t="s">
        <v>115</v>
      </c>
      <c r="D212" s="438">
        <v>4500205996</v>
      </c>
      <c r="E212" s="437" t="s">
        <v>7322</v>
      </c>
      <c r="F212" s="438" t="s">
        <v>7323</v>
      </c>
      <c r="G212" s="439" t="s">
        <v>389</v>
      </c>
      <c r="H212" s="437" t="s">
        <v>390</v>
      </c>
      <c r="I212" s="440">
        <v>1092</v>
      </c>
      <c r="J212" s="437">
        <v>0</v>
      </c>
      <c r="K212" s="437">
        <v>12</v>
      </c>
      <c r="L212" s="441">
        <v>91</v>
      </c>
      <c r="M212" s="445">
        <v>46226</v>
      </c>
      <c r="N212" s="434">
        <v>46223</v>
      </c>
      <c r="O212" s="434"/>
      <c r="P212" s="442"/>
      <c r="Q212" s="442"/>
      <c r="R212" s="437"/>
      <c r="S212" s="455"/>
      <c r="T212" s="452"/>
      <c r="U212" s="452"/>
      <c r="V212" s="436"/>
      <c r="W212" s="436"/>
      <c r="X212" s="436"/>
      <c r="Y212" s="535" t="s">
        <v>7301</v>
      </c>
      <c r="Z212" s="536" t="s">
        <v>7302</v>
      </c>
      <c r="AA212" s="537">
        <v>1.374</v>
      </c>
      <c r="AB212" s="540">
        <v>1500.408</v>
      </c>
      <c r="AC212" s="437"/>
      <c r="AD212" s="437"/>
      <c r="AE212" s="437"/>
      <c r="AF212" s="437"/>
      <c r="AG212" s="437"/>
      <c r="AH212" s="442"/>
      <c r="AI212" s="512"/>
      <c r="AJ212" s="437"/>
      <c r="AK212" s="437"/>
      <c r="AL212" s="438"/>
      <c r="AM212" s="438"/>
      <c r="AN212" s="438"/>
      <c r="AO212" s="438"/>
      <c r="AP212" s="438"/>
      <c r="AQ212" s="447"/>
      <c r="AR212" s="438"/>
      <c r="AS212" s="448"/>
      <c r="AT212" s="438"/>
      <c r="AU212" s="449"/>
      <c r="AV212" s="449"/>
      <c r="AW212" s="438"/>
      <c r="AX212" s="438"/>
      <c r="AY212" s="438"/>
      <c r="AZ212" s="438"/>
      <c r="BA212" s="438"/>
      <c r="BB212" s="438"/>
      <c r="BC212" s="438"/>
      <c r="BD212" s="438"/>
      <c r="BE212" s="438"/>
      <c r="BF212" s="438"/>
      <c r="BG212" s="438"/>
      <c r="BH212" s="438"/>
      <c r="BI212" s="438"/>
      <c r="BJ212" s="438"/>
      <c r="BK212" s="438"/>
      <c r="BL212" s="447"/>
      <c r="BM212" s="447"/>
      <c r="BN212" s="438"/>
      <c r="BO212" s="448"/>
      <c r="BP212" s="448"/>
      <c r="BQ212" s="438"/>
      <c r="BR212" s="438"/>
      <c r="BS212" s="447"/>
      <c r="BT212" s="438"/>
      <c r="BU212" s="438"/>
      <c r="BV212" s="438"/>
      <c r="BW212" s="438"/>
      <c r="BX212" s="438"/>
      <c r="BY212" s="438"/>
      <c r="BZ212" s="438"/>
      <c r="CA212" s="438"/>
      <c r="CB212" s="438"/>
      <c r="CC212" s="438"/>
      <c r="CD212" s="438"/>
      <c r="CE212" s="448"/>
      <c r="CF212" s="448"/>
      <c r="CG212" s="448"/>
      <c r="CH212" s="438"/>
      <c r="CI212" s="438"/>
      <c r="CJ212" s="286"/>
      <c r="CK212" s="286"/>
      <c r="CL212" s="286"/>
      <c r="CM212" s="286"/>
      <c r="CN212" s="286"/>
      <c r="CO212" s="286"/>
      <c r="CP212" s="286"/>
      <c r="CQ212" s="286"/>
      <c r="CR212" s="286"/>
      <c r="CS212" s="286"/>
      <c r="CT212" s="286"/>
      <c r="CU212" s="286"/>
      <c r="CV212" s="286"/>
      <c r="CW212" s="286"/>
      <c r="CX212" s="286"/>
      <c r="CY212" s="286"/>
      <c r="CZ212" s="286"/>
      <c r="DA212" s="286"/>
      <c r="DB212" s="286"/>
      <c r="DC212" s="286"/>
      <c r="DD212" s="286"/>
    </row>
    <row r="213" s="286" customFormat="1" ht="32.05" customHeight="1" spans="1:108">
      <c r="A213" s="435">
        <v>46090</v>
      </c>
      <c r="B213" s="436" t="s">
        <v>180</v>
      </c>
      <c r="C213" s="437" t="s">
        <v>115</v>
      </c>
      <c r="D213" s="438">
        <v>4500195685</v>
      </c>
      <c r="E213" s="437">
        <v>5200009207</v>
      </c>
      <c r="F213" s="438" t="s">
        <v>7324</v>
      </c>
      <c r="G213" s="439" t="s">
        <v>553</v>
      </c>
      <c r="H213" s="437" t="s">
        <v>390</v>
      </c>
      <c r="I213" s="440">
        <v>3768</v>
      </c>
      <c r="J213" s="437">
        <v>0</v>
      </c>
      <c r="K213" s="437">
        <v>12</v>
      </c>
      <c r="L213" s="441">
        <f t="shared" ref="L213:L239" si="104">I213/K213</f>
        <v>314</v>
      </c>
      <c r="M213" s="445">
        <v>46171</v>
      </c>
      <c r="N213" s="445">
        <v>46167</v>
      </c>
      <c r="O213" s="445"/>
      <c r="P213" s="442"/>
      <c r="Q213" s="522" t="s">
        <v>106</v>
      </c>
      <c r="R213" s="437"/>
      <c r="S213" s="443" t="s">
        <v>7325</v>
      </c>
      <c r="T213" s="452" t="s">
        <v>95</v>
      </c>
      <c r="U213" s="444" t="s">
        <v>95</v>
      </c>
      <c r="V213" s="436"/>
      <c r="W213" s="436"/>
      <c r="X213" s="436"/>
      <c r="Y213" s="509" t="s">
        <v>7326</v>
      </c>
      <c r="Z213" s="541" t="s">
        <v>3573</v>
      </c>
      <c r="AA213" s="438">
        <v>1.374</v>
      </c>
      <c r="AB213" s="446">
        <f t="shared" ref="AB213:AB216" si="105">I213*AA213</f>
        <v>5177.232</v>
      </c>
      <c r="AC213" s="437"/>
      <c r="AD213" s="437" t="s">
        <v>389</v>
      </c>
      <c r="AE213" s="437" t="s">
        <v>112</v>
      </c>
      <c r="AF213" s="437" t="s">
        <v>113</v>
      </c>
      <c r="AG213" s="437"/>
      <c r="AH213" s="442">
        <f>3756+12</f>
        <v>3768</v>
      </c>
      <c r="AI213" s="442">
        <f t="shared" ref="AI213:AI216" si="106">AH213-I213</f>
        <v>0</v>
      </c>
      <c r="AJ213" s="437"/>
      <c r="AK213" s="437"/>
      <c r="AL213" s="438">
        <f>I213*2</f>
        <v>7536</v>
      </c>
      <c r="AM213" s="438"/>
      <c r="AN213" s="438"/>
      <c r="AO213" s="438"/>
      <c r="AP213" s="438"/>
      <c r="AQ213" s="447">
        <f>I213*2</f>
        <v>7536</v>
      </c>
      <c r="AR213" s="438"/>
      <c r="AS213" s="418"/>
      <c r="AT213" s="438">
        <f>I213*2</f>
        <v>7536</v>
      </c>
      <c r="AU213" s="449">
        <f>I213*0.06*2</f>
        <v>452.16</v>
      </c>
      <c r="AV213" s="449"/>
      <c r="AW213" s="438"/>
      <c r="AX213" s="438"/>
      <c r="AY213" s="438"/>
      <c r="AZ213" s="438"/>
      <c r="BA213" s="438"/>
      <c r="BB213" s="438"/>
      <c r="BC213" s="438"/>
      <c r="BD213" s="438"/>
      <c r="BE213" s="438"/>
      <c r="BF213" s="438"/>
      <c r="BG213" s="438"/>
      <c r="BH213" s="438"/>
      <c r="BI213" s="438"/>
      <c r="BJ213" s="438"/>
      <c r="BK213" s="438"/>
      <c r="BL213" s="447"/>
      <c r="BM213" s="447"/>
      <c r="BN213" s="438"/>
      <c r="BO213" s="448"/>
      <c r="BP213" s="448"/>
      <c r="BQ213" s="438"/>
      <c r="BR213" s="438"/>
      <c r="BS213" s="447"/>
      <c r="BT213" s="438"/>
      <c r="BU213" s="438"/>
      <c r="BV213" s="438"/>
      <c r="BW213" s="438"/>
      <c r="BX213" s="438"/>
      <c r="BY213" s="438"/>
      <c r="BZ213" s="438"/>
      <c r="CA213" s="438">
        <f t="shared" ref="CA213:CA216" si="107">BK213+BL213+BN213+BP213+BO213</f>
        <v>0</v>
      </c>
      <c r="CB213" s="438">
        <f t="shared" ref="CB213:CB216" si="108">BR213</f>
        <v>0</v>
      </c>
      <c r="CC213" s="438">
        <f t="shared" ref="CC213:CC216" si="109">BZ213</f>
        <v>0</v>
      </c>
      <c r="CD213" s="438">
        <f t="shared" ref="CD213:CD216" si="110">BS213+BT213+BU213</f>
        <v>0</v>
      </c>
      <c r="CE213" s="448"/>
      <c r="CF213" s="448"/>
      <c r="CG213" s="448">
        <f>I213</f>
        <v>3768</v>
      </c>
      <c r="CH213" s="438">
        <f>I213</f>
        <v>3768</v>
      </c>
      <c r="CI213" s="438">
        <f>I213</f>
        <v>3768</v>
      </c>
    </row>
    <row r="214" s="291" customFormat="1" ht="32.05" customHeight="1" spans="1:108">
      <c r="A214" s="435">
        <v>46090</v>
      </c>
      <c r="B214" s="454" t="s">
        <v>180</v>
      </c>
      <c r="C214" s="455" t="s">
        <v>115</v>
      </c>
      <c r="D214" s="456">
        <v>4500195685</v>
      </c>
      <c r="E214" s="455">
        <v>5200009207</v>
      </c>
      <c r="F214" s="456" t="s">
        <v>7327</v>
      </c>
      <c r="G214" s="457" t="s">
        <v>553</v>
      </c>
      <c r="H214" s="455" t="s">
        <v>390</v>
      </c>
      <c r="I214" s="542">
        <v>1608</v>
      </c>
      <c r="J214" s="455">
        <v>0</v>
      </c>
      <c r="K214" s="455">
        <v>12</v>
      </c>
      <c r="L214" s="441">
        <f t="shared" si="104"/>
        <v>134</v>
      </c>
      <c r="M214" s="489">
        <v>46216</v>
      </c>
      <c r="N214" s="489">
        <v>46212</v>
      </c>
      <c r="O214" s="489" t="s">
        <v>7328</v>
      </c>
      <c r="P214" s="442"/>
      <c r="Q214" s="442"/>
      <c r="R214" s="437"/>
      <c r="S214" s="451" t="s">
        <v>7325</v>
      </c>
      <c r="T214" s="444" t="s">
        <v>95</v>
      </c>
      <c r="U214" s="444" t="s">
        <v>95</v>
      </c>
      <c r="V214" s="436"/>
      <c r="W214" s="436"/>
      <c r="X214" s="436"/>
      <c r="Y214" s="513" t="s">
        <v>7326</v>
      </c>
      <c r="Z214" s="541" t="s">
        <v>3573</v>
      </c>
      <c r="AA214" s="438">
        <v>1.374</v>
      </c>
      <c r="AB214" s="446">
        <f t="shared" si="105"/>
        <v>2209.392</v>
      </c>
      <c r="AC214" s="437"/>
      <c r="AD214" s="437" t="s">
        <v>389</v>
      </c>
      <c r="AE214" s="437" t="s">
        <v>112</v>
      </c>
      <c r="AF214" s="437" t="s">
        <v>113</v>
      </c>
      <c r="AG214" s="437"/>
      <c r="AH214" s="442"/>
      <c r="AI214" s="539">
        <f t="shared" si="106"/>
        <v>-1608</v>
      </c>
      <c r="AJ214" s="451">
        <v>46215</v>
      </c>
      <c r="AK214" s="437"/>
      <c r="AL214" s="438">
        <f>I214*2</f>
        <v>3216</v>
      </c>
      <c r="AM214" s="438"/>
      <c r="AN214" s="438"/>
      <c r="AO214" s="438"/>
      <c r="AP214" s="438"/>
      <c r="AQ214" s="447">
        <f>I214*2</f>
        <v>3216</v>
      </c>
      <c r="AR214" s="438"/>
      <c r="AS214" s="448"/>
      <c r="AT214" s="438">
        <f>I214*2</f>
        <v>3216</v>
      </c>
      <c r="AU214" s="449">
        <f>I214*0.06*2</f>
        <v>192.96</v>
      </c>
      <c r="AV214" s="449"/>
      <c r="AW214" s="438"/>
      <c r="AX214" s="438"/>
      <c r="AY214" s="438"/>
      <c r="AZ214" s="438"/>
      <c r="BA214" s="438"/>
      <c r="BB214" s="438"/>
      <c r="BC214" s="438"/>
      <c r="BD214" s="438"/>
      <c r="BE214" s="438"/>
      <c r="BF214" s="438"/>
      <c r="BG214" s="438"/>
      <c r="BH214" s="438"/>
      <c r="BI214" s="438"/>
      <c r="BJ214" s="438"/>
      <c r="BK214" s="438"/>
      <c r="BL214" s="447"/>
      <c r="BM214" s="447"/>
      <c r="BN214" s="438"/>
      <c r="BO214" s="448"/>
      <c r="BP214" s="448"/>
      <c r="BQ214" s="438"/>
      <c r="BR214" s="438"/>
      <c r="BS214" s="447"/>
      <c r="BT214" s="438"/>
      <c r="BU214" s="438"/>
      <c r="BV214" s="438"/>
      <c r="BW214" s="438"/>
      <c r="BX214" s="438"/>
      <c r="BY214" s="438"/>
      <c r="BZ214" s="438"/>
      <c r="CA214" s="438">
        <f t="shared" si="107"/>
        <v>0</v>
      </c>
      <c r="CB214" s="438">
        <f t="shared" si="108"/>
        <v>0</v>
      </c>
      <c r="CC214" s="438">
        <f t="shared" si="109"/>
        <v>0</v>
      </c>
      <c r="CD214" s="438">
        <f t="shared" si="110"/>
        <v>0</v>
      </c>
      <c r="CE214" s="448"/>
      <c r="CF214" s="448"/>
      <c r="CG214" s="448">
        <f>I214</f>
        <v>1608</v>
      </c>
      <c r="CH214" s="438">
        <f>I214</f>
        <v>1608</v>
      </c>
      <c r="CI214" s="438">
        <f>I214</f>
        <v>1608</v>
      </c>
    </row>
    <row r="215" s="286" customFormat="1" ht="32.05" customHeight="1" spans="1:108">
      <c r="A215" s="435">
        <v>46182</v>
      </c>
      <c r="B215" s="436" t="s">
        <v>264</v>
      </c>
      <c r="C215" s="437" t="s">
        <v>265</v>
      </c>
      <c r="D215" s="438" t="s">
        <v>7329</v>
      </c>
      <c r="E215" s="437" t="s">
        <v>7330</v>
      </c>
      <c r="F215" s="438" t="s">
        <v>7331</v>
      </c>
      <c r="G215" s="439" t="s">
        <v>270</v>
      </c>
      <c r="H215" s="437" t="s">
        <v>893</v>
      </c>
      <c r="I215" s="440">
        <v>3300</v>
      </c>
      <c r="J215" s="437">
        <v>0</v>
      </c>
      <c r="K215" s="437">
        <v>25</v>
      </c>
      <c r="L215" s="441">
        <f t="shared" si="104"/>
        <v>132</v>
      </c>
      <c r="M215" s="445">
        <v>46237</v>
      </c>
      <c r="N215" s="434">
        <v>46233</v>
      </c>
      <c r="O215" s="434" t="s">
        <v>2336</v>
      </c>
      <c r="P215" s="442"/>
      <c r="Q215" s="442"/>
      <c r="R215" s="437"/>
      <c r="S215" s="443">
        <v>46182</v>
      </c>
      <c r="T215" s="452" t="s">
        <v>95</v>
      </c>
      <c r="U215" s="452" t="s">
        <v>95</v>
      </c>
      <c r="V215" s="543" t="s">
        <v>140</v>
      </c>
      <c r="W215" s="543"/>
      <c r="X215" s="544" t="s">
        <v>7332</v>
      </c>
      <c r="Y215" s="509" t="s">
        <v>7333</v>
      </c>
      <c r="Z215" s="501" t="s">
        <v>1142</v>
      </c>
      <c r="AA215" s="502">
        <v>1.1085</v>
      </c>
      <c r="AB215" s="503">
        <f t="shared" si="105"/>
        <v>3658.05</v>
      </c>
      <c r="AC215" s="504"/>
      <c r="AD215" s="505" t="s">
        <v>270</v>
      </c>
      <c r="AE215" s="488" t="s">
        <v>112</v>
      </c>
      <c r="AF215" s="437"/>
      <c r="AG215" s="437"/>
      <c r="AH215" s="442"/>
      <c r="AI215" s="442">
        <f t="shared" si="106"/>
        <v>-3300</v>
      </c>
      <c r="AJ215" s="451">
        <v>46240</v>
      </c>
      <c r="AK215" s="437"/>
      <c r="AL215" s="438">
        <f t="shared" ref="AL215:AL219" si="111">I215</f>
        <v>3300</v>
      </c>
      <c r="AM215" s="438"/>
      <c r="AN215" s="438"/>
      <c r="AO215" s="438"/>
      <c r="AP215" s="438"/>
      <c r="AQ215" s="447"/>
      <c r="AR215" s="438"/>
      <c r="AS215" s="448"/>
      <c r="AT215" s="438"/>
      <c r="AU215" s="449">
        <f t="shared" ref="AU215:AU219" si="112">I215*0.06</f>
        <v>198</v>
      </c>
      <c r="AV215" s="449">
        <f t="shared" ref="AV215:AV219" si="113">I215</f>
        <v>3300</v>
      </c>
      <c r="AW215" s="438"/>
      <c r="AX215" s="438"/>
      <c r="AY215" s="438"/>
      <c r="AZ215" s="438"/>
      <c r="BA215" s="438"/>
      <c r="BB215" s="438"/>
      <c r="BC215" s="438"/>
      <c r="BD215" s="438"/>
      <c r="BE215" s="438">
        <f t="shared" ref="BE215:BE219" si="114">I215</f>
        <v>3300</v>
      </c>
      <c r="BF215" s="438"/>
      <c r="BG215" s="438"/>
      <c r="BH215" s="438"/>
      <c r="BI215" s="438"/>
      <c r="BJ215" s="438"/>
      <c r="BK215" s="438"/>
      <c r="BL215" s="447">
        <f t="shared" ref="BL215:BL219" si="115">I215/25</f>
        <v>132</v>
      </c>
      <c r="BM215" s="447"/>
      <c r="BN215" s="438"/>
      <c r="BO215" s="448"/>
      <c r="BP215" s="448"/>
      <c r="BQ215" s="438"/>
      <c r="BR215" s="438"/>
      <c r="BS215" s="447"/>
      <c r="BT215" s="438"/>
      <c r="BU215" s="438"/>
      <c r="BV215" s="438"/>
      <c r="BW215" s="438"/>
      <c r="BX215" s="438"/>
      <c r="BY215" s="438"/>
      <c r="BZ215" s="438"/>
      <c r="CA215" s="438">
        <f t="shared" si="107"/>
        <v>132</v>
      </c>
      <c r="CB215" s="438">
        <f t="shared" si="108"/>
        <v>0</v>
      </c>
      <c r="CC215" s="438">
        <f t="shared" si="109"/>
        <v>0</v>
      </c>
      <c r="CD215" s="438">
        <f t="shared" si="110"/>
        <v>0</v>
      </c>
      <c r="CE215" s="448"/>
      <c r="CF215" s="448"/>
      <c r="CG215" s="448"/>
      <c r="CH215" s="438"/>
      <c r="CI215" s="438"/>
    </row>
    <row r="216" s="296" customFormat="1" ht="32.05" customHeight="1" spans="1:108">
      <c r="A216" s="435">
        <v>46182</v>
      </c>
      <c r="B216" s="454" t="s">
        <v>264</v>
      </c>
      <c r="C216" s="455" t="s">
        <v>265</v>
      </c>
      <c r="D216" s="456" t="s">
        <v>7329</v>
      </c>
      <c r="E216" s="455" t="s">
        <v>7334</v>
      </c>
      <c r="F216" s="456" t="s">
        <v>7335</v>
      </c>
      <c r="G216" s="457" t="s">
        <v>270</v>
      </c>
      <c r="H216" s="455" t="s">
        <v>893</v>
      </c>
      <c r="I216" s="458">
        <v>3000</v>
      </c>
      <c r="J216" s="455">
        <v>0</v>
      </c>
      <c r="K216" s="455">
        <v>25</v>
      </c>
      <c r="L216" s="441">
        <f t="shared" si="104"/>
        <v>120</v>
      </c>
      <c r="M216" s="459">
        <v>46241</v>
      </c>
      <c r="N216" s="459">
        <v>46237</v>
      </c>
      <c r="O216" s="445"/>
      <c r="P216" s="442"/>
      <c r="Q216" s="442"/>
      <c r="R216" s="437"/>
      <c r="S216" s="451">
        <v>46182</v>
      </c>
      <c r="T216" s="444" t="s">
        <v>95</v>
      </c>
      <c r="U216" s="444" t="s">
        <v>95</v>
      </c>
      <c r="V216" s="543" t="s">
        <v>140</v>
      </c>
      <c r="W216" s="543"/>
      <c r="X216" s="544" t="s">
        <v>2770</v>
      </c>
      <c r="Y216" s="454" t="s">
        <v>7336</v>
      </c>
      <c r="Z216" s="507" t="s">
        <v>1142</v>
      </c>
      <c r="AA216" s="502">
        <v>1.1085</v>
      </c>
      <c r="AB216" s="503">
        <f t="shared" si="105"/>
        <v>3325.5</v>
      </c>
      <c r="AC216" s="504"/>
      <c r="AD216" s="505" t="s">
        <v>270</v>
      </c>
      <c r="AE216" s="488" t="s">
        <v>112</v>
      </c>
      <c r="AF216" s="437"/>
      <c r="AG216" s="437"/>
      <c r="AH216" s="442"/>
      <c r="AI216" s="442">
        <f t="shared" si="106"/>
        <v>-3000</v>
      </c>
      <c r="AJ216" s="437"/>
      <c r="AK216" s="437"/>
      <c r="AL216" s="438">
        <f t="shared" si="111"/>
        <v>3000</v>
      </c>
      <c r="AM216" s="438"/>
      <c r="AN216" s="438"/>
      <c r="AO216" s="438"/>
      <c r="AP216" s="438"/>
      <c r="AQ216" s="447"/>
      <c r="AR216" s="438"/>
      <c r="AS216" s="448"/>
      <c r="AT216" s="438"/>
      <c r="AU216" s="449">
        <f t="shared" si="112"/>
        <v>180</v>
      </c>
      <c r="AV216" s="449">
        <f t="shared" si="113"/>
        <v>3000</v>
      </c>
      <c r="AW216" s="438"/>
      <c r="AX216" s="438"/>
      <c r="AY216" s="438"/>
      <c r="AZ216" s="438"/>
      <c r="BA216" s="438"/>
      <c r="BB216" s="438"/>
      <c r="BC216" s="438"/>
      <c r="BD216" s="438"/>
      <c r="BE216" s="438">
        <f t="shared" si="114"/>
        <v>3000</v>
      </c>
      <c r="BF216" s="438"/>
      <c r="BG216" s="438"/>
      <c r="BH216" s="438"/>
      <c r="BI216" s="438"/>
      <c r="BJ216" s="438"/>
      <c r="BK216" s="438"/>
      <c r="BL216" s="447">
        <f t="shared" si="115"/>
        <v>120</v>
      </c>
      <c r="BM216" s="447"/>
      <c r="BN216" s="438"/>
      <c r="BO216" s="448"/>
      <c r="BP216" s="448"/>
      <c r="BQ216" s="438"/>
      <c r="BR216" s="438"/>
      <c r="BS216" s="447"/>
      <c r="BT216" s="438"/>
      <c r="BU216" s="438"/>
      <c r="BV216" s="438"/>
      <c r="BW216" s="438"/>
      <c r="BX216" s="438"/>
      <c r="BY216" s="438"/>
      <c r="BZ216" s="438"/>
      <c r="CA216" s="438">
        <f t="shared" si="107"/>
        <v>120</v>
      </c>
      <c r="CB216" s="438">
        <f t="shared" si="108"/>
        <v>0</v>
      </c>
      <c r="CC216" s="438">
        <f t="shared" si="109"/>
        <v>0</v>
      </c>
      <c r="CD216" s="438">
        <f t="shared" si="110"/>
        <v>0</v>
      </c>
      <c r="CE216" s="448"/>
      <c r="CF216" s="448"/>
      <c r="CG216" s="448"/>
      <c r="CH216" s="438"/>
      <c r="CI216" s="438"/>
      <c r="CJ216" s="286"/>
      <c r="CK216" s="286"/>
      <c r="CL216" s="286"/>
      <c r="CM216" s="286"/>
      <c r="CN216" s="286"/>
      <c r="CO216" s="286"/>
      <c r="CP216" s="286"/>
      <c r="CQ216" s="286"/>
      <c r="CR216" s="286"/>
      <c r="CS216" s="286"/>
      <c r="CT216" s="286"/>
      <c r="CU216" s="286"/>
      <c r="CV216" s="286"/>
      <c r="CW216" s="286"/>
      <c r="CX216" s="286"/>
      <c r="CY216" s="286"/>
      <c r="CZ216" s="286"/>
      <c r="DA216" s="286"/>
      <c r="DB216" s="286"/>
      <c r="DC216" s="286"/>
      <c r="DD216" s="286"/>
    </row>
    <row r="217" s="289" customFormat="1" ht="31" customHeight="1" spans="1:108">
      <c r="A217" s="345">
        <v>46182</v>
      </c>
      <c r="B217" s="346" t="s">
        <v>264</v>
      </c>
      <c r="C217" s="347" t="s">
        <v>265</v>
      </c>
      <c r="D217" s="348">
        <v>4500211227</v>
      </c>
      <c r="E217" s="347">
        <v>4400575074</v>
      </c>
      <c r="F217" s="348" t="s">
        <v>7337</v>
      </c>
      <c r="G217" s="349" t="s">
        <v>3973</v>
      </c>
      <c r="H217" s="347" t="s">
        <v>3995</v>
      </c>
      <c r="I217" s="369">
        <v>2208</v>
      </c>
      <c r="J217" s="347">
        <v>0</v>
      </c>
      <c r="K217" s="347">
        <v>16</v>
      </c>
      <c r="L217" s="347">
        <f t="shared" si="104"/>
        <v>138</v>
      </c>
      <c r="M217" s="351">
        <v>46237</v>
      </c>
      <c r="N217" s="351">
        <v>46233</v>
      </c>
      <c r="O217" s="346"/>
      <c r="P217" s="352"/>
      <c r="Q217" s="352"/>
      <c r="R217" s="370">
        <v>46182</v>
      </c>
      <c r="S217" s="444" t="s">
        <v>107</v>
      </c>
      <c r="T217" s="444" t="s">
        <v>1794</v>
      </c>
      <c r="U217" s="444"/>
      <c r="V217" s="353"/>
      <c r="W217" s="353"/>
      <c r="X217" s="353" t="s">
        <v>7338</v>
      </c>
      <c r="Y217" s="351" t="s">
        <v>1142</v>
      </c>
      <c r="Z217" s="431">
        <v>4.8226</v>
      </c>
      <c r="AA217" s="348">
        <f t="shared" ref="AA217:AA220" si="116">I217*Z217</f>
        <v>10648.3008</v>
      </c>
      <c r="AB217" s="355"/>
      <c r="AC217" s="348" t="s">
        <v>4108</v>
      </c>
      <c r="AD217" s="437" t="s">
        <v>112</v>
      </c>
      <c r="AE217" s="347">
        <f t="shared" ref="AE217:AE220" si="117">I217</f>
        <v>2208</v>
      </c>
      <c r="AF217" s="347"/>
      <c r="AG217" s="437"/>
      <c r="AH217" s="437"/>
      <c r="AI217" s="545"/>
      <c r="AJ217" s="347">
        <f t="shared" ref="AJ217:AJ220" si="118">AI217-I217</f>
        <v>-2208</v>
      </c>
      <c r="AK217" s="546"/>
      <c r="AL217" s="352"/>
      <c r="AM217" s="348"/>
      <c r="AN217" s="348">
        <f t="shared" ref="AN217:AN220" si="119">I217</f>
        <v>2208</v>
      </c>
      <c r="AO217" s="348"/>
      <c r="AP217" s="348">
        <f t="shared" ref="AP217:AP220" si="120">I217</f>
        <v>2208</v>
      </c>
      <c r="AQ217" s="348"/>
      <c r="AR217" s="348"/>
      <c r="AS217" s="348"/>
      <c r="AT217" s="348"/>
      <c r="AU217" s="348"/>
      <c r="AV217" s="348"/>
      <c r="AW217" s="348">
        <f t="shared" ref="AW217:AW220" si="121">I217/8</f>
        <v>276</v>
      </c>
      <c r="AX217" s="348"/>
      <c r="AY217" s="348"/>
      <c r="AZ217" s="348"/>
      <c r="BA217" s="348"/>
      <c r="BB217" s="348"/>
      <c r="BC217" s="348"/>
      <c r="BD217" s="348"/>
      <c r="BE217" s="348"/>
      <c r="BF217" s="348"/>
    </row>
    <row r="218" s="289" customFormat="1" ht="31" customHeight="1" spans="1:108">
      <c r="A218" s="345">
        <v>46157</v>
      </c>
      <c r="B218" s="346" t="s">
        <v>264</v>
      </c>
      <c r="C218" s="347" t="s">
        <v>265</v>
      </c>
      <c r="D218" s="348" t="s">
        <v>7339</v>
      </c>
      <c r="E218" s="347" t="s">
        <v>7340</v>
      </c>
      <c r="F218" s="348" t="s">
        <v>7341</v>
      </c>
      <c r="G218" s="349" t="s">
        <v>3973</v>
      </c>
      <c r="H218" s="347" t="s">
        <v>3995</v>
      </c>
      <c r="I218" s="369">
        <v>3008</v>
      </c>
      <c r="J218" s="347">
        <v>0</v>
      </c>
      <c r="K218" s="347">
        <v>16</v>
      </c>
      <c r="L218" s="347">
        <f t="shared" si="104"/>
        <v>188</v>
      </c>
      <c r="M218" s="351">
        <v>46230</v>
      </c>
      <c r="N218" s="351">
        <v>46226</v>
      </c>
      <c r="O218" s="346"/>
      <c r="P218" s="442" t="s">
        <v>106</v>
      </c>
      <c r="Q218" s="352"/>
      <c r="R218" s="370" t="s">
        <v>2244</v>
      </c>
      <c r="S218" s="353" t="s">
        <v>107</v>
      </c>
      <c r="T218" s="444" t="s">
        <v>1794</v>
      </c>
      <c r="U218" s="444"/>
      <c r="V218" s="353"/>
      <c r="W218" s="353"/>
      <c r="X218" s="353" t="s">
        <v>7342</v>
      </c>
      <c r="Y218" s="351" t="s">
        <v>142</v>
      </c>
      <c r="Z218" s="431">
        <v>4.6933</v>
      </c>
      <c r="AA218" s="348">
        <f t="shared" si="116"/>
        <v>14117.4464</v>
      </c>
      <c r="AB218" s="355"/>
      <c r="AC218" s="348" t="s">
        <v>4108</v>
      </c>
      <c r="AD218" s="437" t="s">
        <v>112</v>
      </c>
      <c r="AE218" s="347">
        <f t="shared" si="117"/>
        <v>3008</v>
      </c>
      <c r="AF218" s="347"/>
      <c r="AG218" s="437"/>
      <c r="AH218" s="437"/>
      <c r="AI218" s="545">
        <v>3008</v>
      </c>
      <c r="AJ218" s="347">
        <f t="shared" si="118"/>
        <v>0</v>
      </c>
      <c r="AK218" s="546"/>
      <c r="AL218" s="352"/>
      <c r="AM218" s="348"/>
      <c r="AN218" s="348">
        <f t="shared" si="119"/>
        <v>3008</v>
      </c>
      <c r="AO218" s="348"/>
      <c r="AP218" s="348">
        <f t="shared" si="120"/>
        <v>3008</v>
      </c>
      <c r="AQ218" s="348"/>
      <c r="AR218" s="348"/>
      <c r="AS218" s="348"/>
      <c r="AT218" s="348"/>
      <c r="AU218" s="348"/>
      <c r="AV218" s="348"/>
      <c r="AW218" s="348">
        <f t="shared" si="121"/>
        <v>376</v>
      </c>
      <c r="AX218" s="348"/>
      <c r="AY218" s="348"/>
      <c r="AZ218" s="348"/>
      <c r="BA218" s="348"/>
      <c r="BB218" s="348"/>
      <c r="BC218" s="348"/>
      <c r="BD218" s="348"/>
      <c r="BE218" s="348"/>
      <c r="BF218" s="348"/>
      <c r="BG218" s="290"/>
      <c r="BH218" s="290"/>
      <c r="BI218" s="290"/>
      <c r="BJ218" s="290"/>
      <c r="BK218" s="290"/>
      <c r="BL218" s="290"/>
      <c r="BM218" s="290"/>
      <c r="BN218" s="290"/>
      <c r="BO218" s="290"/>
      <c r="BP218" s="290"/>
      <c r="BQ218" s="290"/>
      <c r="BR218" s="290"/>
      <c r="BS218" s="290"/>
      <c r="BT218" s="290"/>
      <c r="BU218" s="290"/>
      <c r="BV218" s="290"/>
      <c r="BW218" s="290"/>
      <c r="BX218" s="290"/>
      <c r="BY218" s="290"/>
      <c r="BZ218" s="290"/>
      <c r="CA218" s="290"/>
      <c r="CB218" s="290"/>
      <c r="CC218" s="290"/>
      <c r="CD218" s="290"/>
      <c r="CE218" s="290"/>
      <c r="CF218" s="290"/>
      <c r="CG218" s="290"/>
      <c r="CH218" s="290"/>
      <c r="CI218" s="290"/>
      <c r="CJ218" s="290"/>
      <c r="CK218" s="290"/>
      <c r="CL218" s="290"/>
      <c r="CM218" s="290"/>
      <c r="CN218" s="290"/>
      <c r="CO218" s="290"/>
    </row>
    <row r="219" s="286" customFormat="1" ht="32.05" customHeight="1" spans="1:108">
      <c r="A219" s="435">
        <v>46157</v>
      </c>
      <c r="B219" s="472" t="s">
        <v>264</v>
      </c>
      <c r="C219" s="473" t="s">
        <v>265</v>
      </c>
      <c r="D219" s="474" t="s">
        <v>7339</v>
      </c>
      <c r="E219" s="475" t="s">
        <v>7340</v>
      </c>
      <c r="F219" s="474" t="s">
        <v>7343</v>
      </c>
      <c r="G219" s="476" t="s">
        <v>270</v>
      </c>
      <c r="H219" s="436" t="s">
        <v>893</v>
      </c>
      <c r="I219" s="477">
        <v>4000</v>
      </c>
      <c r="J219" s="478">
        <v>0</v>
      </c>
      <c r="K219" s="478">
        <v>25</v>
      </c>
      <c r="L219" s="441">
        <f t="shared" si="104"/>
        <v>160</v>
      </c>
      <c r="M219" s="459">
        <v>46230</v>
      </c>
      <c r="N219" s="459">
        <v>46237</v>
      </c>
      <c r="O219" s="445"/>
      <c r="P219" s="442"/>
      <c r="Q219" s="442"/>
      <c r="R219" s="437"/>
      <c r="S219" s="451" t="s">
        <v>2244</v>
      </c>
      <c r="T219" s="444" t="s">
        <v>95</v>
      </c>
      <c r="U219" s="444" t="s">
        <v>95</v>
      </c>
      <c r="V219" s="543" t="s">
        <v>140</v>
      </c>
      <c r="W219" s="543"/>
      <c r="X219" s="543"/>
      <c r="Y219" s="454" t="s">
        <v>7344</v>
      </c>
      <c r="Z219" s="547" t="s">
        <v>142</v>
      </c>
      <c r="AA219" s="548">
        <v>1.0803</v>
      </c>
      <c r="AB219" s="503">
        <f t="shared" ref="AB219:AB224" si="122">I219*AA219</f>
        <v>4321.2</v>
      </c>
      <c r="AC219" s="504"/>
      <c r="AD219" s="504" t="s">
        <v>137</v>
      </c>
      <c r="AE219" s="488" t="s">
        <v>112</v>
      </c>
      <c r="AF219" s="437"/>
      <c r="AG219" s="437"/>
      <c r="AH219" s="442"/>
      <c r="AI219" s="442">
        <f t="shared" ref="AI219:AI224" si="123">AH219-I219</f>
        <v>-4000</v>
      </c>
      <c r="AJ219" s="437"/>
      <c r="AK219" s="437"/>
      <c r="AL219" s="438">
        <f t="shared" si="111"/>
        <v>4000</v>
      </c>
      <c r="AM219" s="438"/>
      <c r="AN219" s="438"/>
      <c r="AO219" s="438"/>
      <c r="AP219" s="438"/>
      <c r="AQ219" s="447"/>
      <c r="AR219" s="438"/>
      <c r="AS219" s="448"/>
      <c r="AT219" s="438"/>
      <c r="AU219" s="449">
        <f t="shared" si="112"/>
        <v>240</v>
      </c>
      <c r="AV219" s="449">
        <f t="shared" si="113"/>
        <v>4000</v>
      </c>
      <c r="AW219" s="438"/>
      <c r="AX219" s="438"/>
      <c r="AY219" s="438"/>
      <c r="AZ219" s="438"/>
      <c r="BA219" s="438"/>
      <c r="BB219" s="438"/>
      <c r="BC219" s="438"/>
      <c r="BD219" s="438"/>
      <c r="BE219" s="438">
        <f t="shared" si="114"/>
        <v>4000</v>
      </c>
      <c r="BF219" s="438"/>
      <c r="BG219" s="438"/>
      <c r="BH219" s="438"/>
      <c r="BI219" s="438"/>
      <c r="BJ219" s="438"/>
      <c r="BK219" s="438"/>
      <c r="BL219" s="447">
        <f t="shared" si="115"/>
        <v>160</v>
      </c>
      <c r="BM219" s="447"/>
      <c r="BN219" s="438"/>
      <c r="BO219" s="448"/>
      <c r="BP219" s="448"/>
      <c r="BQ219" s="438"/>
      <c r="BR219" s="438"/>
      <c r="BS219" s="447"/>
      <c r="BT219" s="438"/>
      <c r="BU219" s="438"/>
      <c r="BV219" s="438"/>
      <c r="BW219" s="438"/>
      <c r="BX219" s="438"/>
      <c r="BY219" s="438"/>
      <c r="BZ219" s="438"/>
      <c r="CA219" s="438">
        <f t="shared" ref="CA219:CA224" si="124">BK219+BL219+BN219+BP219+BO219</f>
        <v>160</v>
      </c>
      <c r="CB219" s="438">
        <f t="shared" ref="CB219:CB224" si="125">BR219</f>
        <v>0</v>
      </c>
      <c r="CC219" s="438">
        <f t="shared" ref="CC219:CC224" si="126">BZ219</f>
        <v>0</v>
      </c>
      <c r="CD219" s="438">
        <f t="shared" ref="CD219:CD224" si="127">BS219+BT219+BU219</f>
        <v>0</v>
      </c>
      <c r="CE219" s="448"/>
      <c r="CF219" s="448"/>
      <c r="CG219" s="448"/>
      <c r="CH219" s="438"/>
      <c r="CI219" s="438"/>
      <c r="CJ219" s="291"/>
      <c r="CK219" s="291"/>
      <c r="CL219" s="291"/>
      <c r="CM219" s="291"/>
      <c r="CN219" s="291"/>
      <c r="CO219" s="291"/>
      <c r="CP219" s="291"/>
      <c r="CQ219" s="291"/>
      <c r="CR219" s="291"/>
      <c r="CS219" s="291"/>
      <c r="CT219" s="291"/>
      <c r="CU219" s="291"/>
      <c r="CV219" s="291"/>
      <c r="CW219" s="291"/>
      <c r="CX219" s="291"/>
      <c r="CY219" s="291"/>
      <c r="CZ219" s="291"/>
      <c r="DA219" s="291"/>
      <c r="DB219" s="291"/>
      <c r="DC219" s="291"/>
      <c r="DD219" s="291"/>
    </row>
    <row r="220" s="289" customFormat="1" ht="31" customHeight="1" spans="1:108">
      <c r="A220" s="345">
        <v>46156</v>
      </c>
      <c r="B220" s="346" t="s">
        <v>264</v>
      </c>
      <c r="C220" s="347" t="s">
        <v>265</v>
      </c>
      <c r="D220" s="348">
        <v>4500207207</v>
      </c>
      <c r="E220" s="347" t="s">
        <v>7345</v>
      </c>
      <c r="F220" s="348" t="s">
        <v>7346</v>
      </c>
      <c r="G220" s="349" t="s">
        <v>3973</v>
      </c>
      <c r="H220" s="347" t="s">
        <v>3995</v>
      </c>
      <c r="I220" s="369">
        <v>3008</v>
      </c>
      <c r="J220" s="347">
        <v>0</v>
      </c>
      <c r="K220" s="347">
        <v>16</v>
      </c>
      <c r="L220" s="347">
        <f t="shared" si="104"/>
        <v>188</v>
      </c>
      <c r="M220" s="351">
        <v>46212</v>
      </c>
      <c r="N220" s="351">
        <v>46209</v>
      </c>
      <c r="O220" s="346"/>
      <c r="P220" s="442" t="s">
        <v>106</v>
      </c>
      <c r="Q220" s="442" t="s">
        <v>7347</v>
      </c>
      <c r="R220" s="370" t="s">
        <v>2244</v>
      </c>
      <c r="S220" s="353" t="s">
        <v>107</v>
      </c>
      <c r="T220" s="444" t="s">
        <v>1794</v>
      </c>
      <c r="U220" s="444"/>
      <c r="V220" s="353"/>
      <c r="W220" s="353"/>
      <c r="X220" s="353" t="s">
        <v>7342</v>
      </c>
      <c r="Y220" s="351" t="s">
        <v>142</v>
      </c>
      <c r="Z220" s="431">
        <v>4.6933</v>
      </c>
      <c r="AA220" s="348">
        <f t="shared" si="116"/>
        <v>14117.4464</v>
      </c>
      <c r="AB220" s="355"/>
      <c r="AC220" s="549" t="s">
        <v>4108</v>
      </c>
      <c r="AD220" s="437" t="s">
        <v>112</v>
      </c>
      <c r="AE220" s="347">
        <f t="shared" si="117"/>
        <v>3008</v>
      </c>
      <c r="AF220" s="347"/>
      <c r="AG220" s="347"/>
      <c r="AH220" s="347"/>
      <c r="AI220" s="545">
        <v>3008</v>
      </c>
      <c r="AJ220" s="347">
        <f t="shared" si="118"/>
        <v>0</v>
      </c>
      <c r="AK220" s="546"/>
      <c r="AL220" s="352"/>
      <c r="AM220" s="348"/>
      <c r="AN220" s="348">
        <f t="shared" si="119"/>
        <v>3008</v>
      </c>
      <c r="AO220" s="348"/>
      <c r="AP220" s="348">
        <f t="shared" si="120"/>
        <v>3008</v>
      </c>
      <c r="AQ220" s="348"/>
      <c r="AR220" s="348"/>
      <c r="AS220" s="348"/>
      <c r="AT220" s="348"/>
      <c r="AU220" s="348"/>
      <c r="AV220" s="348"/>
      <c r="AW220" s="348">
        <f t="shared" si="121"/>
        <v>376</v>
      </c>
      <c r="AX220" s="348"/>
      <c r="AY220" s="348"/>
      <c r="AZ220" s="348"/>
      <c r="BA220" s="348"/>
      <c r="BB220" s="348"/>
      <c r="BC220" s="348"/>
      <c r="BD220" s="348"/>
      <c r="BE220" s="348"/>
      <c r="BF220" s="348"/>
      <c r="BG220" s="290"/>
      <c r="BH220" s="290"/>
      <c r="BI220" s="290"/>
      <c r="BJ220" s="290"/>
      <c r="BK220" s="290"/>
      <c r="BL220" s="290"/>
      <c r="BM220" s="290"/>
      <c r="BN220" s="290"/>
      <c r="BO220" s="290"/>
      <c r="BP220" s="290"/>
      <c r="BQ220" s="290"/>
      <c r="BR220" s="290"/>
      <c r="BS220" s="290"/>
      <c r="BT220" s="290"/>
      <c r="BU220" s="290"/>
      <c r="BV220" s="290"/>
      <c r="BW220" s="290"/>
      <c r="BX220" s="290"/>
      <c r="BY220" s="290"/>
      <c r="BZ220" s="290"/>
      <c r="CA220" s="290"/>
      <c r="CB220" s="290"/>
      <c r="CC220" s="290"/>
      <c r="CD220" s="290"/>
      <c r="CE220" s="290"/>
      <c r="CF220" s="290"/>
      <c r="CG220" s="290"/>
      <c r="CH220" s="290"/>
      <c r="CI220" s="290"/>
      <c r="CJ220" s="290"/>
      <c r="CK220" s="290"/>
      <c r="CL220" s="290"/>
      <c r="CM220" s="290"/>
      <c r="CN220" s="290"/>
      <c r="CO220" s="290"/>
    </row>
    <row r="221" s="295" customFormat="1" ht="32.05" customHeight="1" spans="1:108">
      <c r="A221" s="435">
        <v>46185</v>
      </c>
      <c r="B221" s="460" t="s">
        <v>134</v>
      </c>
      <c r="C221" s="461" t="s">
        <v>135</v>
      </c>
      <c r="D221" s="462">
        <v>4500211904</v>
      </c>
      <c r="E221" s="463">
        <v>4400577339</v>
      </c>
      <c r="F221" s="462" t="s">
        <v>7348</v>
      </c>
      <c r="G221" s="464" t="s">
        <v>270</v>
      </c>
      <c r="H221" s="437" t="s">
        <v>893</v>
      </c>
      <c r="I221" s="465">
        <v>59150</v>
      </c>
      <c r="J221" s="466">
        <v>0</v>
      </c>
      <c r="K221" s="466">
        <v>25</v>
      </c>
      <c r="L221" s="441">
        <f t="shared" si="104"/>
        <v>2366</v>
      </c>
      <c r="M221" s="445">
        <v>46258</v>
      </c>
      <c r="N221" s="445">
        <v>46254</v>
      </c>
      <c r="O221" s="445"/>
      <c r="P221" s="442"/>
      <c r="Q221" s="442"/>
      <c r="R221" s="437"/>
      <c r="S221" s="443">
        <v>46185</v>
      </c>
      <c r="T221" s="452" t="s">
        <v>95</v>
      </c>
      <c r="U221" s="452" t="s">
        <v>95</v>
      </c>
      <c r="V221" s="543" t="s">
        <v>140</v>
      </c>
      <c r="W221" s="543"/>
      <c r="X221" s="544" t="s">
        <v>3309</v>
      </c>
      <c r="Y221" s="436" t="s">
        <v>7349</v>
      </c>
      <c r="Z221" s="468" t="s">
        <v>1142</v>
      </c>
      <c r="AA221" s="469">
        <v>1.0665</v>
      </c>
      <c r="AB221" s="446">
        <f t="shared" si="122"/>
        <v>63083.475</v>
      </c>
      <c r="AC221" s="437"/>
      <c r="AD221" s="439" t="s">
        <v>270</v>
      </c>
      <c r="AE221" s="437" t="s">
        <v>112</v>
      </c>
      <c r="AF221" s="437"/>
      <c r="AG221" s="437"/>
      <c r="AH221" s="442"/>
      <c r="AI221" s="512">
        <f t="shared" si="123"/>
        <v>-59150</v>
      </c>
      <c r="AJ221" s="437"/>
      <c r="AK221" s="437"/>
      <c r="AL221" s="438">
        <f t="shared" ref="AL221:AL224" si="128">I221</f>
        <v>59150</v>
      </c>
      <c r="AM221" s="438"/>
      <c r="AN221" s="438"/>
      <c r="AO221" s="438"/>
      <c r="AP221" s="438"/>
      <c r="AQ221" s="447"/>
      <c r="AR221" s="438"/>
      <c r="AS221" s="448"/>
      <c r="AT221" s="438"/>
      <c r="AU221" s="449">
        <f t="shared" ref="AU221:AU224" si="129">I221*0.06</f>
        <v>3549</v>
      </c>
      <c r="AV221" s="449">
        <f t="shared" ref="AV221:AV224" si="130">I221</f>
        <v>59150</v>
      </c>
      <c r="AW221" s="438"/>
      <c r="AX221" s="438"/>
      <c r="AY221" s="438"/>
      <c r="AZ221" s="438"/>
      <c r="BA221" s="438"/>
      <c r="BB221" s="438"/>
      <c r="BC221" s="438"/>
      <c r="BD221" s="438"/>
      <c r="BE221" s="438">
        <f t="shared" ref="BE221:BE224" si="131">I221</f>
        <v>59150</v>
      </c>
      <c r="BF221" s="438"/>
      <c r="BG221" s="438"/>
      <c r="BH221" s="438"/>
      <c r="BI221" s="438"/>
      <c r="BJ221" s="438"/>
      <c r="BK221" s="438"/>
      <c r="BL221" s="447">
        <f t="shared" ref="BL221:BL224" si="132">I221/25</f>
        <v>2366</v>
      </c>
      <c r="BM221" s="447"/>
      <c r="BN221" s="438"/>
      <c r="BO221" s="448"/>
      <c r="BP221" s="448"/>
      <c r="BQ221" s="438"/>
      <c r="BR221" s="438"/>
      <c r="BS221" s="447"/>
      <c r="BT221" s="438"/>
      <c r="BU221" s="438"/>
      <c r="BV221" s="438"/>
      <c r="BW221" s="438"/>
      <c r="BX221" s="438"/>
      <c r="BY221" s="438"/>
      <c r="BZ221" s="438"/>
      <c r="CA221" s="438">
        <f t="shared" si="124"/>
        <v>2366</v>
      </c>
      <c r="CB221" s="438">
        <f t="shared" si="125"/>
        <v>0</v>
      </c>
      <c r="CC221" s="438">
        <f t="shared" si="126"/>
        <v>0</v>
      </c>
      <c r="CD221" s="438">
        <f t="shared" si="127"/>
        <v>0</v>
      </c>
      <c r="CE221" s="448"/>
      <c r="CF221" s="448"/>
      <c r="CG221" s="448"/>
      <c r="CH221" s="438"/>
      <c r="CI221" s="438"/>
      <c r="CJ221" s="286"/>
      <c r="CK221" s="286"/>
      <c r="CL221" s="286"/>
      <c r="CM221" s="286"/>
      <c r="CN221" s="286"/>
      <c r="CO221" s="286"/>
      <c r="CP221" s="286"/>
      <c r="CQ221" s="286"/>
      <c r="CR221" s="286"/>
      <c r="CS221" s="286"/>
      <c r="CT221" s="286"/>
      <c r="CU221" s="286"/>
      <c r="CV221" s="286"/>
      <c r="CW221" s="286"/>
      <c r="CX221" s="286"/>
      <c r="CY221" s="286"/>
      <c r="CZ221" s="286"/>
      <c r="DA221" s="286"/>
      <c r="DB221" s="286"/>
      <c r="DC221" s="286"/>
      <c r="DD221" s="286"/>
    </row>
    <row r="222" s="289" customFormat="1" ht="31" customHeight="1" spans="1:108">
      <c r="A222" s="345">
        <v>46185</v>
      </c>
      <c r="B222" s="346" t="s">
        <v>134</v>
      </c>
      <c r="C222" s="347" t="s">
        <v>135</v>
      </c>
      <c r="D222" s="348">
        <v>4500211904</v>
      </c>
      <c r="E222" s="347">
        <v>4400577340</v>
      </c>
      <c r="F222" s="348" t="s">
        <v>7350</v>
      </c>
      <c r="G222" s="349" t="s">
        <v>3973</v>
      </c>
      <c r="H222" s="347" t="s">
        <v>3995</v>
      </c>
      <c r="I222" s="369">
        <v>27696</v>
      </c>
      <c r="J222" s="347">
        <v>0</v>
      </c>
      <c r="K222" s="347">
        <v>16</v>
      </c>
      <c r="L222" s="347">
        <f t="shared" si="104"/>
        <v>1731</v>
      </c>
      <c r="M222" s="351">
        <v>46258</v>
      </c>
      <c r="N222" s="351">
        <v>46254</v>
      </c>
      <c r="O222" s="346"/>
      <c r="P222" s="352"/>
      <c r="Q222" s="352"/>
      <c r="R222" s="370">
        <v>46185</v>
      </c>
      <c r="S222" s="444" t="s">
        <v>107</v>
      </c>
      <c r="T222" s="444" t="s">
        <v>1794</v>
      </c>
      <c r="U222" s="444"/>
      <c r="V222" s="353"/>
      <c r="W222" s="353"/>
      <c r="X222" s="444" t="s">
        <v>7351</v>
      </c>
      <c r="Y222" s="351" t="s">
        <v>1142</v>
      </c>
      <c r="Z222" s="431">
        <v>4.7721</v>
      </c>
      <c r="AA222" s="348">
        <f t="shared" ref="AA222:AA227" si="133">I222*Z222</f>
        <v>132168.0816</v>
      </c>
      <c r="AB222" s="355"/>
      <c r="AC222" s="348" t="s">
        <v>4108</v>
      </c>
      <c r="AD222" s="437" t="s">
        <v>112</v>
      </c>
      <c r="AE222" s="347">
        <f t="shared" ref="AE222:AE227" si="134">I222</f>
        <v>27696</v>
      </c>
      <c r="AF222" s="347"/>
      <c r="AG222" s="437"/>
      <c r="AH222" s="437"/>
      <c r="AI222" s="545"/>
      <c r="AJ222" s="347">
        <f t="shared" ref="AJ222:AJ227" si="135">AI222-I222</f>
        <v>-27696</v>
      </c>
      <c r="AK222" s="546"/>
      <c r="AL222" s="352"/>
      <c r="AM222" s="348"/>
      <c r="AN222" s="348">
        <f t="shared" ref="AN222:AN227" si="136">I222</f>
        <v>27696</v>
      </c>
      <c r="AO222" s="348"/>
      <c r="AP222" s="348">
        <f t="shared" ref="AP222:AP227" si="137">I222</f>
        <v>27696</v>
      </c>
      <c r="AQ222" s="348"/>
      <c r="AR222" s="348"/>
      <c r="AS222" s="348"/>
      <c r="AT222" s="348"/>
      <c r="AU222" s="348"/>
      <c r="AV222" s="348"/>
      <c r="AW222" s="348">
        <f t="shared" ref="AW222:AW227" si="138">I222/8</f>
        <v>3462</v>
      </c>
      <c r="AX222" s="348"/>
      <c r="AY222" s="348"/>
      <c r="AZ222" s="348"/>
      <c r="BA222" s="348"/>
      <c r="BB222" s="348"/>
      <c r="BC222" s="348"/>
      <c r="BD222" s="348"/>
      <c r="BE222" s="348"/>
      <c r="BF222" s="348"/>
    </row>
    <row r="223" s="286" customFormat="1" ht="32.05" customHeight="1" spans="1:108">
      <c r="A223" s="435">
        <v>46182</v>
      </c>
      <c r="B223" s="472" t="s">
        <v>134</v>
      </c>
      <c r="C223" s="473" t="s">
        <v>135</v>
      </c>
      <c r="D223" s="474" t="s">
        <v>7352</v>
      </c>
      <c r="E223" s="475" t="s">
        <v>7353</v>
      </c>
      <c r="F223" s="474" t="s">
        <v>7354</v>
      </c>
      <c r="G223" s="476" t="s">
        <v>270</v>
      </c>
      <c r="H223" s="436" t="s">
        <v>893</v>
      </c>
      <c r="I223" s="477">
        <v>8000</v>
      </c>
      <c r="J223" s="478">
        <v>0</v>
      </c>
      <c r="K223" s="478">
        <v>25</v>
      </c>
      <c r="L223" s="441">
        <f t="shared" si="104"/>
        <v>320</v>
      </c>
      <c r="M223" s="459">
        <v>46244</v>
      </c>
      <c r="N223" s="459">
        <v>46240</v>
      </c>
      <c r="O223" s="459"/>
      <c r="P223" s="442"/>
      <c r="Q223" s="442"/>
      <c r="R223" s="437"/>
      <c r="S223" s="451">
        <v>46183</v>
      </c>
      <c r="T223" s="444" t="s">
        <v>95</v>
      </c>
      <c r="U223" s="444" t="s">
        <v>95</v>
      </c>
      <c r="V223" s="543" t="s">
        <v>140</v>
      </c>
      <c r="W223" s="543"/>
      <c r="X223" s="544" t="s">
        <v>2770</v>
      </c>
      <c r="Y223" s="452" t="s">
        <v>7355</v>
      </c>
      <c r="Z223" s="479" t="s">
        <v>142</v>
      </c>
      <c r="AA223" s="469">
        <v>1.1031</v>
      </c>
      <c r="AB223" s="446">
        <f t="shared" si="122"/>
        <v>8824.8</v>
      </c>
      <c r="AC223" s="437"/>
      <c r="AD223" s="439" t="s">
        <v>270</v>
      </c>
      <c r="AE223" s="437" t="s">
        <v>112</v>
      </c>
      <c r="AF223" s="437"/>
      <c r="AG223" s="437"/>
      <c r="AH223" s="442"/>
      <c r="AI223" s="442">
        <f t="shared" si="123"/>
        <v>-8000</v>
      </c>
      <c r="AJ223" s="437"/>
      <c r="AK223" s="437"/>
      <c r="AL223" s="438">
        <f t="shared" si="128"/>
        <v>8000</v>
      </c>
      <c r="AM223" s="438"/>
      <c r="AN223" s="438"/>
      <c r="AO223" s="438"/>
      <c r="AP223" s="438"/>
      <c r="AQ223" s="447"/>
      <c r="AR223" s="438"/>
      <c r="AS223" s="448"/>
      <c r="AT223" s="438"/>
      <c r="AU223" s="449">
        <f t="shared" si="129"/>
        <v>480</v>
      </c>
      <c r="AV223" s="449">
        <f t="shared" si="130"/>
        <v>8000</v>
      </c>
      <c r="AW223" s="438"/>
      <c r="AX223" s="438"/>
      <c r="AY223" s="438"/>
      <c r="AZ223" s="438"/>
      <c r="BA223" s="438"/>
      <c r="BB223" s="438"/>
      <c r="BC223" s="438"/>
      <c r="BD223" s="438"/>
      <c r="BE223" s="438">
        <f t="shared" si="131"/>
        <v>8000</v>
      </c>
      <c r="BF223" s="438"/>
      <c r="BG223" s="438"/>
      <c r="BH223" s="438"/>
      <c r="BI223" s="438"/>
      <c r="BJ223" s="438"/>
      <c r="BK223" s="438"/>
      <c r="BL223" s="447">
        <f t="shared" si="132"/>
        <v>320</v>
      </c>
      <c r="BM223" s="447"/>
      <c r="BN223" s="438"/>
      <c r="BO223" s="448"/>
      <c r="BP223" s="448"/>
      <c r="BQ223" s="438"/>
      <c r="BR223" s="438"/>
      <c r="BS223" s="447"/>
      <c r="BT223" s="438"/>
      <c r="BU223" s="438"/>
      <c r="BV223" s="438"/>
      <c r="BW223" s="438"/>
      <c r="BX223" s="438"/>
      <c r="BY223" s="438"/>
      <c r="BZ223" s="438"/>
      <c r="CA223" s="438">
        <f t="shared" si="124"/>
        <v>320</v>
      </c>
      <c r="CB223" s="438">
        <f t="shared" si="125"/>
        <v>0</v>
      </c>
      <c r="CC223" s="438">
        <f t="shared" si="126"/>
        <v>0</v>
      </c>
      <c r="CD223" s="438">
        <f t="shared" si="127"/>
        <v>0</v>
      </c>
      <c r="CE223" s="448"/>
      <c r="CF223" s="448"/>
      <c r="CG223" s="448"/>
      <c r="CH223" s="438"/>
      <c r="CI223" s="438"/>
    </row>
    <row r="224" s="286" customFormat="1" ht="32.05" customHeight="1" spans="1:108">
      <c r="A224" s="435">
        <v>46182</v>
      </c>
      <c r="B224" s="454" t="s">
        <v>134</v>
      </c>
      <c r="C224" s="455" t="s">
        <v>135</v>
      </c>
      <c r="D224" s="456" t="s">
        <v>7352</v>
      </c>
      <c r="E224" s="455" t="s">
        <v>7356</v>
      </c>
      <c r="F224" s="456" t="s">
        <v>7357</v>
      </c>
      <c r="G224" s="457" t="s">
        <v>270</v>
      </c>
      <c r="H224" s="437" t="s">
        <v>893</v>
      </c>
      <c r="I224" s="458">
        <v>20000</v>
      </c>
      <c r="J224" s="455">
        <v>0</v>
      </c>
      <c r="K224" s="455">
        <v>25</v>
      </c>
      <c r="L224" s="441">
        <f t="shared" si="104"/>
        <v>800</v>
      </c>
      <c r="M224" s="459">
        <v>46247</v>
      </c>
      <c r="N224" s="459">
        <v>46244</v>
      </c>
      <c r="O224" s="459"/>
      <c r="P224" s="442"/>
      <c r="Q224" s="442"/>
      <c r="R224" s="437"/>
      <c r="S224" s="443">
        <v>46182</v>
      </c>
      <c r="T224" s="444" t="s">
        <v>95</v>
      </c>
      <c r="U224" s="444" t="s">
        <v>95</v>
      </c>
      <c r="V224" s="543" t="s">
        <v>140</v>
      </c>
      <c r="W224" s="543"/>
      <c r="X224" s="544" t="s">
        <v>2770</v>
      </c>
      <c r="Y224" s="454" t="s">
        <v>7358</v>
      </c>
      <c r="Z224" s="459" t="s">
        <v>142</v>
      </c>
      <c r="AA224" s="438">
        <v>1.0856</v>
      </c>
      <c r="AB224" s="446">
        <f t="shared" si="122"/>
        <v>21712</v>
      </c>
      <c r="AC224" s="437"/>
      <c r="AD224" s="439" t="s">
        <v>270</v>
      </c>
      <c r="AE224" s="437" t="s">
        <v>112</v>
      </c>
      <c r="AF224" s="437"/>
      <c r="AG224" s="437"/>
      <c r="AH224" s="442"/>
      <c r="AI224" s="442">
        <f t="shared" si="123"/>
        <v>-20000</v>
      </c>
      <c r="AJ224" s="437"/>
      <c r="AK224" s="437"/>
      <c r="AL224" s="438">
        <f t="shared" si="128"/>
        <v>20000</v>
      </c>
      <c r="AM224" s="438"/>
      <c r="AN224" s="438"/>
      <c r="AO224" s="438"/>
      <c r="AP224" s="438"/>
      <c r="AQ224" s="447"/>
      <c r="AR224" s="438"/>
      <c r="AS224" s="448"/>
      <c r="AT224" s="438"/>
      <c r="AU224" s="449">
        <f t="shared" si="129"/>
        <v>1200</v>
      </c>
      <c r="AV224" s="449">
        <f t="shared" si="130"/>
        <v>20000</v>
      </c>
      <c r="AW224" s="438"/>
      <c r="AX224" s="438"/>
      <c r="AY224" s="438"/>
      <c r="AZ224" s="438"/>
      <c r="BA224" s="438"/>
      <c r="BB224" s="438"/>
      <c r="BC224" s="438"/>
      <c r="BD224" s="438"/>
      <c r="BE224" s="438">
        <f t="shared" si="131"/>
        <v>20000</v>
      </c>
      <c r="BF224" s="438"/>
      <c r="BG224" s="438"/>
      <c r="BH224" s="438"/>
      <c r="BI224" s="438"/>
      <c r="BJ224" s="438"/>
      <c r="BK224" s="438"/>
      <c r="BL224" s="447">
        <f t="shared" si="132"/>
        <v>800</v>
      </c>
      <c r="BM224" s="447"/>
      <c r="BN224" s="438"/>
      <c r="BO224" s="448"/>
      <c r="BP224" s="448"/>
      <c r="BQ224" s="438"/>
      <c r="BR224" s="438"/>
      <c r="BS224" s="447"/>
      <c r="BT224" s="438"/>
      <c r="BU224" s="438"/>
      <c r="BV224" s="438"/>
      <c r="BW224" s="438"/>
      <c r="BX224" s="438"/>
      <c r="BY224" s="438"/>
      <c r="BZ224" s="438"/>
      <c r="CA224" s="438">
        <f t="shared" si="124"/>
        <v>800</v>
      </c>
      <c r="CB224" s="438">
        <f t="shared" si="125"/>
        <v>0</v>
      </c>
      <c r="CC224" s="438">
        <f t="shared" si="126"/>
        <v>0</v>
      </c>
      <c r="CD224" s="438">
        <f t="shared" si="127"/>
        <v>0</v>
      </c>
      <c r="CE224" s="448"/>
      <c r="CF224" s="448"/>
      <c r="CG224" s="448"/>
      <c r="CH224" s="438"/>
      <c r="CI224" s="438"/>
    </row>
    <row r="225" s="289" customFormat="1" ht="31" customHeight="1" spans="1:111">
      <c r="A225" s="345">
        <v>46182</v>
      </c>
      <c r="B225" s="346" t="s">
        <v>134</v>
      </c>
      <c r="C225" s="347" t="s">
        <v>135</v>
      </c>
      <c r="D225" s="348">
        <v>4500211354</v>
      </c>
      <c r="E225" s="347">
        <v>4400561416</v>
      </c>
      <c r="F225" s="348" t="s">
        <v>7359</v>
      </c>
      <c r="G225" s="349" t="s">
        <v>3973</v>
      </c>
      <c r="H225" s="347" t="s">
        <v>3995</v>
      </c>
      <c r="I225" s="369">
        <v>5008</v>
      </c>
      <c r="J225" s="347">
        <v>0</v>
      </c>
      <c r="K225" s="347">
        <v>16</v>
      </c>
      <c r="L225" s="347">
        <f t="shared" si="104"/>
        <v>313</v>
      </c>
      <c r="M225" s="351">
        <v>46244</v>
      </c>
      <c r="N225" s="351">
        <v>46240</v>
      </c>
      <c r="O225" s="346"/>
      <c r="P225" s="352"/>
      <c r="Q225" s="352"/>
      <c r="R225" s="370">
        <v>46183</v>
      </c>
      <c r="S225" s="444" t="s">
        <v>107</v>
      </c>
      <c r="T225" s="444" t="s">
        <v>1794</v>
      </c>
      <c r="U225" s="444"/>
      <c r="V225" s="353"/>
      <c r="W225" s="353"/>
      <c r="X225" s="353" t="s">
        <v>7360</v>
      </c>
      <c r="Y225" s="351" t="s">
        <v>142</v>
      </c>
      <c r="Z225" s="431">
        <v>4.8121</v>
      </c>
      <c r="AA225" s="348">
        <f t="shared" si="133"/>
        <v>24098.9968</v>
      </c>
      <c r="AB225" s="355"/>
      <c r="AC225" s="348" t="s">
        <v>4108</v>
      </c>
      <c r="AD225" s="437" t="s">
        <v>112</v>
      </c>
      <c r="AE225" s="347">
        <f t="shared" si="134"/>
        <v>5008</v>
      </c>
      <c r="AF225" s="347"/>
      <c r="AG225" s="437"/>
      <c r="AH225" s="437"/>
      <c r="AI225" s="545"/>
      <c r="AJ225" s="347">
        <f t="shared" si="135"/>
        <v>-5008</v>
      </c>
      <c r="AK225" s="546"/>
      <c r="AL225" s="352"/>
      <c r="AM225" s="348"/>
      <c r="AN225" s="348">
        <f t="shared" si="136"/>
        <v>5008</v>
      </c>
      <c r="AO225" s="348"/>
      <c r="AP225" s="348">
        <f t="shared" si="137"/>
        <v>5008</v>
      </c>
      <c r="AQ225" s="348"/>
      <c r="AR225" s="348"/>
      <c r="AS225" s="348"/>
      <c r="AT225" s="348"/>
      <c r="AU225" s="348"/>
      <c r="AV225" s="348"/>
      <c r="AW225" s="348">
        <f t="shared" si="138"/>
        <v>626</v>
      </c>
      <c r="AX225" s="348"/>
      <c r="AY225" s="348"/>
      <c r="AZ225" s="348"/>
      <c r="BA225" s="348"/>
      <c r="BB225" s="348"/>
      <c r="BC225" s="348"/>
      <c r="BD225" s="348"/>
      <c r="BE225" s="348"/>
      <c r="BF225" s="348"/>
    </row>
    <row r="226" s="290" customFormat="1" ht="31" customHeight="1" spans="1:111">
      <c r="A226" s="345">
        <v>46182</v>
      </c>
      <c r="B226" s="346" t="s">
        <v>134</v>
      </c>
      <c r="C226" s="347" t="s">
        <v>135</v>
      </c>
      <c r="D226" s="348">
        <v>4500211354</v>
      </c>
      <c r="E226" s="347">
        <v>4400575075</v>
      </c>
      <c r="F226" s="348" t="s">
        <v>7361</v>
      </c>
      <c r="G226" s="349" t="s">
        <v>3973</v>
      </c>
      <c r="H226" s="347" t="s">
        <v>3995</v>
      </c>
      <c r="I226" s="369">
        <v>8000</v>
      </c>
      <c r="J226" s="347">
        <v>0</v>
      </c>
      <c r="K226" s="347">
        <v>16</v>
      </c>
      <c r="L226" s="347">
        <f t="shared" si="104"/>
        <v>500</v>
      </c>
      <c r="M226" s="391">
        <v>46265</v>
      </c>
      <c r="N226" s="391">
        <v>46261</v>
      </c>
      <c r="O226" s="346"/>
      <c r="P226" s="352"/>
      <c r="Q226" s="352"/>
      <c r="R226" s="370">
        <v>46183</v>
      </c>
      <c r="S226" s="444" t="s">
        <v>107</v>
      </c>
      <c r="T226" s="444" t="s">
        <v>1794</v>
      </c>
      <c r="U226" s="444"/>
      <c r="V226" s="353"/>
      <c r="W226" s="353"/>
      <c r="X226" s="353" t="s">
        <v>7362</v>
      </c>
      <c r="Y226" s="351" t="s">
        <v>142</v>
      </c>
      <c r="Z226" s="431">
        <v>4.8121</v>
      </c>
      <c r="AA226" s="348">
        <f t="shared" si="133"/>
        <v>38496.8</v>
      </c>
      <c r="AB226" s="355"/>
      <c r="AC226" s="348" t="s">
        <v>4108</v>
      </c>
      <c r="AD226" s="437" t="s">
        <v>112</v>
      </c>
      <c r="AE226" s="347">
        <f t="shared" si="134"/>
        <v>8000</v>
      </c>
      <c r="AF226" s="347"/>
      <c r="AG226" s="437"/>
      <c r="AH226" s="437"/>
      <c r="AI226" s="545"/>
      <c r="AJ226" s="347">
        <f t="shared" si="135"/>
        <v>-8000</v>
      </c>
      <c r="AK226" s="546"/>
      <c r="AL226" s="352"/>
      <c r="AM226" s="348"/>
      <c r="AN226" s="348">
        <f t="shared" si="136"/>
        <v>8000</v>
      </c>
      <c r="AO226" s="348"/>
      <c r="AP226" s="348">
        <f t="shared" si="137"/>
        <v>8000</v>
      </c>
      <c r="AQ226" s="348"/>
      <c r="AR226" s="348"/>
      <c r="AS226" s="348"/>
      <c r="AT226" s="348"/>
      <c r="AU226" s="348"/>
      <c r="AV226" s="348"/>
      <c r="AW226" s="348">
        <f t="shared" si="138"/>
        <v>1000</v>
      </c>
      <c r="AX226" s="348"/>
      <c r="AY226" s="348"/>
      <c r="AZ226" s="348"/>
      <c r="BA226" s="348"/>
      <c r="BB226" s="348"/>
      <c r="BC226" s="348"/>
      <c r="BD226" s="348"/>
      <c r="BE226" s="348"/>
      <c r="BF226" s="348"/>
      <c r="BG226" s="289"/>
      <c r="BH226" s="289"/>
      <c r="BI226" s="289"/>
      <c r="BJ226" s="289"/>
      <c r="BK226" s="289"/>
      <c r="BL226" s="289"/>
      <c r="BM226" s="289"/>
      <c r="BN226" s="289"/>
      <c r="BO226" s="289"/>
      <c r="BP226" s="289"/>
      <c r="BQ226" s="289"/>
      <c r="BR226" s="289"/>
      <c r="BS226" s="289"/>
      <c r="BT226" s="289"/>
      <c r="BU226" s="289"/>
      <c r="BV226" s="289"/>
      <c r="BW226" s="289"/>
      <c r="BX226" s="289"/>
      <c r="BY226" s="289"/>
      <c r="BZ226" s="289"/>
      <c r="CA226" s="289"/>
      <c r="CB226" s="289"/>
      <c r="CC226" s="289"/>
      <c r="CD226" s="289"/>
      <c r="CE226" s="289"/>
      <c r="CF226" s="289"/>
      <c r="CG226" s="289"/>
      <c r="CH226" s="289"/>
      <c r="CI226" s="289"/>
      <c r="CJ226" s="289"/>
      <c r="CK226" s="289"/>
      <c r="CL226" s="289"/>
      <c r="CM226" s="289"/>
      <c r="CN226" s="289"/>
      <c r="CO226" s="289"/>
    </row>
    <row r="227" s="297" customFormat="1" ht="31" customHeight="1" spans="1:111">
      <c r="A227" s="550">
        <v>46202</v>
      </c>
      <c r="B227" s="551" t="s">
        <v>134</v>
      </c>
      <c r="C227" s="552" t="s">
        <v>135</v>
      </c>
      <c r="D227" s="297" t="s">
        <v>7363</v>
      </c>
      <c r="E227" s="552" t="s">
        <v>7364</v>
      </c>
      <c r="F227" s="297" t="s">
        <v>7365</v>
      </c>
      <c r="G227" s="553" t="s">
        <v>3973</v>
      </c>
      <c r="H227" s="552" t="s">
        <v>3995</v>
      </c>
      <c r="I227" s="554">
        <v>26000</v>
      </c>
      <c r="J227" s="552">
        <v>0</v>
      </c>
      <c r="K227" s="552">
        <v>16</v>
      </c>
      <c r="L227" s="552">
        <f t="shared" si="104"/>
        <v>1625</v>
      </c>
      <c r="M227" s="555">
        <v>46277</v>
      </c>
      <c r="N227" s="555">
        <v>46273</v>
      </c>
      <c r="O227" s="551"/>
      <c r="P227" s="556"/>
      <c r="Q227" s="556"/>
      <c r="R227" s="443">
        <v>46203</v>
      </c>
      <c r="S227" s="452" t="s">
        <v>107</v>
      </c>
      <c r="T227" s="452" t="s">
        <v>95</v>
      </c>
      <c r="U227" s="452"/>
      <c r="V227" s="557"/>
      <c r="W227" s="557"/>
      <c r="X227" s="557" t="s">
        <v>7366</v>
      </c>
      <c r="Y227" s="555" t="s">
        <v>1142</v>
      </c>
      <c r="Z227" s="558">
        <v>4.7721</v>
      </c>
      <c r="AA227" s="297">
        <f t="shared" si="133"/>
        <v>124074.6</v>
      </c>
      <c r="AB227" s="559"/>
      <c r="AC227" s="348" t="s">
        <v>4108</v>
      </c>
      <c r="AD227" s="437" t="s">
        <v>112</v>
      </c>
      <c r="AE227" s="552">
        <f t="shared" si="134"/>
        <v>26000</v>
      </c>
      <c r="AF227" s="552"/>
      <c r="AG227" s="552"/>
      <c r="AH227" s="552"/>
      <c r="AI227" s="552"/>
      <c r="AJ227" s="347">
        <f t="shared" si="135"/>
        <v>-26000</v>
      </c>
      <c r="AK227" s="556"/>
      <c r="AL227" s="556"/>
      <c r="AM227" s="348"/>
      <c r="AN227" s="348">
        <f t="shared" si="136"/>
        <v>26000</v>
      </c>
      <c r="AO227" s="348"/>
      <c r="AP227" s="348">
        <f t="shared" si="137"/>
        <v>26000</v>
      </c>
      <c r="AR227" s="348"/>
      <c r="AW227" s="297">
        <f t="shared" si="138"/>
        <v>3250</v>
      </c>
      <c r="BF227" s="348"/>
    </row>
    <row r="228" s="286" customFormat="1" ht="32.05" customHeight="1" spans="1:111">
      <c r="A228" s="435">
        <v>46202</v>
      </c>
      <c r="B228" s="436" t="s">
        <v>134</v>
      </c>
      <c r="C228" s="437" t="s">
        <v>135</v>
      </c>
      <c r="D228" s="438" t="s">
        <v>7363</v>
      </c>
      <c r="E228" s="437" t="s">
        <v>7367</v>
      </c>
      <c r="F228" s="438" t="s">
        <v>7368</v>
      </c>
      <c r="G228" s="439" t="s">
        <v>270</v>
      </c>
      <c r="H228" s="437" t="s">
        <v>893</v>
      </c>
      <c r="I228" s="440">
        <v>49375</v>
      </c>
      <c r="J228" s="437">
        <v>0</v>
      </c>
      <c r="K228" s="437">
        <v>25</v>
      </c>
      <c r="L228" s="441">
        <f t="shared" si="104"/>
        <v>1975</v>
      </c>
      <c r="M228" s="445">
        <v>46277</v>
      </c>
      <c r="N228" s="445">
        <v>46273</v>
      </c>
      <c r="O228" s="445"/>
      <c r="P228" s="442"/>
      <c r="Q228" s="442"/>
      <c r="R228" s="437"/>
      <c r="S228" s="443">
        <v>46203</v>
      </c>
      <c r="T228" s="452" t="s">
        <v>95</v>
      </c>
      <c r="U228" s="452" t="s">
        <v>95</v>
      </c>
      <c r="V228" s="544" t="s">
        <v>7369</v>
      </c>
      <c r="W228" s="544"/>
      <c r="X228" s="543"/>
      <c r="Y228" s="436" t="s">
        <v>7370</v>
      </c>
      <c r="Z228" s="445" t="s">
        <v>1142</v>
      </c>
      <c r="AA228" s="438">
        <v>1.0856</v>
      </c>
      <c r="AB228" s="446">
        <f t="shared" ref="AB228:AB236" si="139">I228*AA228</f>
        <v>53601.5</v>
      </c>
      <c r="AC228" s="437"/>
      <c r="AD228" s="439" t="s">
        <v>270</v>
      </c>
      <c r="AE228" s="437" t="s">
        <v>112</v>
      </c>
      <c r="AF228" s="437"/>
      <c r="AG228" s="437"/>
      <c r="AH228" s="442"/>
      <c r="AI228" s="512">
        <f t="shared" ref="AI228:AI236" si="140">AH228-I228</f>
        <v>-49375</v>
      </c>
      <c r="AJ228" s="437"/>
      <c r="AK228" s="437"/>
      <c r="AL228" s="438">
        <f t="shared" ref="AL228:AL236" si="141">I228</f>
        <v>49375</v>
      </c>
      <c r="AM228" s="438"/>
      <c r="AN228" s="438"/>
      <c r="AO228" s="438"/>
      <c r="AP228" s="438"/>
      <c r="AQ228" s="447"/>
      <c r="AR228" s="438"/>
      <c r="AS228" s="448"/>
      <c r="AT228" s="438"/>
      <c r="AU228" s="449"/>
      <c r="AV228" s="449"/>
      <c r="AW228" s="438"/>
      <c r="AX228" s="438"/>
      <c r="AY228" s="438"/>
      <c r="AZ228" s="438"/>
      <c r="BA228" s="438"/>
      <c r="BB228" s="438"/>
      <c r="BC228" s="438"/>
      <c r="BD228" s="438"/>
      <c r="BE228" s="438">
        <f t="shared" ref="BE228:BE234" si="142">I228</f>
        <v>49375</v>
      </c>
      <c r="BF228" s="438">
        <f>I228</f>
        <v>49375</v>
      </c>
      <c r="BG228" s="438"/>
      <c r="BH228" s="438"/>
      <c r="BI228" s="438"/>
      <c r="BJ228" s="438"/>
      <c r="BK228" s="438"/>
      <c r="BL228" s="447"/>
      <c r="BM228" s="447"/>
      <c r="BN228" s="438"/>
      <c r="BO228" s="448"/>
      <c r="BP228" s="448"/>
      <c r="BQ228" s="438"/>
      <c r="BR228" s="438"/>
      <c r="BS228" s="447"/>
      <c r="BT228" s="438"/>
      <c r="BU228" s="438"/>
      <c r="BV228" s="438"/>
      <c r="BW228" s="438"/>
      <c r="BX228" s="438"/>
      <c r="BY228" s="438"/>
      <c r="BZ228" s="438"/>
      <c r="CA228" s="438">
        <f t="shared" ref="CA228:CA234" si="143">BK228+BL228+BN228+BP228+BO228</f>
        <v>0</v>
      </c>
      <c r="CB228" s="438">
        <f t="shared" ref="CB228:CB234" si="144">BR228</f>
        <v>0</v>
      </c>
      <c r="CC228" s="438">
        <f t="shared" ref="CC228:CC234" si="145">BZ228</f>
        <v>0</v>
      </c>
      <c r="CD228" s="438">
        <f t="shared" ref="CD228:CD234" si="146">BS228+BT228+BU228</f>
        <v>0</v>
      </c>
      <c r="CE228" s="448"/>
      <c r="CF228" s="448"/>
      <c r="CG228" s="448"/>
      <c r="CH228" s="438"/>
      <c r="CI228" s="438"/>
    </row>
    <row r="229" s="286" customFormat="1" ht="32.05" customHeight="1" spans="1:111">
      <c r="A229" s="435">
        <v>46202</v>
      </c>
      <c r="B229" s="436" t="s">
        <v>134</v>
      </c>
      <c r="C229" s="437" t="s">
        <v>135</v>
      </c>
      <c r="D229" s="438" t="s">
        <v>7363</v>
      </c>
      <c r="E229" s="437" t="s">
        <v>7371</v>
      </c>
      <c r="F229" s="438" t="s">
        <v>7372</v>
      </c>
      <c r="G229" s="439" t="s">
        <v>270</v>
      </c>
      <c r="H229" s="437" t="s">
        <v>893</v>
      </c>
      <c r="I229" s="440">
        <v>9775</v>
      </c>
      <c r="J229" s="437">
        <v>0</v>
      </c>
      <c r="K229" s="437">
        <v>25</v>
      </c>
      <c r="L229" s="441">
        <f t="shared" si="104"/>
        <v>391</v>
      </c>
      <c r="M229" s="445">
        <v>46277</v>
      </c>
      <c r="N229" s="445">
        <v>46273</v>
      </c>
      <c r="O229" s="445"/>
      <c r="P229" s="442"/>
      <c r="Q229" s="442"/>
      <c r="R229" s="437"/>
      <c r="S229" s="443">
        <v>46203</v>
      </c>
      <c r="T229" s="452" t="s">
        <v>95</v>
      </c>
      <c r="U229" s="452" t="s">
        <v>95</v>
      </c>
      <c r="V229" s="544" t="s">
        <v>7369</v>
      </c>
      <c r="W229" s="544"/>
      <c r="X229" s="543"/>
      <c r="Y229" s="436" t="s">
        <v>7370</v>
      </c>
      <c r="Z229" s="445" t="s">
        <v>1142</v>
      </c>
      <c r="AA229" s="438">
        <v>1.1031</v>
      </c>
      <c r="AB229" s="446">
        <f t="shared" si="139"/>
        <v>10782.8025</v>
      </c>
      <c r="AC229" s="437"/>
      <c r="AD229" s="439" t="s">
        <v>270</v>
      </c>
      <c r="AE229" s="437" t="s">
        <v>112</v>
      </c>
      <c r="AF229" s="437"/>
      <c r="AG229" s="437"/>
      <c r="AH229" s="442"/>
      <c r="AI229" s="512">
        <f t="shared" si="140"/>
        <v>-9775</v>
      </c>
      <c r="AJ229" s="437"/>
      <c r="AK229" s="437"/>
      <c r="AL229" s="438">
        <f t="shared" si="141"/>
        <v>9775</v>
      </c>
      <c r="AM229" s="438"/>
      <c r="AN229" s="438"/>
      <c r="AO229" s="438"/>
      <c r="AP229" s="438"/>
      <c r="AQ229" s="447"/>
      <c r="AR229" s="438"/>
      <c r="AS229" s="448"/>
      <c r="AT229" s="438"/>
      <c r="AU229" s="449"/>
      <c r="AV229" s="449"/>
      <c r="AW229" s="438"/>
      <c r="AX229" s="438"/>
      <c r="AY229" s="438"/>
      <c r="AZ229" s="438"/>
      <c r="BA229" s="438"/>
      <c r="BB229" s="438"/>
      <c r="BC229" s="438"/>
      <c r="BD229" s="438"/>
      <c r="BE229" s="438">
        <f t="shared" si="142"/>
        <v>9775</v>
      </c>
      <c r="BF229" s="438">
        <f>I229</f>
        <v>9775</v>
      </c>
      <c r="BG229" s="438"/>
      <c r="BH229" s="438"/>
      <c r="BI229" s="438"/>
      <c r="BJ229" s="438"/>
      <c r="BK229" s="438"/>
      <c r="BL229" s="447"/>
      <c r="BM229" s="447"/>
      <c r="BN229" s="438"/>
      <c r="BO229" s="448"/>
      <c r="BP229" s="448"/>
      <c r="BQ229" s="438"/>
      <c r="BR229" s="438"/>
      <c r="BS229" s="447"/>
      <c r="BT229" s="438"/>
      <c r="BU229" s="438"/>
      <c r="BV229" s="438"/>
      <c r="BW229" s="438"/>
      <c r="BX229" s="438"/>
      <c r="BY229" s="438"/>
      <c r="BZ229" s="438"/>
      <c r="CA229" s="438">
        <f t="shared" si="143"/>
        <v>0</v>
      </c>
      <c r="CB229" s="438">
        <f t="shared" si="144"/>
        <v>0</v>
      </c>
      <c r="CC229" s="438">
        <f t="shared" si="145"/>
        <v>0</v>
      </c>
      <c r="CD229" s="438">
        <f t="shared" si="146"/>
        <v>0</v>
      </c>
      <c r="CE229" s="448"/>
      <c r="CF229" s="448"/>
      <c r="CG229" s="448"/>
      <c r="CH229" s="438"/>
      <c r="CI229" s="438"/>
    </row>
    <row r="230" s="289" customFormat="1" ht="31" customHeight="1" spans="1:111">
      <c r="A230" s="345">
        <v>46185</v>
      </c>
      <c r="B230" s="346" t="s">
        <v>264</v>
      </c>
      <c r="C230" s="347" t="s">
        <v>265</v>
      </c>
      <c r="D230" s="348">
        <v>4500211924</v>
      </c>
      <c r="E230" s="347">
        <v>4400577343</v>
      </c>
      <c r="F230" s="348" t="s">
        <v>7373</v>
      </c>
      <c r="G230" s="349" t="s">
        <v>3973</v>
      </c>
      <c r="H230" s="347" t="s">
        <v>3995</v>
      </c>
      <c r="I230" s="369">
        <v>7408</v>
      </c>
      <c r="J230" s="347">
        <v>0</v>
      </c>
      <c r="K230" s="347">
        <v>16</v>
      </c>
      <c r="L230" s="347">
        <f t="shared" si="104"/>
        <v>463</v>
      </c>
      <c r="M230" s="351">
        <v>46258</v>
      </c>
      <c r="N230" s="351">
        <v>46254</v>
      </c>
      <c r="O230" s="346"/>
      <c r="P230" s="352"/>
      <c r="Q230" s="352"/>
      <c r="R230" s="370">
        <v>46185</v>
      </c>
      <c r="S230" s="444" t="s">
        <v>107</v>
      </c>
      <c r="T230" s="444" t="s">
        <v>1794</v>
      </c>
      <c r="U230" s="444"/>
      <c r="V230" s="353"/>
      <c r="W230" s="353"/>
      <c r="X230" s="444" t="s">
        <v>4618</v>
      </c>
      <c r="Y230" s="351" t="s">
        <v>1142</v>
      </c>
      <c r="Z230" s="431">
        <v>4.8121</v>
      </c>
      <c r="AA230" s="348">
        <f>I230*Z230</f>
        <v>35648.0368</v>
      </c>
      <c r="AB230" s="355"/>
      <c r="AC230" s="348" t="s">
        <v>4108</v>
      </c>
      <c r="AD230" s="437" t="s">
        <v>112</v>
      </c>
      <c r="AE230" s="347">
        <f>I230</f>
        <v>7408</v>
      </c>
      <c r="AF230" s="347"/>
      <c r="AG230" s="437"/>
      <c r="AH230" s="437"/>
      <c r="AI230" s="545"/>
      <c r="AJ230" s="347">
        <f>AI230-I230</f>
        <v>-7408</v>
      </c>
      <c r="AK230" s="546"/>
      <c r="AL230" s="352"/>
      <c r="AM230" s="348"/>
      <c r="AN230" s="348">
        <f>I230</f>
        <v>7408</v>
      </c>
      <c r="AO230" s="348"/>
      <c r="AP230" s="348">
        <f>I230</f>
        <v>7408</v>
      </c>
      <c r="AQ230" s="348"/>
      <c r="AR230" s="348"/>
      <c r="AS230" s="348"/>
      <c r="AT230" s="348"/>
      <c r="AU230" s="348"/>
      <c r="AV230" s="348"/>
      <c r="AW230" s="348">
        <f>I230/8</f>
        <v>926</v>
      </c>
      <c r="AX230" s="348"/>
      <c r="AY230" s="348"/>
      <c r="AZ230" s="348"/>
      <c r="BA230" s="348"/>
      <c r="BB230" s="348"/>
      <c r="BC230" s="348"/>
      <c r="BD230" s="348"/>
      <c r="BE230" s="348"/>
      <c r="BF230" s="348"/>
    </row>
    <row r="231" s="288" customFormat="1" ht="31" customHeight="1" spans="1:111">
      <c r="A231" s="345">
        <v>46185</v>
      </c>
      <c r="B231" s="346" t="s">
        <v>264</v>
      </c>
      <c r="C231" s="347" t="s">
        <v>265</v>
      </c>
      <c r="D231" s="348">
        <v>4500211924</v>
      </c>
      <c r="E231" s="347">
        <v>4400577348</v>
      </c>
      <c r="F231" s="348" t="s">
        <v>7374</v>
      </c>
      <c r="G231" s="349" t="s">
        <v>3973</v>
      </c>
      <c r="H231" s="347" t="s">
        <v>3995</v>
      </c>
      <c r="I231" s="369">
        <v>7200</v>
      </c>
      <c r="J231" s="347">
        <v>0</v>
      </c>
      <c r="K231" s="347">
        <v>16</v>
      </c>
      <c r="L231" s="347">
        <f t="shared" si="104"/>
        <v>450</v>
      </c>
      <c r="M231" s="351">
        <v>46268</v>
      </c>
      <c r="N231" s="351">
        <v>46265</v>
      </c>
      <c r="O231" s="346"/>
      <c r="P231" s="352"/>
      <c r="Q231" s="352"/>
      <c r="R231" s="370">
        <v>46185</v>
      </c>
      <c r="S231" s="444" t="s">
        <v>107</v>
      </c>
      <c r="T231" s="444" t="s">
        <v>1794</v>
      </c>
      <c r="U231" s="444"/>
      <c r="V231" s="353"/>
      <c r="W231" s="353"/>
      <c r="X231" s="353" t="s">
        <v>7375</v>
      </c>
      <c r="Y231" s="351" t="s">
        <v>1142</v>
      </c>
      <c r="Z231" s="431">
        <v>4.8121</v>
      </c>
      <c r="AA231" s="348">
        <f>I231*Z231</f>
        <v>34647.12</v>
      </c>
      <c r="AB231" s="355"/>
      <c r="AC231" s="348" t="s">
        <v>4108</v>
      </c>
      <c r="AD231" s="437" t="s">
        <v>112</v>
      </c>
      <c r="AE231" s="347">
        <f>I231</f>
        <v>7200</v>
      </c>
      <c r="AF231" s="347"/>
      <c r="AG231" s="437"/>
      <c r="AH231" s="437"/>
      <c r="AI231" s="545"/>
      <c r="AJ231" s="347">
        <f>AI231-I231</f>
        <v>-7200</v>
      </c>
      <c r="AK231" s="546"/>
      <c r="AL231" s="352"/>
      <c r="AM231" s="348"/>
      <c r="AN231" s="348">
        <f>I231</f>
        <v>7200</v>
      </c>
      <c r="AO231" s="348"/>
      <c r="AP231" s="348">
        <f>I231</f>
        <v>7200</v>
      </c>
      <c r="AQ231" s="348"/>
      <c r="AR231" s="348"/>
      <c r="AS231" s="348"/>
      <c r="AT231" s="348"/>
      <c r="AU231" s="348"/>
      <c r="AV231" s="348"/>
      <c r="AW231" s="348">
        <f>I231/8</f>
        <v>900</v>
      </c>
      <c r="AX231" s="348"/>
      <c r="AY231" s="348"/>
      <c r="AZ231" s="348"/>
      <c r="BA231" s="348"/>
      <c r="BB231" s="348"/>
      <c r="BC231" s="348"/>
      <c r="BD231" s="348"/>
      <c r="BE231" s="348"/>
      <c r="BF231" s="348"/>
      <c r="BG231" s="289"/>
      <c r="BH231" s="289"/>
      <c r="BI231" s="289"/>
      <c r="BJ231" s="289"/>
      <c r="BK231" s="289"/>
      <c r="BL231" s="289"/>
      <c r="BM231" s="289"/>
      <c r="BN231" s="289"/>
      <c r="BO231" s="289"/>
      <c r="BP231" s="289"/>
      <c r="BQ231" s="289"/>
      <c r="BR231" s="289"/>
      <c r="BS231" s="289"/>
      <c r="BT231" s="289"/>
      <c r="BU231" s="289"/>
      <c r="BV231" s="289"/>
      <c r="BW231" s="289"/>
      <c r="BX231" s="289"/>
      <c r="BY231" s="289"/>
      <c r="BZ231" s="289"/>
      <c r="CA231" s="289"/>
      <c r="CB231" s="289"/>
      <c r="CC231" s="289"/>
      <c r="CD231" s="289"/>
      <c r="CE231" s="289"/>
      <c r="CF231" s="289"/>
      <c r="CG231" s="289"/>
      <c r="CH231" s="289"/>
      <c r="CI231" s="289"/>
      <c r="CJ231" s="289"/>
      <c r="CK231" s="289"/>
      <c r="CL231" s="289"/>
      <c r="CM231" s="289"/>
      <c r="CN231" s="289"/>
      <c r="CO231" s="289"/>
    </row>
    <row r="232" s="286" customFormat="1" ht="32.05" customHeight="1" spans="1:111">
      <c r="A232" s="435">
        <v>46185</v>
      </c>
      <c r="B232" s="460" t="s">
        <v>264</v>
      </c>
      <c r="C232" s="461" t="s">
        <v>265</v>
      </c>
      <c r="D232" s="462">
        <v>4500211924</v>
      </c>
      <c r="E232" s="463">
        <v>4400561423</v>
      </c>
      <c r="F232" s="462" t="s">
        <v>7376</v>
      </c>
      <c r="G232" s="464" t="s">
        <v>270</v>
      </c>
      <c r="H232" s="437" t="s">
        <v>893</v>
      </c>
      <c r="I232" s="465">
        <v>3000</v>
      </c>
      <c r="J232" s="466">
        <v>0</v>
      </c>
      <c r="K232" s="466">
        <v>25</v>
      </c>
      <c r="L232" s="441">
        <f t="shared" si="104"/>
        <v>120</v>
      </c>
      <c r="M232" s="445">
        <v>46260</v>
      </c>
      <c r="N232" s="445">
        <v>46256</v>
      </c>
      <c r="O232" s="445"/>
      <c r="P232" s="442"/>
      <c r="Q232" s="442"/>
      <c r="R232" s="437"/>
      <c r="S232" s="451">
        <v>46185</v>
      </c>
      <c r="T232" s="452" t="s">
        <v>95</v>
      </c>
      <c r="U232" s="452" t="s">
        <v>95</v>
      </c>
      <c r="V232" s="543" t="s">
        <v>140</v>
      </c>
      <c r="W232" s="543"/>
      <c r="X232" s="544" t="s">
        <v>3309</v>
      </c>
      <c r="Y232" s="436" t="s">
        <v>7349</v>
      </c>
      <c r="Z232" s="468" t="s">
        <v>1142</v>
      </c>
      <c r="AA232" s="469">
        <v>1.1085</v>
      </c>
      <c r="AB232" s="446">
        <f t="shared" si="139"/>
        <v>3325.5</v>
      </c>
      <c r="AC232" s="437"/>
      <c r="AD232" s="439" t="s">
        <v>270</v>
      </c>
      <c r="AE232" s="437" t="s">
        <v>112</v>
      </c>
      <c r="AF232" s="437"/>
      <c r="AG232" s="437"/>
      <c r="AH232" s="442"/>
      <c r="AI232" s="442">
        <f t="shared" si="140"/>
        <v>-3000</v>
      </c>
      <c r="AJ232" s="437"/>
      <c r="AK232" s="437"/>
      <c r="AL232" s="438">
        <f t="shared" si="141"/>
        <v>3000</v>
      </c>
      <c r="AM232" s="438"/>
      <c r="AN232" s="438"/>
      <c r="AO232" s="438"/>
      <c r="AP232" s="438"/>
      <c r="AQ232" s="447"/>
      <c r="AR232" s="438"/>
      <c r="AS232" s="448"/>
      <c r="AT232" s="438"/>
      <c r="AU232" s="449">
        <f t="shared" ref="AU232:AU234" si="147">I232*0.06</f>
        <v>180</v>
      </c>
      <c r="AV232" s="449">
        <f t="shared" ref="AV232:AV234" si="148">I232</f>
        <v>3000</v>
      </c>
      <c r="AW232" s="438"/>
      <c r="AX232" s="438"/>
      <c r="AY232" s="438"/>
      <c r="AZ232" s="438"/>
      <c r="BA232" s="438"/>
      <c r="BB232" s="438"/>
      <c r="BC232" s="438"/>
      <c r="BD232" s="438"/>
      <c r="BE232" s="438">
        <f t="shared" si="142"/>
        <v>3000</v>
      </c>
      <c r="BF232" s="438"/>
      <c r="BG232" s="438"/>
      <c r="BH232" s="438"/>
      <c r="BI232" s="438"/>
      <c r="BJ232" s="438"/>
      <c r="BK232" s="438"/>
      <c r="BL232" s="447">
        <f t="shared" ref="BL232:BL234" si="149">I232/25</f>
        <v>120</v>
      </c>
      <c r="BM232" s="447"/>
      <c r="BN232" s="438"/>
      <c r="BO232" s="448"/>
      <c r="BP232" s="448"/>
      <c r="BQ232" s="438"/>
      <c r="BR232" s="438"/>
      <c r="BS232" s="447"/>
      <c r="BT232" s="438"/>
      <c r="BU232" s="438"/>
      <c r="BV232" s="438"/>
      <c r="BW232" s="438"/>
      <c r="BX232" s="438"/>
      <c r="BY232" s="438"/>
      <c r="BZ232" s="438"/>
      <c r="CA232" s="438">
        <f t="shared" si="143"/>
        <v>120</v>
      </c>
      <c r="CB232" s="438">
        <f t="shared" si="144"/>
        <v>0</v>
      </c>
      <c r="CC232" s="438">
        <f t="shared" si="145"/>
        <v>0</v>
      </c>
      <c r="CD232" s="438">
        <f t="shared" si="146"/>
        <v>0</v>
      </c>
      <c r="CE232" s="448"/>
      <c r="CF232" s="448"/>
      <c r="CG232" s="448"/>
      <c r="CH232" s="438"/>
      <c r="CI232" s="438"/>
    </row>
    <row r="233" s="295" customFormat="1" ht="32.05" customHeight="1" spans="1:111">
      <c r="A233" s="435">
        <v>46185</v>
      </c>
      <c r="B233" s="460" t="s">
        <v>264</v>
      </c>
      <c r="C233" s="461" t="s">
        <v>265</v>
      </c>
      <c r="D233" s="462">
        <v>4500211924</v>
      </c>
      <c r="E233" s="463">
        <v>4400577347</v>
      </c>
      <c r="F233" s="462" t="s">
        <v>7377</v>
      </c>
      <c r="G233" s="464" t="s">
        <v>270</v>
      </c>
      <c r="H233" s="437" t="s">
        <v>893</v>
      </c>
      <c r="I233" s="465">
        <v>17400</v>
      </c>
      <c r="J233" s="466">
        <v>0</v>
      </c>
      <c r="K233" s="466">
        <v>25</v>
      </c>
      <c r="L233" s="441">
        <f t="shared" si="104"/>
        <v>696</v>
      </c>
      <c r="M233" s="445">
        <v>46268</v>
      </c>
      <c r="N233" s="445">
        <v>46265</v>
      </c>
      <c r="O233" s="445"/>
      <c r="P233" s="442"/>
      <c r="Q233" s="442"/>
      <c r="R233" s="437"/>
      <c r="S233" s="443">
        <v>46185</v>
      </c>
      <c r="T233" s="444" t="s">
        <v>95</v>
      </c>
      <c r="U233" s="444" t="s">
        <v>95</v>
      </c>
      <c r="V233" s="543" t="s">
        <v>140</v>
      </c>
      <c r="W233" s="543"/>
      <c r="X233" s="544" t="s">
        <v>3309</v>
      </c>
      <c r="Y233" s="436" t="s">
        <v>7378</v>
      </c>
      <c r="Z233" s="468" t="s">
        <v>1142</v>
      </c>
      <c r="AA233" s="469">
        <v>1.0976</v>
      </c>
      <c r="AB233" s="446">
        <f t="shared" si="139"/>
        <v>19098.24</v>
      </c>
      <c r="AC233" s="437"/>
      <c r="AD233" s="439" t="s">
        <v>270</v>
      </c>
      <c r="AE233" s="437" t="s">
        <v>112</v>
      </c>
      <c r="AF233" s="437"/>
      <c r="AG233" s="437"/>
      <c r="AH233" s="442"/>
      <c r="AI233" s="442">
        <f t="shared" si="140"/>
        <v>-17400</v>
      </c>
      <c r="AJ233" s="437"/>
      <c r="AK233" s="437"/>
      <c r="AL233" s="438">
        <f t="shared" si="141"/>
        <v>17400</v>
      </c>
      <c r="AM233" s="438"/>
      <c r="AN233" s="438"/>
      <c r="AO233" s="438"/>
      <c r="AP233" s="438"/>
      <c r="AQ233" s="447"/>
      <c r="AR233" s="438"/>
      <c r="AS233" s="448"/>
      <c r="AT233" s="438"/>
      <c r="AU233" s="449">
        <f t="shared" si="147"/>
        <v>1044</v>
      </c>
      <c r="AV233" s="449">
        <f t="shared" si="148"/>
        <v>17400</v>
      </c>
      <c r="AW233" s="438"/>
      <c r="AX233" s="438"/>
      <c r="AY233" s="438"/>
      <c r="AZ233" s="438"/>
      <c r="BA233" s="438"/>
      <c r="BB233" s="438"/>
      <c r="BC233" s="438"/>
      <c r="BD233" s="438"/>
      <c r="BE233" s="438">
        <f t="shared" si="142"/>
        <v>17400</v>
      </c>
      <c r="BF233" s="438"/>
      <c r="BG233" s="438"/>
      <c r="BH233" s="438"/>
      <c r="BI233" s="438"/>
      <c r="BJ233" s="438"/>
      <c r="BK233" s="438"/>
      <c r="BL233" s="447">
        <f t="shared" si="149"/>
        <v>696</v>
      </c>
      <c r="BM233" s="447"/>
      <c r="BN233" s="438"/>
      <c r="BO233" s="448"/>
      <c r="BP233" s="448"/>
      <c r="BQ233" s="438"/>
      <c r="BR233" s="438"/>
      <c r="BS233" s="447"/>
      <c r="BT233" s="438"/>
      <c r="BU233" s="438"/>
      <c r="BV233" s="438"/>
      <c r="BW233" s="438"/>
      <c r="BX233" s="438"/>
      <c r="BY233" s="438"/>
      <c r="BZ233" s="438"/>
      <c r="CA233" s="438">
        <f t="shared" si="143"/>
        <v>696</v>
      </c>
      <c r="CB233" s="438">
        <f t="shared" si="144"/>
        <v>0</v>
      </c>
      <c r="CC233" s="438">
        <f t="shared" si="145"/>
        <v>0</v>
      </c>
      <c r="CD233" s="438">
        <f t="shared" si="146"/>
        <v>0</v>
      </c>
      <c r="CE233" s="448"/>
      <c r="CF233" s="448"/>
      <c r="CG233" s="448"/>
      <c r="CH233" s="438"/>
      <c r="CI233" s="438"/>
      <c r="CJ233" s="286"/>
      <c r="CK233" s="286"/>
      <c r="CL233" s="286"/>
      <c r="CM233" s="286"/>
      <c r="CN233" s="286"/>
      <c r="CO233" s="286"/>
      <c r="CP233" s="286"/>
      <c r="CQ233" s="286"/>
      <c r="CR233" s="286"/>
      <c r="CS233" s="286"/>
      <c r="CT233" s="286"/>
      <c r="CU233" s="286"/>
      <c r="CV233" s="286"/>
      <c r="CW233" s="286"/>
      <c r="CX233" s="286"/>
      <c r="CY233" s="286"/>
      <c r="CZ233" s="286"/>
      <c r="DA233" s="286"/>
      <c r="DB233" s="286"/>
      <c r="DC233" s="286"/>
      <c r="DD233" s="286"/>
    </row>
    <row r="234" s="291" customFormat="1" ht="32.05" customHeight="1" spans="1:111">
      <c r="A234" s="435">
        <v>46185</v>
      </c>
      <c r="B234" s="460" t="s">
        <v>264</v>
      </c>
      <c r="C234" s="461" t="s">
        <v>265</v>
      </c>
      <c r="D234" s="462">
        <v>4500211924</v>
      </c>
      <c r="E234" s="463">
        <v>4400577349</v>
      </c>
      <c r="F234" s="462" t="s">
        <v>7379</v>
      </c>
      <c r="G234" s="464" t="s">
        <v>270</v>
      </c>
      <c r="H234" s="437" t="s">
        <v>893</v>
      </c>
      <c r="I234" s="465">
        <v>10500</v>
      </c>
      <c r="J234" s="466">
        <v>0</v>
      </c>
      <c r="K234" s="466">
        <v>25</v>
      </c>
      <c r="L234" s="441">
        <f t="shared" si="104"/>
        <v>420</v>
      </c>
      <c r="M234" s="445">
        <v>46268</v>
      </c>
      <c r="N234" s="445">
        <v>46265</v>
      </c>
      <c r="O234" s="445"/>
      <c r="P234" s="442"/>
      <c r="Q234" s="442"/>
      <c r="R234" s="437"/>
      <c r="S234" s="443">
        <v>46185</v>
      </c>
      <c r="T234" s="452" t="s">
        <v>95</v>
      </c>
      <c r="U234" s="452" t="s">
        <v>95</v>
      </c>
      <c r="V234" s="543" t="s">
        <v>140</v>
      </c>
      <c r="W234" s="543"/>
      <c r="X234" s="544" t="s">
        <v>3309</v>
      </c>
      <c r="Y234" s="436" t="s">
        <v>7349</v>
      </c>
      <c r="Z234" s="468" t="s">
        <v>1142</v>
      </c>
      <c r="AA234" s="469">
        <v>1.0976</v>
      </c>
      <c r="AB234" s="446">
        <f t="shared" si="139"/>
        <v>11524.8</v>
      </c>
      <c r="AC234" s="437"/>
      <c r="AD234" s="439" t="s">
        <v>270</v>
      </c>
      <c r="AE234" s="437" t="s">
        <v>112</v>
      </c>
      <c r="AF234" s="437"/>
      <c r="AG234" s="437"/>
      <c r="AH234" s="442"/>
      <c r="AI234" s="442">
        <f t="shared" si="140"/>
        <v>-10500</v>
      </c>
      <c r="AJ234" s="437"/>
      <c r="AK234" s="437"/>
      <c r="AL234" s="438">
        <f t="shared" si="141"/>
        <v>10500</v>
      </c>
      <c r="AM234" s="438"/>
      <c r="AN234" s="438"/>
      <c r="AO234" s="438"/>
      <c r="AP234" s="438"/>
      <c r="AQ234" s="447"/>
      <c r="AR234" s="438"/>
      <c r="AS234" s="448"/>
      <c r="AT234" s="438"/>
      <c r="AU234" s="449">
        <f t="shared" si="147"/>
        <v>630</v>
      </c>
      <c r="AV234" s="449">
        <f t="shared" si="148"/>
        <v>10500</v>
      </c>
      <c r="AW234" s="438"/>
      <c r="AX234" s="438"/>
      <c r="AY234" s="438"/>
      <c r="AZ234" s="438"/>
      <c r="BA234" s="438"/>
      <c r="BB234" s="438"/>
      <c r="BC234" s="438"/>
      <c r="BD234" s="438"/>
      <c r="BE234" s="438">
        <f t="shared" si="142"/>
        <v>10500</v>
      </c>
      <c r="BF234" s="438"/>
      <c r="BG234" s="438"/>
      <c r="BH234" s="438"/>
      <c r="BI234" s="438"/>
      <c r="BJ234" s="438"/>
      <c r="BK234" s="438"/>
      <c r="BL234" s="447">
        <f t="shared" si="149"/>
        <v>420</v>
      </c>
      <c r="BM234" s="447"/>
      <c r="BN234" s="438"/>
      <c r="BO234" s="448"/>
      <c r="BP234" s="448"/>
      <c r="BQ234" s="438"/>
      <c r="BR234" s="438"/>
      <c r="BS234" s="447"/>
      <c r="BT234" s="438"/>
      <c r="BU234" s="438"/>
      <c r="BV234" s="438"/>
      <c r="BW234" s="438"/>
      <c r="BX234" s="438"/>
      <c r="BY234" s="438"/>
      <c r="BZ234" s="438"/>
      <c r="CA234" s="438">
        <f t="shared" si="143"/>
        <v>420</v>
      </c>
      <c r="CB234" s="438">
        <f t="shared" si="144"/>
        <v>0</v>
      </c>
      <c r="CC234" s="438">
        <f t="shared" si="145"/>
        <v>0</v>
      </c>
      <c r="CD234" s="438">
        <f t="shared" si="146"/>
        <v>0</v>
      </c>
      <c r="CE234" s="448"/>
      <c r="CF234" s="448"/>
      <c r="CG234" s="448"/>
      <c r="CH234" s="438"/>
      <c r="CI234" s="438"/>
      <c r="CJ234" s="286"/>
      <c r="CK234" s="286"/>
      <c r="CL234" s="286"/>
      <c r="CM234" s="286"/>
      <c r="CN234" s="286"/>
      <c r="CO234" s="286"/>
      <c r="CP234" s="286"/>
      <c r="CQ234" s="286"/>
      <c r="CR234" s="286"/>
      <c r="CS234" s="286"/>
      <c r="CT234" s="286"/>
      <c r="CU234" s="286"/>
      <c r="CV234" s="286"/>
      <c r="CW234" s="286"/>
      <c r="CX234" s="286"/>
      <c r="CY234" s="286"/>
      <c r="CZ234" s="286"/>
      <c r="DA234" s="286"/>
      <c r="DB234" s="286"/>
      <c r="DC234" s="286"/>
      <c r="DD234" s="286"/>
    </row>
    <row r="235" s="291" customFormat="1" ht="32.05" customHeight="1" spans="1:111">
      <c r="A235" s="435">
        <v>46167</v>
      </c>
      <c r="B235" s="436" t="s">
        <v>163</v>
      </c>
      <c r="C235" s="437" t="s">
        <v>164</v>
      </c>
      <c r="D235" s="438" t="s">
        <v>7380</v>
      </c>
      <c r="E235" s="437" t="s">
        <v>7381</v>
      </c>
      <c r="F235" s="438" t="s">
        <v>7382</v>
      </c>
      <c r="G235" s="439" t="s">
        <v>270</v>
      </c>
      <c r="H235" s="437" t="s">
        <v>893</v>
      </c>
      <c r="I235" s="440">
        <v>4000</v>
      </c>
      <c r="J235" s="437">
        <v>0</v>
      </c>
      <c r="K235" s="437">
        <v>25</v>
      </c>
      <c r="L235" s="437">
        <f t="shared" si="104"/>
        <v>160</v>
      </c>
      <c r="M235" s="445">
        <v>46220</v>
      </c>
      <c r="N235" s="434">
        <v>46230</v>
      </c>
      <c r="O235" s="434" t="s">
        <v>1923</v>
      </c>
      <c r="P235" s="442" t="s">
        <v>7383</v>
      </c>
      <c r="Q235" s="442"/>
      <c r="R235" s="437"/>
      <c r="S235" s="443">
        <v>46168</v>
      </c>
      <c r="T235" s="452" t="s">
        <v>95</v>
      </c>
      <c r="U235" s="452" t="s">
        <v>95</v>
      </c>
      <c r="V235" s="436" t="s">
        <v>140</v>
      </c>
      <c r="W235" s="436"/>
      <c r="X235" s="436"/>
      <c r="Y235" s="444" t="s">
        <v>7384</v>
      </c>
      <c r="Z235" s="445" t="s">
        <v>1142</v>
      </c>
      <c r="AA235" s="490">
        <v>1.1085</v>
      </c>
      <c r="AB235" s="438">
        <f t="shared" si="139"/>
        <v>4434</v>
      </c>
      <c r="AC235" s="437"/>
      <c r="AD235" s="437" t="s">
        <v>137</v>
      </c>
      <c r="AE235" s="437" t="s">
        <v>112</v>
      </c>
      <c r="AF235" s="437"/>
      <c r="AG235" s="437"/>
      <c r="AH235" s="442"/>
      <c r="AI235" s="442">
        <f t="shared" si="140"/>
        <v>-4000</v>
      </c>
      <c r="AJ235" s="451">
        <v>46235</v>
      </c>
      <c r="AK235" s="437"/>
      <c r="AL235" s="438">
        <f t="shared" si="141"/>
        <v>4000</v>
      </c>
      <c r="AM235" s="438"/>
      <c r="AN235" s="438"/>
      <c r="AO235" s="438"/>
      <c r="AP235" s="438"/>
      <c r="AQ235" s="447"/>
      <c r="AR235" s="438"/>
      <c r="AS235" s="448"/>
      <c r="AT235" s="448"/>
      <c r="AU235" s="438"/>
      <c r="AV235" s="449">
        <f>I235*0.06</f>
        <v>240</v>
      </c>
      <c r="AW235" s="449">
        <f>I235</f>
        <v>4000</v>
      </c>
      <c r="AX235" s="438"/>
      <c r="AY235" s="438"/>
      <c r="AZ235" s="438"/>
      <c r="BA235" s="438"/>
      <c r="BB235" s="438"/>
      <c r="BC235" s="438"/>
      <c r="BD235" s="438"/>
      <c r="BE235" s="438"/>
      <c r="BF235" s="438">
        <f>I235</f>
        <v>4000</v>
      </c>
      <c r="BG235" s="438"/>
      <c r="BH235" s="438"/>
      <c r="BI235" s="438"/>
      <c r="BJ235" s="438"/>
      <c r="BK235" s="438"/>
      <c r="BL235" s="438"/>
      <c r="BM235" s="447">
        <f>I235/25</f>
        <v>160</v>
      </c>
      <c r="BN235" s="447"/>
      <c r="BO235" s="438"/>
      <c r="BP235" s="448"/>
      <c r="BQ235" s="448"/>
      <c r="BR235" s="438"/>
      <c r="BS235" s="438"/>
      <c r="BT235" s="447"/>
      <c r="BU235" s="438"/>
      <c r="BV235" s="438"/>
      <c r="BW235" s="438"/>
      <c r="BX235" s="438"/>
      <c r="BY235" s="438"/>
      <c r="BZ235" s="438"/>
      <c r="CA235" s="438"/>
      <c r="CB235" s="438">
        <f>BL235+BM235+BO235+BQ235+BP235</f>
        <v>160</v>
      </c>
      <c r="CC235" s="438">
        <f>BS235</f>
        <v>0</v>
      </c>
      <c r="CD235" s="438">
        <f>CA235</f>
        <v>0</v>
      </c>
      <c r="CE235" s="438">
        <f>BT235+BU235+BV235</f>
        <v>0</v>
      </c>
      <c r="CF235" s="448"/>
      <c r="CG235" s="448"/>
      <c r="CH235" s="448"/>
      <c r="CI235" s="438"/>
      <c r="CJ235" s="438"/>
      <c r="CK235" s="286"/>
      <c r="CL235" s="286"/>
      <c r="CM235" s="286"/>
      <c r="CN235" s="286"/>
      <c r="CO235" s="286"/>
      <c r="CP235" s="286"/>
      <c r="CQ235" s="286"/>
      <c r="CR235" s="286"/>
      <c r="CS235" s="286"/>
      <c r="CT235" s="286"/>
      <c r="CU235" s="286"/>
      <c r="CV235" s="286"/>
      <c r="CW235" s="286"/>
      <c r="CX235" s="286"/>
      <c r="CY235" s="286"/>
      <c r="CZ235" s="286"/>
      <c r="DA235" s="286"/>
      <c r="DB235" s="286"/>
      <c r="DC235" s="286"/>
      <c r="DD235" s="286"/>
      <c r="DE235" s="286"/>
    </row>
    <row r="236" s="286" customFormat="1" ht="32.05" customHeight="1" spans="1:111">
      <c r="A236" s="435">
        <v>46136</v>
      </c>
      <c r="B236" s="460" t="s">
        <v>163</v>
      </c>
      <c r="C236" s="461" t="s">
        <v>164</v>
      </c>
      <c r="D236" s="462" t="s">
        <v>7385</v>
      </c>
      <c r="E236" s="463" t="s">
        <v>7386</v>
      </c>
      <c r="F236" s="462" t="s">
        <v>7387</v>
      </c>
      <c r="G236" s="464" t="s">
        <v>270</v>
      </c>
      <c r="H236" s="436" t="s">
        <v>893</v>
      </c>
      <c r="I236" s="465">
        <v>8000</v>
      </c>
      <c r="J236" s="466">
        <v>0</v>
      </c>
      <c r="K236" s="466">
        <v>25</v>
      </c>
      <c r="L236" s="441">
        <f t="shared" si="104"/>
        <v>320</v>
      </c>
      <c r="M236" s="445">
        <v>46216</v>
      </c>
      <c r="N236" s="434">
        <v>46227</v>
      </c>
      <c r="O236" s="489" t="s">
        <v>1772</v>
      </c>
      <c r="P236" s="442" t="s">
        <v>7388</v>
      </c>
      <c r="Q236" s="442"/>
      <c r="R236" s="437" t="s">
        <v>1368</v>
      </c>
      <c r="S236" s="451" t="s">
        <v>6909</v>
      </c>
      <c r="T236" s="444" t="s">
        <v>95</v>
      </c>
      <c r="U236" s="444" t="s">
        <v>95</v>
      </c>
      <c r="V236" s="438" t="s">
        <v>140</v>
      </c>
      <c r="W236" s="438"/>
      <c r="X236" s="436"/>
      <c r="Y236" s="436" t="s">
        <v>7389</v>
      </c>
      <c r="Z236" s="468" t="s">
        <v>142</v>
      </c>
      <c r="AA236" s="469">
        <v>1.075</v>
      </c>
      <c r="AB236" s="446">
        <f t="shared" si="139"/>
        <v>8600</v>
      </c>
      <c r="AC236" s="437"/>
      <c r="AD236" s="437" t="s">
        <v>137</v>
      </c>
      <c r="AE236" s="437" t="s">
        <v>112</v>
      </c>
      <c r="AF236" s="437"/>
      <c r="AG236" s="437"/>
      <c r="AH236" s="442"/>
      <c r="AI236" s="442">
        <f t="shared" si="140"/>
        <v>-8000</v>
      </c>
      <c r="AJ236" s="451">
        <v>46233</v>
      </c>
      <c r="AK236" s="437"/>
      <c r="AL236" s="438">
        <f t="shared" si="141"/>
        <v>8000</v>
      </c>
      <c r="AM236" s="438"/>
      <c r="AN236" s="438"/>
      <c r="AO236" s="438"/>
      <c r="AP236" s="438"/>
      <c r="AQ236" s="447"/>
      <c r="AR236" s="438"/>
      <c r="AS236" s="448"/>
      <c r="AT236" s="448"/>
      <c r="AU236" s="438"/>
      <c r="AV236" s="449">
        <f>I236*0.06</f>
        <v>480</v>
      </c>
      <c r="AW236" s="449">
        <f>I236</f>
        <v>8000</v>
      </c>
      <c r="AX236" s="438"/>
      <c r="AY236" s="438"/>
      <c r="AZ236" s="438"/>
      <c r="BA236" s="438"/>
      <c r="BB236" s="438"/>
      <c r="BC236" s="438"/>
      <c r="BD236" s="438"/>
      <c r="BE236" s="438"/>
      <c r="BF236" s="438">
        <f>I236</f>
        <v>8000</v>
      </c>
      <c r="BG236" s="438"/>
      <c r="BH236" s="438"/>
      <c r="BI236" s="438"/>
      <c r="BJ236" s="438"/>
      <c r="BK236" s="438"/>
      <c r="BL236" s="438"/>
      <c r="BM236" s="447">
        <f>I236/25</f>
        <v>320</v>
      </c>
      <c r="BN236" s="447"/>
      <c r="BO236" s="438"/>
      <c r="BP236" s="448"/>
      <c r="BQ236" s="448"/>
      <c r="BR236" s="438"/>
      <c r="BS236" s="438"/>
      <c r="BT236" s="447"/>
      <c r="BU236" s="438"/>
      <c r="BV236" s="438"/>
      <c r="BW236" s="438"/>
      <c r="BX236" s="438"/>
      <c r="BY236" s="438"/>
      <c r="BZ236" s="438"/>
      <c r="CA236" s="438"/>
      <c r="CB236" s="438">
        <f>BL236+BM236+BO236+BQ236+BP236</f>
        <v>320</v>
      </c>
      <c r="CC236" s="438">
        <f>BS236</f>
        <v>0</v>
      </c>
      <c r="CD236" s="438">
        <f>CA236</f>
        <v>0</v>
      </c>
      <c r="CE236" s="438">
        <f>BT236+BU236+BV236</f>
        <v>0</v>
      </c>
      <c r="CF236" s="448"/>
      <c r="CG236" s="448"/>
      <c r="CH236" s="448"/>
      <c r="CI236" s="438"/>
      <c r="CJ236" s="438"/>
      <c r="CK236" s="291"/>
      <c r="CL236" s="291"/>
      <c r="CM236" s="291"/>
      <c r="CN236" s="291"/>
      <c r="CO236" s="291"/>
      <c r="CP236" s="291"/>
      <c r="CQ236" s="291"/>
      <c r="CR236" s="291"/>
      <c r="CS236" s="291"/>
      <c r="CT236" s="291"/>
      <c r="CU236" s="291"/>
      <c r="CV236" s="291"/>
      <c r="CW236" s="291"/>
      <c r="CX236" s="291"/>
      <c r="CY236" s="291"/>
      <c r="CZ236" s="291"/>
      <c r="DA236" s="291"/>
      <c r="DB236" s="291"/>
      <c r="DC236" s="291"/>
      <c r="DD236" s="291"/>
      <c r="DE236" s="291"/>
    </row>
    <row r="237" s="289" customFormat="1" ht="31" customHeight="1" spans="1:111">
      <c r="A237" s="345">
        <v>46157</v>
      </c>
      <c r="B237" s="346" t="s">
        <v>163</v>
      </c>
      <c r="C237" s="347" t="s">
        <v>164</v>
      </c>
      <c r="D237" s="348" t="s">
        <v>7390</v>
      </c>
      <c r="E237" s="347" t="s">
        <v>7386</v>
      </c>
      <c r="F237" s="348" t="s">
        <v>7391</v>
      </c>
      <c r="G237" s="349" t="s">
        <v>3973</v>
      </c>
      <c r="H237" s="347" t="s">
        <v>3995</v>
      </c>
      <c r="I237" s="369">
        <v>6000</v>
      </c>
      <c r="J237" s="347">
        <v>0</v>
      </c>
      <c r="K237" s="347">
        <v>16</v>
      </c>
      <c r="L237" s="347">
        <f t="shared" si="104"/>
        <v>375</v>
      </c>
      <c r="M237" s="351">
        <v>46220</v>
      </c>
      <c r="N237" s="351">
        <v>46216</v>
      </c>
      <c r="O237" s="436" t="s">
        <v>7392</v>
      </c>
      <c r="P237" s="352"/>
      <c r="Q237" s="437" t="s">
        <v>1368</v>
      </c>
      <c r="R237" s="370" t="s">
        <v>2244</v>
      </c>
      <c r="S237" s="353" t="s">
        <v>107</v>
      </c>
      <c r="T237" s="444" t="s">
        <v>1794</v>
      </c>
      <c r="U237" s="444"/>
      <c r="V237" s="353"/>
      <c r="W237" s="353"/>
      <c r="X237" s="353" t="s">
        <v>7393</v>
      </c>
      <c r="Y237" s="351" t="s">
        <v>142</v>
      </c>
      <c r="Z237" s="431">
        <v>4.6828</v>
      </c>
      <c r="AA237" s="348">
        <f>I237*Z237</f>
        <v>28096.8</v>
      </c>
      <c r="AB237" s="355"/>
      <c r="AC237" s="549" t="s">
        <v>4108</v>
      </c>
      <c r="AD237" s="437" t="s">
        <v>112</v>
      </c>
      <c r="AE237" s="347">
        <f t="shared" ref="AE237:AE240" si="150">I237</f>
        <v>6000</v>
      </c>
      <c r="AF237" s="347"/>
      <c r="AG237" s="437"/>
      <c r="AH237" s="437"/>
      <c r="AI237" s="545"/>
      <c r="AJ237" s="347">
        <f t="shared" ref="AJ237:AJ240" si="151">AI237-I237</f>
        <v>-6000</v>
      </c>
      <c r="AK237" s="546"/>
      <c r="AL237" s="442"/>
      <c r="AM237" s="348"/>
      <c r="AN237" s="348"/>
      <c r="AO237" s="348">
        <f>I237</f>
        <v>6000</v>
      </c>
      <c r="AP237" s="348">
        <f t="shared" ref="AP237:AP240" si="152">I237</f>
        <v>6000</v>
      </c>
      <c r="AQ237" s="348"/>
      <c r="AR237" s="348"/>
      <c r="AS237" s="348"/>
      <c r="AT237" s="348"/>
      <c r="AU237" s="348"/>
      <c r="AV237" s="348"/>
      <c r="AW237" s="348">
        <f>I237/8</f>
        <v>750</v>
      </c>
      <c r="AX237" s="348"/>
      <c r="AY237" s="348"/>
      <c r="AZ237" s="348"/>
      <c r="BA237" s="348"/>
      <c r="BB237" s="348"/>
      <c r="BC237" s="348"/>
      <c r="BD237" s="348"/>
      <c r="BE237" s="348"/>
      <c r="BF237" s="348"/>
      <c r="BG237" s="290"/>
      <c r="BH237" s="290"/>
      <c r="BI237" s="290"/>
      <c r="BJ237" s="290"/>
      <c r="BK237" s="290"/>
      <c r="BL237" s="290"/>
      <c r="BM237" s="290"/>
      <c r="BN237" s="290"/>
      <c r="BO237" s="290"/>
      <c r="BP237" s="290"/>
      <c r="BQ237" s="290"/>
      <c r="BR237" s="290"/>
      <c r="BS237" s="290"/>
      <c r="BT237" s="290"/>
      <c r="BU237" s="290"/>
      <c r="BV237" s="290"/>
      <c r="BW237" s="290"/>
      <c r="BX237" s="290"/>
      <c r="BY237" s="290"/>
      <c r="BZ237" s="290"/>
      <c r="CA237" s="290"/>
      <c r="CB237" s="290"/>
      <c r="CC237" s="290"/>
      <c r="CD237" s="290"/>
      <c r="CE237" s="290"/>
      <c r="CF237" s="290"/>
      <c r="CG237" s="290"/>
      <c r="CH237" s="290"/>
      <c r="CI237" s="290"/>
      <c r="CJ237" s="290"/>
      <c r="CK237" s="290"/>
      <c r="CL237" s="290"/>
      <c r="CM237" s="290"/>
      <c r="CN237" s="290"/>
      <c r="CO237" s="290"/>
    </row>
    <row r="238" s="297" customFormat="1" ht="31" customHeight="1" spans="1:111">
      <c r="A238" s="550">
        <v>46199</v>
      </c>
      <c r="B238" s="551" t="s">
        <v>7394</v>
      </c>
      <c r="C238" s="552" t="s">
        <v>115</v>
      </c>
      <c r="D238" s="552" t="s">
        <v>7395</v>
      </c>
      <c r="E238" s="552" t="s">
        <v>7395</v>
      </c>
      <c r="F238" s="297">
        <v>-20</v>
      </c>
      <c r="G238" s="553" t="s">
        <v>4337</v>
      </c>
      <c r="H238" s="552" t="s">
        <v>151</v>
      </c>
      <c r="I238" s="554">
        <v>0</v>
      </c>
      <c r="J238" s="552">
        <v>0</v>
      </c>
      <c r="K238" s="552">
        <v>84</v>
      </c>
      <c r="L238" s="552">
        <f t="shared" si="104"/>
        <v>0</v>
      </c>
      <c r="M238" s="555">
        <v>46254</v>
      </c>
      <c r="N238" s="555">
        <v>46251</v>
      </c>
      <c r="O238" s="527" t="s">
        <v>7396</v>
      </c>
      <c r="P238" s="556"/>
      <c r="Q238" s="556"/>
      <c r="R238" s="443">
        <v>46217</v>
      </c>
      <c r="S238" s="452" t="s">
        <v>107</v>
      </c>
      <c r="T238" s="452" t="s">
        <v>95</v>
      </c>
      <c r="U238" s="452"/>
      <c r="V238" s="557"/>
      <c r="W238" s="557"/>
      <c r="X238" s="532" t="s">
        <v>7397</v>
      </c>
      <c r="Y238" s="555" t="s">
        <v>1032</v>
      </c>
      <c r="Z238" s="558">
        <v>149.38</v>
      </c>
      <c r="AA238" s="297">
        <f>Z238*K238</f>
        <v>12547.92</v>
      </c>
      <c r="AB238" s="559"/>
      <c r="AC238" s="438" t="s">
        <v>3630</v>
      </c>
      <c r="AD238" s="437"/>
      <c r="AE238" s="552">
        <f t="shared" si="150"/>
        <v>0</v>
      </c>
      <c r="AF238" s="552"/>
      <c r="AG238" s="552"/>
      <c r="AH238" s="552"/>
      <c r="AI238" s="552"/>
      <c r="AJ238" s="347">
        <f t="shared" si="151"/>
        <v>0</v>
      </c>
      <c r="AK238" s="556"/>
      <c r="AL238" s="556"/>
      <c r="AM238" s="348">
        <f t="shared" ref="AM238:AM240" si="153">I238</f>
        <v>0</v>
      </c>
      <c r="AN238" s="348"/>
      <c r="AO238" s="348"/>
      <c r="AP238" s="348">
        <f t="shared" si="152"/>
        <v>0</v>
      </c>
      <c r="AR238" s="348"/>
      <c r="AZ238" s="297">
        <f>L238</f>
        <v>0</v>
      </c>
      <c r="BG238" s="348"/>
    </row>
    <row r="239" s="291" customFormat="1" ht="32.05" customHeight="1" spans="1:111">
      <c r="A239" s="510">
        <v>46199</v>
      </c>
      <c r="B239" s="454" t="s">
        <v>7394</v>
      </c>
      <c r="C239" s="455" t="s">
        <v>115</v>
      </c>
      <c r="D239" s="455" t="s">
        <v>7395</v>
      </c>
      <c r="E239" s="455"/>
      <c r="F239" s="456" t="s">
        <v>7398</v>
      </c>
      <c r="G239" s="457" t="s">
        <v>702</v>
      </c>
      <c r="H239" s="455" t="s">
        <v>151</v>
      </c>
      <c r="I239" s="458">
        <v>0</v>
      </c>
      <c r="J239" s="455">
        <v>0</v>
      </c>
      <c r="K239" s="455">
        <v>84</v>
      </c>
      <c r="L239" s="511">
        <f t="shared" si="104"/>
        <v>0</v>
      </c>
      <c r="M239" s="459">
        <v>46254</v>
      </c>
      <c r="N239" s="459">
        <v>46251</v>
      </c>
      <c r="O239" s="459"/>
      <c r="P239" s="512" t="s">
        <v>7399</v>
      </c>
      <c r="Q239" s="512"/>
      <c r="R239" s="455"/>
      <c r="S239" s="443">
        <v>46217</v>
      </c>
      <c r="T239" s="452" t="s">
        <v>95</v>
      </c>
      <c r="U239" s="452" t="s">
        <v>95</v>
      </c>
      <c r="V239" s="454"/>
      <c r="W239" s="454"/>
      <c r="X239" s="454"/>
      <c r="Y239" s="454" t="s">
        <v>7397</v>
      </c>
      <c r="Z239" s="459" t="s">
        <v>1032</v>
      </c>
      <c r="AA239" s="456">
        <v>149.38</v>
      </c>
      <c r="AB239" s="515">
        <f>AA239*K239</f>
        <v>12547.92</v>
      </c>
      <c r="AC239" s="455"/>
      <c r="AD239" s="437" t="s">
        <v>705</v>
      </c>
      <c r="AE239" s="437" t="s">
        <v>99</v>
      </c>
      <c r="AF239" s="455"/>
      <c r="AG239" s="455"/>
      <c r="AH239" s="512"/>
      <c r="AI239" s="512">
        <f t="shared" ref="AI239:AI244" si="154">AH239-I239</f>
        <v>0</v>
      </c>
      <c r="AJ239" s="512"/>
      <c r="AK239" s="455"/>
      <c r="AL239" s="455"/>
      <c r="AM239" s="456">
        <f t="shared" si="153"/>
        <v>0</v>
      </c>
      <c r="AN239" s="456"/>
      <c r="AO239" s="456"/>
      <c r="AP239" s="438">
        <f t="shared" si="152"/>
        <v>0</v>
      </c>
      <c r="AQ239" s="456"/>
      <c r="AR239" s="517"/>
      <c r="AS239" s="456"/>
      <c r="AT239" s="518"/>
      <c r="AU239" s="518"/>
      <c r="AV239" s="438">
        <f>I239</f>
        <v>0</v>
      </c>
      <c r="AW239" s="516"/>
      <c r="AX239" s="516"/>
      <c r="AY239" s="456"/>
      <c r="AZ239" s="456"/>
      <c r="BA239" s="456"/>
      <c r="BB239" s="456"/>
      <c r="BC239" s="456"/>
      <c r="BD239" s="456"/>
      <c r="BE239" s="456"/>
      <c r="BF239" s="456"/>
      <c r="BG239" s="456"/>
      <c r="BH239" s="456"/>
      <c r="BI239" s="456"/>
      <c r="BJ239" s="456"/>
      <c r="BK239" s="456"/>
      <c r="BL239" s="456"/>
      <c r="BM239" s="456"/>
      <c r="BN239" s="456"/>
      <c r="BO239" s="517"/>
      <c r="BP239" s="517"/>
      <c r="BQ239" s="456"/>
      <c r="BR239" s="518"/>
      <c r="BS239" s="518"/>
      <c r="BT239" s="456"/>
      <c r="BU239" s="456"/>
      <c r="BV239" s="517"/>
      <c r="BW239" s="456"/>
      <c r="BX239" s="438">
        <f>L239</f>
        <v>0</v>
      </c>
      <c r="BY239" s="456"/>
      <c r="BZ239" s="456"/>
      <c r="CA239" s="456"/>
      <c r="CB239" s="456"/>
      <c r="CC239" s="456"/>
      <c r="CD239" s="438">
        <f t="shared" ref="CD239:CD249" si="155">BN239+BO239+BQ239+BS239+BR239</f>
        <v>0</v>
      </c>
      <c r="CE239" s="438">
        <f t="shared" ref="CE239:CE249" si="156">BU239</f>
        <v>0</v>
      </c>
      <c r="CF239" s="438">
        <f t="shared" ref="CF239:CF249" si="157">CC239</f>
        <v>0</v>
      </c>
      <c r="CG239" s="438">
        <f t="shared" ref="CG239:CG249" si="158">BV239+BW239+BX239</f>
        <v>0</v>
      </c>
      <c r="CH239" s="518"/>
      <c r="CI239" s="518"/>
      <c r="CJ239" s="518"/>
      <c r="CK239" s="456"/>
      <c r="CL239" s="456"/>
      <c r="CM239" s="286"/>
      <c r="CN239" s="286"/>
      <c r="CO239" s="286"/>
      <c r="CP239" s="286"/>
      <c r="CQ239" s="286"/>
      <c r="CR239" s="286"/>
      <c r="CS239" s="286"/>
      <c r="CT239" s="286"/>
      <c r="CU239" s="286"/>
      <c r="CV239" s="286"/>
      <c r="CW239" s="286"/>
      <c r="CX239" s="286"/>
      <c r="CY239" s="286"/>
      <c r="CZ239" s="286"/>
      <c r="DA239" s="286"/>
      <c r="DB239" s="286"/>
      <c r="DC239" s="286"/>
      <c r="DD239" s="286"/>
      <c r="DE239" s="286"/>
      <c r="DF239" s="286"/>
      <c r="DG239" s="286"/>
    </row>
    <row r="240" s="289" customFormat="1" ht="31" customHeight="1" spans="1:111">
      <c r="A240" s="345">
        <v>46174</v>
      </c>
      <c r="B240" s="346" t="s">
        <v>3311</v>
      </c>
      <c r="C240" s="347" t="s">
        <v>115</v>
      </c>
      <c r="D240" s="348" t="s">
        <v>7400</v>
      </c>
      <c r="E240" s="347" t="s">
        <v>6891</v>
      </c>
      <c r="F240" s="348" t="s">
        <v>7401</v>
      </c>
      <c r="G240" s="349" t="s">
        <v>3973</v>
      </c>
      <c r="H240" s="347" t="s">
        <v>3995</v>
      </c>
      <c r="I240" s="369">
        <v>0</v>
      </c>
      <c r="J240" s="347">
        <v>0</v>
      </c>
      <c r="K240" s="347">
        <v>0</v>
      </c>
      <c r="L240" s="347">
        <v>0</v>
      </c>
      <c r="M240" s="351">
        <v>46262</v>
      </c>
      <c r="N240" s="351">
        <v>46258</v>
      </c>
      <c r="O240" s="436" t="s">
        <v>6330</v>
      </c>
      <c r="P240" s="352"/>
      <c r="Q240" s="352"/>
      <c r="R240" s="451" t="s">
        <v>3064</v>
      </c>
      <c r="S240" s="444" t="s">
        <v>107</v>
      </c>
      <c r="T240" s="444" t="s">
        <v>95</v>
      </c>
      <c r="U240" s="444"/>
      <c r="V240" s="353"/>
      <c r="W240" s="353"/>
      <c r="X240" s="353" t="s">
        <v>7402</v>
      </c>
      <c r="Y240" s="351" t="s">
        <v>6894</v>
      </c>
      <c r="Z240" s="431"/>
      <c r="AA240" s="348"/>
      <c r="AB240" s="355"/>
      <c r="AC240" s="436" t="s">
        <v>3973</v>
      </c>
      <c r="AD240" s="437" t="s">
        <v>112</v>
      </c>
      <c r="AE240" s="347">
        <f t="shared" si="150"/>
        <v>0</v>
      </c>
      <c r="AF240" s="347"/>
      <c r="AG240" s="437" t="s">
        <v>5125</v>
      </c>
      <c r="AH240" s="437"/>
      <c r="AI240" s="347"/>
      <c r="AJ240" s="347">
        <f t="shared" si="151"/>
        <v>0</v>
      </c>
      <c r="AK240" s="370">
        <v>46263</v>
      </c>
      <c r="AL240" s="352"/>
      <c r="AM240" s="348">
        <f t="shared" si="153"/>
        <v>0</v>
      </c>
      <c r="AN240" s="348"/>
      <c r="AO240" s="348"/>
      <c r="AP240" s="348">
        <f t="shared" si="152"/>
        <v>0</v>
      </c>
      <c r="AQ240" s="348"/>
      <c r="AR240" s="348"/>
      <c r="AS240" s="348"/>
      <c r="AT240" s="348"/>
      <c r="AU240" s="348"/>
      <c r="AV240" s="348">
        <f>I240/8</f>
        <v>0</v>
      </c>
      <c r="AW240" s="348"/>
      <c r="AX240" s="348"/>
      <c r="AY240" s="348"/>
      <c r="AZ240" s="348"/>
      <c r="BA240" s="348"/>
      <c r="BB240" s="348"/>
      <c r="BC240" s="348"/>
      <c r="BD240" s="348"/>
      <c r="BE240" s="348"/>
      <c r="BF240" s="348"/>
      <c r="BG240" s="348"/>
    </row>
    <row r="241" s="287" customFormat="1" ht="32.05" customHeight="1" spans="1:111">
      <c r="A241" s="435">
        <v>46169</v>
      </c>
      <c r="B241" s="436" t="s">
        <v>7403</v>
      </c>
      <c r="C241" s="437" t="s">
        <v>101</v>
      </c>
      <c r="D241" s="438" t="s">
        <v>7404</v>
      </c>
      <c r="E241" s="437" t="s">
        <v>7405</v>
      </c>
      <c r="F241" s="438" t="s">
        <v>7406</v>
      </c>
      <c r="G241" s="439" t="s">
        <v>2511</v>
      </c>
      <c r="H241" s="437" t="s">
        <v>483</v>
      </c>
      <c r="I241" s="440">
        <v>240</v>
      </c>
      <c r="J241" s="437">
        <v>0</v>
      </c>
      <c r="K241" s="437">
        <v>120</v>
      </c>
      <c r="L241" s="441">
        <f t="shared" ref="L241:L268" si="159">I241/K241</f>
        <v>2</v>
      </c>
      <c r="M241" s="434">
        <v>46227</v>
      </c>
      <c r="N241" s="434">
        <v>46240</v>
      </c>
      <c r="O241" s="445"/>
      <c r="P241" s="442" t="s">
        <v>2516</v>
      </c>
      <c r="Q241" s="442"/>
      <c r="R241" s="437"/>
      <c r="S241" s="443">
        <v>46202</v>
      </c>
      <c r="T241" s="444" t="s">
        <v>95</v>
      </c>
      <c r="U241" s="452" t="s">
        <v>95</v>
      </c>
      <c r="V241" s="436" t="s">
        <v>360</v>
      </c>
      <c r="W241" s="436"/>
      <c r="X241" s="436" t="s">
        <v>3064</v>
      </c>
      <c r="Y241" s="513" t="s">
        <v>7407</v>
      </c>
      <c r="Z241" s="445" t="s">
        <v>673</v>
      </c>
      <c r="AA241" s="438">
        <v>1070</v>
      </c>
      <c r="AB241" s="446">
        <f>AA241*L241</f>
        <v>2140</v>
      </c>
      <c r="AC241" s="437"/>
      <c r="AD241" s="521" t="s">
        <v>2514</v>
      </c>
      <c r="AE241" s="437" t="s">
        <v>112</v>
      </c>
      <c r="AF241" s="437"/>
      <c r="AG241" s="437"/>
      <c r="AH241" s="442"/>
      <c r="AI241" s="442">
        <f t="shared" si="154"/>
        <v>-240</v>
      </c>
      <c r="AJ241" s="442"/>
      <c r="AK241" s="437"/>
      <c r="AL241" s="437"/>
      <c r="AM241" s="438"/>
      <c r="AN241" s="438">
        <f>I241*3</f>
        <v>720</v>
      </c>
      <c r="AO241" s="438"/>
      <c r="AP241" s="438"/>
      <c r="AQ241" s="438"/>
      <c r="AR241" s="447"/>
      <c r="AS241" s="438"/>
      <c r="AT241" s="448"/>
      <c r="AU241" s="448"/>
      <c r="AV241" s="438"/>
      <c r="AW241" s="449">
        <f t="shared" ref="AW241:AW244" si="160">I241*0.06*2</f>
        <v>28.8</v>
      </c>
      <c r="AX241" s="449"/>
      <c r="AY241" s="438"/>
      <c r="AZ241" s="438"/>
      <c r="BA241" s="438"/>
      <c r="BB241" s="438"/>
      <c r="BC241" s="438">
        <f>I241*3</f>
        <v>720</v>
      </c>
      <c r="BD241" s="438">
        <f>I241*3</f>
        <v>720</v>
      </c>
      <c r="BE241" s="438">
        <f>I241*3</f>
        <v>720</v>
      </c>
      <c r="BF241" s="438">
        <f>I241</f>
        <v>240</v>
      </c>
      <c r="BG241" s="438">
        <f>I241/6</f>
        <v>40</v>
      </c>
      <c r="BH241" s="438"/>
      <c r="BI241" s="438"/>
      <c r="BJ241" s="438"/>
      <c r="BK241" s="438"/>
      <c r="BL241" s="438"/>
      <c r="BM241" s="438"/>
      <c r="BN241" s="438"/>
      <c r="BO241" s="447"/>
      <c r="BP241" s="447"/>
      <c r="BQ241" s="438"/>
      <c r="BR241" s="448"/>
      <c r="BS241" s="448"/>
      <c r="BT241" s="438"/>
      <c r="BU241" s="438"/>
      <c r="BV241" s="447"/>
      <c r="BW241" s="438"/>
      <c r="BX241" s="438"/>
      <c r="BY241" s="438"/>
      <c r="BZ241" s="438"/>
      <c r="CA241" s="438"/>
      <c r="CB241" s="438"/>
      <c r="CC241" s="438"/>
      <c r="CD241" s="438">
        <f t="shared" si="155"/>
        <v>0</v>
      </c>
      <c r="CE241" s="438">
        <f t="shared" si="156"/>
        <v>0</v>
      </c>
      <c r="CF241" s="438">
        <f t="shared" si="157"/>
        <v>0</v>
      </c>
      <c r="CG241" s="438">
        <f t="shared" si="158"/>
        <v>0</v>
      </c>
      <c r="CH241" s="448"/>
      <c r="CI241" s="448"/>
      <c r="CJ241" s="448"/>
      <c r="CK241" s="438"/>
      <c r="CL241" s="438"/>
      <c r="CM241" s="286"/>
      <c r="CN241" s="286"/>
      <c r="CO241" s="286"/>
      <c r="CP241" s="286"/>
      <c r="CQ241" s="286"/>
      <c r="CR241" s="286"/>
      <c r="CS241" s="286"/>
      <c r="CT241" s="286"/>
      <c r="CU241" s="286"/>
      <c r="CV241" s="286"/>
      <c r="CW241" s="286"/>
      <c r="CX241" s="286"/>
      <c r="CY241" s="286"/>
      <c r="CZ241" s="286"/>
      <c r="DA241" s="286"/>
      <c r="DB241" s="286"/>
      <c r="DC241" s="286"/>
      <c r="DD241" s="286"/>
      <c r="DE241" s="286"/>
      <c r="DF241" s="286"/>
      <c r="DG241" s="286"/>
    </row>
    <row r="242" s="289" customFormat="1" ht="31" customHeight="1" spans="1:111">
      <c r="A242" s="345">
        <v>46169</v>
      </c>
      <c r="B242" s="346" t="s">
        <v>7403</v>
      </c>
      <c r="C242" s="347" t="s">
        <v>101</v>
      </c>
      <c r="D242" s="348" t="s">
        <v>7404</v>
      </c>
      <c r="E242" s="347" t="s">
        <v>7405</v>
      </c>
      <c r="F242" s="348" t="s">
        <v>7406</v>
      </c>
      <c r="G242" s="349" t="s">
        <v>5416</v>
      </c>
      <c r="H242" s="437" t="s">
        <v>483</v>
      </c>
      <c r="I242" s="369">
        <v>240</v>
      </c>
      <c r="J242" s="347">
        <v>0</v>
      </c>
      <c r="K242" s="347">
        <v>120</v>
      </c>
      <c r="L242" s="347">
        <f t="shared" si="159"/>
        <v>2</v>
      </c>
      <c r="M242" s="351">
        <v>46233</v>
      </c>
      <c r="N242" s="434">
        <v>46240</v>
      </c>
      <c r="O242" s="436" t="s">
        <v>2516</v>
      </c>
      <c r="P242" s="352"/>
      <c r="Q242" s="352"/>
      <c r="R242" s="451">
        <v>46202</v>
      </c>
      <c r="S242" s="444" t="s">
        <v>107</v>
      </c>
      <c r="T242" s="444" t="s">
        <v>95</v>
      </c>
      <c r="U242" s="444"/>
      <c r="V242" s="353"/>
      <c r="W242" s="444" t="s">
        <v>3064</v>
      </c>
      <c r="X242" s="353" t="s">
        <v>7408</v>
      </c>
      <c r="Y242" s="351" t="s">
        <v>673</v>
      </c>
      <c r="Z242" s="431">
        <v>1070</v>
      </c>
      <c r="AA242" s="348">
        <f>L242*Z242</f>
        <v>2140</v>
      </c>
      <c r="AB242" s="355"/>
      <c r="AC242" s="446" t="s">
        <v>2514</v>
      </c>
      <c r="AD242" s="437" t="s">
        <v>112</v>
      </c>
      <c r="AE242" s="347">
        <f>I242</f>
        <v>240</v>
      </c>
      <c r="AF242" s="347"/>
      <c r="AG242" s="347"/>
      <c r="AH242" s="347"/>
      <c r="AI242" s="347"/>
      <c r="AJ242" s="347">
        <f>AI242-I242</f>
        <v>-240</v>
      </c>
      <c r="AK242" s="352"/>
      <c r="AL242" s="352"/>
      <c r="AM242" s="348"/>
      <c r="AN242" s="348"/>
      <c r="AO242" s="348"/>
      <c r="AP242" s="348"/>
      <c r="AQ242" s="348"/>
      <c r="AR242" s="348"/>
      <c r="AS242" s="348">
        <f>I242</f>
        <v>240</v>
      </c>
      <c r="AT242" s="348">
        <f>I242</f>
        <v>240</v>
      </c>
      <c r="AU242" s="348">
        <f>I242/6</f>
        <v>40</v>
      </c>
      <c r="AV242" s="348"/>
      <c r="AW242" s="348"/>
      <c r="AX242" s="348"/>
      <c r="AY242" s="348"/>
      <c r="AZ242" s="348"/>
      <c r="BA242" s="348"/>
      <c r="BB242" s="348"/>
      <c r="BC242" s="348"/>
      <c r="BD242" s="348"/>
      <c r="BE242" s="348"/>
      <c r="BF242" s="348"/>
      <c r="BG242" s="348"/>
    </row>
    <row r="243" s="295" customFormat="1" ht="32.05" customHeight="1" spans="1:111">
      <c r="A243" s="435">
        <v>46157</v>
      </c>
      <c r="B243" s="436" t="s">
        <v>7409</v>
      </c>
      <c r="C243" s="437" t="s">
        <v>291</v>
      </c>
      <c r="D243" s="438" t="s">
        <v>7410</v>
      </c>
      <c r="E243" s="484" t="s">
        <v>7411</v>
      </c>
      <c r="F243" s="438" t="s">
        <v>7412</v>
      </c>
      <c r="G243" s="439" t="s">
        <v>389</v>
      </c>
      <c r="H243" s="437" t="s">
        <v>390</v>
      </c>
      <c r="I243" s="440">
        <v>408</v>
      </c>
      <c r="J243" s="437">
        <v>0</v>
      </c>
      <c r="K243" s="437">
        <v>12</v>
      </c>
      <c r="L243" s="441">
        <f t="shared" si="159"/>
        <v>34</v>
      </c>
      <c r="M243" s="434" t="s">
        <v>7413</v>
      </c>
      <c r="N243" s="434">
        <v>46223</v>
      </c>
      <c r="O243" s="434" t="s">
        <v>7413</v>
      </c>
      <c r="P243" s="442"/>
      <c r="Q243" s="442"/>
      <c r="R243" s="437"/>
      <c r="S243" s="443" t="s">
        <v>7414</v>
      </c>
      <c r="T243" s="452" t="s">
        <v>107</v>
      </c>
      <c r="U243" s="452" t="s">
        <v>7415</v>
      </c>
      <c r="V243" s="436"/>
      <c r="W243" s="436"/>
      <c r="X243" s="436"/>
      <c r="Y243" s="509" t="s">
        <v>7416</v>
      </c>
      <c r="Z243" s="445" t="s">
        <v>7417</v>
      </c>
      <c r="AA243" s="438">
        <v>2.29</v>
      </c>
      <c r="AB243" s="446">
        <f t="shared" ref="AB243:AB247" si="161">I243*AA243</f>
        <v>934.32</v>
      </c>
      <c r="AC243" s="437"/>
      <c r="AD243" s="437" t="s">
        <v>7418</v>
      </c>
      <c r="AE243" s="437" t="s">
        <v>112</v>
      </c>
      <c r="AF243" s="437"/>
      <c r="AG243" s="437"/>
      <c r="AH243" s="442"/>
      <c r="AI243" s="512">
        <f t="shared" si="154"/>
        <v>-408</v>
      </c>
      <c r="AJ243" s="512"/>
      <c r="AK243" s="437"/>
      <c r="AL243" s="437"/>
      <c r="AM243" s="438">
        <f>I243*2</f>
        <v>816</v>
      </c>
      <c r="AN243" s="438"/>
      <c r="AO243" s="438"/>
      <c r="AP243" s="438">
        <f>I243*2</f>
        <v>816</v>
      </c>
      <c r="AQ243" s="438"/>
      <c r="AR243" s="447"/>
      <c r="AS243" s="438"/>
      <c r="AT243" s="448"/>
      <c r="AU243" s="448"/>
      <c r="AV243" s="438">
        <f>I243*2</f>
        <v>816</v>
      </c>
      <c r="AW243" s="449">
        <f t="shared" si="160"/>
        <v>48.96</v>
      </c>
      <c r="AX243" s="449"/>
      <c r="AY243" s="438"/>
      <c r="AZ243" s="438"/>
      <c r="BA243" s="438"/>
      <c r="BB243" s="438"/>
      <c r="BC243" s="438"/>
      <c r="BD243" s="438"/>
      <c r="BE243" s="438"/>
      <c r="BF243" s="438"/>
      <c r="BG243" s="438"/>
      <c r="BH243" s="438"/>
      <c r="BI243" s="438"/>
      <c r="BJ243" s="438"/>
      <c r="BK243" s="438"/>
      <c r="BL243" s="438"/>
      <c r="BM243" s="438"/>
      <c r="BN243" s="438"/>
      <c r="BO243" s="447"/>
      <c r="BP243" s="447"/>
      <c r="BQ243" s="438"/>
      <c r="BR243" s="448"/>
      <c r="BS243" s="448"/>
      <c r="BT243" s="438"/>
      <c r="BU243" s="438"/>
      <c r="BV243" s="447"/>
      <c r="BW243" s="438"/>
      <c r="BX243" s="438"/>
      <c r="BY243" s="438"/>
      <c r="BZ243" s="438"/>
      <c r="CA243" s="438"/>
      <c r="CB243" s="438"/>
      <c r="CC243" s="438"/>
      <c r="CD243" s="438">
        <f t="shared" si="155"/>
        <v>0</v>
      </c>
      <c r="CE243" s="438">
        <f t="shared" si="156"/>
        <v>0</v>
      </c>
      <c r="CF243" s="438">
        <f t="shared" si="157"/>
        <v>0</v>
      </c>
      <c r="CG243" s="438">
        <f t="shared" si="158"/>
        <v>0</v>
      </c>
      <c r="CH243" s="448"/>
      <c r="CI243" s="448"/>
      <c r="CJ243" s="448">
        <f>I243</f>
        <v>408</v>
      </c>
      <c r="CK243" s="438">
        <f>I243</f>
        <v>408</v>
      </c>
      <c r="CL243" s="438">
        <f>I243</f>
        <v>408</v>
      </c>
      <c r="CM243" s="291"/>
      <c r="CN243" s="291"/>
      <c r="CO243" s="291"/>
      <c r="CP243" s="291"/>
      <c r="CQ243" s="291"/>
      <c r="CR243" s="291"/>
      <c r="CS243" s="291"/>
      <c r="CT243" s="291"/>
      <c r="CU243" s="291"/>
      <c r="CV243" s="291"/>
      <c r="CW243" s="291"/>
      <c r="CX243" s="291"/>
      <c r="CY243" s="291"/>
      <c r="CZ243" s="291"/>
      <c r="DA243" s="291"/>
      <c r="DB243" s="291"/>
      <c r="DC243" s="291"/>
      <c r="DD243" s="291"/>
      <c r="DE243" s="291"/>
      <c r="DF243" s="291"/>
      <c r="DG243" s="291"/>
    </row>
    <row r="244" s="295" customFormat="1" ht="32.05" customHeight="1" spans="1:111">
      <c r="A244" s="435">
        <v>46157</v>
      </c>
      <c r="B244" s="436" t="s">
        <v>7409</v>
      </c>
      <c r="C244" s="437" t="s">
        <v>291</v>
      </c>
      <c r="D244" s="438" t="s">
        <v>7410</v>
      </c>
      <c r="E244" s="484" t="s">
        <v>7419</v>
      </c>
      <c r="F244" s="438" t="s">
        <v>7420</v>
      </c>
      <c r="G244" s="439" t="s">
        <v>389</v>
      </c>
      <c r="H244" s="437" t="s">
        <v>390</v>
      </c>
      <c r="I244" s="440">
        <v>1224</v>
      </c>
      <c r="J244" s="437">
        <v>0</v>
      </c>
      <c r="K244" s="437">
        <v>12</v>
      </c>
      <c r="L244" s="441">
        <f t="shared" si="159"/>
        <v>102</v>
      </c>
      <c r="M244" s="434" t="s">
        <v>7413</v>
      </c>
      <c r="N244" s="434">
        <v>46223</v>
      </c>
      <c r="O244" s="434" t="s">
        <v>7413</v>
      </c>
      <c r="P244" s="442"/>
      <c r="Q244" s="442"/>
      <c r="R244" s="437"/>
      <c r="S244" s="443" t="s">
        <v>7414</v>
      </c>
      <c r="T244" s="452" t="s">
        <v>107</v>
      </c>
      <c r="U244" s="452" t="s">
        <v>7415</v>
      </c>
      <c r="V244" s="436"/>
      <c r="W244" s="436"/>
      <c r="X244" s="436"/>
      <c r="Y244" s="509" t="s">
        <v>7416</v>
      </c>
      <c r="Z244" s="445" t="s">
        <v>7417</v>
      </c>
      <c r="AA244" s="438">
        <v>2.29</v>
      </c>
      <c r="AB244" s="446">
        <f t="shared" si="161"/>
        <v>2802.96</v>
      </c>
      <c r="AC244" s="437"/>
      <c r="AD244" s="437" t="s">
        <v>7418</v>
      </c>
      <c r="AE244" s="437" t="s">
        <v>112</v>
      </c>
      <c r="AF244" s="437"/>
      <c r="AG244" s="437"/>
      <c r="AH244" s="442"/>
      <c r="AI244" s="512">
        <f t="shared" si="154"/>
        <v>-1224</v>
      </c>
      <c r="AJ244" s="512"/>
      <c r="AK244" s="437"/>
      <c r="AL244" s="437"/>
      <c r="AM244" s="438">
        <f>I244*2</f>
        <v>2448</v>
      </c>
      <c r="AN244" s="438"/>
      <c r="AO244" s="438"/>
      <c r="AP244" s="438">
        <f>I244*2</f>
        <v>2448</v>
      </c>
      <c r="AQ244" s="438"/>
      <c r="AR244" s="447"/>
      <c r="AS244" s="438"/>
      <c r="AT244" s="448"/>
      <c r="AU244" s="448"/>
      <c r="AV244" s="438">
        <f>I244*2</f>
        <v>2448</v>
      </c>
      <c r="AW244" s="449">
        <f t="shared" si="160"/>
        <v>146.88</v>
      </c>
      <c r="AX244" s="449"/>
      <c r="AY244" s="438"/>
      <c r="AZ244" s="438"/>
      <c r="BA244" s="438"/>
      <c r="BB244" s="438"/>
      <c r="BC244" s="438"/>
      <c r="BD244" s="438"/>
      <c r="BE244" s="438"/>
      <c r="BF244" s="438"/>
      <c r="BG244" s="438"/>
      <c r="BH244" s="438"/>
      <c r="BI244" s="438"/>
      <c r="BJ244" s="438"/>
      <c r="BK244" s="438"/>
      <c r="BL244" s="438"/>
      <c r="BM244" s="438"/>
      <c r="BN244" s="438"/>
      <c r="BO244" s="447"/>
      <c r="BP244" s="447"/>
      <c r="BQ244" s="438"/>
      <c r="BR244" s="448"/>
      <c r="BS244" s="448"/>
      <c r="BT244" s="438"/>
      <c r="BU244" s="438"/>
      <c r="BV244" s="447"/>
      <c r="BW244" s="438"/>
      <c r="BX244" s="438"/>
      <c r="BY244" s="438"/>
      <c r="BZ244" s="438"/>
      <c r="CA244" s="438"/>
      <c r="CB244" s="438"/>
      <c r="CC244" s="438"/>
      <c r="CD244" s="438">
        <f t="shared" si="155"/>
        <v>0</v>
      </c>
      <c r="CE244" s="438">
        <f t="shared" si="156"/>
        <v>0</v>
      </c>
      <c r="CF244" s="438">
        <f t="shared" si="157"/>
        <v>0</v>
      </c>
      <c r="CG244" s="438">
        <f t="shared" si="158"/>
        <v>0</v>
      </c>
      <c r="CH244" s="448"/>
      <c r="CI244" s="448"/>
      <c r="CJ244" s="448">
        <f>I244</f>
        <v>1224</v>
      </c>
      <c r="CK244" s="438">
        <f>I244</f>
        <v>1224</v>
      </c>
      <c r="CL244" s="438">
        <f>I244</f>
        <v>1224</v>
      </c>
      <c r="CM244" s="291"/>
      <c r="CN244" s="291"/>
      <c r="CO244" s="291"/>
      <c r="CP244" s="291"/>
      <c r="CQ244" s="291"/>
      <c r="CR244" s="291"/>
      <c r="CS244" s="291"/>
      <c r="CT244" s="291"/>
      <c r="CU244" s="291"/>
      <c r="CV244" s="291"/>
      <c r="CW244" s="291"/>
      <c r="CX244" s="291"/>
      <c r="CY244" s="291"/>
      <c r="CZ244" s="291"/>
      <c r="DA244" s="291"/>
      <c r="DB244" s="291"/>
      <c r="DC244" s="291"/>
      <c r="DD244" s="291"/>
      <c r="DE244" s="291"/>
      <c r="DF244" s="291"/>
      <c r="DG244" s="291"/>
    </row>
    <row r="245" s="286" customFormat="1" ht="32.05" customHeight="1" spans="1:111">
      <c r="A245" s="435">
        <v>46213</v>
      </c>
      <c r="B245" s="436" t="s">
        <v>3618</v>
      </c>
      <c r="C245" s="437" t="s">
        <v>148</v>
      </c>
      <c r="D245" s="438" t="s">
        <v>6467</v>
      </c>
      <c r="E245" s="437" t="s">
        <v>7421</v>
      </c>
      <c r="F245" s="438" t="s">
        <v>7422</v>
      </c>
      <c r="G245" s="439" t="s">
        <v>270</v>
      </c>
      <c r="H245" s="437" t="s">
        <v>893</v>
      </c>
      <c r="I245" s="440">
        <v>8400</v>
      </c>
      <c r="J245" s="437">
        <v>0</v>
      </c>
      <c r="K245" s="437">
        <v>25</v>
      </c>
      <c r="L245" s="441">
        <f t="shared" si="159"/>
        <v>336</v>
      </c>
      <c r="M245" s="445">
        <v>46283</v>
      </c>
      <c r="N245" s="445">
        <v>46279</v>
      </c>
      <c r="O245" s="445"/>
      <c r="P245" s="442"/>
      <c r="Q245" s="442"/>
      <c r="R245" s="437"/>
      <c r="S245" s="443">
        <v>46213</v>
      </c>
      <c r="T245" s="452" t="s">
        <v>95</v>
      </c>
      <c r="U245" s="452" t="s">
        <v>1794</v>
      </c>
      <c r="V245" s="509" t="s">
        <v>140</v>
      </c>
      <c r="W245" s="436"/>
      <c r="X245" s="436" t="s">
        <v>3620</v>
      </c>
      <c r="Y245" s="436" t="s">
        <v>3621</v>
      </c>
      <c r="Z245" s="445" t="s">
        <v>976</v>
      </c>
      <c r="AA245" s="438">
        <v>1.0851</v>
      </c>
      <c r="AB245" s="446">
        <f t="shared" si="161"/>
        <v>9114.84</v>
      </c>
      <c r="AC245" s="437"/>
      <c r="AD245" s="439"/>
      <c r="AE245" s="437"/>
      <c r="AF245" s="437"/>
      <c r="AG245" s="437"/>
      <c r="AH245" s="442"/>
      <c r="AI245" s="442"/>
      <c r="AJ245" s="442"/>
      <c r="AK245" s="437"/>
      <c r="AL245" s="437"/>
      <c r="AM245" s="438">
        <f t="shared" ref="AM245:AM248" si="162">I245</f>
        <v>8400</v>
      </c>
      <c r="AN245" s="438"/>
      <c r="AO245" s="438"/>
      <c r="AP245" s="438"/>
      <c r="AQ245" s="438"/>
      <c r="AR245" s="447"/>
      <c r="AS245" s="438"/>
      <c r="AT245" s="448"/>
      <c r="AU245" s="448"/>
      <c r="AV245" s="438"/>
      <c r="AW245" s="449"/>
      <c r="AX245" s="449"/>
      <c r="AY245" s="438"/>
      <c r="AZ245" s="438"/>
      <c r="BA245" s="438"/>
      <c r="BB245" s="438"/>
      <c r="BC245" s="438"/>
      <c r="BD245" s="438"/>
      <c r="BE245" s="438"/>
      <c r="BF245" s="438"/>
      <c r="BG245" s="438"/>
      <c r="BH245" s="438">
        <f t="shared" ref="BH245:BH248" si="163">I245</f>
        <v>8400</v>
      </c>
      <c r="BI245" s="438">
        <f t="shared" ref="BI245:BI248" si="164">I245</f>
        <v>8400</v>
      </c>
      <c r="BJ245" s="438"/>
      <c r="BK245" s="438"/>
      <c r="BL245" s="438"/>
      <c r="BM245" s="438"/>
      <c r="BN245" s="438"/>
      <c r="BO245" s="447"/>
      <c r="BP245" s="447"/>
      <c r="BQ245" s="438"/>
      <c r="BR245" s="448"/>
      <c r="BS245" s="448"/>
      <c r="BT245" s="438"/>
      <c r="BU245" s="438"/>
      <c r="BV245" s="447"/>
      <c r="BW245" s="438"/>
      <c r="BX245" s="438"/>
      <c r="BY245" s="438"/>
      <c r="BZ245" s="438"/>
      <c r="CA245" s="438"/>
      <c r="CB245" s="438"/>
      <c r="CC245" s="438"/>
      <c r="CD245" s="438">
        <f t="shared" si="155"/>
        <v>0</v>
      </c>
      <c r="CE245" s="438">
        <f t="shared" si="156"/>
        <v>0</v>
      </c>
      <c r="CF245" s="438">
        <f t="shared" si="157"/>
        <v>0</v>
      </c>
      <c r="CG245" s="438">
        <f t="shared" si="158"/>
        <v>0</v>
      </c>
      <c r="CH245" s="448"/>
      <c r="CI245" s="448"/>
      <c r="CJ245" s="448"/>
      <c r="CK245" s="438"/>
      <c r="CL245" s="438"/>
    </row>
    <row r="246" s="286" customFormat="1" ht="32.05" customHeight="1" spans="1:111">
      <c r="A246" s="435">
        <v>46213</v>
      </c>
      <c r="B246" s="436" t="s">
        <v>3618</v>
      </c>
      <c r="C246" s="437" t="s">
        <v>148</v>
      </c>
      <c r="D246" s="438" t="s">
        <v>6467</v>
      </c>
      <c r="E246" s="437" t="s">
        <v>7423</v>
      </c>
      <c r="F246" s="438" t="s">
        <v>7424</v>
      </c>
      <c r="G246" s="439" t="s">
        <v>270</v>
      </c>
      <c r="H246" s="437" t="s">
        <v>893</v>
      </c>
      <c r="I246" s="440">
        <v>3600</v>
      </c>
      <c r="J246" s="437">
        <v>0</v>
      </c>
      <c r="K246" s="437">
        <v>25</v>
      </c>
      <c r="L246" s="441">
        <f t="shared" si="159"/>
        <v>144</v>
      </c>
      <c r="M246" s="445">
        <v>46283</v>
      </c>
      <c r="N246" s="445">
        <v>46279</v>
      </c>
      <c r="O246" s="445"/>
      <c r="P246" s="442"/>
      <c r="Q246" s="442"/>
      <c r="R246" s="437"/>
      <c r="S246" s="443">
        <v>46213</v>
      </c>
      <c r="T246" s="452" t="s">
        <v>95</v>
      </c>
      <c r="U246" s="452" t="s">
        <v>1794</v>
      </c>
      <c r="V246" s="509" t="s">
        <v>140</v>
      </c>
      <c r="W246" s="436"/>
      <c r="X246" s="436" t="s">
        <v>3620</v>
      </c>
      <c r="Y246" s="436" t="s">
        <v>3621</v>
      </c>
      <c r="Z246" s="445" t="s">
        <v>976</v>
      </c>
      <c r="AA246" s="438">
        <v>1.1085</v>
      </c>
      <c r="AB246" s="446">
        <f t="shared" si="161"/>
        <v>3990.6</v>
      </c>
      <c r="AC246" s="437"/>
      <c r="AD246" s="439"/>
      <c r="AE246" s="437"/>
      <c r="AF246" s="437"/>
      <c r="AG246" s="437"/>
      <c r="AH246" s="442"/>
      <c r="AI246" s="442"/>
      <c r="AJ246" s="442"/>
      <c r="AK246" s="437"/>
      <c r="AL246" s="437"/>
      <c r="AM246" s="456">
        <f t="shared" si="162"/>
        <v>3600</v>
      </c>
      <c r="AN246" s="438"/>
      <c r="AO246" s="438"/>
      <c r="AP246" s="438"/>
      <c r="AQ246" s="438"/>
      <c r="AR246" s="447"/>
      <c r="AS246" s="438"/>
      <c r="AT246" s="448"/>
      <c r="AU246" s="448"/>
      <c r="AV246" s="438"/>
      <c r="AW246" s="449"/>
      <c r="AX246" s="449"/>
      <c r="AY246" s="438"/>
      <c r="AZ246" s="438"/>
      <c r="BA246" s="438"/>
      <c r="BB246" s="438"/>
      <c r="BC246" s="438"/>
      <c r="BD246" s="438"/>
      <c r="BE246" s="438"/>
      <c r="BF246" s="438"/>
      <c r="BG246" s="438"/>
      <c r="BH246" s="438">
        <f t="shared" si="163"/>
        <v>3600</v>
      </c>
      <c r="BI246" s="438">
        <f t="shared" si="164"/>
        <v>3600</v>
      </c>
      <c r="BJ246" s="438"/>
      <c r="BK246" s="438"/>
      <c r="BL246" s="438"/>
      <c r="BM246" s="438"/>
      <c r="BN246" s="438"/>
      <c r="BO246" s="447"/>
      <c r="BP246" s="447"/>
      <c r="BQ246" s="438"/>
      <c r="BR246" s="448"/>
      <c r="BS246" s="448"/>
      <c r="BT246" s="438"/>
      <c r="BU246" s="438"/>
      <c r="BV246" s="447"/>
      <c r="BW246" s="438"/>
      <c r="BX246" s="438"/>
      <c r="BY246" s="438"/>
      <c r="BZ246" s="438"/>
      <c r="CA246" s="438"/>
      <c r="CB246" s="438"/>
      <c r="CC246" s="438"/>
      <c r="CD246" s="438">
        <f t="shared" si="155"/>
        <v>0</v>
      </c>
      <c r="CE246" s="438">
        <f t="shared" si="156"/>
        <v>0</v>
      </c>
      <c r="CF246" s="438">
        <f t="shared" si="157"/>
        <v>0</v>
      </c>
      <c r="CG246" s="438">
        <f t="shared" si="158"/>
        <v>0</v>
      </c>
      <c r="CH246" s="448"/>
      <c r="CI246" s="448"/>
      <c r="CJ246" s="448"/>
      <c r="CK246" s="438"/>
      <c r="CL246" s="438"/>
    </row>
    <row r="247" s="291" customFormat="1" ht="32.05" customHeight="1" spans="1:111">
      <c r="A247" s="510">
        <v>46043</v>
      </c>
      <c r="B247" s="454" t="s">
        <v>264</v>
      </c>
      <c r="C247" s="455" t="s">
        <v>265</v>
      </c>
      <c r="D247" s="456">
        <v>4500191969</v>
      </c>
      <c r="E247" s="455">
        <v>4400528769</v>
      </c>
      <c r="F247" s="456" t="s">
        <v>7425</v>
      </c>
      <c r="G247" s="457" t="s">
        <v>137</v>
      </c>
      <c r="H247" s="455" t="s">
        <v>138</v>
      </c>
      <c r="I247" s="458">
        <v>5000</v>
      </c>
      <c r="J247" s="455">
        <v>0</v>
      </c>
      <c r="K247" s="455">
        <v>50</v>
      </c>
      <c r="L247" s="511">
        <f t="shared" si="159"/>
        <v>100</v>
      </c>
      <c r="M247" s="459">
        <v>46099</v>
      </c>
      <c r="N247" s="459">
        <v>46095</v>
      </c>
      <c r="O247" s="459"/>
      <c r="P247" s="512"/>
      <c r="Q247" s="512" t="s">
        <v>106</v>
      </c>
      <c r="R247" s="455" t="s">
        <v>195</v>
      </c>
      <c r="S247" s="443">
        <v>46044</v>
      </c>
      <c r="T247" s="452" t="s">
        <v>95</v>
      </c>
      <c r="U247" s="452" t="s">
        <v>95</v>
      </c>
      <c r="V247" s="456" t="s">
        <v>140</v>
      </c>
      <c r="W247" s="456"/>
      <c r="X247" s="454"/>
      <c r="Y247" s="454" t="s">
        <v>7426</v>
      </c>
      <c r="Z247" s="459" t="s">
        <v>142</v>
      </c>
      <c r="AA247" s="456">
        <v>1.007</v>
      </c>
      <c r="AB247" s="515">
        <f t="shared" si="161"/>
        <v>5035</v>
      </c>
      <c r="AC247" s="455"/>
      <c r="AD247" s="455" t="s">
        <v>137</v>
      </c>
      <c r="AE247" s="455" t="s">
        <v>112</v>
      </c>
      <c r="AF247" s="455" t="s">
        <v>113</v>
      </c>
      <c r="AG247" s="455"/>
      <c r="AH247" s="512">
        <v>5000</v>
      </c>
      <c r="AI247" s="512">
        <f t="shared" ref="AI247:AI249" si="165">AH247-I247</f>
        <v>0</v>
      </c>
      <c r="AJ247" s="512"/>
      <c r="AK247" s="455"/>
      <c r="AL247" s="455" t="s">
        <v>95</v>
      </c>
      <c r="AM247" s="456">
        <f t="shared" si="162"/>
        <v>5000</v>
      </c>
      <c r="AN247" s="456"/>
      <c r="AO247" s="456"/>
      <c r="AP247" s="456"/>
      <c r="AQ247" s="456"/>
      <c r="AR247" s="517"/>
      <c r="AS247" s="456"/>
      <c r="AT247" s="518"/>
      <c r="AU247" s="518"/>
      <c r="AV247" s="456"/>
      <c r="AW247" s="516">
        <f t="shared" ref="AW247:AW249" si="166">I247*0.06</f>
        <v>300</v>
      </c>
      <c r="AX247" s="516"/>
      <c r="AY247" s="456"/>
      <c r="AZ247" s="456"/>
      <c r="BA247" s="456"/>
      <c r="BB247" s="456"/>
      <c r="BC247" s="456"/>
      <c r="BD247" s="456"/>
      <c r="BE247" s="456"/>
      <c r="BF247" s="456"/>
      <c r="BG247" s="456"/>
      <c r="BH247" s="456">
        <f t="shared" si="163"/>
        <v>5000</v>
      </c>
      <c r="BI247" s="456">
        <f t="shared" si="164"/>
        <v>5000</v>
      </c>
      <c r="BJ247" s="456"/>
      <c r="BK247" s="456"/>
      <c r="BL247" s="456"/>
      <c r="BM247" s="456"/>
      <c r="BN247" s="456"/>
      <c r="BO247" s="560">
        <f>I247/25</f>
        <v>200</v>
      </c>
      <c r="BP247" s="517"/>
      <c r="BQ247" s="456"/>
      <c r="BR247" s="518"/>
      <c r="BS247" s="518"/>
      <c r="BT247" s="456"/>
      <c r="BU247" s="456"/>
      <c r="BV247" s="517"/>
      <c r="BW247" s="456"/>
      <c r="BX247" s="456"/>
      <c r="BY247" s="456"/>
      <c r="BZ247" s="456"/>
      <c r="CA247" s="456"/>
      <c r="CB247" s="456"/>
      <c r="CC247" s="456"/>
      <c r="CD247" s="456">
        <f t="shared" si="155"/>
        <v>200</v>
      </c>
      <c r="CE247" s="456">
        <f t="shared" si="156"/>
        <v>0</v>
      </c>
      <c r="CF247" s="456">
        <f t="shared" si="157"/>
        <v>0</v>
      </c>
      <c r="CG247" s="456">
        <f t="shared" si="158"/>
        <v>0</v>
      </c>
      <c r="CH247" s="518"/>
      <c r="CI247" s="518"/>
      <c r="CJ247" s="518"/>
      <c r="CK247" s="456"/>
      <c r="CL247" s="456"/>
    </row>
    <row r="248" s="291" customFormat="1" ht="32.05" customHeight="1" spans="1:111">
      <c r="A248" s="435">
        <v>46043</v>
      </c>
      <c r="B248" s="436" t="s">
        <v>264</v>
      </c>
      <c r="C248" s="437" t="s">
        <v>265</v>
      </c>
      <c r="D248" s="438">
        <v>4500191969</v>
      </c>
      <c r="E248" s="437">
        <v>4400528769</v>
      </c>
      <c r="F248" s="438" t="s">
        <v>4008</v>
      </c>
      <c r="G248" s="439" t="s">
        <v>150</v>
      </c>
      <c r="H248" s="437" t="s">
        <v>151</v>
      </c>
      <c r="I248" s="440">
        <v>2688</v>
      </c>
      <c r="J248" s="437">
        <v>0</v>
      </c>
      <c r="K248" s="437">
        <v>84</v>
      </c>
      <c r="L248" s="441">
        <f t="shared" si="159"/>
        <v>32</v>
      </c>
      <c r="M248" s="445">
        <v>46099</v>
      </c>
      <c r="N248" s="445">
        <v>46095</v>
      </c>
      <c r="O248" s="445"/>
      <c r="P248" s="442"/>
      <c r="Q248" s="442" t="s">
        <v>106</v>
      </c>
      <c r="R248" s="437" t="s">
        <v>195</v>
      </c>
      <c r="S248" s="451">
        <v>46044</v>
      </c>
      <c r="T248" s="444" t="s">
        <v>107</v>
      </c>
      <c r="U248" s="444" t="s">
        <v>153</v>
      </c>
      <c r="V248" s="494" t="s">
        <v>140</v>
      </c>
      <c r="W248" s="494"/>
      <c r="X248" s="561"/>
      <c r="Y248" s="436" t="s">
        <v>4009</v>
      </c>
      <c r="Z248" s="445" t="s">
        <v>142</v>
      </c>
      <c r="AA248" s="438">
        <v>306.676</v>
      </c>
      <c r="AB248" s="446">
        <f>L248*AA248</f>
        <v>9813.632</v>
      </c>
      <c r="AC248" s="437"/>
      <c r="AD248" s="437" t="s">
        <v>155</v>
      </c>
      <c r="AE248" s="437" t="s">
        <v>112</v>
      </c>
      <c r="AF248" s="437" t="s">
        <v>113</v>
      </c>
      <c r="AG248" s="437"/>
      <c r="AH248" s="442">
        <v>2688</v>
      </c>
      <c r="AI248" s="442">
        <f t="shared" si="165"/>
        <v>0</v>
      </c>
      <c r="AJ248" s="442"/>
      <c r="AK248" s="437"/>
      <c r="AL248" s="437"/>
      <c r="AM248" s="438">
        <f t="shared" si="162"/>
        <v>2688</v>
      </c>
      <c r="AN248" s="438"/>
      <c r="AO248" s="438"/>
      <c r="AP248" s="438"/>
      <c r="AQ248" s="438"/>
      <c r="AR248" s="447"/>
      <c r="AS248" s="438"/>
      <c r="AT248" s="448"/>
      <c r="AU248" s="448"/>
      <c r="AV248" s="438"/>
      <c r="AW248" s="449">
        <f t="shared" si="166"/>
        <v>161.28</v>
      </c>
      <c r="AX248" s="449"/>
      <c r="AY248" s="438"/>
      <c r="AZ248" s="438"/>
      <c r="BA248" s="438"/>
      <c r="BB248" s="438"/>
      <c r="BC248" s="438"/>
      <c r="BD248" s="438"/>
      <c r="BE248" s="438"/>
      <c r="BF248" s="438"/>
      <c r="BG248" s="438"/>
      <c r="BH248" s="438">
        <f t="shared" si="163"/>
        <v>2688</v>
      </c>
      <c r="BI248" s="438">
        <f t="shared" si="164"/>
        <v>2688</v>
      </c>
      <c r="BJ248" s="438"/>
      <c r="BK248" s="438"/>
      <c r="BL248" s="438"/>
      <c r="BM248" s="438"/>
      <c r="BN248" s="438"/>
      <c r="BO248" s="447"/>
      <c r="BP248" s="447"/>
      <c r="BQ248" s="438"/>
      <c r="BR248" s="448"/>
      <c r="BS248" s="438"/>
      <c r="BT248" s="438"/>
      <c r="BU248" s="438"/>
      <c r="BV248" s="447">
        <f>I248/K248</f>
        <v>32</v>
      </c>
      <c r="BW248" s="438"/>
      <c r="BX248" s="438"/>
      <c r="BY248" s="438"/>
      <c r="BZ248" s="438"/>
      <c r="CA248" s="438"/>
      <c r="CB248" s="438"/>
      <c r="CC248" s="438"/>
      <c r="CD248" s="438">
        <f t="shared" si="155"/>
        <v>0</v>
      </c>
      <c r="CE248" s="438">
        <f t="shared" si="156"/>
        <v>0</v>
      </c>
      <c r="CF248" s="438">
        <f t="shared" si="157"/>
        <v>0</v>
      </c>
      <c r="CG248" s="438">
        <f t="shared" si="158"/>
        <v>32</v>
      </c>
      <c r="CH248" s="448"/>
      <c r="CI248" s="448"/>
      <c r="CJ248" s="448"/>
      <c r="CK248" s="438"/>
      <c r="CL248" s="438"/>
    </row>
    <row r="249" s="298" customFormat="1" ht="32.05" customHeight="1" spans="1:111">
      <c r="A249" s="435">
        <v>46223</v>
      </c>
      <c r="B249" s="436" t="s">
        <v>3807</v>
      </c>
      <c r="C249" s="437" t="s">
        <v>115</v>
      </c>
      <c r="D249" s="562">
        <v>4500217076</v>
      </c>
      <c r="E249" s="437"/>
      <c r="F249" s="438" t="s">
        <v>7427</v>
      </c>
      <c r="G249" s="439" t="s">
        <v>3810</v>
      </c>
      <c r="H249" s="437" t="s">
        <v>893</v>
      </c>
      <c r="I249" s="440">
        <v>4320</v>
      </c>
      <c r="J249" s="521">
        <v>0</v>
      </c>
      <c r="K249" s="437">
        <v>720</v>
      </c>
      <c r="L249" s="529">
        <f t="shared" si="159"/>
        <v>6</v>
      </c>
      <c r="M249" s="445">
        <v>46304</v>
      </c>
      <c r="N249" s="445">
        <v>46300</v>
      </c>
      <c r="O249" s="445"/>
      <c r="P249" s="442"/>
      <c r="Q249" s="442"/>
      <c r="R249" s="437"/>
      <c r="S249" s="443">
        <v>46223</v>
      </c>
      <c r="T249" s="452" t="s">
        <v>95</v>
      </c>
      <c r="U249" s="452" t="s">
        <v>95</v>
      </c>
      <c r="V249" s="436"/>
      <c r="W249" s="436"/>
      <c r="X249" s="436"/>
      <c r="Y249" s="436" t="s">
        <v>7428</v>
      </c>
      <c r="Z249" s="445" t="s">
        <v>3812</v>
      </c>
      <c r="AA249" s="438">
        <v>484.4967</v>
      </c>
      <c r="AB249" s="533">
        <f>AA249*L249</f>
        <v>2906.9802</v>
      </c>
      <c r="AC249" s="437"/>
      <c r="AD249" s="437" t="s">
        <v>3630</v>
      </c>
      <c r="AE249" s="437"/>
      <c r="AF249" s="437"/>
      <c r="AG249" s="437"/>
      <c r="AH249" s="442"/>
      <c r="AI249" s="442">
        <f t="shared" si="165"/>
        <v>-4320</v>
      </c>
      <c r="AJ249" s="512"/>
      <c r="AK249" s="437"/>
      <c r="AL249" s="437"/>
      <c r="AM249" s="438">
        <f>I249*2</f>
        <v>8640</v>
      </c>
      <c r="AN249" s="438"/>
      <c r="AO249" s="438"/>
      <c r="AP249" s="438">
        <f t="shared" ref="AP249:AP253" si="167">I249</f>
        <v>4320</v>
      </c>
      <c r="AQ249" s="438"/>
      <c r="AR249" s="447"/>
      <c r="AS249" s="438"/>
      <c r="AT249" s="448"/>
      <c r="AU249" s="448"/>
      <c r="AV249" s="438">
        <f>I249</f>
        <v>4320</v>
      </c>
      <c r="AW249" s="449">
        <f t="shared" si="166"/>
        <v>259.2</v>
      </c>
      <c r="AX249" s="449"/>
      <c r="AY249" s="438"/>
      <c r="AZ249" s="438"/>
      <c r="BA249" s="438"/>
      <c r="BB249" s="438"/>
      <c r="BC249" s="438"/>
      <c r="BD249" s="438"/>
      <c r="BE249" s="438"/>
      <c r="BF249" s="438"/>
      <c r="BG249" s="438"/>
      <c r="BH249" s="438"/>
      <c r="BI249" s="438"/>
      <c r="BJ249" s="438"/>
      <c r="BK249" s="438"/>
      <c r="BL249" s="438"/>
      <c r="BM249" s="438"/>
      <c r="BN249" s="438">
        <f>I249/24</f>
        <v>180</v>
      </c>
      <c r="BO249" s="447"/>
      <c r="BP249" s="447"/>
      <c r="BQ249" s="438"/>
      <c r="BR249" s="448"/>
      <c r="BS249" s="448"/>
      <c r="BT249" s="438"/>
      <c r="BU249" s="438"/>
      <c r="BV249" s="447"/>
      <c r="BW249" s="438"/>
      <c r="BX249" s="438"/>
      <c r="BY249" s="438"/>
      <c r="BZ249" s="438"/>
      <c r="CA249" s="438"/>
      <c r="CB249" s="438"/>
      <c r="CC249" s="438"/>
      <c r="CD249" s="438">
        <f t="shared" si="155"/>
        <v>180</v>
      </c>
      <c r="CE249" s="438">
        <f t="shared" si="156"/>
        <v>0</v>
      </c>
      <c r="CF249" s="438">
        <f t="shared" si="157"/>
        <v>0</v>
      </c>
      <c r="CG249" s="438">
        <f t="shared" si="158"/>
        <v>0</v>
      </c>
      <c r="CH249" s="448"/>
      <c r="CI249" s="448"/>
      <c r="CJ249" s="448"/>
      <c r="CK249" s="438"/>
      <c r="CL249" s="438"/>
      <c r="CM249" s="520"/>
      <c r="CN249" s="520"/>
      <c r="CO249" s="520"/>
      <c r="CP249" s="520"/>
      <c r="CQ249" s="520"/>
      <c r="CR249" s="520"/>
      <c r="CS249" s="520"/>
      <c r="CT249" s="520"/>
      <c r="CU249" s="520"/>
      <c r="CV249" s="520"/>
      <c r="CW249" s="520"/>
      <c r="CX249" s="520"/>
      <c r="CY249" s="520"/>
      <c r="CZ249" s="520"/>
      <c r="DA249" s="520"/>
      <c r="DB249" s="520"/>
      <c r="DC249" s="520"/>
      <c r="DD249" s="520"/>
      <c r="DE249" s="520"/>
      <c r="DF249" s="520"/>
      <c r="DG249" s="520"/>
    </row>
    <row r="250" s="289" customFormat="1" ht="31" customHeight="1" spans="1:111">
      <c r="A250" s="345">
        <v>46223</v>
      </c>
      <c r="B250" s="346" t="s">
        <v>3807</v>
      </c>
      <c r="C250" s="347" t="s">
        <v>115</v>
      </c>
      <c r="D250" s="348">
        <v>4500217076</v>
      </c>
      <c r="E250" s="347"/>
      <c r="F250" s="348" t="s">
        <v>7429</v>
      </c>
      <c r="G250" s="349" t="s">
        <v>6669</v>
      </c>
      <c r="H250" s="347" t="s">
        <v>3978</v>
      </c>
      <c r="I250" s="369">
        <v>1296</v>
      </c>
      <c r="J250" s="347">
        <v>0</v>
      </c>
      <c r="K250" s="347">
        <v>432</v>
      </c>
      <c r="L250" s="347">
        <f t="shared" si="159"/>
        <v>3</v>
      </c>
      <c r="M250" s="351">
        <v>46304</v>
      </c>
      <c r="N250" s="351">
        <v>46300</v>
      </c>
      <c r="O250" s="346"/>
      <c r="P250" s="352"/>
      <c r="Q250" s="352"/>
      <c r="R250" s="443" t="s">
        <v>3064</v>
      </c>
      <c r="S250" s="452" t="s">
        <v>107</v>
      </c>
      <c r="T250" s="444" t="s">
        <v>95</v>
      </c>
      <c r="U250" s="444"/>
      <c r="V250" s="353"/>
      <c r="W250" s="353"/>
      <c r="X250" s="444" t="s">
        <v>7430</v>
      </c>
      <c r="Y250" s="351" t="s">
        <v>3812</v>
      </c>
      <c r="Z250" s="431">
        <v>1255</v>
      </c>
      <c r="AA250" s="348">
        <f>Z250*L250</f>
        <v>3765</v>
      </c>
      <c r="AB250" s="355"/>
      <c r="AC250" s="438" t="s">
        <v>3630</v>
      </c>
      <c r="AD250" s="437"/>
      <c r="AE250" s="347">
        <f t="shared" ref="AE250:AE253" si="168">I250</f>
        <v>1296</v>
      </c>
      <c r="AF250" s="347"/>
      <c r="AG250" s="437"/>
      <c r="AH250" s="437"/>
      <c r="AI250" s="347"/>
      <c r="AJ250" s="347">
        <f t="shared" ref="AJ250:AJ255" si="169">AI250-I250</f>
        <v>-1296</v>
      </c>
      <c r="AK250" s="352"/>
      <c r="AL250" s="352"/>
      <c r="AM250" s="348">
        <f>I250</f>
        <v>1296</v>
      </c>
      <c r="AN250" s="348"/>
      <c r="AO250" s="348"/>
      <c r="AP250" s="348">
        <f t="shared" si="167"/>
        <v>1296</v>
      </c>
      <c r="AQ250" s="348"/>
      <c r="AR250" s="348"/>
      <c r="AS250" s="348"/>
      <c r="AT250" s="348"/>
      <c r="AU250" s="348"/>
      <c r="AV250" s="300">
        <f>I250/8</f>
        <v>162</v>
      </c>
      <c r="AW250" s="348"/>
      <c r="AX250" s="348"/>
      <c r="AY250" s="348"/>
      <c r="AZ250" s="348"/>
      <c r="BA250" s="348"/>
      <c r="BB250" s="348"/>
      <c r="BC250" s="348"/>
      <c r="BD250" s="348"/>
      <c r="BE250" s="348"/>
      <c r="BF250" s="348"/>
      <c r="BG250" s="348"/>
    </row>
    <row r="251" s="299" customFormat="1" ht="31" customHeight="1" spans="1:111">
      <c r="A251" s="563">
        <v>46232</v>
      </c>
      <c r="B251" s="564" t="s">
        <v>7431</v>
      </c>
      <c r="C251" s="565" t="s">
        <v>201</v>
      </c>
      <c r="D251" s="299" t="s">
        <v>7432</v>
      </c>
      <c r="E251" s="565">
        <v>43738</v>
      </c>
      <c r="F251" s="299" t="s">
        <v>7433</v>
      </c>
      <c r="G251" s="566" t="s">
        <v>3973</v>
      </c>
      <c r="H251" s="388" t="s">
        <v>3995</v>
      </c>
      <c r="I251" s="567">
        <v>2400</v>
      </c>
      <c r="J251" s="565">
        <v>0</v>
      </c>
      <c r="K251" s="565">
        <v>16</v>
      </c>
      <c r="L251" s="565">
        <f t="shared" si="159"/>
        <v>150</v>
      </c>
      <c r="M251" s="568">
        <v>46311</v>
      </c>
      <c r="N251" s="568">
        <v>46307</v>
      </c>
      <c r="O251" s="564"/>
      <c r="P251" s="569"/>
      <c r="Q251" s="569"/>
      <c r="R251" s="570"/>
      <c r="S251" s="571"/>
      <c r="T251" s="571"/>
      <c r="U251" s="571"/>
      <c r="V251" s="572"/>
      <c r="W251" s="572"/>
      <c r="X251" s="573" t="s">
        <v>7434</v>
      </c>
      <c r="Y251" s="568" t="s">
        <v>7435</v>
      </c>
      <c r="Z251" s="574">
        <v>4.6548</v>
      </c>
      <c r="AA251" s="299">
        <f t="shared" ref="AA251:AA255" si="170">I251*Z251</f>
        <v>11171.52</v>
      </c>
      <c r="AB251" s="575"/>
      <c r="AC251" s="576"/>
      <c r="AD251" s="577"/>
      <c r="AE251" s="565">
        <f t="shared" si="168"/>
        <v>2400</v>
      </c>
      <c r="AF251" s="565"/>
      <c r="AG251" s="578"/>
      <c r="AH251" s="565"/>
      <c r="AI251" s="565"/>
      <c r="AJ251" s="579"/>
      <c r="AK251" s="569"/>
      <c r="AL251" s="569"/>
      <c r="AM251" s="580"/>
      <c r="AN251" s="580"/>
      <c r="AO251" s="580"/>
      <c r="AP251" s="580"/>
      <c r="AR251" s="580"/>
      <c r="BG251" s="580"/>
    </row>
    <row r="252" s="295" customFormat="1" ht="32.05" customHeight="1" spans="1:111">
      <c r="A252" s="581">
        <v>46232</v>
      </c>
      <c r="B252" s="582" t="s">
        <v>7431</v>
      </c>
      <c r="C252" s="583" t="s">
        <v>201</v>
      </c>
      <c r="D252" s="584" t="s">
        <v>7436</v>
      </c>
      <c r="E252" s="585">
        <v>43737</v>
      </c>
      <c r="F252" s="584" t="s">
        <v>7437</v>
      </c>
      <c r="G252" s="586" t="s">
        <v>3731</v>
      </c>
      <c r="H252" s="587" t="s">
        <v>893</v>
      </c>
      <c r="I252" s="588">
        <v>12000</v>
      </c>
      <c r="J252" s="589">
        <v>0</v>
      </c>
      <c r="K252" s="589">
        <v>48</v>
      </c>
      <c r="L252" s="590">
        <f t="shared" si="159"/>
        <v>250</v>
      </c>
      <c r="M252" s="591">
        <v>46294</v>
      </c>
      <c r="N252" s="591">
        <v>46290</v>
      </c>
      <c r="O252" s="591"/>
      <c r="P252" s="592"/>
      <c r="Q252" s="592"/>
      <c r="R252" s="593"/>
      <c r="S252" s="570"/>
      <c r="T252" s="571"/>
      <c r="U252" s="571"/>
      <c r="V252" s="576"/>
      <c r="W252" s="576"/>
      <c r="X252" s="576"/>
      <c r="Y252" s="587" t="s">
        <v>7438</v>
      </c>
      <c r="Z252" s="594" t="s">
        <v>7439</v>
      </c>
      <c r="AA252" s="595">
        <v>1.007</v>
      </c>
      <c r="AB252" s="596">
        <f t="shared" ref="AB252:AB256" si="171">I252*AA252</f>
        <v>12084</v>
      </c>
      <c r="AC252" s="593"/>
      <c r="AD252" s="593"/>
      <c r="AE252" s="593"/>
      <c r="AF252" s="593"/>
      <c r="AG252" s="593"/>
      <c r="AH252" s="592"/>
      <c r="AI252" s="592"/>
      <c r="AJ252" s="592"/>
      <c r="AK252" s="593"/>
      <c r="AL252" s="593"/>
      <c r="AM252" s="538">
        <f>I252*2</f>
        <v>24000</v>
      </c>
      <c r="AN252" s="538"/>
      <c r="AO252" s="538"/>
      <c r="AP252" s="538"/>
      <c r="AQ252" s="538"/>
      <c r="AR252" s="597"/>
      <c r="AS252" s="538"/>
      <c r="AT252" s="598"/>
      <c r="AU252" s="598"/>
      <c r="AV252" s="538"/>
      <c r="AW252" s="599"/>
      <c r="AX252" s="599"/>
      <c r="AY252" s="538"/>
      <c r="AZ252" s="538"/>
      <c r="BA252" s="538"/>
      <c r="BB252" s="538"/>
      <c r="BC252" s="538"/>
      <c r="BD252" s="538"/>
      <c r="BE252" s="538"/>
      <c r="BF252" s="538"/>
      <c r="BG252" s="538"/>
      <c r="BH252" s="538"/>
      <c r="BI252" s="538"/>
      <c r="BJ252" s="538"/>
      <c r="BK252" s="538"/>
      <c r="BL252" s="538"/>
      <c r="BM252" s="538"/>
      <c r="BN252" s="538"/>
      <c r="BO252" s="597"/>
      <c r="BP252" s="597"/>
      <c r="BQ252" s="538"/>
      <c r="BR252" s="598"/>
      <c r="BS252" s="598"/>
      <c r="BT252" s="538"/>
      <c r="BU252" s="538"/>
      <c r="BV252" s="597"/>
      <c r="BW252" s="538"/>
      <c r="BX252" s="538"/>
      <c r="BY252" s="538"/>
      <c r="BZ252" s="538"/>
      <c r="CA252" s="538"/>
      <c r="CB252" s="538"/>
      <c r="CC252" s="538"/>
      <c r="CD252" s="538"/>
      <c r="CE252" s="538"/>
      <c r="CF252" s="538"/>
      <c r="CG252" s="538"/>
      <c r="CH252" s="598"/>
      <c r="CI252" s="598"/>
      <c r="CJ252" s="598"/>
      <c r="CK252" s="538"/>
      <c r="CL252" s="538"/>
      <c r="CM252" s="600"/>
      <c r="CN252" s="600"/>
      <c r="CO252" s="600"/>
      <c r="CP252" s="600"/>
      <c r="CQ252" s="600"/>
      <c r="CR252" s="600"/>
      <c r="CS252" s="600"/>
      <c r="CT252" s="600"/>
      <c r="CU252" s="600"/>
      <c r="CV252" s="600"/>
      <c r="CW252" s="600"/>
      <c r="CX252" s="600"/>
      <c r="CY252" s="600"/>
      <c r="CZ252" s="600"/>
      <c r="DA252" s="600"/>
      <c r="DB252" s="600"/>
      <c r="DC252" s="600"/>
      <c r="DD252" s="600"/>
      <c r="DE252" s="600"/>
      <c r="DF252" s="600"/>
      <c r="DG252" s="600"/>
    </row>
    <row r="253" s="300" customFormat="1" ht="31" customHeight="1" spans="1:111">
      <c r="A253" s="601">
        <v>46217</v>
      </c>
      <c r="B253" s="602" t="s">
        <v>163</v>
      </c>
      <c r="C253" s="603" t="s">
        <v>164</v>
      </c>
      <c r="D253" s="300">
        <v>4500216502</v>
      </c>
      <c r="E253" s="603">
        <v>4400579669</v>
      </c>
      <c r="F253" s="300" t="s">
        <v>7440</v>
      </c>
      <c r="G253" s="604" t="s">
        <v>3973</v>
      </c>
      <c r="H253" s="347" t="s">
        <v>3995</v>
      </c>
      <c r="I253" s="605">
        <v>12000</v>
      </c>
      <c r="J253" s="603">
        <v>0</v>
      </c>
      <c r="K253" s="603">
        <v>16</v>
      </c>
      <c r="L253" s="603">
        <f t="shared" si="159"/>
        <v>750</v>
      </c>
      <c r="M253" s="606">
        <v>46276</v>
      </c>
      <c r="N253" s="606">
        <v>46272</v>
      </c>
      <c r="O253" s="602"/>
      <c r="P253" s="607"/>
      <c r="Q253" s="607"/>
      <c r="R253" s="443">
        <v>46217</v>
      </c>
      <c r="S253" s="444" t="s">
        <v>107</v>
      </c>
      <c r="T253" s="452" t="s">
        <v>3997</v>
      </c>
      <c r="U253" s="452"/>
      <c r="V253" s="444" t="s">
        <v>5199</v>
      </c>
      <c r="W253" s="608"/>
      <c r="X253" s="608" t="s">
        <v>7441</v>
      </c>
      <c r="Y253" s="606" t="s">
        <v>1142</v>
      </c>
      <c r="Z253" s="609">
        <v>4.7968</v>
      </c>
      <c r="AA253" s="300">
        <f t="shared" si="170"/>
        <v>57561.6</v>
      </c>
      <c r="AB253" s="610"/>
      <c r="AC253" s="611" t="s">
        <v>3999</v>
      </c>
      <c r="AD253" s="455" t="s">
        <v>112</v>
      </c>
      <c r="AE253" s="603">
        <f t="shared" si="168"/>
        <v>12000</v>
      </c>
      <c r="AF253" s="603"/>
      <c r="AG253" s="603"/>
      <c r="AH253" s="603"/>
      <c r="AI253" s="603"/>
      <c r="AJ253" s="347">
        <f t="shared" si="169"/>
        <v>-12000</v>
      </c>
      <c r="AK253" s="607"/>
      <c r="AL253" s="607"/>
      <c r="AM253" s="612"/>
      <c r="AN253" s="612"/>
      <c r="AO253" s="348">
        <f>I253</f>
        <v>12000</v>
      </c>
      <c r="AP253" s="348">
        <f t="shared" si="167"/>
        <v>12000</v>
      </c>
      <c r="AR253" s="612"/>
      <c r="AW253" s="348">
        <f>I253/8</f>
        <v>1500</v>
      </c>
      <c r="AX253" s="612"/>
      <c r="BG253" s="612"/>
    </row>
    <row r="254" s="287" customFormat="1" ht="32.05" customHeight="1" spans="1:111">
      <c r="A254" s="435">
        <v>46217</v>
      </c>
      <c r="B254" s="436" t="s">
        <v>163</v>
      </c>
      <c r="C254" s="437" t="s">
        <v>164</v>
      </c>
      <c r="D254" s="562">
        <v>4500216502</v>
      </c>
      <c r="E254" s="442">
        <v>4400575852</v>
      </c>
      <c r="F254" s="438" t="s">
        <v>7442</v>
      </c>
      <c r="G254" s="439" t="s">
        <v>270</v>
      </c>
      <c r="H254" s="437" t="s">
        <v>104</v>
      </c>
      <c r="I254" s="440">
        <v>7000</v>
      </c>
      <c r="J254" s="437">
        <v>0</v>
      </c>
      <c r="K254" s="437">
        <v>25</v>
      </c>
      <c r="L254" s="441">
        <f t="shared" si="159"/>
        <v>280</v>
      </c>
      <c r="M254" s="445">
        <v>46283</v>
      </c>
      <c r="N254" s="445">
        <v>46279</v>
      </c>
      <c r="O254" s="445"/>
      <c r="P254" s="442"/>
      <c r="Q254" s="442"/>
      <c r="R254" s="437"/>
      <c r="S254" s="443">
        <v>46217</v>
      </c>
      <c r="T254" s="452" t="s">
        <v>95</v>
      </c>
      <c r="U254" s="452" t="s">
        <v>1794</v>
      </c>
      <c r="V254" s="436" t="s">
        <v>140</v>
      </c>
      <c r="W254" s="436"/>
      <c r="X254" s="436" t="s">
        <v>3620</v>
      </c>
      <c r="Y254" s="436" t="s">
        <v>3629</v>
      </c>
      <c r="Z254" s="445" t="s">
        <v>1142</v>
      </c>
      <c r="AA254" s="438">
        <v>1.1031</v>
      </c>
      <c r="AB254" s="446">
        <f t="shared" si="171"/>
        <v>7721.7</v>
      </c>
      <c r="AC254" s="437"/>
      <c r="AD254" s="613" t="s">
        <v>3630</v>
      </c>
      <c r="AE254" s="437"/>
      <c r="AF254" s="437"/>
      <c r="AG254" s="437"/>
      <c r="AH254" s="442"/>
      <c r="AI254" s="512">
        <f>AH254-I254</f>
        <v>-7000</v>
      </c>
      <c r="AJ254" s="512"/>
      <c r="AK254" s="437"/>
      <c r="AL254" s="437"/>
      <c r="AM254" s="438">
        <f>I254</f>
        <v>7000</v>
      </c>
      <c r="AN254" s="438"/>
      <c r="AO254" s="438"/>
      <c r="AP254" s="438"/>
      <c r="AQ254" s="438">
        <f>I254</f>
        <v>7000</v>
      </c>
      <c r="AR254" s="447"/>
      <c r="AS254" s="438"/>
      <c r="AT254" s="448"/>
      <c r="AU254" s="448"/>
      <c r="AV254" s="438"/>
      <c r="AW254" s="516">
        <f>I254*0.06</f>
        <v>420</v>
      </c>
      <c r="AX254" s="516"/>
      <c r="AY254" s="438"/>
      <c r="AZ254" s="438"/>
      <c r="BA254" s="438"/>
      <c r="BB254" s="438"/>
      <c r="BC254" s="438"/>
      <c r="BD254" s="438"/>
      <c r="BE254" s="438"/>
      <c r="BF254" s="438"/>
      <c r="BG254" s="438"/>
      <c r="BH254" s="438"/>
      <c r="BI254" s="438">
        <f>I254</f>
        <v>7000</v>
      </c>
      <c r="BJ254" s="438"/>
      <c r="BK254" s="438"/>
      <c r="BL254" s="438"/>
      <c r="BM254" s="438"/>
      <c r="BN254" s="438"/>
      <c r="BO254" s="517">
        <f>I254/25</f>
        <v>280</v>
      </c>
      <c r="BP254" s="447"/>
      <c r="BQ254" s="438"/>
      <c r="BR254" s="448"/>
      <c r="BS254" s="448"/>
      <c r="BT254" s="438"/>
      <c r="BU254" s="438"/>
      <c r="BV254" s="447"/>
      <c r="BW254" s="438"/>
      <c r="BX254" s="438"/>
      <c r="BY254" s="438"/>
      <c r="BZ254" s="438"/>
      <c r="CA254" s="438"/>
      <c r="CB254" s="438"/>
      <c r="CC254" s="438"/>
      <c r="CD254" s="438">
        <f>BN254+BO254+BQ254+BS254+BR254</f>
        <v>280</v>
      </c>
      <c r="CE254" s="438">
        <f>BU254</f>
        <v>0</v>
      </c>
      <c r="CF254" s="438">
        <f>CC254</f>
        <v>0</v>
      </c>
      <c r="CG254" s="438">
        <f>BV254+BW254+BX254</f>
        <v>0</v>
      </c>
      <c r="CH254" s="448"/>
      <c r="CI254" s="448"/>
      <c r="CJ254" s="448"/>
      <c r="CK254" s="438"/>
      <c r="CL254" s="438"/>
    </row>
    <row r="255" s="288" customFormat="1" ht="31" customHeight="1" spans="1:111">
      <c r="A255" s="345">
        <v>46185</v>
      </c>
      <c r="B255" s="346" t="s">
        <v>971</v>
      </c>
      <c r="C255" s="347" t="s">
        <v>164</v>
      </c>
      <c r="D255" s="348">
        <v>4500212131</v>
      </c>
      <c r="E255" s="347">
        <v>4400577345</v>
      </c>
      <c r="F255" s="348" t="s">
        <v>7443</v>
      </c>
      <c r="G255" s="349" t="s">
        <v>3973</v>
      </c>
      <c r="H255" s="347" t="s">
        <v>3995</v>
      </c>
      <c r="I255" s="369">
        <v>5008</v>
      </c>
      <c r="J255" s="347">
        <v>0</v>
      </c>
      <c r="K255" s="347">
        <v>16</v>
      </c>
      <c r="L255" s="347">
        <f t="shared" si="159"/>
        <v>313</v>
      </c>
      <c r="M255" s="351">
        <v>46262</v>
      </c>
      <c r="N255" s="351">
        <v>46258</v>
      </c>
      <c r="O255" s="346"/>
      <c r="P255" s="352"/>
      <c r="Q255" s="352"/>
      <c r="R255" s="370">
        <v>46185</v>
      </c>
      <c r="S255" s="444" t="s">
        <v>107</v>
      </c>
      <c r="T255" s="444" t="s">
        <v>3997</v>
      </c>
      <c r="U255" s="444"/>
      <c r="V255" s="444" t="s">
        <v>5199</v>
      </c>
      <c r="W255" s="353"/>
      <c r="X255" s="353" t="s">
        <v>7444</v>
      </c>
      <c r="Y255" s="351" t="s">
        <v>7445</v>
      </c>
      <c r="Z255" s="431">
        <v>4.8121</v>
      </c>
      <c r="AA255" s="348">
        <f t="shared" si="170"/>
        <v>24098.9968</v>
      </c>
      <c r="AB255" s="355"/>
      <c r="AC255" s="348" t="s">
        <v>4108</v>
      </c>
      <c r="AD255" s="437" t="s">
        <v>112</v>
      </c>
      <c r="AE255" s="347">
        <f t="shared" ref="AE255:AE259" si="172">I255</f>
        <v>5008</v>
      </c>
      <c r="AF255" s="347"/>
      <c r="AG255" s="437"/>
      <c r="AH255" s="437"/>
      <c r="AI255" s="347"/>
      <c r="AJ255" s="347">
        <f t="shared" si="169"/>
        <v>-5008</v>
      </c>
      <c r="AK255" s="352"/>
      <c r="AL255" s="352"/>
      <c r="AM255" s="348"/>
      <c r="AN255" s="348"/>
      <c r="AO255" s="348">
        <f>I255</f>
        <v>5008</v>
      </c>
      <c r="AP255" s="348">
        <f>I255</f>
        <v>5008</v>
      </c>
      <c r="AQ255" s="348"/>
      <c r="AR255" s="348"/>
      <c r="AS255" s="348"/>
      <c r="AT255" s="348"/>
      <c r="AU255" s="348"/>
      <c r="AV255" s="348"/>
      <c r="AW255" s="348">
        <f>I255/8</f>
        <v>626</v>
      </c>
      <c r="AX255" s="348"/>
      <c r="AY255" s="348"/>
      <c r="AZ255" s="348"/>
      <c r="BA255" s="348"/>
      <c r="BB255" s="348"/>
      <c r="BC255" s="348"/>
      <c r="BD255" s="348"/>
      <c r="BE255" s="348"/>
      <c r="BF255" s="348"/>
      <c r="BG255" s="348"/>
      <c r="BH255" s="289"/>
      <c r="BI255" s="289"/>
      <c r="BJ255" s="289"/>
      <c r="BK255" s="289"/>
      <c r="BL255" s="289"/>
      <c r="BM255" s="289"/>
      <c r="BN255" s="289"/>
      <c r="BO255" s="289"/>
      <c r="BP255" s="289"/>
      <c r="BQ255" s="289"/>
      <c r="BR255" s="289"/>
      <c r="BS255" s="289"/>
      <c r="BT255" s="289"/>
      <c r="BU255" s="289"/>
      <c r="BV255" s="289"/>
      <c r="BW255" s="289"/>
      <c r="BX255" s="289"/>
      <c r="BY255" s="289"/>
      <c r="BZ255" s="289"/>
      <c r="CA255" s="289"/>
      <c r="CB255" s="289"/>
      <c r="CC255" s="289"/>
      <c r="CD255" s="289"/>
      <c r="CE255" s="289"/>
      <c r="CF255" s="289"/>
      <c r="CG255" s="289"/>
      <c r="CH255" s="289"/>
      <c r="CI255" s="289"/>
      <c r="CJ255" s="289"/>
      <c r="CK255" s="289"/>
      <c r="CL255" s="289"/>
      <c r="CM255" s="289"/>
      <c r="CN255" s="289"/>
      <c r="CO255" s="289"/>
      <c r="CP255" s="289"/>
    </row>
    <row r="256" s="295" customFormat="1" ht="32.05" customHeight="1" spans="1:111">
      <c r="A256" s="526">
        <v>46185</v>
      </c>
      <c r="B256" s="527" t="s">
        <v>7446</v>
      </c>
      <c r="C256" s="521" t="s">
        <v>164</v>
      </c>
      <c r="D256" s="614">
        <v>4500212131</v>
      </c>
      <c r="E256" s="467">
        <v>4400577346</v>
      </c>
      <c r="F256" s="520" t="s">
        <v>7447</v>
      </c>
      <c r="G256" s="519" t="s">
        <v>270</v>
      </c>
      <c r="H256" s="437" t="s">
        <v>104</v>
      </c>
      <c r="I256" s="528">
        <v>35000</v>
      </c>
      <c r="J256" s="521">
        <v>0</v>
      </c>
      <c r="K256" s="521">
        <v>25</v>
      </c>
      <c r="L256" s="529">
        <f t="shared" si="159"/>
        <v>1400</v>
      </c>
      <c r="M256" s="530">
        <v>46262</v>
      </c>
      <c r="N256" s="530">
        <v>46258</v>
      </c>
      <c r="O256" s="530"/>
      <c r="P256" s="467"/>
      <c r="Q256" s="467"/>
      <c r="R256" s="521"/>
      <c r="S256" s="443">
        <v>46185</v>
      </c>
      <c r="T256" s="444" t="s">
        <v>95</v>
      </c>
      <c r="U256" s="452" t="s">
        <v>1794</v>
      </c>
      <c r="V256" s="436" t="s">
        <v>140</v>
      </c>
      <c r="W256" s="436"/>
      <c r="X256" s="436" t="s">
        <v>3309</v>
      </c>
      <c r="Y256" s="527" t="s">
        <v>7448</v>
      </c>
      <c r="Z256" s="530" t="s">
        <v>7449</v>
      </c>
      <c r="AA256" s="520">
        <v>1.0856</v>
      </c>
      <c r="AB256" s="533">
        <f t="shared" si="171"/>
        <v>37996</v>
      </c>
      <c r="AC256" s="521"/>
      <c r="AD256" s="439" t="s">
        <v>270</v>
      </c>
      <c r="AE256" s="437" t="s">
        <v>112</v>
      </c>
      <c r="AF256" s="521"/>
      <c r="AG256" s="521"/>
      <c r="AH256" s="467"/>
      <c r="AI256" s="442">
        <f>AH256-I256</f>
        <v>-35000</v>
      </c>
      <c r="AJ256" s="442"/>
      <c r="AK256" s="521"/>
      <c r="AL256" s="521"/>
      <c r="AM256" s="438">
        <f>I256</f>
        <v>35000</v>
      </c>
      <c r="AN256" s="520"/>
      <c r="AO256" s="520"/>
      <c r="AP256" s="520"/>
      <c r="AQ256" s="520"/>
      <c r="AR256" s="520"/>
      <c r="AS256" s="520"/>
      <c r="AT256" s="520"/>
      <c r="AU256" s="520"/>
      <c r="AV256" s="520"/>
      <c r="AW256" s="449">
        <f>I256*0.06</f>
        <v>2100</v>
      </c>
      <c r="AX256" s="449"/>
      <c r="AY256" s="520"/>
      <c r="AZ256" s="520"/>
      <c r="BA256" s="520"/>
      <c r="BB256" s="520"/>
      <c r="BC256" s="520"/>
      <c r="BD256" s="520"/>
      <c r="BE256" s="520"/>
      <c r="BF256" s="520"/>
      <c r="BG256" s="520"/>
      <c r="BH256" s="438">
        <f>I256</f>
        <v>35000</v>
      </c>
      <c r="BI256" s="438">
        <f>I256</f>
        <v>35000</v>
      </c>
      <c r="BJ256" s="520"/>
      <c r="BK256" s="520"/>
      <c r="BL256" s="520"/>
      <c r="BM256" s="520"/>
      <c r="BN256" s="520"/>
      <c r="BO256" s="447">
        <f>I256/25</f>
        <v>1400</v>
      </c>
      <c r="BP256" s="520"/>
      <c r="BQ256" s="520"/>
      <c r="BR256" s="520"/>
      <c r="BS256" s="520"/>
      <c r="BT256" s="520"/>
      <c r="BU256" s="520"/>
      <c r="BV256" s="520"/>
      <c r="BW256" s="520"/>
      <c r="BX256" s="520"/>
      <c r="BY256" s="520"/>
      <c r="BZ256" s="520"/>
      <c r="CA256" s="520"/>
      <c r="CB256" s="520"/>
      <c r="CC256" s="520"/>
      <c r="CD256" s="438">
        <f>BN256+BO256+BQ256+BS256+BR256</f>
        <v>1400</v>
      </c>
      <c r="CE256" s="438">
        <f>BU256</f>
        <v>0</v>
      </c>
      <c r="CF256" s="438">
        <f>CC256</f>
        <v>0</v>
      </c>
      <c r="CG256" s="438">
        <f>BV256+BW256+BX256</f>
        <v>0</v>
      </c>
      <c r="CH256" s="438"/>
      <c r="CI256" s="438"/>
      <c r="CJ256" s="520"/>
      <c r="CK256" s="520"/>
      <c r="CL256" s="520"/>
      <c r="CM256" s="615"/>
      <c r="CN256" s="615"/>
      <c r="CO256" s="615"/>
      <c r="CP256" s="615"/>
      <c r="CQ256" s="615"/>
      <c r="CR256" s="615"/>
      <c r="CS256" s="615"/>
      <c r="CT256" s="615"/>
      <c r="CU256" s="615"/>
      <c r="CV256" s="615"/>
      <c r="CW256" s="615"/>
      <c r="CX256" s="615"/>
      <c r="CY256" s="615"/>
      <c r="CZ256" s="615"/>
      <c r="DA256" s="615"/>
      <c r="DB256" s="615"/>
      <c r="DC256" s="615"/>
      <c r="DD256" s="615"/>
      <c r="DE256" s="615"/>
      <c r="DF256" s="615"/>
      <c r="DG256" s="615"/>
    </row>
    <row r="257" s="291" customFormat="1" ht="32.05" customHeight="1" spans="1:109">
      <c r="A257" s="526">
        <v>46199</v>
      </c>
      <c r="B257" s="527" t="s">
        <v>1053</v>
      </c>
      <c r="C257" s="521" t="s">
        <v>1054</v>
      </c>
      <c r="D257" s="614">
        <v>4500214050</v>
      </c>
      <c r="E257" s="521" t="s">
        <v>628</v>
      </c>
      <c r="F257" s="520" t="s">
        <v>7450</v>
      </c>
      <c r="G257" s="519" t="s">
        <v>188</v>
      </c>
      <c r="H257" s="521" t="s">
        <v>138</v>
      </c>
      <c r="I257" s="528">
        <v>6000</v>
      </c>
      <c r="J257" s="521">
        <v>0</v>
      </c>
      <c r="K257" s="521">
        <v>50</v>
      </c>
      <c r="L257" s="529">
        <f t="shared" si="159"/>
        <v>120</v>
      </c>
      <c r="M257" s="530">
        <v>46280</v>
      </c>
      <c r="N257" s="530">
        <v>46276</v>
      </c>
      <c r="O257" s="530"/>
      <c r="P257" s="467"/>
      <c r="Q257" s="467"/>
      <c r="R257" s="521"/>
      <c r="S257" s="521"/>
      <c r="T257" s="467"/>
      <c r="U257" s="442">
        <f t="shared" ref="U257:U263" si="173">T257-I257</f>
        <v>-6000</v>
      </c>
      <c r="V257" s="521"/>
      <c r="W257" s="443">
        <v>46199</v>
      </c>
      <c r="X257" s="452" t="s">
        <v>95</v>
      </c>
      <c r="Y257" s="444" t="s">
        <v>7451</v>
      </c>
      <c r="Z257" s="436"/>
      <c r="AA257" s="436"/>
      <c r="AB257" s="616">
        <v>4500208821</v>
      </c>
      <c r="AC257" s="527" t="s">
        <v>7452</v>
      </c>
      <c r="AD257" s="617" t="s">
        <v>1059</v>
      </c>
      <c r="AE257" s="618">
        <v>1.1533</v>
      </c>
      <c r="AF257" s="619">
        <f t="shared" ref="AF257:AF262" si="174">AE257*I257</f>
        <v>6919.8</v>
      </c>
      <c r="AG257" s="620"/>
      <c r="AH257" s="437" t="s">
        <v>188</v>
      </c>
      <c r="AI257" s="437" t="s">
        <v>112</v>
      </c>
      <c r="AJ257" s="521"/>
      <c r="AK257" s="438">
        <f t="shared" ref="AK257:AK263" si="175">I257</f>
        <v>6000</v>
      </c>
      <c r="AL257" s="520"/>
      <c r="AM257" s="520"/>
      <c r="AN257" s="438">
        <f t="shared" ref="AN257:AN262" si="176">I257</f>
        <v>6000</v>
      </c>
      <c r="AO257" s="438"/>
      <c r="AP257" s="447"/>
      <c r="AQ257" s="438"/>
      <c r="AR257" s="448"/>
      <c r="AS257" s="448"/>
      <c r="AT257" s="438">
        <f>I257</f>
        <v>6000</v>
      </c>
      <c r="AU257" s="449"/>
      <c r="AV257" s="449"/>
      <c r="AW257" s="438"/>
      <c r="AX257" s="438"/>
      <c r="AY257" s="520"/>
      <c r="AZ257" s="520"/>
      <c r="BA257" s="520"/>
      <c r="BB257" s="520"/>
      <c r="BC257" s="520"/>
      <c r="BD257" s="520"/>
      <c r="BE257" s="520"/>
      <c r="BF257" s="438"/>
      <c r="BG257" s="438"/>
      <c r="BH257" s="520"/>
      <c r="BI257" s="520"/>
      <c r="BJ257" s="520"/>
      <c r="BK257" s="520"/>
      <c r="BL257" s="520">
        <f>I257/25</f>
        <v>240</v>
      </c>
      <c r="BM257" s="447"/>
      <c r="BN257" s="520"/>
      <c r="BO257" s="520"/>
      <c r="BP257" s="520"/>
      <c r="BQ257" s="520"/>
      <c r="BR257" s="520"/>
      <c r="BS257" s="520"/>
      <c r="BT257" s="520"/>
      <c r="BU257" s="520"/>
      <c r="BV257" s="520"/>
      <c r="BW257" s="520"/>
      <c r="BX257" s="520"/>
      <c r="BY257" s="520"/>
      <c r="BZ257" s="520"/>
      <c r="CA257" s="520"/>
      <c r="CB257" s="438">
        <f t="shared" ref="CB257:CB263" si="177">BL257+BM257+BO257+BQ257+BP257</f>
        <v>240</v>
      </c>
      <c r="CC257" s="438">
        <f t="shared" ref="CC257:CC263" si="178">BS257</f>
        <v>0</v>
      </c>
      <c r="CD257" s="438">
        <f t="shared" ref="CD257:CD263" si="179">CA257</f>
        <v>0</v>
      </c>
      <c r="CE257" s="438">
        <f t="shared" ref="CE257:CE263" si="180">BT257+BU257+BV257</f>
        <v>0</v>
      </c>
      <c r="CF257" s="438"/>
      <c r="CG257" s="438"/>
      <c r="CH257" s="520"/>
      <c r="CI257" s="520"/>
      <c r="CJ257" s="520"/>
      <c r="CK257" s="286"/>
      <c r="CL257" s="286"/>
      <c r="CM257" s="286"/>
      <c r="CN257" s="286"/>
      <c r="CO257" s="286"/>
      <c r="CP257" s="286"/>
      <c r="CQ257" s="286"/>
      <c r="CR257" s="286"/>
      <c r="CS257" s="286"/>
      <c r="CT257" s="286"/>
      <c r="CU257" s="286"/>
      <c r="CV257" s="286"/>
      <c r="CW257" s="286"/>
      <c r="CX257" s="286"/>
      <c r="CY257" s="286"/>
      <c r="CZ257" s="286"/>
      <c r="DA257" s="286"/>
      <c r="DB257" s="286"/>
      <c r="DC257" s="286"/>
      <c r="DD257" s="286"/>
      <c r="DE257" s="286"/>
    </row>
    <row r="258" s="297" customFormat="1" ht="31" customHeight="1" spans="1:109">
      <c r="A258" s="550">
        <v>46199</v>
      </c>
      <c r="B258" s="551" t="s">
        <v>1053</v>
      </c>
      <c r="C258" s="552" t="s">
        <v>1054</v>
      </c>
      <c r="D258" s="297" t="s">
        <v>7453</v>
      </c>
      <c r="E258" s="552" t="s">
        <v>628</v>
      </c>
      <c r="F258" s="297" t="s">
        <v>7454</v>
      </c>
      <c r="G258" s="553" t="s">
        <v>3973</v>
      </c>
      <c r="H258" s="347" t="s">
        <v>3995</v>
      </c>
      <c r="I258" s="554">
        <v>1504</v>
      </c>
      <c r="J258" s="552">
        <v>0</v>
      </c>
      <c r="K258" s="552">
        <v>16</v>
      </c>
      <c r="L258" s="552">
        <f t="shared" si="159"/>
        <v>94</v>
      </c>
      <c r="M258" s="555">
        <v>46280</v>
      </c>
      <c r="N258" s="555">
        <v>46276</v>
      </c>
      <c r="O258" s="551"/>
      <c r="P258" s="556"/>
      <c r="Q258" s="556"/>
      <c r="R258" s="443">
        <v>46199</v>
      </c>
      <c r="S258" s="444" t="s">
        <v>107</v>
      </c>
      <c r="T258" s="452" t="s">
        <v>7455</v>
      </c>
      <c r="U258" s="452"/>
      <c r="V258" s="557"/>
      <c r="W258" s="557"/>
      <c r="X258" s="557" t="s">
        <v>7452</v>
      </c>
      <c r="Y258" s="555" t="s">
        <v>1059</v>
      </c>
      <c r="Z258" s="558">
        <v>4.9045</v>
      </c>
      <c r="AA258" s="297">
        <f>I258*Z258</f>
        <v>7376.368</v>
      </c>
      <c r="AB258" s="559"/>
      <c r="AC258" s="436" t="s">
        <v>3973</v>
      </c>
      <c r="AD258" s="521" t="s">
        <v>112</v>
      </c>
      <c r="AE258" s="552">
        <f t="shared" si="172"/>
        <v>1504</v>
      </c>
      <c r="AF258" s="621" t="s">
        <v>5125</v>
      </c>
      <c r="AG258" s="552"/>
      <c r="AH258" s="347">
        <f>AG258-I258</f>
        <v>-1504</v>
      </c>
      <c r="AI258" s="556"/>
      <c r="AJ258" s="552"/>
      <c r="AK258" s="348">
        <f t="shared" si="175"/>
        <v>1504</v>
      </c>
      <c r="AL258" s="348"/>
      <c r="AM258" s="348"/>
      <c r="AN258" s="348">
        <f t="shared" si="176"/>
        <v>1504</v>
      </c>
      <c r="AP258" s="348"/>
      <c r="AT258" s="348">
        <f>I258/8</f>
        <v>188</v>
      </c>
      <c r="BE258" s="348"/>
    </row>
    <row r="259" s="297" customFormat="1" ht="31" customHeight="1" spans="1:109">
      <c r="A259" s="550">
        <v>46199</v>
      </c>
      <c r="B259" s="551" t="s">
        <v>1053</v>
      </c>
      <c r="C259" s="552" t="s">
        <v>1054</v>
      </c>
      <c r="D259" s="297" t="s">
        <v>7456</v>
      </c>
      <c r="E259" s="552" t="s">
        <v>628</v>
      </c>
      <c r="F259" s="297" t="s">
        <v>7457</v>
      </c>
      <c r="G259" s="553" t="s">
        <v>3973</v>
      </c>
      <c r="H259" s="347" t="s">
        <v>3995</v>
      </c>
      <c r="I259" s="554">
        <v>2512</v>
      </c>
      <c r="J259" s="552">
        <v>0</v>
      </c>
      <c r="K259" s="552">
        <v>16</v>
      </c>
      <c r="L259" s="552">
        <f t="shared" si="159"/>
        <v>157</v>
      </c>
      <c r="M259" s="555">
        <v>46310</v>
      </c>
      <c r="N259" s="555">
        <v>46307</v>
      </c>
      <c r="O259" s="551"/>
      <c r="P259" s="556"/>
      <c r="Q259" s="556"/>
      <c r="R259" s="443">
        <v>46199</v>
      </c>
      <c r="S259" s="444" t="s">
        <v>107</v>
      </c>
      <c r="T259" s="452" t="s">
        <v>7451</v>
      </c>
      <c r="U259" s="452"/>
      <c r="V259" s="557"/>
      <c r="W259" s="557"/>
      <c r="X259" s="532" t="s">
        <v>7452</v>
      </c>
      <c r="Y259" s="555" t="s">
        <v>1059</v>
      </c>
      <c r="Z259" s="558">
        <v>4.9045</v>
      </c>
      <c r="AA259" s="297">
        <f>I259*Z259</f>
        <v>12320.104</v>
      </c>
      <c r="AB259" s="559"/>
      <c r="AC259" s="436" t="s">
        <v>3973</v>
      </c>
      <c r="AD259" s="521" t="s">
        <v>112</v>
      </c>
      <c r="AE259" s="552">
        <f t="shared" si="172"/>
        <v>2512</v>
      </c>
      <c r="AF259" s="552"/>
      <c r="AG259" s="552"/>
      <c r="AH259" s="347">
        <f>AG259-I259</f>
        <v>-2512</v>
      </c>
      <c r="AI259" s="556"/>
      <c r="AJ259" s="552"/>
      <c r="AK259" s="348">
        <f t="shared" si="175"/>
        <v>2512</v>
      </c>
      <c r="AL259" s="348"/>
      <c r="AM259" s="348"/>
      <c r="AN259" s="348">
        <f t="shared" si="176"/>
        <v>2512</v>
      </c>
      <c r="AP259" s="348"/>
      <c r="AT259" s="348">
        <f>I259/8</f>
        <v>314</v>
      </c>
      <c r="BE259" s="348"/>
    </row>
    <row r="260" s="286" customFormat="1" ht="32.05" customHeight="1" spans="1:109">
      <c r="A260" s="526">
        <v>46199</v>
      </c>
      <c r="B260" s="527" t="s">
        <v>1053</v>
      </c>
      <c r="C260" s="521" t="s">
        <v>1054</v>
      </c>
      <c r="D260" s="614">
        <v>4500214056</v>
      </c>
      <c r="E260" s="521" t="s">
        <v>628</v>
      </c>
      <c r="F260" s="520" t="s">
        <v>7458</v>
      </c>
      <c r="G260" s="519" t="s">
        <v>188</v>
      </c>
      <c r="H260" s="521" t="s">
        <v>138</v>
      </c>
      <c r="I260" s="528">
        <v>6000</v>
      </c>
      <c r="J260" s="521">
        <v>0</v>
      </c>
      <c r="K260" s="521">
        <v>50</v>
      </c>
      <c r="L260" s="529">
        <f t="shared" si="159"/>
        <v>120</v>
      </c>
      <c r="M260" s="530">
        <v>46310</v>
      </c>
      <c r="N260" s="530">
        <v>46307</v>
      </c>
      <c r="O260" s="530"/>
      <c r="P260" s="467"/>
      <c r="Q260" s="467"/>
      <c r="R260" s="521"/>
      <c r="S260" s="521"/>
      <c r="T260" s="467"/>
      <c r="U260" s="442">
        <f t="shared" si="173"/>
        <v>-6000</v>
      </c>
      <c r="V260" s="521"/>
      <c r="W260" s="443">
        <v>46199</v>
      </c>
      <c r="X260" s="452" t="s">
        <v>95</v>
      </c>
      <c r="Y260" s="444" t="s">
        <v>7451</v>
      </c>
      <c r="Z260" s="436"/>
      <c r="AA260" s="436"/>
      <c r="AB260" s="436"/>
      <c r="AC260" s="527" t="s">
        <v>7452</v>
      </c>
      <c r="AD260" s="617" t="s">
        <v>1059</v>
      </c>
      <c r="AE260" s="618">
        <v>1.1533</v>
      </c>
      <c r="AF260" s="619">
        <f t="shared" si="174"/>
        <v>6919.8</v>
      </c>
      <c r="AG260" s="620"/>
      <c r="AH260" s="437" t="s">
        <v>188</v>
      </c>
      <c r="AI260" s="437" t="s">
        <v>112</v>
      </c>
      <c r="AJ260" s="521"/>
      <c r="AK260" s="438">
        <f t="shared" si="175"/>
        <v>6000</v>
      </c>
      <c r="AL260" s="520"/>
      <c r="AM260" s="520"/>
      <c r="AN260" s="438">
        <f t="shared" si="176"/>
        <v>6000</v>
      </c>
      <c r="AO260" s="520"/>
      <c r="AP260" s="520"/>
      <c r="AQ260" s="520"/>
      <c r="AR260" s="520"/>
      <c r="AS260" s="520"/>
      <c r="AT260" s="520">
        <f>I260</f>
        <v>6000</v>
      </c>
      <c r="AU260" s="449"/>
      <c r="AV260" s="449"/>
      <c r="AW260" s="438"/>
      <c r="AX260" s="438"/>
      <c r="AY260" s="520"/>
      <c r="AZ260" s="520"/>
      <c r="BA260" s="520"/>
      <c r="BB260" s="520"/>
      <c r="BC260" s="520"/>
      <c r="BD260" s="520"/>
      <c r="BE260" s="520"/>
      <c r="BF260" s="438"/>
      <c r="BG260" s="438"/>
      <c r="BH260" s="520"/>
      <c r="BI260" s="520"/>
      <c r="BJ260" s="520"/>
      <c r="BK260" s="520"/>
      <c r="BL260" s="520">
        <f>I260/25</f>
        <v>240</v>
      </c>
      <c r="BM260" s="447"/>
      <c r="BN260" s="520"/>
      <c r="BO260" s="520"/>
      <c r="BP260" s="520"/>
      <c r="BQ260" s="520"/>
      <c r="BR260" s="520"/>
      <c r="BS260" s="520"/>
      <c r="BT260" s="520"/>
      <c r="BU260" s="520"/>
      <c r="BV260" s="520"/>
      <c r="BW260" s="520"/>
      <c r="BX260" s="520"/>
      <c r="BY260" s="520"/>
      <c r="BZ260" s="520"/>
      <c r="CA260" s="520"/>
      <c r="CB260" s="438">
        <f t="shared" si="177"/>
        <v>240</v>
      </c>
      <c r="CC260" s="438">
        <f t="shared" si="178"/>
        <v>0</v>
      </c>
      <c r="CD260" s="438">
        <f t="shared" si="179"/>
        <v>0</v>
      </c>
      <c r="CE260" s="438">
        <f t="shared" si="180"/>
        <v>0</v>
      </c>
      <c r="CF260" s="438"/>
      <c r="CG260" s="438"/>
      <c r="CH260" s="520"/>
      <c r="CI260" s="520"/>
      <c r="CJ260" s="520"/>
    </row>
    <row r="261" s="291" customFormat="1" ht="32.05" customHeight="1" spans="1:109">
      <c r="A261" s="435">
        <v>46203</v>
      </c>
      <c r="B261" s="436" t="s">
        <v>521</v>
      </c>
      <c r="C261" s="437" t="s">
        <v>101</v>
      </c>
      <c r="D261" s="562">
        <v>4500214355</v>
      </c>
      <c r="E261" s="442">
        <v>21802515</v>
      </c>
      <c r="F261" s="438" t="s">
        <v>7459</v>
      </c>
      <c r="G261" s="439" t="s">
        <v>510</v>
      </c>
      <c r="H261" s="437" t="s">
        <v>194</v>
      </c>
      <c r="I261" s="440">
        <v>221</v>
      </c>
      <c r="J261" s="437">
        <v>0</v>
      </c>
      <c r="K261" s="437">
        <v>13</v>
      </c>
      <c r="L261" s="441">
        <f t="shared" si="159"/>
        <v>17</v>
      </c>
      <c r="M261" s="445">
        <v>46279</v>
      </c>
      <c r="N261" s="445">
        <v>46275</v>
      </c>
      <c r="O261" s="445"/>
      <c r="P261" s="442"/>
      <c r="Q261" s="442"/>
      <c r="R261" s="437"/>
      <c r="S261" s="437"/>
      <c r="T261" s="442"/>
      <c r="U261" s="442">
        <f t="shared" si="173"/>
        <v>-221</v>
      </c>
      <c r="V261" s="437"/>
      <c r="W261" s="443" t="s">
        <v>3064</v>
      </c>
      <c r="X261" s="452" t="s">
        <v>107</v>
      </c>
      <c r="Y261" s="452" t="s">
        <v>3534</v>
      </c>
      <c r="Z261" s="436" t="s">
        <v>360</v>
      </c>
      <c r="AA261" s="436"/>
      <c r="AB261" s="436" t="s">
        <v>2376</v>
      </c>
      <c r="AC261" s="436" t="s">
        <v>7460</v>
      </c>
      <c r="AD261" s="445" t="s">
        <v>362</v>
      </c>
      <c r="AE261" s="438">
        <v>1.124</v>
      </c>
      <c r="AF261" s="446">
        <f t="shared" si="174"/>
        <v>248.404</v>
      </c>
      <c r="AG261" s="437"/>
      <c r="AH261" s="437" t="s">
        <v>510</v>
      </c>
      <c r="AI261" s="437" t="s">
        <v>112</v>
      </c>
      <c r="AJ261" s="437"/>
      <c r="AK261" s="438">
        <f t="shared" si="175"/>
        <v>221</v>
      </c>
      <c r="AL261" s="438"/>
      <c r="AM261" s="438"/>
      <c r="AN261" s="438">
        <f t="shared" si="176"/>
        <v>221</v>
      </c>
      <c r="AO261" s="438"/>
      <c r="AP261" s="447"/>
      <c r="AQ261" s="438"/>
      <c r="AR261" s="448"/>
      <c r="AS261" s="448"/>
      <c r="AT261" s="438"/>
      <c r="AU261" s="449">
        <f>I261*0.06*2</f>
        <v>26.52</v>
      </c>
      <c r="AV261" s="449"/>
      <c r="AW261" s="438">
        <f>I261</f>
        <v>221</v>
      </c>
      <c r="AX261" s="438"/>
      <c r="AY261" s="438"/>
      <c r="AZ261" s="438"/>
      <c r="BA261" s="438"/>
      <c r="BB261" s="438"/>
      <c r="BC261" s="438"/>
      <c r="BD261" s="438"/>
      <c r="BE261" s="438"/>
      <c r="BF261" s="438"/>
      <c r="BG261" s="438"/>
      <c r="BH261" s="438"/>
      <c r="BI261" s="438"/>
      <c r="BJ261" s="438"/>
      <c r="BK261" s="438"/>
      <c r="BL261" s="438"/>
      <c r="BM261" s="447"/>
      <c r="BN261" s="447">
        <f>I261/13</f>
        <v>17</v>
      </c>
      <c r="BO261" s="438"/>
      <c r="BP261" s="448"/>
      <c r="BQ261" s="448"/>
      <c r="BR261" s="438"/>
      <c r="BS261" s="438"/>
      <c r="BT261" s="447"/>
      <c r="BU261" s="438"/>
      <c r="BV261" s="438"/>
      <c r="BW261" s="438"/>
      <c r="BX261" s="438"/>
      <c r="BY261" s="438"/>
      <c r="BZ261" s="438"/>
      <c r="CA261" s="438"/>
      <c r="CB261" s="438">
        <f t="shared" si="177"/>
        <v>0</v>
      </c>
      <c r="CC261" s="438">
        <f t="shared" si="178"/>
        <v>0</v>
      </c>
      <c r="CD261" s="438">
        <f t="shared" si="179"/>
        <v>0</v>
      </c>
      <c r="CE261" s="438">
        <f t="shared" si="180"/>
        <v>0</v>
      </c>
      <c r="CF261" s="448"/>
      <c r="CG261" s="448"/>
      <c r="CH261" s="448"/>
      <c r="CI261" s="438"/>
      <c r="CJ261" s="438"/>
    </row>
    <row r="262" s="291" customFormat="1" ht="32.05" customHeight="1" spans="1:109">
      <c r="A262" s="435">
        <v>46203</v>
      </c>
      <c r="B262" s="436" t="s">
        <v>525</v>
      </c>
      <c r="C262" s="437" t="s">
        <v>508</v>
      </c>
      <c r="D262" s="562">
        <v>4500214354</v>
      </c>
      <c r="E262" s="442">
        <v>21802506</v>
      </c>
      <c r="F262" s="438" t="s">
        <v>7461</v>
      </c>
      <c r="G262" s="439" t="s">
        <v>510</v>
      </c>
      <c r="H262" s="437" t="s">
        <v>194</v>
      </c>
      <c r="I262" s="440">
        <v>2782</v>
      </c>
      <c r="J262" s="437">
        <v>0</v>
      </c>
      <c r="K262" s="437">
        <v>13</v>
      </c>
      <c r="L262" s="441">
        <f t="shared" si="159"/>
        <v>214</v>
      </c>
      <c r="M262" s="445">
        <v>46279</v>
      </c>
      <c r="N262" s="445">
        <v>46275</v>
      </c>
      <c r="O262" s="445"/>
      <c r="P262" s="442"/>
      <c r="Q262" s="442"/>
      <c r="R262" s="437"/>
      <c r="S262" s="437"/>
      <c r="T262" s="442"/>
      <c r="U262" s="442">
        <f t="shared" si="173"/>
        <v>-2782</v>
      </c>
      <c r="V262" s="437"/>
      <c r="W262" s="443" t="s">
        <v>3064</v>
      </c>
      <c r="X262" s="452" t="s">
        <v>107</v>
      </c>
      <c r="Y262" s="452" t="s">
        <v>3534</v>
      </c>
      <c r="Z262" s="436" t="s">
        <v>360</v>
      </c>
      <c r="AA262" s="436"/>
      <c r="AB262" s="436" t="s">
        <v>2376</v>
      </c>
      <c r="AC262" s="436" t="s">
        <v>3538</v>
      </c>
      <c r="AD262" s="445" t="s">
        <v>362</v>
      </c>
      <c r="AE262" s="438">
        <v>1.1039</v>
      </c>
      <c r="AF262" s="446">
        <f t="shared" si="174"/>
        <v>3071.0498</v>
      </c>
      <c r="AG262" s="437"/>
      <c r="AH262" s="437" t="s">
        <v>510</v>
      </c>
      <c r="AI262" s="437" t="s">
        <v>112</v>
      </c>
      <c r="AJ262" s="437"/>
      <c r="AK262" s="438">
        <f t="shared" si="175"/>
        <v>2782</v>
      </c>
      <c r="AL262" s="438"/>
      <c r="AM262" s="438"/>
      <c r="AN262" s="438">
        <f t="shared" si="176"/>
        <v>2782</v>
      </c>
      <c r="AO262" s="438"/>
      <c r="AP262" s="447"/>
      <c r="AQ262" s="438"/>
      <c r="AR262" s="448"/>
      <c r="AS262" s="448"/>
      <c r="AT262" s="438"/>
      <c r="AU262" s="449">
        <f>I262*0.06*2</f>
        <v>333.84</v>
      </c>
      <c r="AV262" s="449"/>
      <c r="AW262" s="438">
        <f>I262</f>
        <v>2782</v>
      </c>
      <c r="AX262" s="438"/>
      <c r="AY262" s="438"/>
      <c r="AZ262" s="438"/>
      <c r="BA262" s="438"/>
      <c r="BB262" s="438"/>
      <c r="BC262" s="438"/>
      <c r="BD262" s="438"/>
      <c r="BE262" s="438"/>
      <c r="BF262" s="438"/>
      <c r="BG262" s="438"/>
      <c r="BH262" s="438"/>
      <c r="BI262" s="438"/>
      <c r="BJ262" s="438"/>
      <c r="BK262" s="438"/>
      <c r="BL262" s="438"/>
      <c r="BM262" s="447"/>
      <c r="BN262" s="447">
        <f>I262/13</f>
        <v>214</v>
      </c>
      <c r="BO262" s="438"/>
      <c r="BP262" s="448"/>
      <c r="BQ262" s="448"/>
      <c r="BR262" s="438"/>
      <c r="BS262" s="438"/>
      <c r="BT262" s="447"/>
      <c r="BU262" s="438"/>
      <c r="BV262" s="438"/>
      <c r="BW262" s="438"/>
      <c r="BX262" s="438"/>
      <c r="BY262" s="438"/>
      <c r="BZ262" s="438"/>
      <c r="CA262" s="438"/>
      <c r="CB262" s="438">
        <f t="shared" si="177"/>
        <v>0</v>
      </c>
      <c r="CC262" s="438">
        <f t="shared" si="178"/>
        <v>0</v>
      </c>
      <c r="CD262" s="438">
        <f t="shared" si="179"/>
        <v>0</v>
      </c>
      <c r="CE262" s="438">
        <f t="shared" si="180"/>
        <v>0</v>
      </c>
      <c r="CF262" s="448"/>
      <c r="CG262" s="448"/>
      <c r="CH262" s="448"/>
      <c r="CI262" s="438"/>
      <c r="CJ262" s="438"/>
    </row>
    <row r="263" s="291" customFormat="1" ht="32.05" customHeight="1" spans="1:109">
      <c r="A263" s="435">
        <v>46217</v>
      </c>
      <c r="B263" s="436" t="s">
        <v>264</v>
      </c>
      <c r="C263" s="437" t="s">
        <v>265</v>
      </c>
      <c r="D263" s="438">
        <v>4500216475</v>
      </c>
      <c r="E263" s="442">
        <v>4400584550</v>
      </c>
      <c r="F263" s="438" t="s">
        <v>7462</v>
      </c>
      <c r="G263" s="439" t="s">
        <v>270</v>
      </c>
      <c r="H263" s="437" t="s">
        <v>104</v>
      </c>
      <c r="I263" s="440">
        <v>3300</v>
      </c>
      <c r="J263" s="437">
        <v>0</v>
      </c>
      <c r="K263" s="437">
        <v>25</v>
      </c>
      <c r="L263" s="441">
        <f t="shared" si="159"/>
        <v>132</v>
      </c>
      <c r="M263" s="445">
        <v>46237</v>
      </c>
      <c r="N263" s="434">
        <v>46235</v>
      </c>
      <c r="O263" s="445"/>
      <c r="P263" s="442" t="s">
        <v>2780</v>
      </c>
      <c r="Q263" s="442"/>
      <c r="R263" s="437" t="s">
        <v>1368</v>
      </c>
      <c r="S263" s="437"/>
      <c r="T263" s="442">
        <v>3300</v>
      </c>
      <c r="U263" s="442">
        <f t="shared" si="173"/>
        <v>0</v>
      </c>
      <c r="V263" s="437"/>
      <c r="W263" s="443">
        <v>46182</v>
      </c>
      <c r="X263" s="444" t="s">
        <v>95</v>
      </c>
      <c r="Y263" s="452" t="s">
        <v>1794</v>
      </c>
      <c r="Z263" s="436" t="s">
        <v>140</v>
      </c>
      <c r="AA263" s="436"/>
      <c r="AB263" s="436" t="s">
        <v>2189</v>
      </c>
      <c r="AC263" s="436" t="s">
        <v>2781</v>
      </c>
      <c r="AD263" s="445" t="s">
        <v>1142</v>
      </c>
      <c r="AE263" s="438">
        <v>1.0905</v>
      </c>
      <c r="AF263" s="446">
        <f>I263*AE263</f>
        <v>3598.65</v>
      </c>
      <c r="AG263" s="437"/>
      <c r="AH263" s="437" t="s">
        <v>270</v>
      </c>
      <c r="AI263" s="437" t="s">
        <v>112</v>
      </c>
      <c r="AJ263" s="437" t="s">
        <v>113</v>
      </c>
      <c r="AK263" s="438">
        <f t="shared" si="175"/>
        <v>3300</v>
      </c>
      <c r="AL263" s="438"/>
      <c r="AM263" s="438"/>
      <c r="AN263" s="438"/>
      <c r="AO263" s="438"/>
      <c r="AP263" s="447"/>
      <c r="AQ263" s="438"/>
      <c r="AR263" s="448"/>
      <c r="AS263" s="448"/>
      <c r="AT263" s="438"/>
      <c r="AU263" s="449">
        <f t="shared" ref="AU263:AU266" si="181">I263*0.06</f>
        <v>198</v>
      </c>
      <c r="AV263" s="449"/>
      <c r="AW263" s="438"/>
      <c r="AX263" s="438"/>
      <c r="AY263" s="438"/>
      <c r="AZ263" s="438"/>
      <c r="BA263" s="438"/>
      <c r="BB263" s="438"/>
      <c r="BC263" s="438"/>
      <c r="BD263" s="438"/>
      <c r="BE263" s="438"/>
      <c r="BF263" s="438">
        <f>I263</f>
        <v>3300</v>
      </c>
      <c r="BG263" s="438">
        <f>I263</f>
        <v>3300</v>
      </c>
      <c r="BH263" s="438"/>
      <c r="BI263" s="438"/>
      <c r="BJ263" s="438"/>
      <c r="BK263" s="438"/>
      <c r="BL263" s="438"/>
      <c r="BM263" s="471">
        <f>I263/25</f>
        <v>132</v>
      </c>
      <c r="BN263" s="447"/>
      <c r="BO263" s="438"/>
      <c r="BP263" s="448"/>
      <c r="BQ263" s="448"/>
      <c r="BR263" s="438"/>
      <c r="BS263" s="438"/>
      <c r="BT263" s="447"/>
      <c r="BU263" s="438"/>
      <c r="BV263" s="438"/>
      <c r="BW263" s="438"/>
      <c r="BX263" s="438"/>
      <c r="BY263" s="438"/>
      <c r="BZ263" s="438"/>
      <c r="CA263" s="438"/>
      <c r="CB263" s="438">
        <f t="shared" si="177"/>
        <v>132</v>
      </c>
      <c r="CC263" s="438">
        <f t="shared" si="178"/>
        <v>0</v>
      </c>
      <c r="CD263" s="438">
        <f t="shared" si="179"/>
        <v>0</v>
      </c>
      <c r="CE263" s="438">
        <f t="shared" si="180"/>
        <v>0</v>
      </c>
      <c r="CF263" s="448"/>
      <c r="CG263" s="448"/>
      <c r="CH263" s="448"/>
      <c r="CI263" s="438"/>
      <c r="CJ263" s="438"/>
      <c r="CK263" s="296"/>
      <c r="CL263" s="296"/>
      <c r="CM263" s="296"/>
      <c r="CN263" s="296"/>
      <c r="CO263" s="296"/>
      <c r="CP263" s="296"/>
      <c r="CQ263" s="296"/>
      <c r="CR263" s="296"/>
      <c r="CS263" s="296"/>
      <c r="CT263" s="296"/>
      <c r="CU263" s="296"/>
      <c r="CV263" s="296"/>
      <c r="CW263" s="296"/>
      <c r="CX263" s="296"/>
      <c r="CY263" s="296"/>
      <c r="CZ263" s="296"/>
      <c r="DA263" s="296"/>
      <c r="DB263" s="296"/>
      <c r="DC263" s="296"/>
      <c r="DD263" s="296"/>
      <c r="DE263" s="296"/>
    </row>
    <row r="264" s="301" customFormat="1" ht="31" customHeight="1" spans="1:109">
      <c r="A264" s="622">
        <v>46217</v>
      </c>
      <c r="B264" s="623" t="s">
        <v>264</v>
      </c>
      <c r="C264" s="624" t="s">
        <v>265</v>
      </c>
      <c r="D264" s="625">
        <v>4500216475</v>
      </c>
      <c r="E264" s="624">
        <v>4400584550</v>
      </c>
      <c r="F264" s="625" t="s">
        <v>7463</v>
      </c>
      <c r="G264" s="626" t="s">
        <v>3973</v>
      </c>
      <c r="H264" s="624" t="s">
        <v>3995</v>
      </c>
      <c r="I264" s="627">
        <v>2208</v>
      </c>
      <c r="J264" s="624">
        <v>0</v>
      </c>
      <c r="K264" s="624">
        <v>16</v>
      </c>
      <c r="L264" s="624">
        <f t="shared" si="159"/>
        <v>138</v>
      </c>
      <c r="M264" s="628">
        <v>46237</v>
      </c>
      <c r="N264" s="629">
        <v>46235</v>
      </c>
      <c r="O264" s="630" t="s">
        <v>2780</v>
      </c>
      <c r="P264" s="627" t="s">
        <v>1410</v>
      </c>
      <c r="Q264" s="627"/>
      <c r="R264" s="631">
        <v>46182</v>
      </c>
      <c r="S264" s="630" t="s">
        <v>107</v>
      </c>
      <c r="T264" s="630" t="s">
        <v>153</v>
      </c>
      <c r="U264" s="630"/>
      <c r="V264" s="630"/>
      <c r="W264" s="630"/>
      <c r="X264" s="630" t="s">
        <v>6217</v>
      </c>
      <c r="Y264" s="628" t="s">
        <v>1142</v>
      </c>
      <c r="Z264" s="632">
        <v>4.8226</v>
      </c>
      <c r="AA264" s="625">
        <f>I264*Z264</f>
        <v>10648.3008</v>
      </c>
      <c r="AB264" s="633"/>
      <c r="AC264" s="634" t="s">
        <v>4108</v>
      </c>
      <c r="AD264" s="624" t="s">
        <v>112</v>
      </c>
      <c r="AE264" s="624">
        <f>I264</f>
        <v>2208</v>
      </c>
      <c r="AF264" s="624"/>
      <c r="AG264" s="624">
        <v>2208</v>
      </c>
      <c r="AH264" s="624">
        <f>AG264-I264</f>
        <v>0</v>
      </c>
      <c r="AI264" s="627"/>
      <c r="AJ264" s="624" t="s">
        <v>3981</v>
      </c>
      <c r="AK264" s="625"/>
      <c r="AL264" s="625">
        <f>I264</f>
        <v>2208</v>
      </c>
      <c r="AM264" s="625"/>
      <c r="AN264" s="625">
        <f t="shared" ref="AN264:AN268" si="182">I264</f>
        <v>2208</v>
      </c>
      <c r="AO264" s="625"/>
      <c r="AP264" s="625"/>
      <c r="AQ264" s="625"/>
      <c r="AR264" s="625"/>
      <c r="AS264" s="625"/>
      <c r="AT264" s="625"/>
      <c r="AU264" s="625">
        <f>I264/8</f>
        <v>276</v>
      </c>
      <c r="AV264" s="625"/>
      <c r="AW264" s="625"/>
      <c r="AX264" s="625"/>
      <c r="AY264" s="625"/>
      <c r="AZ264" s="625"/>
      <c r="BA264" s="625"/>
      <c r="BB264" s="625"/>
      <c r="BC264" s="625"/>
      <c r="BD264" s="625"/>
      <c r="BE264" s="625"/>
      <c r="BF264" s="625"/>
      <c r="BG264" s="625"/>
      <c r="BH264" s="635"/>
      <c r="BI264" s="635"/>
      <c r="BJ264" s="635"/>
      <c r="BK264" s="635"/>
      <c r="BL264" s="635"/>
      <c r="BM264" s="635"/>
      <c r="BN264" s="635"/>
      <c r="BO264" s="635"/>
      <c r="BP264" s="635"/>
      <c r="BQ264" s="635"/>
      <c r="BR264" s="635"/>
      <c r="BS264" s="635"/>
      <c r="BT264" s="635"/>
      <c r="BU264" s="635"/>
      <c r="BV264" s="635"/>
      <c r="BW264" s="635"/>
      <c r="BX264" s="635"/>
      <c r="BY264" s="635"/>
      <c r="BZ264" s="635"/>
      <c r="CA264" s="635"/>
      <c r="CB264" s="635"/>
      <c r="CC264" s="635"/>
      <c r="CD264" s="635"/>
      <c r="CE264" s="635"/>
      <c r="CF264" s="635"/>
      <c r="CG264" s="635"/>
      <c r="CH264" s="635"/>
      <c r="CI264" s="635"/>
      <c r="CJ264" s="635"/>
      <c r="CK264" s="635"/>
      <c r="CL264" s="635"/>
      <c r="CM264" s="635"/>
      <c r="CN264" s="635"/>
      <c r="CO264" s="635"/>
      <c r="CP264" s="635"/>
      <c r="CQ264" s="635"/>
      <c r="CR264" s="635"/>
      <c r="CS264" s="635"/>
      <c r="CT264" s="635"/>
      <c r="CU264" s="635"/>
      <c r="CV264" s="635"/>
      <c r="CW264" s="635"/>
      <c r="CX264" s="635"/>
      <c r="CY264" s="635"/>
      <c r="CZ264" s="635"/>
      <c r="DA264" s="635"/>
      <c r="DB264" s="635"/>
    </row>
    <row r="265" s="291" customFormat="1" ht="32.05" customHeight="1" spans="1:109">
      <c r="A265" s="510">
        <v>46225</v>
      </c>
      <c r="B265" s="454" t="s">
        <v>378</v>
      </c>
      <c r="C265" s="455" t="s">
        <v>201</v>
      </c>
      <c r="D265" s="636">
        <v>4500217363</v>
      </c>
      <c r="E265" s="512">
        <v>2551020513</v>
      </c>
      <c r="F265" s="456" t="s">
        <v>7464</v>
      </c>
      <c r="G265" s="457" t="s">
        <v>380</v>
      </c>
      <c r="H265" s="455" t="s">
        <v>381</v>
      </c>
      <c r="I265" s="458">
        <v>12096</v>
      </c>
      <c r="J265" s="455">
        <v>0</v>
      </c>
      <c r="K265" s="455">
        <v>16</v>
      </c>
      <c r="L265" s="529">
        <f t="shared" si="159"/>
        <v>756</v>
      </c>
      <c r="M265" s="459">
        <v>46346</v>
      </c>
      <c r="N265" s="459">
        <v>46342</v>
      </c>
      <c r="O265" s="445"/>
      <c r="P265" s="512"/>
      <c r="Q265" s="512"/>
      <c r="R265" s="455"/>
      <c r="S265" s="455"/>
      <c r="T265" s="512"/>
      <c r="U265" s="442">
        <f t="shared" ref="U265:U267" si="183">T265-I265</f>
        <v>-12096</v>
      </c>
      <c r="V265" s="455"/>
      <c r="W265" s="443" t="s">
        <v>3064</v>
      </c>
      <c r="X265" s="452" t="s">
        <v>95</v>
      </c>
      <c r="Y265" s="452" t="s">
        <v>7465</v>
      </c>
      <c r="Z265" s="454"/>
      <c r="AA265" s="454"/>
      <c r="AB265" s="454"/>
      <c r="AC265" s="513" t="s">
        <v>7466</v>
      </c>
      <c r="AD265" s="459" t="s">
        <v>384</v>
      </c>
      <c r="AE265" s="456">
        <v>1.1511</v>
      </c>
      <c r="AF265" s="533">
        <f>AE265*I265</f>
        <v>13923.7056</v>
      </c>
      <c r="AG265" s="455"/>
      <c r="AH265" s="439" t="s">
        <v>385</v>
      </c>
      <c r="AI265" s="437" t="s">
        <v>112</v>
      </c>
      <c r="AJ265" s="455"/>
      <c r="AK265" s="438">
        <f>I265*2</f>
        <v>24192</v>
      </c>
      <c r="AL265" s="456"/>
      <c r="AM265" s="456"/>
      <c r="AN265" s="438"/>
      <c r="AO265" s="438">
        <f>I265</f>
        <v>12096</v>
      </c>
      <c r="AP265" s="447"/>
      <c r="AQ265" s="438"/>
      <c r="AR265" s="448"/>
      <c r="AS265" s="448"/>
      <c r="AT265" s="438">
        <f>I265</f>
        <v>12096</v>
      </c>
      <c r="AU265" s="516">
        <f t="shared" si="181"/>
        <v>725.76</v>
      </c>
      <c r="AV265" s="516"/>
      <c r="AW265" s="456"/>
      <c r="AX265" s="456"/>
      <c r="AY265" s="438"/>
      <c r="AZ265" s="438"/>
      <c r="BA265" s="456"/>
      <c r="BB265" s="456"/>
      <c r="BC265" s="456"/>
      <c r="BD265" s="456"/>
      <c r="BE265" s="456"/>
      <c r="BF265" s="456"/>
      <c r="BG265" s="456"/>
      <c r="BH265" s="456"/>
      <c r="BI265" s="456"/>
      <c r="BJ265" s="456"/>
      <c r="BK265" s="456"/>
      <c r="BL265" s="438"/>
      <c r="BM265" s="517"/>
      <c r="BN265" s="517"/>
      <c r="BO265" s="456"/>
      <c r="BP265" s="518"/>
      <c r="BQ265" s="438">
        <f>I265/16</f>
        <v>756</v>
      </c>
      <c r="BR265" s="456"/>
      <c r="BS265" s="456"/>
      <c r="BT265" s="517"/>
      <c r="BU265" s="456"/>
      <c r="BV265" s="456"/>
      <c r="BW265" s="456"/>
      <c r="BX265" s="456"/>
      <c r="BY265" s="456"/>
      <c r="BZ265" s="456"/>
      <c r="CA265" s="456"/>
      <c r="CB265" s="438">
        <f t="shared" ref="CB265:CB267" si="184">BL265+BM265+BO265+BQ265+BP265</f>
        <v>756</v>
      </c>
      <c r="CC265" s="438">
        <f t="shared" ref="CC265:CC267" si="185">BS265</f>
        <v>0</v>
      </c>
      <c r="CD265" s="438">
        <f t="shared" ref="CD265:CD267" si="186">CA265</f>
        <v>0</v>
      </c>
      <c r="CE265" s="438">
        <f t="shared" ref="CE265:CE267" si="187">BT265+BU265+BV265</f>
        <v>0</v>
      </c>
      <c r="CF265" s="518"/>
      <c r="CG265" s="518"/>
      <c r="CH265" s="518"/>
      <c r="CI265" s="456"/>
      <c r="CJ265" s="456"/>
    </row>
    <row r="266" s="291" customFormat="1" ht="32.05" customHeight="1" spans="1:109">
      <c r="A266" s="435">
        <v>46225</v>
      </c>
      <c r="B266" s="454" t="s">
        <v>378</v>
      </c>
      <c r="C266" s="455" t="s">
        <v>201</v>
      </c>
      <c r="D266" s="636">
        <v>4500217362</v>
      </c>
      <c r="E266" s="512">
        <v>2551020512</v>
      </c>
      <c r="F266" s="456" t="s">
        <v>7467</v>
      </c>
      <c r="G266" s="457" t="s">
        <v>380</v>
      </c>
      <c r="H266" s="455" t="s">
        <v>381</v>
      </c>
      <c r="I266" s="458">
        <v>18144</v>
      </c>
      <c r="J266" s="455">
        <v>0</v>
      </c>
      <c r="K266" s="455">
        <v>16</v>
      </c>
      <c r="L266" s="441">
        <f t="shared" si="159"/>
        <v>1134</v>
      </c>
      <c r="M266" s="459">
        <v>46325</v>
      </c>
      <c r="N266" s="459">
        <v>46321</v>
      </c>
      <c r="O266" s="459"/>
      <c r="P266" s="442"/>
      <c r="Q266" s="442"/>
      <c r="R266" s="437"/>
      <c r="S266" s="437"/>
      <c r="T266" s="442"/>
      <c r="U266" s="442">
        <f t="shared" si="183"/>
        <v>-18144</v>
      </c>
      <c r="V266" s="437"/>
      <c r="W266" s="443" t="s">
        <v>3064</v>
      </c>
      <c r="X266" s="452" t="s">
        <v>95</v>
      </c>
      <c r="Y266" s="452" t="s">
        <v>7465</v>
      </c>
      <c r="Z266" s="436"/>
      <c r="AA266" s="436"/>
      <c r="AB266" s="436"/>
      <c r="AC266" s="513" t="s">
        <v>7468</v>
      </c>
      <c r="AD266" s="459" t="s">
        <v>384</v>
      </c>
      <c r="AE266" s="438">
        <v>1.1511</v>
      </c>
      <c r="AF266" s="446">
        <f>AE266*I266</f>
        <v>20885.5584</v>
      </c>
      <c r="AG266" s="437"/>
      <c r="AH266" s="439" t="s">
        <v>385</v>
      </c>
      <c r="AI266" s="437" t="s">
        <v>112</v>
      </c>
      <c r="AJ266" s="437"/>
      <c r="AK266" s="438">
        <f>I266*2</f>
        <v>36288</v>
      </c>
      <c r="AL266" s="438"/>
      <c r="AM266" s="438"/>
      <c r="AN266" s="520"/>
      <c r="AO266" s="438">
        <f>I266</f>
        <v>18144</v>
      </c>
      <c r="AP266" s="447"/>
      <c r="AQ266" s="438"/>
      <c r="AR266" s="448"/>
      <c r="AS266" s="448"/>
      <c r="AT266" s="438">
        <f>I266</f>
        <v>18144</v>
      </c>
      <c r="AU266" s="516">
        <f t="shared" si="181"/>
        <v>1088.64</v>
      </c>
      <c r="AV266" s="449"/>
      <c r="AW266" s="438"/>
      <c r="AX266" s="438"/>
      <c r="AY266" s="438"/>
      <c r="AZ266" s="438"/>
      <c r="BA266" s="438"/>
      <c r="BB266" s="438"/>
      <c r="BC266" s="438"/>
      <c r="BD266" s="438"/>
      <c r="BE266" s="438"/>
      <c r="BF266" s="438"/>
      <c r="BG266" s="438"/>
      <c r="BH266" s="438"/>
      <c r="BI266" s="438"/>
      <c r="BJ266" s="438"/>
      <c r="BK266" s="438"/>
      <c r="BL266" s="438"/>
      <c r="BM266" s="447"/>
      <c r="BN266" s="447"/>
      <c r="BO266" s="438"/>
      <c r="BP266" s="448"/>
      <c r="BQ266" s="438">
        <f>I266/16</f>
        <v>1134</v>
      </c>
      <c r="BR266" s="438"/>
      <c r="BS266" s="438"/>
      <c r="BT266" s="447"/>
      <c r="BU266" s="438"/>
      <c r="BV266" s="438"/>
      <c r="BW266" s="438"/>
      <c r="BX266" s="438"/>
      <c r="BY266" s="438"/>
      <c r="BZ266" s="438"/>
      <c r="CA266" s="438"/>
      <c r="CB266" s="438">
        <f t="shared" si="184"/>
        <v>1134</v>
      </c>
      <c r="CC266" s="438">
        <f t="shared" si="185"/>
        <v>0</v>
      </c>
      <c r="CD266" s="438">
        <f t="shared" si="186"/>
        <v>0</v>
      </c>
      <c r="CE266" s="438">
        <f t="shared" si="187"/>
        <v>0</v>
      </c>
      <c r="CF266" s="448"/>
      <c r="CG266" s="448"/>
      <c r="CH266" s="448"/>
      <c r="CI266" s="438"/>
      <c r="CJ266" s="438"/>
    </row>
    <row r="267" s="296" customFormat="1" ht="32.05" customHeight="1" spans="1:109">
      <c r="A267" s="435">
        <v>46211</v>
      </c>
      <c r="B267" s="436" t="s">
        <v>3788</v>
      </c>
      <c r="C267" s="437" t="s">
        <v>508</v>
      </c>
      <c r="D267" s="562">
        <v>4500215474</v>
      </c>
      <c r="E267" s="442">
        <v>86950</v>
      </c>
      <c r="F267" s="438" t="s">
        <v>7469</v>
      </c>
      <c r="G267" s="439" t="s">
        <v>604</v>
      </c>
      <c r="H267" s="437" t="s">
        <v>893</v>
      </c>
      <c r="I267" s="440">
        <v>5000</v>
      </c>
      <c r="J267" s="437">
        <v>0</v>
      </c>
      <c r="K267" s="437">
        <v>25</v>
      </c>
      <c r="L267" s="441">
        <f t="shared" si="159"/>
        <v>200</v>
      </c>
      <c r="M267" s="445">
        <v>46303</v>
      </c>
      <c r="N267" s="445">
        <v>46300</v>
      </c>
      <c r="O267" s="445" t="s">
        <v>7470</v>
      </c>
      <c r="P267" s="442"/>
      <c r="Q267" s="442"/>
      <c r="R267" s="437"/>
      <c r="S267" s="437"/>
      <c r="T267" s="442"/>
      <c r="U267" s="442">
        <f t="shared" si="183"/>
        <v>-5000</v>
      </c>
      <c r="V267" s="437"/>
      <c r="W267" s="443" t="s">
        <v>3064</v>
      </c>
      <c r="X267" s="452" t="s">
        <v>95</v>
      </c>
      <c r="Y267" s="452" t="s">
        <v>1886</v>
      </c>
      <c r="Z267" s="436" t="s">
        <v>3147</v>
      </c>
      <c r="AA267" s="436"/>
      <c r="AB267" s="436"/>
      <c r="AC267" s="436" t="s">
        <v>3790</v>
      </c>
      <c r="AD267" s="445" t="s">
        <v>2378</v>
      </c>
      <c r="AE267" s="438">
        <v>1.1031</v>
      </c>
      <c r="AF267" s="446">
        <f>AE267*L267</f>
        <v>220.62</v>
      </c>
      <c r="AG267" s="437"/>
      <c r="AH267" s="437" t="s">
        <v>1304</v>
      </c>
      <c r="AI267" s="437" t="s">
        <v>112</v>
      </c>
      <c r="AJ267" s="437"/>
      <c r="AK267" s="438">
        <f>I267</f>
        <v>5000</v>
      </c>
      <c r="AL267" s="438"/>
      <c r="AM267" s="438"/>
      <c r="AN267" s="438">
        <f t="shared" si="182"/>
        <v>5000</v>
      </c>
      <c r="AO267" s="438"/>
      <c r="AP267" s="447"/>
      <c r="AQ267" s="438"/>
      <c r="AR267" s="448"/>
      <c r="AS267" s="448"/>
      <c r="AT267" s="438"/>
      <c r="AU267" s="449">
        <f>I267*0.06*2</f>
        <v>600</v>
      </c>
      <c r="AV267" s="449"/>
      <c r="AW267" s="438">
        <f>I267</f>
        <v>5000</v>
      </c>
      <c r="AX267" s="438"/>
      <c r="AY267" s="438"/>
      <c r="AZ267" s="438"/>
      <c r="BA267" s="438"/>
      <c r="BB267" s="438"/>
      <c r="BC267" s="438"/>
      <c r="BD267" s="438"/>
      <c r="BE267" s="438"/>
      <c r="BF267" s="438"/>
      <c r="BG267" s="438"/>
      <c r="BH267" s="438"/>
      <c r="BI267" s="438"/>
      <c r="BJ267" s="438"/>
      <c r="BK267" s="438"/>
      <c r="BL267" s="438"/>
      <c r="BM267" s="447"/>
      <c r="BN267" s="447"/>
      <c r="BO267" s="438">
        <f>I267/25</f>
        <v>200</v>
      </c>
      <c r="BP267" s="448"/>
      <c r="BQ267" s="448"/>
      <c r="BR267" s="438"/>
      <c r="BS267" s="438"/>
      <c r="BT267" s="447"/>
      <c r="BU267" s="438"/>
      <c r="BV267" s="438"/>
      <c r="BW267" s="438"/>
      <c r="BX267" s="438"/>
      <c r="BY267" s="438"/>
      <c r="BZ267" s="438"/>
      <c r="CA267" s="438"/>
      <c r="CB267" s="438">
        <f t="shared" si="184"/>
        <v>200</v>
      </c>
      <c r="CC267" s="438">
        <f t="shared" si="185"/>
        <v>0</v>
      </c>
      <c r="CD267" s="438">
        <f t="shared" si="186"/>
        <v>0</v>
      </c>
      <c r="CE267" s="438">
        <f t="shared" si="187"/>
        <v>0</v>
      </c>
      <c r="CF267" s="448"/>
      <c r="CG267" s="448"/>
      <c r="CH267" s="448"/>
      <c r="CI267" s="438"/>
      <c r="CJ267" s="438"/>
      <c r="CK267" s="291"/>
      <c r="CL267" s="291"/>
      <c r="CM267" s="291"/>
      <c r="CN267" s="291"/>
      <c r="CO267" s="291"/>
      <c r="CP267" s="291"/>
      <c r="CQ267" s="291"/>
      <c r="CR267" s="291"/>
      <c r="CS267" s="291"/>
      <c r="CT267" s="291"/>
      <c r="CU267" s="291"/>
      <c r="CV267" s="291"/>
      <c r="CW267" s="291"/>
      <c r="CX267" s="291"/>
      <c r="CY267" s="291"/>
      <c r="CZ267" s="291"/>
      <c r="DA267" s="291"/>
      <c r="DB267" s="291"/>
      <c r="DC267" s="291"/>
      <c r="DD267" s="291"/>
      <c r="DE267" s="291"/>
    </row>
    <row r="268" s="302" customFormat="1" ht="31" customHeight="1" spans="1:109">
      <c r="A268" s="637">
        <v>46217</v>
      </c>
      <c r="B268" s="638" t="s">
        <v>264</v>
      </c>
      <c r="C268" s="639" t="s">
        <v>265</v>
      </c>
      <c r="D268" s="302">
        <v>4500216448</v>
      </c>
      <c r="E268" s="639">
        <v>4400577343</v>
      </c>
      <c r="F268" s="302" t="s">
        <v>7471</v>
      </c>
      <c r="G268" s="640" t="s">
        <v>3973</v>
      </c>
      <c r="H268" s="639" t="s">
        <v>3995</v>
      </c>
      <c r="I268" s="641">
        <v>7408</v>
      </c>
      <c r="J268" s="639">
        <v>0</v>
      </c>
      <c r="K268" s="639">
        <v>16</v>
      </c>
      <c r="L268" s="639">
        <f t="shared" si="159"/>
        <v>463</v>
      </c>
      <c r="M268" s="642">
        <v>46258</v>
      </c>
      <c r="N268" s="643">
        <v>46256</v>
      </c>
      <c r="O268" s="644" t="s">
        <v>3208</v>
      </c>
      <c r="P268" s="641"/>
      <c r="Q268" s="641"/>
      <c r="R268" s="631">
        <v>46185</v>
      </c>
      <c r="S268" s="630" t="s">
        <v>107</v>
      </c>
      <c r="T268" s="645" t="s">
        <v>153</v>
      </c>
      <c r="U268" s="645"/>
      <c r="V268" s="644"/>
      <c r="W268" s="644"/>
      <c r="X268" s="644" t="s">
        <v>5591</v>
      </c>
      <c r="Y268" s="642" t="s">
        <v>1142</v>
      </c>
      <c r="Z268" s="646">
        <v>4.8121</v>
      </c>
      <c r="AA268" s="302">
        <f>I268*Z268</f>
        <v>35648.0368</v>
      </c>
      <c r="AB268" s="647"/>
      <c r="AC268" s="648" t="s">
        <v>4108</v>
      </c>
      <c r="AD268" s="639" t="s">
        <v>112</v>
      </c>
      <c r="AE268" s="639">
        <f>I268</f>
        <v>7408</v>
      </c>
      <c r="AF268" s="639"/>
      <c r="AG268" s="639"/>
      <c r="AH268" s="624">
        <f>AG268-I268</f>
        <v>-7408</v>
      </c>
      <c r="AI268" s="641"/>
      <c r="AJ268" s="624" t="s">
        <v>3981</v>
      </c>
      <c r="AK268" s="625"/>
      <c r="AL268" s="625">
        <f>I268</f>
        <v>7408</v>
      </c>
      <c r="AM268" s="625"/>
      <c r="AN268" s="625">
        <f t="shared" si="182"/>
        <v>7408</v>
      </c>
      <c r="AP268" s="625"/>
      <c r="AU268" s="625">
        <f>I268/8</f>
        <v>926</v>
      </c>
      <c r="AV268" s="625"/>
      <c r="AW268" s="625"/>
      <c r="BG268" s="625"/>
    </row>
  </sheetData>
  <sheetProtection formatCells="0" formatColumns="0" formatRows="0" insertRows="0" insertColumns="0" insertHyperlinks="0" deleteColumns="0" deleteRows="0" sort="0" autoFilter="0" pivotTables="0"/>
  <autoFilter xmlns:etc="http://www.wps.cn/officeDocument/2017/etCustomData" ref="A1:CV268" etc:filterBottomFollowUsedRange="0">
    <extLst/>
  </autoFilter>
  <conditionalFormatting sqref="R1:V1">
    <cfRule type="cellIs" dxfId="0" priority="2429" operator="equal">
      <formula>"欠"</formula>
    </cfRule>
  </conditionalFormatting>
  <conditionalFormatting sqref="R1">
    <cfRule type="containsText" dxfId="0" priority="2421" operator="between" text="欠">
      <formula>NOT(ISERROR(SEARCH("欠",R1)))</formula>
    </cfRule>
  </conditionalFormatting>
  <conditionalFormatting sqref="T1">
    <cfRule type="containsText" dxfId="1" priority="2423" operator="between" text="欠">
      <formula>NOT(ISERROR(SEARCH("欠",T1)))</formula>
    </cfRule>
    <cfRule type="containsText" dxfId="0" priority="2422" operator="between" text="欠">
      <formula>NOT(ISERROR(SEARCH("欠",T1)))</formula>
    </cfRule>
  </conditionalFormatting>
  <conditionalFormatting sqref="AB1">
    <cfRule type="cellIs" dxfId="0" priority="2424" operator="equal">
      <formula>"未完成"</formula>
    </cfRule>
  </conditionalFormatting>
  <conditionalFormatting sqref="AC1:AD1">
    <cfRule type="cellIs" dxfId="0" priority="2425" operator="equal">
      <formula>"未完成"</formula>
    </cfRule>
  </conditionalFormatting>
  <conditionalFormatting sqref="AE1">
    <cfRule type="cellIs" dxfId="0" priority="2426" operator="equal">
      <formula>"未完成"</formula>
    </cfRule>
  </conditionalFormatting>
  <conditionalFormatting sqref="AF1:AJ1">
    <cfRule type="cellIs" dxfId="0" priority="2428" operator="equal">
      <formula>"未完成"</formula>
    </cfRule>
    <cfRule type="cellIs" dxfId="2" priority="2427" operator="equal">
      <formula>"未完成"</formula>
    </cfRule>
  </conditionalFormatting>
  <conditionalFormatting sqref="U2:W2">
    <cfRule type="cellIs" dxfId="0" priority="2411" operator="equal">
      <formula>"欠"</formula>
    </cfRule>
  </conditionalFormatting>
  <conditionalFormatting sqref="U2:V2">
    <cfRule type="containsText" dxfId="1" priority="2397" operator="between" text="欠">
      <formula>NOT(ISERROR(SEARCH("欠",U2)))</formula>
    </cfRule>
    <cfRule type="containsText" dxfId="0" priority="2390" operator="between" text="欠">
      <formula>NOT(ISERROR(SEARCH("欠",U2)))</formula>
    </cfRule>
  </conditionalFormatting>
  <conditionalFormatting sqref="AG2">
    <cfRule type="cellIs" dxfId="0" priority="2404" operator="equal">
      <formula>"未完成"</formula>
    </cfRule>
  </conditionalFormatting>
  <conditionalFormatting sqref="U3:W3">
    <cfRule type="cellIs" dxfId="0" priority="2415" operator="equal">
      <formula>"欠"</formula>
    </cfRule>
  </conditionalFormatting>
  <conditionalFormatting sqref="U3:V3">
    <cfRule type="containsText" dxfId="1" priority="2401" operator="between" text="欠">
      <formula>NOT(ISERROR(SEARCH("欠",U3)))</formula>
    </cfRule>
    <cfRule type="containsText" dxfId="0" priority="2394" operator="between" text="欠">
      <formula>NOT(ISERROR(SEARCH("欠",U3)))</formula>
    </cfRule>
  </conditionalFormatting>
  <conditionalFormatting sqref="AG3">
    <cfRule type="cellIs" dxfId="0" priority="2408" operator="equal">
      <formula>"未完成"</formula>
    </cfRule>
  </conditionalFormatting>
  <conditionalFormatting sqref="U4:W4">
    <cfRule type="cellIs" dxfId="0" priority="2416" operator="equal">
      <formula>"欠"</formula>
    </cfRule>
  </conditionalFormatting>
  <conditionalFormatting sqref="U4:V4">
    <cfRule type="containsText" dxfId="1" priority="2402" operator="between" text="欠">
      <formula>NOT(ISERROR(SEARCH("欠",U4)))</formula>
    </cfRule>
    <cfRule type="containsText" dxfId="0" priority="2395" operator="between" text="欠">
      <formula>NOT(ISERROR(SEARCH("欠",U4)))</formula>
    </cfRule>
  </conditionalFormatting>
  <conditionalFormatting sqref="AG4">
    <cfRule type="cellIs" dxfId="0" priority="2409" operator="equal">
      <formula>"未完成"</formula>
    </cfRule>
  </conditionalFormatting>
  <conditionalFormatting sqref="U5:W5">
    <cfRule type="cellIs" dxfId="0" priority="2413" operator="equal">
      <formula>"欠"</formula>
    </cfRule>
  </conditionalFormatting>
  <conditionalFormatting sqref="U5:V5">
    <cfRule type="containsText" dxfId="1" priority="2399" operator="between" text="欠">
      <formula>NOT(ISERROR(SEARCH("欠",U5)))</formula>
    </cfRule>
    <cfRule type="containsText" dxfId="0" priority="2392" operator="between" text="欠">
      <formula>NOT(ISERROR(SEARCH("欠",U5)))</formula>
    </cfRule>
  </conditionalFormatting>
  <conditionalFormatting sqref="AG5">
    <cfRule type="cellIs" dxfId="0" priority="2406" operator="equal">
      <formula>"未完成"</formula>
    </cfRule>
  </conditionalFormatting>
  <conditionalFormatting sqref="U6:W6">
    <cfRule type="cellIs" dxfId="0" priority="2414" operator="equal">
      <formula>"欠"</formula>
    </cfRule>
  </conditionalFormatting>
  <conditionalFormatting sqref="U6:V6">
    <cfRule type="containsText" dxfId="1" priority="2400" operator="between" text="欠">
      <formula>NOT(ISERROR(SEARCH("欠",U6)))</formula>
    </cfRule>
    <cfRule type="containsText" dxfId="0" priority="2393" operator="between" text="欠">
      <formula>NOT(ISERROR(SEARCH("欠",U6)))</formula>
    </cfRule>
  </conditionalFormatting>
  <conditionalFormatting sqref="AG6">
    <cfRule type="cellIs" dxfId="0" priority="2407" operator="equal">
      <formula>"未完成"</formula>
    </cfRule>
  </conditionalFormatting>
  <conditionalFormatting sqref="U7:W7">
    <cfRule type="cellIs" dxfId="0" priority="2417" operator="equal">
      <formula>"欠"</formula>
    </cfRule>
  </conditionalFormatting>
  <conditionalFormatting sqref="U7:V7">
    <cfRule type="containsText" dxfId="1" priority="2403" operator="between" text="欠">
      <formula>NOT(ISERROR(SEARCH("欠",U7)))</formula>
    </cfRule>
    <cfRule type="containsText" dxfId="0" priority="2396" operator="between" text="欠">
      <formula>NOT(ISERROR(SEARCH("欠",U7)))</formula>
    </cfRule>
  </conditionalFormatting>
  <conditionalFormatting sqref="AG7">
    <cfRule type="cellIs" dxfId="0" priority="2410" operator="equal">
      <formula>"未完成"</formula>
    </cfRule>
  </conditionalFormatting>
  <conditionalFormatting sqref="U8:W8">
    <cfRule type="cellIs" dxfId="0" priority="2412" operator="equal">
      <formula>"欠"</formula>
    </cfRule>
  </conditionalFormatting>
  <conditionalFormatting sqref="U8:V8">
    <cfRule type="containsText" dxfId="1" priority="2398" operator="between" text="欠">
      <formula>NOT(ISERROR(SEARCH("欠",U8)))</formula>
    </cfRule>
    <cfRule type="containsText" dxfId="0" priority="2391" operator="between" text="欠">
      <formula>NOT(ISERROR(SEARCH("欠",U8)))</formula>
    </cfRule>
  </conditionalFormatting>
  <conditionalFormatting sqref="AG8">
    <cfRule type="cellIs" dxfId="0" priority="2405" operator="equal">
      <formula>"未完成"</formula>
    </cfRule>
  </conditionalFormatting>
  <conditionalFormatting sqref="R9">
    <cfRule type="containsText" dxfId="0" priority="2353" operator="between" text="欠">
      <formula>NOT(ISERROR(SEARCH("欠",R9)))</formula>
    </cfRule>
  </conditionalFormatting>
  <conditionalFormatting sqref="S9">
    <cfRule type="cellIs" dxfId="0" priority="2371" operator="equal">
      <formula>"欠"</formula>
    </cfRule>
    <cfRule type="containsText" dxfId="0" priority="2357" operator="between" text="欠">
      <formula>NOT(ISERROR(SEARCH("欠",S9)))</formula>
    </cfRule>
  </conditionalFormatting>
  <conditionalFormatting sqref="T9">
    <cfRule type="cellIs" dxfId="0" priority="2355" operator="equal">
      <formula>"欠"</formula>
    </cfRule>
    <cfRule type="containsText" dxfId="0" priority="2351" operator="between" text="欠">
      <formula>NOT(ISERROR(SEARCH("欠",T9)))</formula>
    </cfRule>
  </conditionalFormatting>
  <conditionalFormatting sqref="U9:W9">
    <cfRule type="cellIs" dxfId="0" priority="2365" operator="equal">
      <formula>"欠"</formula>
    </cfRule>
  </conditionalFormatting>
  <conditionalFormatting sqref="U9:V9">
    <cfRule type="containsText" dxfId="1" priority="2361" operator="between" text="欠">
      <formula>NOT(ISERROR(SEARCH("欠",U9)))</formula>
    </cfRule>
    <cfRule type="containsText" dxfId="0" priority="2359" operator="between" text="欠">
      <formula>NOT(ISERROR(SEARCH("欠",U9)))</formula>
    </cfRule>
  </conditionalFormatting>
  <conditionalFormatting sqref="AG9">
    <cfRule type="cellIs" dxfId="0" priority="2363" operator="equal">
      <formula>"未完成"</formula>
    </cfRule>
  </conditionalFormatting>
  <conditionalFormatting sqref="AK9">
    <cfRule type="cellIs" dxfId="0" priority="2369" operator="equal">
      <formula>"未完成"</formula>
    </cfRule>
    <cfRule type="cellIs" dxfId="2" priority="2367" operator="equal">
      <formula>"未完成"</formula>
    </cfRule>
  </conditionalFormatting>
  <conditionalFormatting sqref="R10">
    <cfRule type="containsText" dxfId="0" priority="2352" operator="between" text="欠">
      <formula>NOT(ISERROR(SEARCH("欠",R10)))</formula>
    </cfRule>
  </conditionalFormatting>
  <conditionalFormatting sqref="S10">
    <cfRule type="cellIs" dxfId="0" priority="2370" operator="equal">
      <formula>"欠"</formula>
    </cfRule>
    <cfRule type="containsText" dxfId="0" priority="2356" operator="between" text="欠">
      <formula>NOT(ISERROR(SEARCH("欠",S10)))</formula>
    </cfRule>
  </conditionalFormatting>
  <conditionalFormatting sqref="T10">
    <cfRule type="cellIs" dxfId="0" priority="2354" operator="equal">
      <formula>"欠"</formula>
    </cfRule>
    <cfRule type="containsText" dxfId="0" priority="2350" operator="between" text="欠">
      <formula>NOT(ISERROR(SEARCH("欠",T10)))</formula>
    </cfRule>
  </conditionalFormatting>
  <conditionalFormatting sqref="U10:W10">
    <cfRule type="cellIs" dxfId="0" priority="2364" operator="equal">
      <formula>"欠"</formula>
    </cfRule>
  </conditionalFormatting>
  <conditionalFormatting sqref="U10:V10">
    <cfRule type="containsText" dxfId="1" priority="2360" operator="between" text="欠">
      <formula>NOT(ISERROR(SEARCH("欠",U10)))</formula>
    </cfRule>
    <cfRule type="containsText" dxfId="0" priority="2358" operator="between" text="欠">
      <formula>NOT(ISERROR(SEARCH("欠",U10)))</formula>
    </cfRule>
  </conditionalFormatting>
  <conditionalFormatting sqref="AG10">
    <cfRule type="cellIs" dxfId="0" priority="2362" operator="equal">
      <formula>"未完成"</formula>
    </cfRule>
  </conditionalFormatting>
  <conditionalFormatting sqref="AK10">
    <cfRule type="cellIs" dxfId="0" priority="2368" operator="equal">
      <formula>"未完成"</formula>
    </cfRule>
    <cfRule type="cellIs" dxfId="2" priority="2366" operator="equal">
      <formula>"未完成"</formula>
    </cfRule>
  </conditionalFormatting>
  <conditionalFormatting sqref="R13">
    <cfRule type="containsText" dxfId="0" priority="2340" operator="between" text="欠">
      <formula>NOT(ISERROR(SEARCH("欠",R13)))</formula>
    </cfRule>
  </conditionalFormatting>
  <conditionalFormatting sqref="S13">
    <cfRule type="cellIs" dxfId="0" priority="2349" operator="equal">
      <formula>"欠"</formula>
    </cfRule>
    <cfRule type="containsText" dxfId="0" priority="2343" operator="between" text="欠">
      <formula>NOT(ISERROR(SEARCH("欠",S13)))</formula>
    </cfRule>
  </conditionalFormatting>
  <conditionalFormatting sqref="T13">
    <cfRule type="cellIs" dxfId="0" priority="2342" operator="equal">
      <formula>"欠"</formula>
    </cfRule>
    <cfRule type="containsText" dxfId="0" priority="2341" operator="between" text="欠">
      <formula>NOT(ISERROR(SEARCH("欠",T13)))</formula>
    </cfRule>
  </conditionalFormatting>
  <conditionalFormatting sqref="U13:W13">
    <cfRule type="cellIs" dxfId="0" priority="2346" operator="equal">
      <formula>"欠"</formula>
    </cfRule>
  </conditionalFormatting>
  <conditionalFormatting sqref="U13:V13">
    <cfRule type="containsText" dxfId="1" priority="2345" operator="between" text="欠">
      <formula>NOT(ISERROR(SEARCH("欠",U13)))</formula>
    </cfRule>
    <cfRule type="containsText" dxfId="0" priority="2344" operator="between" text="欠">
      <formula>NOT(ISERROR(SEARCH("欠",U13)))</formula>
    </cfRule>
  </conditionalFormatting>
  <conditionalFormatting sqref="AG13">
    <cfRule type="cellIs" dxfId="0" priority="2339" operator="equal">
      <formula>"未完成"</formula>
    </cfRule>
  </conditionalFormatting>
  <conditionalFormatting sqref="AK13">
    <cfRule type="cellIs" dxfId="0" priority="2348" operator="equal">
      <formula>"未完成"</formula>
    </cfRule>
    <cfRule type="cellIs" dxfId="2" priority="2347" operator="equal">
      <formula>"未完成"</formula>
    </cfRule>
  </conditionalFormatting>
  <conditionalFormatting sqref="R14">
    <cfRule type="containsText" dxfId="0" priority="2335" operator="between" text="欠">
      <formula>NOT(ISERROR(SEARCH("欠",R14)))</formula>
    </cfRule>
  </conditionalFormatting>
  <conditionalFormatting sqref="S14">
    <cfRule type="cellIs" dxfId="0" priority="2338" operator="equal">
      <formula>"欠"</formula>
    </cfRule>
  </conditionalFormatting>
  <conditionalFormatting sqref="T14">
    <cfRule type="cellIs" dxfId="0" priority="2337" operator="equal">
      <formula>"欠"</formula>
    </cfRule>
    <cfRule type="containsText" dxfId="0" priority="2336" operator="between" text="欠">
      <formula>NOT(ISERROR(SEARCH("欠",T14)))</formula>
    </cfRule>
  </conditionalFormatting>
  <conditionalFormatting sqref="AE14">
    <cfRule type="cellIs" dxfId="0" priority="2332" operator="equal">
      <formula>"未完成"</formula>
    </cfRule>
  </conditionalFormatting>
  <conditionalFormatting sqref="AI14:AJ14">
    <cfRule type="cellIs" dxfId="0" priority="2334" operator="equal">
      <formula>"未完成"</formula>
    </cfRule>
    <cfRule type="cellIs" dxfId="2" priority="2333" operator="equal">
      <formula>"未完成"</formula>
    </cfRule>
  </conditionalFormatting>
  <conditionalFormatting sqref="R15">
    <cfRule type="containsText" dxfId="0" priority="2317" operator="between" text="欠">
      <formula>NOT(ISERROR(SEARCH("欠",R15)))</formula>
    </cfRule>
  </conditionalFormatting>
  <conditionalFormatting sqref="S15">
    <cfRule type="cellIs" dxfId="0" priority="2320" operator="equal">
      <formula>"欠"</formula>
    </cfRule>
  </conditionalFormatting>
  <conditionalFormatting sqref="T15">
    <cfRule type="cellIs" dxfId="0" priority="2319" operator="equal">
      <formula>"欠"</formula>
    </cfRule>
    <cfRule type="containsText" dxfId="0" priority="2318" operator="between" text="欠">
      <formula>NOT(ISERROR(SEARCH("欠",T15)))</formula>
    </cfRule>
  </conditionalFormatting>
  <conditionalFormatting sqref="AE15">
    <cfRule type="cellIs" dxfId="0" priority="2314" operator="equal">
      <formula>"未完成"</formula>
    </cfRule>
  </conditionalFormatting>
  <conditionalFormatting sqref="AI15:AJ15">
    <cfRule type="cellIs" dxfId="0" priority="2316" operator="equal">
      <formula>"未完成"</formula>
    </cfRule>
    <cfRule type="cellIs" dxfId="2" priority="2315" operator="equal">
      <formula>"未完成"</formula>
    </cfRule>
  </conditionalFormatting>
  <conditionalFormatting sqref="R16">
    <cfRule type="containsText" dxfId="0" priority="2310" operator="between" text="欠">
      <formula>NOT(ISERROR(SEARCH("欠",R16)))</formula>
    </cfRule>
  </conditionalFormatting>
  <conditionalFormatting sqref="S16">
    <cfRule type="cellIs" dxfId="0" priority="2313" operator="equal">
      <formula>"欠"</formula>
    </cfRule>
  </conditionalFormatting>
  <conditionalFormatting sqref="T16">
    <cfRule type="cellIs" dxfId="0" priority="2312" operator="equal">
      <formula>"欠"</formula>
    </cfRule>
    <cfRule type="containsText" dxfId="0" priority="2311" operator="between" text="欠">
      <formula>NOT(ISERROR(SEARCH("欠",T16)))</formula>
    </cfRule>
  </conditionalFormatting>
  <conditionalFormatting sqref="AE16">
    <cfRule type="cellIs" dxfId="0" priority="2307" operator="equal">
      <formula>"未完成"</formula>
    </cfRule>
  </conditionalFormatting>
  <conditionalFormatting sqref="AI16">
    <cfRule type="cellIs" dxfId="0" priority="2309" operator="equal">
      <formula>"未完成"</formula>
    </cfRule>
    <cfRule type="cellIs" dxfId="2" priority="2308" operator="equal">
      <formula>"未完成"</formula>
    </cfRule>
  </conditionalFormatting>
  <conditionalFormatting sqref="R17">
    <cfRule type="containsText" dxfId="0" priority="2294" operator="between" text="欠">
      <formula>NOT(ISERROR(SEARCH("欠",R17)))</formula>
    </cfRule>
  </conditionalFormatting>
  <conditionalFormatting sqref="S17">
    <cfRule type="cellIs" dxfId="0" priority="2303" operator="equal">
      <formula>"欠"</formula>
    </cfRule>
    <cfRule type="containsText" dxfId="0" priority="2302" operator="between" text="欠">
      <formula>NOT(ISERROR(SEARCH("欠",S17)))</formula>
    </cfRule>
  </conditionalFormatting>
  <conditionalFormatting sqref="T17">
    <cfRule type="cellIs" dxfId="0" priority="2301" operator="equal">
      <formula>"欠"</formula>
    </cfRule>
    <cfRule type="containsText" dxfId="0" priority="2300" operator="between" text="欠">
      <formula>NOT(ISERROR(SEARCH("欠",T17)))</formula>
    </cfRule>
  </conditionalFormatting>
  <conditionalFormatting sqref="U17">
    <cfRule type="cellIs" dxfId="0" priority="2306" operator="equal">
      <formula>"欠"</formula>
    </cfRule>
    <cfRule type="containsText" dxfId="1" priority="2305" operator="between" text="欠">
      <formula>NOT(ISERROR(SEARCH("欠",U17)))</formula>
    </cfRule>
    <cfRule type="containsText" dxfId="0" priority="2304" operator="between" text="欠">
      <formula>NOT(ISERROR(SEARCH("欠",U17)))</formula>
    </cfRule>
  </conditionalFormatting>
  <conditionalFormatting sqref="V17">
    <cfRule type="cellIs" dxfId="0" priority="2297" operator="equal">
      <formula>"欠"</formula>
    </cfRule>
    <cfRule type="containsText" dxfId="1" priority="2296" operator="between" text="欠">
      <formula>NOT(ISERROR(SEARCH("欠",V17)))</formula>
    </cfRule>
    <cfRule type="containsText" dxfId="0" priority="2295" operator="between" text="欠">
      <formula>NOT(ISERROR(SEARCH("欠",V17)))</formula>
    </cfRule>
  </conditionalFormatting>
  <conditionalFormatting sqref="W17">
    <cfRule type="cellIs" dxfId="0" priority="2293" operator="equal">
      <formula>"欠"</formula>
    </cfRule>
  </conditionalFormatting>
  <conditionalFormatting sqref="AD17">
    <cfRule type="cellIs" dxfId="0" priority="2299" operator="equal">
      <formula>"未完成"</formula>
    </cfRule>
    <cfRule type="cellIs" dxfId="2" priority="2298" operator="equal">
      <formula>"未完成"</formula>
    </cfRule>
  </conditionalFormatting>
  <conditionalFormatting sqref="AH17">
    <cfRule type="cellIs" dxfId="0" priority="2292" operator="equal">
      <formula>"未完成"</formula>
    </cfRule>
  </conditionalFormatting>
  <conditionalFormatting sqref="R18">
    <cfRule type="containsText" dxfId="0" priority="2285" operator="between" text="欠">
      <formula>NOT(ISERROR(SEARCH("欠",R18)))</formula>
    </cfRule>
  </conditionalFormatting>
  <conditionalFormatting sqref="S18">
    <cfRule type="cellIs" dxfId="0" priority="2288" operator="equal">
      <formula>"欠"</formula>
    </cfRule>
  </conditionalFormatting>
  <conditionalFormatting sqref="T18">
    <cfRule type="containsText" dxfId="0" priority="2286" operator="between" text="欠">
      <formula>NOT(ISERROR(SEARCH("欠",T18)))</formula>
    </cfRule>
    <cfRule type="cellIs" dxfId="0" priority="2287" operator="equal">
      <formula>"欠"</formula>
    </cfRule>
  </conditionalFormatting>
  <conditionalFormatting sqref="AE18">
    <cfRule type="cellIs" dxfId="0" priority="2289" operator="equal">
      <formula>"未完成"</formula>
    </cfRule>
  </conditionalFormatting>
  <conditionalFormatting sqref="AI18">
    <cfRule type="cellIs" dxfId="2" priority="2290" operator="equal">
      <formula>"未完成"</formula>
    </cfRule>
    <cfRule type="cellIs" dxfId="0" priority="2291" operator="equal">
      <formula>"未完成"</formula>
    </cfRule>
  </conditionalFormatting>
  <conditionalFormatting sqref="R19">
    <cfRule type="containsText" dxfId="0" priority="2280" operator="between" text="欠">
      <formula>NOT(ISERROR(SEARCH("欠",R19)))</formula>
    </cfRule>
  </conditionalFormatting>
  <conditionalFormatting sqref="S19">
    <cfRule type="containsText" dxfId="0" priority="2283" operator="between" text="欠">
      <formula>NOT(ISERROR(SEARCH("欠",S19)))</formula>
    </cfRule>
    <cfRule type="cellIs" dxfId="0" priority="2284" operator="equal">
      <formula>"欠"</formula>
    </cfRule>
  </conditionalFormatting>
  <conditionalFormatting sqref="T19">
    <cfRule type="containsText" dxfId="0" priority="2274" operator="between" text="欠">
      <formula>NOT(ISERROR(SEARCH("欠",T19)))</formula>
    </cfRule>
    <cfRule type="cellIs" dxfId="0" priority="2275" operator="equal">
      <formula>"欠"</formula>
    </cfRule>
  </conditionalFormatting>
  <conditionalFormatting sqref="U19:V19">
    <cfRule type="containsText" dxfId="0" priority="2276" operator="between" text="欠">
      <formula>NOT(ISERROR(SEARCH("欠",U19)))</formula>
    </cfRule>
    <cfRule type="containsText" dxfId="1" priority="2277" operator="between" text="欠">
      <formula>NOT(ISERROR(SEARCH("欠",U19)))</formula>
    </cfRule>
  </conditionalFormatting>
  <conditionalFormatting sqref="U19:W19">
    <cfRule type="cellIs" dxfId="0" priority="2279" operator="equal">
      <formula>"欠"</formula>
    </cfRule>
  </conditionalFormatting>
  <conditionalFormatting sqref="AD19">
    <cfRule type="cellIs" dxfId="2" priority="2281" operator="equal">
      <formula>"未完成"</formula>
    </cfRule>
    <cfRule type="cellIs" dxfId="0" priority="2282" operator="equal">
      <formula>"未完成"</formula>
    </cfRule>
  </conditionalFormatting>
  <conditionalFormatting sqref="AH19">
    <cfRule type="cellIs" dxfId="0" priority="2278" operator="equal">
      <formula>"未完成"</formula>
    </cfRule>
  </conditionalFormatting>
  <conditionalFormatting sqref="R20">
    <cfRule type="containsText" dxfId="0" priority="2267" operator="between" text="欠">
      <formula>NOT(ISERROR(SEARCH("欠",R20)))</formula>
    </cfRule>
  </conditionalFormatting>
  <conditionalFormatting sqref="S20">
    <cfRule type="cellIs" dxfId="0" priority="2270" operator="equal">
      <formula>"欠"</formula>
    </cfRule>
  </conditionalFormatting>
  <conditionalFormatting sqref="T20">
    <cfRule type="containsText" dxfId="0" priority="2268" operator="between" text="欠">
      <formula>NOT(ISERROR(SEARCH("欠",T20)))</formula>
    </cfRule>
    <cfRule type="cellIs" dxfId="0" priority="2269" operator="equal">
      <formula>"欠"</formula>
    </cfRule>
  </conditionalFormatting>
  <conditionalFormatting sqref="AE20">
    <cfRule type="cellIs" dxfId="0" priority="2271" operator="equal">
      <formula>"未完成"</formula>
    </cfRule>
  </conditionalFormatting>
  <conditionalFormatting sqref="AI20">
    <cfRule type="cellIs" dxfId="2" priority="2272" operator="equal">
      <formula>"未完成"</formula>
    </cfRule>
    <cfRule type="cellIs" dxfId="0" priority="2273" operator="equal">
      <formula>"未完成"</formula>
    </cfRule>
  </conditionalFormatting>
  <conditionalFormatting sqref="R21">
    <cfRule type="containsText" dxfId="0" priority="2227" operator="between" text="欠">
      <formula>NOT(ISERROR(SEARCH("欠",R21)))</formula>
    </cfRule>
  </conditionalFormatting>
  <conditionalFormatting sqref="S21">
    <cfRule type="cellIs" dxfId="0" priority="2231" operator="equal">
      <formula>"欠"</formula>
    </cfRule>
    <cfRule type="containsText" dxfId="0" priority="2230" operator="between" text="欠">
      <formula>NOT(ISERROR(SEARCH("欠",S21)))</formula>
    </cfRule>
  </conditionalFormatting>
  <conditionalFormatting sqref="T21">
    <cfRule type="cellIs" dxfId="0" priority="2229" operator="equal">
      <formula>"欠"</formula>
    </cfRule>
    <cfRule type="containsText" dxfId="0" priority="2228" operator="between" text="欠">
      <formula>NOT(ISERROR(SEARCH("欠",T21)))</formula>
    </cfRule>
  </conditionalFormatting>
  <conditionalFormatting sqref="AE21">
    <cfRule type="cellIs" dxfId="0" priority="2232" operator="equal">
      <formula>"未完成"</formula>
    </cfRule>
  </conditionalFormatting>
  <conditionalFormatting sqref="AI21">
    <cfRule type="cellIs" dxfId="0" priority="2234" operator="equal">
      <formula>"未完成"</formula>
    </cfRule>
    <cfRule type="cellIs" dxfId="2" priority="2233" operator="equal">
      <formula>"未完成"</formula>
    </cfRule>
  </conditionalFormatting>
  <conditionalFormatting sqref="R22">
    <cfRule type="containsText" dxfId="0" priority="2235" operator="between" text="欠">
      <formula>NOT(ISERROR(SEARCH("欠",R22)))</formula>
    </cfRule>
  </conditionalFormatting>
  <conditionalFormatting sqref="S22">
    <cfRule type="containsText" dxfId="0" priority="2238" operator="between" text="欠">
      <formula>NOT(ISERROR(SEARCH("欠",S22)))</formula>
    </cfRule>
    <cfRule type="cellIs" dxfId="0" priority="2239" operator="equal">
      <formula>"欠"</formula>
    </cfRule>
  </conditionalFormatting>
  <conditionalFormatting sqref="T22">
    <cfRule type="containsText" dxfId="0" priority="2236" operator="between" text="欠">
      <formula>NOT(ISERROR(SEARCH("欠",T22)))</formula>
    </cfRule>
    <cfRule type="cellIs" dxfId="0" priority="2237" operator="equal">
      <formula>"欠"</formula>
    </cfRule>
  </conditionalFormatting>
  <conditionalFormatting sqref="AE22">
    <cfRule type="cellIs" dxfId="0" priority="2240" operator="equal">
      <formula>"未完成"</formula>
    </cfRule>
  </conditionalFormatting>
  <conditionalFormatting sqref="AI22">
    <cfRule type="cellIs" dxfId="2" priority="2241" operator="equal">
      <formula>"未完成"</formula>
    </cfRule>
    <cfRule type="cellIs" dxfId="0" priority="2242" operator="equal">
      <formula>"未完成"</formula>
    </cfRule>
  </conditionalFormatting>
  <conditionalFormatting sqref="R23">
    <cfRule type="containsText" dxfId="0" priority="2243" operator="between" text="欠">
      <formula>NOT(ISERROR(SEARCH("欠",R23)))</formula>
    </cfRule>
  </conditionalFormatting>
  <conditionalFormatting sqref="S23">
    <cfRule type="containsText" dxfId="0" priority="2246" operator="between" text="欠">
      <formula>NOT(ISERROR(SEARCH("欠",S23)))</formula>
    </cfRule>
    <cfRule type="cellIs" dxfId="0" priority="2247" operator="equal">
      <formula>"欠"</formula>
    </cfRule>
  </conditionalFormatting>
  <conditionalFormatting sqref="T23">
    <cfRule type="containsText" dxfId="0" priority="2244" operator="between" text="欠">
      <formula>NOT(ISERROR(SEARCH("欠",T23)))</formula>
    </cfRule>
    <cfRule type="cellIs" dxfId="0" priority="2245" operator="equal">
      <formula>"欠"</formula>
    </cfRule>
  </conditionalFormatting>
  <conditionalFormatting sqref="AE23">
    <cfRule type="cellIs" dxfId="0" priority="2248" operator="equal">
      <formula>"未完成"</formula>
    </cfRule>
  </conditionalFormatting>
  <conditionalFormatting sqref="AI23">
    <cfRule type="cellIs" dxfId="2" priority="2249" operator="equal">
      <formula>"未完成"</formula>
    </cfRule>
    <cfRule type="cellIs" dxfId="0" priority="2250" operator="equal">
      <formula>"未完成"</formula>
    </cfRule>
  </conditionalFormatting>
  <conditionalFormatting sqref="R24">
    <cfRule type="containsText" dxfId="0" priority="2251" operator="between" text="欠">
      <formula>NOT(ISERROR(SEARCH("欠",R24)))</formula>
    </cfRule>
  </conditionalFormatting>
  <conditionalFormatting sqref="S24">
    <cfRule type="containsText" dxfId="0" priority="2254" operator="between" text="欠">
      <formula>NOT(ISERROR(SEARCH("欠",S24)))</formula>
    </cfRule>
    <cfRule type="cellIs" dxfId="0" priority="2255" operator="equal">
      <formula>"欠"</formula>
    </cfRule>
  </conditionalFormatting>
  <conditionalFormatting sqref="T24">
    <cfRule type="containsText" dxfId="0" priority="2252" operator="between" text="欠">
      <formula>NOT(ISERROR(SEARCH("欠",T24)))</formula>
    </cfRule>
    <cfRule type="cellIs" dxfId="0" priority="2253" operator="equal">
      <formula>"欠"</formula>
    </cfRule>
  </conditionalFormatting>
  <conditionalFormatting sqref="AE24">
    <cfRule type="cellIs" dxfId="0" priority="2256" operator="equal">
      <formula>"未完成"</formula>
    </cfRule>
  </conditionalFormatting>
  <conditionalFormatting sqref="AI24">
    <cfRule type="cellIs" dxfId="2" priority="2257" operator="equal">
      <formula>"未完成"</formula>
    </cfRule>
    <cfRule type="cellIs" dxfId="0" priority="2258" operator="equal">
      <formula>"未完成"</formula>
    </cfRule>
  </conditionalFormatting>
  <conditionalFormatting sqref="R25">
    <cfRule type="containsText" dxfId="0" priority="2259" operator="between" text="欠">
      <formula>NOT(ISERROR(SEARCH("欠",R25)))</formula>
    </cfRule>
  </conditionalFormatting>
  <conditionalFormatting sqref="S25">
    <cfRule type="containsText" dxfId="0" priority="2262" operator="between" text="欠">
      <formula>NOT(ISERROR(SEARCH("欠",S25)))</formula>
    </cfRule>
    <cfRule type="cellIs" dxfId="0" priority="2263" operator="equal">
      <formula>"欠"</formula>
    </cfRule>
  </conditionalFormatting>
  <conditionalFormatting sqref="T25">
    <cfRule type="containsText" dxfId="0" priority="2260" operator="between" text="欠">
      <formula>NOT(ISERROR(SEARCH("欠",T25)))</formula>
    </cfRule>
    <cfRule type="cellIs" dxfId="0" priority="2261" operator="equal">
      <formula>"欠"</formula>
    </cfRule>
  </conditionalFormatting>
  <conditionalFormatting sqref="AE25">
    <cfRule type="cellIs" dxfId="0" priority="2264" operator="equal">
      <formula>"未完成"</formula>
    </cfRule>
  </conditionalFormatting>
  <conditionalFormatting sqref="AI25">
    <cfRule type="cellIs" dxfId="2" priority="2265" operator="equal">
      <formula>"未完成"</formula>
    </cfRule>
    <cfRule type="cellIs" dxfId="0" priority="2266" operator="equal">
      <formula>"未完成"</formula>
    </cfRule>
  </conditionalFormatting>
  <conditionalFormatting sqref="R26">
    <cfRule type="containsText" dxfId="0" priority="2213" operator="between" text="欠">
      <formula>NOT(ISERROR(SEARCH("欠",R26)))</formula>
    </cfRule>
  </conditionalFormatting>
  <conditionalFormatting sqref="S26">
    <cfRule type="containsText" dxfId="0" priority="2200" operator="between" text="欠">
      <formula>NOT(ISERROR(SEARCH("欠",S26)))</formula>
    </cfRule>
    <cfRule type="cellIs" dxfId="0" priority="2201" operator="equal">
      <formula>"欠"</formula>
    </cfRule>
  </conditionalFormatting>
  <conditionalFormatting sqref="T26">
    <cfRule type="containsText" dxfId="0" priority="2205" operator="between" text="欠">
      <formula>NOT(ISERROR(SEARCH("欠",T26)))</formula>
    </cfRule>
    <cfRule type="cellIs" dxfId="0" priority="2206" operator="equal">
      <formula>"欠"</formula>
    </cfRule>
  </conditionalFormatting>
  <conditionalFormatting sqref="U26">
    <cfRule type="containsText" dxfId="0" priority="2202" operator="between" text="欠">
      <formula>NOT(ISERROR(SEARCH("欠",U26)))</formula>
    </cfRule>
    <cfRule type="containsText" dxfId="1" priority="2203" operator="between" text="欠">
      <formula>NOT(ISERROR(SEARCH("欠",U26)))</formula>
    </cfRule>
    <cfRule type="cellIs" dxfId="0" priority="2204" operator="equal">
      <formula>"欠"</formula>
    </cfRule>
  </conditionalFormatting>
  <conditionalFormatting sqref="V26">
    <cfRule type="containsText" dxfId="0" priority="2207" operator="between" text="欠">
      <formula>NOT(ISERROR(SEARCH("欠",V26)))</formula>
    </cfRule>
    <cfRule type="containsText" dxfId="1" priority="2208" operator="between" text="欠">
      <formula>NOT(ISERROR(SEARCH("欠",V26)))</formula>
    </cfRule>
    <cfRule type="cellIs" dxfId="0" priority="2209" operator="equal">
      <formula>"欠"</formula>
    </cfRule>
  </conditionalFormatting>
  <conditionalFormatting sqref="W26">
    <cfRule type="cellIs" dxfId="0" priority="2210" operator="equal">
      <formula>"欠"</formula>
    </cfRule>
  </conditionalFormatting>
  <conditionalFormatting sqref="AD26">
    <cfRule type="cellIs" dxfId="2" priority="2211" operator="equal">
      <formula>"未完成"</formula>
    </cfRule>
    <cfRule type="cellIs" dxfId="0" priority="2212" operator="equal">
      <formula>"未完成"</formula>
    </cfRule>
  </conditionalFormatting>
  <conditionalFormatting sqref="AH26">
    <cfRule type="cellIs" dxfId="0" priority="2214" operator="equal">
      <formula>"未完成"</formula>
    </cfRule>
  </conditionalFormatting>
  <conditionalFormatting sqref="R27">
    <cfRule type="containsText" dxfId="0" priority="2189" operator="between" text="欠">
      <formula>NOT(ISERROR(SEARCH("欠",R27)))</formula>
    </cfRule>
  </conditionalFormatting>
  <conditionalFormatting sqref="S27">
    <cfRule type="containsText" dxfId="0" priority="2198" operator="between" text="欠">
      <formula>NOT(ISERROR(SEARCH("欠",S27)))</formula>
    </cfRule>
    <cfRule type="cellIs" dxfId="0" priority="2199" operator="equal">
      <formula>"欠"</formula>
    </cfRule>
  </conditionalFormatting>
  <conditionalFormatting sqref="T27">
    <cfRule type="containsText" dxfId="0" priority="2190" operator="between" text="欠">
      <formula>NOT(ISERROR(SEARCH("欠",T27)))</formula>
    </cfRule>
    <cfRule type="cellIs" dxfId="0" priority="2191" operator="equal">
      <formula>"欠"</formula>
    </cfRule>
  </conditionalFormatting>
  <conditionalFormatting sqref="U27:V27">
    <cfRule type="containsText" dxfId="0" priority="2192" operator="between" text="欠">
      <formula>NOT(ISERROR(SEARCH("欠",U27)))</formula>
    </cfRule>
    <cfRule type="containsText" dxfId="1" priority="2193" operator="between" text="欠">
      <formula>NOT(ISERROR(SEARCH("欠",U27)))</formula>
    </cfRule>
  </conditionalFormatting>
  <conditionalFormatting sqref="U27:W27">
    <cfRule type="cellIs" dxfId="0" priority="2194" operator="equal">
      <formula>"欠"</formula>
    </cfRule>
  </conditionalFormatting>
  <conditionalFormatting sqref="AD27">
    <cfRule type="cellIs" dxfId="2" priority="2196" operator="equal">
      <formula>"未完成"</formula>
    </cfRule>
    <cfRule type="cellIs" dxfId="0" priority="2197" operator="equal">
      <formula>"未完成"</formula>
    </cfRule>
  </conditionalFormatting>
  <conditionalFormatting sqref="AH27">
    <cfRule type="cellIs" dxfId="0" priority="2195" operator="equal">
      <formula>"未完成"</formula>
    </cfRule>
  </conditionalFormatting>
  <conditionalFormatting sqref="R28">
    <cfRule type="containsText" dxfId="0" priority="2180" operator="between" text="欠">
      <formula>NOT(ISERROR(SEARCH("欠",R28)))</formula>
    </cfRule>
  </conditionalFormatting>
  <conditionalFormatting sqref="S28">
    <cfRule type="containsText" dxfId="0" priority="2181" operator="between" text="欠">
      <formula>NOT(ISERROR(SEARCH("欠",S28)))</formula>
    </cfRule>
    <cfRule type="cellIs" dxfId="0" priority="2182" operator="equal">
      <formula>"欠"</formula>
    </cfRule>
  </conditionalFormatting>
  <conditionalFormatting sqref="T28">
    <cfRule type="containsText" dxfId="0" priority="2183" operator="between" text="欠">
      <formula>NOT(ISERROR(SEARCH("欠",T28)))</formula>
    </cfRule>
    <cfRule type="cellIs" dxfId="0" priority="2184" operator="equal">
      <formula>"欠"</formula>
    </cfRule>
  </conditionalFormatting>
  <conditionalFormatting sqref="U28">
    <cfRule type="containsText" dxfId="0" priority="2186" operator="between" text="欠">
      <formula>NOT(ISERROR(SEARCH("欠",U28)))</formula>
    </cfRule>
    <cfRule type="containsText" dxfId="1" priority="2187" operator="between" text="欠">
      <formula>NOT(ISERROR(SEARCH("欠",U28)))</formula>
    </cfRule>
    <cfRule type="cellIs" dxfId="0" priority="2188" operator="equal">
      <formula>"欠"</formula>
    </cfRule>
  </conditionalFormatting>
  <conditionalFormatting sqref="V28">
    <cfRule type="containsText" dxfId="0" priority="2176" operator="between" text="欠">
      <formula>NOT(ISERROR(SEARCH("欠",V28)))</formula>
    </cfRule>
    <cfRule type="containsText" dxfId="1" priority="2177" operator="between" text="欠">
      <formula>NOT(ISERROR(SEARCH("欠",V28)))</formula>
    </cfRule>
    <cfRule type="cellIs" dxfId="0" priority="2178" operator="equal">
      <formula>"欠"</formula>
    </cfRule>
  </conditionalFormatting>
  <conditionalFormatting sqref="W28">
    <cfRule type="cellIs" dxfId="0" priority="2179" operator="equal">
      <formula>"欠"</formula>
    </cfRule>
  </conditionalFormatting>
  <conditionalFormatting sqref="AD28">
    <cfRule type="cellIs" dxfId="2" priority="2174" operator="equal">
      <formula>"未完成"</formula>
    </cfRule>
    <cfRule type="cellIs" dxfId="0" priority="2175" operator="equal">
      <formula>"未完成"</formula>
    </cfRule>
  </conditionalFormatting>
  <conditionalFormatting sqref="AH28">
    <cfRule type="cellIs" dxfId="0" priority="2185" operator="equal">
      <formula>"未完成"</formula>
    </cfRule>
  </conditionalFormatting>
  <conditionalFormatting sqref="R29">
    <cfRule type="containsText" dxfId="0" priority="2164" operator="between" text="欠">
      <formula>NOT(ISERROR(SEARCH("欠",R29)))</formula>
    </cfRule>
  </conditionalFormatting>
  <conditionalFormatting sqref="S29">
    <cfRule type="containsText" dxfId="0" priority="2171" operator="between" text="欠">
      <formula>NOT(ISERROR(SEARCH("欠",S29)))</formula>
    </cfRule>
    <cfRule type="cellIs" dxfId="0" priority="2172" operator="equal">
      <formula>"欠"</formula>
    </cfRule>
  </conditionalFormatting>
  <conditionalFormatting sqref="T29">
    <cfRule type="containsText" dxfId="0" priority="2162" operator="between" text="欠">
      <formula>NOT(ISERROR(SEARCH("欠",T29)))</formula>
    </cfRule>
    <cfRule type="cellIs" dxfId="0" priority="2163" operator="equal">
      <formula>"欠"</formula>
    </cfRule>
  </conditionalFormatting>
  <conditionalFormatting sqref="U29:V29">
    <cfRule type="containsText" dxfId="0" priority="2167" operator="between" text="欠">
      <formula>NOT(ISERROR(SEARCH("欠",U29)))</formula>
    </cfRule>
    <cfRule type="containsText" dxfId="1" priority="2168" operator="between" text="欠">
      <formula>NOT(ISERROR(SEARCH("欠",U29)))</formula>
    </cfRule>
    <cfRule type="cellIs" dxfId="0" priority="2169" operator="equal">
      <formula>"欠"</formula>
    </cfRule>
  </conditionalFormatting>
  <conditionalFormatting sqref="W29">
    <cfRule type="cellIs" dxfId="0" priority="2170" operator="equal">
      <formula>"欠"</formula>
    </cfRule>
  </conditionalFormatting>
  <conditionalFormatting sqref="AD29">
    <cfRule type="cellIs" dxfId="2" priority="2165" operator="equal">
      <formula>"未完成"</formula>
    </cfRule>
    <cfRule type="cellIs" dxfId="0" priority="2166" operator="equal">
      <formula>"未完成"</formula>
    </cfRule>
  </conditionalFormatting>
  <conditionalFormatting sqref="AH29">
    <cfRule type="cellIs" dxfId="0" priority="2173" operator="equal">
      <formula>"未完成"</formula>
    </cfRule>
  </conditionalFormatting>
  <conditionalFormatting sqref="R30">
    <cfRule type="containsText" dxfId="0" priority="2158" operator="between" text="欠">
      <formula>NOT(ISERROR(SEARCH("欠",R30)))</formula>
    </cfRule>
  </conditionalFormatting>
  <conditionalFormatting sqref="S30">
    <cfRule type="containsText" dxfId="0" priority="2159" operator="between" text="欠">
      <formula>NOT(ISERROR(SEARCH("欠",S30)))</formula>
    </cfRule>
    <cfRule type="cellIs" dxfId="0" priority="2160" operator="equal">
      <formula>"欠"</formula>
    </cfRule>
  </conditionalFormatting>
  <conditionalFormatting sqref="T30">
    <cfRule type="containsText" dxfId="0" priority="2153" operator="between" text="欠">
      <formula>NOT(ISERROR(SEARCH("欠",T30)))</formula>
    </cfRule>
    <cfRule type="cellIs" dxfId="0" priority="2154" operator="equal">
      <formula>"欠"</formula>
    </cfRule>
  </conditionalFormatting>
  <conditionalFormatting sqref="U30">
    <cfRule type="containsText" dxfId="0" priority="2155" operator="between" text="欠">
      <formula>NOT(ISERROR(SEARCH("欠",U30)))</formula>
    </cfRule>
    <cfRule type="containsText" dxfId="1" priority="2156" operator="between" text="欠">
      <formula>NOT(ISERROR(SEARCH("欠",U30)))</formula>
    </cfRule>
    <cfRule type="cellIs" dxfId="0" priority="2157" operator="equal">
      <formula>"欠"</formula>
    </cfRule>
  </conditionalFormatting>
  <conditionalFormatting sqref="AD30">
    <cfRule type="cellIs" dxfId="2" priority="2151" operator="equal">
      <formula>"未完成"</formula>
    </cfRule>
    <cfRule type="cellIs" dxfId="0" priority="2152" operator="equal">
      <formula>"未完成"</formula>
    </cfRule>
  </conditionalFormatting>
  <conditionalFormatting sqref="AH30">
    <cfRule type="cellIs" dxfId="0" priority="2161" operator="equal">
      <formula>"未完成"</formula>
    </cfRule>
  </conditionalFormatting>
  <conditionalFormatting sqref="R31">
    <cfRule type="containsText" dxfId="0" priority="2146" operator="between" text="欠">
      <formula>NOT(ISERROR(SEARCH("欠",R31)))</formula>
    </cfRule>
  </conditionalFormatting>
  <conditionalFormatting sqref="S31">
    <cfRule type="containsText" dxfId="0" priority="2149" operator="between" text="欠">
      <formula>NOT(ISERROR(SEARCH("欠",S31)))</formula>
    </cfRule>
    <cfRule type="cellIs" dxfId="0" priority="2150" operator="equal">
      <formula>"欠"</formula>
    </cfRule>
  </conditionalFormatting>
  <conditionalFormatting sqref="T31">
    <cfRule type="containsText" dxfId="0" priority="2140" operator="between" text="欠">
      <formula>NOT(ISERROR(SEARCH("欠",T31)))</formula>
    </cfRule>
    <cfRule type="cellIs" dxfId="0" priority="2141" operator="equal">
      <formula>"欠"</formula>
    </cfRule>
  </conditionalFormatting>
  <conditionalFormatting sqref="U31:V31">
    <cfRule type="containsText" dxfId="0" priority="2142" operator="between" text="欠">
      <formula>NOT(ISERROR(SEARCH("欠",U31)))</formula>
    </cfRule>
    <cfRule type="containsText" dxfId="1" priority="2143" operator="between" text="欠">
      <formula>NOT(ISERROR(SEARCH("欠",U31)))</formula>
    </cfRule>
  </conditionalFormatting>
  <conditionalFormatting sqref="U31:W31">
    <cfRule type="cellIs" dxfId="0" priority="2145" operator="equal">
      <formula>"欠"</formula>
    </cfRule>
  </conditionalFormatting>
  <conditionalFormatting sqref="AD31">
    <cfRule type="cellIs" dxfId="2" priority="2147" operator="equal">
      <formula>"未完成"</formula>
    </cfRule>
    <cfRule type="cellIs" dxfId="0" priority="2148" operator="equal">
      <formula>"未完成"</formula>
    </cfRule>
  </conditionalFormatting>
  <conditionalFormatting sqref="AH31">
    <cfRule type="cellIs" dxfId="0" priority="2144" operator="equal">
      <formula>"未完成"</formula>
    </cfRule>
  </conditionalFormatting>
  <conditionalFormatting sqref="R32">
    <cfRule type="containsText" dxfId="0" priority="2136" operator="between" text="欠">
      <formula>NOT(ISERROR(SEARCH("欠",R32)))</formula>
    </cfRule>
  </conditionalFormatting>
  <conditionalFormatting sqref="S32">
    <cfRule type="cellIs" dxfId="0" priority="2139" operator="equal">
      <formula>"欠"</formula>
    </cfRule>
  </conditionalFormatting>
  <conditionalFormatting sqref="T32">
    <cfRule type="cellIs" dxfId="0" priority="2138" operator="equal">
      <formula>"欠"</formula>
    </cfRule>
    <cfRule type="containsText" dxfId="0" priority="2137" operator="between" text="欠">
      <formula>NOT(ISERROR(SEARCH("欠",T32)))</formula>
    </cfRule>
  </conditionalFormatting>
  <conditionalFormatting sqref="AE32">
    <cfRule type="cellIs" dxfId="0" priority="2133" operator="equal">
      <formula>"未完成"</formula>
    </cfRule>
  </conditionalFormatting>
  <conditionalFormatting sqref="AI32">
    <cfRule type="cellIs" dxfId="0" priority="2135" operator="equal">
      <formula>"未完成"</formula>
    </cfRule>
    <cfRule type="cellIs" dxfId="2" priority="2134" operator="equal">
      <formula>"未完成"</formula>
    </cfRule>
  </conditionalFormatting>
  <conditionalFormatting sqref="R33">
    <cfRule type="containsText" dxfId="0" priority="2218" operator="between" text="欠">
      <formula>NOT(ISERROR(SEARCH("欠",R33)))</formula>
    </cfRule>
  </conditionalFormatting>
  <conditionalFormatting sqref="S33">
    <cfRule type="containsText" dxfId="0" priority="2216" operator="between" text="欠">
      <formula>NOT(ISERROR(SEARCH("欠",S33)))</formula>
    </cfRule>
    <cfRule type="cellIs" dxfId="0" priority="2217" operator="equal">
      <formula>"欠"</formula>
    </cfRule>
  </conditionalFormatting>
  <conditionalFormatting sqref="T33">
    <cfRule type="containsText" dxfId="0" priority="2219" operator="between" text="欠">
      <formula>NOT(ISERROR(SEARCH("欠",T33)))</formula>
    </cfRule>
    <cfRule type="cellIs" dxfId="0" priority="2220" operator="equal">
      <formula>"欠"</formula>
    </cfRule>
  </conditionalFormatting>
  <conditionalFormatting sqref="U33:V33">
    <cfRule type="containsText" dxfId="0" priority="2221" operator="between" text="欠">
      <formula>NOT(ISERROR(SEARCH("欠",U33)))</formula>
    </cfRule>
    <cfRule type="containsText" dxfId="1" priority="2222" operator="between" text="欠">
      <formula>NOT(ISERROR(SEARCH("欠",U33)))</formula>
    </cfRule>
    <cfRule type="cellIs" dxfId="0" priority="2223" operator="equal">
      <formula>"欠"</formula>
    </cfRule>
  </conditionalFormatting>
  <conditionalFormatting sqref="W33">
    <cfRule type="cellIs" dxfId="0" priority="2224" operator="equal">
      <formula>"欠"</formula>
    </cfRule>
  </conditionalFormatting>
  <conditionalFormatting sqref="AD33">
    <cfRule type="cellIs" dxfId="2" priority="2225" operator="equal">
      <formula>"未完成"</formula>
    </cfRule>
    <cfRule type="cellIs" dxfId="0" priority="2226" operator="equal">
      <formula>"未完成"</formula>
    </cfRule>
  </conditionalFormatting>
  <conditionalFormatting sqref="AH33">
    <cfRule type="cellIs" dxfId="0" priority="2215" operator="equal">
      <formula>"未完成"</formula>
    </cfRule>
  </conditionalFormatting>
  <conditionalFormatting sqref="AE34">
    <cfRule type="cellIs" dxfId="0" priority="2130" operator="equal">
      <formula>"未完成"</formula>
    </cfRule>
  </conditionalFormatting>
  <conditionalFormatting sqref="AI34">
    <cfRule type="cellIs" dxfId="0" priority="2132" operator="equal">
      <formula>"未完成"</formula>
    </cfRule>
    <cfRule type="cellIs" dxfId="2" priority="2131" operator="equal">
      <formula>"未完成"</formula>
    </cfRule>
  </conditionalFormatting>
  <conditionalFormatting sqref="AE35">
    <cfRule type="cellIs" dxfId="0" priority="2123" operator="equal">
      <formula>"未完成"</formula>
    </cfRule>
  </conditionalFormatting>
  <conditionalFormatting sqref="AI35">
    <cfRule type="cellIs" dxfId="0" priority="2125" operator="equal">
      <formula>"未完成"</formula>
    </cfRule>
    <cfRule type="cellIs" dxfId="2" priority="2124" operator="equal">
      <formula>"未完成"</formula>
    </cfRule>
  </conditionalFormatting>
  <conditionalFormatting sqref="AE36">
    <cfRule type="cellIs" dxfId="0" priority="2120" operator="equal">
      <formula>"未完成"</formula>
    </cfRule>
  </conditionalFormatting>
  <conditionalFormatting sqref="AI36">
    <cfRule type="cellIs" dxfId="2" priority="2121" operator="equal">
      <formula>"未完成"</formula>
    </cfRule>
    <cfRule type="cellIs" dxfId="0" priority="2122" operator="equal">
      <formula>"未完成"</formula>
    </cfRule>
  </conditionalFormatting>
  <conditionalFormatting sqref="R37">
    <cfRule type="containsText" dxfId="0" priority="2108" operator="between" text="欠">
      <formula>NOT(ISERROR(SEARCH("欠",R37)))</formula>
    </cfRule>
  </conditionalFormatting>
  <conditionalFormatting sqref="S37">
    <cfRule type="containsText" dxfId="0" priority="2118" operator="between" text="欠">
      <formula>NOT(ISERROR(SEARCH("欠",S37)))</formula>
    </cfRule>
    <cfRule type="cellIs" dxfId="0" priority="2119" operator="equal">
      <formula>"欠"</formula>
    </cfRule>
  </conditionalFormatting>
  <conditionalFormatting sqref="T37">
    <cfRule type="containsText" dxfId="0" priority="2112" operator="between" text="欠">
      <formula>NOT(ISERROR(SEARCH("欠",T37)))</formula>
    </cfRule>
    <cfRule type="cellIs" dxfId="0" priority="2113" operator="equal">
      <formula>"欠"</formula>
    </cfRule>
  </conditionalFormatting>
  <conditionalFormatting sqref="U37:V37">
    <cfRule type="containsText" dxfId="0" priority="2114" operator="between" text="欠">
      <formula>NOT(ISERROR(SEARCH("欠",U37)))</formula>
    </cfRule>
    <cfRule type="containsText" dxfId="1" priority="2115" operator="between" text="欠">
      <formula>NOT(ISERROR(SEARCH("欠",U37)))</formula>
    </cfRule>
    <cfRule type="cellIs" dxfId="0" priority="2116" operator="equal">
      <formula>"欠"</formula>
    </cfRule>
  </conditionalFormatting>
  <conditionalFormatting sqref="W37">
    <cfRule type="cellIs" dxfId="0" priority="2117" operator="equal">
      <formula>"欠"</formula>
    </cfRule>
  </conditionalFormatting>
  <conditionalFormatting sqref="AD37">
    <cfRule type="cellIs" dxfId="2" priority="2110" operator="equal">
      <formula>"未完成"</formula>
    </cfRule>
    <cfRule type="cellIs" dxfId="0" priority="2111" operator="equal">
      <formula>"未完成"</formula>
    </cfRule>
  </conditionalFormatting>
  <conditionalFormatting sqref="AH37">
    <cfRule type="cellIs" dxfId="0" priority="2109" operator="equal">
      <formula>"未完成"</formula>
    </cfRule>
  </conditionalFormatting>
  <conditionalFormatting sqref="R38">
    <cfRule type="containsText" dxfId="0" priority="2098" operator="between" text="欠">
      <formula>NOT(ISERROR(SEARCH("欠",R38)))</formula>
    </cfRule>
    <cfRule type="containsText" dxfId="3" priority="2096" operator="between" text="欠">
      <formula>NOT(ISERROR(SEARCH("欠",R38)))</formula>
    </cfRule>
  </conditionalFormatting>
  <conditionalFormatting sqref="S38">
    <cfRule type="cellIs" dxfId="0" priority="2107" operator="equal">
      <formula>"欠"</formula>
    </cfRule>
    <cfRule type="containsText" dxfId="0" priority="2106" operator="between" text="欠">
      <formula>NOT(ISERROR(SEARCH("欠",S38)))</formula>
    </cfRule>
  </conditionalFormatting>
  <conditionalFormatting sqref="T38">
    <cfRule type="cellIs" dxfId="0" priority="2100" operator="equal">
      <formula>"欠"</formula>
    </cfRule>
    <cfRule type="containsText" dxfId="0" priority="2099" operator="between" text="欠">
      <formula>NOT(ISERROR(SEARCH("欠",T38)))</formula>
    </cfRule>
  </conditionalFormatting>
  <conditionalFormatting sqref="U38:W38">
    <cfRule type="cellIs" dxfId="0" priority="2103" operator="equal">
      <formula>"欠"</formula>
    </cfRule>
  </conditionalFormatting>
  <conditionalFormatting sqref="U38:V38">
    <cfRule type="containsText" dxfId="1" priority="2102" operator="between" text="欠">
      <formula>NOT(ISERROR(SEARCH("欠",U38)))</formula>
    </cfRule>
    <cfRule type="containsText" dxfId="0" priority="2101" operator="between" text="欠">
      <formula>NOT(ISERROR(SEARCH("欠",U38)))</formula>
    </cfRule>
  </conditionalFormatting>
  <conditionalFormatting sqref="AD38">
    <cfRule type="cellIs" dxfId="0" priority="2105" operator="equal">
      <formula>"未完成"</formula>
    </cfRule>
    <cfRule type="cellIs" dxfId="2" priority="2104" operator="equal">
      <formula>"未完成"</formula>
    </cfRule>
  </conditionalFormatting>
  <conditionalFormatting sqref="AH38">
    <cfRule type="cellIs" dxfId="0" priority="2097" operator="equal">
      <formula>"未完成"</formula>
    </cfRule>
  </conditionalFormatting>
  <conditionalFormatting sqref="R39">
    <cfRule type="containsText" dxfId="0" priority="2084" operator="between" text="欠">
      <formula>NOT(ISERROR(SEARCH("欠",R39)))</formula>
    </cfRule>
    <cfRule type="containsText" dxfId="3" priority="2077" operator="between" text="欠">
      <formula>NOT(ISERROR(SEARCH("欠",R39)))</formula>
    </cfRule>
  </conditionalFormatting>
  <conditionalFormatting sqref="S39">
    <cfRule type="cellIs" dxfId="0" priority="2094" operator="equal">
      <formula>"欠"</formula>
    </cfRule>
    <cfRule type="containsText" dxfId="0" priority="2093" operator="between" text="欠">
      <formula>NOT(ISERROR(SEARCH("欠",S39)))</formula>
    </cfRule>
  </conditionalFormatting>
  <conditionalFormatting sqref="T39">
    <cfRule type="cellIs" dxfId="0" priority="2087" operator="equal">
      <formula>"欠"</formula>
    </cfRule>
    <cfRule type="containsText" dxfId="0" priority="2086" operator="between" text="欠">
      <formula>NOT(ISERROR(SEARCH("欠",T39)))</formula>
    </cfRule>
  </conditionalFormatting>
  <conditionalFormatting sqref="U39">
    <cfRule type="cellIs" dxfId="0" priority="2092" operator="equal">
      <formula>"欠"</formula>
    </cfRule>
    <cfRule type="containsText" dxfId="1" priority="2091" operator="between" text="欠">
      <formula>NOT(ISERROR(SEARCH("欠",U39)))</formula>
    </cfRule>
    <cfRule type="containsText" dxfId="0" priority="2090" operator="between" text="欠">
      <formula>NOT(ISERROR(SEARCH("欠",U39)))</formula>
    </cfRule>
  </conditionalFormatting>
  <conditionalFormatting sqref="V39">
    <cfRule type="cellIs" dxfId="0" priority="2082" operator="equal">
      <formula>"欠"</formula>
    </cfRule>
    <cfRule type="containsText" dxfId="1" priority="2081" operator="between" text="欠">
      <formula>NOT(ISERROR(SEARCH("欠",V39)))</formula>
    </cfRule>
    <cfRule type="containsText" dxfId="0" priority="2080" operator="between" text="欠">
      <formula>NOT(ISERROR(SEARCH("欠",V39)))</formula>
    </cfRule>
  </conditionalFormatting>
  <conditionalFormatting sqref="W39">
    <cfRule type="cellIs" dxfId="0" priority="2083" operator="equal">
      <formula>"欠"</formula>
    </cfRule>
  </conditionalFormatting>
  <conditionalFormatting sqref="AD39">
    <cfRule type="cellIs" dxfId="0" priority="2079" operator="equal">
      <formula>"未完成"</formula>
    </cfRule>
    <cfRule type="cellIs" dxfId="2" priority="2078" operator="equal">
      <formula>"未完成"</formula>
    </cfRule>
  </conditionalFormatting>
  <conditionalFormatting sqref="AH39">
    <cfRule type="cellIs" dxfId="0" priority="2085" operator="equal">
      <formula>"未完成"</formula>
    </cfRule>
  </conditionalFormatting>
  <conditionalFormatting sqref="R40">
    <cfRule type="containsText" dxfId="0" priority="2060" operator="between" text="欠">
      <formula>NOT(ISERROR(SEARCH("欠",R40)))</formula>
    </cfRule>
    <cfRule type="containsText" dxfId="3" priority="2059" operator="between" text="欠">
      <formula>NOT(ISERROR(SEARCH("欠",R40)))</formula>
    </cfRule>
  </conditionalFormatting>
  <conditionalFormatting sqref="S40">
    <cfRule type="cellIs" dxfId="0" priority="2070" operator="equal">
      <formula>"欠"</formula>
    </cfRule>
    <cfRule type="containsText" dxfId="0" priority="2069" operator="between" text="欠">
      <formula>NOT(ISERROR(SEARCH("欠",S40)))</formula>
    </cfRule>
  </conditionalFormatting>
  <conditionalFormatting sqref="T40">
    <cfRule type="cellIs" dxfId="0" priority="2064" operator="equal">
      <formula>"欠"</formula>
    </cfRule>
    <cfRule type="containsText" dxfId="0" priority="2063" operator="between" text="欠">
      <formula>NOT(ISERROR(SEARCH("欠",T40)))</formula>
    </cfRule>
  </conditionalFormatting>
  <conditionalFormatting sqref="U40">
    <cfRule type="cellIs" dxfId="0" priority="2073" operator="equal">
      <formula>"欠"</formula>
    </cfRule>
    <cfRule type="containsText" dxfId="1" priority="2072" operator="between" text="欠">
      <formula>NOT(ISERROR(SEARCH("欠",U40)))</formula>
    </cfRule>
    <cfRule type="containsText" dxfId="0" priority="2071" operator="between" text="欠">
      <formula>NOT(ISERROR(SEARCH("欠",U40)))</formula>
    </cfRule>
  </conditionalFormatting>
  <conditionalFormatting sqref="V40">
    <cfRule type="cellIs" dxfId="0" priority="2067" operator="equal">
      <formula>"欠"</formula>
    </cfRule>
    <cfRule type="containsText" dxfId="1" priority="2066" operator="between" text="欠">
      <formula>NOT(ISERROR(SEARCH("欠",V40)))</formula>
    </cfRule>
    <cfRule type="containsText" dxfId="0" priority="2065" operator="between" text="欠">
      <formula>NOT(ISERROR(SEARCH("欠",V40)))</formula>
    </cfRule>
  </conditionalFormatting>
  <conditionalFormatting sqref="W40">
    <cfRule type="cellIs" dxfId="0" priority="2068" operator="equal">
      <formula>"欠"</formula>
    </cfRule>
  </conditionalFormatting>
  <conditionalFormatting sqref="AD40">
    <cfRule type="cellIs" dxfId="0" priority="2062" operator="equal">
      <formula>"未完成"</formula>
    </cfRule>
    <cfRule type="cellIs" dxfId="2" priority="2061" operator="equal">
      <formula>"未完成"</formula>
    </cfRule>
  </conditionalFormatting>
  <conditionalFormatting sqref="AH40">
    <cfRule type="cellIs" dxfId="0" priority="2075" operator="equal">
      <formula>"未完成"</formula>
    </cfRule>
  </conditionalFormatting>
  <conditionalFormatting sqref="R41">
    <cfRule type="containsText" dxfId="0" priority="2057" operator="between" text="欠">
      <formula>NOT(ISERROR(SEARCH("欠",R41)))</formula>
    </cfRule>
    <cfRule type="containsText" dxfId="3" priority="2043" operator="between" text="欠">
      <formula>NOT(ISERROR(SEARCH("欠",R41)))</formula>
    </cfRule>
  </conditionalFormatting>
  <conditionalFormatting sqref="S41">
    <cfRule type="cellIs" dxfId="0" priority="2053" operator="equal">
      <formula>"欠"</formula>
    </cfRule>
    <cfRule type="containsText" dxfId="0" priority="2052" operator="between" text="欠">
      <formula>NOT(ISERROR(SEARCH("欠",S41)))</formula>
    </cfRule>
  </conditionalFormatting>
  <conditionalFormatting sqref="T41">
    <cfRule type="cellIs" dxfId="0" priority="2051" operator="equal">
      <formula>"欠"</formula>
    </cfRule>
    <cfRule type="containsText" dxfId="0" priority="2050" operator="between" text="欠">
      <formula>NOT(ISERROR(SEARCH("欠",T41)))</formula>
    </cfRule>
  </conditionalFormatting>
  <conditionalFormatting sqref="U41">
    <cfRule type="cellIs" dxfId="0" priority="2056" operator="equal">
      <formula>"欠"</formula>
    </cfRule>
    <cfRule type="containsText" dxfId="1" priority="2055" operator="between" text="欠">
      <formula>NOT(ISERROR(SEARCH("欠",U41)))</formula>
    </cfRule>
    <cfRule type="containsText" dxfId="0" priority="2054" operator="between" text="欠">
      <formula>NOT(ISERROR(SEARCH("欠",U41)))</formula>
    </cfRule>
  </conditionalFormatting>
  <conditionalFormatting sqref="V41">
    <cfRule type="cellIs" dxfId="0" priority="2046" operator="equal">
      <formula>"欠"</formula>
    </cfRule>
    <cfRule type="containsText" dxfId="1" priority="2045" operator="between" text="欠">
      <formula>NOT(ISERROR(SEARCH("欠",V41)))</formula>
    </cfRule>
    <cfRule type="containsText" dxfId="0" priority="2044" operator="between" text="欠">
      <formula>NOT(ISERROR(SEARCH("欠",V41)))</formula>
    </cfRule>
  </conditionalFormatting>
  <conditionalFormatting sqref="W41">
    <cfRule type="cellIs" dxfId="0" priority="2047" operator="equal">
      <formula>"欠"</formula>
    </cfRule>
  </conditionalFormatting>
  <conditionalFormatting sqref="AH41">
    <cfRule type="cellIs" dxfId="0" priority="2049" operator="equal">
      <formula>"未完成"</formula>
    </cfRule>
  </conditionalFormatting>
  <conditionalFormatting sqref="R42">
    <cfRule type="containsText" dxfId="0" priority="2041" operator="between" text="欠">
      <formula>NOT(ISERROR(SEARCH("欠",R42)))</formula>
    </cfRule>
  </conditionalFormatting>
  <conditionalFormatting sqref="S42">
    <cfRule type="cellIs" dxfId="0" priority="2040" operator="equal">
      <formula>"欠"</formula>
    </cfRule>
  </conditionalFormatting>
  <conditionalFormatting sqref="T42">
    <cfRule type="cellIs" dxfId="0" priority="2039" operator="equal">
      <formula>"欠"</formula>
    </cfRule>
    <cfRule type="containsText" dxfId="0" priority="2038" operator="between" text="欠">
      <formula>NOT(ISERROR(SEARCH("欠",T42)))</formula>
    </cfRule>
  </conditionalFormatting>
  <conditionalFormatting sqref="AE42">
    <cfRule type="cellIs" dxfId="0" priority="2035" operator="equal">
      <formula>"未完成"</formula>
    </cfRule>
  </conditionalFormatting>
  <conditionalFormatting sqref="AI42">
    <cfRule type="cellIs" dxfId="0" priority="2037" operator="equal">
      <formula>"未完成"</formula>
    </cfRule>
    <cfRule type="cellIs" dxfId="2" priority="2036" operator="equal">
      <formula>"未完成"</formula>
    </cfRule>
  </conditionalFormatting>
  <conditionalFormatting sqref="R43">
    <cfRule type="containsText" dxfId="3" priority="2015" operator="between" text="欠">
      <formula>NOT(ISERROR(SEARCH("欠",R43)))</formula>
    </cfRule>
    <cfRule type="containsText" dxfId="0" priority="2016" operator="between" text="欠">
      <formula>NOT(ISERROR(SEARCH("欠",R43)))</formula>
    </cfRule>
  </conditionalFormatting>
  <conditionalFormatting sqref="S43">
    <cfRule type="containsText" dxfId="0" priority="2019" operator="between" text="欠">
      <formula>NOT(ISERROR(SEARCH("欠",S43)))</formula>
    </cfRule>
    <cfRule type="cellIs" dxfId="0" priority="2020" operator="equal">
      <formula>"欠"</formula>
    </cfRule>
  </conditionalFormatting>
  <conditionalFormatting sqref="T43">
    <cfRule type="containsText" dxfId="0" priority="2017" operator="between" text="欠">
      <formula>NOT(ISERROR(SEARCH("欠",T43)))</formula>
    </cfRule>
    <cfRule type="cellIs" dxfId="0" priority="2018" operator="equal">
      <formula>"欠"</formula>
    </cfRule>
  </conditionalFormatting>
  <conditionalFormatting sqref="U43">
    <cfRule type="containsText" dxfId="0" priority="2021" operator="between" text="欠">
      <formula>NOT(ISERROR(SEARCH("欠",U43)))</formula>
    </cfRule>
    <cfRule type="containsText" dxfId="1" priority="2022" operator="between" text="欠">
      <formula>NOT(ISERROR(SEARCH("欠",U43)))</formula>
    </cfRule>
    <cfRule type="cellIs" dxfId="0" priority="2023" operator="equal">
      <formula>"欠"</formula>
    </cfRule>
  </conditionalFormatting>
  <conditionalFormatting sqref="V43">
    <cfRule type="containsText" dxfId="0" priority="2026" operator="between" text="欠">
      <formula>NOT(ISERROR(SEARCH("欠",V43)))</formula>
    </cfRule>
    <cfRule type="containsText" dxfId="1" priority="2027" operator="between" text="欠">
      <formula>NOT(ISERROR(SEARCH("欠",V43)))</formula>
    </cfRule>
    <cfRule type="cellIs" dxfId="0" priority="2028" operator="equal">
      <formula>"欠"</formula>
    </cfRule>
  </conditionalFormatting>
  <conditionalFormatting sqref="W43">
    <cfRule type="cellIs" dxfId="0" priority="2029" operator="equal">
      <formula>"欠"</formula>
    </cfRule>
  </conditionalFormatting>
  <conditionalFormatting sqref="AD43">
    <cfRule type="cellIs" dxfId="2" priority="2024" operator="equal">
      <formula>"未完成"</formula>
    </cfRule>
    <cfRule type="cellIs" dxfId="0" priority="2025" operator="equal">
      <formula>"未完成"</formula>
    </cfRule>
  </conditionalFormatting>
  <conditionalFormatting sqref="AH43">
    <cfRule type="cellIs" dxfId="0" priority="2030" operator="equal">
      <formula>"未完成"</formula>
    </cfRule>
  </conditionalFormatting>
  <conditionalFormatting sqref="R44">
    <cfRule type="containsText" dxfId="3" priority="1998" operator="between" text="欠">
      <formula>NOT(ISERROR(SEARCH("欠",R44)))</formula>
    </cfRule>
    <cfRule type="containsText" dxfId="0" priority="2007" operator="between" text="欠">
      <formula>NOT(ISERROR(SEARCH("欠",R44)))</formula>
    </cfRule>
  </conditionalFormatting>
  <conditionalFormatting sqref="S44">
    <cfRule type="containsText" dxfId="0" priority="2012" operator="between" text="欠">
      <formula>NOT(ISERROR(SEARCH("欠",S44)))</formula>
    </cfRule>
    <cfRule type="cellIs" dxfId="0" priority="2013" operator="equal">
      <formula>"欠"</formula>
    </cfRule>
  </conditionalFormatting>
  <conditionalFormatting sqref="T44">
    <cfRule type="containsText" dxfId="0" priority="2008" operator="between" text="欠">
      <formula>NOT(ISERROR(SEARCH("欠",T44)))</formula>
    </cfRule>
    <cfRule type="cellIs" dxfId="0" priority="2009" operator="equal">
      <formula>"欠"</formula>
    </cfRule>
  </conditionalFormatting>
  <conditionalFormatting sqref="U44">
    <cfRule type="containsText" dxfId="0" priority="1999" operator="between" text="欠">
      <formula>NOT(ISERROR(SEARCH("欠",U44)))</formula>
    </cfRule>
    <cfRule type="containsText" dxfId="1" priority="2000" operator="between" text="欠">
      <formula>NOT(ISERROR(SEARCH("欠",U44)))</formula>
    </cfRule>
    <cfRule type="cellIs" dxfId="0" priority="2001" operator="equal">
      <formula>"欠"</formula>
    </cfRule>
  </conditionalFormatting>
  <conditionalFormatting sqref="V44">
    <cfRule type="containsText" dxfId="0" priority="2003" operator="between" text="欠">
      <formula>NOT(ISERROR(SEARCH("欠",V44)))</formula>
    </cfRule>
    <cfRule type="containsText" dxfId="1" priority="2004" operator="between" text="欠">
      <formula>NOT(ISERROR(SEARCH("欠",V44)))</formula>
    </cfRule>
    <cfRule type="cellIs" dxfId="0" priority="2005" operator="equal">
      <formula>"欠"</formula>
    </cfRule>
  </conditionalFormatting>
  <conditionalFormatting sqref="W44">
    <cfRule type="cellIs" dxfId="0" priority="2006" operator="equal">
      <formula>"欠"</formula>
    </cfRule>
  </conditionalFormatting>
  <conditionalFormatting sqref="AD44">
    <cfRule type="cellIs" dxfId="2" priority="2010" operator="equal">
      <formula>"未完成"</formula>
    </cfRule>
    <cfRule type="cellIs" dxfId="0" priority="2011" operator="equal">
      <formula>"未完成"</formula>
    </cfRule>
  </conditionalFormatting>
  <conditionalFormatting sqref="AH44">
    <cfRule type="cellIs" dxfId="0" priority="2002" operator="equal">
      <formula>"未完成"</formula>
    </cfRule>
  </conditionalFormatting>
  <conditionalFormatting sqref="R45">
    <cfRule type="containsText" dxfId="3" priority="1983" operator="between" text="欠">
      <formula>NOT(ISERROR(SEARCH("欠",R45)))</formula>
    </cfRule>
    <cfRule type="containsText" dxfId="0" priority="1996" operator="between" text="欠">
      <formula>NOT(ISERROR(SEARCH("欠",R45)))</formula>
    </cfRule>
  </conditionalFormatting>
  <conditionalFormatting sqref="T45">
    <cfRule type="containsText" dxfId="0" priority="1993" operator="between" text="欠">
      <formula>NOT(ISERROR(SEARCH("欠",T45)))</formula>
    </cfRule>
    <cfRule type="cellIs" dxfId="0" priority="1994" operator="equal">
      <formula>"欠"</formula>
    </cfRule>
  </conditionalFormatting>
  <conditionalFormatting sqref="U45">
    <cfRule type="containsText" dxfId="0" priority="1984" operator="between" text="欠">
      <formula>NOT(ISERROR(SEARCH("欠",U45)))</formula>
    </cfRule>
    <cfRule type="containsText" dxfId="1" priority="1985" operator="between" text="欠">
      <formula>NOT(ISERROR(SEARCH("欠",U45)))</formula>
    </cfRule>
    <cfRule type="cellIs" dxfId="0" priority="1986" operator="equal">
      <formula>"欠"</formula>
    </cfRule>
  </conditionalFormatting>
  <conditionalFormatting sqref="V45">
    <cfRule type="containsText" dxfId="0" priority="1987" operator="between" text="欠">
      <formula>NOT(ISERROR(SEARCH("欠",V45)))</formula>
    </cfRule>
    <cfRule type="containsText" dxfId="1" priority="1988" operator="between" text="欠">
      <formula>NOT(ISERROR(SEARCH("欠",V45)))</formula>
    </cfRule>
    <cfRule type="cellIs" dxfId="0" priority="1989" operator="equal">
      <formula>"欠"</formula>
    </cfRule>
  </conditionalFormatting>
  <conditionalFormatting sqref="W45">
    <cfRule type="cellIs" dxfId="0" priority="1990" operator="equal">
      <formula>"欠"</formula>
    </cfRule>
  </conditionalFormatting>
  <conditionalFormatting sqref="AD45">
    <cfRule type="cellIs" dxfId="2" priority="1991" operator="equal">
      <formula>"未完成"</formula>
    </cfRule>
    <cfRule type="cellIs" dxfId="0" priority="1992" operator="equal">
      <formula>"未完成"</formula>
    </cfRule>
  </conditionalFormatting>
  <conditionalFormatting sqref="AH45">
    <cfRule type="cellIs" dxfId="0" priority="1995" operator="equal">
      <formula>"未完成"</formula>
    </cfRule>
  </conditionalFormatting>
  <conditionalFormatting sqref="R46">
    <cfRule type="containsText" dxfId="0" priority="1978" operator="between" text="欠">
      <formula>NOT(ISERROR(SEARCH("欠",R46)))</formula>
    </cfRule>
  </conditionalFormatting>
  <conditionalFormatting sqref="S46">
    <cfRule type="cellIs" dxfId="0" priority="1981" operator="equal">
      <formula>"欠"</formula>
    </cfRule>
  </conditionalFormatting>
  <conditionalFormatting sqref="T46">
    <cfRule type="cellIs" dxfId="0" priority="1980" operator="equal">
      <formula>"欠"</formula>
    </cfRule>
    <cfRule type="containsText" dxfId="0" priority="1979" operator="between" text="欠">
      <formula>NOT(ISERROR(SEARCH("欠",T46)))</formula>
    </cfRule>
  </conditionalFormatting>
  <conditionalFormatting sqref="AE46">
    <cfRule type="cellIs" dxfId="0" priority="1975" operator="equal">
      <formula>"未完成"</formula>
    </cfRule>
  </conditionalFormatting>
  <conditionalFormatting sqref="AI46">
    <cfRule type="cellIs" dxfId="0" priority="1977" operator="equal">
      <formula>"未完成"</formula>
    </cfRule>
    <cfRule type="cellIs" dxfId="2" priority="1976" operator="equal">
      <formula>"未完成"</formula>
    </cfRule>
  </conditionalFormatting>
  <conditionalFormatting sqref="R47">
    <cfRule type="containsText" dxfId="0" priority="1963" operator="between" text="欠">
      <formula>NOT(ISERROR(SEARCH("欠",R47)))</formula>
    </cfRule>
    <cfRule type="containsText" dxfId="3" priority="1960" operator="between" text="欠">
      <formula>NOT(ISERROR(SEARCH("欠",R47)))</formula>
    </cfRule>
  </conditionalFormatting>
  <conditionalFormatting sqref="S47">
    <cfRule type="cellIs" dxfId="0" priority="1974" operator="equal">
      <formula>"欠"</formula>
    </cfRule>
    <cfRule type="containsText" dxfId="0" priority="1973" operator="between" text="欠">
      <formula>NOT(ISERROR(SEARCH("欠",S47)))</formula>
    </cfRule>
  </conditionalFormatting>
  <conditionalFormatting sqref="T47">
    <cfRule type="cellIs" dxfId="0" priority="1968" operator="equal">
      <formula>"欠"</formula>
    </cfRule>
    <cfRule type="containsText" dxfId="0" priority="1967" operator="between" text="欠">
      <formula>NOT(ISERROR(SEARCH("欠",T47)))</formula>
    </cfRule>
  </conditionalFormatting>
  <conditionalFormatting sqref="U47:V47">
    <cfRule type="cellIs" dxfId="0" priority="1971" operator="equal">
      <formula>"欠"</formula>
    </cfRule>
    <cfRule type="containsText" dxfId="1" priority="1970" operator="between" text="欠">
      <formula>NOT(ISERROR(SEARCH("欠",U47)))</formula>
    </cfRule>
    <cfRule type="containsText" dxfId="0" priority="1969" operator="between" text="欠">
      <formula>NOT(ISERROR(SEARCH("欠",U47)))</formula>
    </cfRule>
  </conditionalFormatting>
  <conditionalFormatting sqref="W47">
    <cfRule type="cellIs" dxfId="0" priority="1972" operator="equal">
      <formula>"欠"</formula>
    </cfRule>
  </conditionalFormatting>
  <conditionalFormatting sqref="AD47">
    <cfRule type="cellIs" dxfId="0" priority="1966" operator="equal">
      <formula>"未完成"</formula>
    </cfRule>
    <cfRule type="cellIs" dxfId="2" priority="1965" operator="equal">
      <formula>"未完成"</formula>
    </cfRule>
  </conditionalFormatting>
  <conditionalFormatting sqref="AH47">
    <cfRule type="cellIs" dxfId="0" priority="1964" operator="equal">
      <formula>"未完成"</formula>
    </cfRule>
  </conditionalFormatting>
  <conditionalFormatting sqref="R48">
    <cfRule type="containsText" dxfId="0" priority="1953" operator="between" text="欠">
      <formula>NOT(ISERROR(SEARCH("欠",R48)))</formula>
    </cfRule>
  </conditionalFormatting>
  <conditionalFormatting sqref="S48">
    <cfRule type="containsText" dxfId="0" priority="1951" operator="between" text="欠">
      <formula>NOT(ISERROR(SEARCH("欠",S48)))</formula>
    </cfRule>
    <cfRule type="cellIs" dxfId="0" priority="1952" operator="equal">
      <formula>"欠"</formula>
    </cfRule>
  </conditionalFormatting>
  <conditionalFormatting sqref="T48">
    <cfRule type="containsText" dxfId="0" priority="1954" operator="between" text="欠">
      <formula>NOT(ISERROR(SEARCH("欠",T48)))</formula>
    </cfRule>
    <cfRule type="cellIs" dxfId="0" priority="1955" operator="equal">
      <formula>"欠"</formula>
    </cfRule>
  </conditionalFormatting>
  <conditionalFormatting sqref="AE48">
    <cfRule type="cellIs" dxfId="0" priority="1956" operator="equal">
      <formula>"未完成"</formula>
    </cfRule>
  </conditionalFormatting>
  <conditionalFormatting sqref="AI48">
    <cfRule type="cellIs" dxfId="2" priority="1957" operator="equal">
      <formula>"未完成"</formula>
    </cfRule>
    <cfRule type="cellIs" dxfId="0" priority="1958" operator="equal">
      <formula>"未完成"</formula>
    </cfRule>
  </conditionalFormatting>
  <conditionalFormatting sqref="R49">
    <cfRule type="containsText" dxfId="0" priority="1941" operator="between" text="欠">
      <formula>NOT(ISERROR(SEARCH("欠",R49)))</formula>
    </cfRule>
  </conditionalFormatting>
  <conditionalFormatting sqref="S49">
    <cfRule type="containsText" dxfId="0" priority="1944" operator="between" text="欠">
      <formula>NOT(ISERROR(SEARCH("欠",S49)))</formula>
    </cfRule>
    <cfRule type="cellIs" dxfId="0" priority="1945" operator="equal">
      <formula>"欠"</formula>
    </cfRule>
  </conditionalFormatting>
  <conditionalFormatting sqref="T49">
    <cfRule type="containsText" dxfId="0" priority="1942" operator="between" text="欠">
      <formula>NOT(ISERROR(SEARCH("欠",T49)))</formula>
    </cfRule>
    <cfRule type="cellIs" dxfId="0" priority="1943" operator="equal">
      <formula>"欠"</formula>
    </cfRule>
  </conditionalFormatting>
  <conditionalFormatting sqref="AE49">
    <cfRule type="cellIs" dxfId="0" priority="1946" operator="equal">
      <formula>"未完成"</formula>
    </cfRule>
  </conditionalFormatting>
  <conditionalFormatting sqref="AI49">
    <cfRule type="cellIs" dxfId="2" priority="1947" operator="equal">
      <formula>"未完成"</formula>
    </cfRule>
    <cfRule type="cellIs" dxfId="0" priority="1948" operator="equal">
      <formula>"未完成"</formula>
    </cfRule>
  </conditionalFormatting>
  <conditionalFormatting sqref="R50">
    <cfRule type="containsText" dxfId="0" priority="1937" operator="between" text="欠">
      <formula>NOT(ISERROR(SEARCH("欠",R50)))</formula>
    </cfRule>
    <cfRule type="containsText" dxfId="3" priority="1925" operator="between" text="欠">
      <formula>NOT(ISERROR(SEARCH("欠",R50)))</formula>
    </cfRule>
  </conditionalFormatting>
  <conditionalFormatting sqref="S50">
    <cfRule type="cellIs" dxfId="0" priority="1928" operator="equal">
      <formula>"欠"</formula>
    </cfRule>
    <cfRule type="containsText" dxfId="0" priority="1927" operator="between" text="欠">
      <formula>NOT(ISERROR(SEARCH("欠",S50)))</formula>
    </cfRule>
  </conditionalFormatting>
  <conditionalFormatting sqref="T50">
    <cfRule type="cellIs" dxfId="0" priority="1932" operator="equal">
      <formula>"欠"</formula>
    </cfRule>
    <cfRule type="containsText" dxfId="0" priority="1931" operator="between" text="欠">
      <formula>NOT(ISERROR(SEARCH("欠",T50)))</formula>
    </cfRule>
  </conditionalFormatting>
  <conditionalFormatting sqref="U50:V50">
    <cfRule type="cellIs" dxfId="0" priority="1935" operator="equal">
      <formula>"欠"</formula>
    </cfRule>
    <cfRule type="containsText" dxfId="1" priority="1934" operator="between" text="欠">
      <formula>NOT(ISERROR(SEARCH("欠",U50)))</formula>
    </cfRule>
    <cfRule type="containsText" dxfId="0" priority="1933" operator="between" text="欠">
      <formula>NOT(ISERROR(SEARCH("欠",U50)))</formula>
    </cfRule>
  </conditionalFormatting>
  <conditionalFormatting sqref="W50">
    <cfRule type="cellIs" dxfId="0" priority="1939" operator="equal">
      <formula>"欠"</formula>
    </cfRule>
  </conditionalFormatting>
  <conditionalFormatting sqref="AD50">
    <cfRule type="cellIs" dxfId="0" priority="1930" operator="equal">
      <formula>"未完成"</formula>
    </cfRule>
    <cfRule type="cellIs" dxfId="2" priority="1929" operator="equal">
      <formula>"未完成"</formula>
    </cfRule>
  </conditionalFormatting>
  <conditionalFormatting sqref="AH50">
    <cfRule type="cellIs" dxfId="0" priority="1940" operator="equal">
      <formula>"未完成"</formula>
    </cfRule>
  </conditionalFormatting>
  <conditionalFormatting sqref="R51">
    <cfRule type="containsText" dxfId="3" priority="1906" operator="between" text="欠">
      <formula>NOT(ISERROR(SEARCH("欠",R51)))</formula>
    </cfRule>
    <cfRule type="containsText" dxfId="0" priority="1913" operator="between" text="欠">
      <formula>NOT(ISERROR(SEARCH("欠",R51)))</formula>
    </cfRule>
  </conditionalFormatting>
  <conditionalFormatting sqref="S51">
    <cfRule type="containsText" dxfId="0" priority="1922" operator="between" text="欠">
      <formula>NOT(ISERROR(SEARCH("欠",S51)))</formula>
    </cfRule>
    <cfRule type="cellIs" dxfId="0" priority="1923" operator="equal">
      <formula>"欠"</formula>
    </cfRule>
  </conditionalFormatting>
  <conditionalFormatting sqref="T51">
    <cfRule type="containsText" dxfId="0" priority="1916" operator="between" text="欠">
      <formula>NOT(ISERROR(SEARCH("欠",T51)))</formula>
    </cfRule>
    <cfRule type="cellIs" dxfId="0" priority="1917" operator="equal">
      <formula>"欠"</formula>
    </cfRule>
  </conditionalFormatting>
  <conditionalFormatting sqref="U51:V51">
    <cfRule type="containsText" dxfId="0" priority="1918" operator="between" text="欠">
      <formula>NOT(ISERROR(SEARCH("欠",U51)))</formula>
    </cfRule>
    <cfRule type="containsText" dxfId="1" priority="1919" operator="between" text="欠">
      <formula>NOT(ISERROR(SEARCH("欠",U51)))</formula>
    </cfRule>
    <cfRule type="cellIs" dxfId="0" priority="1920" operator="equal">
      <formula>"欠"</formula>
    </cfRule>
  </conditionalFormatting>
  <conditionalFormatting sqref="W51">
    <cfRule type="cellIs" dxfId="0" priority="1921" operator="equal">
      <formula>"欠"</formula>
    </cfRule>
  </conditionalFormatting>
  <conditionalFormatting sqref="AD51">
    <cfRule type="cellIs" dxfId="2" priority="1914" operator="equal">
      <formula>"未完成"</formula>
    </cfRule>
    <cfRule type="cellIs" dxfId="0" priority="1915" operator="equal">
      <formula>"未完成"</formula>
    </cfRule>
  </conditionalFormatting>
  <conditionalFormatting sqref="AH51">
    <cfRule type="cellIs" dxfId="0" priority="1909" operator="equal">
      <formula>"未完成"</formula>
    </cfRule>
  </conditionalFormatting>
  <conditionalFormatting sqref="R52">
    <cfRule type="containsText" dxfId="3" priority="1891" operator="between" text="欠">
      <formula>NOT(ISERROR(SEARCH("欠",R52)))</formula>
    </cfRule>
    <cfRule type="containsText" dxfId="0" priority="1895" operator="between" text="欠">
      <formula>NOT(ISERROR(SEARCH("欠",R52)))</formula>
    </cfRule>
  </conditionalFormatting>
  <conditionalFormatting sqref="S52">
    <cfRule type="containsText" dxfId="0" priority="1893" operator="between" text="欠">
      <formula>NOT(ISERROR(SEARCH("欠",S52)))</formula>
    </cfRule>
    <cfRule type="cellIs" dxfId="0" priority="1894" operator="equal">
      <formula>"欠"</formula>
    </cfRule>
  </conditionalFormatting>
  <conditionalFormatting sqref="T52">
    <cfRule type="containsText" dxfId="0" priority="1898" operator="between" text="欠">
      <formula>NOT(ISERROR(SEARCH("欠",T52)))</formula>
    </cfRule>
    <cfRule type="cellIs" dxfId="0" priority="1899" operator="equal">
      <formula>"欠"</formula>
    </cfRule>
  </conditionalFormatting>
  <conditionalFormatting sqref="U52:V52">
    <cfRule type="containsText" dxfId="0" priority="1900" operator="between" text="欠">
      <formula>NOT(ISERROR(SEARCH("欠",U52)))</formula>
    </cfRule>
    <cfRule type="containsText" dxfId="1" priority="1901" operator="between" text="欠">
      <formula>NOT(ISERROR(SEARCH("欠",U52)))</formula>
    </cfRule>
    <cfRule type="cellIs" dxfId="0" priority="1902" operator="equal">
      <formula>"欠"</formula>
    </cfRule>
  </conditionalFormatting>
  <conditionalFormatting sqref="W52">
    <cfRule type="cellIs" dxfId="0" priority="1903" operator="equal">
      <formula>"欠"</formula>
    </cfRule>
  </conditionalFormatting>
  <conditionalFormatting sqref="AD52">
    <cfRule type="cellIs" dxfId="2" priority="1896" operator="equal">
      <formula>"未完成"</formula>
    </cfRule>
    <cfRule type="cellIs" dxfId="0" priority="1897" operator="equal">
      <formula>"未完成"</formula>
    </cfRule>
  </conditionalFormatting>
  <conditionalFormatting sqref="AH52">
    <cfRule type="cellIs" dxfId="0" priority="1892" operator="equal">
      <formula>"未完成"</formula>
    </cfRule>
  </conditionalFormatting>
  <conditionalFormatting sqref="R53">
    <cfRule type="containsText" dxfId="0" priority="1885" operator="between" text="欠">
      <formula>NOT(ISERROR(SEARCH("欠",R53)))</formula>
    </cfRule>
  </conditionalFormatting>
  <conditionalFormatting sqref="S53">
    <cfRule type="containsText" dxfId="0" priority="1886" operator="between" text="欠">
      <formula>NOT(ISERROR(SEARCH("欠",S53)))</formula>
    </cfRule>
    <cfRule type="cellIs" dxfId="0" priority="1887" operator="equal">
      <formula>"欠"</formula>
    </cfRule>
  </conditionalFormatting>
  <conditionalFormatting sqref="T53">
    <cfRule type="containsText" dxfId="0" priority="1888" operator="between" text="欠">
      <formula>NOT(ISERROR(SEARCH("欠",T53)))</formula>
    </cfRule>
    <cfRule type="cellIs" dxfId="0" priority="1889" operator="equal">
      <formula>"欠"</formula>
    </cfRule>
  </conditionalFormatting>
  <conditionalFormatting sqref="AE53">
    <cfRule type="cellIs" dxfId="0" priority="1882" operator="equal">
      <formula>"未完成"</formula>
    </cfRule>
  </conditionalFormatting>
  <conditionalFormatting sqref="AI53">
    <cfRule type="cellIs" dxfId="2" priority="1883" operator="equal">
      <formula>"未完成"</formula>
    </cfRule>
    <cfRule type="cellIs" dxfId="0" priority="1884" operator="equal">
      <formula>"未完成"</formula>
    </cfRule>
  </conditionalFormatting>
  <conditionalFormatting sqref="T54">
    <cfRule type="cellIs" dxfId="0" priority="1876" operator="equal">
      <formula>"欠"</formula>
    </cfRule>
    <cfRule type="containsText" dxfId="0" priority="1874" operator="between" text="欠">
      <formula>NOT(ISERROR(SEARCH("欠",T54)))</formula>
    </cfRule>
  </conditionalFormatting>
  <conditionalFormatting sqref="AI54">
    <cfRule type="cellIs" dxfId="0" priority="1881" operator="equal">
      <formula>"未完成"</formula>
    </cfRule>
    <cfRule type="cellIs" dxfId="2" priority="1879" operator="equal">
      <formula>"未完成"</formula>
    </cfRule>
  </conditionalFormatting>
  <conditionalFormatting sqref="T55">
    <cfRule type="containsText" dxfId="0" priority="1873" operator="between" text="欠">
      <formula>NOT(ISERROR(SEARCH("欠",T55)))</formula>
    </cfRule>
    <cfRule type="cellIs" dxfId="0" priority="1875" operator="equal">
      <formula>"欠"</formula>
    </cfRule>
  </conditionalFormatting>
  <conditionalFormatting sqref="AI55">
    <cfRule type="cellIs" dxfId="2" priority="1878" operator="equal">
      <formula>"未完成"</formula>
    </cfRule>
    <cfRule type="cellIs" dxfId="0" priority="1880" operator="equal">
      <formula>"未完成"</formula>
    </cfRule>
  </conditionalFormatting>
  <conditionalFormatting sqref="R56">
    <cfRule type="containsText" dxfId="0" priority="1869" operator="between" text="欠">
      <formula>NOT(ISERROR(SEARCH("欠",R56)))</formula>
    </cfRule>
  </conditionalFormatting>
  <conditionalFormatting sqref="U56:V56">
    <cfRule type="cellIs" dxfId="0" priority="1862" operator="equal">
      <formula>"欠"</formula>
    </cfRule>
    <cfRule type="containsText" dxfId="1" priority="1860" operator="between" text="欠">
      <formula>NOT(ISERROR(SEARCH("欠",U56)))</formula>
    </cfRule>
    <cfRule type="containsText" dxfId="0" priority="1858" operator="between" text="欠">
      <formula>NOT(ISERROR(SEARCH("欠",U56)))</formula>
    </cfRule>
  </conditionalFormatting>
  <conditionalFormatting sqref="R57">
    <cfRule type="containsText" dxfId="0" priority="1867" operator="between" text="欠">
      <formula>NOT(ISERROR(SEARCH("欠",R57)))</formula>
    </cfRule>
  </conditionalFormatting>
  <conditionalFormatting sqref="U57:V57">
    <cfRule type="containsText" dxfId="0" priority="1857" operator="between" text="欠">
      <formula>NOT(ISERROR(SEARCH("欠",U57)))</formula>
    </cfRule>
    <cfRule type="containsText" dxfId="1" priority="1859" operator="between" text="欠">
      <formula>NOT(ISERROR(SEARCH("欠",U57)))</formula>
    </cfRule>
    <cfRule type="cellIs" dxfId="0" priority="1861" operator="equal">
      <formula>"欠"</formula>
    </cfRule>
  </conditionalFormatting>
  <conditionalFormatting sqref="R58">
    <cfRule type="containsText" dxfId="3" priority="1846" operator="between" text="欠">
      <formula>NOT(ISERROR(SEARCH("欠",R58)))</formula>
    </cfRule>
  </conditionalFormatting>
  <conditionalFormatting sqref="U58:V58">
    <cfRule type="containsText" dxfId="0" priority="1849" operator="between" text="欠">
      <formula>NOT(ISERROR(SEARCH("欠",U58)))</formula>
    </cfRule>
    <cfRule type="containsText" dxfId="1" priority="1850" operator="between" text="欠">
      <formula>NOT(ISERROR(SEARCH("欠",U58)))</formula>
    </cfRule>
  </conditionalFormatting>
  <conditionalFormatting sqref="U58:W58">
    <cfRule type="cellIs" dxfId="0" priority="1851" operator="equal">
      <formula>"欠"</formula>
    </cfRule>
  </conditionalFormatting>
  <conditionalFormatting sqref="AD58">
    <cfRule type="cellIs" dxfId="2" priority="1847" operator="equal">
      <formula>"未完成"</formula>
    </cfRule>
    <cfRule type="cellIs" dxfId="0" priority="1848" operator="equal">
      <formula>"未完成"</formula>
    </cfRule>
  </conditionalFormatting>
  <conditionalFormatting sqref="AH58">
    <cfRule type="cellIs" dxfId="0" priority="1852" operator="equal">
      <formula>"未完成"</formula>
    </cfRule>
  </conditionalFormatting>
  <conditionalFormatting sqref="R60">
    <cfRule type="containsText" dxfId="0" priority="1836" operator="between" text="欠">
      <formula>NOT(ISERROR(SEARCH("欠",R60)))</formula>
    </cfRule>
  </conditionalFormatting>
  <conditionalFormatting sqref="S60">
    <cfRule type="cellIs" dxfId="0" priority="1833" operator="equal">
      <formula>"欠"</formula>
    </cfRule>
    <cfRule type="containsText" dxfId="0" priority="1832" operator="between" text="欠">
      <formula>NOT(ISERROR(SEARCH("欠",S60)))</formula>
    </cfRule>
  </conditionalFormatting>
  <conditionalFormatting sqref="T60">
    <cfRule type="cellIs" dxfId="0" priority="1835" operator="equal">
      <formula>"欠"</formula>
    </cfRule>
    <cfRule type="containsText" dxfId="0" priority="1834" operator="between" text="欠">
      <formula>NOT(ISERROR(SEARCH("欠",T60)))</formula>
    </cfRule>
  </conditionalFormatting>
  <conditionalFormatting sqref="U60:V60">
    <cfRule type="cellIs" dxfId="0" priority="1842" operator="equal">
      <formula>"欠"</formula>
    </cfRule>
    <cfRule type="containsText" dxfId="1" priority="1841" operator="between" text="欠">
      <formula>NOT(ISERROR(SEARCH("欠",U60)))</formula>
    </cfRule>
    <cfRule type="containsText" dxfId="0" priority="1840" operator="between" text="欠">
      <formula>NOT(ISERROR(SEARCH("欠",U60)))</formula>
    </cfRule>
  </conditionalFormatting>
  <conditionalFormatting sqref="W60">
    <cfRule type="cellIs" dxfId="0" priority="1843" operator="equal">
      <formula>"欠"</formula>
    </cfRule>
  </conditionalFormatting>
  <conditionalFormatting sqref="AD60">
    <cfRule type="cellIs" dxfId="0" priority="1839" operator="equal">
      <formula>"未完成"</formula>
    </cfRule>
    <cfRule type="cellIs" dxfId="2" priority="1838" operator="equal">
      <formula>"未完成"</formula>
    </cfRule>
  </conditionalFormatting>
  <conditionalFormatting sqref="AH60">
    <cfRule type="cellIs" dxfId="0" priority="1844" operator="equal">
      <formula>"未完成"</formula>
    </cfRule>
  </conditionalFormatting>
  <conditionalFormatting sqref="R61">
    <cfRule type="containsText" dxfId="0" priority="1837" operator="between" text="欠">
      <formula>NOT(ISERROR(SEARCH("欠",R61)))</formula>
    </cfRule>
  </conditionalFormatting>
  <conditionalFormatting sqref="T61">
    <cfRule type="cellIs" dxfId="0" priority="1827" operator="equal">
      <formula>"欠"</formula>
    </cfRule>
    <cfRule type="containsText" dxfId="0" priority="1826" operator="between" text="欠">
      <formula>NOT(ISERROR(SEARCH("欠",T61)))</formula>
    </cfRule>
  </conditionalFormatting>
  <conditionalFormatting sqref="U61:V61">
    <cfRule type="cellIs" dxfId="0" priority="1830" operator="equal">
      <formula>"欠"</formula>
    </cfRule>
    <cfRule type="containsText" dxfId="1" priority="1829" operator="between" text="欠">
      <formula>NOT(ISERROR(SEARCH("欠",U61)))</formula>
    </cfRule>
    <cfRule type="containsText" dxfId="0" priority="1828" operator="between" text="欠">
      <formula>NOT(ISERROR(SEARCH("欠",U61)))</formula>
    </cfRule>
  </conditionalFormatting>
  <conditionalFormatting sqref="W61">
    <cfRule type="cellIs" dxfId="0" priority="1831" operator="equal">
      <formula>"欠"</formula>
    </cfRule>
  </conditionalFormatting>
  <conditionalFormatting sqref="AD61">
    <cfRule type="cellIs" dxfId="0" priority="1825" operator="equal">
      <formula>"未完成"</formula>
    </cfRule>
    <cfRule type="cellIs" dxfId="2" priority="1824" operator="equal">
      <formula>"未完成"</formula>
    </cfRule>
  </conditionalFormatting>
  <conditionalFormatting sqref="R62">
    <cfRule type="containsText" dxfId="0" priority="1823" operator="between" text="欠">
      <formula>NOT(ISERROR(SEARCH("欠",R62)))</formula>
    </cfRule>
  </conditionalFormatting>
  <conditionalFormatting sqref="T62">
    <cfRule type="containsText" dxfId="0" priority="1817" operator="between" text="欠">
      <formula>NOT(ISERROR(SEARCH("欠",T62)))</formula>
    </cfRule>
    <cfRule type="cellIs" dxfId="0" priority="1818" operator="equal">
      <formula>"欠"</formula>
    </cfRule>
  </conditionalFormatting>
  <conditionalFormatting sqref="U62:V62">
    <cfRule type="containsText" dxfId="0" priority="1819" operator="between" text="欠">
      <formula>NOT(ISERROR(SEARCH("欠",U62)))</formula>
    </cfRule>
    <cfRule type="containsText" dxfId="1" priority="1820" operator="between" text="欠">
      <formula>NOT(ISERROR(SEARCH("欠",U62)))</formula>
    </cfRule>
    <cfRule type="cellIs" dxfId="0" priority="1821" operator="equal">
      <formula>"欠"</formula>
    </cfRule>
  </conditionalFormatting>
  <conditionalFormatting sqref="W62">
    <cfRule type="cellIs" dxfId="0" priority="1822" operator="equal">
      <formula>"欠"</formula>
    </cfRule>
  </conditionalFormatting>
  <conditionalFormatting sqref="AD62">
    <cfRule type="cellIs" dxfId="2" priority="1815" operator="equal">
      <formula>"未完成"</formula>
    </cfRule>
    <cfRule type="cellIs" dxfId="0" priority="1816" operator="equal">
      <formula>"未完成"</formula>
    </cfRule>
  </conditionalFormatting>
  <conditionalFormatting sqref="R63">
    <cfRule type="containsText" dxfId="0" priority="1806" operator="between" text="欠">
      <formula>NOT(ISERROR(SEARCH("欠",R63)))</formula>
    </cfRule>
  </conditionalFormatting>
  <conditionalFormatting sqref="S63">
    <cfRule type="containsText" dxfId="0" priority="1804" operator="between" text="欠">
      <formula>NOT(ISERROR(SEARCH("欠",S63)))</formula>
    </cfRule>
    <cfRule type="cellIs" dxfId="0" priority="1805" operator="equal">
      <formula>"欠"</formula>
    </cfRule>
  </conditionalFormatting>
  <conditionalFormatting sqref="T63">
    <cfRule type="containsText" dxfId="0" priority="1802" operator="between" text="欠">
      <formula>NOT(ISERROR(SEARCH("欠",T63)))</formula>
    </cfRule>
    <cfRule type="cellIs" dxfId="0" priority="1803" operator="equal">
      <formula>"欠"</formula>
    </cfRule>
  </conditionalFormatting>
  <conditionalFormatting sqref="AE63">
    <cfRule type="cellIs" dxfId="0" priority="1807" operator="equal">
      <formula>"未完成"</formula>
    </cfRule>
  </conditionalFormatting>
  <conditionalFormatting sqref="AI63">
    <cfRule type="cellIs" dxfId="2" priority="1808" operator="equal">
      <formula>"未完成"</formula>
    </cfRule>
    <cfRule type="cellIs" dxfId="0" priority="1809" operator="equal">
      <formula>"未完成"</formula>
    </cfRule>
  </conditionalFormatting>
  <conditionalFormatting sqref="R64">
    <cfRule type="containsText" dxfId="3" priority="1789" operator="between" text="欠">
      <formula>NOT(ISERROR(SEARCH("欠",R64)))</formula>
    </cfRule>
    <cfRule type="containsText" dxfId="0" priority="1791" operator="between" text="欠">
      <formula>NOT(ISERROR(SEARCH("欠",R64)))</formula>
    </cfRule>
  </conditionalFormatting>
  <conditionalFormatting sqref="S64">
    <cfRule type="containsText" dxfId="0" priority="1800" operator="between" text="欠">
      <formula>NOT(ISERROR(SEARCH("欠",S64)))</formula>
    </cfRule>
    <cfRule type="cellIs" dxfId="0" priority="1801" operator="equal">
      <formula>"欠"</formula>
    </cfRule>
  </conditionalFormatting>
  <conditionalFormatting sqref="T64">
    <cfRule type="containsText" dxfId="0" priority="1794" operator="between" text="欠">
      <formula>NOT(ISERROR(SEARCH("欠",T64)))</formula>
    </cfRule>
    <cfRule type="cellIs" dxfId="0" priority="1795" operator="equal">
      <formula>"欠"</formula>
    </cfRule>
  </conditionalFormatting>
  <conditionalFormatting sqref="U64:V64">
    <cfRule type="containsText" dxfId="0" priority="1796" operator="between" text="欠">
      <formula>NOT(ISERROR(SEARCH("欠",U64)))</formula>
    </cfRule>
    <cfRule type="containsText" dxfId="1" priority="1797" operator="between" text="欠">
      <formula>NOT(ISERROR(SEARCH("欠",U64)))</formula>
    </cfRule>
    <cfRule type="cellIs" dxfId="0" priority="1798" operator="equal">
      <formula>"欠"</formula>
    </cfRule>
  </conditionalFormatting>
  <conditionalFormatting sqref="W64">
    <cfRule type="cellIs" dxfId="0" priority="1799" operator="equal">
      <formula>"欠"</formula>
    </cfRule>
  </conditionalFormatting>
  <conditionalFormatting sqref="AD64">
    <cfRule type="cellIs" dxfId="2" priority="1792" operator="equal">
      <formula>"未完成"</formula>
    </cfRule>
    <cfRule type="cellIs" dxfId="0" priority="1793" operator="equal">
      <formula>"未完成"</formula>
    </cfRule>
  </conditionalFormatting>
  <conditionalFormatting sqref="AH64">
    <cfRule type="cellIs" dxfId="0" priority="1790" operator="equal">
      <formula>"未完成"</formula>
    </cfRule>
  </conditionalFormatting>
  <conditionalFormatting sqref="R65">
    <cfRule type="containsText" dxfId="0" priority="1787" operator="between" text="欠">
      <formula>NOT(ISERROR(SEARCH("欠",R65)))</formula>
    </cfRule>
  </conditionalFormatting>
  <conditionalFormatting sqref="S65">
    <cfRule type="cellIs" dxfId="0" priority="1786" operator="equal">
      <formula>"欠"</formula>
    </cfRule>
  </conditionalFormatting>
  <conditionalFormatting sqref="T65">
    <cfRule type="containsText" dxfId="0" priority="1784" operator="between" text="欠">
      <formula>NOT(ISERROR(SEARCH("欠",T65)))</formula>
    </cfRule>
    <cfRule type="cellIs" dxfId="0" priority="1785" operator="equal">
      <formula>"欠"</formula>
    </cfRule>
  </conditionalFormatting>
  <conditionalFormatting sqref="AE65">
    <cfRule type="cellIs" dxfId="0" priority="1781" operator="equal">
      <formula>"未完成"</formula>
    </cfRule>
  </conditionalFormatting>
  <conditionalFormatting sqref="AI65">
    <cfRule type="cellIs" dxfId="2" priority="1782" operator="equal">
      <formula>"未完成"</formula>
    </cfRule>
    <cfRule type="cellIs" dxfId="0" priority="1783" operator="equal">
      <formula>"未完成"</formula>
    </cfRule>
  </conditionalFormatting>
  <conditionalFormatting sqref="R66">
    <cfRule type="containsText" dxfId="3" priority="1645" operator="between" text="欠">
      <formula>NOT(ISERROR(SEARCH("欠",R66)))</formula>
    </cfRule>
  </conditionalFormatting>
  <conditionalFormatting sqref="T66">
    <cfRule type="containsText" dxfId="3" priority="1646" operator="between" text="欠">
      <formula>NOT(ISERROR(SEARCH("欠",T66)))</formula>
    </cfRule>
  </conditionalFormatting>
  <conditionalFormatting sqref="R67">
    <cfRule type="containsText" dxfId="3" priority="1638" operator="between" text="欠">
      <formula>NOT(ISERROR(SEARCH("欠",R67)))</formula>
    </cfRule>
    <cfRule type="containsText" dxfId="0" priority="1640" operator="between" text="欠">
      <formula>NOT(ISERROR(SEARCH("欠",R67)))</formula>
    </cfRule>
  </conditionalFormatting>
  <conditionalFormatting sqref="S67">
    <cfRule type="cellIs" dxfId="0" priority="1644" operator="equal">
      <formula>"欠"</formula>
    </cfRule>
  </conditionalFormatting>
  <conditionalFormatting sqref="T67">
    <cfRule type="containsText" dxfId="3" priority="1639" operator="between" text="欠">
      <formula>NOT(ISERROR(SEARCH("欠",T67)))</formula>
    </cfRule>
    <cfRule type="containsText" dxfId="0" priority="1642" operator="between" text="欠">
      <formula>NOT(ISERROR(SEARCH("欠",T67)))</formula>
    </cfRule>
    <cfRule type="cellIs" dxfId="0" priority="1643" operator="equal">
      <formula>"欠"</formula>
    </cfRule>
  </conditionalFormatting>
  <conditionalFormatting sqref="AE67">
    <cfRule type="cellIs" dxfId="0" priority="1641" operator="equal">
      <formula>"未完成"</formula>
    </cfRule>
  </conditionalFormatting>
  <conditionalFormatting sqref="R68">
    <cfRule type="containsText" dxfId="3" priority="1628" operator="between" text="欠">
      <formula>NOT(ISERROR(SEARCH("欠",R68)))</formula>
    </cfRule>
    <cfRule type="containsText" dxfId="0" priority="1632" operator="between" text="欠">
      <formula>NOT(ISERROR(SEARCH("欠",R68)))</formula>
    </cfRule>
  </conditionalFormatting>
  <conditionalFormatting sqref="S68">
    <cfRule type="containsText" dxfId="0" priority="1630" operator="between" text="欠">
      <formula>NOT(ISERROR(SEARCH("欠",S68)))</formula>
    </cfRule>
    <cfRule type="cellIs" dxfId="0" priority="1631" operator="equal">
      <formula>"欠"</formula>
    </cfRule>
  </conditionalFormatting>
  <conditionalFormatting sqref="T68">
    <cfRule type="containsText" dxfId="3" priority="1629" operator="between" text="欠">
      <formula>NOT(ISERROR(SEARCH("欠",T68)))</formula>
    </cfRule>
    <cfRule type="containsText" dxfId="0" priority="1633" operator="between" text="欠">
      <formula>NOT(ISERROR(SEARCH("欠",T68)))</formula>
    </cfRule>
    <cfRule type="cellIs" dxfId="0" priority="1634" operator="equal">
      <formula>"欠"</formula>
    </cfRule>
  </conditionalFormatting>
  <conditionalFormatting sqref="AE68">
    <cfRule type="cellIs" dxfId="0" priority="1635" operator="equal">
      <formula>"未完成"</formula>
    </cfRule>
  </conditionalFormatting>
  <conditionalFormatting sqref="AI68">
    <cfRule type="cellIs" dxfId="2" priority="1636" operator="equal">
      <formula>"未完成"</formula>
    </cfRule>
    <cfRule type="cellIs" dxfId="0" priority="1637" operator="equal">
      <formula>"未完成"</formula>
    </cfRule>
  </conditionalFormatting>
  <conditionalFormatting sqref="R69">
    <cfRule type="containsText" dxfId="3" priority="1613" operator="between" text="欠">
      <formula>NOT(ISERROR(SEARCH("欠",R69)))</formula>
    </cfRule>
    <cfRule type="containsText" dxfId="0" priority="1617" operator="between" text="欠">
      <formula>NOT(ISERROR(SEARCH("欠",R69)))</formula>
    </cfRule>
  </conditionalFormatting>
  <conditionalFormatting sqref="S69">
    <cfRule type="containsText" dxfId="0" priority="1626" operator="between" text="欠">
      <formula>NOT(ISERROR(SEARCH("欠",S69)))</formula>
    </cfRule>
    <cfRule type="cellIs" dxfId="0" priority="1627" operator="equal">
      <formula>"欠"</formula>
    </cfRule>
  </conditionalFormatting>
  <conditionalFormatting sqref="T69">
    <cfRule type="containsText" dxfId="0" priority="1620" operator="between" text="欠">
      <formula>NOT(ISERROR(SEARCH("欠",T69)))</formula>
    </cfRule>
    <cfRule type="cellIs" dxfId="0" priority="1621" operator="equal">
      <formula>"欠"</formula>
    </cfRule>
  </conditionalFormatting>
  <conditionalFormatting sqref="U69:V69">
    <cfRule type="containsText" dxfId="0" priority="1622" operator="between" text="欠">
      <formula>NOT(ISERROR(SEARCH("欠",U69)))</formula>
    </cfRule>
    <cfRule type="containsText" dxfId="1" priority="1623" operator="between" text="欠">
      <formula>NOT(ISERROR(SEARCH("欠",U69)))</formula>
    </cfRule>
    <cfRule type="cellIs" dxfId="0" priority="1624" operator="equal">
      <formula>"欠"</formula>
    </cfRule>
  </conditionalFormatting>
  <conditionalFormatting sqref="W69">
    <cfRule type="cellIs" dxfId="0" priority="1625" operator="equal">
      <formula>"欠"</formula>
    </cfRule>
  </conditionalFormatting>
  <conditionalFormatting sqref="AD69">
    <cfRule type="cellIs" dxfId="2" priority="1618" operator="equal">
      <formula>"未完成"</formula>
    </cfRule>
    <cfRule type="cellIs" dxfId="0" priority="1619" operator="equal">
      <formula>"未完成"</formula>
    </cfRule>
  </conditionalFormatting>
  <conditionalFormatting sqref="AH69">
    <cfRule type="cellIs" dxfId="0" priority="1614" operator="equal">
      <formula>"未完成"</formula>
    </cfRule>
  </conditionalFormatting>
  <conditionalFormatting sqref="R70">
    <cfRule type="containsText" dxfId="0" priority="1611" operator="between" text="欠">
      <formula>NOT(ISERROR(SEARCH("欠",R70)))</formula>
    </cfRule>
    <cfRule type="containsText" dxfId="3" priority="1603" operator="between" text="欠">
      <formula>NOT(ISERROR(SEARCH("欠",R70)))</formula>
    </cfRule>
  </conditionalFormatting>
  <conditionalFormatting sqref="S70">
    <cfRule type="cellIs" dxfId="0" priority="1610" operator="equal">
      <formula>"欠"</formula>
    </cfRule>
  </conditionalFormatting>
  <conditionalFormatting sqref="T70">
    <cfRule type="cellIs" dxfId="0" priority="1609" operator="equal">
      <formula>"欠"</formula>
    </cfRule>
    <cfRule type="containsText" dxfId="0" priority="1608" operator="between" text="欠">
      <formula>NOT(ISERROR(SEARCH("欠",T70)))</formula>
    </cfRule>
    <cfRule type="containsText" dxfId="3" priority="1604" operator="between" text="欠">
      <formula>NOT(ISERROR(SEARCH("欠",T70)))</formula>
    </cfRule>
  </conditionalFormatting>
  <conditionalFormatting sqref="AF70">
    <cfRule type="cellIs" dxfId="0" priority="1605" operator="equal">
      <formula>"未完成"</formula>
    </cfRule>
  </conditionalFormatting>
  <conditionalFormatting sqref="AJ70">
    <cfRule type="cellIs" dxfId="0" priority="1607" operator="equal">
      <formula>"未完成"</formula>
    </cfRule>
    <cfRule type="cellIs" dxfId="2" priority="1606" operator="equal">
      <formula>"未完成"</formula>
    </cfRule>
  </conditionalFormatting>
  <conditionalFormatting sqref="V73:W73">
    <cfRule type="cellIs" dxfId="0" priority="1594" operator="equal">
      <formula>"欠"</formula>
    </cfRule>
    <cfRule type="containsText" dxfId="1" priority="1593" operator="between" text="欠">
      <formula>NOT(ISERROR(SEARCH("欠",V73)))</formula>
    </cfRule>
    <cfRule type="containsText" dxfId="0" priority="1592" operator="between" text="欠">
      <formula>NOT(ISERROR(SEARCH("欠",V73)))</formula>
    </cfRule>
  </conditionalFormatting>
  <conditionalFormatting sqref="X73">
    <cfRule type="cellIs" dxfId="0" priority="1595" operator="equal">
      <formula>"欠"</formula>
    </cfRule>
  </conditionalFormatting>
  <conditionalFormatting sqref="V74:W74">
    <cfRule type="cellIs" dxfId="0" priority="1590" operator="equal">
      <formula>"欠"</formula>
    </cfRule>
    <cfRule type="containsText" dxfId="1" priority="1589" operator="between" text="欠">
      <formula>NOT(ISERROR(SEARCH("欠",V74)))</formula>
    </cfRule>
    <cfRule type="containsText" dxfId="0" priority="1588" operator="between" text="欠">
      <formula>NOT(ISERROR(SEARCH("欠",V74)))</formula>
    </cfRule>
  </conditionalFormatting>
  <conditionalFormatting sqref="X74">
    <cfRule type="cellIs" dxfId="0" priority="1591" operator="equal">
      <formula>"欠"</formula>
    </cfRule>
  </conditionalFormatting>
  <conditionalFormatting sqref="R75">
    <cfRule type="containsText" dxfId="3" priority="1575" operator="between" text="欠">
      <formula>NOT(ISERROR(SEARCH("欠",R75)))</formula>
    </cfRule>
  </conditionalFormatting>
  <conditionalFormatting sqref="S75">
    <cfRule type="cellIs" dxfId="0" priority="1577" operator="equal">
      <formula>"欠"</formula>
    </cfRule>
    <cfRule type="containsText" dxfId="0" priority="1576" operator="between" text="欠">
      <formula>NOT(ISERROR(SEARCH("欠",S75)))</formula>
    </cfRule>
  </conditionalFormatting>
  <conditionalFormatting sqref="AE75">
    <cfRule type="cellIs" dxfId="0" priority="1582" operator="equal">
      <formula>"未完成"</formula>
    </cfRule>
    <cfRule type="cellIs" dxfId="2" priority="1581" operator="equal">
      <formula>"未完成"</formula>
    </cfRule>
  </conditionalFormatting>
  <conditionalFormatting sqref="AI75">
    <cfRule type="cellIs" dxfId="0" priority="1578" operator="equal">
      <formula>"未完成"</formula>
    </cfRule>
  </conditionalFormatting>
  <conditionalFormatting sqref="R76">
    <cfRule type="containsText" dxfId="0" priority="1570" operator="between" text="欠">
      <formula>NOT(ISERROR(SEARCH("欠",R76)))</formula>
    </cfRule>
    <cfRule type="containsText" dxfId="3" priority="1564" operator="between" text="欠">
      <formula>NOT(ISERROR(SEARCH("欠",R76)))</formula>
    </cfRule>
  </conditionalFormatting>
  <conditionalFormatting sqref="S76">
    <cfRule type="cellIs" dxfId="0" priority="1569" operator="equal">
      <formula>"欠"</formula>
    </cfRule>
    <cfRule type="containsText" dxfId="0" priority="1568" operator="between" text="欠">
      <formula>NOT(ISERROR(SEARCH("欠",S76)))</formula>
    </cfRule>
  </conditionalFormatting>
  <conditionalFormatting sqref="T76">
    <cfRule type="cellIs" dxfId="0" priority="1567" operator="equal">
      <formula>"欠"</formula>
    </cfRule>
    <cfRule type="containsText" dxfId="0" priority="1566" operator="between" text="欠">
      <formula>NOT(ISERROR(SEARCH("欠",T76)))</formula>
    </cfRule>
    <cfRule type="containsText" dxfId="3" priority="1565" operator="between" text="欠">
      <formula>NOT(ISERROR(SEARCH("欠",T76)))</formula>
    </cfRule>
  </conditionalFormatting>
  <conditionalFormatting sqref="AF76">
    <cfRule type="cellIs" dxfId="0" priority="1571" operator="equal">
      <formula>"未完成"</formula>
    </cfRule>
  </conditionalFormatting>
  <conditionalFormatting sqref="AJ76">
    <cfRule type="cellIs" dxfId="0" priority="1573" operator="equal">
      <formula>"未完成"</formula>
    </cfRule>
    <cfRule type="cellIs" dxfId="2" priority="1572" operator="equal">
      <formula>"未完成"</formula>
    </cfRule>
  </conditionalFormatting>
  <conditionalFormatting sqref="R77">
    <cfRule type="containsText" dxfId="3" priority="1562" operator="between" text="欠">
      <formula>NOT(ISERROR(SEARCH("欠",R77)))</formula>
    </cfRule>
  </conditionalFormatting>
  <conditionalFormatting sqref="T77">
    <cfRule type="containsText" dxfId="3" priority="1563" operator="between" text="欠">
      <formula>NOT(ISERROR(SEARCH("欠",T77)))</formula>
    </cfRule>
  </conditionalFormatting>
  <conditionalFormatting sqref="R78">
    <cfRule type="containsText" dxfId="0" priority="1561" operator="between" text="欠">
      <formula>NOT(ISERROR(SEARCH("欠",R78)))</formula>
    </cfRule>
    <cfRule type="containsText" dxfId="3" priority="1551" operator="between" text="欠">
      <formula>NOT(ISERROR(SEARCH("欠",R78)))</formula>
    </cfRule>
  </conditionalFormatting>
  <conditionalFormatting sqref="S78">
    <cfRule type="cellIs" dxfId="0" priority="1560" operator="equal">
      <formula>"欠"</formula>
    </cfRule>
  </conditionalFormatting>
  <conditionalFormatting sqref="T78">
    <cfRule type="cellIs" dxfId="0" priority="1559" operator="equal">
      <formula>"欠"</formula>
    </cfRule>
    <cfRule type="containsText" dxfId="0" priority="1558" operator="between" text="欠">
      <formula>NOT(ISERROR(SEARCH("欠",T78)))</formula>
    </cfRule>
    <cfRule type="containsText" dxfId="3" priority="1552" operator="between" text="欠">
      <formula>NOT(ISERROR(SEARCH("欠",T78)))</formula>
    </cfRule>
  </conditionalFormatting>
  <conditionalFormatting sqref="AF78">
    <cfRule type="cellIs" dxfId="0" priority="1556" operator="equal">
      <formula>"未完成"</formula>
    </cfRule>
  </conditionalFormatting>
  <conditionalFormatting sqref="R79">
    <cfRule type="containsText" dxfId="3" priority="839" operator="between" text="欠">
      <formula>NOT(ISERROR(SEARCH("欠",R79)))</formula>
    </cfRule>
    <cfRule type="containsText" dxfId="0" priority="844" operator="between" text="欠">
      <formula>NOT(ISERROR(SEARCH("欠",R79)))</formula>
    </cfRule>
  </conditionalFormatting>
  <conditionalFormatting sqref="S79">
    <cfRule type="cellIs" dxfId="0" priority="845" operator="equal">
      <formula>"欠"</formula>
    </cfRule>
  </conditionalFormatting>
  <conditionalFormatting sqref="T79">
    <cfRule type="containsText" dxfId="3" priority="840" operator="between" text="欠">
      <formula>NOT(ISERROR(SEARCH("欠",T79)))</formula>
    </cfRule>
    <cfRule type="containsText" dxfId="0" priority="848" operator="between" text="欠">
      <formula>NOT(ISERROR(SEARCH("欠",T79)))</formula>
    </cfRule>
    <cfRule type="cellIs" dxfId="0" priority="849" operator="equal">
      <formula>"欠"</formula>
    </cfRule>
  </conditionalFormatting>
  <conditionalFormatting sqref="AF79">
    <cfRule type="cellIs" dxfId="0" priority="841" operator="equal">
      <formula>"未完成"</formula>
    </cfRule>
  </conditionalFormatting>
  <conditionalFormatting sqref="AJ79">
    <cfRule type="cellIs" dxfId="2" priority="842" operator="equal">
      <formula>"未完成"</formula>
    </cfRule>
    <cfRule type="cellIs" dxfId="0" priority="843" operator="equal">
      <formula>"未完成"</formula>
    </cfRule>
  </conditionalFormatting>
  <conditionalFormatting sqref="R83">
    <cfRule type="containsText" dxfId="0" priority="1504" operator="between" text="欠">
      <formula>NOT(ISERROR(SEARCH("欠",R83)))</formula>
    </cfRule>
  </conditionalFormatting>
  <conditionalFormatting sqref="S83">
    <cfRule type="containsText" dxfId="0" priority="1505" operator="between" text="欠">
      <formula>NOT(ISERROR(SEARCH("欠",S83)))</formula>
    </cfRule>
    <cfRule type="cellIs" dxfId="0" priority="1506" operator="equal">
      <formula>"欠"</formula>
    </cfRule>
  </conditionalFormatting>
  <conditionalFormatting sqref="T83">
    <cfRule type="containsText" dxfId="0" priority="1499" operator="between" text="欠">
      <formula>NOT(ISERROR(SEARCH("欠",T83)))</formula>
    </cfRule>
    <cfRule type="cellIs" dxfId="0" priority="1500" operator="equal">
      <formula>"欠"</formula>
    </cfRule>
  </conditionalFormatting>
  <conditionalFormatting sqref="X83">
    <cfRule type="cellIs" dxfId="0" priority="1498" operator="equal">
      <formula>"欠"</formula>
    </cfRule>
  </conditionalFormatting>
  <conditionalFormatting sqref="AF83">
    <cfRule type="cellIs" dxfId="0" priority="1501" operator="equal">
      <formula>"未完成"</formula>
    </cfRule>
  </conditionalFormatting>
  <conditionalFormatting sqref="AJ83">
    <cfRule type="cellIs" dxfId="2" priority="1502" operator="equal">
      <formula>"未完成"</formula>
    </cfRule>
    <cfRule type="cellIs" dxfId="0" priority="1503" operator="equal">
      <formula>"未完成"</formula>
    </cfRule>
  </conditionalFormatting>
  <conditionalFormatting sqref="AF84">
    <cfRule type="cellIs" dxfId="0" priority="1488" operator="equal">
      <formula>"未完成"</formula>
    </cfRule>
  </conditionalFormatting>
  <conditionalFormatting sqref="AJ84">
    <cfRule type="cellIs" dxfId="2" priority="1489" operator="equal">
      <formula>"未完成"</formula>
    </cfRule>
    <cfRule type="cellIs" dxfId="0" priority="1490" operator="equal">
      <formula>"未完成"</formula>
    </cfRule>
  </conditionalFormatting>
  <conditionalFormatting sqref="R86">
    <cfRule type="containsText" dxfId="0" priority="1531" operator="between" text="欠">
      <formula>NOT(ISERROR(SEARCH("欠",R86)))</formula>
    </cfRule>
  </conditionalFormatting>
  <conditionalFormatting sqref="S86">
    <cfRule type="cellIs" dxfId="0" priority="1532" operator="equal">
      <formula>"欠"</formula>
    </cfRule>
  </conditionalFormatting>
  <conditionalFormatting sqref="T86">
    <cfRule type="containsText" dxfId="0" priority="1529" operator="between" text="欠">
      <formula>NOT(ISERROR(SEARCH("欠",T86)))</formula>
    </cfRule>
    <cfRule type="cellIs" dxfId="0" priority="1530" operator="equal">
      <formula>"欠"</formula>
    </cfRule>
  </conditionalFormatting>
  <conditionalFormatting sqref="AF86">
    <cfRule type="cellIs" dxfId="0" priority="1533" operator="equal">
      <formula>"未完成"</formula>
    </cfRule>
  </conditionalFormatting>
  <conditionalFormatting sqref="AJ86">
    <cfRule type="cellIs" dxfId="2" priority="1534" operator="equal">
      <formula>"未完成"</formula>
    </cfRule>
    <cfRule type="cellIs" dxfId="0" priority="1535" operator="equal">
      <formula>"未完成"</formula>
    </cfRule>
  </conditionalFormatting>
  <conditionalFormatting sqref="S87">
    <cfRule type="cellIs" dxfId="0" priority="1538" operator="equal">
      <formula>"欠"</formula>
    </cfRule>
  </conditionalFormatting>
  <conditionalFormatting sqref="T87">
    <cfRule type="containsText" dxfId="0" priority="1536" operator="between" text="欠">
      <formula>NOT(ISERROR(SEARCH("欠",T87)))</formula>
    </cfRule>
    <cfRule type="cellIs" dxfId="0" priority="1537" operator="equal">
      <formula>"欠"</formula>
    </cfRule>
  </conditionalFormatting>
  <conditionalFormatting sqref="AF87">
    <cfRule type="cellIs" dxfId="0" priority="1539" operator="equal">
      <formula>"未完成"</formula>
    </cfRule>
  </conditionalFormatting>
  <conditionalFormatting sqref="AJ87">
    <cfRule type="cellIs" dxfId="2" priority="1540" operator="equal">
      <formula>"未完成"</formula>
    </cfRule>
    <cfRule type="cellIs" dxfId="0" priority="1541" operator="equal">
      <formula>"未完成"</formula>
    </cfRule>
  </conditionalFormatting>
  <conditionalFormatting sqref="AF88">
    <cfRule type="cellIs" dxfId="0" priority="1493" operator="equal">
      <formula>"未完成"</formula>
    </cfRule>
  </conditionalFormatting>
  <conditionalFormatting sqref="AJ88">
    <cfRule type="cellIs" dxfId="2" priority="1495" operator="equal">
      <formula>"未完成"</formula>
    </cfRule>
    <cfRule type="cellIs" dxfId="0" priority="1497" operator="equal">
      <formula>"未完成"</formula>
    </cfRule>
  </conditionalFormatting>
  <conditionalFormatting sqref="AF89">
    <cfRule type="cellIs" dxfId="0" priority="1492" operator="equal">
      <formula>"未完成"</formula>
    </cfRule>
  </conditionalFormatting>
  <conditionalFormatting sqref="AJ89">
    <cfRule type="cellIs" dxfId="2" priority="1494" operator="equal">
      <formula>"未完成"</formula>
    </cfRule>
    <cfRule type="cellIs" dxfId="0" priority="1496" operator="equal">
      <formula>"未完成"</formula>
    </cfRule>
  </conditionalFormatting>
  <conditionalFormatting sqref="R90">
    <cfRule type="containsText" dxfId="3" priority="1479" operator="between" text="欠">
      <formula>NOT(ISERROR(SEARCH("欠",R90)))</formula>
    </cfRule>
  </conditionalFormatting>
  <conditionalFormatting sqref="T90">
    <cfRule type="containsText" dxfId="3" priority="1480" operator="between" text="欠">
      <formula>NOT(ISERROR(SEARCH("欠",T90)))</formula>
    </cfRule>
    <cfRule type="containsText" dxfId="0" priority="1484" operator="between" text="欠">
      <formula>NOT(ISERROR(SEARCH("欠",T90)))</formula>
    </cfRule>
    <cfRule type="cellIs" dxfId="0" priority="1485" operator="equal">
      <formula>"欠"</formula>
    </cfRule>
  </conditionalFormatting>
  <conditionalFormatting sqref="AF90">
    <cfRule type="cellIs" dxfId="0" priority="1481" operator="equal">
      <formula>"未完成"</formula>
    </cfRule>
  </conditionalFormatting>
  <conditionalFormatting sqref="AJ90">
    <cfRule type="cellIs" dxfId="2" priority="1482" operator="equal">
      <formula>"未完成"</formula>
    </cfRule>
    <cfRule type="cellIs" dxfId="0" priority="1483" operator="equal">
      <formula>"未完成"</formula>
    </cfRule>
  </conditionalFormatting>
  <conditionalFormatting sqref="R91">
    <cfRule type="containsText" dxfId="0" priority="1523" operator="between" text="欠">
      <formula>NOT(ISERROR(SEARCH("欠",R91)))</formula>
    </cfRule>
  </conditionalFormatting>
  <conditionalFormatting sqref="S91">
    <cfRule type="containsText" dxfId="0" priority="1515" operator="between" text="欠">
      <formula>NOT(ISERROR(SEARCH("欠",S91)))</formula>
    </cfRule>
    <cfRule type="cellIs" dxfId="0" priority="1516" operator="equal">
      <formula>"欠"</formula>
    </cfRule>
  </conditionalFormatting>
  <conditionalFormatting sqref="T91">
    <cfRule type="containsText" dxfId="0" priority="1524" operator="between" text="欠">
      <formula>NOT(ISERROR(SEARCH("欠",T91)))</formula>
    </cfRule>
    <cfRule type="cellIs" dxfId="0" priority="1525" operator="equal">
      <formula>"欠"</formula>
    </cfRule>
  </conditionalFormatting>
  <conditionalFormatting sqref="AF91">
    <cfRule type="cellIs" dxfId="0" priority="1526" operator="equal">
      <formula>"未完成"</formula>
    </cfRule>
  </conditionalFormatting>
  <conditionalFormatting sqref="AJ91">
    <cfRule type="cellIs" dxfId="2" priority="1527" operator="equal">
      <formula>"未完成"</formula>
    </cfRule>
    <cfRule type="cellIs" dxfId="0" priority="1528" operator="equal">
      <formula>"未完成"</formula>
    </cfRule>
  </conditionalFormatting>
  <conditionalFormatting sqref="R92">
    <cfRule type="containsText" dxfId="3" priority="1473" operator="between" text="欠">
      <formula>NOT(ISERROR(SEARCH("欠",R92)))</formula>
    </cfRule>
    <cfRule type="containsText" dxfId="0" priority="1478" operator="between" text="欠">
      <formula>NOT(ISERROR(SEARCH("欠",R92)))</formula>
    </cfRule>
  </conditionalFormatting>
  <conditionalFormatting sqref="T92">
    <cfRule type="containsText" dxfId="3" priority="1474" operator="between" text="欠">
      <formula>NOT(ISERROR(SEARCH("欠",T92)))</formula>
    </cfRule>
  </conditionalFormatting>
  <conditionalFormatting sqref="AF92">
    <cfRule type="cellIs" dxfId="0" priority="1475" operator="equal">
      <formula>"未完成"</formula>
    </cfRule>
  </conditionalFormatting>
  <conditionalFormatting sqref="AJ92">
    <cfRule type="cellIs" dxfId="2" priority="1476" operator="equal">
      <formula>"未完成"</formula>
    </cfRule>
    <cfRule type="cellIs" dxfId="0" priority="1477" operator="equal">
      <formula>"未完成"</formula>
    </cfRule>
  </conditionalFormatting>
  <conditionalFormatting sqref="R93">
    <cfRule type="containsText" dxfId="3" priority="1403" operator="between" text="欠">
      <formula>NOT(ISERROR(SEARCH("欠",R93)))</formula>
    </cfRule>
    <cfRule type="containsText" dxfId="0" priority="1405" operator="between" text="欠">
      <formula>NOT(ISERROR(SEARCH("欠",R93)))</formula>
    </cfRule>
  </conditionalFormatting>
  <conditionalFormatting sqref="S93">
    <cfRule type="cellIs" dxfId="0" priority="1411" operator="equal">
      <formula>"欠"</formula>
    </cfRule>
  </conditionalFormatting>
  <conditionalFormatting sqref="T93">
    <cfRule type="containsText" dxfId="3" priority="1404" operator="between" text="欠">
      <formula>NOT(ISERROR(SEARCH("欠",T93)))</formula>
    </cfRule>
    <cfRule type="containsText" dxfId="0" priority="1409" operator="between" text="欠">
      <formula>NOT(ISERROR(SEARCH("欠",T93)))</formula>
    </cfRule>
    <cfRule type="cellIs" dxfId="0" priority="1410" operator="equal">
      <formula>"欠"</formula>
    </cfRule>
  </conditionalFormatting>
  <conditionalFormatting sqref="AF93">
    <cfRule type="cellIs" dxfId="0" priority="1406" operator="equal">
      <formula>"未完成"</formula>
    </cfRule>
  </conditionalFormatting>
  <conditionalFormatting sqref="AJ93">
    <cfRule type="cellIs" dxfId="2" priority="1407" operator="equal">
      <formula>"未完成"</formula>
    </cfRule>
    <cfRule type="cellIs" dxfId="0" priority="1408" operator="equal">
      <formula>"未完成"</formula>
    </cfRule>
  </conditionalFormatting>
  <conditionalFormatting sqref="R94">
    <cfRule type="containsText" dxfId="3" priority="1387" operator="between" text="欠">
      <formula>NOT(ISERROR(SEARCH("欠",R94)))</formula>
    </cfRule>
    <cfRule type="containsText" dxfId="0" priority="1402" operator="between" text="欠">
      <formula>NOT(ISERROR(SEARCH("欠",R94)))</formula>
    </cfRule>
  </conditionalFormatting>
  <conditionalFormatting sqref="S94">
    <cfRule type="containsText" dxfId="0" priority="1400" operator="between" text="欠">
      <formula>NOT(ISERROR(SEARCH("欠",S94)))</formula>
    </cfRule>
    <cfRule type="cellIs" dxfId="0" priority="1401" operator="equal">
      <formula>"欠"</formula>
    </cfRule>
  </conditionalFormatting>
  <conditionalFormatting sqref="T94">
    <cfRule type="containsText" dxfId="3" priority="1388" operator="between" text="欠">
      <formula>NOT(ISERROR(SEARCH("欠",T94)))</formula>
    </cfRule>
    <cfRule type="containsText" dxfId="0" priority="1398" operator="between" text="欠">
      <formula>NOT(ISERROR(SEARCH("欠",T94)))</formula>
    </cfRule>
    <cfRule type="cellIs" dxfId="0" priority="1399" operator="equal">
      <formula>"欠"</formula>
    </cfRule>
  </conditionalFormatting>
  <conditionalFormatting sqref="AF94">
    <cfRule type="cellIs" dxfId="0" priority="1394" operator="equal">
      <formula>"未完成"</formula>
    </cfRule>
  </conditionalFormatting>
  <conditionalFormatting sqref="AJ94">
    <cfRule type="cellIs" dxfId="2" priority="1395" operator="equal">
      <formula>"未完成"</formula>
    </cfRule>
    <cfRule type="cellIs" dxfId="0" priority="1396" operator="equal">
      <formula>"未完成"</formula>
    </cfRule>
  </conditionalFormatting>
  <conditionalFormatting sqref="R95">
    <cfRule type="containsText" dxfId="3" priority="1463" operator="between" text="欠">
      <formula>NOT(ISERROR(SEARCH("欠",R95)))</formula>
    </cfRule>
    <cfRule type="containsText" dxfId="0" priority="1465" operator="between" text="欠">
      <formula>NOT(ISERROR(SEARCH("欠",R95)))</formula>
    </cfRule>
  </conditionalFormatting>
  <conditionalFormatting sqref="S95">
    <cfRule type="containsText" dxfId="0" priority="1468" operator="between" text="欠">
      <formula>NOT(ISERROR(SEARCH("欠",S95)))</formula>
    </cfRule>
    <cfRule type="cellIs" dxfId="0" priority="1469" operator="equal">
      <formula>"欠"</formula>
    </cfRule>
  </conditionalFormatting>
  <conditionalFormatting sqref="T95">
    <cfRule type="containsText" dxfId="3" priority="1464" operator="between" text="欠">
      <formula>NOT(ISERROR(SEARCH("欠",T95)))</formula>
    </cfRule>
    <cfRule type="containsText" dxfId="0" priority="1466" operator="between" text="欠">
      <formula>NOT(ISERROR(SEARCH("欠",T95)))</formula>
    </cfRule>
    <cfRule type="cellIs" dxfId="0" priority="1467" operator="equal">
      <formula>"欠"</formula>
    </cfRule>
  </conditionalFormatting>
  <conditionalFormatting sqref="AF95">
    <cfRule type="cellIs" dxfId="0" priority="1470" operator="equal">
      <formula>"未完成"</formula>
    </cfRule>
  </conditionalFormatting>
  <conditionalFormatting sqref="AJ95">
    <cfRule type="cellIs" dxfId="2" priority="1471" operator="equal">
      <formula>"未完成"</formula>
    </cfRule>
    <cfRule type="cellIs" dxfId="0" priority="1472" operator="equal">
      <formula>"未完成"</formula>
    </cfRule>
  </conditionalFormatting>
  <conditionalFormatting sqref="R96">
    <cfRule type="containsText" dxfId="3" priority="1453" operator="between" text="欠">
      <formula>NOT(ISERROR(SEARCH("欠",R96)))</formula>
    </cfRule>
    <cfRule type="containsText" dxfId="0" priority="1460" operator="between" text="欠">
      <formula>NOT(ISERROR(SEARCH("欠",R96)))</formula>
    </cfRule>
  </conditionalFormatting>
  <conditionalFormatting sqref="S96">
    <cfRule type="containsText" dxfId="0" priority="1461" operator="between" text="欠">
      <formula>NOT(ISERROR(SEARCH("欠",S96)))</formula>
    </cfRule>
    <cfRule type="cellIs" dxfId="0" priority="1462" operator="equal">
      <formula>"欠"</formula>
    </cfRule>
  </conditionalFormatting>
  <conditionalFormatting sqref="T96">
    <cfRule type="containsText" dxfId="3" priority="1454" operator="between" text="欠">
      <formula>NOT(ISERROR(SEARCH("欠",T96)))</formula>
    </cfRule>
    <cfRule type="containsText" dxfId="0" priority="1455" operator="between" text="欠">
      <formula>NOT(ISERROR(SEARCH("欠",T96)))</formula>
    </cfRule>
    <cfRule type="cellIs" dxfId="0" priority="1456" operator="equal">
      <formula>"欠"</formula>
    </cfRule>
  </conditionalFormatting>
  <conditionalFormatting sqref="AF96">
    <cfRule type="cellIs" dxfId="0" priority="1457" operator="equal">
      <formula>"未完成"</formula>
    </cfRule>
  </conditionalFormatting>
  <conditionalFormatting sqref="AJ96">
    <cfRule type="cellIs" dxfId="2" priority="1458" operator="equal">
      <formula>"未完成"</formula>
    </cfRule>
    <cfRule type="cellIs" dxfId="0" priority="1459" operator="equal">
      <formula>"未完成"</formula>
    </cfRule>
  </conditionalFormatting>
  <conditionalFormatting sqref="R97">
    <cfRule type="containsText" dxfId="3" priority="1444" operator="between" text="欠">
      <formula>NOT(ISERROR(SEARCH("欠",R97)))</formula>
    </cfRule>
  </conditionalFormatting>
  <conditionalFormatting sqref="S97">
    <cfRule type="containsText" dxfId="0" priority="1448" operator="between" text="欠">
      <formula>NOT(ISERROR(SEARCH("欠",S97)))</formula>
    </cfRule>
    <cfRule type="cellIs" dxfId="0" priority="1449" operator="equal">
      <formula>"欠"</formula>
    </cfRule>
  </conditionalFormatting>
  <conditionalFormatting sqref="T97">
    <cfRule type="containsText" dxfId="3" priority="1445" operator="between" text="欠">
      <formula>NOT(ISERROR(SEARCH("欠",T97)))</formula>
    </cfRule>
    <cfRule type="containsText" dxfId="0" priority="1446" operator="between" text="欠">
      <formula>NOT(ISERROR(SEARCH("欠",T97)))</formula>
    </cfRule>
    <cfRule type="cellIs" dxfId="0" priority="1447" operator="equal">
      <formula>"欠"</formula>
    </cfRule>
  </conditionalFormatting>
  <conditionalFormatting sqref="AF97">
    <cfRule type="cellIs" dxfId="0" priority="1450" operator="equal">
      <formula>"未完成"</formula>
    </cfRule>
  </conditionalFormatting>
  <conditionalFormatting sqref="AJ97">
    <cfRule type="cellIs" dxfId="2" priority="1451" operator="equal">
      <formula>"未完成"</formula>
    </cfRule>
    <cfRule type="cellIs" dxfId="0" priority="1452" operator="equal">
      <formula>"未完成"</formula>
    </cfRule>
  </conditionalFormatting>
  <conditionalFormatting sqref="R98">
    <cfRule type="containsText" dxfId="3" priority="1429" operator="between" text="欠">
      <formula>NOT(ISERROR(SEARCH("欠",R98)))</formula>
    </cfRule>
    <cfRule type="containsText" dxfId="0" priority="1436" operator="between" text="欠">
      <formula>NOT(ISERROR(SEARCH("欠",R98)))</formula>
    </cfRule>
  </conditionalFormatting>
  <conditionalFormatting sqref="S98">
    <cfRule type="cellIs" dxfId="0" priority="1438" operator="equal">
      <formula>"欠"</formula>
    </cfRule>
    <cfRule type="containsText" dxfId="0" priority="1442" operator="between" text="欠">
      <formula>NOT(ISERROR(SEARCH("欠",S98)))</formula>
    </cfRule>
  </conditionalFormatting>
  <conditionalFormatting sqref="T98">
    <cfRule type="containsText" dxfId="3" priority="1430" operator="between" text="欠">
      <formula>NOT(ISERROR(SEARCH("欠",T98)))</formula>
    </cfRule>
    <cfRule type="containsText" dxfId="0" priority="1431" operator="between" text="欠">
      <formula>NOT(ISERROR(SEARCH("欠",T98)))</formula>
    </cfRule>
    <cfRule type="cellIs" dxfId="0" priority="1432" operator="equal">
      <formula>"欠"</formula>
    </cfRule>
  </conditionalFormatting>
  <conditionalFormatting sqref="AF98">
    <cfRule type="cellIs" dxfId="0" priority="1433" operator="equal">
      <formula>"未完成"</formula>
    </cfRule>
  </conditionalFormatting>
  <conditionalFormatting sqref="AJ98">
    <cfRule type="cellIs" dxfId="2" priority="1434" operator="equal">
      <formula>"未完成"</formula>
    </cfRule>
    <cfRule type="cellIs" dxfId="0" priority="1435" operator="equal">
      <formula>"未完成"</formula>
    </cfRule>
  </conditionalFormatting>
  <conditionalFormatting sqref="R99">
    <cfRule type="containsText" dxfId="3" priority="1419" operator="between" text="欠">
      <formula>NOT(ISERROR(SEARCH("欠",R99)))</formula>
    </cfRule>
    <cfRule type="containsText" dxfId="0" priority="1421" operator="between" text="欠">
      <formula>NOT(ISERROR(SEARCH("欠",R99)))</formula>
    </cfRule>
  </conditionalFormatting>
  <conditionalFormatting sqref="S99">
    <cfRule type="containsText" dxfId="0" priority="1424" operator="between" text="欠">
      <formula>NOT(ISERROR(SEARCH("欠",S99)))</formula>
    </cfRule>
    <cfRule type="cellIs" dxfId="0" priority="1425" operator="equal">
      <formula>"欠"</formula>
    </cfRule>
  </conditionalFormatting>
  <conditionalFormatting sqref="T99">
    <cfRule type="containsText" dxfId="3" priority="1420" operator="between" text="欠">
      <formula>NOT(ISERROR(SEARCH("欠",T99)))</formula>
    </cfRule>
    <cfRule type="containsText" dxfId="0" priority="1422" operator="between" text="欠">
      <formula>NOT(ISERROR(SEARCH("欠",T99)))</formula>
    </cfRule>
    <cfRule type="cellIs" dxfId="0" priority="1423" operator="equal">
      <formula>"欠"</formula>
    </cfRule>
  </conditionalFormatting>
  <conditionalFormatting sqref="AF99">
    <cfRule type="cellIs" dxfId="0" priority="1426" operator="equal">
      <formula>"未完成"</formula>
    </cfRule>
  </conditionalFormatting>
  <conditionalFormatting sqref="AJ99">
    <cfRule type="cellIs" dxfId="2" priority="1427" operator="equal">
      <formula>"未完成"</formula>
    </cfRule>
    <cfRule type="cellIs" dxfId="0" priority="1428" operator="equal">
      <formula>"未完成"</formula>
    </cfRule>
  </conditionalFormatting>
  <conditionalFormatting sqref="R100">
    <cfRule type="containsText" dxfId="3" priority="1377" operator="between" text="欠">
      <formula>NOT(ISERROR(SEARCH("欠",R100)))</formula>
    </cfRule>
    <cfRule type="containsText" dxfId="0" priority="1379" operator="between" text="欠">
      <formula>NOT(ISERROR(SEARCH("欠",R100)))</formula>
    </cfRule>
  </conditionalFormatting>
  <conditionalFormatting sqref="S100">
    <cfRule type="containsText" dxfId="0" priority="1382" operator="between" text="欠">
      <formula>NOT(ISERROR(SEARCH("欠",S100)))</formula>
    </cfRule>
    <cfRule type="cellIs" dxfId="0" priority="1383" operator="equal">
      <formula>"欠"</formula>
    </cfRule>
  </conditionalFormatting>
  <conditionalFormatting sqref="T100">
    <cfRule type="containsText" dxfId="3" priority="1378" operator="between" text="欠">
      <formula>NOT(ISERROR(SEARCH("欠",T100)))</formula>
    </cfRule>
    <cfRule type="containsText" dxfId="0" priority="1380" operator="between" text="欠">
      <formula>NOT(ISERROR(SEARCH("欠",T100)))</formula>
    </cfRule>
    <cfRule type="cellIs" dxfId="0" priority="1381" operator="equal">
      <formula>"欠"</formula>
    </cfRule>
  </conditionalFormatting>
  <conditionalFormatting sqref="AF100">
    <cfRule type="cellIs" dxfId="0" priority="1384" operator="equal">
      <formula>"未完成"</formula>
    </cfRule>
  </conditionalFormatting>
  <conditionalFormatting sqref="AJ100">
    <cfRule type="cellIs" dxfId="2" priority="1385" operator="equal">
      <formula>"未完成"</formula>
    </cfRule>
    <cfRule type="cellIs" dxfId="0" priority="1386" operator="equal">
      <formula>"未完成"</formula>
    </cfRule>
  </conditionalFormatting>
  <conditionalFormatting sqref="R101">
    <cfRule type="containsText" dxfId="3" priority="1206" operator="between" text="欠">
      <formula>NOT(ISERROR(SEARCH("欠",R101)))</formula>
    </cfRule>
    <cfRule type="containsText" dxfId="0" priority="1208" operator="between" text="欠">
      <formula>NOT(ISERROR(SEARCH("欠",R101)))</formula>
    </cfRule>
  </conditionalFormatting>
  <conditionalFormatting sqref="S101">
    <cfRule type="containsText" dxfId="0" priority="1211" operator="between" text="欠">
      <formula>NOT(ISERROR(SEARCH("欠",S101)))</formula>
    </cfRule>
    <cfRule type="cellIs" dxfId="0" priority="1212" operator="equal">
      <formula>"欠"</formula>
    </cfRule>
  </conditionalFormatting>
  <conditionalFormatting sqref="T101">
    <cfRule type="containsText" dxfId="3" priority="1207" operator="between" text="欠">
      <formula>NOT(ISERROR(SEARCH("欠",T101)))</formula>
    </cfRule>
    <cfRule type="containsText" dxfId="0" priority="1209" operator="between" text="欠">
      <formula>NOT(ISERROR(SEARCH("欠",T101)))</formula>
    </cfRule>
    <cfRule type="cellIs" dxfId="0" priority="1210" operator="equal">
      <formula>"欠"</formula>
    </cfRule>
  </conditionalFormatting>
  <conditionalFormatting sqref="AF101">
    <cfRule type="cellIs" dxfId="0" priority="1213" operator="equal">
      <formula>"未完成"</formula>
    </cfRule>
  </conditionalFormatting>
  <conditionalFormatting sqref="AJ101">
    <cfRule type="cellIs" dxfId="2" priority="1214" operator="equal">
      <formula>"未完成"</formula>
    </cfRule>
    <cfRule type="cellIs" dxfId="0" priority="1215" operator="equal">
      <formula>"未完成"</formula>
    </cfRule>
  </conditionalFormatting>
  <conditionalFormatting sqref="R102">
    <cfRule type="containsText" dxfId="3" priority="1186" operator="between" text="欠">
      <formula>NOT(ISERROR(SEARCH("欠",R102)))</formula>
    </cfRule>
    <cfRule type="containsText" dxfId="0" priority="1188" operator="between" text="欠">
      <formula>NOT(ISERROR(SEARCH("欠",R102)))</formula>
    </cfRule>
  </conditionalFormatting>
  <conditionalFormatting sqref="S102">
    <cfRule type="containsText" dxfId="0" priority="1191" operator="between" text="欠">
      <formula>NOT(ISERROR(SEARCH("欠",S102)))</formula>
    </cfRule>
    <cfRule type="cellIs" dxfId="0" priority="1192" operator="equal">
      <formula>"欠"</formula>
    </cfRule>
  </conditionalFormatting>
  <conditionalFormatting sqref="T102">
    <cfRule type="containsText" dxfId="3" priority="1187" operator="between" text="欠">
      <formula>NOT(ISERROR(SEARCH("欠",T102)))</formula>
    </cfRule>
    <cfRule type="containsText" dxfId="0" priority="1189" operator="between" text="欠">
      <formula>NOT(ISERROR(SEARCH("欠",T102)))</formula>
    </cfRule>
    <cfRule type="cellIs" dxfId="0" priority="1190" operator="equal">
      <formula>"欠"</formula>
    </cfRule>
  </conditionalFormatting>
  <conditionalFormatting sqref="AF102">
    <cfRule type="cellIs" dxfId="0" priority="1193" operator="equal">
      <formula>"未完成"</formula>
    </cfRule>
  </conditionalFormatting>
  <conditionalFormatting sqref="AJ102">
    <cfRule type="cellIs" dxfId="2" priority="1194" operator="equal">
      <formula>"未完成"</formula>
    </cfRule>
    <cfRule type="cellIs" dxfId="0" priority="1195" operator="equal">
      <formula>"未完成"</formula>
    </cfRule>
  </conditionalFormatting>
  <conditionalFormatting sqref="R103">
    <cfRule type="containsText" dxfId="3" priority="1176" operator="between" text="欠">
      <formula>NOT(ISERROR(SEARCH("欠",R103)))</formula>
    </cfRule>
    <cfRule type="containsText" dxfId="0" priority="1178" operator="between" text="欠">
      <formula>NOT(ISERROR(SEARCH("欠",R103)))</formula>
    </cfRule>
  </conditionalFormatting>
  <conditionalFormatting sqref="S103">
    <cfRule type="containsText" dxfId="0" priority="1181" operator="between" text="欠">
      <formula>NOT(ISERROR(SEARCH("欠",S103)))</formula>
    </cfRule>
    <cfRule type="cellIs" dxfId="0" priority="1182" operator="equal">
      <formula>"欠"</formula>
    </cfRule>
  </conditionalFormatting>
  <conditionalFormatting sqref="T103">
    <cfRule type="containsText" dxfId="3" priority="1177" operator="between" text="欠">
      <formula>NOT(ISERROR(SEARCH("欠",T103)))</formula>
    </cfRule>
    <cfRule type="containsText" dxfId="0" priority="1179" operator="between" text="欠">
      <formula>NOT(ISERROR(SEARCH("欠",T103)))</formula>
    </cfRule>
    <cfRule type="cellIs" dxfId="0" priority="1180" operator="equal">
      <formula>"欠"</formula>
    </cfRule>
  </conditionalFormatting>
  <conditionalFormatting sqref="AF103">
    <cfRule type="cellIs" dxfId="0" priority="1183" operator="equal">
      <formula>"未完成"</formula>
    </cfRule>
  </conditionalFormatting>
  <conditionalFormatting sqref="AJ103">
    <cfRule type="cellIs" dxfId="2" priority="1184" operator="equal">
      <formula>"未完成"</formula>
    </cfRule>
    <cfRule type="cellIs" dxfId="0" priority="1185" operator="equal">
      <formula>"未完成"</formula>
    </cfRule>
  </conditionalFormatting>
  <conditionalFormatting sqref="R104">
    <cfRule type="containsText" dxfId="3" priority="1164" operator="between" text="欠">
      <formula>NOT(ISERROR(SEARCH("欠",R104)))</formula>
    </cfRule>
    <cfRule type="containsText" dxfId="0" priority="1166" operator="between" text="欠">
      <formula>NOT(ISERROR(SEARCH("欠",R104)))</formula>
    </cfRule>
  </conditionalFormatting>
  <conditionalFormatting sqref="S104">
    <cfRule type="containsText" dxfId="0" priority="1174" operator="between" text="欠">
      <formula>NOT(ISERROR(SEARCH("欠",S104)))</formula>
    </cfRule>
    <cfRule type="cellIs" dxfId="0" priority="1175" operator="equal">
      <formula>"欠"</formula>
    </cfRule>
  </conditionalFormatting>
  <conditionalFormatting sqref="T104">
    <cfRule type="containsText" dxfId="3" priority="1165" operator="between" text="欠">
      <formula>NOT(ISERROR(SEARCH("欠",T104)))</formula>
    </cfRule>
    <cfRule type="containsText" dxfId="0" priority="1167" operator="between" text="欠">
      <formula>NOT(ISERROR(SEARCH("欠",T104)))</formula>
    </cfRule>
    <cfRule type="cellIs" dxfId="0" priority="1168" operator="equal">
      <formula>"欠"</formula>
    </cfRule>
  </conditionalFormatting>
  <conditionalFormatting sqref="AF104">
    <cfRule type="cellIs" dxfId="0" priority="1171" operator="equal">
      <formula>"未完成"</formula>
    </cfRule>
  </conditionalFormatting>
  <conditionalFormatting sqref="AJ104">
    <cfRule type="cellIs" dxfId="2" priority="1172" operator="equal">
      <formula>"未完成"</formula>
    </cfRule>
    <cfRule type="cellIs" dxfId="0" priority="1173" operator="equal">
      <formula>"未完成"</formula>
    </cfRule>
  </conditionalFormatting>
  <conditionalFormatting sqref="R105">
    <cfRule type="containsText" dxfId="3" priority="1372" operator="between" text="欠">
      <formula>NOT(ISERROR(SEARCH("欠",R105)))</formula>
    </cfRule>
  </conditionalFormatting>
  <conditionalFormatting sqref="T105">
    <cfRule type="containsText" dxfId="3" priority="1373" operator="between" text="欠">
      <formula>NOT(ISERROR(SEARCH("欠",T105)))</formula>
    </cfRule>
  </conditionalFormatting>
  <conditionalFormatting sqref="AF105">
    <cfRule type="cellIs" dxfId="0" priority="1374" operator="equal">
      <formula>"未完成"</formula>
    </cfRule>
  </conditionalFormatting>
  <conditionalFormatting sqref="AJ105">
    <cfRule type="cellIs" dxfId="2" priority="1375" operator="equal">
      <formula>"未完成"</formula>
    </cfRule>
    <cfRule type="cellIs" dxfId="0" priority="1376" operator="equal">
      <formula>"未完成"</formula>
    </cfRule>
  </conditionalFormatting>
  <conditionalFormatting sqref="R106">
    <cfRule type="containsText" dxfId="3" priority="1368" operator="between" text="欠">
      <formula>NOT(ISERROR(SEARCH("欠",R106)))</formula>
    </cfRule>
  </conditionalFormatting>
  <conditionalFormatting sqref="T106">
    <cfRule type="containsText" dxfId="3" priority="1369" operator="between" text="欠">
      <formula>NOT(ISERROR(SEARCH("欠",T106)))</formula>
    </cfRule>
    <cfRule type="containsText" dxfId="0" priority="1370" operator="between" text="欠">
      <formula>NOT(ISERROR(SEARCH("欠",T106)))</formula>
    </cfRule>
    <cfRule type="cellIs" dxfId="0" priority="1371" operator="equal">
      <formula>"欠"</formula>
    </cfRule>
  </conditionalFormatting>
  <conditionalFormatting sqref="R107">
    <cfRule type="containsText" dxfId="0" priority="1274" operator="between" text="欠">
      <formula>NOT(ISERROR(SEARCH("欠",R107)))</formula>
    </cfRule>
  </conditionalFormatting>
  <conditionalFormatting sqref="S107">
    <cfRule type="containsText" dxfId="0" priority="1277" operator="between" text="欠">
      <formula>NOT(ISERROR(SEARCH("欠",S107)))</formula>
    </cfRule>
    <cfRule type="cellIs" dxfId="0" priority="1278" operator="equal">
      <formula>"欠"</formula>
    </cfRule>
  </conditionalFormatting>
  <conditionalFormatting sqref="T107">
    <cfRule type="containsText" dxfId="0" priority="1275" operator="between" text="欠">
      <formula>NOT(ISERROR(SEARCH("欠",T107)))</formula>
    </cfRule>
    <cfRule type="cellIs" dxfId="0" priority="1276" operator="equal">
      <formula>"欠"</formula>
    </cfRule>
  </conditionalFormatting>
  <conditionalFormatting sqref="AF107">
    <cfRule type="cellIs" dxfId="0" priority="1341" operator="equal">
      <formula>"未完成"</formula>
    </cfRule>
  </conditionalFormatting>
  <conditionalFormatting sqref="AJ107">
    <cfRule type="cellIs" dxfId="2" priority="1344" operator="equal">
      <formula>"未完成"</formula>
    </cfRule>
    <cfRule type="cellIs" dxfId="0" priority="1347" operator="equal">
      <formula>"未完成"</formula>
    </cfRule>
  </conditionalFormatting>
  <conditionalFormatting sqref="R108">
    <cfRule type="containsText" dxfId="0" priority="1282" operator="between" text="欠">
      <formula>NOT(ISERROR(SEARCH("欠",R108)))</formula>
    </cfRule>
  </conditionalFormatting>
  <conditionalFormatting sqref="S108">
    <cfRule type="containsText" dxfId="0" priority="1285" operator="between" text="欠">
      <formula>NOT(ISERROR(SEARCH("欠",S108)))</formula>
    </cfRule>
    <cfRule type="cellIs" dxfId="0" priority="1286" operator="equal">
      <formula>"欠"</formula>
    </cfRule>
  </conditionalFormatting>
  <conditionalFormatting sqref="T108">
    <cfRule type="containsText" dxfId="0" priority="1283" operator="between" text="欠">
      <formula>NOT(ISERROR(SEARCH("欠",T108)))</formula>
    </cfRule>
    <cfRule type="cellIs" dxfId="0" priority="1284" operator="equal">
      <formula>"欠"</formula>
    </cfRule>
  </conditionalFormatting>
  <conditionalFormatting sqref="AF108">
    <cfRule type="cellIs" dxfId="0" priority="1287" operator="equal">
      <formula>"未完成"</formula>
    </cfRule>
  </conditionalFormatting>
  <conditionalFormatting sqref="AJ108">
    <cfRule type="cellIs" dxfId="2" priority="1288" operator="equal">
      <formula>"未完成"</formula>
    </cfRule>
    <cfRule type="cellIs" dxfId="0" priority="1289" operator="equal">
      <formula>"未完成"</formula>
    </cfRule>
  </conditionalFormatting>
  <conditionalFormatting sqref="AF109">
    <cfRule type="cellIs" dxfId="0" priority="1340" operator="equal">
      <formula>"未完成"</formula>
    </cfRule>
  </conditionalFormatting>
  <conditionalFormatting sqref="AJ109">
    <cfRule type="cellIs" dxfId="2" priority="1343" operator="equal">
      <formula>"未完成"</formula>
    </cfRule>
    <cfRule type="cellIs" dxfId="0" priority="1346" operator="equal">
      <formula>"未完成"</formula>
    </cfRule>
  </conditionalFormatting>
  <conditionalFormatting sqref="AF110">
    <cfRule type="cellIs" dxfId="0" priority="1339" operator="equal">
      <formula>"未完成"</formula>
    </cfRule>
  </conditionalFormatting>
  <conditionalFormatting sqref="AJ110">
    <cfRule type="cellIs" dxfId="2" priority="1342" operator="equal">
      <formula>"未完成"</formula>
    </cfRule>
    <cfRule type="cellIs" dxfId="0" priority="1345" operator="equal">
      <formula>"未完成"</formula>
    </cfRule>
  </conditionalFormatting>
  <conditionalFormatting sqref="R112">
    <cfRule type="containsText" dxfId="0" priority="1361" operator="between" text="欠">
      <formula>NOT(ISERROR(SEARCH("欠",R112)))</formula>
    </cfRule>
  </conditionalFormatting>
  <conditionalFormatting sqref="S112">
    <cfRule type="cellIs" dxfId="0" priority="1366" operator="equal">
      <formula>"欠"</formula>
    </cfRule>
  </conditionalFormatting>
  <conditionalFormatting sqref="T112">
    <cfRule type="containsText" dxfId="0" priority="1364" operator="between" text="欠">
      <formula>NOT(ISERROR(SEARCH("欠",T112)))</formula>
    </cfRule>
    <cfRule type="cellIs" dxfId="0" priority="1365" operator="equal">
      <formula>"欠"</formula>
    </cfRule>
  </conditionalFormatting>
  <conditionalFormatting sqref="X112">
    <cfRule type="cellIs" dxfId="0" priority="1357" operator="equal">
      <formula>"欠"</formula>
    </cfRule>
  </conditionalFormatting>
  <conditionalFormatting sqref="AF112">
    <cfRule type="cellIs" dxfId="0" priority="1358" operator="equal">
      <formula>"未完成"</formula>
    </cfRule>
  </conditionalFormatting>
  <conditionalFormatting sqref="AJ112">
    <cfRule type="cellIs" dxfId="2" priority="1359" operator="equal">
      <formula>"未完成"</formula>
    </cfRule>
    <cfRule type="cellIs" dxfId="0" priority="1360" operator="equal">
      <formula>"未完成"</formula>
    </cfRule>
  </conditionalFormatting>
  <conditionalFormatting sqref="R113">
    <cfRule type="containsText" dxfId="0" priority="1324" operator="between" text="欠">
      <formula>NOT(ISERROR(SEARCH("欠",R113)))</formula>
    </cfRule>
  </conditionalFormatting>
  <conditionalFormatting sqref="S113">
    <cfRule type="cellIs" dxfId="0" priority="1308" operator="equal">
      <formula>"欠"</formula>
    </cfRule>
  </conditionalFormatting>
  <conditionalFormatting sqref="T113">
    <cfRule type="containsText" dxfId="0" priority="1306" operator="between" text="欠">
      <formula>NOT(ISERROR(SEARCH("欠",T113)))</formula>
    </cfRule>
    <cfRule type="cellIs" dxfId="0" priority="1307" operator="equal">
      <formula>"欠"</formula>
    </cfRule>
  </conditionalFormatting>
  <conditionalFormatting sqref="AF113">
    <cfRule type="cellIs" dxfId="0" priority="1303" operator="equal">
      <formula>"未完成"</formula>
    </cfRule>
  </conditionalFormatting>
  <conditionalFormatting sqref="AJ113">
    <cfRule type="cellIs" dxfId="2" priority="1304" operator="equal">
      <formula>"未完成"</formula>
    </cfRule>
    <cfRule type="cellIs" dxfId="0" priority="1305" operator="equal">
      <formula>"未完成"</formula>
    </cfRule>
  </conditionalFormatting>
  <conditionalFormatting sqref="R114">
    <cfRule type="containsText" dxfId="0" priority="1292" operator="between" text="欠">
      <formula>NOT(ISERROR(SEARCH("欠",R114)))</formula>
    </cfRule>
  </conditionalFormatting>
  <conditionalFormatting sqref="S114">
    <cfRule type="containsText" dxfId="0" priority="1293" operator="between" text="欠">
      <formula>NOT(ISERROR(SEARCH("欠",S114)))</formula>
    </cfRule>
    <cfRule type="cellIs" dxfId="0" priority="1294" operator="equal">
      <formula>"欠"</formula>
    </cfRule>
  </conditionalFormatting>
  <conditionalFormatting sqref="T114">
    <cfRule type="containsText" dxfId="0" priority="1290" operator="between" text="欠">
      <formula>NOT(ISERROR(SEARCH("欠",T114)))</formula>
    </cfRule>
    <cfRule type="cellIs" dxfId="0" priority="1291" operator="equal">
      <formula>"欠"</formula>
    </cfRule>
  </conditionalFormatting>
  <conditionalFormatting sqref="AF116">
    <cfRule type="cellIs" dxfId="0" priority="1309" operator="equal">
      <formula>"未完成"</formula>
    </cfRule>
  </conditionalFormatting>
  <conditionalFormatting sqref="AJ116">
    <cfRule type="cellIs" dxfId="2" priority="1314" operator="equal">
      <formula>"未完成"</formula>
    </cfRule>
    <cfRule type="cellIs" dxfId="0" priority="1319" operator="equal">
      <formula>"未完成"</formula>
    </cfRule>
  </conditionalFormatting>
  <conditionalFormatting sqref="AF117">
    <cfRule type="cellIs" dxfId="0" priority="1312" operator="equal">
      <formula>"未完成"</formula>
    </cfRule>
  </conditionalFormatting>
  <conditionalFormatting sqref="AJ117">
    <cfRule type="cellIs" dxfId="2" priority="1317" operator="equal">
      <formula>"未完成"</formula>
    </cfRule>
    <cfRule type="cellIs" dxfId="0" priority="1322" operator="equal">
      <formula>"未完成"</formula>
    </cfRule>
  </conditionalFormatting>
  <conditionalFormatting sqref="AF118">
    <cfRule type="cellIs" dxfId="0" priority="1313" operator="equal">
      <formula>"未完成"</formula>
    </cfRule>
  </conditionalFormatting>
  <conditionalFormatting sqref="AJ118">
    <cfRule type="cellIs" dxfId="2" priority="1318" operator="equal">
      <formula>"未完成"</formula>
    </cfRule>
    <cfRule type="cellIs" dxfId="0" priority="1323" operator="equal">
      <formula>"未完成"</formula>
    </cfRule>
  </conditionalFormatting>
  <conditionalFormatting sqref="AF119">
    <cfRule type="cellIs" dxfId="0" priority="1311" operator="equal">
      <formula>"未完成"</formula>
    </cfRule>
  </conditionalFormatting>
  <conditionalFormatting sqref="AJ119">
    <cfRule type="cellIs" dxfId="2" priority="1316" operator="equal">
      <formula>"未完成"</formula>
    </cfRule>
    <cfRule type="cellIs" dxfId="0" priority="1321" operator="equal">
      <formula>"未完成"</formula>
    </cfRule>
  </conditionalFormatting>
  <conditionalFormatting sqref="AF120">
    <cfRule type="cellIs" dxfId="0" priority="1310" operator="equal">
      <formula>"未完成"</formula>
    </cfRule>
  </conditionalFormatting>
  <conditionalFormatting sqref="AJ120">
    <cfRule type="cellIs" dxfId="2" priority="1315" operator="equal">
      <formula>"未完成"</formula>
    </cfRule>
    <cfRule type="cellIs" dxfId="0" priority="1320" operator="equal">
      <formula>"未完成"</formula>
    </cfRule>
  </conditionalFormatting>
  <conditionalFormatting sqref="R121">
    <cfRule type="containsText" dxfId="0" priority="1302" operator="between" text="欠">
      <formula>NOT(ISERROR(SEARCH("欠",R121)))</formula>
    </cfRule>
  </conditionalFormatting>
  <conditionalFormatting sqref="S121">
    <cfRule type="containsText" dxfId="0" priority="1362" operator="between" text="欠">
      <formula>NOT(ISERROR(SEARCH("欠",S121)))</formula>
    </cfRule>
    <cfRule type="cellIs" dxfId="0" priority="1363" operator="equal">
      <formula>"欠"</formula>
    </cfRule>
  </conditionalFormatting>
  <conditionalFormatting sqref="T121">
    <cfRule type="containsText" dxfId="0" priority="1295" operator="between" text="欠">
      <formula>NOT(ISERROR(SEARCH("欠",T121)))</formula>
    </cfRule>
    <cfRule type="cellIs" dxfId="0" priority="1296" operator="equal">
      <formula>"欠"</formula>
    </cfRule>
  </conditionalFormatting>
  <conditionalFormatting sqref="AF121">
    <cfRule type="cellIs" dxfId="0" priority="1299" operator="equal">
      <formula>"未完成"</formula>
    </cfRule>
  </conditionalFormatting>
  <conditionalFormatting sqref="AJ121">
    <cfRule type="cellIs" dxfId="2" priority="1300" operator="equal">
      <formula>"未完成"</formula>
    </cfRule>
    <cfRule type="cellIs" dxfId="0" priority="1301" operator="equal">
      <formula>"未完成"</formula>
    </cfRule>
  </conditionalFormatting>
  <conditionalFormatting sqref="R122">
    <cfRule type="containsText" dxfId="0" priority="1333" operator="between" text="欠">
      <formula>NOT(ISERROR(SEARCH("欠",R122)))</formula>
    </cfRule>
  </conditionalFormatting>
  <conditionalFormatting sqref="T122">
    <cfRule type="containsText" dxfId="0" priority="1348" operator="between" text="欠">
      <formula>NOT(ISERROR(SEARCH("欠",T122)))</formula>
    </cfRule>
    <cfRule type="cellIs" dxfId="0" priority="1349" operator="equal">
      <formula>"欠"</formula>
    </cfRule>
  </conditionalFormatting>
  <conditionalFormatting sqref="AF122">
    <cfRule type="cellIs" dxfId="0" priority="1350" operator="equal">
      <formula>"未完成"</formula>
    </cfRule>
  </conditionalFormatting>
  <conditionalFormatting sqref="AJ122">
    <cfRule type="cellIs" dxfId="2" priority="1351" operator="equal">
      <formula>"未完成"</formula>
    </cfRule>
    <cfRule type="cellIs" dxfId="0" priority="1352" operator="equal">
      <formula>"未完成"</formula>
    </cfRule>
  </conditionalFormatting>
  <conditionalFormatting sqref="R123">
    <cfRule type="containsText" dxfId="0" priority="1325" operator="between" text="欠">
      <formula>NOT(ISERROR(SEARCH("欠",R123)))</formula>
    </cfRule>
  </conditionalFormatting>
  <conditionalFormatting sqref="S123">
    <cfRule type="containsText" dxfId="0" priority="1328" operator="between" text="欠">
      <formula>NOT(ISERROR(SEARCH("欠",S123)))</formula>
    </cfRule>
    <cfRule type="cellIs" dxfId="0" priority="1329" operator="equal">
      <formula>"欠"</formula>
    </cfRule>
  </conditionalFormatting>
  <conditionalFormatting sqref="T123">
    <cfRule type="containsText" dxfId="0" priority="1326" operator="between" text="欠">
      <formula>NOT(ISERROR(SEARCH("欠",T123)))</formula>
    </cfRule>
    <cfRule type="cellIs" dxfId="0" priority="1327" operator="equal">
      <formula>"欠"</formula>
    </cfRule>
  </conditionalFormatting>
  <conditionalFormatting sqref="AF123">
    <cfRule type="cellIs" dxfId="0" priority="1330" operator="equal">
      <formula>"未完成"</formula>
    </cfRule>
  </conditionalFormatting>
  <conditionalFormatting sqref="AJ123">
    <cfRule type="cellIs" dxfId="2" priority="1331" operator="equal">
      <formula>"未完成"</formula>
    </cfRule>
    <cfRule type="cellIs" dxfId="0" priority="1332" operator="equal">
      <formula>"未完成"</formula>
    </cfRule>
  </conditionalFormatting>
  <conditionalFormatting sqref="R124">
    <cfRule type="containsText" dxfId="0" priority="1237" operator="between" text="欠">
      <formula>NOT(ISERROR(SEARCH("欠",R124)))</formula>
    </cfRule>
  </conditionalFormatting>
  <conditionalFormatting sqref="S124">
    <cfRule type="cellIs" dxfId="0" priority="1266" operator="equal">
      <formula>"欠"</formula>
    </cfRule>
  </conditionalFormatting>
  <conditionalFormatting sqref="T124">
    <cfRule type="containsText" dxfId="0" priority="1264" operator="between" text="欠">
      <formula>NOT(ISERROR(SEARCH("欠",T124)))</formula>
    </cfRule>
    <cfRule type="cellIs" dxfId="0" priority="1265" operator="equal">
      <formula>"欠"</formula>
    </cfRule>
  </conditionalFormatting>
  <conditionalFormatting sqref="AF124">
    <cfRule type="cellIs" dxfId="0" priority="1267" operator="equal">
      <formula>"未完成"</formula>
    </cfRule>
  </conditionalFormatting>
  <conditionalFormatting sqref="AJ124">
    <cfRule type="cellIs" dxfId="2" priority="1262" operator="equal">
      <formula>"未完成"</formula>
    </cfRule>
    <cfRule type="cellIs" dxfId="0" priority="1263" operator="equal">
      <formula>"未完成"</formula>
    </cfRule>
  </conditionalFormatting>
  <conditionalFormatting sqref="R125">
    <cfRule type="containsText" dxfId="3" priority="1216" operator="between" text="欠">
      <formula>NOT(ISERROR(SEARCH("欠",R125)))</formula>
    </cfRule>
    <cfRule type="containsText" dxfId="0" priority="1221" operator="between" text="欠">
      <formula>NOT(ISERROR(SEARCH("欠",R125)))</formula>
    </cfRule>
  </conditionalFormatting>
  <conditionalFormatting sqref="S125">
    <cfRule type="cellIs" dxfId="0" priority="1224" operator="equal">
      <formula>"欠"</formula>
    </cfRule>
  </conditionalFormatting>
  <conditionalFormatting sqref="T125">
    <cfRule type="containsText" dxfId="3" priority="1217" operator="between" text="欠">
      <formula>NOT(ISERROR(SEARCH("欠",T125)))</formula>
    </cfRule>
    <cfRule type="containsText" dxfId="0" priority="1222" operator="between" text="欠">
      <formula>NOT(ISERROR(SEARCH("欠",T125)))</formula>
    </cfRule>
    <cfRule type="cellIs" dxfId="0" priority="1223" operator="equal">
      <formula>"欠"</formula>
    </cfRule>
  </conditionalFormatting>
  <conditionalFormatting sqref="AF125">
    <cfRule type="cellIs" dxfId="0" priority="1218" operator="equal">
      <formula>"未完成"</formula>
    </cfRule>
  </conditionalFormatting>
  <conditionalFormatting sqref="AJ125">
    <cfRule type="cellIs" dxfId="2" priority="1219" operator="equal">
      <formula>"未完成"</formula>
    </cfRule>
    <cfRule type="cellIs" dxfId="0" priority="1220" operator="equal">
      <formula>"未完成"</formula>
    </cfRule>
  </conditionalFormatting>
  <conditionalFormatting sqref="AF126">
    <cfRule type="cellIs" dxfId="0" priority="1269" operator="equal">
      <formula>"未完成"</formula>
    </cfRule>
  </conditionalFormatting>
  <conditionalFormatting sqref="AJ126">
    <cfRule type="cellIs" dxfId="2" priority="1270" operator="equal">
      <formula>"未完成"</formula>
    </cfRule>
    <cfRule type="cellIs" dxfId="0" priority="1271" operator="equal">
      <formula>"未完成"</formula>
    </cfRule>
  </conditionalFormatting>
  <conditionalFormatting sqref="R127">
    <cfRule type="containsText" dxfId="0" priority="1238" operator="between" text="欠">
      <formula>NOT(ISERROR(SEARCH("欠",R127)))</formula>
    </cfRule>
  </conditionalFormatting>
  <conditionalFormatting sqref="S127">
    <cfRule type="containsText" dxfId="0" priority="1241" operator="between" text="欠">
      <formula>NOT(ISERROR(SEARCH("欠",S127)))</formula>
    </cfRule>
    <cfRule type="cellIs" dxfId="0" priority="1242" operator="equal">
      <formula>"欠"</formula>
    </cfRule>
  </conditionalFormatting>
  <conditionalFormatting sqref="T127">
    <cfRule type="containsText" dxfId="0" priority="1239" operator="between" text="欠">
      <formula>NOT(ISERROR(SEARCH("欠",T127)))</formula>
    </cfRule>
    <cfRule type="cellIs" dxfId="0" priority="1240" operator="equal">
      <formula>"欠"</formula>
    </cfRule>
  </conditionalFormatting>
  <conditionalFormatting sqref="AF127">
    <cfRule type="cellIs" dxfId="0" priority="1243" operator="equal">
      <formula>"未完成"</formula>
    </cfRule>
  </conditionalFormatting>
  <conditionalFormatting sqref="AJ127">
    <cfRule type="cellIs" dxfId="2" priority="1244" operator="equal">
      <formula>"未完成"</formula>
    </cfRule>
    <cfRule type="cellIs" dxfId="0" priority="1245" operator="equal">
      <formula>"未完成"</formula>
    </cfRule>
  </conditionalFormatting>
  <conditionalFormatting sqref="R128">
    <cfRule type="containsText" dxfId="0" priority="1236" operator="between" text="欠">
      <formula>NOT(ISERROR(SEARCH("欠",R128)))</formula>
    </cfRule>
  </conditionalFormatting>
  <conditionalFormatting sqref="AF128">
    <cfRule type="cellIs" dxfId="0" priority="1233" operator="equal">
      <formula>"未完成"</formula>
    </cfRule>
  </conditionalFormatting>
  <conditionalFormatting sqref="AJ128">
    <cfRule type="cellIs" dxfId="2" priority="1234" operator="equal">
      <formula>"未完成"</formula>
    </cfRule>
    <cfRule type="cellIs" dxfId="0" priority="1235" operator="equal">
      <formula>"未完成"</formula>
    </cfRule>
  </conditionalFormatting>
  <conditionalFormatting sqref="T129">
    <cfRule type="containsText" dxfId="0" priority="1255" operator="between" text="欠">
      <formula>NOT(ISERROR(SEARCH("欠",T129)))</formula>
    </cfRule>
    <cfRule type="cellIs" dxfId="0" priority="1256" operator="equal">
      <formula>"欠"</formula>
    </cfRule>
  </conditionalFormatting>
  <conditionalFormatting sqref="AF129">
    <cfRule type="cellIs" dxfId="0" priority="1259" operator="equal">
      <formula>"未完成"</formula>
    </cfRule>
  </conditionalFormatting>
  <conditionalFormatting sqref="AJ129">
    <cfRule type="cellIs" dxfId="2" priority="1260" operator="equal">
      <formula>"未完成"</formula>
    </cfRule>
    <cfRule type="cellIs" dxfId="0" priority="1261" operator="equal">
      <formula>"未完成"</formula>
    </cfRule>
  </conditionalFormatting>
  <conditionalFormatting sqref="T130">
    <cfRule type="containsText" dxfId="0" priority="1249" operator="between" text="欠">
      <formula>NOT(ISERROR(SEARCH("欠",T130)))</formula>
    </cfRule>
    <cfRule type="cellIs" dxfId="0" priority="1250" operator="equal">
      <formula>"欠"</formula>
    </cfRule>
  </conditionalFormatting>
  <conditionalFormatting sqref="AF130">
    <cfRule type="cellIs" dxfId="0" priority="1251" operator="equal">
      <formula>"未完成"</formula>
    </cfRule>
  </conditionalFormatting>
  <conditionalFormatting sqref="AJ130">
    <cfRule type="cellIs" dxfId="2" priority="1252" operator="equal">
      <formula>"未完成"</formula>
    </cfRule>
    <cfRule type="cellIs" dxfId="0" priority="1253" operator="equal">
      <formula>"未完成"</formula>
    </cfRule>
  </conditionalFormatting>
  <conditionalFormatting sqref="R132">
    <cfRule type="containsText" dxfId="0" priority="1229" operator="between" text="欠">
      <formula>NOT(ISERROR(SEARCH("欠",R132)))</formula>
    </cfRule>
  </conditionalFormatting>
  <conditionalFormatting sqref="T132">
    <cfRule type="containsText" dxfId="0" priority="1227" operator="between" text="欠">
      <formula>NOT(ISERROR(SEARCH("欠",T132)))</formula>
    </cfRule>
    <cfRule type="cellIs" dxfId="0" priority="1228" operator="equal">
      <formula>"欠"</formula>
    </cfRule>
  </conditionalFormatting>
  <conditionalFormatting sqref="AF132">
    <cfRule type="cellIs" dxfId="0" priority="1230" operator="equal">
      <formula>"未完成"</formula>
    </cfRule>
  </conditionalFormatting>
  <conditionalFormatting sqref="AJ132">
    <cfRule type="cellIs" dxfId="2" priority="1231" operator="equal">
      <formula>"未完成"</formula>
    </cfRule>
    <cfRule type="cellIs" dxfId="0" priority="1232" operator="equal">
      <formula>"未完成"</formula>
    </cfRule>
  </conditionalFormatting>
  <conditionalFormatting sqref="R141">
    <cfRule type="containsText" dxfId="0" priority="1136" operator="between" text="欠">
      <formula>NOT(ISERROR(SEARCH("欠",R141)))</formula>
    </cfRule>
  </conditionalFormatting>
  <conditionalFormatting sqref="S141">
    <cfRule type="containsText" dxfId="0" priority="1139" operator="between" text="欠">
      <formula>NOT(ISERROR(SEARCH("欠",S141)))</formula>
    </cfRule>
    <cfRule type="cellIs" dxfId="0" priority="1140" operator="equal">
      <formula>"欠"</formula>
    </cfRule>
  </conditionalFormatting>
  <conditionalFormatting sqref="T141">
    <cfRule type="containsText" dxfId="0" priority="1137" operator="between" text="欠">
      <formula>NOT(ISERROR(SEARCH("欠",T141)))</formula>
    </cfRule>
    <cfRule type="cellIs" dxfId="0" priority="1138" operator="equal">
      <formula>"欠"</formula>
    </cfRule>
  </conditionalFormatting>
  <conditionalFormatting sqref="AF141">
    <cfRule type="cellIs" dxfId="0" priority="1141" operator="equal">
      <formula>"未完成"</formula>
    </cfRule>
  </conditionalFormatting>
  <conditionalFormatting sqref="AJ141">
    <cfRule type="cellIs" dxfId="2" priority="1142" operator="equal">
      <formula>"未完成"</formula>
    </cfRule>
    <cfRule type="cellIs" dxfId="0" priority="1143" operator="equal">
      <formula>"未完成"</formula>
    </cfRule>
  </conditionalFormatting>
  <conditionalFormatting sqref="AF143">
    <cfRule type="cellIs" dxfId="0" priority="825" operator="equal">
      <formula>"未完成"</formula>
    </cfRule>
  </conditionalFormatting>
  <conditionalFormatting sqref="AJ143">
    <cfRule type="cellIs" dxfId="2" priority="826" operator="equal">
      <formula>"未完成"</formula>
    </cfRule>
    <cfRule type="cellIs" dxfId="0" priority="827" operator="equal">
      <formula>"未完成"</formula>
    </cfRule>
  </conditionalFormatting>
  <conditionalFormatting sqref="T144">
    <cfRule type="containsText" dxfId="0" priority="828" operator="between" text="欠">
      <formula>NOT(ISERROR(SEARCH("欠",T144)))</formula>
    </cfRule>
    <cfRule type="cellIs" dxfId="0" priority="829" operator="equal">
      <formula>"欠"</formula>
    </cfRule>
  </conditionalFormatting>
  <conditionalFormatting sqref="AF144">
    <cfRule type="cellIs" dxfId="0" priority="830" operator="equal">
      <formula>"未完成"</formula>
    </cfRule>
  </conditionalFormatting>
  <conditionalFormatting sqref="AJ144">
    <cfRule type="cellIs" dxfId="2" priority="831" operator="equal">
      <formula>"未完成"</formula>
    </cfRule>
    <cfRule type="cellIs" dxfId="0" priority="832" operator="equal">
      <formula>"未完成"</formula>
    </cfRule>
  </conditionalFormatting>
  <conditionalFormatting sqref="AF145">
    <cfRule type="cellIs" dxfId="0" priority="833" operator="equal">
      <formula>"未完成"</formula>
    </cfRule>
  </conditionalFormatting>
  <conditionalFormatting sqref="AJ145">
    <cfRule type="cellIs" dxfId="2" priority="834" operator="equal">
      <formula>"未完成"</formula>
    </cfRule>
    <cfRule type="cellIs" dxfId="0" priority="835" operator="equal">
      <formula>"未完成"</formula>
    </cfRule>
  </conditionalFormatting>
  <conditionalFormatting sqref="R146">
    <cfRule type="containsText" dxfId="3" priority="815" operator="between" text="欠">
      <formula>NOT(ISERROR(SEARCH("欠",R146)))</formula>
    </cfRule>
  </conditionalFormatting>
  <conditionalFormatting sqref="S146">
    <cfRule type="cellIs" dxfId="0" priority="819" operator="equal">
      <formula>"欠"</formula>
    </cfRule>
  </conditionalFormatting>
  <conditionalFormatting sqref="T146">
    <cfRule type="containsText" dxfId="3" priority="816" operator="between" text="欠">
      <formula>NOT(ISERROR(SEARCH("欠",T146)))</formula>
    </cfRule>
    <cfRule type="containsText" dxfId="0" priority="817" operator="between" text="欠">
      <formula>NOT(ISERROR(SEARCH("欠",T146)))</formula>
    </cfRule>
    <cfRule type="cellIs" dxfId="0" priority="818" operator="equal">
      <formula>"欠"</formula>
    </cfRule>
  </conditionalFormatting>
  <conditionalFormatting sqref="AF146">
    <cfRule type="cellIs" dxfId="0" priority="820" operator="equal">
      <formula>"未完成"</formula>
    </cfRule>
  </conditionalFormatting>
  <conditionalFormatting sqref="AJ146">
    <cfRule type="cellIs" dxfId="2" priority="821" operator="equal">
      <formula>"未完成"</formula>
    </cfRule>
    <cfRule type="cellIs" dxfId="0" priority="822" operator="equal">
      <formula>"未完成"</formula>
    </cfRule>
  </conditionalFormatting>
  <conditionalFormatting sqref="T147">
    <cfRule type="containsText" dxfId="0" priority="813" operator="between" text="欠">
      <formula>NOT(ISERROR(SEARCH("欠",T147)))</formula>
    </cfRule>
    <cfRule type="cellIs" dxfId="0" priority="814" operator="equal">
      <formula>"欠"</formula>
    </cfRule>
  </conditionalFormatting>
  <conditionalFormatting sqref="R148">
    <cfRule type="containsText" dxfId="0" priority="805" operator="between" text="欠">
      <formula>NOT(ISERROR(SEARCH("欠",R148)))</formula>
    </cfRule>
  </conditionalFormatting>
  <conditionalFormatting sqref="S148">
    <cfRule type="containsText" dxfId="0" priority="808" operator="between" text="欠">
      <formula>NOT(ISERROR(SEARCH("欠",S148)))</formula>
    </cfRule>
    <cfRule type="cellIs" dxfId="0" priority="809" operator="equal">
      <formula>"欠"</formula>
    </cfRule>
  </conditionalFormatting>
  <conditionalFormatting sqref="T148">
    <cfRule type="containsText" dxfId="0" priority="806" operator="between" text="欠">
      <formula>NOT(ISERROR(SEARCH("欠",T148)))</formula>
    </cfRule>
    <cfRule type="cellIs" dxfId="0" priority="807" operator="equal">
      <formula>"欠"</formula>
    </cfRule>
  </conditionalFormatting>
  <conditionalFormatting sqref="AF148">
    <cfRule type="cellIs" dxfId="0" priority="810" operator="equal">
      <formula>"未完成"</formula>
    </cfRule>
  </conditionalFormatting>
  <conditionalFormatting sqref="AJ148">
    <cfRule type="cellIs" dxfId="2" priority="811" operator="equal">
      <formula>"未完成"</formula>
    </cfRule>
    <cfRule type="cellIs" dxfId="0" priority="812" operator="equal">
      <formula>"未完成"</formula>
    </cfRule>
  </conditionalFormatting>
  <conditionalFormatting sqref="R149">
    <cfRule type="containsText" dxfId="0" priority="791" operator="between" text="欠">
      <formula>NOT(ISERROR(SEARCH("欠",R149)))</formula>
    </cfRule>
  </conditionalFormatting>
  <conditionalFormatting sqref="T149">
    <cfRule type="containsText" dxfId="0" priority="792" operator="between" text="欠">
      <formula>NOT(ISERROR(SEARCH("欠",T149)))</formula>
    </cfRule>
    <cfRule type="cellIs" dxfId="0" priority="793" operator="equal">
      <formula>"欠"</formula>
    </cfRule>
  </conditionalFormatting>
  <conditionalFormatting sqref="AF149">
    <cfRule type="cellIs" dxfId="0" priority="794" operator="equal">
      <formula>"未完成"</formula>
    </cfRule>
  </conditionalFormatting>
  <conditionalFormatting sqref="AJ149">
    <cfRule type="cellIs" dxfId="2" priority="781" operator="equal">
      <formula>"未完成"</formula>
    </cfRule>
    <cfRule type="cellIs" dxfId="0" priority="782" operator="equal">
      <formula>"未完成"</formula>
    </cfRule>
  </conditionalFormatting>
  <conditionalFormatting sqref="R150">
    <cfRule type="containsText" dxfId="0" priority="798" operator="between" text="欠">
      <formula>NOT(ISERROR(SEARCH("欠",R150)))</formula>
    </cfRule>
  </conditionalFormatting>
  <conditionalFormatting sqref="S150">
    <cfRule type="cellIs" dxfId="0" priority="801" operator="equal">
      <formula>"欠"</formula>
    </cfRule>
  </conditionalFormatting>
  <conditionalFormatting sqref="T150">
    <cfRule type="containsText" dxfId="0" priority="799" operator="between" text="欠">
      <formula>NOT(ISERROR(SEARCH("欠",T150)))</formula>
    </cfRule>
    <cfRule type="cellIs" dxfId="0" priority="800" operator="equal">
      <formula>"欠"</formula>
    </cfRule>
  </conditionalFormatting>
  <conditionalFormatting sqref="AF150">
    <cfRule type="cellIs" dxfId="0" priority="795" operator="equal">
      <formula>"未完成"</formula>
    </cfRule>
  </conditionalFormatting>
  <conditionalFormatting sqref="AJ150">
    <cfRule type="cellIs" dxfId="2" priority="796" operator="equal">
      <formula>"未完成"</formula>
    </cfRule>
    <cfRule type="cellIs" dxfId="0" priority="797" operator="equal">
      <formula>"未完成"</formula>
    </cfRule>
  </conditionalFormatting>
  <conditionalFormatting sqref="R151">
    <cfRule type="containsText" dxfId="0" priority="783" operator="between" text="欠">
      <formula>NOT(ISERROR(SEARCH("欠",R151)))</formula>
    </cfRule>
  </conditionalFormatting>
  <conditionalFormatting sqref="S151">
    <cfRule type="containsText" dxfId="0" priority="786" operator="between" text="欠">
      <formula>NOT(ISERROR(SEARCH("欠",S151)))</formula>
    </cfRule>
    <cfRule type="cellIs" dxfId="0" priority="787" operator="equal">
      <formula>"欠"</formula>
    </cfRule>
  </conditionalFormatting>
  <conditionalFormatting sqref="T151">
    <cfRule type="containsText" dxfId="0" priority="784" operator="between" text="欠">
      <formula>NOT(ISERROR(SEARCH("欠",T151)))</formula>
    </cfRule>
    <cfRule type="cellIs" dxfId="0" priority="785" operator="equal">
      <formula>"欠"</formula>
    </cfRule>
  </conditionalFormatting>
  <conditionalFormatting sqref="AF151">
    <cfRule type="cellIs" dxfId="0" priority="788" operator="equal">
      <formula>"未完成"</formula>
    </cfRule>
  </conditionalFormatting>
  <conditionalFormatting sqref="AJ151">
    <cfRule type="cellIs" dxfId="2" priority="789" operator="equal">
      <formula>"未完成"</formula>
    </cfRule>
    <cfRule type="cellIs" dxfId="0" priority="790" operator="equal">
      <formula>"未完成"</formula>
    </cfRule>
  </conditionalFormatting>
  <conditionalFormatting sqref="AF152">
    <cfRule type="cellIs" dxfId="0" priority="766" operator="equal">
      <formula>"未完成"</formula>
    </cfRule>
  </conditionalFormatting>
  <conditionalFormatting sqref="AJ152">
    <cfRule type="cellIs" dxfId="2" priority="767" operator="equal">
      <formula>"未完成"</formula>
    </cfRule>
    <cfRule type="cellIs" dxfId="0" priority="768" operator="equal">
      <formula>"未完成"</formula>
    </cfRule>
  </conditionalFormatting>
  <conditionalFormatting sqref="AF153">
    <cfRule type="cellIs" dxfId="0" priority="770" operator="equal">
      <formula>"未完成"</formula>
    </cfRule>
  </conditionalFormatting>
  <conditionalFormatting sqref="AJ153">
    <cfRule type="cellIs" dxfId="2" priority="772" operator="equal">
      <formula>"未完成"</formula>
    </cfRule>
    <cfRule type="cellIs" dxfId="0" priority="774" operator="equal">
      <formula>"未完成"</formula>
    </cfRule>
  </conditionalFormatting>
  <conditionalFormatting sqref="AF154">
    <cfRule type="cellIs" dxfId="0" priority="769" operator="equal">
      <formula>"未完成"</formula>
    </cfRule>
  </conditionalFormatting>
  <conditionalFormatting sqref="AJ154">
    <cfRule type="cellIs" dxfId="2" priority="771" operator="equal">
      <formula>"未完成"</formula>
    </cfRule>
    <cfRule type="cellIs" dxfId="0" priority="773" operator="equal">
      <formula>"未完成"</formula>
    </cfRule>
  </conditionalFormatting>
  <conditionalFormatting sqref="R155">
    <cfRule type="containsText" dxfId="3" priority="753" operator="between" text="欠">
      <formula>NOT(ISERROR(SEARCH("欠",R155)))</formula>
    </cfRule>
    <cfRule type="containsText" dxfId="0" priority="763" operator="between" text="欠">
      <formula>NOT(ISERROR(SEARCH("欠",R155)))</formula>
    </cfRule>
  </conditionalFormatting>
  <conditionalFormatting sqref="S155">
    <cfRule type="containsText" dxfId="0" priority="758" operator="between" text="欠">
      <formula>NOT(ISERROR(SEARCH("欠",S155)))</formula>
    </cfRule>
    <cfRule type="cellIs" dxfId="0" priority="759" operator="equal">
      <formula>"欠"</formula>
    </cfRule>
  </conditionalFormatting>
  <conditionalFormatting sqref="T155">
    <cfRule type="containsText" dxfId="3" priority="754" operator="between" text="欠">
      <formula>NOT(ISERROR(SEARCH("欠",T155)))</formula>
    </cfRule>
    <cfRule type="containsText" dxfId="0" priority="755" operator="between" text="欠">
      <formula>NOT(ISERROR(SEARCH("欠",T155)))</formula>
    </cfRule>
    <cfRule type="cellIs" dxfId="0" priority="756" operator="equal">
      <formula>"欠"</formula>
    </cfRule>
  </conditionalFormatting>
  <conditionalFormatting sqref="AF155">
    <cfRule type="cellIs" dxfId="0" priority="760" operator="equal">
      <formula>"未完成"</formula>
    </cfRule>
  </conditionalFormatting>
  <conditionalFormatting sqref="AJ155">
    <cfRule type="cellIs" dxfId="2" priority="761" operator="equal">
      <formula>"未完成"</formula>
    </cfRule>
    <cfRule type="cellIs" dxfId="0" priority="762" operator="equal">
      <formula>"未完成"</formula>
    </cfRule>
  </conditionalFormatting>
  <conditionalFormatting sqref="AF156">
    <cfRule type="cellIs" dxfId="0" priority="1122" operator="equal">
      <formula>"未完成"</formula>
    </cfRule>
  </conditionalFormatting>
  <conditionalFormatting sqref="AJ156">
    <cfRule type="cellIs" dxfId="2" priority="1124" operator="equal">
      <formula>"未完成"</formula>
    </cfRule>
    <cfRule type="cellIs" dxfId="0" priority="1126" operator="equal">
      <formula>"未完成"</formula>
    </cfRule>
  </conditionalFormatting>
  <conditionalFormatting sqref="R157">
    <cfRule type="containsText" dxfId="0" priority="1106" operator="between" text="欠">
      <formula>NOT(ISERROR(SEARCH("欠",R157)))</formula>
    </cfRule>
  </conditionalFormatting>
  <conditionalFormatting sqref="S157">
    <cfRule type="containsText" dxfId="0" priority="1109" operator="between" text="欠">
      <formula>NOT(ISERROR(SEARCH("欠",S157)))</formula>
    </cfRule>
    <cfRule type="cellIs" dxfId="0" priority="1110" operator="equal">
      <formula>"欠"</formula>
    </cfRule>
  </conditionalFormatting>
  <conditionalFormatting sqref="T157">
    <cfRule type="containsText" dxfId="0" priority="1107" operator="between" text="欠">
      <formula>NOT(ISERROR(SEARCH("欠",T157)))</formula>
    </cfRule>
    <cfRule type="cellIs" dxfId="0" priority="1108" operator="equal">
      <formula>"欠"</formula>
    </cfRule>
  </conditionalFormatting>
  <conditionalFormatting sqref="AF157">
    <cfRule type="cellIs" dxfId="0" priority="1111" operator="equal">
      <formula>"未完成"</formula>
    </cfRule>
  </conditionalFormatting>
  <conditionalFormatting sqref="AJ157">
    <cfRule type="cellIs" dxfId="2" priority="1112" operator="equal">
      <formula>"未完成"</formula>
    </cfRule>
    <cfRule type="cellIs" dxfId="0" priority="1113" operator="equal">
      <formula>"未完成"</formula>
    </cfRule>
  </conditionalFormatting>
  <conditionalFormatting sqref="R158">
    <cfRule type="containsText" dxfId="0" priority="1121" operator="between" text="欠">
      <formula>NOT(ISERROR(SEARCH("欠",R158)))</formula>
    </cfRule>
  </conditionalFormatting>
  <conditionalFormatting sqref="X158">
    <cfRule type="cellIs" dxfId="0" priority="1116" operator="equal">
      <formula>"欠"</formula>
    </cfRule>
  </conditionalFormatting>
  <conditionalFormatting sqref="AF158">
    <cfRule type="cellIs" dxfId="0" priority="1117" operator="equal">
      <formula>"未完成"</formula>
    </cfRule>
  </conditionalFormatting>
  <conditionalFormatting sqref="AJ158">
    <cfRule type="cellIs" dxfId="2" priority="1118" operator="equal">
      <formula>"未完成"</formula>
    </cfRule>
    <cfRule type="cellIs" dxfId="0" priority="1119" operator="equal">
      <formula>"未完成"</formula>
    </cfRule>
  </conditionalFormatting>
  <conditionalFormatting sqref="AF159">
    <cfRule type="cellIs" dxfId="0" priority="1123" operator="equal">
      <formula>"未完成"</formula>
    </cfRule>
  </conditionalFormatting>
  <conditionalFormatting sqref="AJ159">
    <cfRule type="cellIs" dxfId="2" priority="1125" operator="equal">
      <formula>"未完成"</formula>
    </cfRule>
    <cfRule type="cellIs" dxfId="0" priority="1127" operator="equal">
      <formula>"未完成"</formula>
    </cfRule>
  </conditionalFormatting>
  <conditionalFormatting sqref="R160">
    <cfRule type="containsText" dxfId="0" priority="1090" operator="between" text="欠">
      <formula>NOT(ISERROR(SEARCH("欠",R160)))</formula>
    </cfRule>
  </conditionalFormatting>
  <conditionalFormatting sqref="S160">
    <cfRule type="cellIs" dxfId="0" priority="1103" operator="equal">
      <formula>"欠"</formula>
    </cfRule>
  </conditionalFormatting>
  <conditionalFormatting sqref="T160">
    <cfRule type="containsText" dxfId="0" priority="1099" operator="between" text="欠">
      <formula>NOT(ISERROR(SEARCH("欠",T160)))</formula>
    </cfRule>
    <cfRule type="cellIs" dxfId="0" priority="1100" operator="equal">
      <formula>"欠"</formula>
    </cfRule>
  </conditionalFormatting>
  <conditionalFormatting sqref="AF160">
    <cfRule type="cellIs" dxfId="0" priority="1093" operator="equal">
      <formula>"未完成"</formula>
    </cfRule>
  </conditionalFormatting>
  <conditionalFormatting sqref="AJ160">
    <cfRule type="cellIs" dxfId="2" priority="1094" operator="equal">
      <formula>"未完成"</formula>
    </cfRule>
    <cfRule type="cellIs" dxfId="0" priority="1095" operator="equal">
      <formula>"未完成"</formula>
    </cfRule>
  </conditionalFormatting>
  <conditionalFormatting sqref="AF162">
    <cfRule type="cellIs" dxfId="0" priority="1096" operator="equal">
      <formula>"未完成"</formula>
    </cfRule>
  </conditionalFormatting>
  <conditionalFormatting sqref="AJ162">
    <cfRule type="cellIs" dxfId="2" priority="1097" operator="equal">
      <formula>"未完成"</formula>
    </cfRule>
    <cfRule type="cellIs" dxfId="0" priority="1098" operator="equal">
      <formula>"未完成"</formula>
    </cfRule>
  </conditionalFormatting>
  <conditionalFormatting sqref="R163">
    <cfRule type="containsText" dxfId="0" priority="1077" operator="between" text="欠">
      <formula>NOT(ISERROR(SEARCH("欠",R163)))</formula>
    </cfRule>
  </conditionalFormatting>
  <conditionalFormatting sqref="AF163">
    <cfRule type="cellIs" dxfId="0" priority="1074" operator="equal">
      <formula>"未完成"</formula>
    </cfRule>
  </conditionalFormatting>
  <conditionalFormatting sqref="AJ163">
    <cfRule type="cellIs" dxfId="2" priority="1075" operator="equal">
      <formula>"未完成"</formula>
    </cfRule>
    <cfRule type="cellIs" dxfId="0" priority="1076" operator="equal">
      <formula>"未完成"</formula>
    </cfRule>
  </conditionalFormatting>
  <conditionalFormatting sqref="R164">
    <cfRule type="containsText" dxfId="0" priority="1078" operator="between" text="欠">
      <formula>NOT(ISERROR(SEARCH("欠",R164)))</formula>
    </cfRule>
  </conditionalFormatting>
  <conditionalFormatting sqref="AF164">
    <cfRule type="cellIs" dxfId="0" priority="1081" operator="equal">
      <formula>"未完成"</formula>
    </cfRule>
  </conditionalFormatting>
  <conditionalFormatting sqref="AJ164">
    <cfRule type="cellIs" dxfId="2" priority="1082" operator="equal">
      <formula>"未完成"</formula>
    </cfRule>
    <cfRule type="cellIs" dxfId="0" priority="1083" operator="equal">
      <formula>"未完成"</formula>
    </cfRule>
  </conditionalFormatting>
  <conditionalFormatting sqref="R165">
    <cfRule type="containsText" dxfId="0" priority="1084" operator="between" text="欠">
      <formula>NOT(ISERROR(SEARCH("欠",R165)))</formula>
    </cfRule>
  </conditionalFormatting>
  <conditionalFormatting sqref="AF165">
    <cfRule type="cellIs" dxfId="0" priority="1085" operator="equal">
      <formula>"未完成"</formula>
    </cfRule>
  </conditionalFormatting>
  <conditionalFormatting sqref="AJ165">
    <cfRule type="cellIs" dxfId="2" priority="1086" operator="equal">
      <formula>"未完成"</formula>
    </cfRule>
    <cfRule type="cellIs" dxfId="0" priority="1087" operator="equal">
      <formula>"未完成"</formula>
    </cfRule>
  </conditionalFormatting>
  <conditionalFormatting sqref="R166">
    <cfRule type="containsText" dxfId="0" priority="1059" operator="between" text="欠">
      <formula>NOT(ISERROR(SEARCH("欠",R166)))</formula>
    </cfRule>
  </conditionalFormatting>
  <conditionalFormatting sqref="AF166">
    <cfRule type="cellIs" dxfId="0" priority="1056" operator="equal">
      <formula>"未完成"</formula>
    </cfRule>
  </conditionalFormatting>
  <conditionalFormatting sqref="AJ166">
    <cfRule type="cellIs" dxfId="2" priority="1057" operator="equal">
      <formula>"未完成"</formula>
    </cfRule>
    <cfRule type="cellIs" dxfId="0" priority="1058" operator="equal">
      <formula>"未完成"</formula>
    </cfRule>
  </conditionalFormatting>
  <conditionalFormatting sqref="AF167">
    <cfRule type="cellIs" dxfId="0" priority="1051" operator="equal">
      <formula>"未完成"</formula>
    </cfRule>
  </conditionalFormatting>
  <conditionalFormatting sqref="AJ167">
    <cfRule type="cellIs" dxfId="2" priority="1053" operator="equal">
      <formula>"未完成"</formula>
    </cfRule>
    <cfRule type="cellIs" dxfId="0" priority="1055" operator="equal">
      <formula>"未完成"</formula>
    </cfRule>
  </conditionalFormatting>
  <conditionalFormatting sqref="AF168">
    <cfRule type="cellIs" dxfId="0" priority="1064" operator="equal">
      <formula>"未完成"</formula>
    </cfRule>
  </conditionalFormatting>
  <conditionalFormatting sqref="AJ168">
    <cfRule type="cellIs" dxfId="2" priority="1065" operator="equal">
      <formula>"未完成"</formula>
    </cfRule>
    <cfRule type="cellIs" dxfId="0" priority="1066" operator="equal">
      <formula>"未完成"</formula>
    </cfRule>
  </conditionalFormatting>
  <conditionalFormatting sqref="AF169">
    <cfRule type="cellIs" dxfId="0" priority="1050" operator="equal">
      <formula>"未完成"</formula>
    </cfRule>
  </conditionalFormatting>
  <conditionalFormatting sqref="AJ169">
    <cfRule type="cellIs" dxfId="2" priority="1052" operator="equal">
      <formula>"未完成"</formula>
    </cfRule>
    <cfRule type="cellIs" dxfId="0" priority="1054" operator="equal">
      <formula>"未完成"</formula>
    </cfRule>
  </conditionalFormatting>
  <conditionalFormatting sqref="R171">
    <cfRule type="containsText" dxfId="0" priority="1032" operator="between" text="欠">
      <formula>NOT(ISERROR(SEARCH("欠",R171)))</formula>
    </cfRule>
  </conditionalFormatting>
  <conditionalFormatting sqref="T171">
    <cfRule type="containsText" dxfId="0" priority="1033" operator="between" text="欠">
      <formula>NOT(ISERROR(SEARCH("欠",T171)))</formula>
    </cfRule>
    <cfRule type="cellIs" dxfId="0" priority="1034" operator="equal">
      <formula>"欠"</formula>
    </cfRule>
  </conditionalFormatting>
  <conditionalFormatting sqref="AF171">
    <cfRule type="cellIs" dxfId="0" priority="1035" operator="equal">
      <formula>"未完成"</formula>
    </cfRule>
  </conditionalFormatting>
  <conditionalFormatting sqref="AJ171">
    <cfRule type="cellIs" dxfId="2" priority="1036" operator="equal">
      <formula>"未完成"</formula>
    </cfRule>
    <cfRule type="cellIs" dxfId="0" priority="1037" operator="equal">
      <formula>"未完成"</formula>
    </cfRule>
  </conditionalFormatting>
  <conditionalFormatting sqref="R172">
    <cfRule type="containsText" dxfId="0" priority="1040" operator="between" text="欠">
      <formula>NOT(ISERROR(SEARCH("欠",R172)))</formula>
    </cfRule>
  </conditionalFormatting>
  <conditionalFormatting sqref="S172">
    <cfRule type="containsText" dxfId="0" priority="1038" operator="between" text="欠">
      <formula>NOT(ISERROR(SEARCH("欠",S172)))</formula>
    </cfRule>
    <cfRule type="cellIs" dxfId="0" priority="1039" operator="equal">
      <formula>"欠"</formula>
    </cfRule>
  </conditionalFormatting>
  <conditionalFormatting sqref="T172">
    <cfRule type="containsText" dxfId="0" priority="1044" operator="between" text="欠">
      <formula>NOT(ISERROR(SEARCH("欠",T172)))</formula>
    </cfRule>
    <cfRule type="cellIs" dxfId="0" priority="1045" operator="equal">
      <formula>"欠"</formula>
    </cfRule>
  </conditionalFormatting>
  <conditionalFormatting sqref="AF172">
    <cfRule type="cellIs" dxfId="0" priority="1029" operator="equal">
      <formula>"未完成"</formula>
    </cfRule>
  </conditionalFormatting>
  <conditionalFormatting sqref="AJ172">
    <cfRule type="cellIs" dxfId="2" priority="1030" operator="equal">
      <formula>"未完成"</formula>
    </cfRule>
    <cfRule type="cellIs" dxfId="0" priority="1031" operator="equal">
      <formula>"未完成"</formula>
    </cfRule>
  </conditionalFormatting>
  <conditionalFormatting sqref="AF173">
    <cfRule type="cellIs" dxfId="0" priority="1012" operator="equal">
      <formula>"未完成"</formula>
    </cfRule>
  </conditionalFormatting>
  <conditionalFormatting sqref="AJ173">
    <cfRule type="cellIs" dxfId="2" priority="1013" operator="equal">
      <formula>"未完成"</formula>
    </cfRule>
    <cfRule type="cellIs" dxfId="0" priority="1014" operator="equal">
      <formula>"未完成"</formula>
    </cfRule>
  </conditionalFormatting>
  <conditionalFormatting sqref="T174">
    <cfRule type="containsText" dxfId="0" priority="1021" operator="between" text="欠">
      <formula>NOT(ISERROR(SEARCH("欠",T174)))</formula>
    </cfRule>
    <cfRule type="cellIs" dxfId="0" priority="1022" operator="equal">
      <formula>"欠"</formula>
    </cfRule>
  </conditionalFormatting>
  <conditionalFormatting sqref="S175">
    <cfRule type="cellIs" dxfId="0" priority="1023" operator="equal">
      <formula>"欠"</formula>
    </cfRule>
  </conditionalFormatting>
  <conditionalFormatting sqref="AF175">
    <cfRule type="cellIs" dxfId="0" priority="1024" operator="equal">
      <formula>"未完成"</formula>
    </cfRule>
  </conditionalFormatting>
  <conditionalFormatting sqref="AJ175">
    <cfRule type="cellIs" dxfId="2" priority="1025" operator="equal">
      <formula>"未完成"</formula>
    </cfRule>
    <cfRule type="cellIs" dxfId="0" priority="1026" operator="equal">
      <formula>"未完成"</formula>
    </cfRule>
  </conditionalFormatting>
  <conditionalFormatting sqref="R176">
    <cfRule type="containsText" dxfId="0" priority="1015" operator="between" text="欠">
      <formula>NOT(ISERROR(SEARCH("欠",R176)))</formula>
    </cfRule>
  </conditionalFormatting>
  <conditionalFormatting sqref="T176">
    <cfRule type="containsText" dxfId="0" priority="1016" operator="between" text="欠">
      <formula>NOT(ISERROR(SEARCH("欠",T176)))</formula>
    </cfRule>
    <cfRule type="cellIs" dxfId="0" priority="1017" operator="equal">
      <formula>"欠"</formula>
    </cfRule>
  </conditionalFormatting>
  <conditionalFormatting sqref="AF176">
    <cfRule type="cellIs" dxfId="0" priority="1018" operator="equal">
      <formula>"未完成"</formula>
    </cfRule>
  </conditionalFormatting>
  <conditionalFormatting sqref="AJ176">
    <cfRule type="cellIs" dxfId="2" priority="1019" operator="equal">
      <formula>"未完成"</formula>
    </cfRule>
    <cfRule type="cellIs" dxfId="0" priority="1020" operator="equal">
      <formula>"未完成"</formula>
    </cfRule>
  </conditionalFormatting>
  <conditionalFormatting sqref="AF177">
    <cfRule type="cellIs" dxfId="0" priority="988" operator="equal">
      <formula>"未完成"</formula>
    </cfRule>
  </conditionalFormatting>
  <conditionalFormatting sqref="AJ177">
    <cfRule type="cellIs" dxfId="2" priority="993" operator="equal">
      <formula>"未完成"</formula>
    </cfRule>
    <cfRule type="cellIs" dxfId="0" priority="998" operator="equal">
      <formula>"未完成"</formula>
    </cfRule>
  </conditionalFormatting>
  <conditionalFormatting sqref="AF178">
    <cfRule type="cellIs" dxfId="0" priority="987" operator="equal">
      <formula>"未完成"</formula>
    </cfRule>
  </conditionalFormatting>
  <conditionalFormatting sqref="AJ178">
    <cfRule type="cellIs" dxfId="2" priority="992" operator="equal">
      <formula>"未完成"</formula>
    </cfRule>
    <cfRule type="cellIs" dxfId="0" priority="997" operator="equal">
      <formula>"未完成"</formula>
    </cfRule>
  </conditionalFormatting>
  <conditionalFormatting sqref="AF179">
    <cfRule type="cellIs" dxfId="0" priority="986" operator="equal">
      <formula>"未完成"</formula>
    </cfRule>
  </conditionalFormatting>
  <conditionalFormatting sqref="AJ179">
    <cfRule type="cellIs" dxfId="2" priority="991" operator="equal">
      <formula>"未完成"</formula>
    </cfRule>
    <cfRule type="cellIs" dxfId="0" priority="996" operator="equal">
      <formula>"未完成"</formula>
    </cfRule>
  </conditionalFormatting>
  <conditionalFormatting sqref="AF180">
    <cfRule type="cellIs" dxfId="0" priority="985" operator="equal">
      <formula>"未完成"</formula>
    </cfRule>
  </conditionalFormatting>
  <conditionalFormatting sqref="AJ180">
    <cfRule type="cellIs" dxfId="2" priority="990" operator="equal">
      <formula>"未完成"</formula>
    </cfRule>
    <cfRule type="cellIs" dxfId="0" priority="995" operator="equal">
      <formula>"未完成"</formula>
    </cfRule>
  </conditionalFormatting>
  <conditionalFormatting sqref="AF181">
    <cfRule type="cellIs" dxfId="0" priority="984" operator="equal">
      <formula>"未完成"</formula>
    </cfRule>
  </conditionalFormatting>
  <conditionalFormatting sqref="AJ181">
    <cfRule type="cellIs" dxfId="2" priority="989" operator="equal">
      <formula>"未完成"</formula>
    </cfRule>
    <cfRule type="cellIs" dxfId="0" priority="994" operator="equal">
      <formula>"未完成"</formula>
    </cfRule>
  </conditionalFormatting>
  <conditionalFormatting sqref="R183">
    <cfRule type="containsText" dxfId="0" priority="952" operator="between" text="欠">
      <formula>NOT(ISERROR(SEARCH("欠",R183)))</formula>
    </cfRule>
  </conditionalFormatting>
  <conditionalFormatting sqref="S183">
    <cfRule type="containsText" dxfId="0" priority="947" operator="between" text="欠">
      <formula>NOT(ISERROR(SEARCH("欠",S183)))</formula>
    </cfRule>
    <cfRule type="cellIs" dxfId="0" priority="948" operator="equal">
      <formula>"欠"</formula>
    </cfRule>
  </conditionalFormatting>
  <conditionalFormatting sqref="T183">
    <cfRule type="containsText" dxfId="0" priority="945" operator="between" text="欠">
      <formula>NOT(ISERROR(SEARCH("欠",T183)))</formula>
    </cfRule>
    <cfRule type="cellIs" dxfId="0" priority="946" operator="equal">
      <formula>"欠"</formula>
    </cfRule>
  </conditionalFormatting>
  <conditionalFormatting sqref="AF183">
    <cfRule type="cellIs" dxfId="0" priority="949" operator="equal">
      <formula>"未完成"</formula>
    </cfRule>
  </conditionalFormatting>
  <conditionalFormatting sqref="AJ183">
    <cfRule type="cellIs" dxfId="2" priority="950" operator="equal">
      <formula>"未完成"</formula>
    </cfRule>
    <cfRule type="cellIs" dxfId="0" priority="951" operator="equal">
      <formula>"未完成"</formula>
    </cfRule>
  </conditionalFormatting>
  <conditionalFormatting sqref="R190">
    <cfRule type="containsText" dxfId="0" priority="964" operator="between" text="欠">
      <formula>NOT(ISERROR(SEARCH("欠",R190)))</formula>
    </cfRule>
  </conditionalFormatting>
  <conditionalFormatting sqref="S190">
    <cfRule type="containsText" dxfId="0" priority="965" operator="between" text="欠">
      <formula>NOT(ISERROR(SEARCH("欠",S190)))</formula>
    </cfRule>
    <cfRule type="cellIs" dxfId="0" priority="966" operator="equal">
      <formula>"欠"</formula>
    </cfRule>
  </conditionalFormatting>
  <conditionalFormatting sqref="T190">
    <cfRule type="containsText" dxfId="0" priority="959" operator="between" text="欠">
      <formula>NOT(ISERROR(SEARCH("欠",T190)))</formula>
    </cfRule>
    <cfRule type="cellIs" dxfId="0" priority="960" operator="equal">
      <formula>"欠"</formula>
    </cfRule>
  </conditionalFormatting>
  <conditionalFormatting sqref="X190">
    <cfRule type="cellIs" dxfId="0" priority="958" operator="equal">
      <formula>"欠"</formula>
    </cfRule>
  </conditionalFormatting>
  <conditionalFormatting sqref="R191">
    <cfRule type="containsText" dxfId="0" priority="970" operator="between" text="欠">
      <formula>NOT(ISERROR(SEARCH("欠",R191)))</formula>
    </cfRule>
  </conditionalFormatting>
  <conditionalFormatting sqref="T191">
    <cfRule type="containsText" dxfId="0" priority="954" operator="between" text="欠">
      <formula>NOT(ISERROR(SEARCH("欠",T191)))</formula>
    </cfRule>
    <cfRule type="cellIs" dxfId="0" priority="955" operator="equal">
      <formula>"欠"</formula>
    </cfRule>
  </conditionalFormatting>
  <conditionalFormatting sqref="AF191">
    <cfRule type="cellIs" dxfId="0" priority="961" operator="equal">
      <formula>"未完成"</formula>
    </cfRule>
  </conditionalFormatting>
  <conditionalFormatting sqref="AJ191">
    <cfRule type="cellIs" dxfId="2" priority="962" operator="equal">
      <formula>"未完成"</formula>
    </cfRule>
    <cfRule type="cellIs" dxfId="0" priority="963" operator="equal">
      <formula>"未完成"</formula>
    </cfRule>
  </conditionalFormatting>
  <conditionalFormatting sqref="S192">
    <cfRule type="containsText" dxfId="0" priority="941" operator="between" text="欠">
      <formula>NOT(ISERROR(SEARCH("欠",S192)))</formula>
    </cfRule>
    <cfRule type="cellIs" dxfId="0" priority="942" operator="equal">
      <formula>"欠"</formula>
    </cfRule>
  </conditionalFormatting>
  <conditionalFormatting sqref="S195">
    <cfRule type="cellIs" dxfId="0" priority="940" operator="equal">
      <formula>"欠"</formula>
    </cfRule>
  </conditionalFormatting>
  <conditionalFormatting sqref="R196">
    <cfRule type="containsText" dxfId="3" priority="905" operator="between" text="欠">
      <formula>NOT(ISERROR(SEARCH("欠",R196)))</formula>
    </cfRule>
    <cfRule type="containsText" dxfId="0" priority="907" operator="between" text="欠">
      <formula>NOT(ISERROR(SEARCH("欠",R196)))</formula>
    </cfRule>
  </conditionalFormatting>
  <conditionalFormatting sqref="S196">
    <cfRule type="containsText" dxfId="0" priority="910" operator="between" text="欠">
      <formula>NOT(ISERROR(SEARCH("欠",S196)))</formula>
    </cfRule>
    <cfRule type="cellIs" dxfId="0" priority="911" operator="equal">
      <formula>"欠"</formula>
    </cfRule>
  </conditionalFormatting>
  <conditionalFormatting sqref="T196">
    <cfRule type="containsText" dxfId="3" priority="906" operator="between" text="欠">
      <formula>NOT(ISERROR(SEARCH("欠",T196)))</formula>
    </cfRule>
    <cfRule type="containsText" dxfId="0" priority="908" operator="between" text="欠">
      <formula>NOT(ISERROR(SEARCH("欠",T196)))</formula>
    </cfRule>
    <cfRule type="cellIs" dxfId="0" priority="909" operator="equal">
      <formula>"欠"</formula>
    </cfRule>
  </conditionalFormatting>
  <conditionalFormatting sqref="X196">
    <cfRule type="cellIs" dxfId="0" priority="912" operator="equal">
      <formula>"欠"</formula>
    </cfRule>
  </conditionalFormatting>
  <conditionalFormatting sqref="AF196">
    <cfRule type="cellIs" dxfId="0" priority="913" operator="equal">
      <formula>"未完成"</formula>
    </cfRule>
  </conditionalFormatting>
  <conditionalFormatting sqref="AJ196">
    <cfRule type="cellIs" dxfId="2" priority="914" operator="equal">
      <formula>"未完成"</formula>
    </cfRule>
    <cfRule type="cellIs" dxfId="0" priority="915" operator="equal">
      <formula>"未完成"</formula>
    </cfRule>
  </conditionalFormatting>
  <conditionalFormatting sqref="AF197">
    <cfRule type="cellIs" dxfId="0" priority="900" operator="equal">
      <formula>"未完成"</formula>
    </cfRule>
  </conditionalFormatting>
  <conditionalFormatting sqref="AJ197">
    <cfRule type="cellIs" dxfId="2" priority="902" operator="equal">
      <formula>"未完成"</formula>
    </cfRule>
    <cfRule type="cellIs" dxfId="0" priority="904" operator="equal">
      <formula>"未完成"</formula>
    </cfRule>
  </conditionalFormatting>
  <conditionalFormatting sqref="AF198">
    <cfRule type="cellIs" dxfId="0" priority="899" operator="equal">
      <formula>"未完成"</formula>
    </cfRule>
  </conditionalFormatting>
  <conditionalFormatting sqref="AJ198">
    <cfRule type="cellIs" dxfId="2" priority="901" operator="equal">
      <formula>"未完成"</formula>
    </cfRule>
    <cfRule type="cellIs" dxfId="0" priority="903" operator="equal">
      <formula>"未完成"</formula>
    </cfRule>
  </conditionalFormatting>
  <conditionalFormatting sqref="S199">
    <cfRule type="cellIs" dxfId="0" priority="878" operator="equal">
      <formula>"欠"</formula>
    </cfRule>
  </conditionalFormatting>
  <conditionalFormatting sqref="S202">
    <cfRule type="containsText" dxfId="0" priority="879" operator="between" text="欠">
      <formula>NOT(ISERROR(SEARCH("欠",S202)))</formula>
    </cfRule>
    <cfRule type="cellIs" dxfId="0" priority="880" operator="equal">
      <formula>"欠"</formula>
    </cfRule>
  </conditionalFormatting>
  <conditionalFormatting sqref="R203">
    <cfRule type="containsText" dxfId="3" priority="862" operator="between" text="欠">
      <formula>NOT(ISERROR(SEARCH("欠",R203)))</formula>
    </cfRule>
    <cfRule type="containsText" dxfId="0" priority="867" operator="between" text="欠">
      <formula>NOT(ISERROR(SEARCH("欠",R203)))</formula>
    </cfRule>
  </conditionalFormatting>
  <conditionalFormatting sqref="T203">
    <cfRule type="containsText" dxfId="3" priority="863" operator="between" text="欠">
      <formula>NOT(ISERROR(SEARCH("欠",T203)))</formula>
    </cfRule>
  </conditionalFormatting>
  <conditionalFormatting sqref="AF203">
    <cfRule type="cellIs" dxfId="0" priority="864" operator="equal">
      <formula>"未完成"</formula>
    </cfRule>
  </conditionalFormatting>
  <conditionalFormatting sqref="AJ203">
    <cfRule type="cellIs" dxfId="2" priority="865" operator="equal">
      <formula>"未完成"</formula>
    </cfRule>
    <cfRule type="cellIs" dxfId="0" priority="866" operator="equal">
      <formula>"未完成"</formula>
    </cfRule>
  </conditionalFormatting>
  <conditionalFormatting sqref="R204">
    <cfRule type="containsText" dxfId="3" priority="850" operator="between" text="欠">
      <formula>NOT(ISERROR(SEARCH("欠",R204)))</formula>
    </cfRule>
    <cfRule type="containsText" dxfId="0" priority="852" operator="between" text="欠">
      <formula>NOT(ISERROR(SEARCH("欠",R204)))</formula>
    </cfRule>
  </conditionalFormatting>
  <conditionalFormatting sqref="S204">
    <cfRule type="containsText" dxfId="0" priority="860" operator="between" text="欠">
      <formula>NOT(ISERROR(SEARCH("欠",S204)))</formula>
    </cfRule>
    <cfRule type="cellIs" dxfId="0" priority="861" operator="equal">
      <formula>"欠"</formula>
    </cfRule>
  </conditionalFormatting>
  <conditionalFormatting sqref="T204">
    <cfRule type="containsText" dxfId="3" priority="851" operator="between" text="欠">
      <formula>NOT(ISERROR(SEARCH("欠",T204)))</formula>
    </cfRule>
    <cfRule type="containsText" dxfId="0" priority="856" operator="between" text="欠">
      <formula>NOT(ISERROR(SEARCH("欠",T204)))</formula>
    </cfRule>
    <cfRule type="cellIs" dxfId="0" priority="857" operator="equal">
      <formula>"欠"</formula>
    </cfRule>
  </conditionalFormatting>
  <conditionalFormatting sqref="AF204">
    <cfRule type="cellIs" dxfId="0" priority="853" operator="equal">
      <formula>"未完成"</formula>
    </cfRule>
  </conditionalFormatting>
  <conditionalFormatting sqref="AJ204">
    <cfRule type="cellIs" dxfId="2" priority="854" operator="equal">
      <formula>"未完成"</formula>
    </cfRule>
    <cfRule type="cellIs" dxfId="0" priority="855" operator="equal">
      <formula>"未完成"</formula>
    </cfRule>
  </conditionalFormatting>
  <conditionalFormatting sqref="S205">
    <cfRule type="containsText" dxfId="3" priority="745" operator="between" text="欠">
      <formula>NOT(ISERROR(SEARCH("欠",S205)))</formula>
    </cfRule>
  </conditionalFormatting>
  <conditionalFormatting sqref="T205">
    <cfRule type="cellIs" dxfId="0" priority="752" operator="equal">
      <formula>"欠"</formula>
    </cfRule>
    <cfRule type="containsText" dxfId="0" priority="751" operator="between" text="欠">
      <formula>NOT(ISERROR(SEARCH("欠",T205)))</formula>
    </cfRule>
  </conditionalFormatting>
  <conditionalFormatting sqref="U205">
    <cfRule type="cellIs" dxfId="0" priority="748" operator="equal">
      <formula>"欠"</formula>
    </cfRule>
    <cfRule type="containsText" dxfId="0" priority="747" operator="between" text="欠">
      <formula>NOT(ISERROR(SEARCH("欠",U205)))</formula>
    </cfRule>
    <cfRule type="containsText" dxfId="3" priority="746" operator="between" text="欠">
      <formula>NOT(ISERROR(SEARCH("欠",U205)))</formula>
    </cfRule>
  </conditionalFormatting>
  <conditionalFormatting sqref="S206">
    <cfRule type="containsText" dxfId="0" priority="739" operator="between" text="欠">
      <formula>NOT(ISERROR(SEARCH("欠",S206)))</formula>
    </cfRule>
    <cfRule type="containsText" dxfId="3" priority="737" operator="between" text="欠">
      <formula>NOT(ISERROR(SEARCH("欠",S206)))</formula>
    </cfRule>
  </conditionalFormatting>
  <conditionalFormatting sqref="U206">
    <cfRule type="cellIs" dxfId="0" priority="741" operator="equal">
      <formula>"欠"</formula>
    </cfRule>
    <cfRule type="containsText" dxfId="0" priority="740" operator="between" text="欠">
      <formula>NOT(ISERROR(SEARCH("欠",U206)))</formula>
    </cfRule>
    <cfRule type="containsText" dxfId="3" priority="738" operator="between" text="欠">
      <formula>NOT(ISERROR(SEARCH("欠",U206)))</formula>
    </cfRule>
  </conditionalFormatting>
  <conditionalFormatting sqref="AG206">
    <cfRule type="cellIs" dxfId="0" priority="742" operator="equal">
      <formula>"未完成"</formula>
    </cfRule>
  </conditionalFormatting>
  <conditionalFormatting sqref="AK206">
    <cfRule type="cellIs" dxfId="0" priority="744" operator="equal">
      <formula>"未完成"</formula>
    </cfRule>
    <cfRule type="cellIs" dxfId="2" priority="743" operator="equal">
      <formula>"未完成"</formula>
    </cfRule>
  </conditionalFormatting>
  <conditionalFormatting sqref="S208">
    <cfRule type="containsText" dxfId="0" priority="731" operator="between" text="欠">
      <formula>NOT(ISERROR(SEARCH("欠",S208)))</formula>
    </cfRule>
  </conditionalFormatting>
  <conditionalFormatting sqref="T208">
    <cfRule type="cellIs" dxfId="0" priority="730" operator="equal">
      <formula>"欠"</formula>
    </cfRule>
    <cfRule type="containsText" dxfId="0" priority="729" operator="between" text="欠">
      <formula>NOT(ISERROR(SEARCH("欠",T208)))</formula>
    </cfRule>
  </conditionalFormatting>
  <conditionalFormatting sqref="U208">
    <cfRule type="cellIs" dxfId="0" priority="733" operator="equal">
      <formula>"欠"</formula>
    </cfRule>
    <cfRule type="containsText" dxfId="0" priority="732" operator="between" text="欠">
      <formula>NOT(ISERROR(SEARCH("欠",U208)))</formula>
    </cfRule>
  </conditionalFormatting>
  <conditionalFormatting sqref="AG208">
    <cfRule type="cellIs" dxfId="0" priority="734" operator="equal">
      <formula>"未完成"</formula>
    </cfRule>
  </conditionalFormatting>
  <conditionalFormatting sqref="AK208">
    <cfRule type="cellIs" dxfId="0" priority="736" operator="equal">
      <formula>"未完成"</formula>
    </cfRule>
    <cfRule type="cellIs" dxfId="2" priority="735" operator="equal">
      <formula>"未完成"</formula>
    </cfRule>
  </conditionalFormatting>
  <conditionalFormatting sqref="S209">
    <cfRule type="containsText" dxfId="0" priority="719" operator="between" text="欠">
      <formula>NOT(ISERROR(SEARCH("欠",S209)))</formula>
    </cfRule>
    <cfRule type="containsText" dxfId="3" priority="712" operator="between" text="欠">
      <formula>NOT(ISERROR(SEARCH("欠",S209)))</formula>
    </cfRule>
  </conditionalFormatting>
  <conditionalFormatting sqref="T209">
    <cfRule type="cellIs" dxfId="0" priority="722" operator="equal">
      <formula>"欠"</formula>
    </cfRule>
    <cfRule type="containsText" dxfId="0" priority="717" operator="between" text="欠">
      <formula>NOT(ISERROR(SEARCH("欠",T209)))</formula>
    </cfRule>
  </conditionalFormatting>
  <conditionalFormatting sqref="U209">
    <cfRule type="cellIs" dxfId="0" priority="721" operator="equal">
      <formula>"欠"</formula>
    </cfRule>
    <cfRule type="containsText" dxfId="0" priority="720" operator="between" text="欠">
      <formula>NOT(ISERROR(SEARCH("欠",U209)))</formula>
    </cfRule>
    <cfRule type="containsText" dxfId="3" priority="713" operator="between" text="欠">
      <formula>NOT(ISERROR(SEARCH("欠",U209)))</formula>
    </cfRule>
  </conditionalFormatting>
  <conditionalFormatting sqref="Y209">
    <cfRule type="cellIs" dxfId="0" priority="723" operator="equal">
      <formula>"欠"</formula>
    </cfRule>
  </conditionalFormatting>
  <conditionalFormatting sqref="AG209">
    <cfRule type="cellIs" dxfId="0" priority="724" operator="equal">
      <formula>"未完成"</formula>
    </cfRule>
  </conditionalFormatting>
  <conditionalFormatting sqref="AK209">
    <cfRule type="cellIs" dxfId="0" priority="726" operator="equal">
      <formula>"未完成"</formula>
    </cfRule>
    <cfRule type="cellIs" dxfId="2" priority="725" operator="equal">
      <formula>"未完成"</formula>
    </cfRule>
  </conditionalFormatting>
  <conditionalFormatting sqref="S210">
    <cfRule type="containsText" dxfId="3" priority="701" operator="between" text="欠">
      <formula>NOT(ISERROR(SEARCH("欠",S210)))</formula>
    </cfRule>
  </conditionalFormatting>
  <conditionalFormatting sqref="T210">
    <cfRule type="cellIs" dxfId="0" priority="704" operator="equal">
      <formula>"欠"</formula>
    </cfRule>
    <cfRule type="containsText" dxfId="0" priority="703" operator="between" text="欠">
      <formula>NOT(ISERROR(SEARCH("欠",T210)))</formula>
    </cfRule>
  </conditionalFormatting>
  <conditionalFormatting sqref="U210">
    <cfRule type="cellIs" dxfId="0" priority="708" operator="equal">
      <formula>"欠"</formula>
    </cfRule>
    <cfRule type="containsText" dxfId="0" priority="707" operator="between" text="欠">
      <formula>NOT(ISERROR(SEARCH("欠",U210)))</formula>
    </cfRule>
    <cfRule type="containsText" dxfId="3" priority="702" operator="between" text="欠">
      <formula>NOT(ISERROR(SEARCH("欠",U210)))</formula>
    </cfRule>
  </conditionalFormatting>
  <conditionalFormatting sqref="AG210">
    <cfRule type="cellIs" dxfId="0" priority="709" operator="equal">
      <formula>"未完成"</formula>
    </cfRule>
  </conditionalFormatting>
  <conditionalFormatting sqref="AK210">
    <cfRule type="cellIs" dxfId="0" priority="711" operator="equal">
      <formula>"未完成"</formula>
    </cfRule>
    <cfRule type="cellIs" dxfId="2" priority="710" operator="equal">
      <formula>"未完成"</formula>
    </cfRule>
  </conditionalFormatting>
  <conditionalFormatting sqref="S213">
    <cfRule type="containsText" dxfId="3" priority="687" operator="between" text="欠">
      <formula>NOT(ISERROR(SEARCH("欠",S213)))</formula>
    </cfRule>
  </conditionalFormatting>
  <conditionalFormatting sqref="U213">
    <cfRule type="cellIs" dxfId="0" priority="690" operator="equal">
      <formula>"欠"</formula>
    </cfRule>
    <cfRule type="containsText" dxfId="0" priority="689" operator="between" text="欠">
      <formula>NOT(ISERROR(SEARCH("欠",U213)))</formula>
    </cfRule>
    <cfRule type="containsText" dxfId="3" priority="688" operator="between" text="欠">
      <formula>NOT(ISERROR(SEARCH("欠",U213)))</formula>
    </cfRule>
  </conditionalFormatting>
  <conditionalFormatting sqref="AG213">
    <cfRule type="cellIs" dxfId="0" priority="691" operator="equal">
      <formula>"未完成"</formula>
    </cfRule>
  </conditionalFormatting>
  <conditionalFormatting sqref="AK213">
    <cfRule type="cellIs" dxfId="0" priority="693" operator="equal">
      <formula>"未完成"</formula>
    </cfRule>
    <cfRule type="cellIs" dxfId="2" priority="692" operator="equal">
      <formula>"未完成"</formula>
    </cfRule>
  </conditionalFormatting>
  <conditionalFormatting sqref="S214">
    <cfRule type="containsText" dxfId="0" priority="686" operator="between" text="欠">
      <formula>NOT(ISERROR(SEARCH("欠",S214)))</formula>
    </cfRule>
    <cfRule type="containsText" dxfId="3" priority="680" operator="between" text="欠">
      <formula>NOT(ISERROR(SEARCH("欠",S214)))</formula>
    </cfRule>
  </conditionalFormatting>
  <conditionalFormatting sqref="T214">
    <cfRule type="cellIs" dxfId="0" priority="685" operator="equal">
      <formula>"欠"</formula>
    </cfRule>
  </conditionalFormatting>
  <conditionalFormatting sqref="U214">
    <cfRule type="containsText" dxfId="3" priority="681" operator="between" text="欠">
      <formula>NOT(ISERROR(SEARCH("欠",U214)))</formula>
    </cfRule>
  </conditionalFormatting>
  <conditionalFormatting sqref="AG214">
    <cfRule type="cellIs" dxfId="0" priority="682" operator="equal">
      <formula>"未完成"</formula>
    </cfRule>
  </conditionalFormatting>
  <conditionalFormatting sqref="AK214">
    <cfRule type="cellIs" dxfId="0" priority="684" operator="equal">
      <formula>"未完成"</formula>
    </cfRule>
    <cfRule type="cellIs" dxfId="2" priority="683" operator="equal">
      <formula>"未完成"</formula>
    </cfRule>
  </conditionalFormatting>
  <conditionalFormatting sqref="S215">
    <cfRule type="containsText" dxfId="3" priority="673" operator="between" text="欠">
      <formula>NOT(ISERROR(SEARCH("欠",S215)))</formula>
    </cfRule>
  </conditionalFormatting>
  <conditionalFormatting sqref="T215">
    <cfRule type="cellIs" dxfId="0" priority="679" operator="equal">
      <formula>"欠"</formula>
    </cfRule>
    <cfRule type="containsText" dxfId="0" priority="678" operator="between" text="欠">
      <formula>NOT(ISERROR(SEARCH("欠",T215)))</formula>
    </cfRule>
  </conditionalFormatting>
  <conditionalFormatting sqref="U215">
    <cfRule type="containsText" dxfId="3" priority="674" operator="between" text="欠">
      <formula>NOT(ISERROR(SEARCH("欠",U215)))</formula>
    </cfRule>
  </conditionalFormatting>
  <conditionalFormatting sqref="AG215">
    <cfRule type="cellIs" dxfId="0" priority="675" operator="equal">
      <formula>"未完成"</formula>
    </cfRule>
  </conditionalFormatting>
  <conditionalFormatting sqref="AK215">
    <cfRule type="cellIs" dxfId="0" priority="677" operator="equal">
      <formula>"未完成"</formula>
    </cfRule>
    <cfRule type="cellIs" dxfId="2" priority="676" operator="equal">
      <formula>"未完成"</formula>
    </cfRule>
  </conditionalFormatting>
  <conditionalFormatting sqref="S216">
    <cfRule type="containsText" dxfId="0" priority="672" operator="between" text="欠">
      <formula>NOT(ISERROR(SEARCH("欠",S216)))</formula>
    </cfRule>
    <cfRule type="containsText" dxfId="3" priority="653" operator="between" text="欠">
      <formula>NOT(ISERROR(SEARCH("欠",S216)))</formula>
    </cfRule>
  </conditionalFormatting>
  <conditionalFormatting sqref="T216">
    <cfRule type="cellIs" dxfId="0" priority="671" operator="equal">
      <formula>"欠"</formula>
    </cfRule>
    <cfRule type="containsText" dxfId="0" priority="661" operator="between" text="欠">
      <formula>NOT(ISERROR(SEARCH("欠",T216)))</formula>
    </cfRule>
  </conditionalFormatting>
  <conditionalFormatting sqref="U216">
    <cfRule type="cellIs" dxfId="0" priority="670" operator="equal">
      <formula>"欠"</formula>
    </cfRule>
    <cfRule type="containsText" dxfId="0" priority="669" operator="between" text="欠">
      <formula>NOT(ISERROR(SEARCH("欠",U216)))</formula>
    </cfRule>
    <cfRule type="containsText" dxfId="3" priority="654" operator="between" text="欠">
      <formula>NOT(ISERROR(SEARCH("欠",U216)))</formula>
    </cfRule>
  </conditionalFormatting>
  <conditionalFormatting sqref="AG216">
    <cfRule type="cellIs" dxfId="0" priority="666" operator="equal">
      <formula>"未完成"</formula>
    </cfRule>
  </conditionalFormatting>
  <conditionalFormatting sqref="AK216">
    <cfRule type="cellIs" dxfId="0" priority="668" operator="equal">
      <formula>"未完成"</formula>
    </cfRule>
    <cfRule type="cellIs" dxfId="2" priority="667" operator="equal">
      <formula>"未完成"</formula>
    </cfRule>
  </conditionalFormatting>
  <conditionalFormatting sqref="R217">
    <cfRule type="containsText" dxfId="0" priority="640" operator="between" text="欠">
      <formula>NOT(ISERROR(SEARCH("欠",R217)))</formula>
    </cfRule>
    <cfRule type="containsText" dxfId="3" priority="638" operator="between" text="欠">
      <formula>NOT(ISERROR(SEARCH("欠",R217)))</formula>
    </cfRule>
  </conditionalFormatting>
  <conditionalFormatting sqref="S217">
    <cfRule type="cellIs" dxfId="0" priority="650" operator="equal">
      <formula>"欠"</formula>
    </cfRule>
    <cfRule type="containsText" dxfId="0" priority="649" operator="between" text="欠">
      <formula>NOT(ISERROR(SEARCH("欠",S217)))</formula>
    </cfRule>
  </conditionalFormatting>
  <conditionalFormatting sqref="T217:U217">
    <cfRule type="cellIs" dxfId="0" priority="644" operator="equal">
      <formula>"欠"</formula>
    </cfRule>
    <cfRule type="containsText" dxfId="0" priority="643" operator="between" text="欠">
      <formula>NOT(ISERROR(SEARCH("欠",T217)))</formula>
    </cfRule>
  </conditionalFormatting>
  <conditionalFormatting sqref="V217:W217">
    <cfRule type="cellIs" dxfId="0" priority="647" operator="equal">
      <formula>"欠"</formula>
    </cfRule>
    <cfRule type="containsText" dxfId="1" priority="646" operator="between" text="欠">
      <formula>NOT(ISERROR(SEARCH("欠",V217)))</formula>
    </cfRule>
    <cfRule type="containsText" dxfId="0" priority="645" operator="between" text="欠">
      <formula>NOT(ISERROR(SEARCH("欠",V217)))</formula>
    </cfRule>
  </conditionalFormatting>
  <conditionalFormatting sqref="X217">
    <cfRule type="cellIs" dxfId="0" priority="648" operator="equal">
      <formula>"欠"</formula>
    </cfRule>
  </conditionalFormatting>
  <conditionalFormatting sqref="AE217">
    <cfRule type="cellIs" dxfId="0" priority="642" operator="equal">
      <formula>"未完成"</formula>
    </cfRule>
    <cfRule type="cellIs" dxfId="2" priority="641" operator="equal">
      <formula>"未完成"</formula>
    </cfRule>
  </conditionalFormatting>
  <conditionalFormatting sqref="AJ217">
    <cfRule type="cellIs" dxfId="0" priority="652" operator="equal">
      <formula>"未完成"</formula>
    </cfRule>
  </conditionalFormatting>
  <conditionalFormatting sqref="R218">
    <cfRule type="containsText" dxfId="0" priority="636" operator="between" text="欠">
      <formula>NOT(ISERROR(SEARCH("欠",R218)))</formula>
    </cfRule>
    <cfRule type="containsText" dxfId="3" priority="625" operator="between" text="欠">
      <formula>NOT(ISERROR(SEARCH("欠",R218)))</formula>
    </cfRule>
  </conditionalFormatting>
  <conditionalFormatting sqref="V218">
    <cfRule type="cellIs" dxfId="0" priority="635" operator="equal">
      <formula>"欠"</formula>
    </cfRule>
    <cfRule type="containsText" dxfId="1" priority="634" operator="between" text="欠">
      <formula>NOT(ISERROR(SEARCH("欠",V218)))</formula>
    </cfRule>
    <cfRule type="containsText" dxfId="0" priority="633" operator="between" text="欠">
      <formula>NOT(ISERROR(SEARCH("欠",V218)))</formula>
    </cfRule>
  </conditionalFormatting>
  <conditionalFormatting sqref="W218">
    <cfRule type="cellIs" dxfId="0" priority="630" operator="equal">
      <formula>"欠"</formula>
    </cfRule>
    <cfRule type="containsText" dxfId="1" priority="629" operator="between" text="欠">
      <formula>NOT(ISERROR(SEARCH("欠",W218)))</formula>
    </cfRule>
    <cfRule type="containsText" dxfId="0" priority="628" operator="between" text="欠">
      <formula>NOT(ISERROR(SEARCH("欠",W218)))</formula>
    </cfRule>
  </conditionalFormatting>
  <conditionalFormatting sqref="X218">
    <cfRule type="cellIs" dxfId="0" priority="631" operator="equal">
      <formula>"欠"</formula>
    </cfRule>
  </conditionalFormatting>
  <conditionalFormatting sqref="AE218">
    <cfRule type="cellIs" dxfId="0" priority="627" operator="equal">
      <formula>"未完成"</formula>
    </cfRule>
    <cfRule type="cellIs" dxfId="2" priority="626" operator="equal">
      <formula>"未完成"</formula>
    </cfRule>
  </conditionalFormatting>
  <conditionalFormatting sqref="S219">
    <cfRule type="containsText" dxfId="3" priority="619" operator="between" text="欠">
      <formula>NOT(ISERROR(SEARCH("欠",S219)))</formula>
    </cfRule>
  </conditionalFormatting>
  <conditionalFormatting sqref="T219">
    <cfRule type="cellIs" dxfId="0" priority="623" operator="equal">
      <formula>"欠"</formula>
    </cfRule>
    <cfRule type="containsText" dxfId="0" priority="622" operator="between" text="欠">
      <formula>NOT(ISERROR(SEARCH("欠",T219)))</formula>
    </cfRule>
  </conditionalFormatting>
  <conditionalFormatting sqref="U219">
    <cfRule type="containsText" dxfId="3" priority="620" operator="between" text="欠">
      <formula>NOT(ISERROR(SEARCH("欠",U219)))</formula>
    </cfRule>
  </conditionalFormatting>
  <conditionalFormatting sqref="R220">
    <cfRule type="containsText" dxfId="0" priority="605" operator="between" text="欠">
      <formula>NOT(ISERROR(SEARCH("欠",R220)))</formula>
    </cfRule>
    <cfRule type="containsText" dxfId="3" priority="602" operator="between" text="欠">
      <formula>NOT(ISERROR(SEARCH("欠",R220)))</formula>
    </cfRule>
  </conditionalFormatting>
  <conditionalFormatting sqref="S220">
    <cfRule type="cellIs" dxfId="0" priority="604" operator="equal">
      <formula>"欠"</formula>
    </cfRule>
    <cfRule type="containsText" dxfId="0" priority="603" operator="between" text="欠">
      <formula>NOT(ISERROR(SEARCH("欠",S220)))</formula>
    </cfRule>
  </conditionalFormatting>
  <conditionalFormatting sqref="T220:U220">
    <cfRule type="cellIs" dxfId="0" priority="616" operator="equal">
      <formula>"欠"</formula>
    </cfRule>
    <cfRule type="containsText" dxfId="0" priority="615" operator="between" text="欠">
      <formula>NOT(ISERROR(SEARCH("欠",T220)))</formula>
    </cfRule>
  </conditionalFormatting>
  <conditionalFormatting sqref="V220:W220">
    <cfRule type="cellIs" dxfId="0" priority="612" operator="equal">
      <formula>"欠"</formula>
    </cfRule>
    <cfRule type="containsText" dxfId="1" priority="611" operator="between" text="欠">
      <formula>NOT(ISERROR(SEARCH("欠",V220)))</formula>
    </cfRule>
    <cfRule type="containsText" dxfId="0" priority="610" operator="between" text="欠">
      <formula>NOT(ISERROR(SEARCH("欠",V220)))</formula>
    </cfRule>
  </conditionalFormatting>
  <conditionalFormatting sqref="X220">
    <cfRule type="cellIs" dxfId="0" priority="617" operator="equal">
      <formula>"欠"</formula>
    </cfRule>
  </conditionalFormatting>
  <conditionalFormatting sqref="AE220">
    <cfRule type="cellIs" dxfId="0" priority="607" operator="equal">
      <formula>"未完成"</formula>
    </cfRule>
    <cfRule type="cellIs" dxfId="2" priority="606" operator="equal">
      <formula>"未完成"</formula>
    </cfRule>
  </conditionalFormatting>
  <conditionalFormatting sqref="AJ220">
    <cfRule type="cellIs" dxfId="0" priority="618" operator="equal">
      <formula>"未完成"</formula>
    </cfRule>
  </conditionalFormatting>
  <conditionalFormatting sqref="S221">
    <cfRule type="containsText" dxfId="0" priority="595" operator="between" text="欠">
      <formula>NOT(ISERROR(SEARCH("欠",S221)))</formula>
    </cfRule>
    <cfRule type="containsText" dxfId="3" priority="580" operator="between" text="欠">
      <formula>NOT(ISERROR(SEARCH("欠",S221)))</formula>
    </cfRule>
  </conditionalFormatting>
  <conditionalFormatting sqref="T221">
    <cfRule type="cellIs" dxfId="0" priority="600" operator="equal">
      <formula>"欠"</formula>
    </cfRule>
    <cfRule type="containsText" dxfId="0" priority="596" operator="between" text="欠">
      <formula>NOT(ISERROR(SEARCH("欠",T221)))</formula>
    </cfRule>
  </conditionalFormatting>
  <conditionalFormatting sqref="U221">
    <cfRule type="cellIs" dxfId="0" priority="599" operator="equal">
      <formula>"欠"</formula>
    </cfRule>
    <cfRule type="containsText" dxfId="0" priority="598" operator="between" text="欠">
      <formula>NOT(ISERROR(SEARCH("欠",U221)))</formula>
    </cfRule>
    <cfRule type="containsText" dxfId="3" priority="581" operator="between" text="欠">
      <formula>NOT(ISERROR(SEARCH("欠",U221)))</formula>
    </cfRule>
  </conditionalFormatting>
  <conditionalFormatting sqref="AG221">
    <cfRule type="cellIs" dxfId="0" priority="592" operator="equal">
      <formula>"未完成"</formula>
    </cfRule>
  </conditionalFormatting>
  <conditionalFormatting sqref="AK221">
    <cfRule type="cellIs" dxfId="0" priority="594" operator="equal">
      <formula>"未完成"</formula>
    </cfRule>
    <cfRule type="cellIs" dxfId="2" priority="593" operator="equal">
      <formula>"未完成"</formula>
    </cfRule>
  </conditionalFormatting>
  <conditionalFormatting sqref="R222">
    <cfRule type="containsText" dxfId="0" priority="569" operator="between" text="欠">
      <formula>NOT(ISERROR(SEARCH("欠",R222)))</formula>
    </cfRule>
    <cfRule type="containsText" dxfId="3" priority="565" operator="between" text="欠">
      <formula>NOT(ISERROR(SEARCH("欠",R222)))</formula>
    </cfRule>
  </conditionalFormatting>
  <conditionalFormatting sqref="S222">
    <cfRule type="cellIs" dxfId="0" priority="579" operator="equal">
      <formula>"欠"</formula>
    </cfRule>
    <cfRule type="containsText" dxfId="0" priority="578" operator="between" text="欠">
      <formula>NOT(ISERROR(SEARCH("欠",S222)))</formula>
    </cfRule>
  </conditionalFormatting>
  <conditionalFormatting sqref="T222:U222">
    <cfRule type="cellIs" dxfId="0" priority="573" operator="equal">
      <formula>"欠"</formula>
    </cfRule>
    <cfRule type="containsText" dxfId="0" priority="572" operator="between" text="欠">
      <formula>NOT(ISERROR(SEARCH("欠",T222)))</formula>
    </cfRule>
  </conditionalFormatting>
  <conditionalFormatting sqref="V222:W222">
    <cfRule type="cellIs" dxfId="0" priority="576" operator="equal">
      <formula>"欠"</formula>
    </cfRule>
    <cfRule type="containsText" dxfId="1" priority="575" operator="between" text="欠">
      <formula>NOT(ISERROR(SEARCH("欠",V222)))</formula>
    </cfRule>
    <cfRule type="containsText" dxfId="0" priority="574" operator="between" text="欠">
      <formula>NOT(ISERROR(SEARCH("欠",V222)))</formula>
    </cfRule>
  </conditionalFormatting>
  <conditionalFormatting sqref="X222">
    <cfRule type="cellIs" dxfId="0" priority="577" operator="equal">
      <formula>"欠"</formula>
    </cfRule>
  </conditionalFormatting>
  <conditionalFormatting sqref="AE222">
    <cfRule type="cellIs" dxfId="0" priority="571" operator="equal">
      <formula>"未完成"</formula>
    </cfRule>
    <cfRule type="cellIs" dxfId="2" priority="570" operator="equal">
      <formula>"未完成"</formula>
    </cfRule>
  </conditionalFormatting>
  <conditionalFormatting sqref="AJ222">
    <cfRule type="cellIs" dxfId="0" priority="568" operator="equal">
      <formula>"未完成"</formula>
    </cfRule>
  </conditionalFormatting>
  <conditionalFormatting sqref="S223">
    <cfRule type="containsText" dxfId="0" priority="555" operator="between" text="欠">
      <formula>NOT(ISERROR(SEARCH("欠",S223)))</formula>
    </cfRule>
    <cfRule type="containsText" dxfId="3" priority="553" operator="between" text="欠">
      <formula>NOT(ISERROR(SEARCH("欠",S223)))</formula>
    </cfRule>
  </conditionalFormatting>
  <conditionalFormatting sqref="T223">
    <cfRule type="cellIs" dxfId="0" priority="563" operator="equal">
      <formula>"欠"</formula>
    </cfRule>
    <cfRule type="containsText" dxfId="0" priority="558" operator="between" text="欠">
      <formula>NOT(ISERROR(SEARCH("欠",T223)))</formula>
    </cfRule>
  </conditionalFormatting>
  <conditionalFormatting sqref="U223">
    <cfRule type="cellIs" dxfId="0" priority="557" operator="equal">
      <formula>"欠"</formula>
    </cfRule>
    <cfRule type="containsText" dxfId="0" priority="556" operator="between" text="欠">
      <formula>NOT(ISERROR(SEARCH("欠",U223)))</formula>
    </cfRule>
    <cfRule type="containsText" dxfId="3" priority="554" operator="between" text="欠">
      <formula>NOT(ISERROR(SEARCH("欠",U223)))</formula>
    </cfRule>
  </conditionalFormatting>
  <conditionalFormatting sqref="AG223">
    <cfRule type="cellIs" dxfId="0" priority="560" operator="equal">
      <formula>"未完成"</formula>
    </cfRule>
  </conditionalFormatting>
  <conditionalFormatting sqref="AK223">
    <cfRule type="cellIs" dxfId="0" priority="562" operator="equal">
      <formula>"未完成"</formula>
    </cfRule>
    <cfRule type="cellIs" dxfId="2" priority="561" operator="equal">
      <formula>"未完成"</formula>
    </cfRule>
  </conditionalFormatting>
  <conditionalFormatting sqref="S224">
    <cfRule type="containsText" dxfId="0" priority="545" operator="between" text="欠">
      <formula>NOT(ISERROR(SEARCH("欠",S224)))</formula>
    </cfRule>
    <cfRule type="containsText" dxfId="3" priority="543" operator="between" text="欠">
      <formula>NOT(ISERROR(SEARCH("欠",S224)))</formula>
    </cfRule>
  </conditionalFormatting>
  <conditionalFormatting sqref="T224">
    <cfRule type="cellIs" dxfId="0" priority="549" operator="equal">
      <formula>"欠"</formula>
    </cfRule>
    <cfRule type="containsText" dxfId="0" priority="548" operator="between" text="欠">
      <formula>NOT(ISERROR(SEARCH("欠",T224)))</formula>
    </cfRule>
  </conditionalFormatting>
  <conditionalFormatting sqref="U224">
    <cfRule type="cellIs" dxfId="0" priority="547" operator="equal">
      <formula>"欠"</formula>
    </cfRule>
    <cfRule type="containsText" dxfId="0" priority="546" operator="between" text="欠">
      <formula>NOT(ISERROR(SEARCH("欠",U224)))</formula>
    </cfRule>
    <cfRule type="containsText" dxfId="3" priority="544" operator="between" text="欠">
      <formula>NOT(ISERROR(SEARCH("欠",U224)))</formula>
    </cfRule>
  </conditionalFormatting>
  <conditionalFormatting sqref="AG224">
    <cfRule type="cellIs" dxfId="0" priority="550" operator="equal">
      <formula>"未完成"</formula>
    </cfRule>
  </conditionalFormatting>
  <conditionalFormatting sqref="AK224">
    <cfRule type="cellIs" dxfId="0" priority="552" operator="equal">
      <formula>"未完成"</formula>
    </cfRule>
    <cfRule type="cellIs" dxfId="2" priority="551" operator="equal">
      <formula>"未完成"</formula>
    </cfRule>
  </conditionalFormatting>
  <conditionalFormatting sqref="R225">
    <cfRule type="containsText" dxfId="0" priority="535" operator="between" text="欠">
      <formula>NOT(ISERROR(SEARCH("欠",R225)))</formula>
    </cfRule>
    <cfRule type="containsText" dxfId="3" priority="522" operator="between" text="欠">
      <formula>NOT(ISERROR(SEARCH("欠",R225)))</formula>
    </cfRule>
  </conditionalFormatting>
  <conditionalFormatting sqref="S225">
    <cfRule type="cellIs" dxfId="0" priority="542" operator="equal">
      <formula>"欠"</formula>
    </cfRule>
    <cfRule type="containsText" dxfId="0" priority="541" operator="between" text="欠">
      <formula>NOT(ISERROR(SEARCH("欠",S225)))</formula>
    </cfRule>
  </conditionalFormatting>
  <conditionalFormatting sqref="V225:W225">
    <cfRule type="cellIs" dxfId="0" priority="540" operator="equal">
      <formula>"欠"</formula>
    </cfRule>
    <cfRule type="containsText" dxfId="1" priority="539" operator="between" text="欠">
      <formula>NOT(ISERROR(SEARCH("欠",V225)))</formula>
    </cfRule>
    <cfRule type="containsText" dxfId="0" priority="538" operator="between" text="欠">
      <formula>NOT(ISERROR(SEARCH("欠",V225)))</formula>
    </cfRule>
  </conditionalFormatting>
  <conditionalFormatting sqref="V225">
    <cfRule type="cellIs" dxfId="0" priority="533" operator="equal">
      <formula>"欠"</formula>
    </cfRule>
    <cfRule type="containsText" dxfId="1" priority="532" operator="between" text="欠">
      <formula>NOT(ISERROR(SEARCH("欠",V225)))</formula>
    </cfRule>
    <cfRule type="containsText" dxfId="0" priority="531" operator="between" text="欠">
      <formula>NOT(ISERROR(SEARCH("欠",V225)))</formula>
    </cfRule>
  </conditionalFormatting>
  <conditionalFormatting sqref="W225">
    <cfRule type="cellIs" dxfId="0" priority="529" operator="equal">
      <formula>"欠"</formula>
    </cfRule>
    <cfRule type="containsText" dxfId="1" priority="528" operator="between" text="欠">
      <formula>NOT(ISERROR(SEARCH("欠",W225)))</formula>
    </cfRule>
    <cfRule type="containsText" dxfId="0" priority="527" operator="between" text="欠">
      <formula>NOT(ISERROR(SEARCH("欠",W225)))</formula>
    </cfRule>
  </conditionalFormatting>
  <conditionalFormatting sqref="X225">
    <cfRule type="cellIs" dxfId="0" priority="530" operator="equal">
      <formula>"欠"</formula>
    </cfRule>
  </conditionalFormatting>
  <conditionalFormatting sqref="AE225">
    <cfRule type="cellIs" dxfId="0" priority="537" operator="equal">
      <formula>"未完成"</formula>
    </cfRule>
    <cfRule type="cellIs" dxfId="2" priority="536" operator="equal">
      <formula>"未完成"</formula>
    </cfRule>
  </conditionalFormatting>
  <conditionalFormatting sqref="R226">
    <cfRule type="containsText" dxfId="0" priority="511" operator="between" text="欠">
      <formula>NOT(ISERROR(SEARCH("欠",R226)))</formula>
    </cfRule>
    <cfRule type="containsText" dxfId="3" priority="507" operator="between" text="欠">
      <formula>NOT(ISERROR(SEARCH("欠",R226)))</formula>
    </cfRule>
  </conditionalFormatting>
  <conditionalFormatting sqref="T226:U226">
    <cfRule type="cellIs" dxfId="0" priority="516" operator="equal">
      <formula>"欠"</formula>
    </cfRule>
    <cfRule type="containsText" dxfId="0" priority="515" operator="between" text="欠">
      <formula>NOT(ISERROR(SEARCH("欠",T226)))</formula>
    </cfRule>
  </conditionalFormatting>
  <conditionalFormatting sqref="V226:W226">
    <cfRule type="cellIs" dxfId="0" priority="519" operator="equal">
      <formula>"欠"</formula>
    </cfRule>
    <cfRule type="containsText" dxfId="1" priority="518" operator="between" text="欠">
      <formula>NOT(ISERROR(SEARCH("欠",V226)))</formula>
    </cfRule>
    <cfRule type="containsText" dxfId="0" priority="517" operator="between" text="欠">
      <formula>NOT(ISERROR(SEARCH("欠",V226)))</formula>
    </cfRule>
  </conditionalFormatting>
  <conditionalFormatting sqref="X226">
    <cfRule type="cellIs" dxfId="0" priority="520" operator="equal">
      <formula>"欠"</formula>
    </cfRule>
  </conditionalFormatting>
  <conditionalFormatting sqref="AE226">
    <cfRule type="cellIs" dxfId="0" priority="514" operator="equal">
      <formula>"未完成"</formula>
    </cfRule>
    <cfRule type="cellIs" dxfId="2" priority="513" operator="equal">
      <formula>"未完成"</formula>
    </cfRule>
  </conditionalFormatting>
  <conditionalFormatting sqref="AJ226">
    <cfRule type="cellIs" dxfId="0" priority="512" operator="equal">
      <formula>"未完成"</formula>
    </cfRule>
  </conditionalFormatting>
  <conditionalFormatting sqref="R227:W227">
    <cfRule type="cellIs" dxfId="0" priority="501" operator="equal">
      <formula>"欠"</formula>
    </cfRule>
  </conditionalFormatting>
  <conditionalFormatting sqref="R227">
    <cfRule type="containsText" dxfId="0" priority="499" operator="between" text="欠">
      <formula>NOT(ISERROR(SEARCH("欠",R227)))</formula>
    </cfRule>
    <cfRule type="containsText" dxfId="3" priority="477" operator="between" text="欠">
      <formula>NOT(ISERROR(SEARCH("欠",R227)))</formula>
    </cfRule>
  </conditionalFormatting>
  <conditionalFormatting sqref="S227">
    <cfRule type="cellIs" dxfId="0" priority="485" operator="equal">
      <formula>"欠"</formula>
    </cfRule>
    <cfRule type="containsText" dxfId="0" priority="484" operator="between" text="欠">
      <formula>NOT(ISERROR(SEARCH("欠",S227)))</formula>
    </cfRule>
  </conditionalFormatting>
  <conditionalFormatting sqref="T227:U227">
    <cfRule type="containsText" dxfId="0" priority="498" operator="between" text="欠">
      <formula>NOT(ISERROR(SEARCH("欠",T227)))</formula>
    </cfRule>
    <cfRule type="cellIs" dxfId="0" priority="491" operator="equal">
      <formula>"欠"</formula>
    </cfRule>
  </conditionalFormatting>
  <conditionalFormatting sqref="U227">
    <cfRule type="cellIs" dxfId="0" priority="483" operator="equal">
      <formula>"欠"</formula>
    </cfRule>
    <cfRule type="containsText" dxfId="0" priority="482" operator="between" text="欠">
      <formula>NOT(ISERROR(SEARCH("欠",U227)))</formula>
    </cfRule>
  </conditionalFormatting>
  <conditionalFormatting sqref="V227:W227">
    <cfRule type="cellIs" dxfId="0" priority="494" operator="equal">
      <formula>"欠"</formula>
    </cfRule>
    <cfRule type="containsText" dxfId="1" priority="493" operator="between" text="欠">
      <formula>NOT(ISERROR(SEARCH("欠",V227)))</formula>
    </cfRule>
    <cfRule type="containsText" dxfId="0" priority="492" operator="between" text="欠">
      <formula>NOT(ISERROR(SEARCH("欠",V227)))</formula>
    </cfRule>
  </conditionalFormatting>
  <conditionalFormatting sqref="X227">
    <cfRule type="cellIs" dxfId="0" priority="495" operator="equal">
      <formula>"欠"</formula>
    </cfRule>
  </conditionalFormatting>
  <conditionalFormatting sqref="AE227">
    <cfRule type="cellIs" dxfId="0" priority="503" operator="equal">
      <formula>"未完成"</formula>
    </cfRule>
    <cfRule type="cellIs" dxfId="2" priority="502" operator="equal">
      <formula>"未完成"</formula>
    </cfRule>
  </conditionalFormatting>
  <conditionalFormatting sqref="AJ227">
    <cfRule type="cellIs" dxfId="0" priority="487" operator="equal">
      <formula>"未完成"</formula>
    </cfRule>
  </conditionalFormatting>
  <conditionalFormatting sqref="AK227">
    <cfRule type="cellIs" dxfId="0" priority="505" operator="equal">
      <formula>"未完成"</formula>
    </cfRule>
    <cfRule type="cellIs" dxfId="2" priority="504" operator="equal">
      <formula>"未完成"</formula>
    </cfRule>
  </conditionalFormatting>
  <conditionalFormatting sqref="S228">
    <cfRule type="containsText" dxfId="0" priority="468" operator="between" text="欠">
      <formula>NOT(ISERROR(SEARCH("欠",S228)))</formula>
    </cfRule>
    <cfRule type="containsText" dxfId="3" priority="465" operator="between" text="欠">
      <formula>NOT(ISERROR(SEARCH("欠",S228)))</formula>
    </cfRule>
  </conditionalFormatting>
  <conditionalFormatting sqref="T228">
    <cfRule type="cellIs" dxfId="0" priority="472" operator="equal">
      <formula>"欠"</formula>
    </cfRule>
    <cfRule type="containsText" dxfId="0" priority="471" operator="between" text="欠">
      <formula>NOT(ISERROR(SEARCH("欠",T228)))</formula>
    </cfRule>
  </conditionalFormatting>
  <conditionalFormatting sqref="U228">
    <cfRule type="cellIs" dxfId="0" priority="470" operator="equal">
      <formula>"欠"</formula>
    </cfRule>
    <cfRule type="containsText" dxfId="0" priority="469" operator="between" text="欠">
      <formula>NOT(ISERROR(SEARCH("欠",U228)))</formula>
    </cfRule>
    <cfRule type="containsText" dxfId="3" priority="466" operator="between" text="欠">
      <formula>NOT(ISERROR(SEARCH("欠",U228)))</formula>
    </cfRule>
  </conditionalFormatting>
  <conditionalFormatting sqref="AG228">
    <cfRule type="cellIs" dxfId="0" priority="473" operator="equal">
      <formula>"未完成"</formula>
    </cfRule>
  </conditionalFormatting>
  <conditionalFormatting sqref="AK228">
    <cfRule type="cellIs" dxfId="0" priority="475" operator="equal">
      <formula>"未完成"</formula>
    </cfRule>
    <cfRule type="cellIs" dxfId="2" priority="474" operator="equal">
      <formula>"未完成"</formula>
    </cfRule>
  </conditionalFormatting>
  <conditionalFormatting sqref="S229">
    <cfRule type="containsText" dxfId="0" priority="457" operator="between" text="欠">
      <formula>NOT(ISERROR(SEARCH("欠",S229)))</formula>
    </cfRule>
    <cfRule type="containsText" dxfId="3" priority="454" operator="between" text="欠">
      <formula>NOT(ISERROR(SEARCH("欠",S229)))</formula>
    </cfRule>
  </conditionalFormatting>
  <conditionalFormatting sqref="T229">
    <cfRule type="cellIs" dxfId="0" priority="461" operator="equal">
      <formula>"欠"</formula>
    </cfRule>
    <cfRule type="containsText" dxfId="0" priority="460" operator="between" text="欠">
      <formula>NOT(ISERROR(SEARCH("欠",T229)))</formula>
    </cfRule>
  </conditionalFormatting>
  <conditionalFormatting sqref="U229">
    <cfRule type="cellIs" dxfId="0" priority="459" operator="equal">
      <formula>"欠"</formula>
    </cfRule>
    <cfRule type="containsText" dxfId="0" priority="458" operator="between" text="欠">
      <formula>NOT(ISERROR(SEARCH("欠",U229)))</formula>
    </cfRule>
    <cfRule type="containsText" dxfId="3" priority="455" operator="between" text="欠">
      <formula>NOT(ISERROR(SEARCH("欠",U229)))</formula>
    </cfRule>
  </conditionalFormatting>
  <conditionalFormatting sqref="AG229">
    <cfRule type="cellIs" dxfId="0" priority="462" operator="equal">
      <formula>"未完成"</formula>
    </cfRule>
  </conditionalFormatting>
  <conditionalFormatting sqref="AK229">
    <cfRule type="cellIs" dxfId="0" priority="464" operator="equal">
      <formula>"未完成"</formula>
    </cfRule>
    <cfRule type="cellIs" dxfId="2" priority="463" operator="equal">
      <formula>"未完成"</formula>
    </cfRule>
  </conditionalFormatting>
  <conditionalFormatting sqref="R230">
    <cfRule type="containsText" dxfId="0" priority="443" operator="between" text="欠">
      <formula>NOT(ISERROR(SEARCH("欠",R230)))</formula>
    </cfRule>
    <cfRule type="containsText" dxfId="3" priority="438" operator="between" text="欠">
      <formula>NOT(ISERROR(SEARCH("欠",R230)))</formula>
    </cfRule>
  </conditionalFormatting>
  <conditionalFormatting sqref="S230">
    <cfRule type="cellIs" dxfId="0" priority="453" operator="equal">
      <formula>"欠"</formula>
    </cfRule>
    <cfRule type="containsText" dxfId="0" priority="452" operator="between" text="欠">
      <formula>NOT(ISERROR(SEARCH("欠",S230)))</formula>
    </cfRule>
  </conditionalFormatting>
  <conditionalFormatting sqref="T230:U230">
    <cfRule type="cellIs" dxfId="0" priority="447" operator="equal">
      <formula>"欠"</formula>
    </cfRule>
    <cfRule type="containsText" dxfId="0" priority="446" operator="between" text="欠">
      <formula>NOT(ISERROR(SEARCH("欠",T230)))</formula>
    </cfRule>
  </conditionalFormatting>
  <conditionalFormatting sqref="V230:W230">
    <cfRule type="cellIs" dxfId="0" priority="450" operator="equal">
      <formula>"欠"</formula>
    </cfRule>
    <cfRule type="containsText" dxfId="1" priority="449" operator="between" text="欠">
      <formula>NOT(ISERROR(SEARCH("欠",V230)))</formula>
    </cfRule>
    <cfRule type="containsText" dxfId="0" priority="448" operator="between" text="欠">
      <formula>NOT(ISERROR(SEARCH("欠",V230)))</formula>
    </cfRule>
  </conditionalFormatting>
  <conditionalFormatting sqref="X230">
    <cfRule type="cellIs" dxfId="0" priority="451" operator="equal">
      <formula>"欠"</formula>
    </cfRule>
  </conditionalFormatting>
  <conditionalFormatting sqref="AE230">
    <cfRule type="cellIs" dxfId="0" priority="445" operator="equal">
      <formula>"未完成"</formula>
    </cfRule>
    <cfRule type="cellIs" dxfId="2" priority="444" operator="equal">
      <formula>"未完成"</formula>
    </cfRule>
  </conditionalFormatting>
  <conditionalFormatting sqref="R231">
    <cfRule type="containsText" dxfId="0" priority="427" operator="between" text="欠">
      <formula>NOT(ISERROR(SEARCH("欠",R231)))</formula>
    </cfRule>
    <cfRule type="containsText" dxfId="3" priority="421" operator="between" text="欠">
      <formula>NOT(ISERROR(SEARCH("欠",R231)))</formula>
    </cfRule>
  </conditionalFormatting>
  <conditionalFormatting sqref="S231">
    <cfRule type="cellIs" dxfId="0" priority="435" operator="equal">
      <formula>"欠"</formula>
    </cfRule>
    <cfRule type="containsText" dxfId="0" priority="434" operator="between" text="欠">
      <formula>NOT(ISERROR(SEARCH("欠",S231)))</formula>
    </cfRule>
  </conditionalFormatting>
  <conditionalFormatting sqref="T231:U231">
    <cfRule type="cellIs" dxfId="0" priority="429" operator="equal">
      <formula>"欠"</formula>
    </cfRule>
    <cfRule type="containsText" dxfId="0" priority="428" operator="between" text="欠">
      <formula>NOT(ISERROR(SEARCH("欠",T231)))</formula>
    </cfRule>
  </conditionalFormatting>
  <conditionalFormatting sqref="V231:W231">
    <cfRule type="cellIs" dxfId="0" priority="432" operator="equal">
      <formula>"欠"</formula>
    </cfRule>
    <cfRule type="containsText" dxfId="1" priority="431" operator="between" text="欠">
      <formula>NOT(ISERROR(SEARCH("欠",V231)))</formula>
    </cfRule>
    <cfRule type="containsText" dxfId="0" priority="430" operator="between" text="欠">
      <formula>NOT(ISERROR(SEARCH("欠",V231)))</formula>
    </cfRule>
  </conditionalFormatting>
  <conditionalFormatting sqref="X231">
    <cfRule type="cellIs" dxfId="0" priority="433" operator="equal">
      <formula>"欠"</formula>
    </cfRule>
  </conditionalFormatting>
  <conditionalFormatting sqref="AE231">
    <cfRule type="cellIs" dxfId="0" priority="424" operator="equal">
      <formula>"未完成"</formula>
    </cfRule>
    <cfRule type="cellIs" dxfId="2" priority="423" operator="equal">
      <formula>"未完成"</formula>
    </cfRule>
  </conditionalFormatting>
  <conditionalFormatting sqref="AJ231">
    <cfRule type="cellIs" dxfId="0" priority="422" operator="equal">
      <formula>"未完成"</formula>
    </cfRule>
  </conditionalFormatting>
  <conditionalFormatting sqref="S232">
    <cfRule type="containsText" dxfId="0" priority="419" operator="between" text="欠">
      <formula>NOT(ISERROR(SEARCH("欠",S232)))</formula>
    </cfRule>
    <cfRule type="containsText" dxfId="3" priority="409" operator="between" text="欠">
      <formula>NOT(ISERROR(SEARCH("欠",S232)))</formula>
    </cfRule>
  </conditionalFormatting>
  <conditionalFormatting sqref="T232">
    <cfRule type="cellIs" dxfId="0" priority="415" operator="equal">
      <formula>"欠"</formula>
    </cfRule>
    <cfRule type="containsText" dxfId="0" priority="414" operator="between" text="欠">
      <formula>NOT(ISERROR(SEARCH("欠",T232)))</formula>
    </cfRule>
  </conditionalFormatting>
  <conditionalFormatting sqref="U232">
    <cfRule type="cellIs" dxfId="0" priority="413" operator="equal">
      <formula>"欠"</formula>
    </cfRule>
    <cfRule type="containsText" dxfId="0" priority="412" operator="between" text="欠">
      <formula>NOT(ISERROR(SEARCH("欠",U232)))</formula>
    </cfRule>
    <cfRule type="containsText" dxfId="3" priority="410" operator="between" text="欠">
      <formula>NOT(ISERROR(SEARCH("欠",U232)))</formula>
    </cfRule>
  </conditionalFormatting>
  <conditionalFormatting sqref="AG232">
    <cfRule type="cellIs" dxfId="0" priority="416" operator="equal">
      <formula>"未完成"</formula>
    </cfRule>
  </conditionalFormatting>
  <conditionalFormatting sqref="AK232">
    <cfRule type="cellIs" dxfId="0" priority="418" operator="equal">
      <formula>"未完成"</formula>
    </cfRule>
    <cfRule type="cellIs" dxfId="2" priority="417" operator="equal">
      <formula>"未完成"</formula>
    </cfRule>
  </conditionalFormatting>
  <conditionalFormatting sqref="AG233">
    <cfRule type="cellIs" dxfId="0" priority="398" operator="equal">
      <formula>"未完成"</formula>
    </cfRule>
  </conditionalFormatting>
  <conditionalFormatting sqref="AK233">
    <cfRule type="cellIs" dxfId="0" priority="400" operator="equal">
      <formula>"未完成"</formula>
    </cfRule>
    <cfRule type="cellIs" dxfId="2" priority="399" operator="equal">
      <formula>"未完成"</formula>
    </cfRule>
  </conditionalFormatting>
  <conditionalFormatting sqref="S235">
    <cfRule type="containsText" dxfId="0" priority="395" operator="between" text="欠">
      <formula>NOT(ISERROR(SEARCH("欠",S235)))</formula>
    </cfRule>
    <cfRule type="containsText" dxfId="3" priority="383" operator="between" text="欠">
      <formula>NOT(ISERROR(SEARCH("欠",S235)))</formula>
    </cfRule>
  </conditionalFormatting>
  <conditionalFormatting sqref="T235">
    <cfRule type="cellIs" dxfId="0" priority="392" operator="equal">
      <formula>"欠"</formula>
    </cfRule>
    <cfRule type="containsText" dxfId="0" priority="391" operator="between" text="欠">
      <formula>NOT(ISERROR(SEARCH("欠",T235)))</formula>
    </cfRule>
  </conditionalFormatting>
  <conditionalFormatting sqref="U235">
    <cfRule type="cellIs" dxfId="0" priority="394" operator="equal">
      <formula>"欠"</formula>
    </cfRule>
    <cfRule type="containsText" dxfId="0" priority="393" operator="between" text="欠">
      <formula>NOT(ISERROR(SEARCH("欠",U235)))</formula>
    </cfRule>
    <cfRule type="containsText" dxfId="3" priority="384" operator="between" text="欠">
      <formula>NOT(ISERROR(SEARCH("欠",U235)))</formula>
    </cfRule>
  </conditionalFormatting>
  <conditionalFormatting sqref="AG235">
    <cfRule type="cellIs" dxfId="0" priority="385" operator="equal">
      <formula>"未完成"</formula>
    </cfRule>
  </conditionalFormatting>
  <conditionalFormatting sqref="AK235">
    <cfRule type="cellIs" dxfId="0" priority="387" operator="equal">
      <formula>"未完成"</formula>
    </cfRule>
    <cfRule type="cellIs" dxfId="2" priority="386" operator="equal">
      <formula>"未完成"</formula>
    </cfRule>
  </conditionalFormatting>
  <conditionalFormatting sqref="S236">
    <cfRule type="containsText" dxfId="3" priority="378" operator="between" text="欠">
      <formula>NOT(ISERROR(SEARCH("欠",S236)))</formula>
    </cfRule>
  </conditionalFormatting>
  <conditionalFormatting sqref="U236">
    <cfRule type="containsText" dxfId="3" priority="379" operator="between" text="欠">
      <formula>NOT(ISERROR(SEARCH("欠",U236)))</formula>
    </cfRule>
  </conditionalFormatting>
  <conditionalFormatting sqref="AG236">
    <cfRule type="cellIs" dxfId="0" priority="380" operator="equal">
      <formula>"未完成"</formula>
    </cfRule>
  </conditionalFormatting>
  <conditionalFormatting sqref="AK236">
    <cfRule type="cellIs" dxfId="0" priority="382" operator="equal">
      <formula>"未完成"</formula>
    </cfRule>
    <cfRule type="cellIs" dxfId="2" priority="381" operator="equal">
      <formula>"未完成"</formula>
    </cfRule>
  </conditionalFormatting>
  <conditionalFormatting sqref="R237">
    <cfRule type="containsText" dxfId="3" priority="364" operator="between" text="欠">
      <formula>NOT(ISERROR(SEARCH("欠",R237)))</formula>
    </cfRule>
  </conditionalFormatting>
  <conditionalFormatting sqref="S237">
    <cfRule type="cellIs" dxfId="0" priority="369" operator="equal">
      <formula>"欠"</formula>
    </cfRule>
    <cfRule type="containsText" dxfId="0" priority="368" operator="between" text="欠">
      <formula>NOT(ISERROR(SEARCH("欠",S237)))</formula>
    </cfRule>
  </conditionalFormatting>
  <conditionalFormatting sqref="T237:U237">
    <cfRule type="cellIs" dxfId="0" priority="373" operator="equal">
      <formula>"欠"</formula>
    </cfRule>
    <cfRule type="containsText" dxfId="0" priority="372" operator="between" text="欠">
      <formula>NOT(ISERROR(SEARCH("欠",T237)))</formula>
    </cfRule>
  </conditionalFormatting>
  <conditionalFormatting sqref="V237:W237">
    <cfRule type="cellIs" dxfId="0" priority="376" operator="equal">
      <formula>"欠"</formula>
    </cfRule>
    <cfRule type="containsText" dxfId="1" priority="375" operator="between" text="欠">
      <formula>NOT(ISERROR(SEARCH("欠",V237)))</formula>
    </cfRule>
    <cfRule type="containsText" dxfId="0" priority="374" operator="between" text="欠">
      <formula>NOT(ISERROR(SEARCH("欠",V237)))</formula>
    </cfRule>
  </conditionalFormatting>
  <conditionalFormatting sqref="X237">
    <cfRule type="cellIs" dxfId="0" priority="377" operator="equal">
      <formula>"欠"</formula>
    </cfRule>
  </conditionalFormatting>
  <conditionalFormatting sqref="AE237">
    <cfRule type="cellIs" dxfId="0" priority="371" operator="equal">
      <formula>"未完成"</formula>
    </cfRule>
    <cfRule type="cellIs" dxfId="2" priority="370" operator="equal">
      <formula>"未完成"</formula>
    </cfRule>
  </conditionalFormatting>
  <conditionalFormatting sqref="AJ237">
    <cfRule type="cellIs" dxfId="0" priority="365" operator="equal">
      <formula>"未完成"</formula>
    </cfRule>
  </conditionalFormatting>
  <conditionalFormatting sqref="R238">
    <cfRule type="containsText" dxfId="0" priority="353" operator="between" text="欠">
      <formula>NOT(ISERROR(SEARCH("欠",R238)))</formula>
    </cfRule>
    <cfRule type="containsText" dxfId="3" priority="348" operator="between" text="欠">
      <formula>NOT(ISERROR(SEARCH("欠",R238)))</formula>
    </cfRule>
  </conditionalFormatting>
  <conditionalFormatting sqref="T238:U238">
    <cfRule type="cellIs" dxfId="0" priority="357" operator="equal">
      <formula>"欠"</formula>
    </cfRule>
    <cfRule type="containsText" dxfId="0" priority="356" operator="between" text="欠">
      <formula>NOT(ISERROR(SEARCH("欠",T238)))</formula>
    </cfRule>
  </conditionalFormatting>
  <conditionalFormatting sqref="V238:W238">
    <cfRule type="cellIs" dxfId="0" priority="360" operator="equal">
      <formula>"欠"</formula>
    </cfRule>
    <cfRule type="containsText" dxfId="1" priority="359" operator="between" text="欠">
      <formula>NOT(ISERROR(SEARCH("欠",V238)))</formula>
    </cfRule>
    <cfRule type="containsText" dxfId="0" priority="358" operator="between" text="欠">
      <formula>NOT(ISERROR(SEARCH("欠",V238)))</formula>
    </cfRule>
  </conditionalFormatting>
  <conditionalFormatting sqref="X238">
    <cfRule type="cellIs" dxfId="0" priority="361" operator="equal">
      <formula>"欠"</formula>
    </cfRule>
  </conditionalFormatting>
  <conditionalFormatting sqref="AE238">
    <cfRule type="cellIs" dxfId="0" priority="355" operator="equal">
      <formula>"未完成"</formula>
    </cfRule>
    <cfRule type="cellIs" dxfId="2" priority="354" operator="equal">
      <formula>"未完成"</formula>
    </cfRule>
  </conditionalFormatting>
  <conditionalFormatting sqref="AJ238">
    <cfRule type="cellIs" dxfId="0" priority="362" operator="equal">
      <formula>"未完成"</formula>
    </cfRule>
  </conditionalFormatting>
  <conditionalFormatting sqref="S239">
    <cfRule type="containsText" dxfId="3" priority="335" operator="between" text="欠">
      <formula>NOT(ISERROR(SEARCH("欠",S239)))</formula>
    </cfRule>
    <cfRule type="containsText" dxfId="0" priority="337" operator="between" text="欠">
      <formula>NOT(ISERROR(SEARCH("欠",S239)))</formula>
    </cfRule>
  </conditionalFormatting>
  <conditionalFormatting sqref="T239">
    <cfRule type="containsText" dxfId="0" priority="345" operator="between" text="欠">
      <formula>NOT(ISERROR(SEARCH("欠",T239)))</formula>
    </cfRule>
    <cfRule type="cellIs" dxfId="0" priority="346" operator="equal">
      <formula>"欠"</formula>
    </cfRule>
  </conditionalFormatting>
  <conditionalFormatting sqref="U239">
    <cfRule type="containsText" dxfId="3" priority="336" operator="between" text="欠">
      <formula>NOT(ISERROR(SEARCH("欠",U239)))</formula>
    </cfRule>
    <cfRule type="containsText" dxfId="0" priority="338" operator="between" text="欠">
      <formula>NOT(ISERROR(SEARCH("欠",U239)))</formula>
    </cfRule>
    <cfRule type="cellIs" dxfId="0" priority="339" operator="equal">
      <formula>"欠"</formula>
    </cfRule>
  </conditionalFormatting>
  <conditionalFormatting sqref="AG239">
    <cfRule type="cellIs" dxfId="0" priority="342" operator="equal">
      <formula>"未完成"</formula>
    </cfRule>
  </conditionalFormatting>
  <conditionalFormatting sqref="AL239">
    <cfRule type="cellIs" dxfId="2" priority="343" operator="equal">
      <formula>"未完成"</formula>
    </cfRule>
    <cfRule type="cellIs" dxfId="0" priority="344" operator="equal">
      <formula>"未完成"</formula>
    </cfRule>
  </conditionalFormatting>
  <conditionalFormatting sqref="R240">
    <cfRule type="containsText" dxfId="3" priority="313" operator="between" text="欠">
      <formula>NOT(ISERROR(SEARCH("欠",R240)))</formula>
    </cfRule>
    <cfRule type="containsText" dxfId="0" priority="324" operator="between" text="欠">
      <formula>NOT(ISERROR(SEARCH("欠",R240)))</formula>
    </cfRule>
  </conditionalFormatting>
  <conditionalFormatting sqref="S240">
    <cfRule type="containsText" dxfId="0" priority="322" operator="between" text="欠">
      <formula>NOT(ISERROR(SEARCH("欠",S240)))</formula>
    </cfRule>
    <cfRule type="cellIs" dxfId="0" priority="323" operator="equal">
      <formula>"欠"</formula>
    </cfRule>
  </conditionalFormatting>
  <conditionalFormatting sqref="T240:U240">
    <cfRule type="containsText" dxfId="0" priority="316" operator="between" text="欠">
      <formula>NOT(ISERROR(SEARCH("欠",T240)))</formula>
    </cfRule>
    <cfRule type="cellIs" dxfId="0" priority="317" operator="equal">
      <formula>"欠"</formula>
    </cfRule>
  </conditionalFormatting>
  <conditionalFormatting sqref="V240:W240">
    <cfRule type="containsText" dxfId="0" priority="329" operator="between" text="欠">
      <formula>NOT(ISERROR(SEARCH("欠",V240)))</formula>
    </cfRule>
    <cfRule type="containsText" dxfId="1" priority="330" operator="between" text="欠">
      <formula>NOT(ISERROR(SEARCH("欠",V240)))</formula>
    </cfRule>
    <cfRule type="cellIs" dxfId="0" priority="331" operator="equal">
      <formula>"欠"</formula>
    </cfRule>
  </conditionalFormatting>
  <conditionalFormatting sqref="W240">
    <cfRule type="containsText" dxfId="0" priority="319" operator="between" text="欠">
      <formula>NOT(ISERROR(SEARCH("欠",W240)))</formula>
    </cfRule>
    <cfRule type="containsText" dxfId="1" priority="320" operator="between" text="欠">
      <formula>NOT(ISERROR(SEARCH("欠",W240)))</formula>
    </cfRule>
    <cfRule type="cellIs" dxfId="0" priority="321" operator="equal">
      <formula>"欠"</formula>
    </cfRule>
  </conditionalFormatting>
  <conditionalFormatting sqref="X240">
    <cfRule type="cellIs" dxfId="0" priority="332" operator="equal">
      <formula>"欠"</formula>
    </cfRule>
  </conditionalFormatting>
  <conditionalFormatting sqref="AE240">
    <cfRule type="cellIs" dxfId="2" priority="314" operator="equal">
      <formula>"未完成"</formula>
    </cfRule>
    <cfRule type="cellIs" dxfId="0" priority="315" operator="equal">
      <formula>"未完成"</formula>
    </cfRule>
  </conditionalFormatting>
  <conditionalFormatting sqref="AJ240">
    <cfRule type="cellIs" dxfId="0" priority="318" operator="equal">
      <formula>"未完成"</formula>
    </cfRule>
  </conditionalFormatting>
  <conditionalFormatting sqref="S241">
    <cfRule type="containsText" dxfId="3" priority="298" operator="between" text="欠">
      <formula>NOT(ISERROR(SEARCH("欠",S241)))</formula>
    </cfRule>
  </conditionalFormatting>
  <conditionalFormatting sqref="T241">
    <cfRule type="containsText" dxfId="0" priority="307" operator="between" text="欠">
      <formula>NOT(ISERROR(SEARCH("欠",T241)))</formula>
    </cfRule>
    <cfRule type="cellIs" dxfId="0" priority="308" operator="equal">
      <formula>"欠"</formula>
    </cfRule>
  </conditionalFormatting>
  <conditionalFormatting sqref="U241">
    <cfRule type="containsText" dxfId="3" priority="299" operator="between" text="欠">
      <formula>NOT(ISERROR(SEARCH("欠",U241)))</formula>
    </cfRule>
    <cfRule type="containsText" dxfId="0" priority="305" operator="between" text="欠">
      <formula>NOT(ISERROR(SEARCH("欠",U241)))</formula>
    </cfRule>
    <cfRule type="cellIs" dxfId="0" priority="306" operator="equal">
      <formula>"欠"</formula>
    </cfRule>
  </conditionalFormatting>
  <conditionalFormatting sqref="AG241">
    <cfRule type="cellIs" dxfId="0" priority="309" operator="equal">
      <formula>"未完成"</formula>
    </cfRule>
  </conditionalFormatting>
  <conditionalFormatting sqref="AL241">
    <cfRule type="cellIs" dxfId="2" priority="310" operator="equal">
      <formula>"未完成"</formula>
    </cfRule>
    <cfRule type="cellIs" dxfId="0" priority="311" operator="equal">
      <formula>"未完成"</formula>
    </cfRule>
  </conditionalFormatting>
  <conditionalFormatting sqref="R242">
    <cfRule type="containsText" dxfId="0" priority="295" operator="between" text="欠">
      <formula>NOT(ISERROR(SEARCH("欠",R242)))</formula>
    </cfRule>
    <cfRule type="containsText" dxfId="3" priority="290" operator="between" text="欠">
      <formula>NOT(ISERROR(SEARCH("欠",R242)))</formula>
    </cfRule>
  </conditionalFormatting>
  <conditionalFormatting sqref="T242:U242">
    <cfRule type="cellIs" dxfId="0" priority="294" operator="equal">
      <formula>"欠"</formula>
    </cfRule>
    <cfRule type="containsText" dxfId="0" priority="293" operator="between" text="欠">
      <formula>NOT(ISERROR(SEARCH("欠",T242)))</formula>
    </cfRule>
  </conditionalFormatting>
  <conditionalFormatting sqref="AE242">
    <cfRule type="cellIs" dxfId="0" priority="297" operator="equal">
      <formula>"未完成"</formula>
    </cfRule>
    <cfRule type="cellIs" dxfId="2" priority="296" operator="equal">
      <formula>"未完成"</formula>
    </cfRule>
  </conditionalFormatting>
  <conditionalFormatting sqref="AJ242">
    <cfRule type="cellIs" dxfId="0" priority="292" operator="equal">
      <formula>"未完成"</formula>
    </cfRule>
  </conditionalFormatting>
  <conditionalFormatting sqref="S243">
    <cfRule type="containsText" dxfId="0" priority="285" operator="between" text="欠">
      <formula>NOT(ISERROR(SEARCH("欠",S243)))</formula>
    </cfRule>
    <cfRule type="containsText" dxfId="3" priority="283" operator="between" text="欠">
      <formula>NOT(ISERROR(SEARCH("欠",S243)))</formula>
    </cfRule>
  </conditionalFormatting>
  <conditionalFormatting sqref="U243">
    <cfRule type="cellIs" dxfId="0" priority="288" operator="equal">
      <formula>"欠"</formula>
    </cfRule>
    <cfRule type="containsText" dxfId="0" priority="287" operator="between" text="欠">
      <formula>NOT(ISERROR(SEARCH("欠",U243)))</formula>
    </cfRule>
    <cfRule type="containsText" dxfId="3" priority="284" operator="between" text="欠">
      <formula>NOT(ISERROR(SEARCH("欠",U243)))</formula>
    </cfRule>
  </conditionalFormatting>
  <conditionalFormatting sqref="AG243">
    <cfRule type="cellIs" dxfId="0" priority="286" operator="equal">
      <formula>"未完成"</formula>
    </cfRule>
  </conditionalFormatting>
  <conditionalFormatting sqref="S244">
    <cfRule type="containsText" dxfId="0" priority="279" operator="between" text="欠">
      <formula>NOT(ISERROR(SEARCH("欠",S244)))</formula>
    </cfRule>
    <cfRule type="containsText" dxfId="3" priority="277" operator="between" text="欠">
      <formula>NOT(ISERROR(SEARCH("欠",S244)))</formula>
    </cfRule>
  </conditionalFormatting>
  <conditionalFormatting sqref="U244">
    <cfRule type="cellIs" dxfId="0" priority="282" operator="equal">
      <formula>"欠"</formula>
    </cfRule>
    <cfRule type="containsText" dxfId="0" priority="281" operator="between" text="欠">
      <formula>NOT(ISERROR(SEARCH("欠",U244)))</formula>
    </cfRule>
    <cfRule type="containsText" dxfId="3" priority="278" operator="between" text="欠">
      <formula>NOT(ISERROR(SEARCH("欠",U244)))</formula>
    </cfRule>
  </conditionalFormatting>
  <conditionalFormatting sqref="AG244">
    <cfRule type="cellIs" dxfId="0" priority="280" operator="equal">
      <formula>"未完成"</formula>
    </cfRule>
  </conditionalFormatting>
  <conditionalFormatting sqref="S245">
    <cfRule type="containsText" dxfId="0" priority="266" operator="between" text="欠">
      <formula>NOT(ISERROR(SEARCH("欠",S245)))</formula>
    </cfRule>
    <cfRule type="containsText" dxfId="3" priority="264" operator="between" text="欠">
      <formula>NOT(ISERROR(SEARCH("欠",S245)))</formula>
    </cfRule>
  </conditionalFormatting>
  <conditionalFormatting sqref="T245">
    <cfRule type="cellIs" dxfId="0" priority="276" operator="equal">
      <formula>"欠"</formula>
    </cfRule>
    <cfRule type="containsText" dxfId="0" priority="274" operator="between" text="欠">
      <formula>NOT(ISERROR(SEARCH("欠",T245)))</formula>
    </cfRule>
  </conditionalFormatting>
  <conditionalFormatting sqref="U245">
    <cfRule type="cellIs" dxfId="0" priority="268" operator="equal">
      <formula>"欠"</formula>
    </cfRule>
    <cfRule type="containsText" dxfId="0" priority="267" operator="between" text="欠">
      <formula>NOT(ISERROR(SEARCH("欠",U245)))</formula>
    </cfRule>
    <cfRule type="containsText" dxfId="3" priority="265" operator="between" text="欠">
      <formula>NOT(ISERROR(SEARCH("欠",U245)))</formula>
    </cfRule>
  </conditionalFormatting>
  <conditionalFormatting sqref="AG245">
    <cfRule type="cellIs" dxfId="0" priority="271" operator="equal">
      <formula>"未完成"</formula>
    </cfRule>
  </conditionalFormatting>
  <conditionalFormatting sqref="AL245">
    <cfRule type="cellIs" dxfId="0" priority="273" operator="equal">
      <formula>"未完成"</formula>
    </cfRule>
    <cfRule type="cellIs" dxfId="2" priority="272" operator="equal">
      <formula>"未完成"</formula>
    </cfRule>
  </conditionalFormatting>
  <conditionalFormatting sqref="S246">
    <cfRule type="containsText" dxfId="0" priority="253" operator="between" text="欠">
      <formula>NOT(ISERROR(SEARCH("欠",S246)))</formula>
    </cfRule>
    <cfRule type="containsText" dxfId="3" priority="251" operator="between" text="欠">
      <formula>NOT(ISERROR(SEARCH("欠",S246)))</formula>
    </cfRule>
  </conditionalFormatting>
  <conditionalFormatting sqref="T246">
    <cfRule type="cellIs" dxfId="0" priority="263" operator="equal">
      <formula>"欠"</formula>
    </cfRule>
    <cfRule type="containsText" dxfId="0" priority="261" operator="between" text="欠">
      <formula>NOT(ISERROR(SEARCH("欠",T246)))</formula>
    </cfRule>
  </conditionalFormatting>
  <conditionalFormatting sqref="U246">
    <cfRule type="cellIs" dxfId="0" priority="255" operator="equal">
      <formula>"欠"</formula>
    </cfRule>
    <cfRule type="containsText" dxfId="0" priority="254" operator="between" text="欠">
      <formula>NOT(ISERROR(SEARCH("欠",U246)))</formula>
    </cfRule>
    <cfRule type="containsText" dxfId="3" priority="252" operator="between" text="欠">
      <formula>NOT(ISERROR(SEARCH("欠",U246)))</formula>
    </cfRule>
  </conditionalFormatting>
  <conditionalFormatting sqref="AG246">
    <cfRule type="cellIs" dxfId="0" priority="258" operator="equal">
      <formula>"未完成"</formula>
    </cfRule>
  </conditionalFormatting>
  <conditionalFormatting sqref="AL246">
    <cfRule type="cellIs" dxfId="0" priority="260" operator="equal">
      <formula>"未完成"</formula>
    </cfRule>
    <cfRule type="cellIs" dxfId="2" priority="259" operator="equal">
      <formula>"未完成"</formula>
    </cfRule>
  </conditionalFormatting>
  <conditionalFormatting sqref="S247">
    <cfRule type="containsText" dxfId="3" priority="249" operator="between" text="欠">
      <formula>NOT(ISERROR(SEARCH("欠",S247)))</formula>
    </cfRule>
  </conditionalFormatting>
  <conditionalFormatting sqref="U247">
    <cfRule type="containsText" dxfId="3" priority="250" operator="between" text="欠">
      <formula>NOT(ISERROR(SEARCH("欠",U247)))</formula>
    </cfRule>
  </conditionalFormatting>
  <conditionalFormatting sqref="S248">
    <cfRule type="cellIs" dxfId="0" priority="248" operator="equal">
      <formula>"欠"</formula>
    </cfRule>
    <cfRule type="containsText" dxfId="0" priority="240" operator="between" text="欠">
      <formula>NOT(ISERROR(SEARCH("欠",S248)))</formula>
    </cfRule>
    <cfRule type="containsText" dxfId="3" priority="238" operator="between" text="欠">
      <formula>NOT(ISERROR(SEARCH("欠",S248)))</formula>
    </cfRule>
  </conditionalFormatting>
  <conditionalFormatting sqref="T248">
    <cfRule type="cellIs" dxfId="0" priority="242" operator="equal">
      <formula>"欠"</formula>
    </cfRule>
  </conditionalFormatting>
  <conditionalFormatting sqref="U248">
    <cfRule type="cellIs" dxfId="0" priority="245" operator="equal">
      <formula>"欠"</formula>
    </cfRule>
    <cfRule type="containsText" dxfId="1" priority="243" operator="between" text="欠">
      <formula>NOT(ISERROR(SEARCH("欠",U248)))</formula>
    </cfRule>
    <cfRule type="containsText" dxfId="0" priority="241" operator="between" text="欠">
      <formula>NOT(ISERROR(SEARCH("欠",U248)))</formula>
    </cfRule>
    <cfRule type="containsText" dxfId="3" priority="239" operator="between" text="欠">
      <formula>NOT(ISERROR(SEARCH("欠",U248)))</formula>
    </cfRule>
  </conditionalFormatting>
  <conditionalFormatting sqref="AG248">
    <cfRule type="cellIs" dxfId="0" priority="244" operator="equal">
      <formula>"未完成"</formula>
    </cfRule>
  </conditionalFormatting>
  <conditionalFormatting sqref="AL248">
    <cfRule type="cellIs" dxfId="0" priority="247" operator="equal">
      <formula>"未完成"</formula>
    </cfRule>
    <cfRule type="cellIs" dxfId="2" priority="246" operator="equal">
      <formula>"未完成"</formula>
    </cfRule>
  </conditionalFormatting>
  <conditionalFormatting sqref="S249">
    <cfRule type="containsText" dxfId="0" priority="230" operator="between" text="欠">
      <formula>NOT(ISERROR(SEARCH("欠",S249)))</formula>
    </cfRule>
    <cfRule type="containsText" dxfId="3" priority="228" operator="between" text="欠">
      <formula>NOT(ISERROR(SEARCH("欠",S249)))</formula>
    </cfRule>
  </conditionalFormatting>
  <conditionalFormatting sqref="T249">
    <cfRule type="cellIs" dxfId="0" priority="234" operator="equal">
      <formula>"欠"</formula>
    </cfRule>
    <cfRule type="containsText" dxfId="0" priority="233" operator="between" text="欠">
      <formula>NOT(ISERROR(SEARCH("欠",T249)))</formula>
    </cfRule>
  </conditionalFormatting>
  <conditionalFormatting sqref="U249">
    <cfRule type="cellIs" dxfId="0" priority="232" operator="equal">
      <formula>"欠"</formula>
    </cfRule>
    <cfRule type="containsText" dxfId="0" priority="231" operator="between" text="欠">
      <formula>NOT(ISERROR(SEARCH("欠",U249)))</formula>
    </cfRule>
    <cfRule type="containsText" dxfId="3" priority="229" operator="between" text="欠">
      <formula>NOT(ISERROR(SEARCH("欠",U249)))</formula>
    </cfRule>
  </conditionalFormatting>
  <conditionalFormatting sqref="AG249">
    <cfRule type="cellIs" dxfId="0" priority="235" operator="equal">
      <formula>"未完成"</formula>
    </cfRule>
  </conditionalFormatting>
  <conditionalFormatting sqref="AL249">
    <cfRule type="cellIs" dxfId="0" priority="237" operator="equal">
      <formula>"未完成"</formula>
    </cfRule>
    <cfRule type="cellIs" dxfId="2" priority="236" operator="equal">
      <formula>"未完成"</formula>
    </cfRule>
  </conditionalFormatting>
  <conditionalFormatting sqref="R250">
    <cfRule type="containsText" dxfId="0" priority="221" operator="between" text="欠">
      <formula>NOT(ISERROR(SEARCH("欠",R250)))</formula>
    </cfRule>
    <cfRule type="containsText" dxfId="3" priority="215" operator="between" text="欠">
      <formula>NOT(ISERROR(SEARCH("欠",R250)))</formula>
    </cfRule>
  </conditionalFormatting>
  <conditionalFormatting sqref="S250">
    <cfRule type="cellIs" dxfId="0" priority="217" operator="equal">
      <formula>"欠"</formula>
    </cfRule>
    <cfRule type="containsText" dxfId="0" priority="216" operator="between" text="欠">
      <formula>NOT(ISERROR(SEARCH("欠",S250)))</formula>
    </cfRule>
  </conditionalFormatting>
  <conditionalFormatting sqref="T250:U250">
    <cfRule type="containsText" dxfId="0" priority="220" operator="between" text="欠">
      <formula>NOT(ISERROR(SEARCH("欠",T250)))</formula>
    </cfRule>
  </conditionalFormatting>
  <conditionalFormatting sqref="AE250">
    <cfRule type="cellIs" dxfId="0" priority="225" operator="equal">
      <formula>"未完成"</formula>
    </cfRule>
    <cfRule type="cellIs" dxfId="2" priority="224" operator="equal">
      <formula>"未完成"</formula>
    </cfRule>
  </conditionalFormatting>
  <conditionalFormatting sqref="AJ250:AK250">
    <cfRule type="cellIs" dxfId="0" priority="227" operator="equal">
      <formula>"未完成"</formula>
    </cfRule>
    <cfRule type="cellIs" dxfId="2" priority="226" operator="equal">
      <formula>"未完成"</formula>
    </cfRule>
  </conditionalFormatting>
  <conditionalFormatting sqref="R251:W251">
    <cfRule type="cellIs" dxfId="0" priority="211" operator="equal">
      <formula>"欠"</formula>
    </cfRule>
  </conditionalFormatting>
  <conditionalFormatting sqref="R251">
    <cfRule type="containsText" dxfId="0" priority="209" operator="between" text="欠">
      <formula>NOT(ISERROR(SEARCH("欠",R251)))</formula>
    </cfRule>
    <cfRule type="containsText" dxfId="3" priority="202" operator="between" text="欠">
      <formula>NOT(ISERROR(SEARCH("欠",R251)))</formula>
    </cfRule>
  </conditionalFormatting>
  <conditionalFormatting sqref="S251">
    <cfRule type="cellIs" dxfId="0" priority="205" operator="equal">
      <formula>"欠"</formula>
    </cfRule>
    <cfRule type="containsText" dxfId="0" priority="204" operator="between" text="欠">
      <formula>NOT(ISERROR(SEARCH("欠",S251)))</formula>
    </cfRule>
  </conditionalFormatting>
  <conditionalFormatting sqref="T251:U251">
    <cfRule type="containsText" dxfId="0" priority="208" operator="between" text="欠">
      <formula>NOT(ISERROR(SEARCH("欠",T251)))</formula>
    </cfRule>
  </conditionalFormatting>
  <conditionalFormatting sqref="AJ251:AK251">
    <cfRule type="cellIs" dxfId="0" priority="213" operator="equal">
      <formula>"未完成"</formula>
    </cfRule>
    <cfRule type="cellIs" dxfId="2" priority="212" operator="equal">
      <formula>"未完成"</formula>
    </cfRule>
  </conditionalFormatting>
  <conditionalFormatting sqref="AJ251">
    <cfRule type="cellIs" dxfId="0" priority="203" operator="equal">
      <formula>"未完成"</formula>
    </cfRule>
  </conditionalFormatting>
  <conditionalFormatting sqref="S252">
    <cfRule type="containsText" dxfId="3" priority="191" operator="between" text="欠">
      <formula>NOT(ISERROR(SEARCH("欠",S252)))</formula>
    </cfRule>
    <cfRule type="containsText" dxfId="0" priority="193" operator="between" text="欠">
      <formula>NOT(ISERROR(SEARCH("欠",S252)))</formula>
    </cfRule>
  </conditionalFormatting>
  <conditionalFormatting sqref="T252">
    <cfRule type="containsText" dxfId="0" priority="196" operator="between" text="欠">
      <formula>NOT(ISERROR(SEARCH("欠",T252)))</formula>
    </cfRule>
    <cfRule type="cellIs" dxfId="0" priority="197" operator="equal">
      <formula>"欠"</formula>
    </cfRule>
  </conditionalFormatting>
  <conditionalFormatting sqref="U252">
    <cfRule type="containsText" dxfId="3" priority="192" operator="between" text="欠">
      <formula>NOT(ISERROR(SEARCH("欠",U252)))</formula>
    </cfRule>
    <cfRule type="containsText" dxfId="0" priority="194" operator="between" text="欠">
      <formula>NOT(ISERROR(SEARCH("欠",U252)))</formula>
    </cfRule>
    <cfRule type="cellIs" dxfId="0" priority="195" operator="equal">
      <formula>"欠"</formula>
    </cfRule>
  </conditionalFormatting>
  <conditionalFormatting sqref="AG252">
    <cfRule type="cellIs" dxfId="0" priority="198" operator="equal">
      <formula>"未完成"</formula>
    </cfRule>
  </conditionalFormatting>
  <conditionalFormatting sqref="AL252">
    <cfRule type="cellIs" dxfId="2" priority="199" operator="equal">
      <formula>"未完成"</formula>
    </cfRule>
    <cfRule type="cellIs" dxfId="0" priority="200" operator="equal">
      <formula>"未完成"</formula>
    </cfRule>
  </conditionalFormatting>
  <conditionalFormatting sqref="R253">
    <cfRule type="containsText" dxfId="3" priority="171" operator="between" text="欠">
      <formula>NOT(ISERROR(SEARCH("欠",R253)))</formula>
    </cfRule>
    <cfRule type="containsText" dxfId="0" priority="177" operator="between" text="欠">
      <formula>NOT(ISERROR(SEARCH("欠",R253)))</formula>
    </cfRule>
  </conditionalFormatting>
  <conditionalFormatting sqref="S253">
    <cfRule type="containsText" dxfId="0" priority="175" operator="between" text="欠">
      <formula>NOT(ISERROR(SEARCH("欠",S253)))</formula>
    </cfRule>
    <cfRule type="cellIs" dxfId="0" priority="176" operator="equal">
      <formula>"欠"</formula>
    </cfRule>
  </conditionalFormatting>
  <conditionalFormatting sqref="T253:U253">
    <cfRule type="containsText" dxfId="0" priority="178" operator="between" text="欠">
      <formula>NOT(ISERROR(SEARCH("欠",T253)))</formula>
    </cfRule>
    <cfRule type="cellIs" dxfId="0" priority="179" operator="equal">
      <formula>"欠"</formula>
    </cfRule>
  </conditionalFormatting>
  <conditionalFormatting sqref="U253">
    <cfRule type="containsText" dxfId="0" priority="172" operator="between" text="欠">
      <formula>NOT(ISERROR(SEARCH("欠",U253)))</formula>
    </cfRule>
    <cfRule type="cellIs" dxfId="0" priority="173" operator="equal">
      <formula>"欠"</formula>
    </cfRule>
  </conditionalFormatting>
  <conditionalFormatting sqref="V253:W253">
    <cfRule type="containsText" dxfId="0" priority="180" operator="between" text="欠">
      <formula>NOT(ISERROR(SEARCH("欠",V253)))</formula>
    </cfRule>
    <cfRule type="containsText" dxfId="1" priority="181" operator="between" text="欠">
      <formula>NOT(ISERROR(SEARCH("欠",V253)))</formula>
    </cfRule>
    <cfRule type="cellIs" dxfId="0" priority="182" operator="equal">
      <formula>"欠"</formula>
    </cfRule>
  </conditionalFormatting>
  <conditionalFormatting sqref="X253">
    <cfRule type="cellIs" dxfId="0" priority="183" operator="equal">
      <formula>"欠"</formula>
    </cfRule>
  </conditionalFormatting>
  <conditionalFormatting sqref="AJ253">
    <cfRule type="cellIs" dxfId="0" priority="174" operator="equal">
      <formula>"未完成"</formula>
    </cfRule>
  </conditionalFormatting>
  <conditionalFormatting sqref="AK253">
    <cfRule type="cellIs" dxfId="2" priority="189" operator="equal">
      <formula>"未完成"</formula>
    </cfRule>
    <cfRule type="cellIs" dxfId="0" priority="190" operator="equal">
      <formula>"未完成"</formula>
    </cfRule>
  </conditionalFormatting>
  <conditionalFormatting sqref="S254">
    <cfRule type="containsText" dxfId="0" priority="164" operator="between" text="欠">
      <formula>NOT(ISERROR(SEARCH("欠",S254)))</formula>
    </cfRule>
    <cfRule type="containsText" dxfId="3" priority="162" operator="between" text="欠">
      <formula>NOT(ISERROR(SEARCH("欠",S254)))</formula>
    </cfRule>
  </conditionalFormatting>
  <conditionalFormatting sqref="U254">
    <cfRule type="cellIs" dxfId="0" priority="166" operator="equal">
      <formula>"欠"</formula>
    </cfRule>
    <cfRule type="containsText" dxfId="0" priority="165" operator="between" text="欠">
      <formula>NOT(ISERROR(SEARCH("欠",U254)))</formula>
    </cfRule>
    <cfRule type="containsText" dxfId="3" priority="163" operator="between" text="欠">
      <formula>NOT(ISERROR(SEARCH("欠",U254)))</formula>
    </cfRule>
  </conditionalFormatting>
  <conditionalFormatting sqref="AG254">
    <cfRule type="cellIs" dxfId="0" priority="167" operator="equal">
      <formula>"未完成"</formula>
    </cfRule>
  </conditionalFormatting>
  <conditionalFormatting sqref="AL254">
    <cfRule type="cellIs" dxfId="0" priority="169" operator="equal">
      <formula>"未完成"</formula>
    </cfRule>
    <cfRule type="cellIs" dxfId="2" priority="168" operator="equal">
      <formula>"未完成"</formula>
    </cfRule>
  </conditionalFormatting>
  <conditionalFormatting sqref="R255">
    <cfRule type="containsText" dxfId="3" priority="144" operator="between" text="欠">
      <formula>NOT(ISERROR(SEARCH("欠",R255)))</formula>
    </cfRule>
    <cfRule type="containsText" dxfId="0" priority="149" operator="between" text="欠">
      <formula>NOT(ISERROR(SEARCH("欠",R255)))</formula>
    </cfRule>
  </conditionalFormatting>
  <conditionalFormatting sqref="S255">
    <cfRule type="containsText" dxfId="0" priority="160" operator="between" text="欠">
      <formula>NOT(ISERROR(SEARCH("欠",S255)))</formula>
    </cfRule>
    <cfRule type="cellIs" dxfId="0" priority="161" operator="equal">
      <formula>"欠"</formula>
    </cfRule>
  </conditionalFormatting>
  <conditionalFormatting sqref="T255:U255">
    <cfRule type="containsText" dxfId="0" priority="147" operator="between" text="欠">
      <formula>NOT(ISERROR(SEARCH("欠",T255)))</formula>
    </cfRule>
    <cfRule type="cellIs" dxfId="0" priority="148" operator="equal">
      <formula>"欠"</formula>
    </cfRule>
  </conditionalFormatting>
  <conditionalFormatting sqref="V255:W255">
    <cfRule type="containsText" dxfId="0" priority="156" operator="between" text="欠">
      <formula>NOT(ISERROR(SEARCH("欠",V255)))</formula>
    </cfRule>
    <cfRule type="containsText" dxfId="1" priority="157" operator="between" text="欠">
      <formula>NOT(ISERROR(SEARCH("欠",V255)))</formula>
    </cfRule>
    <cfRule type="cellIs" dxfId="0" priority="158" operator="equal">
      <formula>"欠"</formula>
    </cfRule>
  </conditionalFormatting>
  <conditionalFormatting sqref="X255">
    <cfRule type="cellIs" dxfId="0" priority="159" operator="equal">
      <formula>"欠"</formula>
    </cfRule>
  </conditionalFormatting>
  <conditionalFormatting sqref="AE255">
    <cfRule type="cellIs" dxfId="2" priority="145" operator="equal">
      <formula>"未完成"</formula>
    </cfRule>
    <cfRule type="cellIs" dxfId="0" priority="146" operator="equal">
      <formula>"未完成"</formula>
    </cfRule>
  </conditionalFormatting>
  <conditionalFormatting sqref="AJ255">
    <cfRule type="cellIs" dxfId="0" priority="150" operator="equal">
      <formula>"未完成"</formula>
    </cfRule>
  </conditionalFormatting>
  <conditionalFormatting sqref="S256">
    <cfRule type="containsText" dxfId="0" priority="140" operator="between" text="欠">
      <formula>NOT(ISERROR(SEARCH("欠",S256)))</formula>
    </cfRule>
    <cfRule type="containsText" dxfId="3" priority="130" operator="between" text="欠">
      <formula>NOT(ISERROR(SEARCH("欠",S256)))</formula>
    </cfRule>
  </conditionalFormatting>
  <conditionalFormatting sqref="T256">
    <cfRule type="cellIs" dxfId="0" priority="142" operator="equal">
      <formula>"欠"</formula>
    </cfRule>
    <cfRule type="containsText" dxfId="0" priority="141" operator="between" text="欠">
      <formula>NOT(ISERROR(SEARCH("欠",T256)))</formula>
    </cfRule>
  </conditionalFormatting>
  <conditionalFormatting sqref="U256">
    <cfRule type="cellIs" dxfId="0" priority="134" operator="equal">
      <formula>"欠"</formula>
    </cfRule>
    <cfRule type="containsText" dxfId="0" priority="133" operator="between" text="欠">
      <formula>NOT(ISERROR(SEARCH("欠",U256)))</formula>
    </cfRule>
    <cfRule type="containsText" dxfId="3" priority="131" operator="between" text="欠">
      <formula>NOT(ISERROR(SEARCH("欠",U256)))</formula>
    </cfRule>
  </conditionalFormatting>
  <conditionalFormatting sqref="AG256">
    <cfRule type="cellIs" dxfId="0" priority="137" operator="equal">
      <formula>"未完成"</formula>
    </cfRule>
  </conditionalFormatting>
  <conditionalFormatting sqref="AL256">
    <cfRule type="cellIs" dxfId="0" priority="139" operator="equal">
      <formula>"未完成"</formula>
    </cfRule>
    <cfRule type="cellIs" dxfId="2" priority="138" operator="equal">
      <formula>"未完成"</formula>
    </cfRule>
  </conditionalFormatting>
  <conditionalFormatting sqref="W257">
    <cfRule type="containsText" dxfId="0" priority="123" operator="between" text="欠">
      <formula>NOT(ISERROR(SEARCH("欠",W257)))</formula>
    </cfRule>
    <cfRule type="containsText" dxfId="3" priority="120" operator="between" text="欠">
      <formula>NOT(ISERROR(SEARCH("欠",W257)))</formula>
    </cfRule>
  </conditionalFormatting>
  <conditionalFormatting sqref="X257">
    <cfRule type="cellIs" dxfId="0" priority="129" operator="equal">
      <formula>"欠"</formula>
    </cfRule>
    <cfRule type="containsText" dxfId="0" priority="128" operator="between" text="欠">
      <formula>NOT(ISERROR(SEARCH("欠",X257)))</formula>
    </cfRule>
  </conditionalFormatting>
  <conditionalFormatting sqref="Y257">
    <cfRule type="cellIs" dxfId="0" priority="125" operator="equal">
      <formula>"欠"</formula>
    </cfRule>
    <cfRule type="containsText" dxfId="0" priority="124" operator="between" text="欠">
      <formula>NOT(ISERROR(SEARCH("欠",Y257)))</formula>
    </cfRule>
    <cfRule type="containsText" dxfId="3" priority="121" operator="between" text="欠">
      <formula>NOT(ISERROR(SEARCH("欠",Y257)))</formula>
    </cfRule>
  </conditionalFormatting>
  <conditionalFormatting sqref="R258">
    <cfRule type="containsText" dxfId="0" priority="117" operator="between" text="欠">
      <formula>NOT(ISERROR(SEARCH("欠",R258)))</formula>
    </cfRule>
    <cfRule type="containsText" dxfId="3" priority="100" operator="between" text="欠">
      <formula>NOT(ISERROR(SEARCH("欠",R258)))</formula>
    </cfRule>
  </conditionalFormatting>
  <conditionalFormatting sqref="S258">
    <cfRule type="cellIs" dxfId="0" priority="106" operator="equal">
      <formula>"欠"</formula>
    </cfRule>
    <cfRule type="containsText" dxfId="0" priority="105" operator="between" text="欠">
      <formula>NOT(ISERROR(SEARCH("欠",S258)))</formula>
    </cfRule>
  </conditionalFormatting>
  <conditionalFormatting sqref="T258:U258">
    <cfRule type="containsText" dxfId="0" priority="116" operator="between" text="欠">
      <formula>NOT(ISERROR(SEARCH("欠",T258)))</formula>
    </cfRule>
    <cfRule type="cellIs" dxfId="0" priority="109" operator="equal">
      <formula>"欠"</formula>
    </cfRule>
  </conditionalFormatting>
  <conditionalFormatting sqref="V258:W258">
    <cfRule type="cellIs" dxfId="0" priority="112" operator="equal">
      <formula>"欠"</formula>
    </cfRule>
    <cfRule type="containsText" dxfId="1" priority="111" operator="between" text="欠">
      <formula>NOT(ISERROR(SEARCH("欠",V258)))</formula>
    </cfRule>
    <cfRule type="containsText" dxfId="0" priority="110" operator="between" text="欠">
      <formula>NOT(ISERROR(SEARCH("欠",V258)))</formula>
    </cfRule>
  </conditionalFormatting>
  <conditionalFormatting sqref="X258">
    <cfRule type="cellIs" dxfId="0" priority="113" operator="equal">
      <formula>"欠"</formula>
    </cfRule>
  </conditionalFormatting>
  <conditionalFormatting sqref="AE258">
    <cfRule type="cellIs" dxfId="0" priority="104" operator="equal">
      <formula>"未完成"</formula>
    </cfRule>
    <cfRule type="cellIs" dxfId="2" priority="103" operator="equal">
      <formula>"未完成"</formula>
    </cfRule>
  </conditionalFormatting>
  <conditionalFormatting sqref="R259:W259">
    <cfRule type="cellIs" dxfId="0" priority="96" operator="equal">
      <formula>"欠"</formula>
    </cfRule>
  </conditionalFormatting>
  <conditionalFormatting sqref="R259">
    <cfRule type="containsText" dxfId="0" priority="94" operator="between" text="欠">
      <formula>NOT(ISERROR(SEARCH("欠",R259)))</formula>
    </cfRule>
    <cfRule type="containsText" dxfId="3" priority="85" operator="between" text="欠">
      <formula>NOT(ISERROR(SEARCH("欠",R259)))</formula>
    </cfRule>
  </conditionalFormatting>
  <conditionalFormatting sqref="S259">
    <cfRule type="cellIs" dxfId="0" priority="87" operator="equal">
      <formula>"欠"</formula>
    </cfRule>
    <cfRule type="containsText" dxfId="0" priority="86" operator="between" text="欠">
      <formula>NOT(ISERROR(SEARCH("欠",S259)))</formula>
    </cfRule>
  </conditionalFormatting>
  <conditionalFormatting sqref="T259:U259">
    <cfRule type="containsText" dxfId="0" priority="93" operator="between" text="欠">
      <formula>NOT(ISERROR(SEARCH("欠",T259)))</formula>
    </cfRule>
  </conditionalFormatting>
  <conditionalFormatting sqref="V259">
    <cfRule type="cellIs" dxfId="0" priority="90" operator="equal">
      <formula>"欠"</formula>
    </cfRule>
    <cfRule type="containsText" dxfId="1" priority="89" operator="between" text="欠">
      <formula>NOT(ISERROR(SEARCH("欠",V259)))</formula>
    </cfRule>
    <cfRule type="containsText" dxfId="0" priority="88" operator="between" text="欠">
      <formula>NOT(ISERROR(SEARCH("欠",V259)))</formula>
    </cfRule>
  </conditionalFormatting>
  <conditionalFormatting sqref="AE259">
    <cfRule type="cellIs" dxfId="0" priority="98" operator="equal">
      <formula>"未完成"</formula>
    </cfRule>
    <cfRule type="cellIs" dxfId="2" priority="97" operator="equal">
      <formula>"未完成"</formula>
    </cfRule>
  </conditionalFormatting>
  <conditionalFormatting sqref="W260">
    <cfRule type="containsText" dxfId="3" priority="80" operator="between" text="欠">
      <formula>NOT(ISERROR(SEARCH("欠",W260)))</formula>
    </cfRule>
  </conditionalFormatting>
  <conditionalFormatting sqref="X260">
    <cfRule type="cellIs" dxfId="0" priority="83" operator="equal">
      <formula>"欠"</formula>
    </cfRule>
    <cfRule type="containsText" dxfId="0" priority="82" operator="between" text="欠">
      <formula>NOT(ISERROR(SEARCH("欠",X260)))</formula>
    </cfRule>
  </conditionalFormatting>
  <conditionalFormatting sqref="Y260">
    <cfRule type="containsText" dxfId="3" priority="81" operator="between" text="欠">
      <formula>NOT(ISERROR(SEARCH("欠",Y260)))</formula>
    </cfRule>
  </conditionalFormatting>
  <conditionalFormatting sqref="W261">
    <cfRule type="containsText" dxfId="0" priority="75" operator="between" text="欠">
      <formula>NOT(ISERROR(SEARCH("欠",W261)))</formula>
    </cfRule>
    <cfRule type="containsText" dxfId="0" priority="74" operator="between" text="欠">
      <formula>NOT(ISERROR(SEARCH("欠",W261)))</formula>
    </cfRule>
    <cfRule type="containsText" dxfId="3" priority="72" operator="between" text="欠">
      <formula>NOT(ISERROR(SEARCH("欠",W261)))</formula>
    </cfRule>
  </conditionalFormatting>
  <conditionalFormatting sqref="X261">
    <cfRule type="cellIs" dxfId="0" priority="79" operator="equal">
      <formula>"欠"</formula>
    </cfRule>
    <cfRule type="containsText" dxfId="0" priority="78" operator="between" text="欠">
      <formula>NOT(ISERROR(SEARCH("欠",X261)))</formula>
    </cfRule>
  </conditionalFormatting>
  <conditionalFormatting sqref="Y261">
    <cfRule type="cellIs" dxfId="0" priority="77" operator="equal">
      <formula>"欠"</formula>
    </cfRule>
    <cfRule type="containsText" dxfId="0" priority="76" operator="between" text="欠">
      <formula>NOT(ISERROR(SEARCH("欠",Y261)))</formula>
    </cfRule>
    <cfRule type="containsText" dxfId="3" priority="73" operator="between" text="欠">
      <formula>NOT(ISERROR(SEARCH("欠",Y261)))</formula>
    </cfRule>
  </conditionalFormatting>
  <conditionalFormatting sqref="W262">
    <cfRule type="containsText" dxfId="0" priority="67" operator="between" text="欠">
      <formula>NOT(ISERROR(SEARCH("欠",W262)))</formula>
    </cfRule>
    <cfRule type="containsText" dxfId="3" priority="65" operator="between" text="欠">
      <formula>NOT(ISERROR(SEARCH("欠",W262)))</formula>
    </cfRule>
  </conditionalFormatting>
  <conditionalFormatting sqref="X262">
    <cfRule type="cellIs" dxfId="0" priority="71" operator="equal">
      <formula>"欠"</formula>
    </cfRule>
    <cfRule type="containsText" dxfId="0" priority="70" operator="between" text="欠">
      <formula>NOT(ISERROR(SEARCH("欠",X262)))</formula>
    </cfRule>
  </conditionalFormatting>
  <conditionalFormatting sqref="Y262">
    <cfRule type="cellIs" dxfId="0" priority="69" operator="equal">
      <formula>"欠"</formula>
    </cfRule>
    <cfRule type="containsText" dxfId="0" priority="68" operator="between" text="欠">
      <formula>NOT(ISERROR(SEARCH("欠",Y262)))</formula>
    </cfRule>
    <cfRule type="containsText" dxfId="3" priority="66" operator="between" text="欠">
      <formula>NOT(ISERROR(SEARCH("欠",Y262)))</formula>
    </cfRule>
  </conditionalFormatting>
  <conditionalFormatting sqref="W263">
    <cfRule type="containsText" dxfId="0" priority="61" operator="between" text="欠">
      <formula>NOT(ISERROR(SEARCH("欠",W263)))</formula>
    </cfRule>
    <cfRule type="containsText" dxfId="3" priority="55" operator="between" text="欠">
      <formula>NOT(ISERROR(SEARCH("欠",W263)))</formula>
    </cfRule>
  </conditionalFormatting>
  <conditionalFormatting sqref="X263">
    <cfRule type="cellIs" dxfId="0" priority="62" operator="equal">
      <formula>"欠"</formula>
    </cfRule>
    <cfRule type="cellIs" dxfId="0" priority="60" operator="equal">
      <formula>"欠"</formula>
    </cfRule>
    <cfRule type="containsText" dxfId="0" priority="59" operator="between" text="欠">
      <formula>NOT(ISERROR(SEARCH("欠",X263)))</formula>
    </cfRule>
    <cfRule type="cellIs" dxfId="0" priority="58" operator="equal">
      <formula>"欠"</formula>
    </cfRule>
    <cfRule type="containsText" dxfId="0" priority="57" operator="between" text="欠">
      <formula>NOT(ISERROR(SEARCH("欠",X263)))</formula>
    </cfRule>
  </conditionalFormatting>
  <conditionalFormatting sqref="Y263">
    <cfRule type="cellIs" dxfId="0" priority="64" operator="equal">
      <formula>"欠"</formula>
    </cfRule>
    <cfRule type="containsText" dxfId="0" priority="63" operator="between" text="欠">
      <formula>NOT(ISERROR(SEARCH("欠",Y263)))</formula>
    </cfRule>
    <cfRule type="containsText" dxfId="3" priority="56" operator="between" text="欠">
      <formula>NOT(ISERROR(SEARCH("欠",Y263)))</formula>
    </cfRule>
  </conditionalFormatting>
  <conditionalFormatting sqref="R264">
    <cfRule type="containsText" dxfId="3" priority="39" operator="between" text="欠">
      <formula>NOT(ISERROR(SEARCH("欠",R264)))</formula>
    </cfRule>
  </conditionalFormatting>
  <conditionalFormatting sqref="S264">
    <cfRule type="cellIs" dxfId="0" priority="54" operator="equal">
      <formula>"欠"</formula>
    </cfRule>
    <cfRule type="containsText" dxfId="0" priority="53" operator="between" text="欠">
      <formula>NOT(ISERROR(SEARCH("欠",S264)))</formula>
    </cfRule>
  </conditionalFormatting>
  <conditionalFormatting sqref="T264:U264">
    <cfRule type="cellIs" dxfId="0" priority="52" operator="equal">
      <formula>"欠"</formula>
    </cfRule>
    <cfRule type="containsText" dxfId="0" priority="51" operator="between" text="欠">
      <formula>NOT(ISERROR(SEARCH("欠",T264)))</formula>
    </cfRule>
  </conditionalFormatting>
  <conditionalFormatting sqref="T264">
    <cfRule type="cellIs" dxfId="0" priority="41" operator="equal">
      <formula>"欠"</formula>
    </cfRule>
    <cfRule type="containsText" dxfId="0" priority="40" operator="between" text="欠">
      <formula>NOT(ISERROR(SEARCH("欠",T264)))</formula>
    </cfRule>
  </conditionalFormatting>
  <conditionalFormatting sqref="V264">
    <cfRule type="cellIs" dxfId="0" priority="44" operator="equal">
      <formula>"欠"</formula>
    </cfRule>
    <cfRule type="containsText" dxfId="1" priority="43" operator="between" text="欠">
      <formula>NOT(ISERROR(SEARCH("欠",V264)))</formula>
    </cfRule>
    <cfRule type="containsText" dxfId="0" priority="42" operator="between" text="欠">
      <formula>NOT(ISERROR(SEARCH("欠",V264)))</formula>
    </cfRule>
  </conditionalFormatting>
  <conditionalFormatting sqref="W264">
    <cfRule type="cellIs" dxfId="0" priority="49" operator="equal">
      <formula>"欠"</formula>
    </cfRule>
    <cfRule type="containsText" dxfId="1" priority="48" operator="between" text="欠">
      <formula>NOT(ISERROR(SEARCH("欠",W264)))</formula>
    </cfRule>
    <cfRule type="containsText" dxfId="0" priority="47" operator="between" text="欠">
      <formula>NOT(ISERROR(SEARCH("欠",W264)))</formula>
    </cfRule>
  </conditionalFormatting>
  <conditionalFormatting sqref="X264">
    <cfRule type="cellIs" dxfId="0" priority="50" operator="equal">
      <formula>"欠"</formula>
    </cfRule>
  </conditionalFormatting>
  <conditionalFormatting sqref="AE264">
    <cfRule type="cellIs" dxfId="0" priority="46" operator="equal">
      <formula>"未完成"</formula>
    </cfRule>
    <cfRule type="cellIs" dxfId="2" priority="45" operator="equal">
      <formula>"未完成"</formula>
    </cfRule>
  </conditionalFormatting>
  <conditionalFormatting sqref="W265">
    <cfRule type="containsText" dxfId="3" priority="31" operator="between" text="欠">
      <formula>NOT(ISERROR(SEARCH("欠",W265)))</formula>
    </cfRule>
    <cfRule type="containsText" dxfId="0" priority="33" operator="between" text="欠">
      <formula>NOT(ISERROR(SEARCH("欠",W265)))</formula>
    </cfRule>
  </conditionalFormatting>
  <conditionalFormatting sqref="X265">
    <cfRule type="containsText" dxfId="0" priority="36" operator="between" text="欠">
      <formula>NOT(ISERROR(SEARCH("欠",X265)))</formula>
    </cfRule>
    <cfRule type="cellIs" dxfId="0" priority="37" operator="equal">
      <formula>"欠"</formula>
    </cfRule>
  </conditionalFormatting>
  <conditionalFormatting sqref="Y265">
    <cfRule type="containsText" dxfId="3" priority="32" operator="between" text="欠">
      <formula>NOT(ISERROR(SEARCH("欠",Y265)))</formula>
    </cfRule>
    <cfRule type="containsText" dxfId="0" priority="34" operator="between" text="欠">
      <formula>NOT(ISERROR(SEARCH("欠",Y265)))</formula>
    </cfRule>
    <cfRule type="cellIs" dxfId="0" priority="35" operator="equal">
      <formula>"欠"</formula>
    </cfRule>
  </conditionalFormatting>
  <conditionalFormatting sqref="W266">
    <cfRule type="containsText" dxfId="0" priority="26" operator="between" text="欠">
      <formula>NOT(ISERROR(SEARCH("欠",W266)))</formula>
    </cfRule>
    <cfRule type="containsText" dxfId="3" priority="24" operator="between" text="欠">
      <formula>NOT(ISERROR(SEARCH("欠",W266)))</formula>
    </cfRule>
  </conditionalFormatting>
  <conditionalFormatting sqref="X266">
    <cfRule type="cellIs" dxfId="0" priority="30" operator="equal">
      <formula>"欠"</formula>
    </cfRule>
    <cfRule type="containsText" dxfId="0" priority="29" operator="between" text="欠">
      <formula>NOT(ISERROR(SEARCH("欠",X266)))</formula>
    </cfRule>
  </conditionalFormatting>
  <conditionalFormatting sqref="Y266">
    <cfRule type="cellIs" dxfId="0" priority="28" operator="equal">
      <formula>"欠"</formula>
    </cfRule>
    <cfRule type="containsText" dxfId="0" priority="27" operator="between" text="欠">
      <formula>NOT(ISERROR(SEARCH("欠",Y266)))</formula>
    </cfRule>
    <cfRule type="containsText" dxfId="3" priority="25" operator="between" text="欠">
      <formula>NOT(ISERROR(SEARCH("欠",Y266)))</formula>
    </cfRule>
  </conditionalFormatting>
  <conditionalFormatting sqref="W267">
    <cfRule type="containsText" dxfId="0" priority="19" operator="between" text="欠">
      <formula>NOT(ISERROR(SEARCH("欠",W267)))</formula>
    </cfRule>
    <cfRule type="containsText" dxfId="0" priority="18" operator="between" text="欠">
      <formula>NOT(ISERROR(SEARCH("欠",W267)))</formula>
    </cfRule>
    <cfRule type="containsText" dxfId="3" priority="16" operator="between" text="欠">
      <formula>NOT(ISERROR(SEARCH("欠",W267)))</formula>
    </cfRule>
  </conditionalFormatting>
  <conditionalFormatting sqref="X267">
    <cfRule type="cellIs" dxfId="0" priority="23" operator="equal">
      <formula>"欠"</formula>
    </cfRule>
    <cfRule type="containsText" dxfId="0" priority="22" operator="between" text="欠">
      <formula>NOT(ISERROR(SEARCH("欠",X267)))</formula>
    </cfRule>
  </conditionalFormatting>
  <conditionalFormatting sqref="Y267">
    <cfRule type="cellIs" dxfId="0" priority="21" operator="equal">
      <formula>"欠"</formula>
    </cfRule>
    <cfRule type="containsText" dxfId="0" priority="20" operator="between" text="欠">
      <formula>NOT(ISERROR(SEARCH("欠",Y267)))</formula>
    </cfRule>
    <cfRule type="containsText" dxfId="3" priority="17" operator="between" text="欠">
      <formula>NOT(ISERROR(SEARCH("欠",Y267)))</formula>
    </cfRule>
  </conditionalFormatting>
  <conditionalFormatting sqref="R268">
    <cfRule type="containsText" dxfId="0" priority="5" operator="between" text="欠">
      <formula>NOT(ISERROR(SEARCH("欠",R268)))</formula>
    </cfRule>
    <cfRule type="containsText" dxfId="3" priority="2" operator="between" text="欠">
      <formula>NOT(ISERROR(SEARCH("欠",R268)))</formula>
    </cfRule>
  </conditionalFormatting>
  <conditionalFormatting sqref="S268">
    <cfRule type="cellIs" dxfId="0" priority="15" operator="equal">
      <formula>"欠"</formula>
    </cfRule>
    <cfRule type="containsText" dxfId="0" priority="14" operator="between" text="欠">
      <formula>NOT(ISERROR(SEARCH("欠",S268)))</formula>
    </cfRule>
  </conditionalFormatting>
  <conditionalFormatting sqref="T268:U268">
    <cfRule type="cellIs" dxfId="0" priority="9" operator="equal">
      <formula>"欠"</formula>
    </cfRule>
    <cfRule type="containsText" dxfId="0" priority="8" operator="between" text="欠">
      <formula>NOT(ISERROR(SEARCH("欠",T268)))</formula>
    </cfRule>
  </conditionalFormatting>
  <conditionalFormatting sqref="V268:W268">
    <cfRule type="cellIs" dxfId="0" priority="12" operator="equal">
      <formula>"欠"</formula>
    </cfRule>
    <cfRule type="containsText" dxfId="1" priority="11" operator="between" text="欠">
      <formula>NOT(ISERROR(SEARCH("欠",V268)))</formula>
    </cfRule>
    <cfRule type="containsText" dxfId="0" priority="10" operator="between" text="欠">
      <formula>NOT(ISERROR(SEARCH("欠",V268)))</formula>
    </cfRule>
  </conditionalFormatting>
  <conditionalFormatting sqref="X268">
    <cfRule type="cellIs" dxfId="0" priority="13" operator="equal">
      <formula>"欠"</formula>
    </cfRule>
  </conditionalFormatting>
  <conditionalFormatting sqref="AE268">
    <cfRule type="cellIs" dxfId="0" priority="7" operator="equal">
      <formula>"未完成"</formula>
    </cfRule>
    <cfRule type="cellIs" dxfId="2" priority="6" operator="equal">
      <formula>"未完成"</formula>
    </cfRule>
    <cfRule type="cellIs" dxfId="0" priority="4" operator="equal">
      <formula>"未完成"</formula>
    </cfRule>
    <cfRule type="cellIs" dxfId="2" priority="3" operator="equal">
      <formula>"未完成"</formula>
    </cfRule>
  </conditionalFormatting>
  <conditionalFormatting sqref="R2:R8">
    <cfRule type="containsText" dxfId="0" priority="2387" operator="between" text="欠">
      <formula>NOT(ISERROR(SEARCH("欠",R2)))</formula>
    </cfRule>
  </conditionalFormatting>
  <conditionalFormatting sqref="R34:R36">
    <cfRule type="containsText" dxfId="0" priority="2126" operator="between" text="欠">
      <formula>NOT(ISERROR(SEARCH("欠",R34)))</formula>
    </cfRule>
  </conditionalFormatting>
  <conditionalFormatting sqref="R54:R55">
    <cfRule type="containsText" dxfId="0" priority="1870" operator="between" text="欠">
      <formula>NOT(ISERROR(SEARCH("欠",R54)))</formula>
    </cfRule>
  </conditionalFormatting>
  <conditionalFormatting sqref="R56:R57">
    <cfRule type="containsText" dxfId="3" priority="1854" operator="between" text="欠">
      <formula>NOT(ISERROR(SEARCH("欠",R56)))</formula>
    </cfRule>
  </conditionalFormatting>
  <conditionalFormatting sqref="R60:R62">
    <cfRule type="containsText" dxfId="3" priority="1811" operator="between" text="欠">
      <formula>NOT(ISERROR(SEARCH("欠",R60)))</formula>
    </cfRule>
  </conditionalFormatting>
  <conditionalFormatting sqref="R71:R72">
    <cfRule type="containsText" dxfId="3" priority="1601" operator="between" text="欠">
      <formula>NOT(ISERROR(SEARCH("欠",R71)))</formula>
    </cfRule>
  </conditionalFormatting>
  <conditionalFormatting sqref="R73:R74">
    <cfRule type="containsText" dxfId="0" priority="1596" operator="between" text="欠">
      <formula>NOT(ISERROR(SEARCH("欠",R73)))</formula>
    </cfRule>
    <cfRule type="containsText" dxfId="3" priority="1584" operator="between" text="欠">
      <formula>NOT(ISERROR(SEARCH("欠",R73)))</formula>
    </cfRule>
  </conditionalFormatting>
  <conditionalFormatting sqref="R80:R90">
    <cfRule type="containsText" dxfId="3" priority="1486" operator="between" text="欠">
      <formula>NOT(ISERROR(SEARCH("欠",R80)))</formula>
    </cfRule>
  </conditionalFormatting>
  <conditionalFormatting sqref="R88:R89">
    <cfRule type="containsText" dxfId="0" priority="1491" operator="between" text="欠">
      <formula>NOT(ISERROR(SEARCH("欠",R88)))</formula>
    </cfRule>
  </conditionalFormatting>
  <conditionalFormatting sqref="R107:R123">
    <cfRule type="containsText" dxfId="3" priority="1272" operator="between" text="欠">
      <formula>NOT(ISERROR(SEARCH("欠",R107)))</formula>
    </cfRule>
  </conditionalFormatting>
  <conditionalFormatting sqref="R115:R120">
    <cfRule type="containsText" dxfId="0" priority="1367" operator="between" text="欠">
      <formula>NOT(ISERROR(SEARCH("欠",R115)))</formula>
    </cfRule>
  </conditionalFormatting>
  <conditionalFormatting sqref="R122:R123">
    <cfRule type="containsText" dxfId="0" priority="1353" operator="between" text="欠">
      <formula>NOT(ISERROR(SEARCH("欠",R122)))</formula>
    </cfRule>
  </conditionalFormatting>
  <conditionalFormatting sqref="R128:R130">
    <cfRule type="containsText" dxfId="0" priority="1268" operator="between" text="欠">
      <formula>NOT(ISERROR(SEARCH("欠",R128)))</formula>
    </cfRule>
  </conditionalFormatting>
  <conditionalFormatting sqref="R129:R130">
    <cfRule type="containsText" dxfId="0" priority="1254" operator="between" text="欠">
      <formula>NOT(ISERROR(SEARCH("欠",R129)))</formula>
    </cfRule>
  </conditionalFormatting>
  <conditionalFormatting sqref="R137:R140">
    <cfRule type="containsText" dxfId="3" priority="1152" operator="between" text="欠">
      <formula>NOT(ISERROR(SEARCH("欠",R137)))</formula>
    </cfRule>
    <cfRule type="containsText" dxfId="0" priority="1154" operator="between" text="欠">
      <formula>NOT(ISERROR(SEARCH("欠",R137)))</formula>
    </cfRule>
  </conditionalFormatting>
  <conditionalFormatting sqref="R141:R142">
    <cfRule type="containsText" dxfId="3" priority="1134" operator="between" text="欠">
      <formula>NOT(ISERROR(SEARCH("欠",R141)))</formula>
    </cfRule>
    <cfRule type="containsText" dxfId="0" priority="1144" operator="between" text="欠">
      <formula>NOT(ISERROR(SEARCH("欠",R141)))</formula>
    </cfRule>
  </conditionalFormatting>
  <conditionalFormatting sqref="R143:R145">
    <cfRule type="containsText" dxfId="3" priority="823" operator="between" text="欠">
      <formula>NOT(ISERROR(SEARCH("欠",R143)))</formula>
    </cfRule>
  </conditionalFormatting>
  <conditionalFormatting sqref="R147:R148">
    <cfRule type="containsText" dxfId="3" priority="803" operator="between" text="欠">
      <formula>NOT(ISERROR(SEARCH("欠",R147)))</formula>
    </cfRule>
  </conditionalFormatting>
  <conditionalFormatting sqref="R149:R151">
    <cfRule type="containsText" dxfId="3" priority="779" operator="between" text="欠">
      <formula>NOT(ISERROR(SEARCH("欠",R149)))</formula>
    </cfRule>
  </conditionalFormatting>
  <conditionalFormatting sqref="R152:R154">
    <cfRule type="containsText" dxfId="3" priority="764" operator="between" text="欠">
      <formula>NOT(ISERROR(SEARCH("欠",R152)))</formula>
    </cfRule>
  </conditionalFormatting>
  <conditionalFormatting sqref="R153:R154">
    <cfRule type="containsText" dxfId="0" priority="778" operator="between" text="欠">
      <formula>NOT(ISERROR(SEARCH("欠",R153)))</formula>
    </cfRule>
  </conditionalFormatting>
  <conditionalFormatting sqref="R156:R157">
    <cfRule type="containsText" dxfId="0" priority="1128" operator="between" text="欠">
      <formula>NOT(ISERROR(SEARCH("欠",R156)))</formula>
    </cfRule>
  </conditionalFormatting>
  <conditionalFormatting sqref="R156:R159">
    <cfRule type="containsText" dxfId="3" priority="1104" operator="between" text="欠">
      <formula>NOT(ISERROR(SEARCH("欠",R156)))</formula>
    </cfRule>
  </conditionalFormatting>
  <conditionalFormatting sqref="R160:R161">
    <cfRule type="containsText" dxfId="0" priority="1102" operator="between" text="欠">
      <formula>NOT(ISERROR(SEARCH("欠",R160)))</formula>
    </cfRule>
  </conditionalFormatting>
  <conditionalFormatting sqref="R160:R162">
    <cfRule type="containsText" dxfId="3" priority="1088" operator="between" text="欠">
      <formula>NOT(ISERROR(SEARCH("欠",R160)))</formula>
    </cfRule>
  </conditionalFormatting>
  <conditionalFormatting sqref="R163:R165">
    <cfRule type="containsText" dxfId="3" priority="1067" operator="between" text="欠">
      <formula>NOT(ISERROR(SEARCH("欠",R163)))</formula>
    </cfRule>
    <cfRule type="containsText" dxfId="0" priority="1069" operator="between" text="欠">
      <formula>NOT(ISERROR(SEARCH("欠",R163)))</formula>
    </cfRule>
  </conditionalFormatting>
  <conditionalFormatting sqref="R166:R169">
    <cfRule type="containsText" dxfId="3" priority="1048" operator="between" text="欠">
      <formula>NOT(ISERROR(SEARCH("欠",R166)))</formula>
    </cfRule>
    <cfRule type="containsText" dxfId="0" priority="1060" operator="between" text="欠">
      <formula>NOT(ISERROR(SEARCH("欠",R166)))</formula>
    </cfRule>
  </conditionalFormatting>
  <conditionalFormatting sqref="R170:R172">
    <cfRule type="containsText" dxfId="3" priority="1027" operator="between" text="欠">
      <formula>NOT(ISERROR(SEARCH("欠",R170)))</formula>
    </cfRule>
  </conditionalFormatting>
  <conditionalFormatting sqref="R173:R176">
    <cfRule type="containsText" dxfId="3" priority="1002" operator="between" text="欠">
      <formula>NOT(ISERROR(SEARCH("欠",R173)))</formula>
    </cfRule>
  </conditionalFormatting>
  <conditionalFormatting sqref="R175:R176">
    <cfRule type="containsText" dxfId="0" priority="1004" operator="between" text="欠">
      <formula>NOT(ISERROR(SEARCH("欠",R175)))</formula>
    </cfRule>
  </conditionalFormatting>
  <conditionalFormatting sqref="R177:R179">
    <cfRule type="containsText" dxfId="0" priority="999" operator="between" text="欠">
      <formula>NOT(ISERROR(SEARCH("欠",R177)))</formula>
    </cfRule>
  </conditionalFormatting>
  <conditionalFormatting sqref="R177:R181">
    <cfRule type="containsText" dxfId="3" priority="974" operator="between" text="欠">
      <formula>NOT(ISERROR(SEARCH("欠",R177)))</formula>
    </cfRule>
    <cfRule type="containsText" dxfId="0" priority="976" operator="between" text="欠">
      <formula>NOT(ISERROR(SEARCH("欠",R177)))</formula>
    </cfRule>
  </conditionalFormatting>
  <conditionalFormatting sqref="R182:R191">
    <cfRule type="containsText" dxfId="3" priority="943" operator="between" text="欠">
      <formula>NOT(ISERROR(SEARCH("欠",R182)))</formula>
    </cfRule>
  </conditionalFormatting>
  <conditionalFormatting sqref="R187:R189">
    <cfRule type="containsText" dxfId="0" priority="953" operator="between" text="欠">
      <formula>NOT(ISERROR(SEARCH("欠",R187)))</formula>
    </cfRule>
  </conditionalFormatting>
  <conditionalFormatting sqref="R192:R195">
    <cfRule type="containsText" dxfId="3" priority="924" operator="between" text="欠">
      <formula>NOT(ISERROR(SEARCH("欠",R192)))</formula>
    </cfRule>
    <cfRule type="containsText" dxfId="0" priority="926" operator="between" text="欠">
      <formula>NOT(ISERROR(SEARCH("欠",R192)))</formula>
    </cfRule>
  </conditionalFormatting>
  <conditionalFormatting sqref="R193:R195">
    <cfRule type="containsText" dxfId="0" priority="934" operator="between" text="欠">
      <formula>NOT(ISERROR(SEARCH("欠",R193)))</formula>
    </cfRule>
  </conditionalFormatting>
  <conditionalFormatting sqref="R197:R198">
    <cfRule type="containsText" dxfId="3" priority="881" operator="between" text="欠">
      <formula>NOT(ISERROR(SEARCH("欠",R197)))</formula>
    </cfRule>
    <cfRule type="containsText" dxfId="0" priority="883" operator="between" text="欠">
      <formula>NOT(ISERROR(SEARCH("欠",R197)))</formula>
    </cfRule>
  </conditionalFormatting>
  <conditionalFormatting sqref="R199:R202">
    <cfRule type="containsText" dxfId="3" priority="868" operator="between" text="欠">
      <formula>NOT(ISERROR(SEARCH("欠",R199)))</formula>
    </cfRule>
    <cfRule type="containsText" dxfId="0" priority="870" operator="between" text="欠">
      <formula>NOT(ISERROR(SEARCH("欠",R199)))</formula>
    </cfRule>
  </conditionalFormatting>
  <conditionalFormatting sqref="S2:S8">
    <cfRule type="cellIs" dxfId="0" priority="2420" operator="equal">
      <formula>"欠"</formula>
    </cfRule>
    <cfRule type="containsText" dxfId="0" priority="2389" operator="between" text="欠">
      <formula>NOT(ISERROR(SEARCH("欠",S2)))</formula>
    </cfRule>
  </conditionalFormatting>
  <conditionalFormatting sqref="S34:S36">
    <cfRule type="cellIs" dxfId="0" priority="2129" operator="equal">
      <formula>"欠"</formula>
    </cfRule>
  </conditionalFormatting>
  <conditionalFormatting sqref="S54:S55">
    <cfRule type="containsText" dxfId="0" priority="1871" operator="between" text="欠">
      <formula>NOT(ISERROR(SEARCH("欠",S54)))</formula>
    </cfRule>
    <cfRule type="cellIs" dxfId="0" priority="1872" operator="equal">
      <formula>"欠"</formula>
    </cfRule>
  </conditionalFormatting>
  <conditionalFormatting sqref="S56:S57">
    <cfRule type="containsText" dxfId="0" priority="1865" operator="between" text="欠">
      <formula>NOT(ISERROR(SEARCH("欠",S56)))</formula>
    </cfRule>
    <cfRule type="cellIs" dxfId="0" priority="1866" operator="equal">
      <formula>"欠"</formula>
    </cfRule>
  </conditionalFormatting>
  <conditionalFormatting sqref="S61:S62">
    <cfRule type="containsText" dxfId="0" priority="1813" operator="between" text="欠">
      <formula>NOT(ISERROR(SEARCH("欠",S61)))</formula>
    </cfRule>
    <cfRule type="cellIs" dxfId="0" priority="1814" operator="equal">
      <formula>"欠"</formula>
    </cfRule>
  </conditionalFormatting>
  <conditionalFormatting sqref="S73:S74">
    <cfRule type="cellIs" dxfId="0" priority="1587" operator="equal">
      <formula>"欠"</formula>
    </cfRule>
    <cfRule type="containsText" dxfId="0" priority="1586" operator="between" text="欠">
      <formula>NOT(ISERROR(SEARCH("欠",S73)))</formula>
    </cfRule>
  </conditionalFormatting>
  <conditionalFormatting sqref="S88:S89">
    <cfRule type="cellIs" dxfId="0" priority="1520" operator="equal">
      <formula>"欠"</formula>
    </cfRule>
  </conditionalFormatting>
  <conditionalFormatting sqref="S114:S119">
    <cfRule type="cellIs" dxfId="0" priority="1356" operator="equal">
      <formula>"欠"</formula>
    </cfRule>
  </conditionalFormatting>
  <conditionalFormatting sqref="S129:S130">
    <cfRule type="containsText" dxfId="0" priority="1257" operator="between" text="欠">
      <formula>NOT(ISERROR(SEARCH("欠",S129)))</formula>
    </cfRule>
    <cfRule type="cellIs" dxfId="0" priority="1258" operator="equal">
      <formula>"欠"</formula>
    </cfRule>
  </conditionalFormatting>
  <conditionalFormatting sqref="S137:S140">
    <cfRule type="containsText" dxfId="0" priority="1157" operator="between" text="欠">
      <formula>NOT(ISERROR(SEARCH("欠",S137)))</formula>
    </cfRule>
    <cfRule type="cellIs" dxfId="0" priority="1158" operator="equal">
      <formula>"欠"</formula>
    </cfRule>
  </conditionalFormatting>
  <conditionalFormatting sqref="S141:S142">
    <cfRule type="containsText" dxfId="0" priority="1147" operator="between" text="欠">
      <formula>NOT(ISERROR(SEARCH("欠",S141)))</formula>
    </cfRule>
    <cfRule type="cellIs" dxfId="0" priority="1148" operator="equal">
      <formula>"欠"</formula>
    </cfRule>
  </conditionalFormatting>
  <conditionalFormatting sqref="S143:S145">
    <cfRule type="cellIs" dxfId="0" priority="838" operator="equal">
      <formula>"欠"</formula>
    </cfRule>
  </conditionalFormatting>
  <conditionalFormatting sqref="S152:S154">
    <cfRule type="cellIs" dxfId="0" priority="777" operator="equal">
      <formula>"欠"</formula>
    </cfRule>
  </conditionalFormatting>
  <conditionalFormatting sqref="S156:S157">
    <cfRule type="cellIs" dxfId="0" priority="1131" operator="equal">
      <formula>"欠"</formula>
    </cfRule>
  </conditionalFormatting>
  <conditionalFormatting sqref="S157:S158">
    <cfRule type="containsText" dxfId="0" priority="1114" operator="between" text="欠">
      <formula>NOT(ISERROR(SEARCH("欠",S157)))</formula>
    </cfRule>
    <cfRule type="cellIs" dxfId="0" priority="1115" operator="equal">
      <formula>"欠"</formula>
    </cfRule>
  </conditionalFormatting>
  <conditionalFormatting sqref="S163:S165">
    <cfRule type="containsText" dxfId="0" priority="1072" operator="between" text="欠">
      <formula>NOT(ISERROR(SEARCH("欠",S163)))</formula>
    </cfRule>
    <cfRule type="cellIs" dxfId="0" priority="1073" operator="equal">
      <formula>"欠"</formula>
    </cfRule>
  </conditionalFormatting>
  <conditionalFormatting sqref="S166:S169">
    <cfRule type="cellIs" dxfId="0" priority="1063" operator="equal">
      <formula>"欠"</formula>
    </cfRule>
  </conditionalFormatting>
  <conditionalFormatting sqref="S173:S176">
    <cfRule type="containsText" dxfId="0" priority="1007" operator="between" text="欠">
      <formula>NOT(ISERROR(SEARCH("欠",S173)))</formula>
    </cfRule>
    <cfRule type="cellIs" dxfId="0" priority="1008" operator="equal">
      <formula>"欠"</formula>
    </cfRule>
  </conditionalFormatting>
  <conditionalFormatting sqref="S177:S181">
    <cfRule type="containsText" dxfId="0" priority="979" operator="between" text="欠">
      <formula>NOT(ISERROR(SEARCH("欠",S177)))</formula>
    </cfRule>
    <cfRule type="cellIs" dxfId="0" priority="980" operator="equal">
      <formula>"欠"</formula>
    </cfRule>
  </conditionalFormatting>
  <conditionalFormatting sqref="S192:S195">
    <cfRule type="containsText" dxfId="0" priority="929" operator="between" text="欠">
      <formula>NOT(ISERROR(SEARCH("欠",S192)))</formula>
    </cfRule>
    <cfRule type="cellIs" dxfId="0" priority="930" operator="equal">
      <formula>"欠"</formula>
    </cfRule>
  </conditionalFormatting>
  <conditionalFormatting sqref="S197:S198">
    <cfRule type="containsText" dxfId="0" priority="886" operator="between" text="欠">
      <formula>NOT(ISERROR(SEARCH("欠",S197)))</formula>
    </cfRule>
    <cfRule type="cellIs" dxfId="0" priority="887" operator="equal">
      <formula>"欠"</formula>
    </cfRule>
  </conditionalFormatting>
  <conditionalFormatting sqref="S199:S202">
    <cfRule type="containsText" dxfId="0" priority="873" operator="between" text="欠">
      <formula>NOT(ISERROR(SEARCH("欠",S199)))</formula>
    </cfRule>
    <cfRule type="cellIs" dxfId="0" priority="874" operator="equal">
      <formula>"欠"</formula>
    </cfRule>
  </conditionalFormatting>
  <conditionalFormatting sqref="S207:S208">
    <cfRule type="containsText" dxfId="3" priority="727" operator="between" text="欠">
      <formula>NOT(ISERROR(SEARCH("欠",S207)))</formula>
    </cfRule>
  </conditionalFormatting>
  <conditionalFormatting sqref="S211:S212">
    <cfRule type="containsText" dxfId="0" priority="696" operator="between" text="欠">
      <formula>NOT(ISERROR(SEARCH("欠",S211)))</formula>
    </cfRule>
    <cfRule type="containsText" dxfId="3" priority="694" operator="between" text="欠">
      <formula>NOT(ISERROR(SEARCH("欠",S211)))</formula>
    </cfRule>
  </conditionalFormatting>
  <conditionalFormatting sqref="S233:S234">
    <cfRule type="containsText" dxfId="0" priority="401" operator="between" text="欠">
      <formula>NOT(ISERROR(SEARCH("欠",S233)))</formula>
    </cfRule>
    <cfRule type="containsText" dxfId="3" priority="396" operator="between" text="欠">
      <formula>NOT(ISERROR(SEARCH("欠",S233)))</formula>
    </cfRule>
  </conditionalFormatting>
  <conditionalFormatting sqref="T2:T8">
    <cfRule type="cellIs" dxfId="0" priority="2388" operator="equal">
      <formula>"欠"</formula>
    </cfRule>
    <cfRule type="containsText" dxfId="0" priority="2386" operator="between" text="欠">
      <formula>NOT(ISERROR(SEARCH("欠",T2)))</formula>
    </cfRule>
  </conditionalFormatting>
  <conditionalFormatting sqref="T34:T36">
    <cfRule type="containsText" dxfId="0" priority="2127" operator="between" text="欠">
      <formula>NOT(ISERROR(SEARCH("欠",T34)))</formula>
    </cfRule>
    <cfRule type="cellIs" dxfId="0" priority="2128" operator="equal">
      <formula>"欠"</formula>
    </cfRule>
  </conditionalFormatting>
  <conditionalFormatting sqref="T56:T57">
    <cfRule type="containsText" dxfId="0" priority="1863" operator="between" text="欠">
      <formula>NOT(ISERROR(SEARCH("欠",T56)))</formula>
    </cfRule>
    <cfRule type="cellIs" dxfId="0" priority="1864" operator="equal">
      <formula>"欠"</formula>
    </cfRule>
  </conditionalFormatting>
  <conditionalFormatting sqref="T71:T72">
    <cfRule type="containsText" dxfId="3" priority="1602" operator="between" text="欠">
      <formula>NOT(ISERROR(SEARCH("欠",T71)))</formula>
    </cfRule>
  </conditionalFormatting>
  <conditionalFormatting sqref="T80:T90">
    <cfRule type="containsText" dxfId="3" priority="1487" operator="between" text="欠">
      <formula>NOT(ISERROR(SEARCH("欠",T80)))</formula>
    </cfRule>
  </conditionalFormatting>
  <conditionalFormatting sqref="T88:T89">
    <cfRule type="containsText" dxfId="0" priority="1521" operator="between" text="欠">
      <formula>NOT(ISERROR(SEARCH("欠",T88)))</formula>
    </cfRule>
    <cfRule type="cellIs" dxfId="0" priority="1522" operator="equal">
      <formula>"欠"</formula>
    </cfRule>
  </conditionalFormatting>
  <conditionalFormatting sqref="T107:T123">
    <cfRule type="containsText" dxfId="3" priority="1273" operator="between" text="欠">
      <formula>NOT(ISERROR(SEARCH("欠",T107)))</formula>
    </cfRule>
  </conditionalFormatting>
  <conditionalFormatting sqref="T114:T119">
    <cfRule type="containsText" dxfId="0" priority="1354" operator="between" text="欠">
      <formula>NOT(ISERROR(SEARCH("欠",T114)))</formula>
    </cfRule>
    <cfRule type="cellIs" dxfId="0" priority="1355" operator="equal">
      <formula>"欠"</formula>
    </cfRule>
  </conditionalFormatting>
  <conditionalFormatting sqref="T137:T140">
    <cfRule type="containsText" dxfId="3" priority="1153" operator="between" text="欠">
      <formula>NOT(ISERROR(SEARCH("欠",T137)))</formula>
    </cfRule>
    <cfRule type="containsText" dxfId="0" priority="1155" operator="between" text="欠">
      <formula>NOT(ISERROR(SEARCH("欠",T137)))</formula>
    </cfRule>
    <cfRule type="cellIs" dxfId="0" priority="1156" operator="equal">
      <formula>"欠"</formula>
    </cfRule>
  </conditionalFormatting>
  <conditionalFormatting sqref="T138:T140">
    <cfRule type="containsText" dxfId="0" priority="1162" operator="between" text="欠">
      <formula>NOT(ISERROR(SEARCH("欠",T138)))</formula>
    </cfRule>
    <cfRule type="cellIs" dxfId="0" priority="1163" operator="equal">
      <formula>"欠"</formula>
    </cfRule>
  </conditionalFormatting>
  <conditionalFormatting sqref="T141:T142">
    <cfRule type="containsText" dxfId="3" priority="1135" operator="between" text="欠">
      <formula>NOT(ISERROR(SEARCH("欠",T141)))</formula>
    </cfRule>
    <cfRule type="containsText" dxfId="0" priority="1145" operator="between" text="欠">
      <formula>NOT(ISERROR(SEARCH("欠",T141)))</formula>
    </cfRule>
    <cfRule type="cellIs" dxfId="0" priority="1146" operator="equal">
      <formula>"欠"</formula>
    </cfRule>
  </conditionalFormatting>
  <conditionalFormatting sqref="T143:T145">
    <cfRule type="containsText" dxfId="3" priority="824" operator="between" text="欠">
      <formula>NOT(ISERROR(SEARCH("欠",T143)))</formula>
    </cfRule>
    <cfRule type="containsText" dxfId="0" priority="836" operator="between" text="欠">
      <formula>NOT(ISERROR(SEARCH("欠",T143)))</formula>
    </cfRule>
    <cfRule type="cellIs" dxfId="0" priority="837" operator="equal">
      <formula>"欠"</formula>
    </cfRule>
  </conditionalFormatting>
  <conditionalFormatting sqref="T147:T148">
    <cfRule type="containsText" dxfId="3" priority="804" operator="between" text="欠">
      <formula>NOT(ISERROR(SEARCH("欠",T147)))</formula>
    </cfRule>
  </conditionalFormatting>
  <conditionalFormatting sqref="T149:T151">
    <cfRule type="containsText" dxfId="3" priority="780" operator="between" text="欠">
      <formula>NOT(ISERROR(SEARCH("欠",T149)))</formula>
    </cfRule>
  </conditionalFormatting>
  <conditionalFormatting sqref="T152:T154">
    <cfRule type="containsText" dxfId="3" priority="765" operator="between" text="欠">
      <formula>NOT(ISERROR(SEARCH("欠",T152)))</formula>
    </cfRule>
    <cfRule type="containsText" dxfId="0" priority="775" operator="between" text="欠">
      <formula>NOT(ISERROR(SEARCH("欠",T152)))</formula>
    </cfRule>
    <cfRule type="cellIs" dxfId="0" priority="776" operator="equal">
      <formula>"欠"</formula>
    </cfRule>
  </conditionalFormatting>
  <conditionalFormatting sqref="T156:T157">
    <cfRule type="containsText" dxfId="0" priority="1129" operator="between" text="欠">
      <formula>NOT(ISERROR(SEARCH("欠",T156)))</formula>
    </cfRule>
    <cfRule type="cellIs" dxfId="0" priority="1130" operator="equal">
      <formula>"欠"</formula>
    </cfRule>
  </conditionalFormatting>
  <conditionalFormatting sqref="T156:T159">
    <cfRule type="containsText" dxfId="3" priority="1105" operator="between" text="欠">
      <formula>NOT(ISERROR(SEARCH("欠",T156)))</formula>
    </cfRule>
  </conditionalFormatting>
  <conditionalFormatting sqref="T158:T159">
    <cfRule type="containsText" dxfId="0" priority="1132" operator="between" text="欠">
      <formula>NOT(ISERROR(SEARCH("欠",T158)))</formula>
    </cfRule>
    <cfRule type="cellIs" dxfId="0" priority="1133" operator="equal">
      <formula>"欠"</formula>
    </cfRule>
  </conditionalFormatting>
  <conditionalFormatting sqref="T160:T162">
    <cfRule type="containsText" dxfId="3" priority="1089" operator="between" text="欠">
      <formula>NOT(ISERROR(SEARCH("欠",T160)))</formula>
    </cfRule>
  </conditionalFormatting>
  <conditionalFormatting sqref="T163:T165">
    <cfRule type="containsText" dxfId="3" priority="1068" operator="between" text="欠">
      <formula>NOT(ISERROR(SEARCH("欠",T163)))</formula>
    </cfRule>
    <cfRule type="containsText" dxfId="0" priority="1070" operator="between" text="欠">
      <formula>NOT(ISERROR(SEARCH("欠",T163)))</formula>
    </cfRule>
    <cfRule type="cellIs" dxfId="0" priority="1071" operator="equal">
      <formula>"欠"</formula>
    </cfRule>
  </conditionalFormatting>
  <conditionalFormatting sqref="T166:T169">
    <cfRule type="containsText" dxfId="3" priority="1049" operator="between" text="欠">
      <formula>NOT(ISERROR(SEARCH("欠",T166)))</formula>
    </cfRule>
    <cfRule type="containsText" dxfId="0" priority="1061" operator="between" text="欠">
      <formula>NOT(ISERROR(SEARCH("欠",T166)))</formula>
    </cfRule>
    <cfRule type="cellIs" dxfId="0" priority="1062" operator="equal">
      <formula>"欠"</formula>
    </cfRule>
  </conditionalFormatting>
  <conditionalFormatting sqref="T170:T172">
    <cfRule type="containsText" dxfId="3" priority="1028" operator="between" text="欠">
      <formula>NOT(ISERROR(SEARCH("欠",T170)))</formula>
    </cfRule>
  </conditionalFormatting>
  <conditionalFormatting sqref="T173:T175">
    <cfRule type="containsText" dxfId="0" priority="1005" operator="between" text="欠">
      <formula>NOT(ISERROR(SEARCH("欠",T173)))</formula>
    </cfRule>
    <cfRule type="cellIs" dxfId="0" priority="1006" operator="equal">
      <formula>"欠"</formula>
    </cfRule>
  </conditionalFormatting>
  <conditionalFormatting sqref="T173:T176">
    <cfRule type="containsText" dxfId="3" priority="1003" operator="between" text="欠">
      <formula>NOT(ISERROR(SEARCH("欠",T173)))</formula>
    </cfRule>
  </conditionalFormatting>
  <conditionalFormatting sqref="T177:T181">
    <cfRule type="containsText" dxfId="3" priority="975" operator="between" text="欠">
      <formula>NOT(ISERROR(SEARCH("欠",T177)))</formula>
    </cfRule>
    <cfRule type="containsText" dxfId="0" priority="977" operator="between" text="欠">
      <formula>NOT(ISERROR(SEARCH("欠",T177)))</formula>
    </cfRule>
    <cfRule type="cellIs" dxfId="0" priority="978" operator="equal">
      <formula>"欠"</formula>
    </cfRule>
  </conditionalFormatting>
  <conditionalFormatting sqref="T182:T191">
    <cfRule type="containsText" dxfId="3" priority="944" operator="between" text="欠">
      <formula>NOT(ISERROR(SEARCH("欠",T182)))</formula>
    </cfRule>
  </conditionalFormatting>
  <conditionalFormatting sqref="T190:T191">
    <cfRule type="containsText" dxfId="0" priority="971" operator="between" text="欠">
      <formula>NOT(ISERROR(SEARCH("欠",T190)))</formula>
    </cfRule>
    <cfRule type="cellIs" dxfId="0" priority="972" operator="equal">
      <formula>"欠"</formula>
    </cfRule>
  </conditionalFormatting>
  <conditionalFormatting sqref="T192:T195">
    <cfRule type="containsText" dxfId="3" priority="925" operator="between" text="欠">
      <formula>NOT(ISERROR(SEARCH("欠",T192)))</formula>
    </cfRule>
    <cfRule type="containsText" dxfId="0" priority="927" operator="between" text="欠">
      <formula>NOT(ISERROR(SEARCH("欠",T192)))</formula>
    </cfRule>
    <cfRule type="cellIs" dxfId="0" priority="928" operator="equal">
      <formula>"欠"</formula>
    </cfRule>
  </conditionalFormatting>
  <conditionalFormatting sqref="T193:T195">
    <cfRule type="containsText" dxfId="0" priority="935" operator="between" text="欠">
      <formula>NOT(ISERROR(SEARCH("欠",T193)))</formula>
    </cfRule>
    <cfRule type="cellIs" dxfId="0" priority="936" operator="equal">
      <formula>"欠"</formula>
    </cfRule>
  </conditionalFormatting>
  <conditionalFormatting sqref="T197:T198">
    <cfRule type="containsText" dxfId="3" priority="882" operator="between" text="欠">
      <formula>NOT(ISERROR(SEARCH("欠",T197)))</formula>
    </cfRule>
    <cfRule type="containsText" dxfId="0" priority="884" operator="between" text="欠">
      <formula>NOT(ISERROR(SEARCH("欠",T197)))</formula>
    </cfRule>
    <cfRule type="cellIs" dxfId="0" priority="885" operator="equal">
      <formula>"欠"</formula>
    </cfRule>
  </conditionalFormatting>
  <conditionalFormatting sqref="T199:T202">
    <cfRule type="containsText" dxfId="3" priority="869" operator="between" text="欠">
      <formula>NOT(ISERROR(SEARCH("欠",T199)))</formula>
    </cfRule>
    <cfRule type="containsText" dxfId="0" priority="871" operator="between" text="欠">
      <formula>NOT(ISERROR(SEARCH("欠",T199)))</formula>
    </cfRule>
    <cfRule type="cellIs" dxfId="0" priority="872" operator="equal">
      <formula>"欠"</formula>
    </cfRule>
  </conditionalFormatting>
  <conditionalFormatting sqref="T211:T212">
    <cfRule type="cellIs" dxfId="0" priority="700" operator="equal">
      <formula>"欠"</formula>
    </cfRule>
    <cfRule type="containsText" dxfId="0" priority="699" operator="between" text="欠">
      <formula>NOT(ISERROR(SEARCH("欠",T211)))</formula>
    </cfRule>
  </conditionalFormatting>
  <conditionalFormatting sqref="T233:T234">
    <cfRule type="cellIs" dxfId="0" priority="405" operator="equal">
      <formula>"欠"</formula>
    </cfRule>
    <cfRule type="containsText" dxfId="0" priority="404" operator="between" text="欠">
      <formula>NOT(ISERROR(SEARCH("欠",T233)))</formula>
    </cfRule>
  </conditionalFormatting>
  <conditionalFormatting sqref="U207:U208">
    <cfRule type="containsText" dxfId="3" priority="728" operator="between" text="欠">
      <formula>NOT(ISERROR(SEARCH("欠",U207)))</formula>
    </cfRule>
  </conditionalFormatting>
  <conditionalFormatting sqref="U211:U212">
    <cfRule type="cellIs" dxfId="0" priority="698" operator="equal">
      <formula>"欠"</formula>
    </cfRule>
    <cfRule type="containsText" dxfId="0" priority="697" operator="between" text="欠">
      <formula>NOT(ISERROR(SEARCH("欠",U211)))</formula>
    </cfRule>
    <cfRule type="containsText" dxfId="3" priority="695" operator="between" text="欠">
      <formula>NOT(ISERROR(SEARCH("欠",U211)))</formula>
    </cfRule>
  </conditionalFormatting>
  <conditionalFormatting sqref="U233:U234">
    <cfRule type="cellIs" dxfId="0" priority="403" operator="equal">
      <formula>"欠"</formula>
    </cfRule>
    <cfRule type="containsText" dxfId="0" priority="402" operator="between" text="欠">
      <formula>NOT(ISERROR(SEARCH("欠",U233)))</formula>
    </cfRule>
    <cfRule type="containsText" dxfId="3" priority="397" operator="between" text="欠">
      <formula>NOT(ISERROR(SEARCH("欠",U233)))</formula>
    </cfRule>
  </conditionalFormatting>
  <conditionalFormatting sqref="AD56:AD57">
    <cfRule type="cellIs" dxfId="2" priority="1855" operator="equal">
      <formula>"未完成"</formula>
    </cfRule>
    <cfRule type="cellIs" dxfId="0" priority="1856" operator="equal">
      <formula>"未完成"</formula>
    </cfRule>
  </conditionalFormatting>
  <conditionalFormatting sqref="AE54:AE55">
    <cfRule type="cellIs" dxfId="0" priority="1877" operator="equal">
      <formula>"未完成"</formula>
    </cfRule>
  </conditionalFormatting>
  <conditionalFormatting sqref="AE73:AE74">
    <cfRule type="cellIs" dxfId="0" priority="1600" operator="equal">
      <formula>"未完成"</formula>
    </cfRule>
    <cfRule type="cellIs" dxfId="2" priority="1599" operator="equal">
      <formula>"未完成"</formula>
    </cfRule>
  </conditionalFormatting>
  <conditionalFormatting sqref="AF80:AF82">
    <cfRule type="cellIs" dxfId="0" priority="1517" operator="equal">
      <formula>"未完成"</formula>
    </cfRule>
  </conditionalFormatting>
  <conditionalFormatting sqref="AF137:AF140">
    <cfRule type="cellIs" dxfId="0" priority="1159" operator="equal">
      <formula>"未完成"</formula>
    </cfRule>
  </conditionalFormatting>
  <conditionalFormatting sqref="AF141:AF142">
    <cfRule type="cellIs" dxfId="0" priority="1149" operator="equal">
      <formula>"未完成"</formula>
    </cfRule>
  </conditionalFormatting>
  <conditionalFormatting sqref="AF150:AF151">
    <cfRule type="cellIs" dxfId="0" priority="802" operator="equal">
      <formula>"未完成"</formula>
    </cfRule>
  </conditionalFormatting>
  <conditionalFormatting sqref="AF173:AF176">
    <cfRule type="cellIs" dxfId="0" priority="1009" operator="equal">
      <formula>"未完成"</formula>
    </cfRule>
  </conditionalFormatting>
  <conditionalFormatting sqref="AF177:AF181">
    <cfRule type="cellIs" dxfId="0" priority="981" operator="equal">
      <formula>"未完成"</formula>
    </cfRule>
  </conditionalFormatting>
  <conditionalFormatting sqref="AF192:AF195">
    <cfRule type="cellIs" dxfId="0" priority="931" operator="equal">
      <formula>"未完成"</formula>
    </cfRule>
  </conditionalFormatting>
  <conditionalFormatting sqref="AF197:AF198">
    <cfRule type="cellIs" dxfId="0" priority="888" operator="equal">
      <formula>"未完成"</formula>
    </cfRule>
  </conditionalFormatting>
  <conditionalFormatting sqref="AF199:AF202">
    <cfRule type="cellIs" dxfId="0" priority="875" operator="equal">
      <formula>"未完成"</formula>
    </cfRule>
  </conditionalFormatting>
  <conditionalFormatting sqref="AG233:AG234">
    <cfRule type="cellIs" dxfId="0" priority="406" operator="equal">
      <formula>"未完成"</formula>
    </cfRule>
  </conditionalFormatting>
  <conditionalFormatting sqref="AH56:AH57">
    <cfRule type="cellIs" dxfId="0" priority="1868" operator="equal">
      <formula>"未完成"</formula>
    </cfRule>
  </conditionalFormatting>
  <conditionalFormatting sqref="AH60:AH62">
    <cfRule type="cellIs" dxfId="0" priority="1812" operator="equal">
      <formula>"未完成"</formula>
    </cfRule>
  </conditionalFormatting>
  <conditionalFormatting sqref="AI73:AI74">
    <cfRule type="cellIs" dxfId="0" priority="1585" operator="equal">
      <formula>"未完成"</formula>
    </cfRule>
  </conditionalFormatting>
  <conditionalFormatting sqref="AJ80:AJ82">
    <cfRule type="cellIs" dxfId="2" priority="1518" operator="equal">
      <formula>"未完成"</formula>
    </cfRule>
    <cfRule type="cellIs" dxfId="0" priority="1519" operator="equal">
      <formula>"未完成"</formula>
    </cfRule>
  </conditionalFormatting>
  <conditionalFormatting sqref="AJ137:AJ140">
    <cfRule type="cellIs" dxfId="2" priority="1160" operator="equal">
      <formula>"未完成"</formula>
    </cfRule>
    <cfRule type="cellIs" dxfId="0" priority="1161" operator="equal">
      <formula>"未完成"</formula>
    </cfRule>
  </conditionalFormatting>
  <conditionalFormatting sqref="AJ141:AJ142">
    <cfRule type="cellIs" dxfId="2" priority="1150" operator="equal">
      <formula>"未完成"</formula>
    </cfRule>
    <cfRule type="cellIs" dxfId="0" priority="1151" operator="equal">
      <formula>"未完成"</formula>
    </cfRule>
  </conditionalFormatting>
  <conditionalFormatting sqref="AJ173:AJ176">
    <cfRule type="cellIs" dxfId="2" priority="1010" operator="equal">
      <formula>"未完成"</formula>
    </cfRule>
    <cfRule type="cellIs" dxfId="0" priority="1011" operator="equal">
      <formula>"未完成"</formula>
    </cfRule>
  </conditionalFormatting>
  <conditionalFormatting sqref="AJ177:AJ181">
    <cfRule type="cellIs" dxfId="2" priority="982" operator="equal">
      <formula>"未完成"</formula>
    </cfRule>
    <cfRule type="cellIs" dxfId="0" priority="983" operator="equal">
      <formula>"未完成"</formula>
    </cfRule>
  </conditionalFormatting>
  <conditionalFormatting sqref="AJ192:AJ195">
    <cfRule type="cellIs" dxfId="2" priority="932" operator="equal">
      <formula>"未完成"</formula>
    </cfRule>
    <cfRule type="cellIs" dxfId="0" priority="933" operator="equal">
      <formula>"未完成"</formula>
    </cfRule>
  </conditionalFormatting>
  <conditionalFormatting sqref="AJ197:AJ198">
    <cfRule type="cellIs" dxfId="2" priority="889" operator="equal">
      <formula>"未完成"</formula>
    </cfRule>
    <cfRule type="cellIs" dxfId="0" priority="890" operator="equal">
      <formula>"未完成"</formula>
    </cfRule>
  </conditionalFormatting>
  <conditionalFormatting sqref="AJ199:AJ202">
    <cfRule type="cellIs" dxfId="2" priority="876" operator="equal">
      <formula>"未完成"</formula>
    </cfRule>
    <cfRule type="cellIs" dxfId="0" priority="877" operator="equal">
      <formula>"未完成"</formula>
    </cfRule>
  </conditionalFormatting>
  <conditionalFormatting sqref="AK2:AK8">
    <cfRule type="cellIs" dxfId="0" priority="2419" operator="equal">
      <formula>"未完成"</formula>
    </cfRule>
    <cfRule type="cellIs" dxfId="2" priority="2418" operator="equal">
      <formula>"未完成"</formula>
    </cfRule>
  </conditionalFormatting>
  <conditionalFormatting sqref="AK233:AK234">
    <cfRule type="cellIs" dxfId="0" priority="408" operator="equal">
      <formula>"未完成"</formula>
    </cfRule>
    <cfRule type="cellIs" dxfId="2" priority="407" operator="equal">
      <formula>"未完成"</formula>
    </cfRule>
  </conditionalFormatting>
  <conditionalFormatting sqref="R38 T38">
    <cfRule type="containsText" dxfId="3" priority="2095" operator="between" text="欠">
      <formula>NOT(ISERROR(SEARCH("欠",R38)))</formula>
    </cfRule>
  </conditionalFormatting>
  <conditionalFormatting sqref="R39 T39">
    <cfRule type="containsText" dxfId="3" priority="2076" operator="between" text="欠">
      <formula>NOT(ISERROR(SEARCH("欠",R39)))</formula>
    </cfRule>
  </conditionalFormatting>
  <conditionalFormatting sqref="R40 T40">
    <cfRule type="containsText" dxfId="3" priority="2058" operator="between" text="欠">
      <formula>NOT(ISERROR(SEARCH("欠",R40)))</formula>
    </cfRule>
  </conditionalFormatting>
  <conditionalFormatting sqref="R41 T41">
    <cfRule type="containsText" dxfId="3" priority="2042" operator="between" text="欠">
      <formula>NOT(ISERROR(SEARCH("欠",R41)))</formula>
    </cfRule>
  </conditionalFormatting>
  <conditionalFormatting sqref="R43 T43">
    <cfRule type="containsText" dxfId="3" priority="2014" operator="between" text="欠">
      <formula>NOT(ISERROR(SEARCH("欠",R43)))</formula>
    </cfRule>
  </conditionalFormatting>
  <conditionalFormatting sqref="R44 T44">
    <cfRule type="containsText" dxfId="3" priority="1997" operator="between" text="欠">
      <formula>NOT(ISERROR(SEARCH("欠",R44)))</formula>
    </cfRule>
  </conditionalFormatting>
  <conditionalFormatting sqref="R45 T45">
    <cfRule type="containsText" dxfId="3" priority="1982" operator="between" text="欠">
      <formula>NOT(ISERROR(SEARCH("欠",R45)))</formula>
    </cfRule>
  </conditionalFormatting>
  <conditionalFormatting sqref="R47 T47">
    <cfRule type="containsText" dxfId="3" priority="1959" operator="between" text="欠">
      <formula>NOT(ISERROR(SEARCH("欠",R47)))</formula>
    </cfRule>
  </conditionalFormatting>
  <conditionalFormatting sqref="R50 T50">
    <cfRule type="containsText" dxfId="3" priority="1924" operator="between" text="欠">
      <formula>NOT(ISERROR(SEARCH("欠",R50)))</formula>
    </cfRule>
  </conditionalFormatting>
  <conditionalFormatting sqref="R51 T51">
    <cfRule type="containsText" dxfId="3" priority="1905" operator="between" text="欠">
      <formula>NOT(ISERROR(SEARCH("欠",R51)))</formula>
    </cfRule>
  </conditionalFormatting>
  <conditionalFormatting sqref="R52 T52">
    <cfRule type="containsText" dxfId="3" priority="1890" operator="between" text="欠">
      <formula>NOT(ISERROR(SEARCH("欠",R52)))</formula>
    </cfRule>
  </conditionalFormatting>
  <conditionalFormatting sqref="R56:R57 T56:T57">
    <cfRule type="containsText" dxfId="3" priority="1853" operator="between" text="欠">
      <formula>NOT(ISERROR(SEARCH("欠",R56)))</formula>
    </cfRule>
  </conditionalFormatting>
  <conditionalFormatting sqref="R58 T58">
    <cfRule type="containsText" dxfId="3" priority="1845" operator="between" text="欠">
      <formula>NOT(ISERROR(SEARCH("欠",R58)))</formula>
    </cfRule>
  </conditionalFormatting>
  <conditionalFormatting sqref="R60:R62 T60:T62">
    <cfRule type="containsText" dxfId="3" priority="1810" operator="between" text="欠">
      <formula>NOT(ISERROR(SEARCH("欠",R60)))</formula>
    </cfRule>
  </conditionalFormatting>
  <conditionalFormatting sqref="R64 T64">
    <cfRule type="containsText" dxfId="3" priority="1788" operator="between" text="欠">
      <formula>NOT(ISERROR(SEARCH("欠",R64)))</formula>
    </cfRule>
  </conditionalFormatting>
  <conditionalFormatting sqref="R69 T69">
    <cfRule type="containsText" dxfId="3" priority="1612" operator="between" text="欠">
      <formula>NOT(ISERROR(SEARCH("欠",R69)))</formula>
    </cfRule>
  </conditionalFormatting>
  <conditionalFormatting sqref="R73:R74 T73:U74">
    <cfRule type="containsText" dxfId="3" priority="1583" operator="between" text="欠">
      <formula>NOT(ISERROR(SEARCH("欠",R73)))</formula>
    </cfRule>
  </conditionalFormatting>
  <conditionalFormatting sqref="T73:U74">
    <cfRule type="cellIs" dxfId="0" priority="1598" operator="equal">
      <formula>"欠"</formula>
    </cfRule>
    <cfRule type="containsText" dxfId="0" priority="1597" operator="between" text="欠">
      <formula>NOT(ISERROR(SEARCH("欠",T73)))</formula>
    </cfRule>
  </conditionalFormatting>
  <conditionalFormatting sqref="R75 T75:U75">
    <cfRule type="containsText" dxfId="3" priority="1574" operator="between" text="欠">
      <formula>NOT(ISERROR(SEARCH("欠",R75)))</formula>
    </cfRule>
  </conditionalFormatting>
  <conditionalFormatting sqref="R107:R110 R113">
    <cfRule type="containsText" dxfId="0" priority="1334" operator="between" text="欠">
      <formula>NOT(ISERROR(SEARCH("欠",R107)))</formula>
    </cfRule>
  </conditionalFormatting>
  <conditionalFormatting sqref="S107:S108 S110 S113">
    <cfRule type="containsText" dxfId="0" priority="1337" operator="between" text="欠">
      <formula>NOT(ISERROR(SEARCH("欠",S107)))</formula>
    </cfRule>
    <cfRule type="cellIs" dxfId="0" priority="1338" operator="equal">
      <formula>"欠"</formula>
    </cfRule>
  </conditionalFormatting>
  <conditionalFormatting sqref="T107:T110 T113">
    <cfRule type="containsText" dxfId="0" priority="1335" operator="between" text="欠">
      <formula>NOT(ISERROR(SEARCH("欠",T107)))</formula>
    </cfRule>
    <cfRule type="cellIs" dxfId="0" priority="1336" operator="equal">
      <formula>"欠"</formula>
    </cfRule>
  </conditionalFormatting>
  <conditionalFormatting sqref="R124 R126:R132">
    <cfRule type="containsText" dxfId="3" priority="1225" operator="between" text="欠">
      <formula>NOT(ISERROR(SEARCH("欠",R124)))</formula>
    </cfRule>
  </conditionalFormatting>
  <conditionalFormatting sqref="S124 S126:S129">
    <cfRule type="cellIs" dxfId="0" priority="1248" operator="equal">
      <formula>"欠"</formula>
    </cfRule>
  </conditionalFormatting>
  <conditionalFormatting sqref="T124 T126:T130">
    <cfRule type="containsText" dxfId="0" priority="1246" operator="between" text="欠">
      <formula>NOT(ISERROR(SEARCH("欠",T124)))</formula>
    </cfRule>
    <cfRule type="cellIs" dxfId="0" priority="1247" operator="equal">
      <formula>"欠"</formula>
    </cfRule>
  </conditionalFormatting>
  <conditionalFormatting sqref="T124 T126:T132">
    <cfRule type="containsText" dxfId="3" priority="1226" operator="between" text="欠">
      <formula>NOT(ISERROR(SEARCH("欠",T124)))</formula>
    </cfRule>
  </conditionalFormatting>
  <conditionalFormatting sqref="S183:S185 S188:S189">
    <cfRule type="cellIs" dxfId="0" priority="973" operator="equal">
      <formula>"欠"</formula>
    </cfRule>
  </conditionalFormatting>
  <conditionalFormatting sqref="S185:S187 S191">
    <cfRule type="containsText" dxfId="0" priority="956" operator="between" text="欠">
      <formula>NOT(ISERROR(SEARCH("欠",S185)))</formula>
    </cfRule>
    <cfRule type="cellIs" dxfId="0" priority="957" operator="equal">
      <formula>"欠"</formula>
    </cfRule>
  </conditionalFormatting>
  <conditionalFormatting sqref="R217 T217:U217">
    <cfRule type="containsText" dxfId="3" priority="637" operator="between" text="欠">
      <formula>NOT(ISERROR(SEARCH("欠",R217)))</formula>
    </cfRule>
  </conditionalFormatting>
  <conditionalFormatting sqref="R218 T218:U218">
    <cfRule type="containsText" dxfId="3" priority="624" operator="between" text="欠">
      <formula>NOT(ISERROR(SEARCH("欠",R218)))</formula>
    </cfRule>
  </conditionalFormatting>
  <conditionalFormatting sqref="R220 T220:U220">
    <cfRule type="containsText" dxfId="3" priority="601" operator="between" text="欠">
      <formula>NOT(ISERROR(SEARCH("欠",R220)))</formula>
    </cfRule>
  </conditionalFormatting>
  <conditionalFormatting sqref="R222 T222:U222">
    <cfRule type="containsText" dxfId="3" priority="564" operator="between" text="欠">
      <formula>NOT(ISERROR(SEARCH("欠",R222)))</formula>
    </cfRule>
  </conditionalFormatting>
  <conditionalFormatting sqref="R225 T225:U225">
    <cfRule type="containsText" dxfId="3" priority="521" operator="between" text="欠">
      <formula>NOT(ISERROR(SEARCH("欠",R225)))</formula>
    </cfRule>
  </conditionalFormatting>
  <conditionalFormatting sqref="R226 T226:U226">
    <cfRule type="containsText" dxfId="3" priority="506" operator="between" text="欠">
      <formula>NOT(ISERROR(SEARCH("欠",R226)))</formula>
    </cfRule>
  </conditionalFormatting>
  <conditionalFormatting sqref="R227 T227:U227">
    <cfRule type="containsText" dxfId="0" priority="500" operator="between" text="欠">
      <formula>NOT(ISERROR(SEARCH("欠",R227)))</formula>
    </cfRule>
    <cfRule type="containsText" dxfId="3" priority="476" operator="between" text="欠">
      <formula>NOT(ISERROR(SEARCH("欠",R227)))</formula>
    </cfRule>
  </conditionalFormatting>
  <conditionalFormatting sqref="R230 T230:U230">
    <cfRule type="containsText" dxfId="3" priority="437" operator="between" text="欠">
      <formula>NOT(ISERROR(SEARCH("欠",R230)))</formula>
    </cfRule>
  </conditionalFormatting>
  <conditionalFormatting sqref="R231 T231:U231">
    <cfRule type="containsText" dxfId="0" priority="436" operator="between" text="欠">
      <formula>NOT(ISERROR(SEARCH("欠",R231)))</formula>
    </cfRule>
    <cfRule type="containsText" dxfId="3" priority="420" operator="between" text="欠">
      <formula>NOT(ISERROR(SEARCH("欠",R231)))</formula>
    </cfRule>
  </conditionalFormatting>
  <conditionalFormatting sqref="R237 T237:U237">
    <cfRule type="containsText" dxfId="3" priority="363" operator="between" text="欠">
      <formula>NOT(ISERROR(SEARCH("欠",R237)))</formula>
    </cfRule>
  </conditionalFormatting>
  <conditionalFormatting sqref="R238 T238:U238">
    <cfRule type="containsText" dxfId="3" priority="347" operator="between" text="欠">
      <formula>NOT(ISERROR(SEARCH("欠",R238)))</formula>
    </cfRule>
  </conditionalFormatting>
  <conditionalFormatting sqref="R240 T240:U240">
    <cfRule type="containsText" dxfId="3" priority="312" operator="between" text="欠">
      <formula>NOT(ISERROR(SEARCH("欠",R240)))</formula>
    </cfRule>
  </conditionalFormatting>
  <conditionalFormatting sqref="R242 T242:U242">
    <cfRule type="containsText" dxfId="3" priority="289" operator="between" text="欠">
      <formula>NOT(ISERROR(SEARCH("欠",R242)))</formula>
    </cfRule>
  </conditionalFormatting>
  <conditionalFormatting sqref="R250:U250 W250">
    <cfRule type="cellIs" dxfId="0" priority="223" operator="equal">
      <formula>"欠"</formula>
    </cfRule>
  </conditionalFormatting>
  <conditionalFormatting sqref="R250 T250:U250">
    <cfRule type="containsText" dxfId="0" priority="222" operator="between" text="欠">
      <formula>NOT(ISERROR(SEARCH("欠",R250)))</formula>
    </cfRule>
    <cfRule type="containsText" dxfId="3" priority="214" operator="between" text="欠">
      <formula>NOT(ISERROR(SEARCH("欠",R250)))</formula>
    </cfRule>
  </conditionalFormatting>
  <conditionalFormatting sqref="R251 T251:U251">
    <cfRule type="containsText" dxfId="0" priority="210" operator="between" text="欠">
      <formula>NOT(ISERROR(SEARCH("欠",R251)))</formula>
    </cfRule>
    <cfRule type="containsText" dxfId="3" priority="201" operator="between" text="欠">
      <formula>NOT(ISERROR(SEARCH("欠",R251)))</formula>
    </cfRule>
  </conditionalFormatting>
  <conditionalFormatting sqref="R253 T253:W253">
    <cfRule type="cellIs" dxfId="0" priority="188" operator="equal">
      <formula>"欠"</formula>
    </cfRule>
  </conditionalFormatting>
  <conditionalFormatting sqref="R253 T253:U253">
    <cfRule type="containsText" dxfId="3" priority="170" operator="between" text="欠">
      <formula>NOT(ISERROR(SEARCH("欠",R253)))</formula>
    </cfRule>
  </conditionalFormatting>
  <conditionalFormatting sqref="R255 T255:U255">
    <cfRule type="containsText" dxfId="3" priority="143" operator="between" text="欠">
      <formula>NOT(ISERROR(SEARCH("欠",R255)))</formula>
    </cfRule>
  </conditionalFormatting>
  <conditionalFormatting sqref="R258 T258:W258">
    <cfRule type="cellIs" dxfId="0" priority="119" operator="equal">
      <formula>"欠"</formula>
    </cfRule>
  </conditionalFormatting>
  <conditionalFormatting sqref="R258 T258:U258">
    <cfRule type="containsText" dxfId="0" priority="118" operator="between" text="欠">
      <formula>NOT(ISERROR(SEARCH("欠",R258)))</formula>
    </cfRule>
    <cfRule type="containsText" dxfId="3" priority="99" operator="between" text="欠">
      <formula>NOT(ISERROR(SEARCH("欠",R258)))</formula>
    </cfRule>
  </conditionalFormatting>
  <conditionalFormatting sqref="R259 T259:U259">
    <cfRule type="containsText" dxfId="0" priority="95" operator="between" text="欠">
      <formula>NOT(ISERROR(SEARCH("欠",R259)))</formula>
    </cfRule>
    <cfRule type="containsText" dxfId="3" priority="84" operator="between" text="欠">
      <formula>NOT(ISERROR(SEARCH("欠",R259)))</formula>
    </cfRule>
  </conditionalFormatting>
  <conditionalFormatting sqref="R264 T264:U264">
    <cfRule type="containsText" dxfId="3" priority="38" operator="between" text="欠">
      <formula>NOT(ISERROR(SEARCH("欠",R264)))</formula>
    </cfRule>
  </conditionalFormatting>
  <conditionalFormatting sqref="R268 T268:U268">
    <cfRule type="containsText" dxfId="3" priority="1" operator="between" text="欠">
      <formula>NOT(ISERROR(SEARCH("欠",R268)))</formula>
    </cfRule>
  </conditionalFormatting>
  <dataValidations count="1">
    <dataValidation type="list" allowBlank="1" showInputMessage="1" showErrorMessage="1" sqref="AG29 AG33 AG37 AJ58">
      <formula1>"未完成,已完成,OK"</formula1>
    </dataValidation>
  </dataValidations>
  <hyperlinks>
    <hyperlink ref="X49" r:id="rId3" display="jessi@zuru.com" tooltip="mailto:jessi@zuru.com"/>
    <hyperlink ref="X50" r:id="rId3" display="jessi@zuru.com" tooltip="mailto:jessi@zuru.com"/>
    <hyperlink ref="B66" r:id="rId4" display="BOL.COM" tooltip="BOL.COM"/>
    <hyperlink ref="B69" r:id="rId4" display="BOL.COM" tooltip="BOL.COM"/>
    <hyperlink ref="Y240" r:id="rId3" display="jessi@zuru.com" tooltip="mailto:jessi@zuru.com"/>
  </hyperlinks>
  <pageMargins left="0.75" right="0.75" top="1" bottom="1" header="0.5" footer="0.5"/>
  <pageSetup paperSize="9" orientation="portrait"/>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T190"/>
  <sheetViews>
    <sheetView zoomScale="85" zoomScaleNormal="85" workbookViewId="0">
      <pane xSplit="8" ySplit="2" topLeftCell="J155" activePane="bottomRight" state="frozen"/>
      <selection/>
      <selection pane="topRight"/>
      <selection pane="bottomLeft"/>
      <selection pane="bottomRight" activeCell="D165" sqref="D165:D168"/>
    </sheetView>
  </sheetViews>
  <sheetFormatPr defaultColWidth="9" defaultRowHeight="13.5"/>
  <cols>
    <col min="1" max="1" width="11.1166666666667" style="184" customWidth="1"/>
    <col min="2" max="2" width="11.95" style="184" customWidth="1"/>
    <col min="3" max="3" width="18.0333333333333" style="184" customWidth="1"/>
    <col min="4" max="4" width="13.7416666666667" style="184" customWidth="1"/>
    <col min="5" max="5" width="7.78333333333333" style="184" customWidth="1"/>
    <col min="6" max="7" width="5.86666666666667" style="184" customWidth="1"/>
    <col min="8" max="8" width="6.66666666666667" style="184" customWidth="1"/>
    <col min="9" max="9" width="8.88333333333333" style="184" customWidth="1"/>
    <col min="10" max="14" width="7.75833333333333" style="184" customWidth="1"/>
    <col min="15" max="15" width="9.16666666666667" style="184" customWidth="1"/>
    <col min="16" max="16" width="9.025" style="184" customWidth="1"/>
    <col min="17" max="17" width="10.025" style="184" customWidth="1"/>
    <col min="18" max="18" width="8.43333333333333" style="184" customWidth="1"/>
    <col min="19" max="19" width="7.56666666666667" style="184" customWidth="1"/>
    <col min="20" max="26" width="9.00833333333333" style="184" customWidth="1"/>
    <col min="27" max="35" width="6.71666666666667" style="184" customWidth="1"/>
    <col min="36" max="38" width="7.525" style="184" customWidth="1"/>
    <col min="39" max="39" width="83.2666666666667" style="184" customWidth="1"/>
    <col min="40" max="72" width="9" style="182"/>
    <col min="73" max="16384" width="9" style="184"/>
  </cols>
  <sheetData>
    <row r="1" ht="34" customHeight="1" spans="1:39">
      <c r="A1" s="187"/>
      <c r="B1" s="187"/>
      <c r="C1" s="187"/>
      <c r="D1" s="187"/>
      <c r="E1" s="187" t="s">
        <v>7472</v>
      </c>
      <c r="F1" s="187"/>
      <c r="G1" s="187"/>
      <c r="H1" s="187"/>
      <c r="I1" s="187"/>
      <c r="J1" s="187"/>
      <c r="K1" s="187"/>
      <c r="L1" s="187"/>
      <c r="M1" s="187"/>
      <c r="N1" s="187"/>
      <c r="O1" s="187"/>
      <c r="P1" s="187"/>
      <c r="Q1" s="187"/>
      <c r="R1" s="187"/>
      <c r="S1" s="187"/>
      <c r="T1" s="187"/>
      <c r="U1" s="187"/>
      <c r="V1" s="187"/>
      <c r="W1" s="187"/>
      <c r="X1" s="187"/>
      <c r="Y1" s="187"/>
      <c r="Z1" s="187"/>
      <c r="AA1" s="237"/>
      <c r="AB1" s="237"/>
      <c r="AC1" s="237"/>
      <c r="AD1" s="237"/>
      <c r="AE1" s="237"/>
      <c r="AF1" s="237"/>
      <c r="AG1" s="237"/>
      <c r="AH1" s="237"/>
      <c r="AI1" s="237"/>
      <c r="AJ1" s="187"/>
      <c r="AK1" s="187"/>
      <c r="AL1" s="187"/>
      <c r="AM1" s="187"/>
    </row>
    <row r="2" ht="60" customHeight="1" spans="1:39">
      <c r="A2" s="238" t="s">
        <v>7473</v>
      </c>
      <c r="B2" s="238" t="s">
        <v>7474</v>
      </c>
      <c r="C2" s="238" t="s">
        <v>7475</v>
      </c>
      <c r="D2" s="238" t="s">
        <v>7476</v>
      </c>
      <c r="E2" s="238" t="s">
        <v>7477</v>
      </c>
      <c r="F2" s="238" t="s">
        <v>7478</v>
      </c>
      <c r="G2" s="238" t="s">
        <v>7479</v>
      </c>
      <c r="H2" s="238" t="s">
        <v>7480</v>
      </c>
      <c r="I2" s="239" t="s">
        <v>7481</v>
      </c>
      <c r="J2" s="240" t="s">
        <v>7482</v>
      </c>
      <c r="K2" s="241" t="s">
        <v>7483</v>
      </c>
      <c r="L2" s="240" t="s">
        <v>7484</v>
      </c>
      <c r="M2" s="240" t="s">
        <v>44</v>
      </c>
      <c r="N2" s="240" t="s">
        <v>45</v>
      </c>
      <c r="O2" s="242" t="s">
        <v>7485</v>
      </c>
      <c r="P2" s="239" t="s">
        <v>7486</v>
      </c>
      <c r="Q2" s="243" t="s">
        <v>7487</v>
      </c>
      <c r="R2" s="244" t="s">
        <v>7488</v>
      </c>
      <c r="S2" s="245" t="s">
        <v>7489</v>
      </c>
      <c r="T2" s="244" t="s">
        <v>7490</v>
      </c>
      <c r="U2" s="246" t="s">
        <v>7491</v>
      </c>
      <c r="V2" s="245" t="s">
        <v>7492</v>
      </c>
      <c r="W2" s="247" t="s">
        <v>68</v>
      </c>
      <c r="X2" s="247" t="s">
        <v>7493</v>
      </c>
      <c r="Y2" s="248" t="s">
        <v>69</v>
      </c>
      <c r="Z2" s="247" t="s">
        <v>7494</v>
      </c>
      <c r="AA2" s="247" t="s">
        <v>71</v>
      </c>
      <c r="AB2" s="249" t="s">
        <v>7495</v>
      </c>
      <c r="AC2" s="249" t="s">
        <v>7496</v>
      </c>
      <c r="AD2" s="240" t="s">
        <v>7497</v>
      </c>
      <c r="AE2" s="249" t="s">
        <v>7498</v>
      </c>
      <c r="AF2" s="240" t="s">
        <v>7499</v>
      </c>
      <c r="AG2" s="240" t="s">
        <v>74</v>
      </c>
      <c r="AH2" s="240" t="s">
        <v>75</v>
      </c>
      <c r="AI2" s="250" t="s">
        <v>73</v>
      </c>
      <c r="AJ2" s="251" t="s">
        <v>7500</v>
      </c>
      <c r="AK2" s="251" t="s">
        <v>7501</v>
      </c>
      <c r="AL2" s="251" t="s">
        <v>7502</v>
      </c>
      <c r="AM2" s="192" t="s">
        <v>28</v>
      </c>
    </row>
    <row r="3" s="182" customFormat="1" ht="18" customHeight="1" spans="1:39">
      <c r="A3" s="194" t="s">
        <v>7503</v>
      </c>
      <c r="B3" s="194">
        <v>77772</v>
      </c>
      <c r="C3" s="193" t="s">
        <v>7504</v>
      </c>
      <c r="D3" s="194" t="s">
        <v>7505</v>
      </c>
      <c r="E3" s="196">
        <v>46022</v>
      </c>
      <c r="F3" s="194" t="s">
        <v>7506</v>
      </c>
      <c r="G3" s="193" t="s">
        <v>7507</v>
      </c>
      <c r="H3" s="194">
        <v>400000</v>
      </c>
      <c r="I3" s="197">
        <v>400000</v>
      </c>
      <c r="J3" s="197"/>
      <c r="K3" s="197"/>
      <c r="L3" s="197"/>
      <c r="M3" s="197"/>
      <c r="N3" s="197"/>
      <c r="O3" s="197"/>
      <c r="P3" s="197"/>
      <c r="Q3" s="252"/>
      <c r="R3" s="252"/>
      <c r="S3" s="252"/>
      <c r="T3" s="252"/>
      <c r="U3" s="252"/>
      <c r="V3" s="252"/>
      <c r="W3" s="252"/>
      <c r="X3" s="252"/>
      <c r="Y3" s="252"/>
      <c r="Z3" s="252"/>
      <c r="AA3" s="197"/>
      <c r="AB3" s="197"/>
      <c r="AC3" s="197"/>
      <c r="AD3" s="197"/>
      <c r="AE3" s="197"/>
      <c r="AF3" s="197"/>
      <c r="AG3" s="197"/>
      <c r="AH3" s="197"/>
      <c r="AI3" s="197"/>
      <c r="AJ3" s="197"/>
      <c r="AK3" s="197"/>
      <c r="AL3" s="197"/>
      <c r="AM3" s="217"/>
    </row>
    <row r="4" s="182" customFormat="1" ht="18" customHeight="1" spans="1:39">
      <c r="A4" s="194" t="s">
        <v>7503</v>
      </c>
      <c r="B4" s="194">
        <v>77772</v>
      </c>
      <c r="C4" s="193" t="s">
        <v>7508</v>
      </c>
      <c r="D4" s="194" t="s">
        <v>7509</v>
      </c>
      <c r="E4" s="196">
        <v>46022</v>
      </c>
      <c r="F4" s="194" t="s">
        <v>7510</v>
      </c>
      <c r="G4" s="193" t="s">
        <v>7507</v>
      </c>
      <c r="H4" s="194">
        <v>400000</v>
      </c>
      <c r="I4" s="197"/>
      <c r="J4" s="197"/>
      <c r="K4" s="197"/>
      <c r="L4" s="197"/>
      <c r="M4" s="197"/>
      <c r="N4" s="197"/>
      <c r="O4" s="197">
        <v>400000</v>
      </c>
      <c r="P4" s="197">
        <v>400000</v>
      </c>
      <c r="Q4" s="197"/>
      <c r="R4" s="197"/>
      <c r="S4" s="197"/>
      <c r="T4" s="197"/>
      <c r="U4" s="197"/>
      <c r="V4" s="197"/>
      <c r="W4" s="197"/>
      <c r="X4" s="197"/>
      <c r="Y4" s="197"/>
      <c r="Z4" s="197"/>
      <c r="AA4" s="197"/>
      <c r="AB4" s="197"/>
      <c r="AC4" s="197"/>
      <c r="AD4" s="197"/>
      <c r="AE4" s="197"/>
      <c r="AF4" s="197"/>
      <c r="AG4" s="197"/>
      <c r="AH4" s="197"/>
      <c r="AI4" s="197"/>
      <c r="AJ4" s="197"/>
      <c r="AK4" s="197"/>
      <c r="AL4" s="197"/>
      <c r="AM4" s="217"/>
    </row>
    <row r="5" s="182" customFormat="1" ht="18" customHeight="1" spans="1:39">
      <c r="A5" s="194" t="s">
        <v>7503</v>
      </c>
      <c r="B5" s="194" t="s">
        <v>7511</v>
      </c>
      <c r="C5" s="193" t="s">
        <v>7512</v>
      </c>
      <c r="D5" s="194" t="s">
        <v>7513</v>
      </c>
      <c r="E5" s="196">
        <v>46022</v>
      </c>
      <c r="F5" s="194" t="s">
        <v>7506</v>
      </c>
      <c r="G5" s="193" t="s">
        <v>7507</v>
      </c>
      <c r="H5" s="194">
        <v>1600</v>
      </c>
      <c r="I5" s="197"/>
      <c r="J5" s="197"/>
      <c r="K5" s="197"/>
      <c r="L5" s="197"/>
      <c r="M5" s="197"/>
      <c r="N5" s="197"/>
      <c r="O5" s="197"/>
      <c r="P5" s="197"/>
      <c r="Q5" s="197">
        <v>1600</v>
      </c>
      <c r="R5" s="197"/>
      <c r="S5" s="197"/>
      <c r="T5" s="197"/>
      <c r="U5" s="197"/>
      <c r="V5" s="197"/>
      <c r="W5" s="197"/>
      <c r="X5" s="197"/>
      <c r="Y5" s="197"/>
      <c r="Z5" s="197"/>
      <c r="AA5" s="197"/>
      <c r="AB5" s="197"/>
      <c r="AC5" s="197"/>
      <c r="AD5" s="197"/>
      <c r="AE5" s="197"/>
      <c r="AF5" s="197"/>
      <c r="AG5" s="197"/>
      <c r="AH5" s="197"/>
      <c r="AI5" s="197"/>
      <c r="AJ5" s="197"/>
      <c r="AK5" s="197"/>
      <c r="AL5" s="197"/>
      <c r="AM5" s="217"/>
    </row>
    <row r="6" s="182" customFormat="1" ht="18" customHeight="1" spans="1:39">
      <c r="A6" s="194" t="s">
        <v>7503</v>
      </c>
      <c r="B6" s="194" t="s">
        <v>7514</v>
      </c>
      <c r="C6" s="193" t="s">
        <v>7512</v>
      </c>
      <c r="D6" s="194" t="s">
        <v>7515</v>
      </c>
      <c r="E6" s="196">
        <v>46022</v>
      </c>
      <c r="F6" s="194" t="s">
        <v>7516</v>
      </c>
      <c r="G6" s="193" t="s">
        <v>7507</v>
      </c>
      <c r="H6" s="194">
        <v>1200</v>
      </c>
      <c r="I6" s="197"/>
      <c r="J6" s="197"/>
      <c r="K6" s="197"/>
      <c r="L6" s="197"/>
      <c r="M6" s="197"/>
      <c r="N6" s="197"/>
      <c r="O6" s="197"/>
      <c r="P6" s="197"/>
      <c r="Q6" s="197"/>
      <c r="R6" s="197"/>
      <c r="S6" s="197"/>
      <c r="T6" s="197">
        <v>1200</v>
      </c>
      <c r="U6" s="197"/>
      <c r="V6" s="197"/>
      <c r="W6" s="197"/>
      <c r="X6" s="197"/>
      <c r="Y6" s="197"/>
      <c r="Z6" s="197"/>
      <c r="AA6" s="197"/>
      <c r="AB6" s="197"/>
      <c r="AC6" s="197"/>
      <c r="AD6" s="197"/>
      <c r="AE6" s="197"/>
      <c r="AF6" s="197"/>
      <c r="AG6" s="197"/>
      <c r="AH6" s="197"/>
      <c r="AI6" s="197"/>
      <c r="AJ6" s="197"/>
      <c r="AK6" s="197"/>
      <c r="AL6" s="197"/>
      <c r="AM6" s="217"/>
    </row>
    <row r="7" s="182" customFormat="1" ht="18" customHeight="1" spans="1:39">
      <c r="A7" s="194" t="s">
        <v>7517</v>
      </c>
      <c r="B7" s="194" t="s">
        <v>7514</v>
      </c>
      <c r="C7" s="193" t="s">
        <v>7504</v>
      </c>
      <c r="D7" s="194" t="s">
        <v>7518</v>
      </c>
      <c r="E7" s="196">
        <v>46045</v>
      </c>
      <c r="F7" s="194" t="s">
        <v>7510</v>
      </c>
      <c r="G7" s="193" t="s">
        <v>98</v>
      </c>
      <c r="H7" s="194">
        <v>61400</v>
      </c>
      <c r="I7" s="197"/>
      <c r="J7" s="197"/>
      <c r="K7" s="197"/>
      <c r="L7" s="197">
        <v>61400</v>
      </c>
      <c r="M7" s="197"/>
      <c r="N7" s="197"/>
      <c r="O7" s="197"/>
      <c r="P7" s="197"/>
      <c r="Q7" s="197"/>
      <c r="R7" s="197"/>
      <c r="S7" s="197"/>
      <c r="T7" s="197"/>
      <c r="U7" s="197"/>
      <c r="V7" s="197"/>
      <c r="W7" s="197"/>
      <c r="X7" s="197"/>
      <c r="Y7" s="197"/>
      <c r="Z7" s="197"/>
      <c r="AA7" s="197"/>
      <c r="AB7" s="197"/>
      <c r="AC7" s="197"/>
      <c r="AD7" s="197"/>
      <c r="AE7" s="197"/>
      <c r="AF7" s="197"/>
      <c r="AG7" s="197"/>
      <c r="AH7" s="197"/>
      <c r="AI7" s="197"/>
      <c r="AJ7" s="197"/>
      <c r="AK7" s="197"/>
      <c r="AL7" s="197"/>
      <c r="AM7" s="217"/>
    </row>
    <row r="8" s="182" customFormat="1" ht="18" customHeight="1" spans="1:39">
      <c r="A8" s="194" t="s">
        <v>7519</v>
      </c>
      <c r="B8" s="194">
        <v>77772</v>
      </c>
      <c r="C8" s="193" t="s">
        <v>7504</v>
      </c>
      <c r="D8" s="194" t="s">
        <v>7520</v>
      </c>
      <c r="E8" s="196">
        <v>46044</v>
      </c>
      <c r="F8" s="194" t="s">
        <v>7506</v>
      </c>
      <c r="G8" s="193" t="s">
        <v>7507</v>
      </c>
      <c r="H8" s="194">
        <v>320000</v>
      </c>
      <c r="I8" s="197">
        <v>320000</v>
      </c>
      <c r="J8" s="197"/>
      <c r="K8" s="197"/>
      <c r="L8" s="197"/>
      <c r="M8" s="197"/>
      <c r="N8" s="197"/>
      <c r="O8" s="197"/>
      <c r="P8" s="197"/>
      <c r="Q8" s="197"/>
      <c r="R8" s="197"/>
      <c r="S8" s="197"/>
      <c r="T8" s="197"/>
      <c r="U8" s="197"/>
      <c r="V8" s="197"/>
      <c r="W8" s="197"/>
      <c r="X8" s="197"/>
      <c r="Y8" s="197"/>
      <c r="Z8" s="197"/>
      <c r="AA8" s="197"/>
      <c r="AB8" s="197"/>
      <c r="AC8" s="197"/>
      <c r="AD8" s="197"/>
      <c r="AE8" s="197"/>
      <c r="AF8" s="197"/>
      <c r="AG8" s="197"/>
      <c r="AH8" s="197"/>
      <c r="AI8" s="197"/>
      <c r="AJ8" s="197"/>
      <c r="AK8" s="197"/>
      <c r="AL8" s="197"/>
      <c r="AM8" s="217"/>
    </row>
    <row r="9" s="182" customFormat="1" ht="18" customHeight="1" spans="1:39">
      <c r="A9" s="194" t="s">
        <v>7519</v>
      </c>
      <c r="B9" s="194">
        <v>77772</v>
      </c>
      <c r="C9" s="193" t="s">
        <v>7504</v>
      </c>
      <c r="D9" s="194" t="s">
        <v>7521</v>
      </c>
      <c r="E9" s="196">
        <v>46044</v>
      </c>
      <c r="F9" s="194" t="s">
        <v>7516</v>
      </c>
      <c r="G9" s="193" t="s">
        <v>7507</v>
      </c>
      <c r="H9" s="194">
        <v>80000</v>
      </c>
      <c r="I9" s="197"/>
      <c r="J9" s="197">
        <v>80000</v>
      </c>
      <c r="K9" s="197"/>
      <c r="L9" s="197"/>
      <c r="M9" s="197"/>
      <c r="N9" s="197"/>
      <c r="O9" s="197"/>
      <c r="P9" s="197"/>
      <c r="Q9" s="197"/>
      <c r="R9" s="197"/>
      <c r="S9" s="197"/>
      <c r="T9" s="197"/>
      <c r="U9" s="197"/>
      <c r="V9" s="197"/>
      <c r="W9" s="197"/>
      <c r="X9" s="197"/>
      <c r="Y9" s="197"/>
      <c r="Z9" s="197"/>
      <c r="AA9" s="197"/>
      <c r="AB9" s="197"/>
      <c r="AC9" s="197"/>
      <c r="AD9" s="197"/>
      <c r="AE9" s="197"/>
      <c r="AF9" s="197"/>
      <c r="AG9" s="197"/>
      <c r="AH9" s="197"/>
      <c r="AI9" s="197"/>
      <c r="AJ9" s="197"/>
      <c r="AK9" s="197"/>
      <c r="AL9" s="197"/>
      <c r="AM9" s="217"/>
    </row>
    <row r="10" s="182" customFormat="1" ht="18" customHeight="1" spans="1:39">
      <c r="A10" s="194" t="s">
        <v>7519</v>
      </c>
      <c r="B10" s="194">
        <v>77772</v>
      </c>
      <c r="C10" s="193" t="s">
        <v>7508</v>
      </c>
      <c r="D10" s="194" t="s">
        <v>7522</v>
      </c>
      <c r="E10" s="196">
        <v>46044</v>
      </c>
      <c r="F10" s="194" t="s">
        <v>7510</v>
      </c>
      <c r="G10" s="193" t="s">
        <v>7507</v>
      </c>
      <c r="H10" s="194">
        <v>400000</v>
      </c>
      <c r="I10" s="197"/>
      <c r="J10" s="197"/>
      <c r="K10" s="197"/>
      <c r="L10" s="197"/>
      <c r="M10" s="197"/>
      <c r="N10" s="197"/>
      <c r="O10" s="197">
        <v>400000</v>
      </c>
      <c r="P10" s="197"/>
      <c r="Q10" s="197"/>
      <c r="R10" s="197"/>
      <c r="S10" s="197"/>
      <c r="T10" s="197"/>
      <c r="U10" s="197"/>
      <c r="V10" s="197"/>
      <c r="W10" s="197"/>
      <c r="X10" s="197"/>
      <c r="Y10" s="197"/>
      <c r="Z10" s="197"/>
      <c r="AA10" s="197"/>
      <c r="AB10" s="197"/>
      <c r="AC10" s="197"/>
      <c r="AD10" s="197"/>
      <c r="AE10" s="197"/>
      <c r="AF10" s="197"/>
      <c r="AG10" s="197"/>
      <c r="AH10" s="197"/>
      <c r="AI10" s="197"/>
      <c r="AJ10" s="197"/>
      <c r="AK10" s="197"/>
      <c r="AL10" s="197"/>
      <c r="AM10" s="217"/>
    </row>
    <row r="11" s="182" customFormat="1" ht="18" customHeight="1" spans="1:39">
      <c r="A11" s="194" t="s">
        <v>7519</v>
      </c>
      <c r="B11" s="194" t="s">
        <v>7511</v>
      </c>
      <c r="C11" s="193" t="s">
        <v>7512</v>
      </c>
      <c r="D11" s="194" t="s">
        <v>7523</v>
      </c>
      <c r="E11" s="196">
        <v>46044</v>
      </c>
      <c r="F11" s="194" t="s">
        <v>7516</v>
      </c>
      <c r="G11" s="193" t="s">
        <v>7507</v>
      </c>
      <c r="H11" s="194">
        <v>1500</v>
      </c>
      <c r="I11" s="197"/>
      <c r="J11" s="197"/>
      <c r="K11" s="197"/>
      <c r="L11" s="197"/>
      <c r="M11" s="197"/>
      <c r="N11" s="197"/>
      <c r="O11" s="197"/>
      <c r="P11" s="197"/>
      <c r="Q11" s="197"/>
      <c r="R11" s="197">
        <v>1500</v>
      </c>
      <c r="S11" s="197"/>
      <c r="T11" s="197"/>
      <c r="U11" s="197"/>
      <c r="V11" s="197"/>
      <c r="W11" s="197"/>
      <c r="X11" s="197"/>
      <c r="Y11" s="197"/>
      <c r="Z11" s="197"/>
      <c r="AA11" s="197"/>
      <c r="AB11" s="197"/>
      <c r="AC11" s="197"/>
      <c r="AD11" s="197"/>
      <c r="AE11" s="197"/>
      <c r="AF11" s="197"/>
      <c r="AG11" s="197"/>
      <c r="AH11" s="197"/>
      <c r="AI11" s="197"/>
      <c r="AJ11" s="197"/>
      <c r="AK11" s="197"/>
      <c r="AL11" s="197"/>
      <c r="AM11" s="217"/>
    </row>
    <row r="12" s="182" customFormat="1" ht="18" customHeight="1" spans="1:39">
      <c r="A12" s="194" t="s">
        <v>7519</v>
      </c>
      <c r="B12" s="194" t="s">
        <v>7514</v>
      </c>
      <c r="C12" s="193" t="s">
        <v>7512</v>
      </c>
      <c r="D12" s="194" t="s">
        <v>7524</v>
      </c>
      <c r="E12" s="196">
        <v>46044</v>
      </c>
      <c r="F12" s="194" t="s">
        <v>7506</v>
      </c>
      <c r="G12" s="193" t="s">
        <v>7507</v>
      </c>
      <c r="H12" s="194">
        <v>1000</v>
      </c>
      <c r="I12" s="197"/>
      <c r="J12" s="197"/>
      <c r="K12" s="197"/>
      <c r="L12" s="197"/>
      <c r="M12" s="197"/>
      <c r="N12" s="197"/>
      <c r="O12" s="197"/>
      <c r="P12" s="197"/>
      <c r="Q12" s="197"/>
      <c r="R12" s="197"/>
      <c r="S12" s="197">
        <v>1000</v>
      </c>
      <c r="T12" s="197"/>
      <c r="U12" s="197"/>
      <c r="V12" s="197"/>
      <c r="W12" s="197"/>
      <c r="X12" s="197"/>
      <c r="Y12" s="197"/>
      <c r="Z12" s="197"/>
      <c r="AA12" s="197"/>
      <c r="AB12" s="197"/>
      <c r="AC12" s="197"/>
      <c r="AD12" s="197"/>
      <c r="AE12" s="197"/>
      <c r="AF12" s="197"/>
      <c r="AG12" s="197"/>
      <c r="AH12" s="197"/>
      <c r="AI12" s="197"/>
      <c r="AJ12" s="197"/>
      <c r="AK12" s="197"/>
      <c r="AL12" s="197"/>
      <c r="AM12" s="217"/>
    </row>
    <row r="13" s="182" customFormat="1" ht="18" customHeight="1" spans="1:39">
      <c r="A13" s="194" t="s">
        <v>7519</v>
      </c>
      <c r="B13" s="194" t="s">
        <v>7514</v>
      </c>
      <c r="C13" s="193" t="s">
        <v>7512</v>
      </c>
      <c r="D13" s="194" t="s">
        <v>7525</v>
      </c>
      <c r="E13" s="196">
        <v>46044</v>
      </c>
      <c r="F13" s="194" t="s">
        <v>7516</v>
      </c>
      <c r="G13" s="193" t="s">
        <v>7507</v>
      </c>
      <c r="H13" s="194">
        <v>1000</v>
      </c>
      <c r="I13" s="197"/>
      <c r="J13" s="197"/>
      <c r="K13" s="197"/>
      <c r="L13" s="197"/>
      <c r="M13" s="197"/>
      <c r="N13" s="197"/>
      <c r="O13" s="197"/>
      <c r="P13" s="197"/>
      <c r="Q13" s="197"/>
      <c r="R13" s="197"/>
      <c r="S13" s="197"/>
      <c r="T13" s="197">
        <v>1000</v>
      </c>
      <c r="U13" s="197"/>
      <c r="V13" s="197"/>
      <c r="W13" s="197"/>
      <c r="X13" s="197"/>
      <c r="Y13" s="197"/>
      <c r="Z13" s="197"/>
      <c r="AA13" s="197"/>
      <c r="AB13" s="197"/>
      <c r="AC13" s="197"/>
      <c r="AD13" s="197"/>
      <c r="AE13" s="197"/>
      <c r="AF13" s="197"/>
      <c r="AG13" s="197"/>
      <c r="AH13" s="197"/>
      <c r="AI13" s="197"/>
      <c r="AJ13" s="197"/>
      <c r="AK13" s="197"/>
      <c r="AL13" s="197"/>
      <c r="AM13" s="217"/>
    </row>
    <row r="14" s="182" customFormat="1" ht="18" customHeight="1" spans="1:39">
      <c r="A14" s="194" t="s">
        <v>7526</v>
      </c>
      <c r="B14" s="194" t="s">
        <v>7527</v>
      </c>
      <c r="C14" s="193" t="s">
        <v>7512</v>
      </c>
      <c r="D14" s="194" t="s">
        <v>7528</v>
      </c>
      <c r="E14" s="196">
        <v>46051</v>
      </c>
      <c r="F14" s="194" t="s">
        <v>7506</v>
      </c>
      <c r="G14" s="193" t="s">
        <v>7507</v>
      </c>
      <c r="H14" s="194">
        <v>8400</v>
      </c>
      <c r="I14" s="197"/>
      <c r="J14" s="197"/>
      <c r="K14" s="197"/>
      <c r="L14" s="197"/>
      <c r="M14" s="197"/>
      <c r="N14" s="197"/>
      <c r="O14" s="197"/>
      <c r="P14" s="197"/>
      <c r="Q14" s="197"/>
      <c r="R14" s="197"/>
      <c r="S14" s="197"/>
      <c r="T14" s="197"/>
      <c r="U14" s="197"/>
      <c r="V14" s="197"/>
      <c r="W14" s="197"/>
      <c r="X14" s="197"/>
      <c r="Y14" s="197"/>
      <c r="Z14" s="197"/>
      <c r="AA14" s="197">
        <v>8400</v>
      </c>
      <c r="AB14" s="197"/>
      <c r="AC14" s="197"/>
      <c r="AD14" s="197"/>
      <c r="AE14" s="197"/>
      <c r="AF14" s="197"/>
      <c r="AG14" s="197"/>
      <c r="AH14" s="197"/>
      <c r="AI14" s="197"/>
      <c r="AJ14" s="197"/>
      <c r="AK14" s="197"/>
      <c r="AL14" s="197"/>
      <c r="AM14" s="217" t="s">
        <v>7529</v>
      </c>
    </row>
    <row r="15" s="182" customFormat="1" ht="18" customHeight="1" spans="1:39">
      <c r="A15" s="194" t="s">
        <v>7526</v>
      </c>
      <c r="B15" s="194" t="s">
        <v>7527</v>
      </c>
      <c r="C15" s="193" t="s">
        <v>7512</v>
      </c>
      <c r="D15" s="194" t="s">
        <v>7530</v>
      </c>
      <c r="E15" s="196">
        <v>46063</v>
      </c>
      <c r="F15" s="194" t="s">
        <v>7506</v>
      </c>
      <c r="G15" s="193" t="s">
        <v>7507</v>
      </c>
      <c r="H15" s="194">
        <v>855</v>
      </c>
      <c r="I15" s="197"/>
      <c r="J15" s="197"/>
      <c r="K15" s="197"/>
      <c r="L15" s="197"/>
      <c r="M15" s="197"/>
      <c r="N15" s="197"/>
      <c r="O15" s="197"/>
      <c r="P15" s="197"/>
      <c r="Q15" s="197"/>
      <c r="R15" s="197"/>
      <c r="S15" s="197"/>
      <c r="T15" s="197"/>
      <c r="U15" s="197"/>
      <c r="V15" s="197"/>
      <c r="W15" s="197"/>
      <c r="X15" s="197"/>
      <c r="Y15" s="197"/>
      <c r="Z15" s="197"/>
      <c r="AA15" s="197">
        <v>855</v>
      </c>
      <c r="AB15" s="197"/>
      <c r="AC15" s="197"/>
      <c r="AD15" s="197"/>
      <c r="AE15" s="197"/>
      <c r="AF15" s="197"/>
      <c r="AG15" s="197"/>
      <c r="AH15" s="197"/>
      <c r="AI15" s="197"/>
      <c r="AJ15" s="197"/>
      <c r="AK15" s="197"/>
      <c r="AL15" s="197"/>
      <c r="AM15" s="217" t="s">
        <v>7531</v>
      </c>
    </row>
    <row r="16" s="182" customFormat="1" ht="18" customHeight="1" spans="1:39">
      <c r="A16" s="194" t="s">
        <v>7532</v>
      </c>
      <c r="B16" s="194" t="s">
        <v>7533</v>
      </c>
      <c r="C16" s="193" t="s">
        <v>7512</v>
      </c>
      <c r="D16" s="194" t="s">
        <v>7530</v>
      </c>
      <c r="E16" s="196">
        <v>46059</v>
      </c>
      <c r="F16" s="194" t="s">
        <v>7506</v>
      </c>
      <c r="G16" s="193" t="s">
        <v>6779</v>
      </c>
      <c r="H16" s="194">
        <v>667</v>
      </c>
      <c r="I16" s="197"/>
      <c r="J16" s="197"/>
      <c r="K16" s="197"/>
      <c r="L16" s="197"/>
      <c r="M16" s="197"/>
      <c r="N16" s="197"/>
      <c r="O16" s="197"/>
      <c r="P16" s="197"/>
      <c r="Q16" s="197"/>
      <c r="R16" s="197"/>
      <c r="S16" s="197"/>
      <c r="T16" s="197"/>
      <c r="U16" s="197"/>
      <c r="V16" s="197"/>
      <c r="W16" s="197"/>
      <c r="X16" s="197"/>
      <c r="Y16" s="197"/>
      <c r="Z16" s="197">
        <v>667</v>
      </c>
      <c r="AA16" s="197"/>
      <c r="AB16" s="197"/>
      <c r="AC16" s="197"/>
      <c r="AD16" s="197"/>
      <c r="AE16" s="197"/>
      <c r="AF16" s="197"/>
      <c r="AG16" s="197"/>
      <c r="AH16" s="197"/>
      <c r="AI16" s="197"/>
      <c r="AJ16" s="197"/>
      <c r="AK16" s="197"/>
      <c r="AL16" s="197"/>
      <c r="AM16" s="217"/>
    </row>
    <row r="17" s="182" customFormat="1" ht="18" customHeight="1" spans="1:72">
      <c r="A17" s="194" t="s">
        <v>7532</v>
      </c>
      <c r="B17" s="194" t="s">
        <v>7527</v>
      </c>
      <c r="C17" s="193" t="s">
        <v>7512</v>
      </c>
      <c r="D17" s="194">
        <v>1000036611</v>
      </c>
      <c r="E17" s="196">
        <v>46079</v>
      </c>
      <c r="F17" s="194" t="s">
        <v>7506</v>
      </c>
      <c r="G17" s="193" t="s">
        <v>7507</v>
      </c>
      <c r="H17" s="194">
        <v>2185</v>
      </c>
      <c r="I17" s="197"/>
      <c r="J17" s="197"/>
      <c r="K17" s="197"/>
      <c r="L17" s="197"/>
      <c r="M17" s="197"/>
      <c r="N17" s="197"/>
      <c r="O17" s="197"/>
      <c r="P17" s="197"/>
      <c r="Q17" s="197"/>
      <c r="R17" s="197"/>
      <c r="S17" s="197"/>
      <c r="T17" s="197"/>
      <c r="U17" s="197"/>
      <c r="V17" s="197"/>
      <c r="W17" s="197"/>
      <c r="X17" s="197"/>
      <c r="Y17" s="197"/>
      <c r="Z17" s="197"/>
      <c r="AA17" s="197">
        <v>2185</v>
      </c>
      <c r="AB17" s="197"/>
      <c r="AC17" s="197"/>
      <c r="AD17" s="197"/>
      <c r="AE17" s="197"/>
      <c r="AF17" s="197"/>
      <c r="AG17" s="197"/>
      <c r="AH17" s="197"/>
      <c r="AI17" s="197"/>
      <c r="AJ17" s="197"/>
      <c r="AK17" s="197"/>
      <c r="AL17" s="197"/>
      <c r="AM17" s="217" t="s">
        <v>7534</v>
      </c>
    </row>
    <row r="18" s="182" customFormat="1" ht="18" customHeight="1" spans="1:72">
      <c r="A18" s="194" t="s">
        <v>7532</v>
      </c>
      <c r="B18" s="194" t="s">
        <v>7527</v>
      </c>
      <c r="C18" s="193" t="s">
        <v>7512</v>
      </c>
      <c r="D18" s="194">
        <v>1000036731</v>
      </c>
      <c r="E18" s="196">
        <v>46081</v>
      </c>
      <c r="F18" s="194" t="s">
        <v>7506</v>
      </c>
      <c r="G18" s="193" t="s">
        <v>7507</v>
      </c>
      <c r="H18" s="194">
        <v>4400</v>
      </c>
      <c r="I18" s="197"/>
      <c r="J18" s="197"/>
      <c r="K18" s="197"/>
      <c r="L18" s="197"/>
      <c r="M18" s="197"/>
      <c r="N18" s="197"/>
      <c r="O18" s="197"/>
      <c r="P18" s="197"/>
      <c r="Q18" s="197"/>
      <c r="R18" s="197"/>
      <c r="S18" s="197"/>
      <c r="T18" s="197"/>
      <c r="U18" s="197"/>
      <c r="V18" s="197"/>
      <c r="W18" s="197"/>
      <c r="X18" s="197"/>
      <c r="Y18" s="197"/>
      <c r="Z18" s="197"/>
      <c r="AA18" s="197">
        <v>4400</v>
      </c>
      <c r="AB18" s="197"/>
      <c r="AC18" s="197"/>
      <c r="AD18" s="197"/>
      <c r="AE18" s="197"/>
      <c r="AF18" s="197"/>
      <c r="AG18" s="197"/>
      <c r="AH18" s="197"/>
      <c r="AI18" s="197"/>
      <c r="AJ18" s="197"/>
      <c r="AK18" s="197"/>
      <c r="AL18" s="197"/>
      <c r="AM18" s="217" t="s">
        <v>7535</v>
      </c>
    </row>
    <row r="19" s="182" customFormat="1" ht="18" customHeight="1" spans="1:72">
      <c r="A19" s="194" t="s">
        <v>7532</v>
      </c>
      <c r="B19" s="194" t="s">
        <v>7536</v>
      </c>
      <c r="C19" s="193" t="s">
        <v>7512</v>
      </c>
      <c r="D19" s="194">
        <v>1000036739</v>
      </c>
      <c r="E19" s="196">
        <v>46081</v>
      </c>
      <c r="F19" s="194" t="s">
        <v>7506</v>
      </c>
      <c r="G19" s="193" t="s">
        <v>7507</v>
      </c>
      <c r="H19" s="194">
        <v>1080</v>
      </c>
      <c r="I19" s="197"/>
      <c r="J19" s="197"/>
      <c r="K19" s="197"/>
      <c r="L19" s="197"/>
      <c r="M19" s="197"/>
      <c r="N19" s="197"/>
      <c r="O19" s="197"/>
      <c r="P19" s="197"/>
      <c r="Q19" s="197"/>
      <c r="R19" s="197"/>
      <c r="S19" s="197"/>
      <c r="T19" s="197"/>
      <c r="U19" s="197"/>
      <c r="V19" s="197"/>
      <c r="W19" s="197">
        <v>1080</v>
      </c>
      <c r="X19" s="197"/>
      <c r="Y19" s="197"/>
      <c r="Z19" s="197"/>
      <c r="AA19" s="197"/>
      <c r="AB19" s="197"/>
      <c r="AC19" s="197"/>
      <c r="AD19" s="197"/>
      <c r="AE19" s="197"/>
      <c r="AF19" s="197"/>
      <c r="AG19" s="197"/>
      <c r="AH19" s="197"/>
      <c r="AI19" s="197"/>
      <c r="AJ19" s="197"/>
      <c r="AK19" s="197"/>
      <c r="AL19" s="197"/>
      <c r="AM19" s="253" t="s">
        <v>7537</v>
      </c>
    </row>
    <row r="20" s="182" customFormat="1" ht="18" customHeight="1" spans="1:72">
      <c r="A20" s="194" t="s">
        <v>7519</v>
      </c>
      <c r="B20" s="194">
        <v>77772</v>
      </c>
      <c r="C20" s="193" t="s">
        <v>7504</v>
      </c>
      <c r="D20" s="194" t="s">
        <v>7538</v>
      </c>
      <c r="E20" s="196">
        <v>46087</v>
      </c>
      <c r="F20" s="194" t="s">
        <v>7506</v>
      </c>
      <c r="G20" s="193" t="s">
        <v>7507</v>
      </c>
      <c r="H20" s="194">
        <v>800000</v>
      </c>
      <c r="I20" s="197">
        <v>800000</v>
      </c>
      <c r="J20" s="197"/>
      <c r="K20" s="197"/>
      <c r="L20" s="197"/>
      <c r="M20" s="197"/>
      <c r="N20" s="197"/>
      <c r="O20" s="197"/>
      <c r="P20" s="197"/>
      <c r="Q20" s="197"/>
      <c r="R20" s="197"/>
      <c r="S20" s="197"/>
      <c r="T20" s="197"/>
      <c r="U20" s="197"/>
      <c r="V20" s="197"/>
      <c r="W20" s="197"/>
      <c r="X20" s="197"/>
      <c r="Y20" s="197"/>
      <c r="Z20" s="197"/>
      <c r="AA20" s="197"/>
      <c r="AB20" s="197"/>
      <c r="AC20" s="197"/>
      <c r="AD20" s="197"/>
      <c r="AE20" s="197"/>
      <c r="AF20" s="197"/>
      <c r="AG20" s="197"/>
      <c r="AH20" s="197"/>
      <c r="AI20" s="197"/>
      <c r="AJ20" s="197"/>
      <c r="AK20" s="197"/>
      <c r="AL20" s="197"/>
      <c r="AM20" s="217"/>
    </row>
    <row r="21" s="182" customFormat="1" ht="18" customHeight="1" spans="1:72">
      <c r="A21" s="194" t="s">
        <v>7519</v>
      </c>
      <c r="B21" s="194">
        <v>77772</v>
      </c>
      <c r="C21" s="193" t="s">
        <v>7504</v>
      </c>
      <c r="D21" s="194" t="s">
        <v>7539</v>
      </c>
      <c r="E21" s="196">
        <v>46087</v>
      </c>
      <c r="F21" s="194" t="s">
        <v>7516</v>
      </c>
      <c r="G21" s="193" t="s">
        <v>7507</v>
      </c>
      <c r="H21" s="194">
        <v>40000</v>
      </c>
      <c r="I21" s="197"/>
      <c r="J21" s="197">
        <v>40000</v>
      </c>
      <c r="K21" s="197"/>
      <c r="L21" s="197"/>
      <c r="M21" s="197"/>
      <c r="N21" s="197"/>
      <c r="O21" s="197"/>
      <c r="P21" s="197"/>
      <c r="Q21" s="197"/>
      <c r="R21" s="197"/>
      <c r="S21" s="197"/>
      <c r="T21" s="197"/>
      <c r="U21" s="197"/>
      <c r="V21" s="197"/>
      <c r="W21" s="197"/>
      <c r="X21" s="197"/>
      <c r="Y21" s="197"/>
      <c r="Z21" s="197"/>
      <c r="AA21" s="197"/>
      <c r="AB21" s="197"/>
      <c r="AC21" s="197"/>
      <c r="AD21" s="197"/>
      <c r="AE21" s="197"/>
      <c r="AF21" s="197"/>
      <c r="AG21" s="197"/>
      <c r="AH21" s="197"/>
      <c r="AI21" s="197"/>
      <c r="AJ21" s="197"/>
      <c r="AK21" s="197"/>
      <c r="AL21" s="197"/>
      <c r="AM21" s="217"/>
    </row>
    <row r="22" s="182" customFormat="1" ht="18" customHeight="1" spans="1:72">
      <c r="A22" s="194" t="s">
        <v>7519</v>
      </c>
      <c r="B22" s="194">
        <v>77772</v>
      </c>
      <c r="C22" s="193" t="s">
        <v>7508</v>
      </c>
      <c r="D22" s="194" t="s">
        <v>7540</v>
      </c>
      <c r="E22" s="196">
        <v>46087</v>
      </c>
      <c r="F22" s="194" t="s">
        <v>7510</v>
      </c>
      <c r="G22" s="193" t="s">
        <v>7507</v>
      </c>
      <c r="H22" s="194">
        <v>1000000</v>
      </c>
      <c r="I22" s="197"/>
      <c r="J22" s="197"/>
      <c r="K22" s="197"/>
      <c r="L22" s="197"/>
      <c r="M22" s="197"/>
      <c r="N22" s="197"/>
      <c r="O22" s="197">
        <v>1000000</v>
      </c>
      <c r="P22" s="197"/>
      <c r="Q22" s="197"/>
      <c r="R22" s="197"/>
      <c r="S22" s="197"/>
      <c r="T22" s="197"/>
      <c r="U22" s="197"/>
      <c r="V22" s="197"/>
      <c r="W22" s="197"/>
      <c r="X22" s="197"/>
      <c r="Y22" s="197"/>
      <c r="Z22" s="197"/>
      <c r="AA22" s="197"/>
      <c r="AB22" s="197"/>
      <c r="AC22" s="197"/>
      <c r="AD22" s="197"/>
      <c r="AE22" s="197"/>
      <c r="AF22" s="197"/>
      <c r="AG22" s="197"/>
      <c r="AH22" s="197"/>
      <c r="AI22" s="197"/>
      <c r="AJ22" s="197"/>
      <c r="AK22" s="197"/>
      <c r="AL22" s="197"/>
      <c r="AM22" s="217"/>
    </row>
    <row r="23" s="182" customFormat="1" ht="18" customHeight="1" spans="1:72">
      <c r="A23" s="194" t="s">
        <v>7519</v>
      </c>
      <c r="B23" s="194" t="s">
        <v>7511</v>
      </c>
      <c r="C23" s="193" t="s">
        <v>7512</v>
      </c>
      <c r="D23" s="194" t="s">
        <v>7541</v>
      </c>
      <c r="E23" s="196">
        <v>46087</v>
      </c>
      <c r="F23" s="194" t="s">
        <v>7506</v>
      </c>
      <c r="G23" s="193" t="s">
        <v>7507</v>
      </c>
      <c r="H23" s="194">
        <v>2000</v>
      </c>
      <c r="I23" s="197"/>
      <c r="J23" s="197"/>
      <c r="K23" s="197"/>
      <c r="L23" s="197"/>
      <c r="M23" s="197"/>
      <c r="N23" s="197"/>
      <c r="O23" s="197"/>
      <c r="P23" s="197"/>
      <c r="Q23" s="197">
        <v>2000</v>
      </c>
      <c r="R23" s="197"/>
      <c r="S23" s="197"/>
      <c r="T23" s="197"/>
      <c r="U23" s="197"/>
      <c r="V23" s="197"/>
      <c r="W23" s="197"/>
      <c r="X23" s="197"/>
      <c r="Y23" s="197"/>
      <c r="Z23" s="197"/>
      <c r="AA23" s="197"/>
      <c r="AB23" s="197"/>
      <c r="AC23" s="197"/>
      <c r="AD23" s="197"/>
      <c r="AE23" s="197"/>
      <c r="AF23" s="197"/>
      <c r="AG23" s="197"/>
      <c r="AH23" s="197"/>
      <c r="AI23" s="197"/>
      <c r="AJ23" s="197"/>
      <c r="AK23" s="197"/>
      <c r="AL23" s="197"/>
      <c r="AM23" s="217"/>
    </row>
    <row r="24" s="182" customFormat="1" ht="18" customHeight="1" spans="1:72">
      <c r="A24" s="194" t="s">
        <v>7519</v>
      </c>
      <c r="B24" s="194" t="s">
        <v>7511</v>
      </c>
      <c r="C24" s="193" t="s">
        <v>7512</v>
      </c>
      <c r="D24" s="194" t="s">
        <v>7542</v>
      </c>
      <c r="E24" s="196">
        <v>46087</v>
      </c>
      <c r="F24" s="194" t="s">
        <v>7516</v>
      </c>
      <c r="G24" s="193" t="s">
        <v>7507</v>
      </c>
      <c r="H24" s="194">
        <v>500</v>
      </c>
      <c r="I24" s="197"/>
      <c r="J24" s="197"/>
      <c r="K24" s="197"/>
      <c r="L24" s="197"/>
      <c r="M24" s="197"/>
      <c r="N24" s="197"/>
      <c r="O24" s="197"/>
      <c r="P24" s="197"/>
      <c r="Q24" s="197"/>
      <c r="R24" s="197">
        <v>500</v>
      </c>
      <c r="S24" s="197"/>
      <c r="T24" s="197"/>
      <c r="U24" s="197"/>
      <c r="V24" s="197"/>
      <c r="W24" s="197"/>
      <c r="X24" s="197"/>
      <c r="Y24" s="197"/>
      <c r="Z24" s="197"/>
      <c r="AA24" s="197"/>
      <c r="AB24" s="197"/>
      <c r="AC24" s="197"/>
      <c r="AD24" s="197"/>
      <c r="AE24" s="197"/>
      <c r="AF24" s="197"/>
      <c r="AG24" s="197"/>
      <c r="AH24" s="197"/>
      <c r="AI24" s="197"/>
      <c r="AJ24" s="197"/>
      <c r="AK24" s="197"/>
      <c r="AL24" s="197"/>
      <c r="AM24" s="217"/>
    </row>
    <row r="25" s="182" customFormat="1" ht="18" customHeight="1" spans="1:72">
      <c r="A25" s="194" t="s">
        <v>7519</v>
      </c>
      <c r="B25" s="194" t="s">
        <v>7514</v>
      </c>
      <c r="C25" s="193" t="s">
        <v>7512</v>
      </c>
      <c r="D25" s="194" t="s">
        <v>7543</v>
      </c>
      <c r="E25" s="196">
        <v>46087</v>
      </c>
      <c r="F25" s="194" t="s">
        <v>7506</v>
      </c>
      <c r="G25" s="193" t="s">
        <v>7507</v>
      </c>
      <c r="H25" s="194">
        <v>500</v>
      </c>
      <c r="I25" s="197"/>
      <c r="J25" s="197"/>
      <c r="K25" s="197"/>
      <c r="L25" s="197"/>
      <c r="M25" s="197"/>
      <c r="N25" s="197"/>
      <c r="O25" s="197"/>
      <c r="P25" s="197"/>
      <c r="Q25" s="197"/>
      <c r="R25" s="197"/>
      <c r="S25" s="197">
        <v>500</v>
      </c>
      <c r="T25" s="197"/>
      <c r="U25" s="197"/>
      <c r="V25" s="197"/>
      <c r="W25" s="197"/>
      <c r="X25" s="197"/>
      <c r="Y25" s="197"/>
      <c r="Z25" s="197"/>
      <c r="AA25" s="197"/>
      <c r="AB25" s="197"/>
      <c r="AC25" s="197"/>
      <c r="AD25" s="197"/>
      <c r="AE25" s="197"/>
      <c r="AF25" s="197"/>
      <c r="AG25" s="197"/>
      <c r="AH25" s="197"/>
      <c r="AI25" s="197"/>
      <c r="AJ25" s="197"/>
      <c r="AK25" s="197"/>
      <c r="AL25" s="197"/>
      <c r="AM25" s="217"/>
    </row>
    <row r="26" s="182" customFormat="1" ht="18" customHeight="1" spans="1:72">
      <c r="A26" s="194" t="s">
        <v>7519</v>
      </c>
      <c r="B26" s="194" t="s">
        <v>7514</v>
      </c>
      <c r="C26" s="193" t="s">
        <v>7512</v>
      </c>
      <c r="D26" s="194" t="s">
        <v>7544</v>
      </c>
      <c r="E26" s="196">
        <v>46087</v>
      </c>
      <c r="F26" s="194" t="s">
        <v>7516</v>
      </c>
      <c r="G26" s="193" t="s">
        <v>7507</v>
      </c>
      <c r="H26" s="194">
        <v>500</v>
      </c>
      <c r="I26" s="197"/>
      <c r="J26" s="197"/>
      <c r="K26" s="197"/>
      <c r="L26" s="197"/>
      <c r="M26" s="197"/>
      <c r="N26" s="197"/>
      <c r="O26" s="197"/>
      <c r="P26" s="197"/>
      <c r="Q26" s="197"/>
      <c r="R26" s="197"/>
      <c r="S26" s="197"/>
      <c r="T26" s="197">
        <v>500</v>
      </c>
      <c r="U26" s="197"/>
      <c r="V26" s="197"/>
      <c r="W26" s="197"/>
      <c r="X26" s="197"/>
      <c r="Y26" s="197"/>
      <c r="Z26" s="197"/>
      <c r="AA26" s="197"/>
      <c r="AB26" s="197"/>
      <c r="AC26" s="197"/>
      <c r="AD26" s="197"/>
      <c r="AE26" s="197"/>
      <c r="AF26" s="197"/>
      <c r="AG26" s="197"/>
      <c r="AH26" s="197"/>
      <c r="AI26" s="197"/>
      <c r="AJ26" s="197"/>
      <c r="AK26" s="197"/>
      <c r="AL26" s="197"/>
      <c r="AM26" s="217"/>
    </row>
    <row r="27" s="182" customFormat="1" ht="18" customHeight="1" spans="1:72">
      <c r="A27" s="194" t="s">
        <v>7545</v>
      </c>
      <c r="B27" s="194" t="s">
        <v>7536</v>
      </c>
      <c r="C27" s="193" t="s">
        <v>7512</v>
      </c>
      <c r="D27" s="194" t="s">
        <v>7546</v>
      </c>
      <c r="E27" s="196">
        <v>46091</v>
      </c>
      <c r="F27" s="194" t="s">
        <v>7547</v>
      </c>
      <c r="G27" s="193" t="s">
        <v>7548</v>
      </c>
      <c r="H27" s="194">
        <v>4102</v>
      </c>
      <c r="I27" s="197"/>
      <c r="J27" s="197"/>
      <c r="K27" s="197"/>
      <c r="L27" s="197"/>
      <c r="M27" s="197"/>
      <c r="N27" s="197"/>
      <c r="O27" s="197"/>
      <c r="P27" s="197"/>
      <c r="Q27" s="197"/>
      <c r="R27" s="197"/>
      <c r="S27" s="197"/>
      <c r="T27" s="197"/>
      <c r="U27" s="197"/>
      <c r="V27" s="197"/>
      <c r="W27" s="197"/>
      <c r="X27" s="197">
        <v>4102</v>
      </c>
      <c r="Y27" s="197"/>
      <c r="Z27" s="197"/>
      <c r="AA27" s="197"/>
      <c r="AB27" s="197"/>
      <c r="AC27" s="197"/>
      <c r="AD27" s="197"/>
      <c r="AE27" s="197"/>
      <c r="AF27" s="197"/>
      <c r="AG27" s="197"/>
      <c r="AH27" s="197"/>
      <c r="AI27" s="197"/>
      <c r="AJ27" s="197"/>
      <c r="AK27" s="197"/>
      <c r="AL27" s="197"/>
      <c r="AM27" s="254" t="s">
        <v>7549</v>
      </c>
    </row>
    <row r="28" s="182" customFormat="1" ht="18" customHeight="1" spans="1:72">
      <c r="A28" s="194" t="s">
        <v>7545</v>
      </c>
      <c r="B28" s="194">
        <v>77772</v>
      </c>
      <c r="C28" s="193" t="s">
        <v>7504</v>
      </c>
      <c r="D28" s="194" t="s">
        <v>7550</v>
      </c>
      <c r="E28" s="196">
        <v>46091</v>
      </c>
      <c r="F28" s="194" t="s">
        <v>7516</v>
      </c>
      <c r="G28" s="193" t="s">
        <v>7507</v>
      </c>
      <c r="H28" s="194">
        <v>65632</v>
      </c>
      <c r="I28" s="197"/>
      <c r="J28" s="197"/>
      <c r="K28" s="197"/>
      <c r="L28" s="197"/>
      <c r="M28" s="197">
        <v>65632</v>
      </c>
      <c r="N28" s="197"/>
      <c r="O28" s="197"/>
      <c r="P28" s="197"/>
      <c r="Q28" s="197"/>
      <c r="R28" s="197"/>
      <c r="S28" s="197"/>
      <c r="T28" s="197"/>
      <c r="U28" s="197"/>
      <c r="V28" s="197"/>
      <c r="W28" s="197"/>
      <c r="X28" s="197"/>
      <c r="Y28" s="197"/>
      <c r="Z28" s="197"/>
      <c r="AA28" s="197"/>
      <c r="AB28" s="197"/>
      <c r="AC28" s="197"/>
      <c r="AD28" s="197"/>
      <c r="AE28" s="197"/>
      <c r="AF28" s="197"/>
      <c r="AG28" s="197"/>
      <c r="AH28" s="197"/>
      <c r="AI28" s="197"/>
      <c r="AJ28" s="197"/>
      <c r="AK28" s="197"/>
      <c r="AL28" s="197"/>
      <c r="AM28" s="217"/>
    </row>
    <row r="29" s="183" customFormat="1" ht="18" customHeight="1" spans="1:72">
      <c r="A29" s="205" t="s">
        <v>7532</v>
      </c>
      <c r="B29" s="206" t="s">
        <v>7536</v>
      </c>
      <c r="C29" s="207" t="s">
        <v>7504</v>
      </c>
      <c r="D29" s="206">
        <v>1000037176</v>
      </c>
      <c r="E29" s="209">
        <v>46091</v>
      </c>
      <c r="F29" s="206" t="s">
        <v>7516</v>
      </c>
      <c r="G29" s="207" t="s">
        <v>7507</v>
      </c>
      <c r="H29" s="206">
        <v>65632</v>
      </c>
      <c r="I29" s="211"/>
      <c r="J29" s="211"/>
      <c r="K29" s="211"/>
      <c r="L29" s="211"/>
      <c r="M29" s="211"/>
      <c r="N29" s="211"/>
      <c r="O29" s="211"/>
      <c r="P29" s="211"/>
      <c r="Q29" s="211"/>
      <c r="R29" s="211"/>
      <c r="S29" s="211"/>
      <c r="T29" s="211"/>
      <c r="U29" s="211"/>
      <c r="V29" s="211"/>
      <c r="W29" s="211"/>
      <c r="X29" s="211"/>
      <c r="Y29" s="211"/>
      <c r="Z29" s="211"/>
      <c r="AA29" s="211"/>
      <c r="AB29" s="211"/>
      <c r="AC29" s="211"/>
      <c r="AD29" s="211"/>
      <c r="AE29" s="211"/>
      <c r="AF29" s="211"/>
      <c r="AG29" s="211"/>
      <c r="AH29" s="211"/>
      <c r="AI29" s="211"/>
      <c r="AJ29" s="211"/>
      <c r="AK29" s="211"/>
      <c r="AL29" s="211"/>
      <c r="AM29" s="255" t="s">
        <v>7551</v>
      </c>
      <c r="AN29" s="182"/>
      <c r="AO29" s="182"/>
      <c r="AP29" s="182"/>
      <c r="AQ29" s="182"/>
      <c r="AR29" s="182"/>
      <c r="AS29" s="182"/>
      <c r="AT29" s="182"/>
      <c r="AU29" s="182"/>
      <c r="AV29" s="182"/>
      <c r="AW29" s="182"/>
      <c r="AX29" s="182"/>
      <c r="AY29" s="182"/>
      <c r="AZ29" s="182"/>
      <c r="BA29" s="182"/>
      <c r="BB29" s="182"/>
      <c r="BC29" s="182"/>
      <c r="BD29" s="182"/>
      <c r="BE29" s="182"/>
      <c r="BF29" s="182"/>
      <c r="BG29" s="182"/>
      <c r="BH29" s="182"/>
      <c r="BI29" s="182"/>
      <c r="BJ29" s="182"/>
      <c r="BK29" s="182"/>
      <c r="BL29" s="182"/>
      <c r="BM29" s="182"/>
      <c r="BN29" s="182"/>
      <c r="BO29" s="182"/>
      <c r="BP29" s="182"/>
      <c r="BQ29" s="182"/>
      <c r="BR29" s="182"/>
      <c r="BS29" s="182"/>
      <c r="BT29" s="182"/>
    </row>
    <row r="30" s="182" customFormat="1" ht="18" customHeight="1" spans="1:72">
      <c r="A30" s="194" t="s">
        <v>7519</v>
      </c>
      <c r="B30" s="194" t="s">
        <v>7511</v>
      </c>
      <c r="C30" s="193" t="s">
        <v>7512</v>
      </c>
      <c r="D30" s="194" t="s">
        <v>7552</v>
      </c>
      <c r="E30" s="196">
        <v>46093</v>
      </c>
      <c r="F30" s="194" t="s">
        <v>7506</v>
      </c>
      <c r="G30" s="193" t="s">
        <v>7507</v>
      </c>
      <c r="H30" s="194">
        <v>3000</v>
      </c>
      <c r="I30" s="197"/>
      <c r="J30" s="197"/>
      <c r="K30" s="197"/>
      <c r="L30" s="197"/>
      <c r="M30" s="197"/>
      <c r="N30" s="197"/>
      <c r="O30" s="197"/>
      <c r="P30" s="197"/>
      <c r="Q30" s="197">
        <v>3000</v>
      </c>
      <c r="R30" s="197"/>
      <c r="S30" s="197"/>
      <c r="T30" s="197"/>
      <c r="U30" s="197"/>
      <c r="V30" s="197"/>
      <c r="W30" s="197"/>
      <c r="X30" s="197"/>
      <c r="Y30" s="197"/>
      <c r="Z30" s="197"/>
      <c r="AA30" s="197"/>
      <c r="AB30" s="197"/>
      <c r="AC30" s="197"/>
      <c r="AD30" s="197"/>
      <c r="AE30" s="197"/>
      <c r="AF30" s="197"/>
      <c r="AG30" s="197"/>
      <c r="AH30" s="197"/>
      <c r="AI30" s="197"/>
      <c r="AJ30" s="197"/>
      <c r="AK30" s="197"/>
      <c r="AL30" s="197"/>
      <c r="AM30" s="217"/>
    </row>
    <row r="31" s="182" customFormat="1" ht="18" customHeight="1" spans="1:72">
      <c r="A31" s="194" t="s">
        <v>7519</v>
      </c>
      <c r="B31" s="194" t="s">
        <v>7511</v>
      </c>
      <c r="C31" s="193" t="s">
        <v>7512</v>
      </c>
      <c r="D31" s="194" t="s">
        <v>7553</v>
      </c>
      <c r="E31" s="196">
        <v>46093</v>
      </c>
      <c r="F31" s="194" t="s">
        <v>7516</v>
      </c>
      <c r="G31" s="193" t="s">
        <v>7507</v>
      </c>
      <c r="H31" s="194">
        <v>500</v>
      </c>
      <c r="I31" s="197"/>
      <c r="J31" s="197"/>
      <c r="K31" s="197"/>
      <c r="L31" s="197"/>
      <c r="M31" s="197"/>
      <c r="N31" s="197"/>
      <c r="O31" s="197"/>
      <c r="P31" s="197"/>
      <c r="Q31" s="197"/>
      <c r="R31" s="197">
        <v>500</v>
      </c>
      <c r="S31" s="197"/>
      <c r="T31" s="197"/>
      <c r="U31" s="197"/>
      <c r="V31" s="197"/>
      <c r="W31" s="197"/>
      <c r="X31" s="197"/>
      <c r="Y31" s="197"/>
      <c r="Z31" s="197"/>
      <c r="AA31" s="197"/>
      <c r="AB31" s="197"/>
      <c r="AC31" s="197"/>
      <c r="AD31" s="197"/>
      <c r="AE31" s="197"/>
      <c r="AF31" s="197"/>
      <c r="AG31" s="197"/>
      <c r="AH31" s="197"/>
      <c r="AI31" s="197"/>
      <c r="AJ31" s="197"/>
      <c r="AK31" s="197"/>
      <c r="AL31" s="197"/>
      <c r="AM31" s="217"/>
    </row>
    <row r="32" s="182" customFormat="1" ht="18" customHeight="1" spans="1:72">
      <c r="A32" s="194" t="s">
        <v>7519</v>
      </c>
      <c r="B32" s="194" t="s">
        <v>7514</v>
      </c>
      <c r="C32" s="193" t="s">
        <v>7512</v>
      </c>
      <c r="D32" s="194" t="s">
        <v>7554</v>
      </c>
      <c r="E32" s="196">
        <v>46093</v>
      </c>
      <c r="F32" s="194" t="s">
        <v>7506</v>
      </c>
      <c r="G32" s="193" t="s">
        <v>7507</v>
      </c>
      <c r="H32" s="194">
        <v>2000</v>
      </c>
      <c r="I32" s="197"/>
      <c r="J32" s="197"/>
      <c r="K32" s="197"/>
      <c r="L32" s="197"/>
      <c r="M32" s="197"/>
      <c r="N32" s="197"/>
      <c r="O32" s="197"/>
      <c r="P32" s="197"/>
      <c r="Q32" s="197"/>
      <c r="R32" s="197"/>
      <c r="S32" s="197">
        <v>2000</v>
      </c>
      <c r="T32" s="197"/>
      <c r="U32" s="197"/>
      <c r="V32" s="197"/>
      <c r="W32" s="197"/>
      <c r="X32" s="197"/>
      <c r="Y32" s="197"/>
      <c r="Z32" s="197"/>
      <c r="AA32" s="197"/>
      <c r="AB32" s="197"/>
      <c r="AC32" s="197"/>
      <c r="AD32" s="197"/>
      <c r="AE32" s="197"/>
      <c r="AF32" s="197"/>
      <c r="AG32" s="197"/>
      <c r="AH32" s="197"/>
      <c r="AI32" s="197"/>
      <c r="AJ32" s="197"/>
      <c r="AK32" s="197"/>
      <c r="AL32" s="197"/>
      <c r="AM32" s="217"/>
    </row>
    <row r="33" s="182" customFormat="1" ht="18" customHeight="1" spans="1:72">
      <c r="A33" s="194" t="s">
        <v>7519</v>
      </c>
      <c r="B33" s="194" t="s">
        <v>7514</v>
      </c>
      <c r="C33" s="193" t="s">
        <v>7512</v>
      </c>
      <c r="D33" s="194" t="s">
        <v>7555</v>
      </c>
      <c r="E33" s="196">
        <v>46093</v>
      </c>
      <c r="F33" s="194" t="s">
        <v>7516</v>
      </c>
      <c r="G33" s="193" t="s">
        <v>7507</v>
      </c>
      <c r="H33" s="194">
        <v>1000</v>
      </c>
      <c r="I33" s="197"/>
      <c r="J33" s="197"/>
      <c r="K33" s="197"/>
      <c r="L33" s="197"/>
      <c r="M33" s="197"/>
      <c r="N33" s="197"/>
      <c r="O33" s="197"/>
      <c r="P33" s="197"/>
      <c r="Q33" s="197"/>
      <c r="R33" s="197"/>
      <c r="S33" s="197"/>
      <c r="T33" s="197">
        <v>1000</v>
      </c>
      <c r="U33" s="197"/>
      <c r="V33" s="197"/>
      <c r="W33" s="197"/>
      <c r="X33" s="197"/>
      <c r="Y33" s="197"/>
      <c r="Z33" s="197"/>
      <c r="AA33" s="197"/>
      <c r="AB33" s="197"/>
      <c r="AC33" s="197"/>
      <c r="AD33" s="197"/>
      <c r="AE33" s="197"/>
      <c r="AF33" s="197"/>
      <c r="AG33" s="197"/>
      <c r="AH33" s="197"/>
      <c r="AI33" s="197"/>
      <c r="AJ33" s="197"/>
      <c r="AK33" s="197"/>
      <c r="AL33" s="197"/>
      <c r="AM33" s="217"/>
    </row>
    <row r="34" s="182" customFormat="1" ht="18" customHeight="1" spans="1:72">
      <c r="A34" s="194" t="s">
        <v>7556</v>
      </c>
      <c r="B34" s="194" t="s">
        <v>7527</v>
      </c>
      <c r="C34" s="193" t="s">
        <v>7512</v>
      </c>
      <c r="D34" s="194" t="s">
        <v>7557</v>
      </c>
      <c r="E34" s="196">
        <v>46108</v>
      </c>
      <c r="F34" s="194" t="s">
        <v>7506</v>
      </c>
      <c r="G34" s="193" t="s">
        <v>7507</v>
      </c>
      <c r="H34" s="194">
        <v>4495</v>
      </c>
      <c r="I34" s="197"/>
      <c r="J34" s="197"/>
      <c r="K34" s="197"/>
      <c r="L34" s="197"/>
      <c r="M34" s="197"/>
      <c r="N34" s="197"/>
      <c r="O34" s="197"/>
      <c r="P34" s="197"/>
      <c r="Q34" s="197"/>
      <c r="R34" s="197"/>
      <c r="S34" s="197"/>
      <c r="T34" s="197"/>
      <c r="U34" s="197"/>
      <c r="V34" s="197"/>
      <c r="W34" s="197"/>
      <c r="X34" s="197"/>
      <c r="Y34" s="197"/>
      <c r="Z34" s="197"/>
      <c r="AA34" s="197">
        <v>4495</v>
      </c>
      <c r="AB34" s="197"/>
      <c r="AC34" s="197"/>
      <c r="AD34" s="197"/>
      <c r="AE34" s="197"/>
      <c r="AF34" s="197"/>
      <c r="AG34" s="197"/>
      <c r="AH34" s="197"/>
      <c r="AI34" s="197"/>
      <c r="AJ34" s="197"/>
      <c r="AK34" s="197"/>
      <c r="AL34" s="197"/>
      <c r="AM34" s="217" t="s">
        <v>7558</v>
      </c>
    </row>
    <row r="35" s="182" customFormat="1" ht="18" customHeight="1" spans="1:72">
      <c r="A35" s="193" t="s">
        <v>7519</v>
      </c>
      <c r="B35" s="194">
        <v>77772</v>
      </c>
      <c r="C35" s="193" t="s">
        <v>7504</v>
      </c>
      <c r="D35" s="194" t="s">
        <v>7559</v>
      </c>
      <c r="E35" s="196">
        <v>46115</v>
      </c>
      <c r="F35" s="194" t="s">
        <v>7506</v>
      </c>
      <c r="G35" s="197" t="s">
        <v>7507</v>
      </c>
      <c r="H35" s="194">
        <v>800000</v>
      </c>
      <c r="I35" s="197">
        <v>800000</v>
      </c>
      <c r="J35" s="197"/>
      <c r="K35" s="197"/>
      <c r="L35" s="197"/>
      <c r="M35" s="197"/>
      <c r="N35" s="197"/>
      <c r="O35" s="197"/>
      <c r="P35" s="197"/>
      <c r="Q35" s="197"/>
      <c r="R35" s="197"/>
      <c r="S35" s="197"/>
      <c r="T35" s="197"/>
      <c r="U35" s="197"/>
      <c r="V35" s="197"/>
      <c r="W35" s="197"/>
      <c r="X35" s="197"/>
      <c r="Y35" s="197"/>
      <c r="Z35" s="197"/>
      <c r="AA35" s="197"/>
      <c r="AB35" s="197"/>
      <c r="AC35" s="197"/>
      <c r="AD35" s="197"/>
      <c r="AE35" s="197"/>
      <c r="AF35" s="197"/>
      <c r="AG35" s="197"/>
      <c r="AH35" s="197"/>
      <c r="AI35" s="197"/>
      <c r="AJ35" s="197"/>
      <c r="AK35" s="197"/>
      <c r="AL35" s="197"/>
      <c r="AM35" s="217"/>
    </row>
    <row r="36" s="182" customFormat="1" ht="18" customHeight="1" spans="1:72">
      <c r="A36" s="193" t="s">
        <v>7519</v>
      </c>
      <c r="B36" s="194">
        <v>77772</v>
      </c>
      <c r="C36" s="193" t="s">
        <v>7504</v>
      </c>
      <c r="D36" s="194" t="s">
        <v>7560</v>
      </c>
      <c r="E36" s="196">
        <v>46115</v>
      </c>
      <c r="F36" s="194" t="s">
        <v>7516</v>
      </c>
      <c r="G36" s="197" t="s">
        <v>7507</v>
      </c>
      <c r="H36" s="194">
        <v>200000</v>
      </c>
      <c r="I36" s="197"/>
      <c r="J36" s="197">
        <v>200000</v>
      </c>
      <c r="K36" s="197"/>
      <c r="L36" s="197"/>
      <c r="M36" s="197"/>
      <c r="N36" s="197"/>
      <c r="O36" s="197"/>
      <c r="P36" s="197"/>
      <c r="Q36" s="197"/>
      <c r="R36" s="197"/>
      <c r="S36" s="197"/>
      <c r="T36" s="197"/>
      <c r="U36" s="197"/>
      <c r="V36" s="197"/>
      <c r="W36" s="197"/>
      <c r="X36" s="197"/>
      <c r="Y36" s="197"/>
      <c r="Z36" s="197"/>
      <c r="AA36" s="197"/>
      <c r="AB36" s="197"/>
      <c r="AC36" s="197"/>
      <c r="AD36" s="197"/>
      <c r="AE36" s="197"/>
      <c r="AF36" s="197"/>
      <c r="AG36" s="197"/>
      <c r="AH36" s="197"/>
      <c r="AI36" s="197"/>
      <c r="AJ36" s="197"/>
      <c r="AK36" s="197"/>
      <c r="AL36" s="197"/>
      <c r="AM36" s="217"/>
    </row>
    <row r="37" s="182" customFormat="1" ht="18" customHeight="1" spans="1:72">
      <c r="A37" s="193" t="s">
        <v>7519</v>
      </c>
      <c r="B37" s="194">
        <v>77772</v>
      </c>
      <c r="C37" s="193" t="s">
        <v>7508</v>
      </c>
      <c r="D37" s="194" t="s">
        <v>7561</v>
      </c>
      <c r="E37" s="196">
        <v>46115</v>
      </c>
      <c r="F37" s="194" t="s">
        <v>7510</v>
      </c>
      <c r="G37" s="197" t="s">
        <v>7507</v>
      </c>
      <c r="H37" s="194">
        <v>1000000</v>
      </c>
      <c r="I37" s="197"/>
      <c r="J37" s="197"/>
      <c r="K37" s="197"/>
      <c r="L37" s="197"/>
      <c r="M37" s="197"/>
      <c r="N37" s="197"/>
      <c r="O37" s="197">
        <v>1000000</v>
      </c>
      <c r="P37" s="197"/>
      <c r="Q37" s="197"/>
      <c r="R37" s="197"/>
      <c r="S37" s="197"/>
      <c r="T37" s="197"/>
      <c r="U37" s="197"/>
      <c r="V37" s="197"/>
      <c r="W37" s="197"/>
      <c r="X37" s="197"/>
      <c r="Y37" s="197"/>
      <c r="Z37" s="197"/>
      <c r="AA37" s="197"/>
      <c r="AB37" s="197"/>
      <c r="AC37" s="197"/>
      <c r="AD37" s="197"/>
      <c r="AE37" s="197"/>
      <c r="AF37" s="197"/>
      <c r="AG37" s="197"/>
      <c r="AH37" s="197"/>
      <c r="AI37" s="197"/>
      <c r="AJ37" s="197"/>
      <c r="AK37" s="197"/>
      <c r="AL37" s="197"/>
      <c r="AM37" s="217"/>
    </row>
    <row r="38" s="182" customFormat="1" ht="18" customHeight="1" spans="1:72">
      <c r="A38" s="193" t="s">
        <v>7519</v>
      </c>
      <c r="B38" s="194" t="s">
        <v>7511</v>
      </c>
      <c r="C38" s="193" t="s">
        <v>7512</v>
      </c>
      <c r="D38" s="194" t="s">
        <v>7562</v>
      </c>
      <c r="E38" s="196">
        <v>46115</v>
      </c>
      <c r="F38" s="194" t="s">
        <v>7506</v>
      </c>
      <c r="G38" s="197" t="s">
        <v>7507</v>
      </c>
      <c r="H38" s="194">
        <v>5000</v>
      </c>
      <c r="I38" s="197"/>
      <c r="J38" s="197"/>
      <c r="K38" s="197"/>
      <c r="L38" s="197"/>
      <c r="M38" s="197"/>
      <c r="N38" s="197"/>
      <c r="O38" s="197"/>
      <c r="P38" s="197"/>
      <c r="Q38" s="197">
        <v>5000</v>
      </c>
      <c r="R38" s="197"/>
      <c r="S38" s="197"/>
      <c r="T38" s="197"/>
      <c r="U38" s="197"/>
      <c r="V38" s="197"/>
      <c r="W38" s="197"/>
      <c r="X38" s="197"/>
      <c r="Y38" s="197"/>
      <c r="Z38" s="197"/>
      <c r="AA38" s="197"/>
      <c r="AB38" s="197"/>
      <c r="AC38" s="197"/>
      <c r="AD38" s="197"/>
      <c r="AE38" s="197"/>
      <c r="AF38" s="197"/>
      <c r="AG38" s="197"/>
      <c r="AH38" s="197"/>
      <c r="AI38" s="197"/>
      <c r="AJ38" s="197"/>
      <c r="AK38" s="197"/>
      <c r="AL38" s="197"/>
      <c r="AM38" s="217"/>
    </row>
    <row r="39" s="182" customFormat="1" ht="18" customHeight="1" spans="1:72">
      <c r="A39" s="193" t="s">
        <v>7519</v>
      </c>
      <c r="B39" s="194" t="s">
        <v>7511</v>
      </c>
      <c r="C39" s="193" t="s">
        <v>7512</v>
      </c>
      <c r="D39" s="194" t="s">
        <v>7563</v>
      </c>
      <c r="E39" s="196">
        <v>46115</v>
      </c>
      <c r="F39" s="194" t="s">
        <v>7516</v>
      </c>
      <c r="G39" s="197" t="s">
        <v>7507</v>
      </c>
      <c r="H39" s="194">
        <v>500</v>
      </c>
      <c r="I39" s="197"/>
      <c r="J39" s="197"/>
      <c r="K39" s="197"/>
      <c r="L39" s="197"/>
      <c r="M39" s="197"/>
      <c r="N39" s="197"/>
      <c r="O39" s="197"/>
      <c r="P39" s="197"/>
      <c r="Q39" s="197"/>
      <c r="R39" s="197">
        <v>500</v>
      </c>
      <c r="S39" s="197"/>
      <c r="T39" s="197"/>
      <c r="U39" s="197"/>
      <c r="V39" s="197"/>
      <c r="W39" s="197"/>
      <c r="X39" s="197"/>
      <c r="Y39" s="197"/>
      <c r="Z39" s="197"/>
      <c r="AA39" s="197"/>
      <c r="AB39" s="197"/>
      <c r="AC39" s="197"/>
      <c r="AD39" s="197"/>
      <c r="AE39" s="197"/>
      <c r="AF39" s="197"/>
      <c r="AG39" s="197"/>
      <c r="AH39" s="197"/>
      <c r="AI39" s="197"/>
      <c r="AJ39" s="197"/>
      <c r="AK39" s="197"/>
      <c r="AL39" s="197"/>
      <c r="AM39" s="217"/>
    </row>
    <row r="40" s="182" customFormat="1" ht="18" customHeight="1" spans="1:72">
      <c r="A40" s="193" t="s">
        <v>7519</v>
      </c>
      <c r="B40" s="194" t="s">
        <v>7514</v>
      </c>
      <c r="C40" s="193" t="s">
        <v>7512</v>
      </c>
      <c r="D40" s="194" t="s">
        <v>7564</v>
      </c>
      <c r="E40" s="196">
        <v>46115</v>
      </c>
      <c r="F40" s="194" t="s">
        <v>7506</v>
      </c>
      <c r="G40" s="197" t="s">
        <v>7507</v>
      </c>
      <c r="H40" s="194">
        <v>2000</v>
      </c>
      <c r="I40" s="197"/>
      <c r="J40" s="197"/>
      <c r="K40" s="197"/>
      <c r="L40" s="197"/>
      <c r="M40" s="197"/>
      <c r="N40" s="197"/>
      <c r="O40" s="197"/>
      <c r="P40" s="197"/>
      <c r="Q40" s="197"/>
      <c r="R40" s="197"/>
      <c r="S40" s="197">
        <v>2000</v>
      </c>
      <c r="T40" s="197"/>
      <c r="U40" s="197"/>
      <c r="V40" s="197"/>
      <c r="W40" s="197"/>
      <c r="X40" s="197"/>
      <c r="Y40" s="197"/>
      <c r="Z40" s="197"/>
      <c r="AA40" s="197"/>
      <c r="AB40" s="197"/>
      <c r="AC40" s="197"/>
      <c r="AD40" s="197"/>
      <c r="AE40" s="197"/>
      <c r="AF40" s="197"/>
      <c r="AG40" s="197"/>
      <c r="AH40" s="197"/>
      <c r="AI40" s="197"/>
      <c r="AJ40" s="197"/>
      <c r="AK40" s="197"/>
      <c r="AL40" s="197"/>
      <c r="AM40" s="217"/>
    </row>
    <row r="41" s="182" customFormat="1" ht="18" customHeight="1" spans="1:72">
      <c r="A41" s="193" t="s">
        <v>7519</v>
      </c>
      <c r="B41" s="194" t="s">
        <v>7514</v>
      </c>
      <c r="C41" s="193" t="s">
        <v>7512</v>
      </c>
      <c r="D41" s="194" t="s">
        <v>7565</v>
      </c>
      <c r="E41" s="196">
        <v>46115</v>
      </c>
      <c r="F41" s="194" t="s">
        <v>7516</v>
      </c>
      <c r="G41" s="197" t="s">
        <v>7507</v>
      </c>
      <c r="H41" s="194">
        <v>1000</v>
      </c>
      <c r="I41" s="197"/>
      <c r="J41" s="197"/>
      <c r="K41" s="197"/>
      <c r="L41" s="197"/>
      <c r="M41" s="197"/>
      <c r="N41" s="197"/>
      <c r="O41" s="197"/>
      <c r="P41" s="197"/>
      <c r="Q41" s="197"/>
      <c r="R41" s="197"/>
      <c r="S41" s="197"/>
      <c r="T41" s="197">
        <v>1000</v>
      </c>
      <c r="U41" s="197"/>
      <c r="V41" s="197"/>
      <c r="W41" s="197"/>
      <c r="X41" s="197"/>
      <c r="Y41" s="197"/>
      <c r="Z41" s="197"/>
      <c r="AA41" s="197"/>
      <c r="AB41" s="197"/>
      <c r="AC41" s="197"/>
      <c r="AD41" s="197"/>
      <c r="AE41" s="197"/>
      <c r="AF41" s="197"/>
      <c r="AG41" s="197"/>
      <c r="AH41" s="197"/>
      <c r="AI41" s="197"/>
      <c r="AJ41" s="197"/>
      <c r="AK41" s="197"/>
      <c r="AL41" s="197"/>
      <c r="AM41" s="217"/>
    </row>
    <row r="42" s="182" customFormat="1" ht="18" customHeight="1" spans="1:72">
      <c r="A42" s="193" t="s">
        <v>7519</v>
      </c>
      <c r="B42" s="194" t="s">
        <v>7566</v>
      </c>
      <c r="C42" s="193" t="s">
        <v>7567</v>
      </c>
      <c r="D42" s="194" t="s">
        <v>7568</v>
      </c>
      <c r="E42" s="196">
        <v>46115</v>
      </c>
      <c r="F42" s="194" t="s">
        <v>7516</v>
      </c>
      <c r="G42" s="197" t="s">
        <v>7507</v>
      </c>
      <c r="H42" s="194">
        <v>300</v>
      </c>
      <c r="I42" s="197"/>
      <c r="J42" s="197"/>
      <c r="K42" s="197"/>
      <c r="L42" s="197"/>
      <c r="M42" s="197"/>
      <c r="N42" s="197"/>
      <c r="O42" s="197"/>
      <c r="P42" s="197"/>
      <c r="Q42" s="197"/>
      <c r="R42" s="197"/>
      <c r="S42" s="197"/>
      <c r="T42" s="197"/>
      <c r="U42" s="197"/>
      <c r="V42" s="197"/>
      <c r="W42" s="197"/>
      <c r="X42" s="197"/>
      <c r="Y42" s="197"/>
      <c r="Z42" s="197"/>
      <c r="AA42" s="197"/>
      <c r="AB42" s="197"/>
      <c r="AC42" s="197"/>
      <c r="AD42" s="197"/>
      <c r="AE42" s="197"/>
      <c r="AF42" s="197"/>
      <c r="AG42" s="197">
        <v>300</v>
      </c>
      <c r="AH42" s="197"/>
      <c r="AI42" s="197"/>
      <c r="AJ42" s="197"/>
      <c r="AK42" s="197"/>
      <c r="AL42" s="197"/>
      <c r="AM42" s="217"/>
    </row>
    <row r="43" s="183" customFormat="1" ht="18" customHeight="1" spans="1:72">
      <c r="A43" s="207" t="s">
        <v>7519</v>
      </c>
      <c r="B43" s="206" t="s">
        <v>799</v>
      </c>
      <c r="C43" s="207" t="s">
        <v>7569</v>
      </c>
      <c r="D43" s="206" t="s">
        <v>7570</v>
      </c>
      <c r="E43" s="209">
        <v>46115</v>
      </c>
      <c r="F43" s="206" t="s">
        <v>7516</v>
      </c>
      <c r="G43" s="211" t="s">
        <v>7507</v>
      </c>
      <c r="H43" s="206">
        <v>300</v>
      </c>
      <c r="I43" s="211"/>
      <c r="J43" s="211"/>
      <c r="K43" s="211"/>
      <c r="L43" s="211"/>
      <c r="M43" s="211"/>
      <c r="N43" s="211"/>
      <c r="O43" s="211"/>
      <c r="P43" s="211"/>
      <c r="Q43" s="211"/>
      <c r="R43" s="211"/>
      <c r="S43" s="211"/>
      <c r="T43" s="211"/>
      <c r="U43" s="211"/>
      <c r="V43" s="211"/>
      <c r="W43" s="211"/>
      <c r="X43" s="211"/>
      <c r="Y43" s="211"/>
      <c r="Z43" s="211"/>
      <c r="AA43" s="211"/>
      <c r="AB43" s="211"/>
      <c r="AC43" s="211"/>
      <c r="AD43" s="211"/>
      <c r="AE43" s="211"/>
      <c r="AF43" s="211">
        <v>300</v>
      </c>
      <c r="AG43" s="211"/>
      <c r="AH43" s="211"/>
      <c r="AI43" s="211"/>
      <c r="AJ43" s="211"/>
      <c r="AK43" s="211"/>
      <c r="AL43" s="211"/>
      <c r="AM43" s="256"/>
      <c r="AN43" s="182"/>
      <c r="AO43" s="182"/>
      <c r="AP43" s="182"/>
      <c r="AQ43" s="182"/>
      <c r="AR43" s="182"/>
      <c r="AS43" s="182"/>
      <c r="AT43" s="182"/>
      <c r="AU43" s="182"/>
      <c r="AV43" s="182"/>
      <c r="AW43" s="182"/>
      <c r="AX43" s="182"/>
      <c r="AY43" s="182"/>
      <c r="AZ43" s="182"/>
      <c r="BA43" s="182"/>
      <c r="BB43" s="182"/>
      <c r="BC43" s="182"/>
      <c r="BD43" s="182"/>
      <c r="BE43" s="182"/>
      <c r="BF43" s="182"/>
      <c r="BG43" s="182"/>
      <c r="BH43" s="182"/>
      <c r="BI43" s="182"/>
      <c r="BJ43" s="182"/>
      <c r="BK43" s="182"/>
      <c r="BL43" s="182"/>
      <c r="BM43" s="182"/>
      <c r="BN43" s="182"/>
      <c r="BO43" s="182"/>
      <c r="BP43" s="182"/>
      <c r="BQ43" s="182"/>
      <c r="BR43" s="182"/>
      <c r="BS43" s="182"/>
      <c r="BT43" s="182"/>
    </row>
    <row r="44" s="182" customFormat="1" ht="18" customHeight="1" spans="1:72">
      <c r="A44" s="193" t="s">
        <v>7556</v>
      </c>
      <c r="B44" s="194" t="s">
        <v>7527</v>
      </c>
      <c r="C44" s="193" t="s">
        <v>7512</v>
      </c>
      <c r="D44" s="194" t="s">
        <v>7530</v>
      </c>
      <c r="E44" s="196">
        <v>46091</v>
      </c>
      <c r="F44" s="194" t="s">
        <v>7506</v>
      </c>
      <c r="G44" s="197" t="s">
        <v>7507</v>
      </c>
      <c r="H44" s="194">
        <v>3200</v>
      </c>
      <c r="I44" s="197"/>
      <c r="J44" s="197"/>
      <c r="K44" s="197"/>
      <c r="L44" s="197"/>
      <c r="M44" s="197"/>
      <c r="N44" s="197"/>
      <c r="O44" s="197"/>
      <c r="P44" s="197"/>
      <c r="Q44" s="197"/>
      <c r="R44" s="197"/>
      <c r="S44" s="197"/>
      <c r="T44" s="197"/>
      <c r="U44" s="197"/>
      <c r="V44" s="197"/>
      <c r="W44" s="197"/>
      <c r="X44" s="197"/>
      <c r="Y44" s="197"/>
      <c r="Z44" s="197"/>
      <c r="AA44" s="197">
        <v>3200</v>
      </c>
      <c r="AB44" s="197"/>
      <c r="AC44" s="197"/>
      <c r="AD44" s="197"/>
      <c r="AE44" s="197"/>
      <c r="AF44" s="197"/>
      <c r="AG44" s="197"/>
      <c r="AH44" s="197"/>
      <c r="AI44" s="197"/>
      <c r="AJ44" s="197"/>
      <c r="AK44" s="197"/>
      <c r="AL44" s="197"/>
      <c r="AM44" s="217" t="s">
        <v>7571</v>
      </c>
    </row>
    <row r="45" s="182" customFormat="1" ht="18" customHeight="1" spans="1:72">
      <c r="A45" s="193" t="s">
        <v>7556</v>
      </c>
      <c r="B45" s="194" t="s">
        <v>7527</v>
      </c>
      <c r="C45" s="193" t="s">
        <v>7512</v>
      </c>
      <c r="D45" s="194" t="s">
        <v>7530</v>
      </c>
      <c r="E45" s="196">
        <v>46094</v>
      </c>
      <c r="F45" s="194" t="s">
        <v>7506</v>
      </c>
      <c r="G45" s="197" t="s">
        <v>7507</v>
      </c>
      <c r="H45" s="194">
        <v>1155</v>
      </c>
      <c r="I45" s="197"/>
      <c r="J45" s="197"/>
      <c r="K45" s="197"/>
      <c r="L45" s="197"/>
      <c r="M45" s="197"/>
      <c r="N45" s="197"/>
      <c r="O45" s="197"/>
      <c r="P45" s="197"/>
      <c r="Q45" s="197"/>
      <c r="R45" s="197"/>
      <c r="S45" s="197"/>
      <c r="T45" s="197"/>
      <c r="U45" s="197"/>
      <c r="V45" s="197"/>
      <c r="W45" s="197"/>
      <c r="X45" s="197"/>
      <c r="Y45" s="197"/>
      <c r="Z45" s="197"/>
      <c r="AA45" s="197">
        <v>1155</v>
      </c>
      <c r="AB45" s="197"/>
      <c r="AC45" s="197"/>
      <c r="AD45" s="197"/>
      <c r="AE45" s="197"/>
      <c r="AF45" s="197"/>
      <c r="AG45" s="197"/>
      <c r="AH45" s="197"/>
      <c r="AI45" s="197"/>
      <c r="AJ45" s="197"/>
      <c r="AK45" s="197"/>
      <c r="AL45" s="197"/>
      <c r="AM45" s="217" t="s">
        <v>7572</v>
      </c>
    </row>
    <row r="46" s="182" customFormat="1" ht="16" customHeight="1" spans="1:72">
      <c r="A46" s="193"/>
      <c r="B46" s="194" t="s">
        <v>73</v>
      </c>
      <c r="C46" s="193" t="s">
        <v>7567</v>
      </c>
      <c r="D46" s="194" t="s">
        <v>7573</v>
      </c>
      <c r="E46" s="196">
        <v>46119</v>
      </c>
      <c r="F46" s="194" t="s">
        <v>7516</v>
      </c>
      <c r="G46" s="197" t="s">
        <v>98</v>
      </c>
      <c r="H46" s="194">
        <v>595</v>
      </c>
      <c r="I46" s="197"/>
      <c r="J46" s="197"/>
      <c r="K46" s="197"/>
      <c r="L46" s="197"/>
      <c r="M46" s="197"/>
      <c r="N46" s="197"/>
      <c r="O46" s="197"/>
      <c r="P46" s="197"/>
      <c r="Q46" s="197"/>
      <c r="R46" s="197"/>
      <c r="S46" s="197"/>
      <c r="T46" s="197"/>
      <c r="U46" s="197"/>
      <c r="V46" s="197"/>
      <c r="W46" s="197"/>
      <c r="X46" s="197"/>
      <c r="Y46" s="197"/>
      <c r="Z46" s="197"/>
      <c r="AA46" s="197"/>
      <c r="AB46" s="197"/>
      <c r="AC46" s="197"/>
      <c r="AD46" s="197"/>
      <c r="AE46" s="197"/>
      <c r="AF46" s="197"/>
      <c r="AG46" s="197"/>
      <c r="AH46" s="197"/>
      <c r="AI46" s="194">
        <v>595</v>
      </c>
      <c r="AJ46" s="197"/>
      <c r="AK46" s="197"/>
      <c r="AL46" s="197"/>
      <c r="AM46" s="217" t="s">
        <v>7574</v>
      </c>
    </row>
    <row r="47" s="182" customFormat="1" ht="18" customHeight="1" spans="1:72">
      <c r="A47" s="193" t="s">
        <v>7575</v>
      </c>
      <c r="B47" s="194" t="s">
        <v>7527</v>
      </c>
      <c r="C47" s="193" t="s">
        <v>7512</v>
      </c>
      <c r="D47" s="194" t="s">
        <v>7576</v>
      </c>
      <c r="E47" s="196">
        <v>46122</v>
      </c>
      <c r="F47" s="194" t="s">
        <v>7506</v>
      </c>
      <c r="G47" s="197" t="s">
        <v>7507</v>
      </c>
      <c r="H47" s="194">
        <v>7246</v>
      </c>
      <c r="I47" s="197"/>
      <c r="J47" s="197"/>
      <c r="K47" s="197"/>
      <c r="L47" s="197"/>
      <c r="M47" s="197"/>
      <c r="N47" s="197"/>
      <c r="O47" s="197"/>
      <c r="P47" s="197"/>
      <c r="Q47" s="197"/>
      <c r="R47" s="197"/>
      <c r="S47" s="197"/>
      <c r="T47" s="197"/>
      <c r="U47" s="197"/>
      <c r="V47" s="197"/>
      <c r="W47" s="197"/>
      <c r="X47" s="197"/>
      <c r="Y47" s="197"/>
      <c r="Z47" s="197"/>
      <c r="AA47" s="194">
        <v>7246</v>
      </c>
      <c r="AB47" s="197"/>
      <c r="AC47" s="197"/>
      <c r="AD47" s="197"/>
      <c r="AE47" s="197"/>
      <c r="AF47" s="197"/>
      <c r="AG47" s="197"/>
      <c r="AH47" s="197"/>
      <c r="AI47" s="197"/>
      <c r="AJ47" s="197"/>
      <c r="AK47" s="197"/>
      <c r="AL47" s="197"/>
      <c r="AM47" s="217" t="s">
        <v>7577</v>
      </c>
    </row>
    <row r="48" s="182" customFormat="1" ht="18" customHeight="1" spans="1:72">
      <c r="A48" s="193" t="s">
        <v>7532</v>
      </c>
      <c r="B48" s="194" t="s">
        <v>7536</v>
      </c>
      <c r="C48" s="193" t="s">
        <v>7512</v>
      </c>
      <c r="D48" s="194" t="s">
        <v>7578</v>
      </c>
      <c r="E48" s="196">
        <v>46094</v>
      </c>
      <c r="F48" s="194" t="s">
        <v>7506</v>
      </c>
      <c r="G48" s="197" t="s">
        <v>7507</v>
      </c>
      <c r="H48" s="194">
        <v>7830</v>
      </c>
      <c r="I48" s="197"/>
      <c r="J48" s="197"/>
      <c r="K48" s="197"/>
      <c r="L48" s="197"/>
      <c r="M48" s="197"/>
      <c r="N48" s="197"/>
      <c r="O48" s="197"/>
      <c r="P48" s="197"/>
      <c r="Q48" s="197"/>
      <c r="R48" s="197"/>
      <c r="S48" s="197"/>
      <c r="T48" s="197"/>
      <c r="U48" s="197"/>
      <c r="V48" s="197"/>
      <c r="W48" s="197">
        <v>7830</v>
      </c>
      <c r="X48" s="197"/>
      <c r="Y48" s="197"/>
      <c r="Z48" s="197"/>
      <c r="AA48" s="197"/>
      <c r="AB48" s="197"/>
      <c r="AC48" s="197"/>
      <c r="AD48" s="197"/>
      <c r="AE48" s="197"/>
      <c r="AF48" s="197"/>
      <c r="AG48" s="197"/>
      <c r="AH48" s="197"/>
      <c r="AI48" s="197"/>
      <c r="AJ48" s="197"/>
      <c r="AK48" s="197"/>
      <c r="AL48" s="197"/>
      <c r="AM48" s="253" t="s">
        <v>7579</v>
      </c>
    </row>
    <row r="49" s="182" customFormat="1" ht="18" customHeight="1" spans="1:39">
      <c r="A49" s="193" t="s">
        <v>7532</v>
      </c>
      <c r="B49" s="194" t="s">
        <v>7536</v>
      </c>
      <c r="C49" s="193" t="s">
        <v>7512</v>
      </c>
      <c r="D49" s="194" t="s">
        <v>7580</v>
      </c>
      <c r="E49" s="196">
        <v>46106</v>
      </c>
      <c r="F49" s="194" t="s">
        <v>7506</v>
      </c>
      <c r="G49" s="197" t="s">
        <v>7507</v>
      </c>
      <c r="H49" s="194">
        <v>9240</v>
      </c>
      <c r="I49" s="197"/>
      <c r="J49" s="197"/>
      <c r="K49" s="197"/>
      <c r="L49" s="197"/>
      <c r="M49" s="197"/>
      <c r="N49" s="197"/>
      <c r="O49" s="197"/>
      <c r="P49" s="197"/>
      <c r="Q49" s="197"/>
      <c r="R49" s="197"/>
      <c r="S49" s="197"/>
      <c r="T49" s="197"/>
      <c r="U49" s="197"/>
      <c r="V49" s="197"/>
      <c r="W49" s="197">
        <v>9240</v>
      </c>
      <c r="X49" s="197"/>
      <c r="Y49" s="197"/>
      <c r="Z49" s="197"/>
      <c r="AA49" s="197"/>
      <c r="AB49" s="197"/>
      <c r="AC49" s="197"/>
      <c r="AD49" s="197"/>
      <c r="AE49" s="197"/>
      <c r="AF49" s="197"/>
      <c r="AG49" s="197"/>
      <c r="AH49" s="197"/>
      <c r="AI49" s="197"/>
      <c r="AJ49" s="197"/>
      <c r="AK49" s="197"/>
      <c r="AL49" s="197"/>
      <c r="AM49" s="254" t="s">
        <v>7581</v>
      </c>
    </row>
    <row r="50" s="182" customFormat="1" ht="18" customHeight="1" spans="1:39">
      <c r="A50" s="193" t="s">
        <v>7532</v>
      </c>
      <c r="B50" s="194" t="s">
        <v>7536</v>
      </c>
      <c r="C50" s="193" t="s">
        <v>7512</v>
      </c>
      <c r="D50" s="194" t="s">
        <v>7582</v>
      </c>
      <c r="E50" s="196">
        <v>46132</v>
      </c>
      <c r="F50" s="194" t="s">
        <v>7506</v>
      </c>
      <c r="G50" s="197" t="s">
        <v>7507</v>
      </c>
      <c r="H50" s="194">
        <v>6360</v>
      </c>
      <c r="I50" s="197"/>
      <c r="J50" s="197"/>
      <c r="K50" s="197"/>
      <c r="L50" s="197"/>
      <c r="M50" s="197"/>
      <c r="N50" s="197"/>
      <c r="O50" s="197"/>
      <c r="P50" s="197"/>
      <c r="Q50" s="197"/>
      <c r="R50" s="197"/>
      <c r="S50" s="197"/>
      <c r="T50" s="197"/>
      <c r="U50" s="197"/>
      <c r="V50" s="197"/>
      <c r="W50" s="197">
        <v>6360</v>
      </c>
      <c r="X50" s="197"/>
      <c r="Y50" s="197"/>
      <c r="Z50" s="197"/>
      <c r="AA50" s="197"/>
      <c r="AB50" s="197"/>
      <c r="AC50" s="197"/>
      <c r="AD50" s="197"/>
      <c r="AE50" s="197"/>
      <c r="AF50" s="197"/>
      <c r="AG50" s="197"/>
      <c r="AH50" s="197"/>
      <c r="AI50" s="197"/>
      <c r="AJ50" s="197"/>
      <c r="AK50" s="197"/>
      <c r="AL50" s="197"/>
      <c r="AM50" s="257" t="s">
        <v>7583</v>
      </c>
    </row>
    <row r="51" s="182" customFormat="1" ht="18" customHeight="1" spans="1:39">
      <c r="A51" s="193" t="s">
        <v>7532</v>
      </c>
      <c r="B51" s="194" t="s">
        <v>7514</v>
      </c>
      <c r="C51" s="193" t="s">
        <v>7512</v>
      </c>
      <c r="D51" s="194" t="s">
        <v>7584</v>
      </c>
      <c r="E51" s="196">
        <v>46133</v>
      </c>
      <c r="F51" s="194" t="s">
        <v>7506</v>
      </c>
      <c r="G51" s="197" t="s">
        <v>7585</v>
      </c>
      <c r="H51" s="194">
        <v>996</v>
      </c>
      <c r="I51" s="197"/>
      <c r="J51" s="197"/>
      <c r="K51" s="197"/>
      <c r="L51" s="197"/>
      <c r="M51" s="197"/>
      <c r="N51" s="197"/>
      <c r="O51" s="197"/>
      <c r="P51" s="197"/>
      <c r="Q51" s="197"/>
      <c r="R51" s="197"/>
      <c r="S51" s="197"/>
      <c r="T51" s="197"/>
      <c r="U51" s="197"/>
      <c r="V51" s="197">
        <v>996</v>
      </c>
      <c r="W51" s="197"/>
      <c r="X51" s="197"/>
      <c r="Y51" s="197"/>
      <c r="Z51" s="197"/>
      <c r="AA51" s="197"/>
      <c r="AB51" s="197"/>
      <c r="AC51" s="197"/>
      <c r="AD51" s="197"/>
      <c r="AE51" s="197"/>
      <c r="AF51" s="197"/>
      <c r="AG51" s="197"/>
      <c r="AH51" s="197"/>
      <c r="AI51" s="197"/>
      <c r="AJ51" s="197"/>
      <c r="AK51" s="197"/>
      <c r="AL51" s="197"/>
      <c r="AM51" s="258" t="s">
        <v>7586</v>
      </c>
    </row>
    <row r="52" s="182" customFormat="1" ht="18" customHeight="1" spans="1:39">
      <c r="A52" s="193" t="s">
        <v>7532</v>
      </c>
      <c r="B52" s="194" t="s">
        <v>7514</v>
      </c>
      <c r="C52" s="193" t="s">
        <v>7587</v>
      </c>
      <c r="D52" s="194" t="s">
        <v>7588</v>
      </c>
      <c r="E52" s="196">
        <v>46133</v>
      </c>
      <c r="F52" s="194" t="s">
        <v>7506</v>
      </c>
      <c r="G52" s="197" t="s">
        <v>7585</v>
      </c>
      <c r="H52" s="194">
        <v>95240</v>
      </c>
      <c r="I52" s="197"/>
      <c r="J52" s="197"/>
      <c r="K52" s="197"/>
      <c r="L52" s="197"/>
      <c r="M52" s="197"/>
      <c r="N52" s="197"/>
      <c r="O52" s="197"/>
      <c r="P52" s="197"/>
      <c r="Q52" s="197"/>
      <c r="R52" s="197"/>
      <c r="S52" s="197"/>
      <c r="T52" s="197"/>
      <c r="U52" s="197"/>
      <c r="V52" s="197"/>
      <c r="W52" s="197"/>
      <c r="X52" s="197"/>
      <c r="Y52" s="197"/>
      <c r="Z52" s="197"/>
      <c r="AA52" s="197"/>
      <c r="AB52" s="197"/>
      <c r="AC52" s="197"/>
      <c r="AD52" s="197"/>
      <c r="AE52" s="197"/>
      <c r="AF52" s="197"/>
      <c r="AG52" s="197"/>
      <c r="AH52" s="197"/>
      <c r="AI52" s="197"/>
      <c r="AJ52" s="197"/>
      <c r="AK52" s="197"/>
      <c r="AL52" s="197"/>
      <c r="AM52" s="259" t="s">
        <v>7589</v>
      </c>
    </row>
    <row r="53" s="182" customFormat="1" ht="18" customHeight="1" spans="1:39">
      <c r="A53" s="193" t="s">
        <v>7590</v>
      </c>
      <c r="B53" s="194" t="s">
        <v>7511</v>
      </c>
      <c r="C53" s="193" t="s">
        <v>7591</v>
      </c>
      <c r="D53" s="194">
        <v>1000039241</v>
      </c>
      <c r="E53" s="196">
        <v>46136</v>
      </c>
      <c r="F53" s="194" t="s">
        <v>7506</v>
      </c>
      <c r="G53" s="197" t="s">
        <v>7585</v>
      </c>
      <c r="H53" s="194">
        <v>3700</v>
      </c>
      <c r="I53" s="197"/>
      <c r="J53" s="197"/>
      <c r="K53" s="197"/>
      <c r="L53" s="197"/>
      <c r="M53" s="197"/>
      <c r="N53" s="197"/>
      <c r="O53" s="197"/>
      <c r="P53" s="197"/>
      <c r="Q53" s="197"/>
      <c r="R53" s="197"/>
      <c r="S53" s="197"/>
      <c r="T53" s="197"/>
      <c r="U53" s="197"/>
      <c r="V53" s="194">
        <v>3700</v>
      </c>
      <c r="W53" s="197"/>
      <c r="X53" s="197"/>
      <c r="Y53" s="197"/>
      <c r="Z53" s="197"/>
      <c r="AA53" s="197"/>
      <c r="AB53" s="197"/>
      <c r="AC53" s="197"/>
      <c r="AD53" s="197"/>
      <c r="AE53" s="197"/>
      <c r="AF53" s="197"/>
      <c r="AG53" s="197"/>
      <c r="AH53" s="197"/>
      <c r="AI53" s="197"/>
      <c r="AJ53" s="197"/>
      <c r="AK53" s="197"/>
      <c r="AL53" s="197"/>
      <c r="AM53" s="260" t="s">
        <v>7592</v>
      </c>
    </row>
    <row r="54" s="182" customFormat="1" ht="18" customHeight="1" spans="1:39">
      <c r="A54" s="193" t="s">
        <v>7517</v>
      </c>
      <c r="B54" s="194">
        <v>77876</v>
      </c>
      <c r="C54" s="193" t="s">
        <v>7593</v>
      </c>
      <c r="D54" s="194" t="s">
        <v>7594</v>
      </c>
      <c r="E54" s="196">
        <v>46134</v>
      </c>
      <c r="F54" s="194" t="s">
        <v>7506</v>
      </c>
      <c r="G54" s="197" t="s">
        <v>7585</v>
      </c>
      <c r="H54" s="194">
        <v>27048</v>
      </c>
      <c r="I54" s="197"/>
      <c r="J54" s="197"/>
      <c r="K54" s="197"/>
      <c r="L54" s="197"/>
      <c r="M54" s="197"/>
      <c r="N54" s="197"/>
      <c r="O54" s="197"/>
      <c r="P54" s="197"/>
      <c r="Q54" s="197"/>
      <c r="R54" s="197"/>
      <c r="S54" s="197"/>
      <c r="T54" s="197"/>
      <c r="U54" s="197"/>
      <c r="V54" s="197"/>
      <c r="W54" s="197"/>
      <c r="X54" s="197"/>
      <c r="Y54" s="197"/>
      <c r="Z54" s="197"/>
      <c r="AA54" s="197"/>
      <c r="AB54" s="197"/>
      <c r="AC54" s="197"/>
      <c r="AD54" s="197"/>
      <c r="AE54" s="197"/>
      <c r="AF54" s="197"/>
      <c r="AG54" s="197"/>
      <c r="AH54" s="197"/>
      <c r="AI54" s="197"/>
      <c r="AJ54" s="194">
        <v>27048</v>
      </c>
      <c r="AK54" s="197"/>
      <c r="AL54" s="197"/>
      <c r="AM54" s="217" t="s">
        <v>7595</v>
      </c>
    </row>
    <row r="55" s="182" customFormat="1" ht="18" customHeight="1" spans="1:39">
      <c r="A55" s="193" t="s">
        <v>7517</v>
      </c>
      <c r="B55" s="194">
        <v>77876</v>
      </c>
      <c r="C55" s="193" t="s">
        <v>7596</v>
      </c>
      <c r="D55" s="194" t="s">
        <v>7597</v>
      </c>
      <c r="E55" s="196">
        <v>46134</v>
      </c>
      <c r="F55" s="194" t="s">
        <v>7506</v>
      </c>
      <c r="G55" s="197" t="s">
        <v>7585</v>
      </c>
      <c r="H55" s="194">
        <v>27048</v>
      </c>
      <c r="I55" s="197"/>
      <c r="J55" s="197"/>
      <c r="K55" s="197"/>
      <c r="L55" s="197"/>
      <c r="M55" s="197"/>
      <c r="N55" s="197"/>
      <c r="O55" s="197"/>
      <c r="P55" s="197"/>
      <c r="Q55" s="197"/>
      <c r="R55" s="197"/>
      <c r="S55" s="197"/>
      <c r="T55" s="197"/>
      <c r="U55" s="197"/>
      <c r="V55" s="197"/>
      <c r="W55" s="197"/>
      <c r="X55" s="197"/>
      <c r="Y55" s="197"/>
      <c r="Z55" s="197"/>
      <c r="AA55" s="197"/>
      <c r="AB55" s="197"/>
      <c r="AC55" s="197"/>
      <c r="AD55" s="197"/>
      <c r="AE55" s="197"/>
      <c r="AF55" s="197"/>
      <c r="AG55" s="197"/>
      <c r="AH55" s="197"/>
      <c r="AI55" s="197"/>
      <c r="AJ55" s="197"/>
      <c r="AK55" s="197"/>
      <c r="AL55" s="194">
        <v>27048</v>
      </c>
      <c r="AM55" s="217" t="s">
        <v>7595</v>
      </c>
    </row>
    <row r="56" s="182" customFormat="1" ht="18" customHeight="1" spans="1:39">
      <c r="A56" s="193" t="s">
        <v>7517</v>
      </c>
      <c r="B56" s="194">
        <v>77876</v>
      </c>
      <c r="C56" s="193" t="s">
        <v>7598</v>
      </c>
      <c r="D56" s="194" t="s">
        <v>7599</v>
      </c>
      <c r="E56" s="196">
        <v>46134</v>
      </c>
      <c r="F56" s="194" t="s">
        <v>7516</v>
      </c>
      <c r="G56" s="197" t="s">
        <v>7585</v>
      </c>
      <c r="H56" s="194">
        <v>27048</v>
      </c>
      <c r="I56" s="197"/>
      <c r="J56" s="197"/>
      <c r="K56" s="197"/>
      <c r="L56" s="197"/>
      <c r="M56" s="197"/>
      <c r="N56" s="197"/>
      <c r="O56" s="197"/>
      <c r="P56" s="197"/>
      <c r="Q56" s="197"/>
      <c r="R56" s="197"/>
      <c r="S56" s="197"/>
      <c r="T56" s="197"/>
      <c r="U56" s="197"/>
      <c r="V56" s="197"/>
      <c r="W56" s="197"/>
      <c r="X56" s="197"/>
      <c r="Y56" s="197"/>
      <c r="Z56" s="197"/>
      <c r="AA56" s="197"/>
      <c r="AB56" s="197"/>
      <c r="AC56" s="197"/>
      <c r="AD56" s="197"/>
      <c r="AE56" s="197"/>
      <c r="AF56" s="197"/>
      <c r="AG56" s="197"/>
      <c r="AH56" s="197"/>
      <c r="AI56" s="197"/>
      <c r="AJ56" s="197"/>
      <c r="AK56" s="194">
        <v>27048</v>
      </c>
      <c r="AL56" s="197"/>
      <c r="AM56" s="217" t="s">
        <v>7595</v>
      </c>
    </row>
    <row r="57" s="182" customFormat="1" ht="18" customHeight="1" spans="1:39">
      <c r="A57" s="193" t="s">
        <v>7517</v>
      </c>
      <c r="B57" s="194">
        <v>77876</v>
      </c>
      <c r="C57" s="193" t="s">
        <v>7600</v>
      </c>
      <c r="D57" s="194" t="s">
        <v>7601</v>
      </c>
      <c r="E57" s="196">
        <v>46134</v>
      </c>
      <c r="F57" s="194" t="s">
        <v>7516</v>
      </c>
      <c r="G57" s="197" t="s">
        <v>7585</v>
      </c>
      <c r="H57" s="194">
        <v>54096</v>
      </c>
      <c r="I57" s="197"/>
      <c r="J57" s="197"/>
      <c r="K57" s="197"/>
      <c r="L57" s="197"/>
      <c r="M57" s="197"/>
      <c r="N57" s="197"/>
      <c r="O57" s="197"/>
      <c r="P57" s="197"/>
      <c r="Q57" s="197"/>
      <c r="R57" s="197"/>
      <c r="S57" s="197"/>
      <c r="T57" s="197"/>
      <c r="U57" s="197"/>
      <c r="V57" s="197"/>
      <c r="W57" s="197"/>
      <c r="X57" s="197"/>
      <c r="Y57" s="197"/>
      <c r="Z57" s="197"/>
      <c r="AA57" s="197"/>
      <c r="AB57" s="197"/>
      <c r="AC57" s="197"/>
      <c r="AD57" s="197"/>
      <c r="AE57" s="197"/>
      <c r="AF57" s="197"/>
      <c r="AG57" s="197"/>
      <c r="AH57" s="197"/>
      <c r="AI57" s="197"/>
      <c r="AJ57" s="197"/>
      <c r="AK57" s="197"/>
      <c r="AL57" s="197"/>
      <c r="AM57" s="217" t="s">
        <v>7595</v>
      </c>
    </row>
    <row r="58" s="182" customFormat="1" ht="18" customHeight="1" spans="1:39">
      <c r="A58" s="193" t="s">
        <v>7517</v>
      </c>
      <c r="B58" s="194">
        <v>77876</v>
      </c>
      <c r="C58" s="193" t="s">
        <v>7587</v>
      </c>
      <c r="D58" s="194" t="s">
        <v>7602</v>
      </c>
      <c r="E58" s="196">
        <v>46134</v>
      </c>
      <c r="F58" s="194" t="s">
        <v>7516</v>
      </c>
      <c r="G58" s="197" t="s">
        <v>7585</v>
      </c>
      <c r="H58" s="194">
        <v>27048</v>
      </c>
      <c r="I58" s="197"/>
      <c r="J58" s="197"/>
      <c r="K58" s="197"/>
      <c r="L58" s="197"/>
      <c r="M58" s="197"/>
      <c r="N58" s="197"/>
      <c r="O58" s="197"/>
      <c r="P58" s="197"/>
      <c r="Q58" s="197"/>
      <c r="R58" s="197"/>
      <c r="S58" s="197"/>
      <c r="T58" s="197"/>
      <c r="U58" s="197"/>
      <c r="V58" s="197"/>
      <c r="W58" s="197"/>
      <c r="X58" s="197"/>
      <c r="Y58" s="197"/>
      <c r="Z58" s="197"/>
      <c r="AA58" s="197"/>
      <c r="AB58" s="197"/>
      <c r="AC58" s="197"/>
      <c r="AD58" s="197"/>
      <c r="AE58" s="197"/>
      <c r="AF58" s="197"/>
      <c r="AG58" s="197"/>
      <c r="AH58" s="197"/>
      <c r="AI58" s="197"/>
      <c r="AJ58" s="197"/>
      <c r="AK58" s="197"/>
      <c r="AL58" s="197"/>
      <c r="AM58" s="217" t="s">
        <v>7595</v>
      </c>
    </row>
    <row r="59" s="182" customFormat="1" ht="18" customHeight="1" spans="1:39">
      <c r="A59" s="193" t="s">
        <v>7532</v>
      </c>
      <c r="B59" s="194" t="s">
        <v>7536</v>
      </c>
      <c r="C59" s="193" t="s">
        <v>7512</v>
      </c>
      <c r="D59" s="194" t="s">
        <v>7603</v>
      </c>
      <c r="E59" s="196">
        <v>46139</v>
      </c>
      <c r="F59" s="194" t="s">
        <v>7506</v>
      </c>
      <c r="G59" s="197" t="s">
        <v>7507</v>
      </c>
      <c r="H59" s="194">
        <v>2820</v>
      </c>
      <c r="I59" s="197"/>
      <c r="J59" s="197"/>
      <c r="K59" s="197"/>
      <c r="L59" s="197"/>
      <c r="M59" s="197"/>
      <c r="N59" s="197"/>
      <c r="O59" s="197"/>
      <c r="P59" s="197"/>
      <c r="Q59" s="197"/>
      <c r="R59" s="197"/>
      <c r="S59" s="197"/>
      <c r="T59" s="197"/>
      <c r="U59" s="197"/>
      <c r="V59" s="197"/>
      <c r="W59" s="194">
        <v>2820</v>
      </c>
      <c r="X59" s="197"/>
      <c r="Y59" s="197"/>
      <c r="Z59" s="197"/>
      <c r="AA59" s="197"/>
      <c r="AB59" s="197"/>
      <c r="AC59" s="197"/>
      <c r="AD59" s="197"/>
      <c r="AE59" s="197"/>
      <c r="AF59" s="197"/>
      <c r="AG59" s="197"/>
      <c r="AH59" s="197"/>
      <c r="AI59" s="197"/>
      <c r="AJ59" s="197"/>
      <c r="AK59" s="197"/>
      <c r="AL59" s="197"/>
      <c r="AM59" s="253" t="s">
        <v>7604</v>
      </c>
    </row>
    <row r="60" s="182" customFormat="1" ht="18" customHeight="1" spans="1:39">
      <c r="A60" s="193" t="s">
        <v>7532</v>
      </c>
      <c r="B60" s="194" t="s">
        <v>7536</v>
      </c>
      <c r="C60" s="193" t="s">
        <v>7512</v>
      </c>
      <c r="D60" s="194" t="s">
        <v>7605</v>
      </c>
      <c r="E60" s="196">
        <v>46139</v>
      </c>
      <c r="F60" s="194" t="s">
        <v>7506</v>
      </c>
      <c r="G60" s="197" t="s">
        <v>7507</v>
      </c>
      <c r="H60" s="194">
        <v>8000</v>
      </c>
      <c r="I60" s="197"/>
      <c r="J60" s="197"/>
      <c r="K60" s="197"/>
      <c r="L60" s="197"/>
      <c r="M60" s="197"/>
      <c r="N60" s="197"/>
      <c r="O60" s="197"/>
      <c r="P60" s="197"/>
      <c r="Q60" s="197"/>
      <c r="R60" s="197"/>
      <c r="S60" s="197"/>
      <c r="T60" s="197"/>
      <c r="U60" s="197"/>
      <c r="V60" s="197"/>
      <c r="W60" s="194">
        <v>8000</v>
      </c>
      <c r="X60" s="197"/>
      <c r="Y60" s="197"/>
      <c r="Z60" s="197"/>
      <c r="AA60" s="197"/>
      <c r="AB60" s="197"/>
      <c r="AC60" s="197"/>
      <c r="AD60" s="197"/>
      <c r="AE60" s="197"/>
      <c r="AF60" s="197"/>
      <c r="AG60" s="197"/>
      <c r="AH60" s="197"/>
      <c r="AI60" s="197"/>
      <c r="AJ60" s="197"/>
      <c r="AK60" s="197"/>
      <c r="AL60" s="197"/>
      <c r="AM60" s="261" t="s">
        <v>7606</v>
      </c>
    </row>
    <row r="61" s="182" customFormat="1" ht="18" customHeight="1" spans="1:39">
      <c r="A61" s="262" t="s">
        <v>7590</v>
      </c>
      <c r="B61" s="263" t="s">
        <v>7514</v>
      </c>
      <c r="C61" s="262" t="s">
        <v>7512</v>
      </c>
      <c r="D61" s="263">
        <v>1000039390</v>
      </c>
      <c r="E61" s="264">
        <v>46139</v>
      </c>
      <c r="F61" s="263" t="s">
        <v>7506</v>
      </c>
      <c r="G61" s="265" t="s">
        <v>7585</v>
      </c>
      <c r="H61" s="263">
        <v>500</v>
      </c>
      <c r="I61" s="265"/>
      <c r="J61" s="265"/>
      <c r="K61" s="265"/>
      <c r="L61" s="265"/>
      <c r="M61" s="265"/>
      <c r="N61" s="265"/>
      <c r="O61" s="265"/>
      <c r="P61" s="265"/>
      <c r="Q61" s="265"/>
      <c r="R61" s="265"/>
      <c r="S61" s="265"/>
      <c r="T61" s="265"/>
      <c r="U61" s="265"/>
      <c r="V61" s="263">
        <v>500</v>
      </c>
      <c r="W61" s="265"/>
      <c r="X61" s="265"/>
      <c r="Y61" s="265"/>
      <c r="Z61" s="265"/>
      <c r="AA61" s="265"/>
      <c r="AB61" s="265"/>
      <c r="AC61" s="265"/>
      <c r="AD61" s="265"/>
      <c r="AE61" s="265"/>
      <c r="AF61" s="265"/>
      <c r="AG61" s="265"/>
      <c r="AH61" s="265"/>
      <c r="AI61" s="265"/>
      <c r="AJ61" s="265"/>
      <c r="AK61" s="265"/>
      <c r="AL61" s="265"/>
      <c r="AM61" s="266" t="s">
        <v>7607</v>
      </c>
    </row>
    <row r="62" s="236" customFormat="1" ht="18" customHeight="1" spans="1:39">
      <c r="A62" s="193" t="s">
        <v>7519</v>
      </c>
      <c r="B62" s="194">
        <v>77772</v>
      </c>
      <c r="C62" s="193" t="s">
        <v>7504</v>
      </c>
      <c r="D62" s="194">
        <v>1000039658</v>
      </c>
      <c r="E62" s="196">
        <v>46149</v>
      </c>
      <c r="F62" s="194" t="s">
        <v>7506</v>
      </c>
      <c r="G62" s="197" t="s">
        <v>7507</v>
      </c>
      <c r="H62" s="194">
        <v>200000</v>
      </c>
      <c r="I62" s="194">
        <v>200000</v>
      </c>
      <c r="J62" s="197"/>
      <c r="K62" s="197"/>
      <c r="L62" s="197"/>
      <c r="M62" s="197"/>
      <c r="N62" s="197"/>
      <c r="O62" s="197"/>
      <c r="P62" s="197"/>
      <c r="Q62" s="197"/>
      <c r="R62" s="197"/>
      <c r="S62" s="197"/>
      <c r="T62" s="197"/>
      <c r="U62" s="197"/>
      <c r="V62" s="194"/>
      <c r="W62" s="197"/>
      <c r="X62" s="197"/>
      <c r="Y62" s="197"/>
      <c r="Z62" s="197"/>
      <c r="AA62" s="197"/>
      <c r="AB62" s="197"/>
      <c r="AC62" s="197"/>
      <c r="AD62" s="197"/>
      <c r="AE62" s="197"/>
      <c r="AF62" s="197"/>
      <c r="AG62" s="197"/>
      <c r="AH62" s="197"/>
      <c r="AI62" s="197"/>
      <c r="AJ62" s="197"/>
      <c r="AK62" s="197"/>
      <c r="AL62" s="197"/>
      <c r="AM62" s="217"/>
    </row>
    <row r="63" s="236" customFormat="1" ht="18" customHeight="1" spans="1:39">
      <c r="A63" s="193" t="s">
        <v>7519</v>
      </c>
      <c r="B63" s="194">
        <v>77772</v>
      </c>
      <c r="C63" s="193" t="s">
        <v>7504</v>
      </c>
      <c r="D63" s="194">
        <v>1000039659</v>
      </c>
      <c r="E63" s="196">
        <v>46149</v>
      </c>
      <c r="F63" s="194" t="s">
        <v>7516</v>
      </c>
      <c r="G63" s="197" t="s">
        <v>7507</v>
      </c>
      <c r="H63" s="194">
        <v>200000</v>
      </c>
      <c r="I63" s="197"/>
      <c r="J63" s="194">
        <v>200000</v>
      </c>
      <c r="K63" s="194"/>
      <c r="L63" s="197"/>
      <c r="M63" s="197"/>
      <c r="N63" s="197"/>
      <c r="O63" s="197"/>
      <c r="P63" s="197"/>
      <c r="Q63" s="197"/>
      <c r="R63" s="197"/>
      <c r="S63" s="197"/>
      <c r="T63" s="197"/>
      <c r="U63" s="197"/>
      <c r="V63" s="194"/>
      <c r="W63" s="197"/>
      <c r="X63" s="197"/>
      <c r="Y63" s="197"/>
      <c r="Z63" s="197"/>
      <c r="AA63" s="197"/>
      <c r="AB63" s="197"/>
      <c r="AC63" s="197"/>
      <c r="AD63" s="197"/>
      <c r="AE63" s="197"/>
      <c r="AF63" s="197"/>
      <c r="AG63" s="197"/>
      <c r="AH63" s="197"/>
      <c r="AI63" s="197"/>
      <c r="AJ63" s="197"/>
      <c r="AK63" s="197"/>
      <c r="AL63" s="197"/>
      <c r="AM63" s="217"/>
    </row>
    <row r="64" s="236" customFormat="1" ht="18" customHeight="1" spans="1:39">
      <c r="A64" s="193" t="s">
        <v>7519</v>
      </c>
      <c r="B64" s="194">
        <v>77772</v>
      </c>
      <c r="C64" s="193" t="s">
        <v>7508</v>
      </c>
      <c r="D64" s="206" t="s">
        <v>7608</v>
      </c>
      <c r="E64" s="196">
        <v>46149</v>
      </c>
      <c r="F64" s="194" t="s">
        <v>7510</v>
      </c>
      <c r="G64" s="197" t="s">
        <v>7609</v>
      </c>
      <c r="H64" s="194">
        <v>1000000</v>
      </c>
      <c r="I64" s="197"/>
      <c r="J64" s="197"/>
      <c r="K64" s="197"/>
      <c r="L64" s="197"/>
      <c r="M64" s="197"/>
      <c r="N64" s="197"/>
      <c r="O64" s="194">
        <v>1000000</v>
      </c>
      <c r="P64" s="197"/>
      <c r="Q64" s="197"/>
      <c r="R64" s="197"/>
      <c r="S64" s="197"/>
      <c r="T64" s="197"/>
      <c r="U64" s="197"/>
      <c r="V64" s="194"/>
      <c r="W64" s="197"/>
      <c r="X64" s="197"/>
      <c r="Y64" s="197"/>
      <c r="Z64" s="197"/>
      <c r="AA64" s="197"/>
      <c r="AB64" s="197"/>
      <c r="AC64" s="197"/>
      <c r="AD64" s="197"/>
      <c r="AE64" s="197"/>
      <c r="AF64" s="197"/>
      <c r="AG64" s="197"/>
      <c r="AH64" s="197"/>
      <c r="AI64" s="197"/>
      <c r="AJ64" s="197"/>
      <c r="AK64" s="197"/>
      <c r="AL64" s="197"/>
      <c r="AM64" s="217" t="s">
        <v>7610</v>
      </c>
    </row>
    <row r="65" s="236" customFormat="1" ht="18" customHeight="1" spans="1:39">
      <c r="A65" s="193" t="s">
        <v>7519</v>
      </c>
      <c r="B65" s="194" t="s">
        <v>7511</v>
      </c>
      <c r="C65" s="193" t="s">
        <v>7512</v>
      </c>
      <c r="D65" s="194">
        <v>1000039661</v>
      </c>
      <c r="E65" s="196">
        <v>46149</v>
      </c>
      <c r="F65" s="194" t="s">
        <v>7506</v>
      </c>
      <c r="G65" s="197" t="s">
        <v>7507</v>
      </c>
      <c r="H65" s="194">
        <v>8000</v>
      </c>
      <c r="I65" s="197"/>
      <c r="J65" s="197"/>
      <c r="K65" s="197"/>
      <c r="L65" s="197"/>
      <c r="M65" s="197"/>
      <c r="N65" s="197"/>
      <c r="O65" s="197"/>
      <c r="P65" s="197"/>
      <c r="Q65" s="194">
        <v>8000</v>
      </c>
      <c r="R65" s="197"/>
      <c r="S65" s="197"/>
      <c r="T65" s="197"/>
      <c r="U65" s="197"/>
      <c r="V65" s="194"/>
      <c r="W65" s="197"/>
      <c r="X65" s="197"/>
      <c r="Y65" s="197"/>
      <c r="Z65" s="197"/>
      <c r="AA65" s="197"/>
      <c r="AB65" s="197"/>
      <c r="AC65" s="197"/>
      <c r="AD65" s="197"/>
      <c r="AE65" s="197"/>
      <c r="AF65" s="197"/>
      <c r="AG65" s="197"/>
      <c r="AH65" s="197"/>
      <c r="AI65" s="197"/>
      <c r="AJ65" s="197"/>
      <c r="AK65" s="197"/>
      <c r="AL65" s="197"/>
      <c r="AM65" s="217"/>
    </row>
    <row r="66" s="236" customFormat="1" ht="18" customHeight="1" spans="1:39">
      <c r="A66" s="193" t="s">
        <v>7519</v>
      </c>
      <c r="B66" s="194" t="s">
        <v>7511</v>
      </c>
      <c r="C66" s="193" t="s">
        <v>7512</v>
      </c>
      <c r="D66" s="194">
        <v>1000039662</v>
      </c>
      <c r="E66" s="196">
        <v>46149</v>
      </c>
      <c r="F66" s="194" t="s">
        <v>7516</v>
      </c>
      <c r="G66" s="197" t="s">
        <v>7507</v>
      </c>
      <c r="H66" s="194">
        <v>5000</v>
      </c>
      <c r="I66" s="197"/>
      <c r="J66" s="197"/>
      <c r="K66" s="197"/>
      <c r="L66" s="197"/>
      <c r="M66" s="197"/>
      <c r="N66" s="197"/>
      <c r="O66" s="197"/>
      <c r="P66" s="197"/>
      <c r="Q66" s="197"/>
      <c r="R66" s="194">
        <v>5000</v>
      </c>
      <c r="S66" s="197"/>
      <c r="T66" s="197"/>
      <c r="U66" s="197"/>
      <c r="V66" s="194"/>
      <c r="W66" s="197"/>
      <c r="X66" s="197"/>
      <c r="Y66" s="197"/>
      <c r="Z66" s="197"/>
      <c r="AA66" s="197"/>
      <c r="AB66" s="197"/>
      <c r="AC66" s="197"/>
      <c r="AD66" s="197"/>
      <c r="AE66" s="197"/>
      <c r="AF66" s="197"/>
      <c r="AG66" s="197"/>
      <c r="AH66" s="197"/>
      <c r="AI66" s="197"/>
      <c r="AJ66" s="197"/>
      <c r="AK66" s="197"/>
      <c r="AL66" s="197"/>
      <c r="AM66" s="217"/>
    </row>
    <row r="67" s="236" customFormat="1" ht="18" customHeight="1" spans="1:39">
      <c r="A67" s="193" t="s">
        <v>7519</v>
      </c>
      <c r="B67" s="194" t="s">
        <v>7514</v>
      </c>
      <c r="C67" s="193" t="s">
        <v>7512</v>
      </c>
      <c r="D67" s="194">
        <v>1000039663</v>
      </c>
      <c r="E67" s="196">
        <v>46149</v>
      </c>
      <c r="F67" s="194" t="s">
        <v>7506</v>
      </c>
      <c r="G67" s="197" t="s">
        <v>7507</v>
      </c>
      <c r="H67" s="194">
        <v>2000</v>
      </c>
      <c r="I67" s="197"/>
      <c r="J67" s="197"/>
      <c r="K67" s="197"/>
      <c r="L67" s="197"/>
      <c r="M67" s="197"/>
      <c r="N67" s="197"/>
      <c r="O67" s="197"/>
      <c r="P67" s="197"/>
      <c r="Q67" s="197"/>
      <c r="R67" s="197"/>
      <c r="S67" s="194">
        <v>2000</v>
      </c>
      <c r="T67" s="197"/>
      <c r="U67" s="197"/>
      <c r="V67" s="194"/>
      <c r="W67" s="197"/>
      <c r="X67" s="197"/>
      <c r="Y67" s="197"/>
      <c r="Z67" s="197"/>
      <c r="AA67" s="197"/>
      <c r="AB67" s="197"/>
      <c r="AC67" s="197"/>
      <c r="AD67" s="197"/>
      <c r="AE67" s="197"/>
      <c r="AF67" s="197"/>
      <c r="AG67" s="197"/>
      <c r="AH67" s="197"/>
      <c r="AI67" s="197"/>
      <c r="AJ67" s="197"/>
      <c r="AK67" s="197"/>
      <c r="AL67" s="197"/>
      <c r="AM67" s="217"/>
    </row>
    <row r="68" s="236" customFormat="1" ht="18" customHeight="1" spans="1:39">
      <c r="A68" s="193" t="s">
        <v>7519</v>
      </c>
      <c r="B68" s="194" t="s">
        <v>7514</v>
      </c>
      <c r="C68" s="193" t="s">
        <v>7512</v>
      </c>
      <c r="D68" s="194">
        <v>1000039664</v>
      </c>
      <c r="E68" s="196">
        <v>46149</v>
      </c>
      <c r="F68" s="194" t="s">
        <v>7516</v>
      </c>
      <c r="G68" s="197" t="s">
        <v>7507</v>
      </c>
      <c r="H68" s="194">
        <v>4000</v>
      </c>
      <c r="I68" s="197"/>
      <c r="J68" s="197"/>
      <c r="K68" s="197"/>
      <c r="L68" s="197"/>
      <c r="M68" s="197"/>
      <c r="N68" s="197"/>
      <c r="O68" s="197"/>
      <c r="P68" s="197"/>
      <c r="Q68" s="197"/>
      <c r="R68" s="197"/>
      <c r="S68" s="197"/>
      <c r="T68" s="194">
        <v>4000</v>
      </c>
      <c r="U68" s="194"/>
      <c r="V68" s="194"/>
      <c r="W68" s="197"/>
      <c r="X68" s="197"/>
      <c r="Y68" s="197"/>
      <c r="Z68" s="197"/>
      <c r="AA68" s="197"/>
      <c r="AB68" s="197"/>
      <c r="AC68" s="197"/>
      <c r="AD68" s="197"/>
      <c r="AE68" s="197"/>
      <c r="AF68" s="197"/>
      <c r="AG68" s="197"/>
      <c r="AH68" s="197"/>
      <c r="AI68" s="197"/>
      <c r="AJ68" s="197"/>
      <c r="AK68" s="197"/>
      <c r="AL68" s="197"/>
      <c r="AM68" s="217"/>
    </row>
    <row r="69" s="182" customFormat="1" ht="18" customHeight="1" spans="1:39">
      <c r="A69" s="193" t="s">
        <v>7532</v>
      </c>
      <c r="B69" s="267" t="s">
        <v>7536</v>
      </c>
      <c r="C69" s="268" t="s">
        <v>7512</v>
      </c>
      <c r="D69" s="267" t="s">
        <v>7611</v>
      </c>
      <c r="E69" s="269">
        <v>46151</v>
      </c>
      <c r="F69" s="267" t="s">
        <v>7506</v>
      </c>
      <c r="G69" s="252" t="s">
        <v>7507</v>
      </c>
      <c r="H69" s="267">
        <v>6540</v>
      </c>
      <c r="I69" s="252"/>
      <c r="J69" s="252"/>
      <c r="K69" s="252"/>
      <c r="L69" s="252"/>
      <c r="M69" s="252"/>
      <c r="N69" s="252"/>
      <c r="O69" s="252"/>
      <c r="P69" s="252"/>
      <c r="Q69" s="252"/>
      <c r="R69" s="252"/>
      <c r="S69" s="252"/>
      <c r="T69" s="252"/>
      <c r="U69" s="252"/>
      <c r="V69" s="252"/>
      <c r="W69" s="267">
        <v>6540</v>
      </c>
      <c r="X69" s="252"/>
      <c r="Y69" s="252"/>
      <c r="Z69" s="252"/>
      <c r="AA69" s="252"/>
      <c r="AB69" s="252"/>
      <c r="AC69" s="252"/>
      <c r="AD69" s="252"/>
      <c r="AE69" s="252"/>
      <c r="AF69" s="252"/>
      <c r="AG69" s="252"/>
      <c r="AH69" s="252"/>
      <c r="AI69" s="252"/>
      <c r="AJ69" s="252"/>
      <c r="AK69" s="252"/>
      <c r="AL69" s="252"/>
      <c r="AM69" s="253" t="s">
        <v>7612</v>
      </c>
    </row>
    <row r="70" s="182" customFormat="1" ht="18" customHeight="1" spans="1:39">
      <c r="A70" s="193" t="s">
        <v>7532</v>
      </c>
      <c r="B70" s="194" t="s">
        <v>7536</v>
      </c>
      <c r="C70" s="193" t="s">
        <v>7512</v>
      </c>
      <c r="D70" s="194">
        <v>1000039890</v>
      </c>
      <c r="E70" s="196">
        <v>46154</v>
      </c>
      <c r="F70" s="194" t="s">
        <v>7506</v>
      </c>
      <c r="G70" s="197" t="s">
        <v>7507</v>
      </c>
      <c r="H70" s="194">
        <v>6060</v>
      </c>
      <c r="I70" s="197"/>
      <c r="J70" s="197"/>
      <c r="K70" s="197"/>
      <c r="L70" s="197"/>
      <c r="M70" s="197"/>
      <c r="N70" s="197"/>
      <c r="O70" s="197"/>
      <c r="P70" s="197"/>
      <c r="Q70" s="197"/>
      <c r="R70" s="197"/>
      <c r="S70" s="197"/>
      <c r="T70" s="197"/>
      <c r="U70" s="197"/>
      <c r="V70" s="197"/>
      <c r="W70" s="194">
        <v>6060</v>
      </c>
      <c r="X70" s="197"/>
      <c r="Y70" s="197"/>
      <c r="Z70" s="197"/>
      <c r="AA70" s="197"/>
      <c r="AB70" s="197"/>
      <c r="AC70" s="197"/>
      <c r="AD70" s="197"/>
      <c r="AE70" s="197"/>
      <c r="AF70" s="197"/>
      <c r="AG70" s="197"/>
      <c r="AH70" s="197"/>
      <c r="AI70" s="197"/>
      <c r="AJ70" s="197"/>
      <c r="AK70" s="197"/>
      <c r="AL70" s="197"/>
      <c r="AM70" s="253" t="s">
        <v>7613</v>
      </c>
    </row>
    <row r="71" s="182" customFormat="1" ht="18" customHeight="1" spans="1:39">
      <c r="A71" s="193" t="s">
        <v>7575</v>
      </c>
      <c r="B71" s="194" t="s">
        <v>7527</v>
      </c>
      <c r="C71" s="193" t="s">
        <v>7512</v>
      </c>
      <c r="D71" s="194" t="s">
        <v>7614</v>
      </c>
      <c r="E71" s="196">
        <v>46157</v>
      </c>
      <c r="F71" s="194" t="s">
        <v>7506</v>
      </c>
      <c r="G71" s="197" t="s">
        <v>7507</v>
      </c>
      <c r="H71" s="194">
        <v>2823</v>
      </c>
      <c r="I71" s="197"/>
      <c r="J71" s="197"/>
      <c r="K71" s="197"/>
      <c r="L71" s="197"/>
      <c r="M71" s="197"/>
      <c r="N71" s="197"/>
      <c r="O71" s="197"/>
      <c r="P71" s="197"/>
      <c r="Q71" s="197"/>
      <c r="R71" s="197"/>
      <c r="S71" s="197"/>
      <c r="T71" s="197"/>
      <c r="U71" s="197"/>
      <c r="V71" s="197"/>
      <c r="W71" s="197"/>
      <c r="X71" s="197"/>
      <c r="Y71" s="197"/>
      <c r="Z71" s="197"/>
      <c r="AA71" s="197">
        <v>2823</v>
      </c>
      <c r="AB71" s="197"/>
      <c r="AC71" s="197"/>
      <c r="AD71" s="197"/>
      <c r="AE71" s="197"/>
      <c r="AF71" s="197"/>
      <c r="AG71" s="197"/>
      <c r="AH71" s="197"/>
      <c r="AI71" s="197"/>
      <c r="AJ71" s="197"/>
      <c r="AK71" s="197"/>
      <c r="AL71" s="197"/>
      <c r="AM71" s="217" t="s">
        <v>7615</v>
      </c>
    </row>
    <row r="72" s="182" customFormat="1" ht="18" customHeight="1" spans="1:39">
      <c r="A72" s="193" t="s">
        <v>7532</v>
      </c>
      <c r="B72" s="194" t="s">
        <v>7536</v>
      </c>
      <c r="C72" s="193" t="s">
        <v>7512</v>
      </c>
      <c r="D72" s="194" t="s">
        <v>7616</v>
      </c>
      <c r="E72" s="196">
        <v>46157</v>
      </c>
      <c r="F72" s="194" t="s">
        <v>7506</v>
      </c>
      <c r="G72" s="197" t="s">
        <v>7507</v>
      </c>
      <c r="H72" s="194">
        <v>13320</v>
      </c>
      <c r="I72" s="197"/>
      <c r="J72" s="197"/>
      <c r="K72" s="197"/>
      <c r="L72" s="197"/>
      <c r="M72" s="197"/>
      <c r="N72" s="197"/>
      <c r="O72" s="197"/>
      <c r="P72" s="197"/>
      <c r="Q72" s="197"/>
      <c r="R72" s="197"/>
      <c r="S72" s="197"/>
      <c r="T72" s="197"/>
      <c r="U72" s="197"/>
      <c r="V72" s="197"/>
      <c r="W72" s="194">
        <v>13320</v>
      </c>
      <c r="X72" s="197"/>
      <c r="Y72" s="197"/>
      <c r="Z72" s="197"/>
      <c r="AA72" s="197"/>
      <c r="AB72" s="197"/>
      <c r="AC72" s="197"/>
      <c r="AD72" s="197"/>
      <c r="AE72" s="197"/>
      <c r="AF72" s="197"/>
      <c r="AG72" s="197"/>
      <c r="AH72" s="197"/>
      <c r="AI72" s="197"/>
      <c r="AJ72" s="197"/>
      <c r="AK72" s="197"/>
      <c r="AL72" s="197"/>
      <c r="AM72" s="253" t="s">
        <v>7617</v>
      </c>
    </row>
    <row r="73" s="182" customFormat="1" ht="18" customHeight="1" spans="1:39">
      <c r="A73" s="193" t="s">
        <v>7519</v>
      </c>
      <c r="B73" s="194">
        <v>77772</v>
      </c>
      <c r="C73" s="193" t="s">
        <v>7504</v>
      </c>
      <c r="D73" s="194" t="s">
        <v>7618</v>
      </c>
      <c r="E73" s="196">
        <v>46160</v>
      </c>
      <c r="F73" s="194" t="s">
        <v>7506</v>
      </c>
      <c r="G73" s="197" t="s">
        <v>7507</v>
      </c>
      <c r="H73" s="194">
        <v>500000</v>
      </c>
      <c r="I73" s="194">
        <v>500000</v>
      </c>
      <c r="J73" s="197"/>
      <c r="K73" s="197"/>
      <c r="L73" s="197"/>
      <c r="M73" s="197"/>
      <c r="N73" s="197"/>
      <c r="O73" s="197"/>
      <c r="P73" s="197"/>
      <c r="Q73" s="197"/>
      <c r="R73" s="197"/>
      <c r="S73" s="197"/>
      <c r="T73" s="197"/>
      <c r="U73" s="197"/>
      <c r="V73" s="197"/>
      <c r="W73" s="197"/>
      <c r="X73" s="197"/>
      <c r="Y73" s="197"/>
      <c r="Z73" s="197"/>
      <c r="AA73" s="197"/>
      <c r="AB73" s="197"/>
      <c r="AC73" s="197"/>
      <c r="AD73" s="197"/>
      <c r="AE73" s="197"/>
      <c r="AF73" s="197"/>
      <c r="AG73" s="197"/>
      <c r="AH73" s="197"/>
      <c r="AI73" s="197"/>
      <c r="AJ73" s="197"/>
      <c r="AK73" s="197"/>
      <c r="AL73" s="197"/>
      <c r="AM73" s="217"/>
    </row>
    <row r="74" s="182" customFormat="1" ht="18" customHeight="1" spans="1:39">
      <c r="A74" s="193" t="s">
        <v>7519</v>
      </c>
      <c r="B74" s="194">
        <v>77772</v>
      </c>
      <c r="C74" s="193" t="s">
        <v>7504</v>
      </c>
      <c r="D74" s="194" t="s">
        <v>7619</v>
      </c>
      <c r="E74" s="196">
        <v>46160</v>
      </c>
      <c r="F74" s="194" t="s">
        <v>7516</v>
      </c>
      <c r="G74" s="197" t="s">
        <v>7507</v>
      </c>
      <c r="H74" s="194">
        <v>200000</v>
      </c>
      <c r="I74" s="197"/>
      <c r="J74" s="194">
        <v>200000</v>
      </c>
      <c r="K74" s="194"/>
      <c r="L74" s="197"/>
      <c r="M74" s="197"/>
      <c r="N74" s="197"/>
      <c r="O74" s="197"/>
      <c r="P74" s="197"/>
      <c r="Q74" s="197"/>
      <c r="R74" s="197"/>
      <c r="S74" s="197"/>
      <c r="T74" s="197"/>
      <c r="U74" s="197"/>
      <c r="V74" s="197"/>
      <c r="W74" s="197"/>
      <c r="X74" s="197"/>
      <c r="Y74" s="197"/>
      <c r="Z74" s="197"/>
      <c r="AA74" s="197"/>
      <c r="AB74" s="197"/>
      <c r="AC74" s="197"/>
      <c r="AD74" s="197"/>
      <c r="AE74" s="197"/>
      <c r="AF74" s="197"/>
      <c r="AG74" s="197"/>
      <c r="AH74" s="197"/>
      <c r="AI74" s="197"/>
      <c r="AJ74" s="197"/>
      <c r="AK74" s="197"/>
      <c r="AL74" s="197"/>
      <c r="AM74" s="217"/>
    </row>
    <row r="75" s="182" customFormat="1" ht="18" customHeight="1" spans="1:39">
      <c r="A75" s="193" t="s">
        <v>7519</v>
      </c>
      <c r="B75" s="194">
        <v>77772</v>
      </c>
      <c r="C75" s="193" t="s">
        <v>7508</v>
      </c>
      <c r="D75" s="194" t="s">
        <v>7620</v>
      </c>
      <c r="E75" s="196">
        <v>46160</v>
      </c>
      <c r="F75" s="194" t="s">
        <v>7510</v>
      </c>
      <c r="G75" s="197" t="s">
        <v>7609</v>
      </c>
      <c r="H75" s="194">
        <v>1000000</v>
      </c>
      <c r="I75" s="197"/>
      <c r="J75" s="197"/>
      <c r="K75" s="197"/>
      <c r="L75" s="197"/>
      <c r="M75" s="197"/>
      <c r="N75" s="197"/>
      <c r="O75" s="194">
        <v>1000000</v>
      </c>
      <c r="P75" s="197"/>
      <c r="Q75" s="197"/>
      <c r="R75" s="197"/>
      <c r="S75" s="197"/>
      <c r="T75" s="197"/>
      <c r="U75" s="197"/>
      <c r="V75" s="197"/>
      <c r="W75" s="197"/>
      <c r="X75" s="197"/>
      <c r="Y75" s="197"/>
      <c r="Z75" s="197"/>
      <c r="AA75" s="197"/>
      <c r="AB75" s="197"/>
      <c r="AC75" s="197"/>
      <c r="AD75" s="197"/>
      <c r="AE75" s="197"/>
      <c r="AF75" s="197"/>
      <c r="AG75" s="197"/>
      <c r="AH75" s="197"/>
      <c r="AI75" s="197"/>
      <c r="AJ75" s="197"/>
      <c r="AK75" s="197"/>
      <c r="AL75" s="197"/>
      <c r="AM75" s="217" t="s">
        <v>7610</v>
      </c>
    </row>
    <row r="76" s="182" customFormat="1" ht="18" customHeight="1" spans="1:39">
      <c r="A76" s="193" t="s">
        <v>7519</v>
      </c>
      <c r="B76" s="194" t="s">
        <v>7511</v>
      </c>
      <c r="C76" s="193" t="s">
        <v>7512</v>
      </c>
      <c r="D76" s="194" t="s">
        <v>7621</v>
      </c>
      <c r="E76" s="196">
        <v>46160</v>
      </c>
      <c r="F76" s="194" t="s">
        <v>7506</v>
      </c>
      <c r="G76" s="197" t="s">
        <v>7507</v>
      </c>
      <c r="H76" s="194">
        <v>11000</v>
      </c>
      <c r="I76" s="197"/>
      <c r="J76" s="197"/>
      <c r="K76" s="197"/>
      <c r="L76" s="197"/>
      <c r="M76" s="197"/>
      <c r="N76" s="197"/>
      <c r="O76" s="197"/>
      <c r="P76" s="197"/>
      <c r="Q76" s="194">
        <v>11000</v>
      </c>
      <c r="R76" s="197"/>
      <c r="S76" s="197"/>
      <c r="T76" s="197"/>
      <c r="U76" s="197"/>
      <c r="V76" s="197"/>
      <c r="W76" s="197"/>
      <c r="X76" s="197"/>
      <c r="Y76" s="197"/>
      <c r="Z76" s="197"/>
      <c r="AA76" s="197"/>
      <c r="AB76" s="197"/>
      <c r="AC76" s="197"/>
      <c r="AD76" s="197"/>
      <c r="AE76" s="197"/>
      <c r="AF76" s="197"/>
      <c r="AG76" s="197"/>
      <c r="AH76" s="197"/>
      <c r="AI76" s="197"/>
      <c r="AJ76" s="197"/>
      <c r="AK76" s="197"/>
      <c r="AL76" s="197"/>
      <c r="AM76" s="217"/>
    </row>
    <row r="77" s="182" customFormat="1" ht="18" customHeight="1" spans="1:39">
      <c r="A77" s="193" t="s">
        <v>7519</v>
      </c>
      <c r="B77" s="194" t="s">
        <v>7511</v>
      </c>
      <c r="C77" s="193" t="s">
        <v>7512</v>
      </c>
      <c r="D77" s="194" t="s">
        <v>7622</v>
      </c>
      <c r="E77" s="196">
        <v>46160</v>
      </c>
      <c r="F77" s="194" t="s">
        <v>7516</v>
      </c>
      <c r="G77" s="197" t="s">
        <v>7507</v>
      </c>
      <c r="H77" s="194">
        <v>4200</v>
      </c>
      <c r="I77" s="197"/>
      <c r="J77" s="197"/>
      <c r="K77" s="197"/>
      <c r="L77" s="197"/>
      <c r="M77" s="197"/>
      <c r="N77" s="197"/>
      <c r="O77" s="197"/>
      <c r="P77" s="197"/>
      <c r="Q77" s="197"/>
      <c r="R77" s="194">
        <v>4200</v>
      </c>
      <c r="S77" s="197"/>
      <c r="T77" s="197"/>
      <c r="U77" s="197"/>
      <c r="V77" s="197"/>
      <c r="W77" s="197"/>
      <c r="X77" s="197"/>
      <c r="Y77" s="197"/>
      <c r="Z77" s="197"/>
      <c r="AA77" s="197"/>
      <c r="AB77" s="197"/>
      <c r="AC77" s="197"/>
      <c r="AD77" s="197"/>
      <c r="AE77" s="197"/>
      <c r="AF77" s="197"/>
      <c r="AG77" s="197"/>
      <c r="AH77" s="197"/>
      <c r="AI77" s="197"/>
      <c r="AJ77" s="197"/>
      <c r="AK77" s="197"/>
      <c r="AL77" s="197"/>
      <c r="AM77" s="217"/>
    </row>
    <row r="78" s="182" customFormat="1" ht="18" customHeight="1" spans="1:39">
      <c r="A78" s="193" t="s">
        <v>7519</v>
      </c>
      <c r="B78" s="194" t="s">
        <v>7514</v>
      </c>
      <c r="C78" s="193" t="s">
        <v>7512</v>
      </c>
      <c r="D78" s="194" t="s">
        <v>7623</v>
      </c>
      <c r="E78" s="196">
        <v>46160</v>
      </c>
      <c r="F78" s="194" t="s">
        <v>7506</v>
      </c>
      <c r="G78" s="197" t="s">
        <v>7507</v>
      </c>
      <c r="H78" s="194">
        <v>2000</v>
      </c>
      <c r="I78" s="197"/>
      <c r="J78" s="197"/>
      <c r="K78" s="197"/>
      <c r="L78" s="197"/>
      <c r="M78" s="197"/>
      <c r="N78" s="197"/>
      <c r="O78" s="197"/>
      <c r="P78" s="197"/>
      <c r="Q78" s="197"/>
      <c r="R78" s="197"/>
      <c r="S78" s="194">
        <v>2000</v>
      </c>
      <c r="T78" s="197"/>
      <c r="U78" s="197"/>
      <c r="V78" s="197"/>
      <c r="W78" s="197"/>
      <c r="X78" s="197"/>
      <c r="Y78" s="197"/>
      <c r="Z78" s="197"/>
      <c r="AA78" s="197"/>
      <c r="AB78" s="197"/>
      <c r="AC78" s="197"/>
      <c r="AD78" s="197"/>
      <c r="AE78" s="197"/>
      <c r="AF78" s="197"/>
      <c r="AG78" s="197"/>
      <c r="AH78" s="197"/>
      <c r="AI78" s="197"/>
      <c r="AJ78" s="197"/>
      <c r="AK78" s="197"/>
      <c r="AL78" s="197"/>
      <c r="AM78" s="217"/>
    </row>
    <row r="79" s="182" customFormat="1" ht="18" customHeight="1" spans="1:39">
      <c r="A79" s="193" t="s">
        <v>7519</v>
      </c>
      <c r="B79" s="194" t="s">
        <v>7514</v>
      </c>
      <c r="C79" s="193" t="s">
        <v>7512</v>
      </c>
      <c r="D79" s="194" t="s">
        <v>7624</v>
      </c>
      <c r="E79" s="196">
        <v>46160</v>
      </c>
      <c r="F79" s="194" t="s">
        <v>7516</v>
      </c>
      <c r="G79" s="197" t="s">
        <v>7507</v>
      </c>
      <c r="H79" s="194">
        <v>5500</v>
      </c>
      <c r="I79" s="197"/>
      <c r="J79" s="197"/>
      <c r="K79" s="197"/>
      <c r="L79" s="197"/>
      <c r="M79" s="197"/>
      <c r="N79" s="197"/>
      <c r="O79" s="197"/>
      <c r="P79" s="197"/>
      <c r="Q79" s="197"/>
      <c r="R79" s="197"/>
      <c r="S79" s="197"/>
      <c r="T79" s="194">
        <v>5500</v>
      </c>
      <c r="U79" s="194"/>
      <c r="V79" s="197"/>
      <c r="W79" s="197"/>
      <c r="X79" s="197"/>
      <c r="Y79" s="197"/>
      <c r="Z79" s="197"/>
      <c r="AA79" s="197"/>
      <c r="AB79" s="197"/>
      <c r="AC79" s="197"/>
      <c r="AD79" s="197"/>
      <c r="AE79" s="197"/>
      <c r="AF79" s="197"/>
      <c r="AG79" s="197"/>
      <c r="AH79" s="197"/>
      <c r="AI79" s="197"/>
      <c r="AJ79" s="197"/>
      <c r="AK79" s="197"/>
      <c r="AL79" s="197"/>
      <c r="AM79" s="217"/>
    </row>
    <row r="80" s="182" customFormat="1" ht="18" customHeight="1" spans="1:39">
      <c r="A80" s="193" t="s">
        <v>7519</v>
      </c>
      <c r="B80" s="194" t="s">
        <v>799</v>
      </c>
      <c r="C80" s="193" t="s">
        <v>7569</v>
      </c>
      <c r="D80" s="194" t="s">
        <v>7625</v>
      </c>
      <c r="E80" s="196">
        <v>46160</v>
      </c>
      <c r="F80" s="194" t="s">
        <v>7516</v>
      </c>
      <c r="G80" s="197" t="s">
        <v>7507</v>
      </c>
      <c r="H80" s="194">
        <v>600</v>
      </c>
      <c r="I80" s="197"/>
      <c r="J80" s="197"/>
      <c r="K80" s="197"/>
      <c r="L80" s="197"/>
      <c r="M80" s="197"/>
      <c r="N80" s="197"/>
      <c r="O80" s="197"/>
      <c r="P80" s="197"/>
      <c r="Q80" s="197"/>
      <c r="R80" s="197"/>
      <c r="S80" s="197"/>
      <c r="T80" s="197"/>
      <c r="U80" s="197"/>
      <c r="V80" s="197"/>
      <c r="W80" s="197"/>
      <c r="X80" s="197"/>
      <c r="Y80" s="197"/>
      <c r="Z80" s="197"/>
      <c r="AA80" s="197"/>
      <c r="AB80" s="197"/>
      <c r="AC80" s="197"/>
      <c r="AD80" s="197"/>
      <c r="AE80" s="197"/>
      <c r="AF80" s="194">
        <v>600</v>
      </c>
      <c r="AG80" s="197"/>
      <c r="AH80" s="197"/>
      <c r="AI80" s="197"/>
      <c r="AJ80" s="197"/>
      <c r="AK80" s="197"/>
      <c r="AL80" s="197"/>
      <c r="AM80" s="217"/>
    </row>
    <row r="81" s="182" customFormat="1" ht="18" customHeight="1" spans="1:72">
      <c r="A81" s="193" t="s">
        <v>7519</v>
      </c>
      <c r="B81" s="194" t="s">
        <v>7566</v>
      </c>
      <c r="C81" s="193" t="s">
        <v>7567</v>
      </c>
      <c r="D81" s="194" t="s">
        <v>7626</v>
      </c>
      <c r="E81" s="196">
        <v>46160</v>
      </c>
      <c r="F81" s="194" t="s">
        <v>7516</v>
      </c>
      <c r="G81" s="197" t="s">
        <v>7507</v>
      </c>
      <c r="H81" s="194">
        <v>300</v>
      </c>
      <c r="I81" s="197"/>
      <c r="J81" s="197"/>
      <c r="K81" s="197"/>
      <c r="L81" s="197"/>
      <c r="M81" s="197"/>
      <c r="N81" s="197"/>
      <c r="O81" s="197"/>
      <c r="P81" s="197"/>
      <c r="Q81" s="197"/>
      <c r="R81" s="197"/>
      <c r="S81" s="197"/>
      <c r="T81" s="197"/>
      <c r="U81" s="197"/>
      <c r="V81" s="197"/>
      <c r="W81" s="197"/>
      <c r="X81" s="197"/>
      <c r="Y81" s="197"/>
      <c r="Z81" s="197"/>
      <c r="AA81" s="197"/>
      <c r="AB81" s="197"/>
      <c r="AC81" s="197"/>
      <c r="AD81" s="197"/>
      <c r="AE81" s="197"/>
      <c r="AF81" s="194"/>
      <c r="AG81" s="194">
        <v>300</v>
      </c>
      <c r="AH81" s="194"/>
      <c r="AI81" s="197"/>
      <c r="AJ81" s="197"/>
      <c r="AK81" s="197"/>
      <c r="AL81" s="197"/>
      <c r="AM81" s="217"/>
    </row>
    <row r="82" s="182" customFormat="1" ht="18" customHeight="1" spans="1:72">
      <c r="A82" s="193" t="s">
        <v>7519</v>
      </c>
      <c r="B82" s="194" t="s">
        <v>7536</v>
      </c>
      <c r="C82" s="193" t="s">
        <v>7512</v>
      </c>
      <c r="D82" s="194" t="s">
        <v>7627</v>
      </c>
      <c r="E82" s="196">
        <v>46162</v>
      </c>
      <c r="F82" s="194" t="s">
        <v>7506</v>
      </c>
      <c r="G82" s="197" t="s">
        <v>7507</v>
      </c>
      <c r="H82" s="194">
        <v>11580</v>
      </c>
      <c r="I82" s="197"/>
      <c r="J82" s="197"/>
      <c r="K82" s="197"/>
      <c r="L82" s="197"/>
      <c r="M82" s="197"/>
      <c r="N82" s="197"/>
      <c r="O82" s="197"/>
      <c r="P82" s="197"/>
      <c r="Q82" s="197"/>
      <c r="R82" s="197"/>
      <c r="S82" s="197"/>
      <c r="T82" s="197"/>
      <c r="U82" s="197"/>
      <c r="V82" s="197"/>
      <c r="W82" s="197">
        <v>11580</v>
      </c>
      <c r="X82" s="197"/>
      <c r="Y82" s="197"/>
      <c r="Z82" s="197"/>
      <c r="AA82" s="197"/>
      <c r="AB82" s="197"/>
      <c r="AC82" s="197"/>
      <c r="AD82" s="197"/>
      <c r="AE82" s="197"/>
      <c r="AF82" s="194"/>
      <c r="AG82" s="194"/>
      <c r="AH82" s="194"/>
      <c r="AI82" s="197"/>
      <c r="AJ82" s="197"/>
      <c r="AK82" s="197"/>
      <c r="AL82" s="197"/>
      <c r="AM82" s="253" t="s">
        <v>7628</v>
      </c>
    </row>
    <row r="83" s="183" customFormat="1" ht="18" customHeight="1" spans="1:72">
      <c r="A83" s="205" t="s">
        <v>7532</v>
      </c>
      <c r="B83" s="206" t="s">
        <v>7536</v>
      </c>
      <c r="C83" s="207" t="s">
        <v>7512</v>
      </c>
      <c r="D83" s="206">
        <v>1000040344</v>
      </c>
      <c r="E83" s="209">
        <v>46164</v>
      </c>
      <c r="F83" s="206" t="s">
        <v>7506</v>
      </c>
      <c r="G83" s="211" t="s">
        <v>7507</v>
      </c>
      <c r="H83" s="206">
        <v>9600</v>
      </c>
      <c r="I83" s="211"/>
      <c r="J83" s="211"/>
      <c r="K83" s="211"/>
      <c r="L83" s="211"/>
      <c r="M83" s="211"/>
      <c r="N83" s="211"/>
      <c r="O83" s="211"/>
      <c r="P83" s="211"/>
      <c r="Q83" s="211"/>
      <c r="R83" s="211"/>
      <c r="S83" s="211"/>
      <c r="T83" s="211"/>
      <c r="U83" s="211"/>
      <c r="V83" s="211"/>
      <c r="W83" s="206">
        <v>9600</v>
      </c>
      <c r="X83" s="211"/>
      <c r="Y83" s="211"/>
      <c r="Z83" s="211"/>
      <c r="AA83" s="211"/>
      <c r="AB83" s="211"/>
      <c r="AC83" s="211"/>
      <c r="AD83" s="211"/>
      <c r="AE83" s="211"/>
      <c r="AF83" s="206"/>
      <c r="AG83" s="206"/>
      <c r="AH83" s="206"/>
      <c r="AI83" s="211"/>
      <c r="AJ83" s="211"/>
      <c r="AK83" s="211"/>
      <c r="AL83" s="211"/>
      <c r="AM83" s="255" t="s">
        <v>7629</v>
      </c>
      <c r="AN83" s="182"/>
      <c r="AO83" s="182"/>
      <c r="AP83" s="182"/>
      <c r="AQ83" s="182"/>
      <c r="AR83" s="182"/>
      <c r="AS83" s="182"/>
      <c r="AT83" s="182"/>
      <c r="AU83" s="182"/>
      <c r="AV83" s="182"/>
      <c r="AW83" s="182"/>
      <c r="AX83" s="182"/>
      <c r="AY83" s="182"/>
      <c r="AZ83" s="182"/>
      <c r="BA83" s="182"/>
      <c r="BB83" s="182"/>
      <c r="BC83" s="182"/>
      <c r="BD83" s="182"/>
      <c r="BE83" s="182"/>
      <c r="BF83" s="182"/>
      <c r="BG83" s="182"/>
      <c r="BH83" s="182"/>
      <c r="BI83" s="182"/>
      <c r="BJ83" s="182"/>
      <c r="BK83" s="182"/>
      <c r="BL83" s="182"/>
      <c r="BM83" s="182"/>
      <c r="BN83" s="182"/>
      <c r="BO83" s="182"/>
      <c r="BP83" s="182"/>
      <c r="BQ83" s="182"/>
      <c r="BR83" s="182"/>
      <c r="BS83" s="182"/>
      <c r="BT83" s="182"/>
    </row>
    <row r="84" s="183" customFormat="1" ht="18" customHeight="1" spans="1:72">
      <c r="A84" s="205" t="s">
        <v>7532</v>
      </c>
      <c r="B84" s="206" t="s">
        <v>7536</v>
      </c>
      <c r="C84" s="207" t="s">
        <v>7512</v>
      </c>
      <c r="D84" s="206">
        <v>1000040674</v>
      </c>
      <c r="E84" s="209">
        <v>46169</v>
      </c>
      <c r="F84" s="206" t="s">
        <v>7506</v>
      </c>
      <c r="G84" s="211" t="s">
        <v>7507</v>
      </c>
      <c r="H84" s="206">
        <v>8580</v>
      </c>
      <c r="I84" s="211"/>
      <c r="J84" s="211"/>
      <c r="K84" s="211"/>
      <c r="L84" s="211"/>
      <c r="M84" s="211"/>
      <c r="N84" s="211"/>
      <c r="O84" s="211"/>
      <c r="P84" s="211"/>
      <c r="Q84" s="211"/>
      <c r="R84" s="211"/>
      <c r="S84" s="211"/>
      <c r="T84" s="211"/>
      <c r="U84" s="211"/>
      <c r="V84" s="211"/>
      <c r="W84" s="206">
        <v>8580</v>
      </c>
      <c r="X84" s="211"/>
      <c r="Y84" s="211"/>
      <c r="Z84" s="211"/>
      <c r="AA84" s="211"/>
      <c r="AB84" s="211"/>
      <c r="AC84" s="211"/>
      <c r="AD84" s="211"/>
      <c r="AE84" s="211"/>
      <c r="AF84" s="206"/>
      <c r="AG84" s="206"/>
      <c r="AH84" s="206"/>
      <c r="AI84" s="211"/>
      <c r="AJ84" s="211"/>
      <c r="AK84" s="211"/>
      <c r="AL84" s="211"/>
      <c r="AM84" s="255" t="s">
        <v>7630</v>
      </c>
      <c r="AN84" s="182"/>
      <c r="AO84" s="182"/>
      <c r="AP84" s="182"/>
      <c r="AQ84" s="182"/>
      <c r="AR84" s="182"/>
      <c r="AS84" s="182"/>
      <c r="AT84" s="182"/>
      <c r="AU84" s="182"/>
      <c r="AV84" s="182"/>
      <c r="AW84" s="182"/>
      <c r="AX84" s="182"/>
      <c r="AY84" s="182"/>
      <c r="AZ84" s="182"/>
      <c r="BA84" s="182"/>
      <c r="BB84" s="182"/>
      <c r="BC84" s="182"/>
      <c r="BD84" s="182"/>
      <c r="BE84" s="182"/>
      <c r="BF84" s="182"/>
      <c r="BG84" s="182"/>
      <c r="BH84" s="182"/>
      <c r="BI84" s="182"/>
      <c r="BJ84" s="182"/>
      <c r="BK84" s="182"/>
      <c r="BL84" s="182"/>
      <c r="BM84" s="182"/>
      <c r="BN84" s="182"/>
      <c r="BO84" s="182"/>
      <c r="BP84" s="182"/>
      <c r="BQ84" s="182"/>
      <c r="BR84" s="182"/>
      <c r="BS84" s="182"/>
      <c r="BT84" s="182"/>
    </row>
    <row r="85" s="182" customFormat="1" ht="18" customHeight="1" spans="1:72">
      <c r="A85" s="193" t="s">
        <v>7575</v>
      </c>
      <c r="B85" s="194" t="s">
        <v>7527</v>
      </c>
      <c r="C85" s="193" t="s">
        <v>7512</v>
      </c>
      <c r="D85" s="194" t="s">
        <v>7631</v>
      </c>
      <c r="E85" s="196">
        <v>46161</v>
      </c>
      <c r="F85" s="194" t="s">
        <v>7506</v>
      </c>
      <c r="G85" s="197" t="s">
        <v>7507</v>
      </c>
      <c r="H85" s="194">
        <v>2575</v>
      </c>
      <c r="I85" s="197"/>
      <c r="J85" s="197"/>
      <c r="K85" s="197"/>
      <c r="L85" s="197"/>
      <c r="M85" s="197"/>
      <c r="N85" s="197"/>
      <c r="O85" s="197"/>
      <c r="P85" s="197"/>
      <c r="Q85" s="197"/>
      <c r="R85" s="197"/>
      <c r="S85" s="197"/>
      <c r="T85" s="197"/>
      <c r="U85" s="197"/>
      <c r="V85" s="197"/>
      <c r="W85" s="197"/>
      <c r="X85" s="197"/>
      <c r="Y85" s="197"/>
      <c r="Z85" s="197"/>
      <c r="AA85" s="197">
        <v>2575</v>
      </c>
      <c r="AB85" s="197"/>
      <c r="AC85" s="197"/>
      <c r="AD85" s="197"/>
      <c r="AE85" s="197"/>
      <c r="AF85" s="194"/>
      <c r="AG85" s="194"/>
      <c r="AH85" s="194"/>
      <c r="AI85" s="197"/>
      <c r="AJ85" s="197"/>
      <c r="AK85" s="197"/>
      <c r="AL85" s="197"/>
      <c r="AM85" s="217" t="s">
        <v>7632</v>
      </c>
    </row>
    <row r="86" s="182" customFormat="1" ht="18" customHeight="1" spans="1:72">
      <c r="A86" s="193" t="s">
        <v>7519</v>
      </c>
      <c r="B86" s="194">
        <v>77772</v>
      </c>
      <c r="C86" s="193" t="s">
        <v>7504</v>
      </c>
      <c r="D86" s="194">
        <v>1000040986</v>
      </c>
      <c r="E86" s="196">
        <v>46176</v>
      </c>
      <c r="F86" s="194" t="s">
        <v>7506</v>
      </c>
      <c r="G86" s="197" t="s">
        <v>7507</v>
      </c>
      <c r="H86" s="194">
        <v>500000</v>
      </c>
      <c r="I86" s="197">
        <v>500000</v>
      </c>
      <c r="J86" s="197"/>
      <c r="K86" s="197"/>
      <c r="L86" s="197"/>
      <c r="M86" s="197"/>
      <c r="N86" s="197"/>
      <c r="O86" s="197"/>
      <c r="P86" s="197"/>
      <c r="Q86" s="197"/>
      <c r="R86" s="197"/>
      <c r="S86" s="197"/>
      <c r="T86" s="197"/>
      <c r="U86" s="197"/>
      <c r="V86" s="197"/>
      <c r="W86" s="197"/>
      <c r="X86" s="197"/>
      <c r="Y86" s="197"/>
      <c r="Z86" s="197"/>
      <c r="AA86" s="197"/>
      <c r="AB86" s="197"/>
      <c r="AC86" s="197"/>
      <c r="AD86" s="197"/>
      <c r="AE86" s="197"/>
      <c r="AF86" s="194"/>
      <c r="AG86" s="194"/>
      <c r="AH86" s="194"/>
      <c r="AI86" s="197"/>
      <c r="AJ86" s="197"/>
      <c r="AK86" s="197"/>
      <c r="AL86" s="197"/>
      <c r="AM86" s="254"/>
    </row>
    <row r="87" s="182" customFormat="1" ht="18" customHeight="1" spans="1:72">
      <c r="A87" s="193" t="s">
        <v>7519</v>
      </c>
      <c r="B87" s="194">
        <v>77772</v>
      </c>
      <c r="C87" s="193" t="s">
        <v>7504</v>
      </c>
      <c r="D87" s="194">
        <v>1000040987</v>
      </c>
      <c r="E87" s="196">
        <v>46176</v>
      </c>
      <c r="F87" s="194" t="s">
        <v>7516</v>
      </c>
      <c r="G87" s="197" t="s">
        <v>7507</v>
      </c>
      <c r="H87" s="194">
        <v>200000</v>
      </c>
      <c r="I87" s="197"/>
      <c r="J87" s="197">
        <v>200000</v>
      </c>
      <c r="K87" s="197"/>
      <c r="L87" s="197"/>
      <c r="M87" s="197"/>
      <c r="N87" s="197"/>
      <c r="O87" s="197"/>
      <c r="P87" s="197"/>
      <c r="Q87" s="197"/>
      <c r="R87" s="197"/>
      <c r="S87" s="197"/>
      <c r="T87" s="197"/>
      <c r="U87" s="197"/>
      <c r="V87" s="197"/>
      <c r="W87" s="197"/>
      <c r="X87" s="197"/>
      <c r="Y87" s="197"/>
      <c r="Z87" s="197"/>
      <c r="AA87" s="197"/>
      <c r="AB87" s="197"/>
      <c r="AC87" s="197"/>
      <c r="AD87" s="197"/>
      <c r="AE87" s="197"/>
      <c r="AF87" s="194"/>
      <c r="AG87" s="194"/>
      <c r="AH87" s="194"/>
      <c r="AI87" s="197"/>
      <c r="AJ87" s="197"/>
      <c r="AK87" s="197"/>
      <c r="AL87" s="197"/>
      <c r="AM87" s="254"/>
    </row>
    <row r="88" s="182" customFormat="1" ht="18" customHeight="1" spans="1:72">
      <c r="A88" s="193" t="s">
        <v>7519</v>
      </c>
      <c r="B88" s="194">
        <v>77772</v>
      </c>
      <c r="C88" s="193" t="s">
        <v>7508</v>
      </c>
      <c r="D88" s="194">
        <v>1000040988</v>
      </c>
      <c r="E88" s="196">
        <v>46176</v>
      </c>
      <c r="F88" s="194" t="s">
        <v>7510</v>
      </c>
      <c r="G88" s="197" t="s">
        <v>7609</v>
      </c>
      <c r="H88" s="194">
        <v>1000000</v>
      </c>
      <c r="I88" s="197"/>
      <c r="J88" s="197"/>
      <c r="K88" s="197"/>
      <c r="L88" s="197"/>
      <c r="M88" s="197"/>
      <c r="N88" s="197"/>
      <c r="O88" s="197">
        <v>1000000</v>
      </c>
      <c r="P88" s="197"/>
      <c r="Q88" s="197"/>
      <c r="R88" s="197"/>
      <c r="S88" s="197"/>
      <c r="T88" s="197"/>
      <c r="U88" s="197"/>
      <c r="V88" s="197"/>
      <c r="W88" s="197"/>
      <c r="X88" s="197"/>
      <c r="Y88" s="197"/>
      <c r="Z88" s="197"/>
      <c r="AA88" s="197"/>
      <c r="AB88" s="197"/>
      <c r="AC88" s="197"/>
      <c r="AD88" s="197"/>
      <c r="AE88" s="197"/>
      <c r="AF88" s="194"/>
      <c r="AG88" s="194"/>
      <c r="AH88" s="194"/>
      <c r="AI88" s="197"/>
      <c r="AJ88" s="197"/>
      <c r="AK88" s="197"/>
      <c r="AL88" s="197"/>
      <c r="AM88" s="254" t="s">
        <v>7610</v>
      </c>
    </row>
    <row r="89" s="182" customFormat="1" ht="18" customHeight="1" spans="1:72">
      <c r="A89" s="193" t="s">
        <v>7519</v>
      </c>
      <c r="B89" s="194" t="s">
        <v>7511</v>
      </c>
      <c r="C89" s="193" t="s">
        <v>7512</v>
      </c>
      <c r="D89" s="194">
        <v>1000040989</v>
      </c>
      <c r="E89" s="196">
        <v>46176</v>
      </c>
      <c r="F89" s="194" t="s">
        <v>7506</v>
      </c>
      <c r="G89" s="197" t="s">
        <v>7507</v>
      </c>
      <c r="H89" s="194">
        <v>2000</v>
      </c>
      <c r="I89" s="197"/>
      <c r="J89" s="197"/>
      <c r="K89" s="197"/>
      <c r="L89" s="197"/>
      <c r="M89" s="197"/>
      <c r="N89" s="197"/>
      <c r="O89" s="197"/>
      <c r="P89" s="197"/>
      <c r="Q89" s="197">
        <v>2000</v>
      </c>
      <c r="R89" s="197"/>
      <c r="S89" s="197"/>
      <c r="T89" s="197"/>
      <c r="U89" s="197"/>
      <c r="V89" s="197"/>
      <c r="W89" s="197"/>
      <c r="X89" s="197"/>
      <c r="Y89" s="197"/>
      <c r="Z89" s="197"/>
      <c r="AA89" s="197"/>
      <c r="AB89" s="197"/>
      <c r="AC89" s="197"/>
      <c r="AD89" s="197"/>
      <c r="AE89" s="197"/>
      <c r="AF89" s="194"/>
      <c r="AG89" s="194"/>
      <c r="AH89" s="194"/>
      <c r="AI89" s="197"/>
      <c r="AJ89" s="197"/>
      <c r="AK89" s="197"/>
      <c r="AL89" s="197"/>
      <c r="AM89" s="254"/>
    </row>
    <row r="90" s="182" customFormat="1" ht="18" customHeight="1" spans="1:72">
      <c r="A90" s="193" t="s">
        <v>7519</v>
      </c>
      <c r="B90" s="194" t="s">
        <v>7511</v>
      </c>
      <c r="C90" s="193" t="s">
        <v>7512</v>
      </c>
      <c r="D90" s="194">
        <v>1000040990</v>
      </c>
      <c r="E90" s="196">
        <v>46176</v>
      </c>
      <c r="F90" s="194" t="s">
        <v>7516</v>
      </c>
      <c r="G90" s="197" t="s">
        <v>7507</v>
      </c>
      <c r="H90" s="194">
        <v>4000</v>
      </c>
      <c r="I90" s="197"/>
      <c r="J90" s="197"/>
      <c r="K90" s="197"/>
      <c r="L90" s="197"/>
      <c r="M90" s="197"/>
      <c r="N90" s="197"/>
      <c r="O90" s="197"/>
      <c r="P90" s="197"/>
      <c r="Q90" s="197"/>
      <c r="R90" s="197">
        <v>4000</v>
      </c>
      <c r="S90" s="197"/>
      <c r="T90" s="197"/>
      <c r="U90" s="197"/>
      <c r="V90" s="197"/>
      <c r="W90" s="197"/>
      <c r="X90" s="197"/>
      <c r="Y90" s="197"/>
      <c r="Z90" s="197"/>
      <c r="AA90" s="197"/>
      <c r="AB90" s="197"/>
      <c r="AC90" s="197"/>
      <c r="AD90" s="197"/>
      <c r="AE90" s="197"/>
      <c r="AF90" s="194"/>
      <c r="AG90" s="194"/>
      <c r="AH90" s="194"/>
      <c r="AI90" s="197"/>
      <c r="AJ90" s="197"/>
      <c r="AK90" s="197"/>
      <c r="AL90" s="197"/>
      <c r="AM90" s="254"/>
    </row>
    <row r="91" s="182" customFormat="1" ht="18" customHeight="1" spans="1:72">
      <c r="A91" s="193" t="s">
        <v>7519</v>
      </c>
      <c r="B91" s="194" t="s">
        <v>7514</v>
      </c>
      <c r="C91" s="193" t="s">
        <v>7512</v>
      </c>
      <c r="D91" s="194">
        <v>1000040991</v>
      </c>
      <c r="E91" s="196">
        <v>46176</v>
      </c>
      <c r="F91" s="194" t="s">
        <v>7506</v>
      </c>
      <c r="G91" s="197" t="s">
        <v>7507</v>
      </c>
      <c r="H91" s="194">
        <v>1000</v>
      </c>
      <c r="I91" s="197"/>
      <c r="J91" s="197"/>
      <c r="K91" s="197"/>
      <c r="L91" s="197"/>
      <c r="M91" s="197"/>
      <c r="N91" s="197"/>
      <c r="O91" s="197"/>
      <c r="P91" s="197"/>
      <c r="Q91" s="197"/>
      <c r="R91" s="197"/>
      <c r="S91" s="197">
        <v>1000</v>
      </c>
      <c r="T91" s="197"/>
      <c r="U91" s="197"/>
      <c r="V91" s="197"/>
      <c r="W91" s="197"/>
      <c r="X91" s="197"/>
      <c r="Y91" s="197"/>
      <c r="Z91" s="197"/>
      <c r="AA91" s="197"/>
      <c r="AB91" s="197"/>
      <c r="AC91" s="197"/>
      <c r="AD91" s="197"/>
      <c r="AE91" s="197"/>
      <c r="AF91" s="194"/>
      <c r="AG91" s="194"/>
      <c r="AH91" s="194"/>
      <c r="AI91" s="197"/>
      <c r="AJ91" s="197"/>
      <c r="AK91" s="197"/>
      <c r="AL91" s="197"/>
      <c r="AM91" s="254"/>
    </row>
    <row r="92" s="182" customFormat="1" ht="18" customHeight="1" spans="1:72">
      <c r="A92" s="193" t="s">
        <v>7519</v>
      </c>
      <c r="B92" s="194" t="s">
        <v>7514</v>
      </c>
      <c r="C92" s="193" t="s">
        <v>7512</v>
      </c>
      <c r="D92" s="194">
        <v>1000040992</v>
      </c>
      <c r="E92" s="196">
        <v>46176</v>
      </c>
      <c r="F92" s="194" t="s">
        <v>7516</v>
      </c>
      <c r="G92" s="197" t="s">
        <v>7507</v>
      </c>
      <c r="H92" s="194">
        <v>2500</v>
      </c>
      <c r="I92" s="197"/>
      <c r="J92" s="197"/>
      <c r="K92" s="197"/>
      <c r="L92" s="197"/>
      <c r="M92" s="197"/>
      <c r="N92" s="197"/>
      <c r="O92" s="197"/>
      <c r="P92" s="197"/>
      <c r="Q92" s="197"/>
      <c r="R92" s="197"/>
      <c r="S92" s="197"/>
      <c r="T92" s="197">
        <v>2500</v>
      </c>
      <c r="U92" s="197"/>
      <c r="V92" s="197"/>
      <c r="W92" s="197"/>
      <c r="X92" s="197"/>
      <c r="Y92" s="197"/>
      <c r="Z92" s="197"/>
      <c r="AA92" s="197"/>
      <c r="AB92" s="197"/>
      <c r="AC92" s="197"/>
      <c r="AD92" s="197"/>
      <c r="AE92" s="197"/>
      <c r="AF92" s="194"/>
      <c r="AG92" s="194"/>
      <c r="AH92" s="194"/>
      <c r="AI92" s="197"/>
      <c r="AJ92" s="197"/>
      <c r="AK92" s="197"/>
      <c r="AL92" s="197"/>
      <c r="AM92" s="254"/>
    </row>
    <row r="93" s="182" customFormat="1" ht="18" customHeight="1" spans="1:72">
      <c r="A93" s="193" t="s">
        <v>7519</v>
      </c>
      <c r="B93" s="194" t="s">
        <v>799</v>
      </c>
      <c r="C93" s="193" t="s">
        <v>7569</v>
      </c>
      <c r="D93" s="194">
        <v>1000040993</v>
      </c>
      <c r="E93" s="196">
        <v>46176</v>
      </c>
      <c r="F93" s="194" t="s">
        <v>7516</v>
      </c>
      <c r="G93" s="197" t="s">
        <v>7507</v>
      </c>
      <c r="H93" s="194">
        <v>500</v>
      </c>
      <c r="I93" s="197"/>
      <c r="J93" s="197"/>
      <c r="K93" s="197"/>
      <c r="L93" s="197"/>
      <c r="M93" s="197"/>
      <c r="N93" s="197"/>
      <c r="O93" s="197"/>
      <c r="P93" s="197"/>
      <c r="Q93" s="197"/>
      <c r="R93" s="197"/>
      <c r="S93" s="197"/>
      <c r="T93" s="197"/>
      <c r="U93" s="197"/>
      <c r="V93" s="197"/>
      <c r="W93" s="197"/>
      <c r="X93" s="197"/>
      <c r="Y93" s="197"/>
      <c r="Z93" s="197"/>
      <c r="AA93" s="197"/>
      <c r="AB93" s="197"/>
      <c r="AC93" s="197"/>
      <c r="AD93" s="197"/>
      <c r="AE93" s="197"/>
      <c r="AF93" s="194">
        <v>500</v>
      </c>
      <c r="AG93" s="194"/>
      <c r="AH93" s="194"/>
      <c r="AI93" s="197"/>
      <c r="AJ93" s="197"/>
      <c r="AK93" s="197"/>
      <c r="AL93" s="197"/>
      <c r="AM93" s="254"/>
    </row>
    <row r="94" s="182" customFormat="1" ht="18" customHeight="1" spans="1:72">
      <c r="A94" s="193" t="s">
        <v>7590</v>
      </c>
      <c r="B94" s="194" t="s">
        <v>7511</v>
      </c>
      <c r="C94" s="193" t="s">
        <v>7587</v>
      </c>
      <c r="D94" s="194">
        <v>1000040861</v>
      </c>
      <c r="E94" s="196">
        <v>46174</v>
      </c>
      <c r="F94" s="194" t="s">
        <v>7506</v>
      </c>
      <c r="G94" s="197" t="s">
        <v>7585</v>
      </c>
      <c r="H94" s="194">
        <v>180914</v>
      </c>
      <c r="I94" s="197"/>
      <c r="J94" s="197"/>
      <c r="K94" s="197"/>
      <c r="L94" s="197"/>
      <c r="M94" s="197"/>
      <c r="N94" s="197"/>
      <c r="O94" s="197"/>
      <c r="P94" s="197"/>
      <c r="Q94" s="197"/>
      <c r="R94" s="197"/>
      <c r="S94" s="197"/>
      <c r="T94" s="197"/>
      <c r="U94" s="197"/>
      <c r="V94" s="197"/>
      <c r="W94" s="197"/>
      <c r="X94" s="197"/>
      <c r="Y94" s="197"/>
      <c r="Z94" s="197"/>
      <c r="AA94" s="197"/>
      <c r="AB94" s="197"/>
      <c r="AC94" s="197"/>
      <c r="AD94" s="197"/>
      <c r="AE94" s="197"/>
      <c r="AF94" s="194"/>
      <c r="AG94" s="194"/>
      <c r="AH94" s="194"/>
      <c r="AI94" s="197"/>
      <c r="AJ94" s="197"/>
      <c r="AK94" s="197"/>
      <c r="AL94" s="197"/>
      <c r="AM94" s="255" t="s">
        <v>7633</v>
      </c>
    </row>
    <row r="95" s="182" customFormat="1" ht="18" customHeight="1" spans="1:72">
      <c r="A95" s="193" t="s">
        <v>7590</v>
      </c>
      <c r="B95" s="194" t="s">
        <v>7511</v>
      </c>
      <c r="C95" s="193" t="s">
        <v>7504</v>
      </c>
      <c r="D95" s="194">
        <v>1000040862</v>
      </c>
      <c r="E95" s="196">
        <v>46174</v>
      </c>
      <c r="F95" s="194" t="s">
        <v>7506</v>
      </c>
      <c r="G95" s="197" t="s">
        <v>7585</v>
      </c>
      <c r="H95" s="194">
        <v>40008</v>
      </c>
      <c r="I95" s="197"/>
      <c r="J95" s="197"/>
      <c r="K95" s="194">
        <v>40008</v>
      </c>
      <c r="L95" s="197"/>
      <c r="M95" s="197"/>
      <c r="N95" s="197"/>
      <c r="O95" s="197"/>
      <c r="P95" s="197"/>
      <c r="Q95" s="197"/>
      <c r="R95" s="197"/>
      <c r="S95" s="197"/>
      <c r="T95" s="197"/>
      <c r="U95" s="197"/>
      <c r="V95" s="197"/>
      <c r="W95" s="197"/>
      <c r="X95" s="197"/>
      <c r="Y95" s="197"/>
      <c r="Z95" s="197"/>
      <c r="AA95" s="197"/>
      <c r="AB95" s="197"/>
      <c r="AC95" s="197"/>
      <c r="AD95" s="197"/>
      <c r="AE95" s="197"/>
      <c r="AF95" s="194"/>
      <c r="AG95" s="194"/>
      <c r="AH95" s="194"/>
      <c r="AI95" s="197"/>
      <c r="AJ95" s="197"/>
      <c r="AK95" s="197"/>
      <c r="AL95" s="197"/>
      <c r="AM95" s="255" t="s">
        <v>7634</v>
      </c>
      <c r="AN95" s="182" t="s">
        <v>7635</v>
      </c>
    </row>
    <row r="96" s="182" customFormat="1" ht="18" customHeight="1" spans="1:72">
      <c r="A96" s="193" t="s">
        <v>7590</v>
      </c>
      <c r="B96" s="194" t="s">
        <v>7511</v>
      </c>
      <c r="C96" s="200" t="s">
        <v>7512</v>
      </c>
      <c r="D96" s="194">
        <v>1000041000</v>
      </c>
      <c r="E96" s="196">
        <v>46177</v>
      </c>
      <c r="F96" s="194" t="s">
        <v>7506</v>
      </c>
      <c r="G96" s="197" t="s">
        <v>6779</v>
      </c>
      <c r="H96" s="194">
        <v>3542</v>
      </c>
      <c r="I96" s="197"/>
      <c r="J96" s="197"/>
      <c r="K96" s="197"/>
      <c r="L96" s="197"/>
      <c r="M96" s="197"/>
      <c r="N96" s="197"/>
      <c r="O96" s="197"/>
      <c r="P96" s="197"/>
      <c r="Q96" s="194"/>
      <c r="R96" s="197"/>
      <c r="S96" s="197"/>
      <c r="T96" s="197"/>
      <c r="U96" s="197">
        <v>3542</v>
      </c>
      <c r="V96" s="197"/>
      <c r="W96" s="197"/>
      <c r="X96" s="197"/>
      <c r="Y96" s="197"/>
      <c r="Z96" s="197"/>
      <c r="AA96" s="197"/>
      <c r="AB96" s="197"/>
      <c r="AC96" s="197"/>
      <c r="AD96" s="197"/>
      <c r="AE96" s="197"/>
      <c r="AF96" s="194"/>
      <c r="AG96" s="194"/>
      <c r="AH96" s="194"/>
      <c r="AI96" s="197"/>
      <c r="AJ96" s="197"/>
      <c r="AK96" s="197"/>
      <c r="AL96" s="197"/>
      <c r="AM96" s="255" t="s">
        <v>7636</v>
      </c>
    </row>
    <row r="97" s="182" customFormat="1" ht="18" customHeight="1" spans="1:39">
      <c r="A97" s="193" t="s">
        <v>7590</v>
      </c>
      <c r="B97" s="194" t="s">
        <v>7514</v>
      </c>
      <c r="C97" s="193" t="s">
        <v>7512</v>
      </c>
      <c r="D97" s="194">
        <v>1000041318</v>
      </c>
      <c r="E97" s="196">
        <v>46184</v>
      </c>
      <c r="F97" s="194" t="s">
        <v>7506</v>
      </c>
      <c r="G97" s="197" t="s">
        <v>7585</v>
      </c>
      <c r="H97" s="194">
        <v>3220</v>
      </c>
      <c r="I97" s="197"/>
      <c r="J97" s="197"/>
      <c r="K97" s="197"/>
      <c r="L97" s="197"/>
      <c r="M97" s="197"/>
      <c r="N97" s="197"/>
      <c r="O97" s="197"/>
      <c r="P97" s="197"/>
      <c r="Q97" s="197"/>
      <c r="R97" s="197"/>
      <c r="S97" s="194">
        <v>3220</v>
      </c>
      <c r="T97" s="197"/>
      <c r="U97" s="197"/>
      <c r="V97" s="197"/>
      <c r="W97" s="197"/>
      <c r="X97" s="197"/>
      <c r="Y97" s="197"/>
      <c r="Z97" s="197"/>
      <c r="AA97" s="197"/>
      <c r="AB97" s="197"/>
      <c r="AC97" s="197"/>
      <c r="AD97" s="197"/>
      <c r="AE97" s="197"/>
      <c r="AF97" s="194"/>
      <c r="AG97" s="194"/>
      <c r="AH97" s="194"/>
      <c r="AI97" s="197"/>
      <c r="AJ97" s="197"/>
      <c r="AK97" s="197"/>
      <c r="AL97" s="197"/>
      <c r="AM97" s="255" t="s">
        <v>7637</v>
      </c>
    </row>
    <row r="98" s="182" customFormat="1" ht="18" customHeight="1" spans="1:39">
      <c r="A98" s="200" t="s">
        <v>7575</v>
      </c>
      <c r="B98" s="194" t="s">
        <v>7527</v>
      </c>
      <c r="C98" s="193" t="s">
        <v>7512</v>
      </c>
      <c r="D98" s="194">
        <v>1000041331</v>
      </c>
      <c r="E98" s="196">
        <v>46184</v>
      </c>
      <c r="F98" s="194" t="s">
        <v>7506</v>
      </c>
      <c r="G98" s="197" t="s">
        <v>7507</v>
      </c>
      <c r="H98" s="194">
        <v>1623</v>
      </c>
      <c r="I98" s="197"/>
      <c r="J98" s="197"/>
      <c r="K98" s="197"/>
      <c r="L98" s="197"/>
      <c r="M98" s="197"/>
      <c r="N98" s="197"/>
      <c r="O98" s="197"/>
      <c r="P98" s="197"/>
      <c r="Q98" s="197"/>
      <c r="R98" s="197"/>
      <c r="S98" s="197"/>
      <c r="T98" s="197"/>
      <c r="U98" s="197"/>
      <c r="V98" s="197"/>
      <c r="W98" s="197"/>
      <c r="X98" s="197"/>
      <c r="Y98" s="197"/>
      <c r="Z98" s="197"/>
      <c r="AA98" s="194">
        <v>1623</v>
      </c>
      <c r="AB98" s="197"/>
      <c r="AC98" s="197"/>
      <c r="AD98" s="197"/>
      <c r="AE98" s="197"/>
      <c r="AF98" s="194"/>
      <c r="AG98" s="194"/>
      <c r="AH98" s="194"/>
      <c r="AI98" s="197"/>
      <c r="AJ98" s="197"/>
      <c r="AK98" s="197"/>
      <c r="AL98" s="197"/>
      <c r="AM98" s="253" t="s">
        <v>7638</v>
      </c>
    </row>
    <row r="99" s="182" customFormat="1" ht="18" customHeight="1" spans="1:39">
      <c r="A99" s="200" t="s">
        <v>7532</v>
      </c>
      <c r="B99" s="194" t="s">
        <v>7536</v>
      </c>
      <c r="C99" s="193" t="s">
        <v>7504</v>
      </c>
      <c r="D99" s="194">
        <v>1000041329</v>
      </c>
      <c r="E99" s="196">
        <v>46184</v>
      </c>
      <c r="F99" s="194" t="s">
        <v>7516</v>
      </c>
      <c r="G99" s="197" t="s">
        <v>7507</v>
      </c>
      <c r="H99" s="194">
        <v>22624</v>
      </c>
      <c r="I99" s="197"/>
      <c r="J99" s="197"/>
      <c r="K99" s="197"/>
      <c r="L99" s="197"/>
      <c r="M99" s="194">
        <v>22624</v>
      </c>
      <c r="N99" s="194"/>
      <c r="O99" s="197"/>
      <c r="P99" s="197"/>
      <c r="Q99" s="197"/>
      <c r="R99" s="197"/>
      <c r="S99" s="197"/>
      <c r="T99" s="197"/>
      <c r="U99" s="197"/>
      <c r="V99" s="197"/>
      <c r="W99" s="197"/>
      <c r="X99" s="197"/>
      <c r="Y99" s="197"/>
      <c r="Z99" s="197"/>
      <c r="AA99" s="194"/>
      <c r="AB99" s="197"/>
      <c r="AC99" s="197"/>
      <c r="AD99" s="197"/>
      <c r="AE99" s="197"/>
      <c r="AF99" s="194"/>
      <c r="AG99" s="194"/>
      <c r="AH99" s="194"/>
      <c r="AI99" s="197"/>
      <c r="AJ99" s="197"/>
      <c r="AK99" s="197"/>
      <c r="AL99" s="197"/>
      <c r="AM99" s="253" t="s">
        <v>7639</v>
      </c>
    </row>
    <row r="100" s="182" customFormat="1" ht="18" customHeight="1" spans="1:39">
      <c r="A100" s="200" t="s">
        <v>7519</v>
      </c>
      <c r="B100" s="194">
        <v>77772</v>
      </c>
      <c r="C100" s="193" t="s">
        <v>7504</v>
      </c>
      <c r="D100" s="194">
        <v>1000041388</v>
      </c>
      <c r="E100" s="196">
        <v>46185</v>
      </c>
      <c r="F100" s="194" t="s">
        <v>7506</v>
      </c>
      <c r="G100" s="197" t="s">
        <v>7507</v>
      </c>
      <c r="H100" s="194">
        <v>500000</v>
      </c>
      <c r="I100" s="194">
        <v>500000</v>
      </c>
      <c r="J100" s="197"/>
      <c r="K100" s="197"/>
      <c r="L100" s="197"/>
      <c r="M100" s="197"/>
      <c r="N100" s="197"/>
      <c r="O100" s="197"/>
      <c r="P100" s="197"/>
      <c r="Q100" s="197"/>
      <c r="R100" s="197"/>
      <c r="S100" s="197"/>
      <c r="T100" s="197"/>
      <c r="U100" s="197"/>
      <c r="V100" s="197"/>
      <c r="W100" s="197"/>
      <c r="X100" s="197"/>
      <c r="Y100" s="197"/>
      <c r="Z100" s="197"/>
      <c r="AA100" s="194"/>
      <c r="AB100" s="197"/>
      <c r="AC100" s="197"/>
      <c r="AD100" s="197"/>
      <c r="AE100" s="197"/>
      <c r="AF100" s="194"/>
      <c r="AG100" s="194"/>
      <c r="AH100" s="194"/>
      <c r="AI100" s="197"/>
      <c r="AJ100" s="197"/>
      <c r="AK100" s="197"/>
      <c r="AL100" s="197"/>
      <c r="AM100" s="253"/>
    </row>
    <row r="101" s="182" customFormat="1" ht="18" customHeight="1" spans="1:39">
      <c r="A101" s="200" t="s">
        <v>7519</v>
      </c>
      <c r="B101" s="194">
        <v>77772</v>
      </c>
      <c r="C101" s="193" t="s">
        <v>7504</v>
      </c>
      <c r="D101" s="194">
        <v>1000041389</v>
      </c>
      <c r="E101" s="196">
        <v>46185</v>
      </c>
      <c r="F101" s="194" t="s">
        <v>7516</v>
      </c>
      <c r="G101" s="197" t="s">
        <v>7507</v>
      </c>
      <c r="H101" s="194">
        <v>200000</v>
      </c>
      <c r="I101" s="197"/>
      <c r="J101" s="194">
        <v>200000</v>
      </c>
      <c r="K101" s="197"/>
      <c r="L101" s="197"/>
      <c r="M101" s="197"/>
      <c r="N101" s="197"/>
      <c r="O101" s="197"/>
      <c r="P101" s="197"/>
      <c r="Q101" s="197"/>
      <c r="R101" s="197"/>
      <c r="S101" s="197"/>
      <c r="T101" s="197"/>
      <c r="U101" s="197"/>
      <c r="V101" s="197"/>
      <c r="W101" s="197"/>
      <c r="X101" s="197"/>
      <c r="Y101" s="197"/>
      <c r="Z101" s="197"/>
      <c r="AA101" s="194"/>
      <c r="AB101" s="197"/>
      <c r="AC101" s="197"/>
      <c r="AD101" s="197"/>
      <c r="AE101" s="197"/>
      <c r="AF101" s="194"/>
      <c r="AG101" s="194"/>
      <c r="AH101" s="194"/>
      <c r="AI101" s="197"/>
      <c r="AJ101" s="197"/>
      <c r="AK101" s="197"/>
      <c r="AL101" s="197"/>
      <c r="AM101" s="253"/>
    </row>
    <row r="102" s="182" customFormat="1" ht="18" customHeight="1" spans="1:39">
      <c r="A102" s="200" t="s">
        <v>7519</v>
      </c>
      <c r="B102" s="194">
        <v>77772</v>
      </c>
      <c r="C102" s="193" t="s">
        <v>7508</v>
      </c>
      <c r="D102" s="194">
        <v>1000041390</v>
      </c>
      <c r="E102" s="196">
        <v>46185</v>
      </c>
      <c r="F102" s="194" t="s">
        <v>7510</v>
      </c>
      <c r="G102" s="197" t="s">
        <v>7609</v>
      </c>
      <c r="H102" s="194">
        <v>1000000</v>
      </c>
      <c r="I102" s="197"/>
      <c r="J102" s="197"/>
      <c r="K102" s="197"/>
      <c r="L102" s="197"/>
      <c r="M102" s="197"/>
      <c r="N102" s="197"/>
      <c r="O102" s="194">
        <v>1000000</v>
      </c>
      <c r="P102" s="197"/>
      <c r="Q102" s="197"/>
      <c r="R102" s="197"/>
      <c r="S102" s="197"/>
      <c r="T102" s="197"/>
      <c r="U102" s="197"/>
      <c r="V102" s="197"/>
      <c r="W102" s="197"/>
      <c r="X102" s="197"/>
      <c r="Y102" s="197"/>
      <c r="Z102" s="197"/>
      <c r="AA102" s="194"/>
      <c r="AB102" s="197"/>
      <c r="AC102" s="197"/>
      <c r="AD102" s="197"/>
      <c r="AE102" s="197"/>
      <c r="AF102" s="194"/>
      <c r="AG102" s="194"/>
      <c r="AH102" s="194"/>
      <c r="AI102" s="197"/>
      <c r="AJ102" s="197"/>
      <c r="AK102" s="197"/>
      <c r="AL102" s="197"/>
      <c r="AM102" s="253" t="s">
        <v>7610</v>
      </c>
    </row>
    <row r="103" s="182" customFormat="1" ht="18" customHeight="1" spans="1:39">
      <c r="A103" s="200" t="s">
        <v>7519</v>
      </c>
      <c r="B103" s="194" t="s">
        <v>7511</v>
      </c>
      <c r="C103" s="193" t="s">
        <v>7512</v>
      </c>
      <c r="D103" s="194">
        <v>1000041391</v>
      </c>
      <c r="E103" s="196">
        <v>46185</v>
      </c>
      <c r="F103" s="194" t="s">
        <v>7506</v>
      </c>
      <c r="G103" s="197" t="s">
        <v>7507</v>
      </c>
      <c r="H103" s="194">
        <v>3000</v>
      </c>
      <c r="I103" s="197"/>
      <c r="J103" s="197"/>
      <c r="K103" s="197"/>
      <c r="L103" s="197"/>
      <c r="M103" s="197"/>
      <c r="N103" s="197"/>
      <c r="O103" s="197"/>
      <c r="P103" s="197"/>
      <c r="Q103" s="194">
        <v>3000</v>
      </c>
      <c r="R103" s="197"/>
      <c r="S103" s="197"/>
      <c r="T103" s="197"/>
      <c r="U103" s="197"/>
      <c r="V103" s="197"/>
      <c r="W103" s="197"/>
      <c r="X103" s="197"/>
      <c r="Y103" s="197"/>
      <c r="Z103" s="197"/>
      <c r="AA103" s="194"/>
      <c r="AB103" s="197"/>
      <c r="AC103" s="197"/>
      <c r="AD103" s="197"/>
      <c r="AE103" s="197"/>
      <c r="AF103" s="194"/>
      <c r="AG103" s="194"/>
      <c r="AH103" s="194"/>
      <c r="AI103" s="197"/>
      <c r="AJ103" s="197"/>
      <c r="AK103" s="197"/>
      <c r="AL103" s="197"/>
      <c r="AM103" s="253"/>
    </row>
    <row r="104" s="182" customFormat="1" ht="18" customHeight="1" spans="1:39">
      <c r="A104" s="200" t="s">
        <v>7519</v>
      </c>
      <c r="B104" s="194" t="s">
        <v>7511</v>
      </c>
      <c r="C104" s="193" t="s">
        <v>7512</v>
      </c>
      <c r="D104" s="194">
        <v>1000041392</v>
      </c>
      <c r="E104" s="196">
        <v>46185</v>
      </c>
      <c r="F104" s="194" t="s">
        <v>7516</v>
      </c>
      <c r="G104" s="197" t="s">
        <v>7507</v>
      </c>
      <c r="H104" s="194">
        <v>1000</v>
      </c>
      <c r="I104" s="197"/>
      <c r="J104" s="197"/>
      <c r="K104" s="197"/>
      <c r="L104" s="197"/>
      <c r="M104" s="197"/>
      <c r="N104" s="197"/>
      <c r="O104" s="197"/>
      <c r="P104" s="197"/>
      <c r="Q104" s="197"/>
      <c r="R104" s="194">
        <v>1000</v>
      </c>
      <c r="S104" s="197"/>
      <c r="T104" s="197"/>
      <c r="U104" s="197"/>
      <c r="V104" s="197"/>
      <c r="W104" s="197"/>
      <c r="X104" s="197"/>
      <c r="Y104" s="197"/>
      <c r="Z104" s="197"/>
      <c r="AA104" s="194"/>
      <c r="AB104" s="197"/>
      <c r="AC104" s="197"/>
      <c r="AD104" s="197"/>
      <c r="AE104" s="197"/>
      <c r="AF104" s="194"/>
      <c r="AG104" s="194"/>
      <c r="AH104" s="194"/>
      <c r="AI104" s="197"/>
      <c r="AJ104" s="197"/>
      <c r="AK104" s="197"/>
      <c r="AL104" s="197"/>
      <c r="AM104" s="253"/>
    </row>
    <row r="105" s="182" customFormat="1" ht="18" customHeight="1" spans="1:39">
      <c r="A105" s="200" t="s">
        <v>7519</v>
      </c>
      <c r="B105" s="194" t="s">
        <v>7514</v>
      </c>
      <c r="C105" s="193" t="s">
        <v>7512</v>
      </c>
      <c r="D105" s="194">
        <v>1000041393</v>
      </c>
      <c r="E105" s="196">
        <v>46185</v>
      </c>
      <c r="F105" s="194" t="s">
        <v>7506</v>
      </c>
      <c r="G105" s="197" t="s">
        <v>7507</v>
      </c>
      <c r="H105" s="194">
        <v>500</v>
      </c>
      <c r="I105" s="197"/>
      <c r="J105" s="197"/>
      <c r="K105" s="197"/>
      <c r="L105" s="197"/>
      <c r="M105" s="197"/>
      <c r="N105" s="197"/>
      <c r="O105" s="197"/>
      <c r="P105" s="197"/>
      <c r="Q105" s="197"/>
      <c r="R105" s="197"/>
      <c r="S105" s="194">
        <v>500</v>
      </c>
      <c r="T105" s="197"/>
      <c r="U105" s="197"/>
      <c r="V105" s="197"/>
      <c r="W105" s="197"/>
      <c r="X105" s="197"/>
      <c r="Y105" s="197"/>
      <c r="Z105" s="197"/>
      <c r="AA105" s="194"/>
      <c r="AB105" s="197"/>
      <c r="AC105" s="197"/>
      <c r="AD105" s="197"/>
      <c r="AE105" s="197"/>
      <c r="AF105" s="194"/>
      <c r="AG105" s="194"/>
      <c r="AH105" s="194"/>
      <c r="AI105" s="197"/>
      <c r="AJ105" s="197"/>
      <c r="AK105" s="197"/>
      <c r="AL105" s="197"/>
      <c r="AM105" s="253"/>
    </row>
    <row r="106" s="182" customFormat="1" ht="18" customHeight="1" spans="1:39">
      <c r="A106" s="200" t="s">
        <v>7519</v>
      </c>
      <c r="B106" s="194" t="s">
        <v>7514</v>
      </c>
      <c r="C106" s="193" t="s">
        <v>7512</v>
      </c>
      <c r="D106" s="194">
        <v>1000041403</v>
      </c>
      <c r="E106" s="196">
        <v>46185</v>
      </c>
      <c r="F106" s="194" t="s">
        <v>7516</v>
      </c>
      <c r="G106" s="197" t="s">
        <v>7507</v>
      </c>
      <c r="H106" s="194">
        <v>1000</v>
      </c>
      <c r="I106" s="197"/>
      <c r="J106" s="197"/>
      <c r="K106" s="197"/>
      <c r="L106" s="197"/>
      <c r="M106" s="197"/>
      <c r="N106" s="197"/>
      <c r="O106" s="197"/>
      <c r="P106" s="197"/>
      <c r="Q106" s="197"/>
      <c r="R106" s="197"/>
      <c r="S106" s="197"/>
      <c r="T106" s="194">
        <v>1000</v>
      </c>
      <c r="U106" s="194"/>
      <c r="V106" s="197"/>
      <c r="W106" s="197"/>
      <c r="X106" s="197"/>
      <c r="Y106" s="197"/>
      <c r="Z106" s="197"/>
      <c r="AA106" s="194"/>
      <c r="AB106" s="197"/>
      <c r="AC106" s="197"/>
      <c r="AD106" s="197"/>
      <c r="AE106" s="197"/>
      <c r="AF106" s="194"/>
      <c r="AG106" s="194"/>
      <c r="AH106" s="194"/>
      <c r="AI106" s="197"/>
      <c r="AJ106" s="197"/>
      <c r="AK106" s="197"/>
      <c r="AL106" s="197"/>
      <c r="AM106" s="253"/>
    </row>
    <row r="107" s="182" customFormat="1" ht="18" customHeight="1" spans="1:39">
      <c r="A107" s="200" t="s">
        <v>7519</v>
      </c>
      <c r="B107" s="194" t="s">
        <v>799</v>
      </c>
      <c r="C107" s="193" t="s">
        <v>7569</v>
      </c>
      <c r="D107" s="194">
        <v>1000041404</v>
      </c>
      <c r="E107" s="196">
        <v>46185</v>
      </c>
      <c r="F107" s="194" t="s">
        <v>7516</v>
      </c>
      <c r="G107" s="197" t="s">
        <v>7507</v>
      </c>
      <c r="H107" s="194">
        <v>200</v>
      </c>
      <c r="I107" s="197"/>
      <c r="J107" s="197"/>
      <c r="K107" s="197"/>
      <c r="L107" s="197"/>
      <c r="M107" s="197"/>
      <c r="N107" s="197"/>
      <c r="O107" s="197"/>
      <c r="P107" s="197"/>
      <c r="Q107" s="197"/>
      <c r="R107" s="197"/>
      <c r="S107" s="197"/>
      <c r="T107" s="197"/>
      <c r="U107" s="197"/>
      <c r="V107" s="197"/>
      <c r="W107" s="197"/>
      <c r="X107" s="197"/>
      <c r="Y107" s="197"/>
      <c r="Z107" s="197"/>
      <c r="AA107" s="194"/>
      <c r="AB107" s="197"/>
      <c r="AC107" s="197"/>
      <c r="AD107" s="197"/>
      <c r="AE107" s="197"/>
      <c r="AF107" s="194">
        <v>200</v>
      </c>
      <c r="AG107" s="194"/>
      <c r="AH107" s="194"/>
      <c r="AI107" s="197"/>
      <c r="AJ107" s="197"/>
      <c r="AK107" s="197"/>
      <c r="AL107" s="197"/>
      <c r="AM107" s="253"/>
    </row>
    <row r="108" s="182" customFormat="1" ht="18" customHeight="1" spans="1:39">
      <c r="A108" s="200" t="s">
        <v>7575</v>
      </c>
      <c r="B108" s="194" t="s">
        <v>7527</v>
      </c>
      <c r="C108" s="193" t="s">
        <v>7512</v>
      </c>
      <c r="D108" s="194">
        <v>1000041384</v>
      </c>
      <c r="E108" s="196">
        <v>46188</v>
      </c>
      <c r="F108" s="194" t="s">
        <v>7506</v>
      </c>
      <c r="G108" s="197" t="s">
        <v>7507</v>
      </c>
      <c r="H108" s="194">
        <v>3702</v>
      </c>
      <c r="I108" s="197"/>
      <c r="J108" s="197"/>
      <c r="K108" s="197"/>
      <c r="L108" s="197"/>
      <c r="M108" s="197"/>
      <c r="N108" s="197"/>
      <c r="O108" s="197"/>
      <c r="P108" s="197"/>
      <c r="Q108" s="197"/>
      <c r="R108" s="197"/>
      <c r="S108" s="197"/>
      <c r="T108" s="197"/>
      <c r="U108" s="197"/>
      <c r="V108" s="197"/>
      <c r="W108" s="197"/>
      <c r="X108" s="197"/>
      <c r="Y108" s="197"/>
      <c r="Z108" s="197"/>
      <c r="AA108" s="194">
        <v>3702</v>
      </c>
      <c r="AB108" s="197"/>
      <c r="AC108" s="197"/>
      <c r="AD108" s="197"/>
      <c r="AE108" s="197"/>
      <c r="AF108" s="194"/>
      <c r="AG108" s="194"/>
      <c r="AH108" s="194"/>
      <c r="AI108" s="197"/>
      <c r="AJ108" s="197"/>
      <c r="AK108" s="197"/>
      <c r="AL108" s="197"/>
      <c r="AM108" s="253" t="s">
        <v>7640</v>
      </c>
    </row>
    <row r="109" s="182" customFormat="1" ht="18" customHeight="1" spans="1:39">
      <c r="A109" s="200" t="s">
        <v>7575</v>
      </c>
      <c r="B109" s="194">
        <v>77876</v>
      </c>
      <c r="C109" s="193" t="s">
        <v>7641</v>
      </c>
      <c r="D109" s="194">
        <v>1000041460</v>
      </c>
      <c r="E109" s="196">
        <v>46189</v>
      </c>
      <c r="F109" s="194" t="s">
        <v>7506</v>
      </c>
      <c r="G109" s="197" t="s">
        <v>7585</v>
      </c>
      <c r="H109" s="194">
        <v>31248</v>
      </c>
      <c r="I109" s="197"/>
      <c r="J109" s="197"/>
      <c r="K109" s="197"/>
      <c r="L109" s="197"/>
      <c r="M109" s="197"/>
      <c r="N109" s="197"/>
      <c r="O109" s="197"/>
      <c r="P109" s="197"/>
      <c r="Q109" s="197"/>
      <c r="R109" s="197"/>
      <c r="S109" s="197"/>
      <c r="T109" s="197"/>
      <c r="U109" s="197"/>
      <c r="V109" s="197"/>
      <c r="W109" s="197"/>
      <c r="X109" s="197"/>
      <c r="Y109" s="197"/>
      <c r="Z109" s="197"/>
      <c r="AA109" s="194"/>
      <c r="AB109" s="197"/>
      <c r="AC109" s="197"/>
      <c r="AD109" s="197"/>
      <c r="AE109" s="197"/>
      <c r="AF109" s="194"/>
      <c r="AG109" s="194"/>
      <c r="AH109" s="194"/>
      <c r="AI109" s="197"/>
      <c r="AJ109" s="194">
        <v>31248</v>
      </c>
      <c r="AK109" s="197"/>
      <c r="AL109" s="197"/>
      <c r="AM109" s="253" t="s">
        <v>7642</v>
      </c>
    </row>
    <row r="110" s="182" customFormat="1" ht="18" customHeight="1" spans="1:39">
      <c r="A110" s="200" t="s">
        <v>7575</v>
      </c>
      <c r="B110" s="194">
        <v>77876</v>
      </c>
      <c r="C110" s="193" t="s">
        <v>7596</v>
      </c>
      <c r="D110" s="194">
        <v>1000041461</v>
      </c>
      <c r="E110" s="196">
        <v>46189</v>
      </c>
      <c r="F110" s="194" t="s">
        <v>7506</v>
      </c>
      <c r="G110" s="197" t="s">
        <v>7585</v>
      </c>
      <c r="H110" s="194">
        <v>31248</v>
      </c>
      <c r="I110" s="197"/>
      <c r="J110" s="197"/>
      <c r="K110" s="197"/>
      <c r="L110" s="197"/>
      <c r="M110" s="197"/>
      <c r="N110" s="197"/>
      <c r="O110" s="197"/>
      <c r="P110" s="197"/>
      <c r="Q110" s="197"/>
      <c r="R110" s="197"/>
      <c r="S110" s="197"/>
      <c r="T110" s="197"/>
      <c r="U110" s="197"/>
      <c r="V110" s="197"/>
      <c r="W110" s="197"/>
      <c r="X110" s="197"/>
      <c r="Y110" s="197"/>
      <c r="Z110" s="197"/>
      <c r="AA110" s="194"/>
      <c r="AB110" s="197"/>
      <c r="AC110" s="197"/>
      <c r="AD110" s="197"/>
      <c r="AE110" s="197"/>
      <c r="AF110" s="194"/>
      <c r="AG110" s="194"/>
      <c r="AH110" s="194"/>
      <c r="AI110" s="197"/>
      <c r="AJ110" s="197"/>
      <c r="AK110" s="197"/>
      <c r="AL110" s="194">
        <v>31248</v>
      </c>
      <c r="AM110" s="253" t="s">
        <v>7642</v>
      </c>
    </row>
    <row r="111" s="182" customFormat="1" ht="18" customHeight="1" spans="1:39">
      <c r="A111" s="200" t="s">
        <v>7575</v>
      </c>
      <c r="B111" s="194">
        <v>77876</v>
      </c>
      <c r="C111" s="193" t="s">
        <v>7598</v>
      </c>
      <c r="D111" s="194">
        <v>1000041462</v>
      </c>
      <c r="E111" s="196">
        <v>46189</v>
      </c>
      <c r="F111" s="194" t="s">
        <v>7516</v>
      </c>
      <c r="G111" s="197" t="s">
        <v>7585</v>
      </c>
      <c r="H111" s="194">
        <v>31248</v>
      </c>
      <c r="I111" s="197"/>
      <c r="J111" s="197"/>
      <c r="K111" s="197"/>
      <c r="L111" s="197"/>
      <c r="M111" s="197"/>
      <c r="N111" s="197"/>
      <c r="O111" s="197"/>
      <c r="P111" s="197"/>
      <c r="Q111" s="197"/>
      <c r="R111" s="197"/>
      <c r="S111" s="197"/>
      <c r="T111" s="197"/>
      <c r="U111" s="197"/>
      <c r="V111" s="197"/>
      <c r="W111" s="197"/>
      <c r="X111" s="197"/>
      <c r="Y111" s="197"/>
      <c r="Z111" s="197"/>
      <c r="AA111" s="194"/>
      <c r="AB111" s="197"/>
      <c r="AC111" s="197"/>
      <c r="AD111" s="197"/>
      <c r="AE111" s="197"/>
      <c r="AF111" s="194"/>
      <c r="AG111" s="194"/>
      <c r="AH111" s="194"/>
      <c r="AI111" s="197"/>
      <c r="AJ111" s="197"/>
      <c r="AK111" s="194">
        <v>31248</v>
      </c>
      <c r="AL111" s="197"/>
      <c r="AM111" s="253" t="s">
        <v>7642</v>
      </c>
    </row>
    <row r="112" s="182" customFormat="1" ht="18" customHeight="1" spans="1:39">
      <c r="A112" s="200" t="s">
        <v>7532</v>
      </c>
      <c r="B112" s="194" t="s">
        <v>7536</v>
      </c>
      <c r="C112" s="193" t="s">
        <v>7512</v>
      </c>
      <c r="D112" s="194">
        <v>1000041478</v>
      </c>
      <c r="E112" s="196">
        <v>46189</v>
      </c>
      <c r="F112" s="194" t="s">
        <v>7506</v>
      </c>
      <c r="G112" s="197" t="s">
        <v>7507</v>
      </c>
      <c r="H112" s="194">
        <v>14580</v>
      </c>
      <c r="I112" s="197"/>
      <c r="J112" s="197"/>
      <c r="K112" s="197"/>
      <c r="L112" s="197"/>
      <c r="M112" s="197"/>
      <c r="N112" s="197"/>
      <c r="O112" s="197"/>
      <c r="P112" s="197"/>
      <c r="Q112" s="197"/>
      <c r="R112" s="197"/>
      <c r="S112" s="197"/>
      <c r="T112" s="197"/>
      <c r="U112" s="197"/>
      <c r="V112" s="197"/>
      <c r="W112" s="194">
        <v>14580</v>
      </c>
      <c r="X112" s="197"/>
      <c r="Y112" s="197"/>
      <c r="Z112" s="197"/>
      <c r="AA112" s="194"/>
      <c r="AB112" s="197"/>
      <c r="AC112" s="197"/>
      <c r="AD112" s="197"/>
      <c r="AE112" s="197"/>
      <c r="AF112" s="194"/>
      <c r="AG112" s="194"/>
      <c r="AH112" s="194"/>
      <c r="AI112" s="197"/>
      <c r="AJ112" s="197"/>
      <c r="AK112" s="197"/>
      <c r="AL112" s="197"/>
      <c r="AM112" s="254" t="s">
        <v>7643</v>
      </c>
    </row>
    <row r="113" s="182" customFormat="1" ht="18" customHeight="1" spans="1:39">
      <c r="A113" s="200" t="s">
        <v>7590</v>
      </c>
      <c r="B113" s="194" t="s">
        <v>7511</v>
      </c>
      <c r="C113" s="193" t="s">
        <v>7591</v>
      </c>
      <c r="D113" s="194">
        <v>1000041719</v>
      </c>
      <c r="E113" s="196">
        <v>46197</v>
      </c>
      <c r="F113" s="194" t="s">
        <v>7506</v>
      </c>
      <c r="G113" s="197" t="s">
        <v>6779</v>
      </c>
      <c r="H113" s="194">
        <v>500</v>
      </c>
      <c r="I113" s="197"/>
      <c r="J113" s="197"/>
      <c r="K113" s="197"/>
      <c r="L113" s="197"/>
      <c r="M113" s="197"/>
      <c r="N113" s="197"/>
      <c r="O113" s="197"/>
      <c r="P113" s="197"/>
      <c r="Q113" s="194"/>
      <c r="R113" s="197"/>
      <c r="S113" s="197"/>
      <c r="T113" s="197"/>
      <c r="U113" s="197">
        <v>500</v>
      </c>
      <c r="V113" s="197"/>
      <c r="W113" s="194"/>
      <c r="X113" s="197"/>
      <c r="Y113" s="197"/>
      <c r="Z113" s="197"/>
      <c r="AA113" s="194"/>
      <c r="AB113" s="197"/>
      <c r="AC113" s="197"/>
      <c r="AD113" s="197"/>
      <c r="AE113" s="197"/>
      <c r="AF113" s="194"/>
      <c r="AG113" s="194"/>
      <c r="AH113" s="194"/>
      <c r="AI113" s="197"/>
      <c r="AJ113" s="197"/>
      <c r="AK113" s="197"/>
      <c r="AL113" s="197"/>
      <c r="AM113" s="254" t="s">
        <v>7644</v>
      </c>
    </row>
    <row r="114" s="182" customFormat="1" ht="18" customHeight="1" spans="1:39">
      <c r="A114" s="200" t="s">
        <v>7575</v>
      </c>
      <c r="B114" s="194" t="s">
        <v>74</v>
      </c>
      <c r="C114" s="193" t="s">
        <v>7645</v>
      </c>
      <c r="D114" s="194" t="s">
        <v>6883</v>
      </c>
      <c r="E114" s="196">
        <v>46198</v>
      </c>
      <c r="F114" s="194" t="s">
        <v>7506</v>
      </c>
      <c r="G114" s="197" t="s">
        <v>98</v>
      </c>
      <c r="H114" s="194">
        <v>2002</v>
      </c>
      <c r="I114" s="197"/>
      <c r="J114" s="197"/>
      <c r="K114" s="197"/>
      <c r="L114" s="197"/>
      <c r="M114" s="197"/>
      <c r="N114" s="197"/>
      <c r="O114" s="197"/>
      <c r="P114" s="197"/>
      <c r="Q114" s="197"/>
      <c r="R114" s="197"/>
      <c r="S114" s="197"/>
      <c r="T114" s="197"/>
      <c r="U114" s="197"/>
      <c r="V114" s="197"/>
      <c r="W114" s="197"/>
      <c r="X114" s="197"/>
      <c r="Y114" s="197"/>
      <c r="Z114" s="197"/>
      <c r="AA114" s="194"/>
      <c r="AB114" s="197"/>
      <c r="AC114" s="197"/>
      <c r="AD114" s="197"/>
      <c r="AE114" s="197"/>
      <c r="AF114" s="194"/>
      <c r="AG114" s="194"/>
      <c r="AH114" s="194"/>
      <c r="AI114" s="197"/>
      <c r="AJ114" s="197"/>
      <c r="AK114" s="197"/>
      <c r="AL114" s="197"/>
      <c r="AM114" s="253" t="s">
        <v>7646</v>
      </c>
    </row>
    <row r="115" s="182" customFormat="1" ht="18" customHeight="1" spans="1:39">
      <c r="A115" s="200" t="s">
        <v>7575</v>
      </c>
      <c r="B115" s="194" t="s">
        <v>74</v>
      </c>
      <c r="C115" s="193" t="s">
        <v>7647</v>
      </c>
      <c r="D115" s="194" t="s">
        <v>6883</v>
      </c>
      <c r="E115" s="196">
        <v>46198</v>
      </c>
      <c r="F115" s="194" t="s">
        <v>7506</v>
      </c>
      <c r="G115" s="197" t="s">
        <v>98</v>
      </c>
      <c r="H115" s="194">
        <v>168168</v>
      </c>
      <c r="I115" s="197"/>
      <c r="J115" s="197"/>
      <c r="K115" s="197"/>
      <c r="L115" s="197"/>
      <c r="M115" s="197"/>
      <c r="N115" s="197"/>
      <c r="O115" s="197"/>
      <c r="P115" s="197"/>
      <c r="Q115" s="197"/>
      <c r="R115" s="197"/>
      <c r="S115" s="197"/>
      <c r="T115" s="197"/>
      <c r="U115" s="197"/>
      <c r="V115" s="197"/>
      <c r="W115" s="197"/>
      <c r="X115" s="197"/>
      <c r="Y115" s="197"/>
      <c r="Z115" s="197"/>
      <c r="AA115" s="194"/>
      <c r="AB115" s="197"/>
      <c r="AC115" s="197"/>
      <c r="AD115" s="197"/>
      <c r="AE115" s="197"/>
      <c r="AF115" s="194"/>
      <c r="AG115" s="194"/>
      <c r="AH115" s="194"/>
      <c r="AI115" s="197"/>
      <c r="AJ115" s="197"/>
      <c r="AK115" s="197"/>
      <c r="AL115" s="197"/>
      <c r="AM115" s="253" t="s">
        <v>7646</v>
      </c>
    </row>
    <row r="116" s="182" customFormat="1" ht="18" customHeight="1" spans="1:39">
      <c r="A116" s="200" t="s">
        <v>7532</v>
      </c>
      <c r="B116" s="194" t="s">
        <v>7536</v>
      </c>
      <c r="C116" s="193" t="s">
        <v>7512</v>
      </c>
      <c r="D116" s="194">
        <v>1000041739</v>
      </c>
      <c r="E116" s="196">
        <v>46198</v>
      </c>
      <c r="F116" s="194" t="s">
        <v>7547</v>
      </c>
      <c r="G116" s="197" t="s">
        <v>7548</v>
      </c>
      <c r="H116" s="194">
        <v>1159</v>
      </c>
      <c r="I116" s="197"/>
      <c r="J116" s="197"/>
      <c r="K116" s="197"/>
      <c r="L116" s="197"/>
      <c r="M116" s="197"/>
      <c r="N116" s="197"/>
      <c r="O116" s="197"/>
      <c r="P116" s="197"/>
      <c r="Q116" s="197"/>
      <c r="R116" s="197"/>
      <c r="S116" s="197"/>
      <c r="T116" s="197"/>
      <c r="U116" s="197"/>
      <c r="V116" s="197"/>
      <c r="W116" s="197"/>
      <c r="X116" s="194">
        <v>1159</v>
      </c>
      <c r="Y116" s="197"/>
      <c r="Z116" s="197"/>
      <c r="AA116" s="194"/>
      <c r="AB116" s="197"/>
      <c r="AC116" s="197"/>
      <c r="AD116" s="197"/>
      <c r="AE116" s="197"/>
      <c r="AF116" s="194"/>
      <c r="AG116" s="194"/>
      <c r="AH116" s="194"/>
      <c r="AI116" s="197"/>
      <c r="AJ116" s="197"/>
      <c r="AK116" s="197"/>
      <c r="AL116" s="197"/>
      <c r="AM116" s="254" t="s">
        <v>7648</v>
      </c>
    </row>
    <row r="117" s="182" customFormat="1" ht="18" customHeight="1" spans="1:39">
      <c r="A117" s="200" t="s">
        <v>7532</v>
      </c>
      <c r="B117" s="194" t="s">
        <v>7536</v>
      </c>
      <c r="C117" s="193" t="s">
        <v>7512</v>
      </c>
      <c r="D117" s="194">
        <v>1000041960</v>
      </c>
      <c r="E117" s="196">
        <v>46203</v>
      </c>
      <c r="F117" s="194" t="s">
        <v>7506</v>
      </c>
      <c r="G117" s="197" t="s">
        <v>7507</v>
      </c>
      <c r="H117" s="194">
        <v>17550</v>
      </c>
      <c r="I117" s="197"/>
      <c r="J117" s="197"/>
      <c r="K117" s="197"/>
      <c r="L117" s="197"/>
      <c r="M117" s="197"/>
      <c r="N117" s="197"/>
      <c r="O117" s="197"/>
      <c r="P117" s="197"/>
      <c r="Q117" s="197"/>
      <c r="R117" s="197"/>
      <c r="S117" s="197"/>
      <c r="T117" s="197"/>
      <c r="U117" s="197"/>
      <c r="V117" s="197"/>
      <c r="W117" s="197"/>
      <c r="X117" s="194">
        <v>17550</v>
      </c>
      <c r="Y117" s="197"/>
      <c r="Z117" s="197"/>
      <c r="AA117" s="194"/>
      <c r="AB117" s="197"/>
      <c r="AC117" s="197"/>
      <c r="AD117" s="197"/>
      <c r="AE117" s="197"/>
      <c r="AF117" s="194"/>
      <c r="AG117" s="194"/>
      <c r="AH117" s="194"/>
      <c r="AI117" s="197"/>
      <c r="AJ117" s="197"/>
      <c r="AK117" s="197"/>
      <c r="AL117" s="197"/>
      <c r="AM117" s="270" t="s">
        <v>7649</v>
      </c>
    </row>
    <row r="118" s="182" customFormat="1" ht="18" customHeight="1" spans="1:39">
      <c r="A118" s="200" t="s">
        <v>7575</v>
      </c>
      <c r="B118" s="194" t="s">
        <v>7527</v>
      </c>
      <c r="C118" s="193" t="s">
        <v>7504</v>
      </c>
      <c r="D118" s="194">
        <v>1000041988</v>
      </c>
      <c r="E118" s="196">
        <v>46203</v>
      </c>
      <c r="F118" s="194" t="s">
        <v>7506</v>
      </c>
      <c r="G118" s="197" t="s">
        <v>98</v>
      </c>
      <c r="H118" s="194">
        <v>102275</v>
      </c>
      <c r="I118" s="197"/>
      <c r="J118" s="197"/>
      <c r="K118" s="197"/>
      <c r="L118" s="197"/>
      <c r="M118" s="197"/>
      <c r="N118" s="194">
        <v>102275</v>
      </c>
      <c r="O118" s="197"/>
      <c r="P118" s="197"/>
      <c r="Q118" s="197"/>
      <c r="R118" s="197"/>
      <c r="S118" s="197"/>
      <c r="T118" s="197"/>
      <c r="U118" s="197"/>
      <c r="V118" s="197"/>
      <c r="W118" s="197"/>
      <c r="X118" s="197"/>
      <c r="Y118" s="197"/>
      <c r="Z118" s="197"/>
      <c r="AA118" s="194"/>
      <c r="AB118" s="197"/>
      <c r="AC118" s="197"/>
      <c r="AD118" s="197"/>
      <c r="AE118" s="197"/>
      <c r="AF118" s="194"/>
      <c r="AG118" s="194"/>
      <c r="AH118" s="194"/>
      <c r="AI118" s="197"/>
      <c r="AJ118" s="197"/>
      <c r="AK118" s="197"/>
      <c r="AL118" s="197"/>
      <c r="AM118" s="253" t="s">
        <v>7650</v>
      </c>
    </row>
    <row r="119" s="182" customFormat="1" ht="18" customHeight="1" spans="1:39">
      <c r="A119" s="200" t="s">
        <v>7519</v>
      </c>
      <c r="B119" s="194">
        <v>77772</v>
      </c>
      <c r="C119" s="193" t="s">
        <v>7504</v>
      </c>
      <c r="D119" s="194">
        <v>1000042127</v>
      </c>
      <c r="E119" s="196">
        <v>46203</v>
      </c>
      <c r="F119" s="194" t="s">
        <v>7506</v>
      </c>
      <c r="G119" s="197" t="s">
        <v>7507</v>
      </c>
      <c r="H119" s="194">
        <v>500000</v>
      </c>
      <c r="I119" s="194">
        <v>500000</v>
      </c>
      <c r="J119" s="197"/>
      <c r="K119" s="197"/>
      <c r="L119" s="197"/>
      <c r="M119" s="197"/>
      <c r="N119" s="197"/>
      <c r="O119" s="197"/>
      <c r="P119" s="197"/>
      <c r="Q119" s="197"/>
      <c r="R119" s="197"/>
      <c r="S119" s="197"/>
      <c r="T119" s="197"/>
      <c r="U119" s="197"/>
      <c r="V119" s="197"/>
      <c r="W119" s="197"/>
      <c r="X119" s="197"/>
      <c r="Y119" s="197"/>
      <c r="Z119" s="197"/>
      <c r="AA119" s="194"/>
      <c r="AB119" s="197"/>
      <c r="AC119" s="197"/>
      <c r="AD119" s="197"/>
      <c r="AE119" s="197"/>
      <c r="AF119" s="194"/>
      <c r="AG119" s="194"/>
      <c r="AH119" s="194"/>
      <c r="AI119" s="197"/>
      <c r="AJ119" s="197"/>
      <c r="AK119" s="197"/>
      <c r="AL119" s="197"/>
      <c r="AM119" s="253"/>
    </row>
    <row r="120" s="182" customFormat="1" ht="18" customHeight="1" spans="1:39">
      <c r="A120" s="200" t="s">
        <v>7519</v>
      </c>
      <c r="B120" s="194">
        <v>77772</v>
      </c>
      <c r="C120" s="193" t="s">
        <v>7504</v>
      </c>
      <c r="D120" s="194">
        <v>1000042128</v>
      </c>
      <c r="E120" s="196">
        <v>46203</v>
      </c>
      <c r="F120" s="194" t="s">
        <v>7516</v>
      </c>
      <c r="G120" s="197" t="s">
        <v>7507</v>
      </c>
      <c r="H120" s="194">
        <v>200000</v>
      </c>
      <c r="I120" s="197"/>
      <c r="J120" s="194">
        <v>200000</v>
      </c>
      <c r="K120" s="197"/>
      <c r="L120" s="197"/>
      <c r="M120" s="197"/>
      <c r="N120" s="197"/>
      <c r="O120" s="197"/>
      <c r="P120" s="197"/>
      <c r="Q120" s="197"/>
      <c r="R120" s="197"/>
      <c r="S120" s="197"/>
      <c r="T120" s="197"/>
      <c r="U120" s="197"/>
      <c r="V120" s="197"/>
      <c r="W120" s="197"/>
      <c r="X120" s="197"/>
      <c r="Y120" s="197"/>
      <c r="Z120" s="197"/>
      <c r="AA120" s="194"/>
      <c r="AB120" s="197"/>
      <c r="AC120" s="197"/>
      <c r="AD120" s="197"/>
      <c r="AE120" s="197"/>
      <c r="AF120" s="194"/>
      <c r="AG120" s="194"/>
      <c r="AH120" s="194"/>
      <c r="AI120" s="197"/>
      <c r="AJ120" s="197"/>
      <c r="AK120" s="197"/>
      <c r="AL120" s="197"/>
      <c r="AM120" s="253"/>
    </row>
    <row r="121" s="182" customFormat="1" ht="18" customHeight="1" spans="1:39">
      <c r="A121" s="200" t="s">
        <v>7519</v>
      </c>
      <c r="B121" s="194">
        <v>77772</v>
      </c>
      <c r="C121" s="193" t="s">
        <v>7508</v>
      </c>
      <c r="D121" s="194">
        <v>1000042129</v>
      </c>
      <c r="E121" s="196">
        <v>46203</v>
      </c>
      <c r="F121" s="194" t="s">
        <v>7510</v>
      </c>
      <c r="G121" s="197" t="s">
        <v>7609</v>
      </c>
      <c r="H121" s="194">
        <v>1000000</v>
      </c>
      <c r="I121" s="197"/>
      <c r="J121" s="197"/>
      <c r="K121" s="197"/>
      <c r="L121" s="197"/>
      <c r="M121" s="197"/>
      <c r="N121" s="197"/>
      <c r="O121" s="194">
        <v>1000000</v>
      </c>
      <c r="P121" s="197"/>
      <c r="Q121" s="197"/>
      <c r="R121" s="197"/>
      <c r="S121" s="197"/>
      <c r="T121" s="197"/>
      <c r="U121" s="197"/>
      <c r="V121" s="197"/>
      <c r="W121" s="197"/>
      <c r="X121" s="197"/>
      <c r="Y121" s="197"/>
      <c r="Z121" s="197"/>
      <c r="AA121" s="194"/>
      <c r="AB121" s="197"/>
      <c r="AC121" s="197"/>
      <c r="AD121" s="197"/>
      <c r="AE121" s="197"/>
      <c r="AF121" s="194"/>
      <c r="AG121" s="194"/>
      <c r="AH121" s="194"/>
      <c r="AI121" s="197"/>
      <c r="AJ121" s="197"/>
      <c r="AK121" s="197"/>
      <c r="AL121" s="197"/>
      <c r="AM121" s="253"/>
    </row>
    <row r="122" s="182" customFormat="1" ht="18" customHeight="1" spans="1:39">
      <c r="A122" s="200" t="s">
        <v>7519</v>
      </c>
      <c r="B122" s="194" t="s">
        <v>7511</v>
      </c>
      <c r="C122" s="193" t="s">
        <v>7512</v>
      </c>
      <c r="D122" s="194">
        <v>1000042130</v>
      </c>
      <c r="E122" s="196">
        <v>46203</v>
      </c>
      <c r="F122" s="194" t="s">
        <v>7506</v>
      </c>
      <c r="G122" s="197" t="s">
        <v>7507</v>
      </c>
      <c r="H122" s="194">
        <v>9000</v>
      </c>
      <c r="I122" s="197"/>
      <c r="J122" s="197"/>
      <c r="K122" s="197"/>
      <c r="L122" s="197"/>
      <c r="M122" s="197"/>
      <c r="N122" s="197"/>
      <c r="O122" s="197"/>
      <c r="P122" s="197"/>
      <c r="Q122" s="194">
        <v>9000</v>
      </c>
      <c r="R122" s="197"/>
      <c r="S122" s="197"/>
      <c r="T122" s="197"/>
      <c r="U122" s="197"/>
      <c r="V122" s="197"/>
      <c r="W122" s="197"/>
      <c r="X122" s="197"/>
      <c r="Y122" s="197"/>
      <c r="Z122" s="197"/>
      <c r="AA122" s="194"/>
      <c r="AB122" s="197"/>
      <c r="AC122" s="197"/>
      <c r="AD122" s="197"/>
      <c r="AE122" s="197"/>
      <c r="AF122" s="194"/>
      <c r="AG122" s="194"/>
      <c r="AH122" s="194"/>
      <c r="AI122" s="197"/>
      <c r="AJ122" s="197"/>
      <c r="AK122" s="197"/>
      <c r="AL122" s="197"/>
      <c r="AM122" s="253"/>
    </row>
    <row r="123" s="182" customFormat="1" ht="18" customHeight="1" spans="1:39">
      <c r="A123" s="200" t="s">
        <v>7519</v>
      </c>
      <c r="B123" s="194" t="s">
        <v>7511</v>
      </c>
      <c r="C123" s="193" t="s">
        <v>7512</v>
      </c>
      <c r="D123" s="194">
        <v>1000042131</v>
      </c>
      <c r="E123" s="196">
        <v>46203</v>
      </c>
      <c r="F123" s="194" t="s">
        <v>7516</v>
      </c>
      <c r="G123" s="197" t="s">
        <v>7507</v>
      </c>
      <c r="H123" s="194">
        <v>2000</v>
      </c>
      <c r="I123" s="197"/>
      <c r="J123" s="197"/>
      <c r="K123" s="197"/>
      <c r="L123" s="197"/>
      <c r="M123" s="197"/>
      <c r="N123" s="197"/>
      <c r="O123" s="197"/>
      <c r="P123" s="197"/>
      <c r="Q123" s="197"/>
      <c r="R123" s="194">
        <v>2000</v>
      </c>
      <c r="S123" s="197"/>
      <c r="T123" s="197"/>
      <c r="U123" s="197"/>
      <c r="V123" s="197"/>
      <c r="W123" s="197"/>
      <c r="X123" s="197"/>
      <c r="Y123" s="197"/>
      <c r="Z123" s="197"/>
      <c r="AA123" s="194"/>
      <c r="AB123" s="197"/>
      <c r="AC123" s="197"/>
      <c r="AD123" s="197"/>
      <c r="AE123" s="197"/>
      <c r="AF123" s="194"/>
      <c r="AG123" s="194"/>
      <c r="AH123" s="194"/>
      <c r="AI123" s="197"/>
      <c r="AJ123" s="197"/>
      <c r="AK123" s="197"/>
      <c r="AL123" s="197"/>
      <c r="AM123" s="253"/>
    </row>
    <row r="124" s="182" customFormat="1" ht="18" customHeight="1" spans="1:39">
      <c r="A124" s="200" t="s">
        <v>7519</v>
      </c>
      <c r="B124" s="194" t="s">
        <v>7514</v>
      </c>
      <c r="C124" s="193" t="s">
        <v>7512</v>
      </c>
      <c r="D124" s="194">
        <v>1000042132</v>
      </c>
      <c r="E124" s="196">
        <v>46203</v>
      </c>
      <c r="F124" s="194" t="s">
        <v>7506</v>
      </c>
      <c r="G124" s="197" t="s">
        <v>7507</v>
      </c>
      <c r="H124" s="194">
        <v>2000</v>
      </c>
      <c r="I124" s="197"/>
      <c r="J124" s="197"/>
      <c r="K124" s="197"/>
      <c r="L124" s="197"/>
      <c r="M124" s="197"/>
      <c r="N124" s="197"/>
      <c r="O124" s="197"/>
      <c r="P124" s="197"/>
      <c r="Q124" s="197"/>
      <c r="R124" s="197"/>
      <c r="S124" s="194">
        <v>2000</v>
      </c>
      <c r="T124" s="197"/>
      <c r="U124" s="197"/>
      <c r="V124" s="197"/>
      <c r="X124" s="197"/>
      <c r="Y124" s="197"/>
      <c r="Z124" s="197"/>
      <c r="AA124" s="194"/>
      <c r="AB124" s="197"/>
      <c r="AC124" s="197"/>
      <c r="AD124" s="197"/>
      <c r="AE124" s="197"/>
      <c r="AF124" s="194"/>
      <c r="AG124" s="194"/>
      <c r="AH124" s="194"/>
      <c r="AI124" s="197"/>
      <c r="AJ124" s="197"/>
      <c r="AK124" s="197"/>
      <c r="AL124" s="197"/>
      <c r="AM124" s="253"/>
    </row>
    <row r="125" s="182" customFormat="1" ht="18" customHeight="1" spans="1:39">
      <c r="A125" s="200" t="s">
        <v>7519</v>
      </c>
      <c r="B125" s="194" t="s">
        <v>7514</v>
      </c>
      <c r="C125" s="193" t="s">
        <v>7512</v>
      </c>
      <c r="D125" s="194">
        <v>1000042133</v>
      </c>
      <c r="E125" s="196">
        <v>46203</v>
      </c>
      <c r="F125" s="194" t="s">
        <v>7516</v>
      </c>
      <c r="G125" s="197" t="s">
        <v>7507</v>
      </c>
      <c r="H125" s="194">
        <v>9000</v>
      </c>
      <c r="I125" s="197"/>
      <c r="J125" s="197"/>
      <c r="K125" s="197"/>
      <c r="L125" s="197"/>
      <c r="M125" s="197"/>
      <c r="N125" s="197"/>
      <c r="O125" s="197"/>
      <c r="P125" s="197"/>
      <c r="Q125" s="197"/>
      <c r="R125" s="197"/>
      <c r="S125" s="197"/>
      <c r="T125" s="194">
        <v>9000</v>
      </c>
      <c r="U125" s="194"/>
      <c r="V125" s="197"/>
      <c r="W125" s="197"/>
      <c r="X125" s="197"/>
      <c r="Y125" s="197"/>
      <c r="Z125" s="197"/>
      <c r="AA125" s="194"/>
      <c r="AB125" s="197"/>
      <c r="AC125" s="197"/>
      <c r="AD125" s="197"/>
      <c r="AE125" s="197"/>
      <c r="AF125" s="194"/>
      <c r="AG125" s="194"/>
      <c r="AH125" s="194"/>
      <c r="AI125" s="197"/>
      <c r="AJ125" s="197"/>
      <c r="AK125" s="197"/>
      <c r="AL125" s="197"/>
      <c r="AM125" s="253"/>
    </row>
    <row r="126" s="182" customFormat="1" ht="18" customHeight="1" spans="1:39">
      <c r="A126" s="200" t="s">
        <v>7519</v>
      </c>
      <c r="B126" s="194" t="s">
        <v>799</v>
      </c>
      <c r="C126" s="193" t="s">
        <v>7569</v>
      </c>
      <c r="D126" s="194">
        <v>1000042134</v>
      </c>
      <c r="E126" s="196">
        <v>46203</v>
      </c>
      <c r="F126" s="194" t="s">
        <v>7516</v>
      </c>
      <c r="G126" s="197" t="s">
        <v>7507</v>
      </c>
      <c r="H126" s="194">
        <v>1500</v>
      </c>
      <c r="I126" s="197"/>
      <c r="J126" s="197"/>
      <c r="K126" s="197"/>
      <c r="L126" s="197"/>
      <c r="M126" s="197"/>
      <c r="N126" s="197"/>
      <c r="O126" s="197"/>
      <c r="P126" s="197"/>
      <c r="Q126" s="197"/>
      <c r="R126" s="197"/>
      <c r="S126" s="197"/>
      <c r="T126" s="197"/>
      <c r="U126" s="197"/>
      <c r="V126" s="197"/>
      <c r="W126" s="197"/>
      <c r="X126" s="197"/>
      <c r="Y126" s="197"/>
      <c r="Z126" s="197"/>
      <c r="AA126" s="194"/>
      <c r="AB126" s="197"/>
      <c r="AC126" s="197"/>
      <c r="AD126" s="197"/>
      <c r="AE126" s="197"/>
      <c r="AF126" s="194">
        <v>1500</v>
      </c>
      <c r="AG126" s="194"/>
      <c r="AH126" s="194"/>
      <c r="AI126" s="197"/>
      <c r="AJ126" s="197"/>
      <c r="AK126" s="197"/>
      <c r="AL126" s="197"/>
      <c r="AM126" s="253"/>
    </row>
    <row r="127" s="182" customFormat="1" ht="18" customHeight="1" spans="1:39">
      <c r="A127" s="200" t="s">
        <v>7575</v>
      </c>
      <c r="B127" s="194" t="s">
        <v>7527</v>
      </c>
      <c r="C127" s="193" t="s">
        <v>7504</v>
      </c>
      <c r="D127" s="194" t="s">
        <v>7530</v>
      </c>
      <c r="E127" s="196">
        <v>46204</v>
      </c>
      <c r="F127" s="194" t="s">
        <v>7506</v>
      </c>
      <c r="G127" s="197" t="s">
        <v>98</v>
      </c>
      <c r="H127" s="194">
        <v>50000</v>
      </c>
      <c r="I127" s="197"/>
      <c r="J127" s="197"/>
      <c r="K127" s="197"/>
      <c r="L127" s="197"/>
      <c r="M127" s="197"/>
      <c r="N127" s="197">
        <v>50000</v>
      </c>
      <c r="O127" s="197"/>
      <c r="P127" s="197"/>
      <c r="Q127" s="197"/>
      <c r="R127" s="197"/>
      <c r="S127" s="197"/>
      <c r="T127" s="197"/>
      <c r="U127" s="197"/>
      <c r="V127" s="197"/>
      <c r="W127" s="197"/>
      <c r="X127" s="197"/>
      <c r="Y127" s="197"/>
      <c r="Z127" s="197"/>
      <c r="AA127" s="194"/>
      <c r="AB127" s="197"/>
      <c r="AC127" s="197"/>
      <c r="AD127" s="197"/>
      <c r="AE127" s="197"/>
      <c r="AF127" s="194"/>
      <c r="AG127" s="194"/>
      <c r="AH127" s="194"/>
      <c r="AI127" s="197"/>
      <c r="AJ127" s="197"/>
      <c r="AK127" s="197"/>
      <c r="AL127" s="197"/>
      <c r="AM127" s="253" t="s">
        <v>7651</v>
      </c>
    </row>
    <row r="128" s="182" customFormat="1" ht="18" customHeight="1" spans="1:39">
      <c r="A128" s="200" t="s">
        <v>7519</v>
      </c>
      <c r="B128" s="201" t="s">
        <v>7652</v>
      </c>
      <c r="C128" s="200" t="s">
        <v>7569</v>
      </c>
      <c r="D128" s="194">
        <v>1000042177</v>
      </c>
      <c r="E128" s="196">
        <v>46205</v>
      </c>
      <c r="F128" s="194" t="s">
        <v>7516</v>
      </c>
      <c r="G128" s="197" t="s">
        <v>7507</v>
      </c>
      <c r="H128" s="194">
        <v>300</v>
      </c>
      <c r="I128" s="197"/>
      <c r="J128" s="197"/>
      <c r="K128" s="197"/>
      <c r="L128" s="197"/>
      <c r="M128" s="197"/>
      <c r="N128" s="197"/>
      <c r="O128" s="197"/>
      <c r="P128" s="197"/>
      <c r="Q128" s="197"/>
      <c r="R128" s="197"/>
      <c r="S128" s="197"/>
      <c r="T128" s="197"/>
      <c r="U128" s="197"/>
      <c r="V128" s="197"/>
      <c r="W128" s="197"/>
      <c r="X128" s="197"/>
      <c r="Y128" s="197"/>
      <c r="Z128" s="197"/>
      <c r="AA128" s="194"/>
      <c r="AB128" s="197"/>
      <c r="AC128" s="197"/>
      <c r="AD128" s="194">
        <v>300</v>
      </c>
      <c r="AE128" s="197"/>
      <c r="AF128" s="194"/>
      <c r="AG128" s="194"/>
      <c r="AH128" s="194"/>
      <c r="AI128" s="197"/>
      <c r="AJ128" s="197"/>
      <c r="AK128" s="197"/>
      <c r="AL128" s="197"/>
      <c r="AM128" s="253"/>
    </row>
    <row r="129" s="182" customFormat="1" ht="18" customHeight="1" spans="1:40">
      <c r="A129" s="200" t="s">
        <v>7532</v>
      </c>
      <c r="B129" s="201" t="s">
        <v>7536</v>
      </c>
      <c r="C129" s="200" t="s">
        <v>7504</v>
      </c>
      <c r="D129" s="194">
        <v>1000042178</v>
      </c>
      <c r="E129" s="196">
        <v>46205</v>
      </c>
      <c r="F129" s="194" t="s">
        <v>7506</v>
      </c>
      <c r="G129" s="197" t="s">
        <v>7507</v>
      </c>
      <c r="H129" s="194">
        <v>49184</v>
      </c>
      <c r="I129" s="197"/>
      <c r="J129" s="197"/>
      <c r="K129" s="197"/>
      <c r="L129" s="197"/>
      <c r="M129" s="197"/>
      <c r="N129" s="197">
        <v>49184</v>
      </c>
      <c r="O129" s="197"/>
      <c r="P129" s="197"/>
      <c r="Q129" s="197"/>
      <c r="R129" s="197"/>
      <c r="S129" s="197"/>
      <c r="T129" s="197"/>
      <c r="U129" s="197"/>
      <c r="V129" s="197"/>
      <c r="W129" s="194"/>
      <c r="X129" s="197"/>
      <c r="Y129" s="197"/>
      <c r="Z129" s="197"/>
      <c r="AA129" s="194"/>
      <c r="AB129" s="197"/>
      <c r="AC129" s="197"/>
      <c r="AD129" s="194"/>
      <c r="AE129" s="197"/>
      <c r="AF129" s="194"/>
      <c r="AG129" s="194"/>
      <c r="AH129" s="194"/>
      <c r="AI129" s="197"/>
      <c r="AJ129" s="197"/>
      <c r="AK129" s="197"/>
      <c r="AL129" s="197"/>
      <c r="AM129" s="253" t="s">
        <v>7653</v>
      </c>
    </row>
    <row r="130" s="182" customFormat="1" ht="18" customHeight="1" spans="1:40">
      <c r="A130" s="200" t="s">
        <v>7575</v>
      </c>
      <c r="B130" s="201" t="s">
        <v>7527</v>
      </c>
      <c r="C130" s="200" t="s">
        <v>7504</v>
      </c>
      <c r="D130" s="194">
        <v>1000042181</v>
      </c>
      <c r="E130" s="196">
        <v>46205</v>
      </c>
      <c r="F130" s="194" t="s">
        <v>7506</v>
      </c>
      <c r="G130" s="197" t="s">
        <v>98</v>
      </c>
      <c r="H130" s="194">
        <v>200000</v>
      </c>
      <c r="I130" s="197"/>
      <c r="J130" s="197"/>
      <c r="K130" s="197"/>
      <c r="L130" s="197"/>
      <c r="M130" s="197"/>
      <c r="N130" s="197">
        <v>200000</v>
      </c>
      <c r="O130" s="197"/>
      <c r="P130" s="197"/>
      <c r="Q130" s="197"/>
      <c r="R130" s="197"/>
      <c r="S130" s="197"/>
      <c r="T130" s="197"/>
      <c r="U130" s="197"/>
      <c r="V130" s="197"/>
      <c r="W130" s="197"/>
      <c r="X130" s="197"/>
      <c r="Y130" s="197"/>
      <c r="Z130" s="197"/>
      <c r="AA130" s="194"/>
      <c r="AB130" s="197"/>
      <c r="AC130" s="197"/>
      <c r="AD130" s="194"/>
      <c r="AE130" s="197"/>
      <c r="AF130" s="194"/>
      <c r="AG130" s="194"/>
      <c r="AH130" s="194"/>
      <c r="AI130" s="197"/>
      <c r="AJ130" s="197"/>
      <c r="AK130" s="197"/>
      <c r="AL130" s="197"/>
      <c r="AM130" s="253" t="s">
        <v>7654</v>
      </c>
    </row>
    <row r="131" s="182" customFormat="1" ht="18" customHeight="1" spans="1:40">
      <c r="A131" s="200" t="s">
        <v>7575</v>
      </c>
      <c r="B131" s="201" t="s">
        <v>7527</v>
      </c>
      <c r="C131" s="200" t="s">
        <v>7512</v>
      </c>
      <c r="D131" s="194">
        <v>1000042182</v>
      </c>
      <c r="E131" s="196">
        <v>46205</v>
      </c>
      <c r="F131" s="194" t="s">
        <v>7506</v>
      </c>
      <c r="G131" s="197" t="s">
        <v>7507</v>
      </c>
      <c r="H131" s="194">
        <v>6654</v>
      </c>
      <c r="I131" s="197"/>
      <c r="J131" s="197"/>
      <c r="K131" s="197"/>
      <c r="L131" s="197"/>
      <c r="M131" s="197"/>
      <c r="N131" s="197"/>
      <c r="O131" s="197"/>
      <c r="P131" s="197"/>
      <c r="Q131" s="197"/>
      <c r="R131" s="197"/>
      <c r="S131" s="197"/>
      <c r="T131" s="197"/>
      <c r="U131" s="197"/>
      <c r="V131" s="197"/>
      <c r="W131" s="197"/>
      <c r="X131" s="197"/>
      <c r="Y131" s="197"/>
      <c r="Z131" s="197"/>
      <c r="AA131" s="194">
        <v>6654</v>
      </c>
      <c r="AB131" s="197"/>
      <c r="AC131" s="197"/>
      <c r="AD131" s="194"/>
      <c r="AE131" s="197"/>
      <c r="AF131" s="194"/>
      <c r="AG131" s="194"/>
      <c r="AH131" s="194"/>
      <c r="AI131" s="197"/>
      <c r="AJ131" s="197"/>
      <c r="AK131" s="197"/>
      <c r="AL131" s="197"/>
      <c r="AM131" s="253" t="s">
        <v>7655</v>
      </c>
    </row>
    <row r="132" s="182" customFormat="1" ht="18" customHeight="1" spans="1:40">
      <c r="A132" s="200" t="s">
        <v>7532</v>
      </c>
      <c r="B132" s="194" t="s">
        <v>7536</v>
      </c>
      <c r="C132" s="200" t="s">
        <v>7504</v>
      </c>
      <c r="D132" s="194">
        <v>1000042210</v>
      </c>
      <c r="E132" s="196">
        <v>46206</v>
      </c>
      <c r="F132" s="194" t="s">
        <v>7506</v>
      </c>
      <c r="G132" s="197" t="s">
        <v>7507</v>
      </c>
      <c r="H132" s="194">
        <v>223680</v>
      </c>
      <c r="I132" s="194"/>
      <c r="J132" s="197"/>
      <c r="K132" s="197"/>
      <c r="L132" s="197"/>
      <c r="M132" s="194"/>
      <c r="N132" s="194">
        <v>223680</v>
      </c>
      <c r="O132" s="197"/>
      <c r="P132" s="197"/>
      <c r="Q132" s="197"/>
      <c r="R132" s="197"/>
      <c r="S132" s="197"/>
      <c r="T132" s="197"/>
      <c r="U132" s="197"/>
      <c r="V132" s="197"/>
      <c r="W132" s="197"/>
      <c r="X132" s="197"/>
      <c r="Y132" s="197"/>
      <c r="Z132" s="197"/>
      <c r="AA132" s="194"/>
      <c r="AB132" s="197"/>
      <c r="AC132" s="197"/>
      <c r="AD132" s="194"/>
      <c r="AE132" s="197"/>
      <c r="AF132" s="194"/>
      <c r="AG132" s="194"/>
      <c r="AH132" s="194"/>
      <c r="AI132" s="197"/>
      <c r="AJ132" s="197"/>
      <c r="AK132" s="197"/>
      <c r="AL132" s="197"/>
      <c r="AM132" s="253" t="s">
        <v>7656</v>
      </c>
    </row>
    <row r="133" s="182" customFormat="1" ht="18" customHeight="1" spans="1:40">
      <c r="A133" s="200" t="s">
        <v>7657</v>
      </c>
      <c r="B133" s="201" t="s">
        <v>7511</v>
      </c>
      <c r="C133" s="200" t="s">
        <v>7512</v>
      </c>
      <c r="D133" s="194">
        <v>1000042387</v>
      </c>
      <c r="E133" s="196">
        <v>46212</v>
      </c>
      <c r="F133" s="194" t="s">
        <v>7506</v>
      </c>
      <c r="G133" s="197" t="s">
        <v>7507</v>
      </c>
      <c r="H133" s="194">
        <v>15000</v>
      </c>
      <c r="I133" s="197"/>
      <c r="J133" s="197"/>
      <c r="K133" s="197"/>
      <c r="L133" s="197"/>
      <c r="M133" s="197"/>
      <c r="N133" s="197"/>
      <c r="O133" s="197"/>
      <c r="P133" s="197"/>
      <c r="Q133" s="194">
        <v>15000</v>
      </c>
      <c r="R133" s="197"/>
      <c r="S133" s="197"/>
      <c r="T133" s="197"/>
      <c r="U133" s="197"/>
      <c r="V133" s="197"/>
      <c r="W133" s="197"/>
      <c r="X133" s="197"/>
      <c r="Y133" s="197"/>
      <c r="Z133" s="197"/>
      <c r="AA133" s="194"/>
      <c r="AB133" s="197"/>
      <c r="AC133" s="197"/>
      <c r="AD133" s="194"/>
      <c r="AE133" s="197"/>
      <c r="AF133" s="194"/>
      <c r="AG133" s="194"/>
      <c r="AH133" s="194"/>
      <c r="AI133" s="197"/>
      <c r="AJ133" s="197"/>
      <c r="AK133" s="197"/>
      <c r="AL133" s="197"/>
      <c r="AM133" s="253"/>
    </row>
    <row r="134" s="182" customFormat="1" ht="18" customHeight="1" spans="1:40">
      <c r="A134" s="200" t="s">
        <v>7657</v>
      </c>
      <c r="B134" s="201" t="s">
        <v>7514</v>
      </c>
      <c r="C134" s="200" t="s">
        <v>7512</v>
      </c>
      <c r="D134" s="194">
        <v>1000042388</v>
      </c>
      <c r="E134" s="196">
        <v>46212</v>
      </c>
      <c r="F134" s="194" t="s">
        <v>7506</v>
      </c>
      <c r="G134" s="197" t="s">
        <v>7507</v>
      </c>
      <c r="H134" s="194">
        <v>1500</v>
      </c>
      <c r="I134" s="197"/>
      <c r="J134" s="197"/>
      <c r="K134" s="197"/>
      <c r="L134" s="197"/>
      <c r="M134" s="197"/>
      <c r="N134" s="197"/>
      <c r="O134" s="197"/>
      <c r="P134" s="197"/>
      <c r="Q134" s="197"/>
      <c r="R134" s="197"/>
      <c r="S134" s="194">
        <v>1500</v>
      </c>
      <c r="T134" s="194"/>
      <c r="U134" s="194"/>
      <c r="V134" s="197"/>
      <c r="W134" s="197"/>
      <c r="X134" s="197"/>
      <c r="Y134" s="197"/>
      <c r="Z134" s="197"/>
      <c r="AA134" s="194"/>
      <c r="AB134" s="197"/>
      <c r="AC134" s="197"/>
      <c r="AD134" s="194"/>
      <c r="AE134" s="197"/>
      <c r="AF134" s="194"/>
      <c r="AG134" s="194"/>
      <c r="AH134" s="194"/>
      <c r="AI134" s="197"/>
      <c r="AJ134" s="197"/>
      <c r="AK134" s="197"/>
      <c r="AL134" s="197"/>
      <c r="AM134" s="253"/>
    </row>
    <row r="135" s="182" customFormat="1" ht="18" customHeight="1" spans="1:40">
      <c r="A135" s="200" t="s">
        <v>7657</v>
      </c>
      <c r="B135" s="201" t="s">
        <v>7514</v>
      </c>
      <c r="C135" s="200" t="s">
        <v>7512</v>
      </c>
      <c r="D135" s="194">
        <v>1000042389</v>
      </c>
      <c r="E135" s="196">
        <v>46212</v>
      </c>
      <c r="F135" s="194" t="s">
        <v>7516</v>
      </c>
      <c r="G135" s="197" t="s">
        <v>7507</v>
      </c>
      <c r="H135" s="194">
        <v>4000</v>
      </c>
      <c r="I135" s="197"/>
      <c r="J135" s="197"/>
      <c r="K135" s="197"/>
      <c r="L135" s="197"/>
      <c r="M135" s="197"/>
      <c r="N135" s="197"/>
      <c r="O135" s="197"/>
      <c r="P135" s="197"/>
      <c r="Q135" s="197"/>
      <c r="R135" s="197"/>
      <c r="S135" s="197"/>
      <c r="T135" s="194">
        <v>4000</v>
      </c>
      <c r="U135" s="194"/>
      <c r="V135" s="197"/>
      <c r="W135" s="197"/>
      <c r="X135" s="197"/>
      <c r="Y135" s="197"/>
      <c r="Z135" s="197"/>
      <c r="AA135" s="194"/>
      <c r="AB135" s="197"/>
      <c r="AC135" s="197"/>
      <c r="AD135" s="194"/>
      <c r="AE135" s="197"/>
      <c r="AF135" s="194"/>
      <c r="AG135" s="194"/>
      <c r="AH135" s="194"/>
      <c r="AI135" s="197"/>
      <c r="AJ135" s="197"/>
      <c r="AK135" s="197"/>
      <c r="AL135" s="197"/>
      <c r="AM135" s="253"/>
    </row>
    <row r="136" s="182" customFormat="1" ht="18" customHeight="1" spans="1:40">
      <c r="A136" s="200" t="s">
        <v>7657</v>
      </c>
      <c r="B136" s="201" t="s">
        <v>7566</v>
      </c>
      <c r="C136" s="200" t="s">
        <v>7567</v>
      </c>
      <c r="D136" s="194">
        <v>1000042390</v>
      </c>
      <c r="E136" s="196">
        <v>46212</v>
      </c>
      <c r="F136" s="194" t="s">
        <v>7516</v>
      </c>
      <c r="G136" s="197" t="s">
        <v>7507</v>
      </c>
      <c r="H136" s="194">
        <v>300</v>
      </c>
      <c r="I136" s="197"/>
      <c r="J136" s="197"/>
      <c r="K136" s="197"/>
      <c r="L136" s="197"/>
      <c r="M136" s="197"/>
      <c r="N136" s="197"/>
      <c r="O136" s="197"/>
      <c r="P136" s="197"/>
      <c r="Q136" s="197"/>
      <c r="R136" s="197"/>
      <c r="S136" s="197"/>
      <c r="T136" s="197"/>
      <c r="U136" s="197"/>
      <c r="V136" s="197"/>
      <c r="W136" s="197"/>
      <c r="X136" s="197"/>
      <c r="Y136" s="197"/>
      <c r="Z136" s="197"/>
      <c r="AA136" s="194"/>
      <c r="AB136" s="197"/>
      <c r="AC136" s="197"/>
      <c r="AD136" s="194"/>
      <c r="AE136" s="197"/>
      <c r="AF136" s="194"/>
      <c r="AG136" s="194">
        <v>300</v>
      </c>
      <c r="AH136" s="194"/>
      <c r="AI136" s="194"/>
      <c r="AJ136" s="197"/>
      <c r="AK136" s="197"/>
      <c r="AL136" s="197"/>
      <c r="AM136" s="253"/>
    </row>
    <row r="137" s="182" customFormat="1" ht="18" customHeight="1" spans="1:40">
      <c r="A137" s="200" t="s">
        <v>7532</v>
      </c>
      <c r="B137" s="194" t="s">
        <v>7536</v>
      </c>
      <c r="C137" s="200" t="s">
        <v>7504</v>
      </c>
      <c r="D137" s="194">
        <v>1000042404</v>
      </c>
      <c r="E137" s="196">
        <v>46212</v>
      </c>
      <c r="F137" s="194" t="s">
        <v>7506</v>
      </c>
      <c r="G137" s="197" t="s">
        <v>7507</v>
      </c>
      <c r="H137" s="194">
        <v>384000</v>
      </c>
      <c r="I137" s="197"/>
      <c r="J137" s="197"/>
      <c r="K137" s="197"/>
      <c r="L137" s="197"/>
      <c r="M137" s="197"/>
      <c r="N137" s="197">
        <v>384000</v>
      </c>
      <c r="O137" s="197"/>
      <c r="P137" s="197"/>
      <c r="Q137" s="197"/>
      <c r="R137" s="197"/>
      <c r="S137" s="197"/>
      <c r="T137" s="197"/>
      <c r="U137" s="197"/>
      <c r="V137" s="197"/>
      <c r="W137" s="197"/>
      <c r="X137" s="197"/>
      <c r="Y137" s="197"/>
      <c r="Z137" s="197"/>
      <c r="AA137" s="194"/>
      <c r="AB137" s="197"/>
      <c r="AC137" s="197"/>
      <c r="AD137" s="194"/>
      <c r="AE137" s="197"/>
      <c r="AF137" s="194"/>
      <c r="AG137" s="194"/>
      <c r="AH137" s="194"/>
      <c r="AI137" s="197"/>
      <c r="AJ137" s="197"/>
      <c r="AK137" s="197"/>
      <c r="AL137" s="197"/>
      <c r="AM137" s="254" t="s">
        <v>7658</v>
      </c>
    </row>
    <row r="138" s="182" customFormat="1" ht="18" customHeight="1" spans="1:40">
      <c r="A138" s="200" t="s">
        <v>7590</v>
      </c>
      <c r="B138" s="201" t="s">
        <v>7511</v>
      </c>
      <c r="C138" s="200" t="s">
        <v>7512</v>
      </c>
      <c r="D138" s="194">
        <v>1000042502</v>
      </c>
      <c r="E138" s="196">
        <v>46213</v>
      </c>
      <c r="F138" s="194" t="s">
        <v>7506</v>
      </c>
      <c r="G138" s="197" t="s">
        <v>6779</v>
      </c>
      <c r="H138" s="194">
        <v>2191</v>
      </c>
      <c r="I138" s="197"/>
      <c r="J138" s="197"/>
      <c r="K138" s="197"/>
      <c r="L138" s="197"/>
      <c r="M138" s="197"/>
      <c r="N138" s="197"/>
      <c r="O138" s="197"/>
      <c r="P138" s="197"/>
      <c r="Q138" s="194"/>
      <c r="R138" s="197"/>
      <c r="S138" s="197"/>
      <c r="T138" s="197"/>
      <c r="U138" s="194">
        <v>2191</v>
      </c>
      <c r="V138" s="197"/>
      <c r="W138" s="197"/>
      <c r="X138" s="197"/>
      <c r="Y138" s="197"/>
      <c r="Z138" s="197"/>
      <c r="AA138" s="194"/>
      <c r="AB138" s="197"/>
      <c r="AC138" s="197"/>
      <c r="AD138" s="194"/>
      <c r="AE138" s="197"/>
      <c r="AF138" s="194"/>
      <c r="AG138" s="194"/>
      <c r="AH138" s="194"/>
      <c r="AI138" s="197"/>
      <c r="AJ138" s="197"/>
      <c r="AK138" s="197"/>
      <c r="AL138" s="197"/>
      <c r="AM138" s="254" t="s">
        <v>7659</v>
      </c>
    </row>
    <row r="139" s="182" customFormat="1" ht="18" customHeight="1" spans="1:40">
      <c r="A139" s="200" t="s">
        <v>7590</v>
      </c>
      <c r="B139" s="201" t="s">
        <v>7511</v>
      </c>
      <c r="C139" s="200" t="s">
        <v>7587</v>
      </c>
      <c r="D139" s="194">
        <v>1000042503</v>
      </c>
      <c r="E139" s="196">
        <v>46213</v>
      </c>
      <c r="F139" s="194" t="s">
        <v>7506</v>
      </c>
      <c r="G139" s="197" t="s">
        <v>7585</v>
      </c>
      <c r="H139" s="194">
        <v>43183</v>
      </c>
      <c r="I139" s="197"/>
      <c r="J139" s="197"/>
      <c r="K139" s="197"/>
      <c r="L139" s="197"/>
      <c r="M139" s="197"/>
      <c r="N139" s="197"/>
      <c r="O139" s="197"/>
      <c r="P139" s="197"/>
      <c r="Q139" s="197"/>
      <c r="R139" s="197"/>
      <c r="S139" s="197"/>
      <c r="T139" s="197"/>
      <c r="U139" s="197"/>
      <c r="V139" s="197"/>
      <c r="W139" s="197"/>
      <c r="X139" s="197"/>
      <c r="Y139" s="197"/>
      <c r="Z139" s="197"/>
      <c r="AA139" s="194"/>
      <c r="AB139" s="197"/>
      <c r="AC139" s="197"/>
      <c r="AD139" s="194"/>
      <c r="AE139" s="197"/>
      <c r="AF139" s="194"/>
      <c r="AG139" s="194"/>
      <c r="AH139" s="194"/>
      <c r="AI139" s="197"/>
      <c r="AJ139" s="197"/>
      <c r="AK139" s="197"/>
      <c r="AL139" s="197"/>
      <c r="AM139" s="254" t="s">
        <v>7660</v>
      </c>
    </row>
    <row r="140" s="182" customFormat="1" ht="18" customHeight="1" spans="1:40">
      <c r="A140" s="200" t="s">
        <v>7517</v>
      </c>
      <c r="B140" s="201">
        <v>77876</v>
      </c>
      <c r="C140" s="200" t="s">
        <v>7598</v>
      </c>
      <c r="D140" s="194">
        <v>1000042619</v>
      </c>
      <c r="E140" s="196">
        <v>46217</v>
      </c>
      <c r="F140" s="194" t="s">
        <v>7516</v>
      </c>
      <c r="G140" s="197" t="s">
        <v>7585</v>
      </c>
      <c r="H140" s="194">
        <v>82284</v>
      </c>
      <c r="I140" s="197"/>
      <c r="J140" s="197"/>
      <c r="K140" s="197"/>
      <c r="L140" s="197"/>
      <c r="M140" s="197"/>
      <c r="N140" s="197"/>
      <c r="O140" s="197"/>
      <c r="P140" s="197"/>
      <c r="Q140" s="197"/>
      <c r="R140" s="197"/>
      <c r="S140" s="197"/>
      <c r="T140" s="197"/>
      <c r="U140" s="197"/>
      <c r="V140" s="197"/>
      <c r="W140" s="197"/>
      <c r="X140" s="197"/>
      <c r="Y140" s="197"/>
      <c r="Z140" s="197"/>
      <c r="AA140" s="194"/>
      <c r="AB140" s="197"/>
      <c r="AC140" s="197"/>
      <c r="AD140" s="194"/>
      <c r="AE140" s="197"/>
      <c r="AF140" s="194"/>
      <c r="AG140" s="194"/>
      <c r="AH140" s="194"/>
      <c r="AI140" s="197"/>
      <c r="AJ140" s="197"/>
      <c r="AK140" s="194">
        <v>82284</v>
      </c>
      <c r="AL140" s="197"/>
      <c r="AM140" s="254" t="s">
        <v>7661</v>
      </c>
      <c r="AN140" s="182" t="s">
        <v>7662</v>
      </c>
    </row>
    <row r="141" s="182" customFormat="1" ht="18" customHeight="1" spans="1:40">
      <c r="A141" s="200" t="s">
        <v>7517</v>
      </c>
      <c r="B141" s="201">
        <v>77876</v>
      </c>
      <c r="C141" s="200" t="s">
        <v>7600</v>
      </c>
      <c r="D141" s="194">
        <v>1000042620</v>
      </c>
      <c r="E141" s="196">
        <v>46217</v>
      </c>
      <c r="F141" s="194" t="s">
        <v>7516</v>
      </c>
      <c r="G141" s="197" t="s">
        <v>7585</v>
      </c>
      <c r="H141" s="194">
        <v>164568</v>
      </c>
      <c r="I141" s="197"/>
      <c r="J141" s="197"/>
      <c r="K141" s="197"/>
      <c r="L141" s="197"/>
      <c r="M141" s="197"/>
      <c r="N141" s="197"/>
      <c r="O141" s="197"/>
      <c r="P141" s="197"/>
      <c r="Q141" s="197"/>
      <c r="R141" s="197"/>
      <c r="S141" s="197"/>
      <c r="T141" s="197"/>
      <c r="U141" s="197"/>
      <c r="V141" s="197"/>
      <c r="W141" s="197"/>
      <c r="X141" s="197"/>
      <c r="Y141" s="197"/>
      <c r="Z141" s="197"/>
      <c r="AA141" s="194"/>
      <c r="AB141" s="197"/>
      <c r="AC141" s="197"/>
      <c r="AD141" s="194"/>
      <c r="AE141" s="197"/>
      <c r="AF141" s="194"/>
      <c r="AG141" s="194"/>
      <c r="AH141" s="194"/>
      <c r="AI141" s="197"/>
      <c r="AJ141" s="197"/>
      <c r="AK141" s="197"/>
      <c r="AL141" s="197"/>
      <c r="AM141" s="254" t="s">
        <v>7661</v>
      </c>
      <c r="AN141" s="182" t="s">
        <v>7662</v>
      </c>
    </row>
    <row r="142" s="182" customFormat="1" ht="18" customHeight="1" spans="1:40">
      <c r="A142" s="200" t="s">
        <v>7517</v>
      </c>
      <c r="B142" s="201">
        <v>77876</v>
      </c>
      <c r="C142" s="200" t="s">
        <v>7587</v>
      </c>
      <c r="D142" s="194">
        <v>1000042621</v>
      </c>
      <c r="E142" s="196">
        <v>46217</v>
      </c>
      <c r="F142" s="194" t="s">
        <v>7510</v>
      </c>
      <c r="G142" s="197" t="s">
        <v>7585</v>
      </c>
      <c r="H142" s="194">
        <v>164568</v>
      </c>
      <c r="I142" s="197"/>
      <c r="J142" s="197"/>
      <c r="K142" s="197"/>
      <c r="L142" s="197"/>
      <c r="M142" s="197"/>
      <c r="N142" s="197"/>
      <c r="O142" s="197"/>
      <c r="P142" s="197"/>
      <c r="Q142" s="197"/>
      <c r="R142" s="197"/>
      <c r="S142" s="197"/>
      <c r="T142" s="197"/>
      <c r="U142" s="197"/>
      <c r="V142" s="197"/>
      <c r="W142" s="197"/>
      <c r="X142" s="197"/>
      <c r="Y142" s="197"/>
      <c r="Z142" s="197"/>
      <c r="AA142" s="194"/>
      <c r="AB142" s="197"/>
      <c r="AC142" s="197"/>
      <c r="AD142" s="194"/>
      <c r="AE142" s="197"/>
      <c r="AF142" s="194"/>
      <c r="AG142" s="194"/>
      <c r="AH142" s="194"/>
      <c r="AI142" s="197"/>
      <c r="AJ142" s="197"/>
      <c r="AK142" s="197"/>
      <c r="AL142" s="197"/>
      <c r="AM142" s="254" t="s">
        <v>7661</v>
      </c>
      <c r="AN142" s="182" t="s">
        <v>7663</v>
      </c>
    </row>
    <row r="143" s="182" customFormat="1" ht="18" customHeight="1" spans="1:40">
      <c r="A143" s="200" t="s">
        <v>7517</v>
      </c>
      <c r="B143" s="201">
        <v>77876</v>
      </c>
      <c r="C143" s="200" t="s">
        <v>7641</v>
      </c>
      <c r="D143" s="194">
        <v>100004262</v>
      </c>
      <c r="E143" s="196">
        <v>46217</v>
      </c>
      <c r="F143" s="194" t="s">
        <v>7506</v>
      </c>
      <c r="G143" s="197" t="s">
        <v>7585</v>
      </c>
      <c r="H143" s="194">
        <v>82284</v>
      </c>
      <c r="I143" s="197"/>
      <c r="J143" s="197"/>
      <c r="K143" s="197"/>
      <c r="L143" s="197"/>
      <c r="M143" s="197"/>
      <c r="N143" s="197"/>
      <c r="O143" s="197"/>
      <c r="P143" s="197"/>
      <c r="Q143" s="197"/>
      <c r="R143" s="197"/>
      <c r="S143" s="197"/>
      <c r="T143" s="197"/>
      <c r="U143" s="197"/>
      <c r="V143" s="197"/>
      <c r="W143" s="197"/>
      <c r="X143" s="197"/>
      <c r="Y143" s="197"/>
      <c r="Z143" s="197"/>
      <c r="AA143" s="194"/>
      <c r="AB143" s="197"/>
      <c r="AC143" s="197"/>
      <c r="AD143" s="194"/>
      <c r="AE143" s="197"/>
      <c r="AF143" s="194"/>
      <c r="AG143" s="194"/>
      <c r="AH143" s="194"/>
      <c r="AI143" s="197"/>
      <c r="AJ143" s="194">
        <v>82284</v>
      </c>
      <c r="AK143" s="197"/>
      <c r="AL143" s="197"/>
      <c r="AM143" s="254" t="s">
        <v>7661</v>
      </c>
    </row>
    <row r="144" s="182" customFormat="1" ht="18" customHeight="1" spans="1:40">
      <c r="A144" s="200" t="s">
        <v>7517</v>
      </c>
      <c r="B144" s="201">
        <v>77876</v>
      </c>
      <c r="C144" s="200" t="s">
        <v>7596</v>
      </c>
      <c r="D144" s="194">
        <v>100004263</v>
      </c>
      <c r="E144" s="196">
        <v>46217</v>
      </c>
      <c r="F144" s="194" t="s">
        <v>7506</v>
      </c>
      <c r="G144" s="197" t="s">
        <v>7585</v>
      </c>
      <c r="H144" s="194">
        <v>82284</v>
      </c>
      <c r="I144" s="197"/>
      <c r="J144" s="197"/>
      <c r="K144" s="197"/>
      <c r="L144" s="197"/>
      <c r="M144" s="197"/>
      <c r="N144" s="197"/>
      <c r="O144" s="197"/>
      <c r="P144" s="197"/>
      <c r="Q144" s="197"/>
      <c r="R144" s="197"/>
      <c r="S144" s="197"/>
      <c r="T144" s="197"/>
      <c r="U144" s="197"/>
      <c r="V144" s="197"/>
      <c r="W144" s="197"/>
      <c r="X144" s="197"/>
      <c r="Y144" s="197"/>
      <c r="Z144" s="197"/>
      <c r="AA144" s="194"/>
      <c r="AB144" s="197"/>
      <c r="AC144" s="197"/>
      <c r="AD144" s="194"/>
      <c r="AE144" s="197"/>
      <c r="AF144" s="194"/>
      <c r="AG144" s="194"/>
      <c r="AH144" s="194"/>
      <c r="AI144" s="197"/>
      <c r="AJ144" s="197"/>
      <c r="AK144" s="197"/>
      <c r="AL144" s="194">
        <v>82284</v>
      </c>
      <c r="AM144" s="254" t="s">
        <v>7661</v>
      </c>
    </row>
    <row r="145" s="182" customFormat="1" ht="18" customHeight="1" spans="1:72">
      <c r="A145" s="200" t="s">
        <v>7575</v>
      </c>
      <c r="B145" s="201" t="s">
        <v>7527</v>
      </c>
      <c r="C145" s="200" t="s">
        <v>7504</v>
      </c>
      <c r="D145" s="194" t="s">
        <v>7530</v>
      </c>
      <c r="E145" s="196">
        <v>46218</v>
      </c>
      <c r="F145" s="194" t="s">
        <v>7506</v>
      </c>
      <c r="G145" s="197" t="s">
        <v>98</v>
      </c>
      <c r="H145" s="194">
        <v>66375</v>
      </c>
      <c r="I145" s="197"/>
      <c r="J145" s="197"/>
      <c r="K145" s="197"/>
      <c r="L145" s="197"/>
      <c r="M145" s="197"/>
      <c r="N145" s="197">
        <v>66375</v>
      </c>
      <c r="O145" s="197"/>
      <c r="P145" s="197"/>
      <c r="Q145" s="197"/>
      <c r="R145" s="197"/>
      <c r="S145" s="197"/>
      <c r="T145" s="197"/>
      <c r="U145" s="197"/>
      <c r="V145" s="197"/>
      <c r="W145" s="197"/>
      <c r="X145" s="197"/>
      <c r="Y145" s="197"/>
      <c r="Z145" s="197"/>
      <c r="AA145" s="194"/>
      <c r="AB145" s="197"/>
      <c r="AC145" s="197"/>
      <c r="AD145" s="194"/>
      <c r="AE145" s="197"/>
      <c r="AF145" s="194"/>
      <c r="AG145" s="194"/>
      <c r="AH145" s="194"/>
      <c r="AI145" s="197"/>
      <c r="AJ145" s="197"/>
      <c r="AK145" s="197"/>
      <c r="AL145" s="194"/>
      <c r="AM145" s="254" t="s">
        <v>7664</v>
      </c>
    </row>
    <row r="146" s="182" customFormat="1" ht="18" customHeight="1" spans="1:72">
      <c r="A146" s="200" t="s">
        <v>7575</v>
      </c>
      <c r="B146" s="201" t="s">
        <v>7527</v>
      </c>
      <c r="C146" s="200" t="s">
        <v>7512</v>
      </c>
      <c r="D146" s="194" t="s">
        <v>7530</v>
      </c>
      <c r="E146" s="196">
        <v>46218</v>
      </c>
      <c r="F146" s="194" t="s">
        <v>7506</v>
      </c>
      <c r="G146" s="197" t="s">
        <v>7507</v>
      </c>
      <c r="H146" s="194">
        <v>2655</v>
      </c>
      <c r="I146" s="197"/>
      <c r="J146" s="197"/>
      <c r="K146" s="197"/>
      <c r="L146" s="197"/>
      <c r="M146" s="197"/>
      <c r="N146" s="197"/>
      <c r="O146" s="197"/>
      <c r="P146" s="197"/>
      <c r="Q146" s="197"/>
      <c r="R146" s="197"/>
      <c r="S146" s="197"/>
      <c r="T146" s="197"/>
      <c r="U146" s="197"/>
      <c r="V146" s="197"/>
      <c r="W146" s="197"/>
      <c r="X146" s="197"/>
      <c r="Y146" s="197"/>
      <c r="Z146" s="197"/>
      <c r="AA146" s="194">
        <v>2655</v>
      </c>
      <c r="AB146" s="197"/>
      <c r="AC146" s="197"/>
      <c r="AD146" s="194"/>
      <c r="AE146" s="197"/>
      <c r="AF146" s="194"/>
      <c r="AG146" s="194"/>
      <c r="AH146" s="194"/>
      <c r="AI146" s="197"/>
      <c r="AJ146" s="197"/>
      <c r="AK146" s="197"/>
      <c r="AL146" s="194"/>
      <c r="AM146" s="254" t="s">
        <v>7664</v>
      </c>
    </row>
    <row r="147" s="182" customFormat="1" ht="18" customHeight="1" spans="1:72">
      <c r="A147" s="200" t="s">
        <v>7575</v>
      </c>
      <c r="B147" s="201" t="s">
        <v>7527</v>
      </c>
      <c r="C147" s="200" t="s">
        <v>7504</v>
      </c>
      <c r="D147" s="194">
        <v>1000042824</v>
      </c>
      <c r="E147" s="196">
        <v>46220</v>
      </c>
      <c r="F147" s="194" t="s">
        <v>7506</v>
      </c>
      <c r="G147" s="197" t="s">
        <v>98</v>
      </c>
      <c r="H147" s="194">
        <v>223700</v>
      </c>
      <c r="I147" s="197"/>
      <c r="J147" s="197"/>
      <c r="K147" s="197"/>
      <c r="L147" s="197"/>
      <c r="M147" s="197"/>
      <c r="N147" s="194">
        <v>223700</v>
      </c>
      <c r="O147" s="197"/>
      <c r="P147" s="197"/>
      <c r="Q147" s="197"/>
      <c r="R147" s="197"/>
      <c r="S147" s="197"/>
      <c r="T147" s="197"/>
      <c r="U147" s="197"/>
      <c r="V147" s="197"/>
      <c r="W147" s="197"/>
      <c r="X147" s="197"/>
      <c r="Y147" s="197"/>
      <c r="Z147" s="197"/>
      <c r="AA147" s="194"/>
      <c r="AB147" s="197"/>
      <c r="AC147" s="197"/>
      <c r="AD147" s="194"/>
      <c r="AE147" s="197"/>
      <c r="AF147" s="194"/>
      <c r="AG147" s="194"/>
      <c r="AH147" s="194"/>
      <c r="AI147" s="197"/>
      <c r="AJ147" s="197"/>
      <c r="AK147" s="197"/>
      <c r="AL147" s="194"/>
      <c r="AM147" s="254" t="s">
        <v>7665</v>
      </c>
    </row>
    <row r="148" s="182" customFormat="1" ht="18" customHeight="1" spans="1:72">
      <c r="A148" s="200" t="s">
        <v>7575</v>
      </c>
      <c r="B148" s="201" t="s">
        <v>7527</v>
      </c>
      <c r="C148" s="200" t="s">
        <v>7512</v>
      </c>
      <c r="D148" s="194">
        <v>1000042825</v>
      </c>
      <c r="E148" s="196">
        <v>46220</v>
      </c>
      <c r="F148" s="194" t="s">
        <v>7506</v>
      </c>
      <c r="G148" s="197" t="s">
        <v>7507</v>
      </c>
      <c r="H148" s="194">
        <v>10671</v>
      </c>
      <c r="I148" s="197"/>
      <c r="J148" s="197"/>
      <c r="K148" s="197"/>
      <c r="L148" s="197"/>
      <c r="M148" s="197"/>
      <c r="N148" s="197"/>
      <c r="O148" s="197"/>
      <c r="P148" s="197"/>
      <c r="Q148" s="197"/>
      <c r="R148" s="197"/>
      <c r="S148" s="197"/>
      <c r="T148" s="197"/>
      <c r="U148" s="197"/>
      <c r="V148" s="197"/>
      <c r="W148" s="197"/>
      <c r="X148" s="197"/>
      <c r="Y148" s="197"/>
      <c r="Z148" s="197"/>
      <c r="AA148" s="194">
        <v>10671</v>
      </c>
      <c r="AB148" s="197"/>
      <c r="AC148" s="197"/>
      <c r="AD148" s="194"/>
      <c r="AE148" s="197"/>
      <c r="AF148" s="194"/>
      <c r="AG148" s="194"/>
      <c r="AH148" s="194"/>
      <c r="AI148" s="197"/>
      <c r="AJ148" s="197"/>
      <c r="AK148" s="197"/>
      <c r="AL148" s="194"/>
      <c r="AM148" s="254" t="s">
        <v>7665</v>
      </c>
    </row>
    <row r="149" s="182" customFormat="1" ht="18" customHeight="1" spans="1:72">
      <c r="A149" s="200" t="s">
        <v>7575</v>
      </c>
      <c r="B149" s="201" t="s">
        <v>7527</v>
      </c>
      <c r="C149" s="200" t="s">
        <v>7504</v>
      </c>
      <c r="D149" s="194">
        <v>1000043209</v>
      </c>
      <c r="E149" s="196">
        <v>46227</v>
      </c>
      <c r="F149" s="194" t="s">
        <v>7506</v>
      </c>
      <c r="G149" s="197" t="s">
        <v>98</v>
      </c>
      <c r="H149" s="194">
        <v>55650</v>
      </c>
      <c r="I149" s="197"/>
      <c r="J149" s="197"/>
      <c r="K149" s="197"/>
      <c r="L149" s="197"/>
      <c r="M149" s="197"/>
      <c r="N149" s="194">
        <v>55650</v>
      </c>
      <c r="O149" s="197"/>
      <c r="P149" s="197"/>
      <c r="Q149" s="197"/>
      <c r="R149" s="197"/>
      <c r="S149" s="197"/>
      <c r="T149" s="197"/>
      <c r="U149" s="197"/>
      <c r="V149" s="197"/>
      <c r="W149" s="197"/>
      <c r="X149" s="197"/>
      <c r="Y149" s="197"/>
      <c r="Z149" s="197"/>
      <c r="AA149" s="194"/>
      <c r="AB149" s="197"/>
      <c r="AC149" s="197"/>
      <c r="AD149" s="194"/>
      <c r="AE149" s="197"/>
      <c r="AF149" s="194"/>
      <c r="AG149" s="194"/>
      <c r="AH149" s="194"/>
      <c r="AI149" s="197"/>
      <c r="AJ149" s="197"/>
      <c r="AK149" s="197"/>
      <c r="AL149" s="194"/>
      <c r="AM149" s="254" t="s">
        <v>7666</v>
      </c>
    </row>
    <row r="150" s="182" customFormat="1" ht="18" customHeight="1" spans="1:72">
      <c r="A150" s="200" t="s">
        <v>7575</v>
      </c>
      <c r="B150" s="201" t="s">
        <v>7527</v>
      </c>
      <c r="C150" s="200" t="s">
        <v>7512</v>
      </c>
      <c r="D150" s="194">
        <v>1000043210</v>
      </c>
      <c r="E150" s="196">
        <v>46227</v>
      </c>
      <c r="F150" s="194" t="s">
        <v>7506</v>
      </c>
      <c r="G150" s="197" t="s">
        <v>7507</v>
      </c>
      <c r="H150" s="194">
        <v>2226</v>
      </c>
      <c r="I150" s="197"/>
      <c r="J150" s="197"/>
      <c r="K150" s="197"/>
      <c r="L150" s="197"/>
      <c r="M150" s="197"/>
      <c r="N150" s="197"/>
      <c r="O150" s="197"/>
      <c r="P150" s="197"/>
      <c r="Q150" s="197"/>
      <c r="R150" s="197"/>
      <c r="S150" s="197"/>
      <c r="T150" s="197"/>
      <c r="U150" s="197"/>
      <c r="V150" s="197"/>
      <c r="W150" s="197"/>
      <c r="X150" s="197"/>
      <c r="Y150" s="197"/>
      <c r="Z150" s="197"/>
      <c r="AA150" s="194">
        <v>2226</v>
      </c>
      <c r="AB150" s="197"/>
      <c r="AC150" s="197"/>
      <c r="AD150" s="194"/>
      <c r="AE150" s="197"/>
      <c r="AF150" s="194"/>
      <c r="AG150" s="194"/>
      <c r="AH150" s="194"/>
      <c r="AI150" s="197"/>
      <c r="AJ150" s="197"/>
      <c r="AK150" s="197"/>
      <c r="AL150" s="194"/>
      <c r="AM150" s="254" t="s">
        <v>7666</v>
      </c>
    </row>
    <row r="151" s="182" customFormat="1" ht="18" customHeight="1" spans="1:72">
      <c r="A151" s="200" t="s">
        <v>7575</v>
      </c>
      <c r="B151" s="201" t="s">
        <v>7527</v>
      </c>
      <c r="C151" s="200" t="s">
        <v>7504</v>
      </c>
      <c r="D151" s="194">
        <v>1000043347</v>
      </c>
      <c r="E151" s="196">
        <v>46232</v>
      </c>
      <c r="F151" s="194" t="s">
        <v>7506</v>
      </c>
      <c r="G151" s="197" t="s">
        <v>98</v>
      </c>
      <c r="H151" s="194">
        <v>286175</v>
      </c>
      <c r="I151" s="197"/>
      <c r="J151" s="197"/>
      <c r="K151" s="197"/>
      <c r="L151" s="197"/>
      <c r="M151" s="197"/>
      <c r="N151" s="194">
        <v>286175</v>
      </c>
      <c r="O151" s="197"/>
      <c r="P151" s="197"/>
      <c r="Q151" s="197"/>
      <c r="R151" s="197"/>
      <c r="S151" s="197"/>
      <c r="T151" s="197"/>
      <c r="U151" s="197"/>
      <c r="V151" s="197"/>
      <c r="W151" s="197"/>
      <c r="X151" s="197"/>
      <c r="Y151" s="197"/>
      <c r="Z151" s="197"/>
      <c r="AA151" s="194"/>
      <c r="AB151" s="197"/>
      <c r="AC151" s="197"/>
      <c r="AD151" s="194"/>
      <c r="AE151" s="197"/>
      <c r="AF151" s="194"/>
      <c r="AG151" s="194"/>
      <c r="AH151" s="194"/>
      <c r="AI151" s="197"/>
      <c r="AJ151" s="197"/>
      <c r="AK151" s="197"/>
      <c r="AL151" s="194"/>
      <c r="AM151" s="254" t="s">
        <v>7667</v>
      </c>
    </row>
    <row r="152" s="182" customFormat="1" ht="18" customHeight="1" spans="1:72">
      <c r="A152" s="200" t="s">
        <v>7575</v>
      </c>
      <c r="B152" s="201" t="s">
        <v>7527</v>
      </c>
      <c r="C152" s="200" t="s">
        <v>7512</v>
      </c>
      <c r="D152" s="194">
        <v>1000043348</v>
      </c>
      <c r="E152" s="196">
        <v>46232</v>
      </c>
      <c r="F152" s="194" t="s">
        <v>7506</v>
      </c>
      <c r="G152" s="197" t="s">
        <v>7507</v>
      </c>
      <c r="H152" s="194">
        <v>11447</v>
      </c>
      <c r="I152" s="197"/>
      <c r="J152" s="197"/>
      <c r="K152" s="197"/>
      <c r="L152" s="197"/>
      <c r="M152" s="197"/>
      <c r="N152" s="197"/>
      <c r="O152" s="197"/>
      <c r="P152" s="197"/>
      <c r="Q152" s="197"/>
      <c r="R152" s="197"/>
      <c r="S152" s="197"/>
      <c r="T152" s="197"/>
      <c r="U152" s="197"/>
      <c r="V152" s="197"/>
      <c r="W152" s="197"/>
      <c r="X152" s="197"/>
      <c r="Y152" s="197"/>
      <c r="Z152" s="197"/>
      <c r="AA152" s="194"/>
      <c r="AB152" s="197"/>
      <c r="AC152" s="197"/>
      <c r="AD152" s="194"/>
      <c r="AE152" s="197"/>
      <c r="AF152" s="194"/>
      <c r="AG152" s="194"/>
      <c r="AH152" s="194"/>
      <c r="AI152" s="197"/>
      <c r="AJ152" s="197"/>
      <c r="AK152" s="197"/>
      <c r="AL152" s="194"/>
      <c r="AM152" s="254" t="s">
        <v>7667</v>
      </c>
    </row>
    <row r="153" s="182" customFormat="1" ht="18" customHeight="1" spans="1:72">
      <c r="A153" s="200" t="s">
        <v>7590</v>
      </c>
      <c r="B153" s="201" t="s">
        <v>7511</v>
      </c>
      <c r="C153" s="200" t="s">
        <v>7512</v>
      </c>
      <c r="D153" s="194">
        <v>1000043357</v>
      </c>
      <c r="E153" s="196">
        <v>46233</v>
      </c>
      <c r="F153" s="194" t="s">
        <v>7506</v>
      </c>
      <c r="G153" s="271" t="s">
        <v>6779</v>
      </c>
      <c r="H153" s="194">
        <v>13969</v>
      </c>
      <c r="I153" s="197"/>
      <c r="J153" s="197"/>
      <c r="K153" s="197"/>
      <c r="L153" s="197"/>
      <c r="M153" s="197"/>
      <c r="N153" s="197"/>
      <c r="O153" s="197"/>
      <c r="P153" s="197"/>
      <c r="Q153" s="197"/>
      <c r="R153" s="197"/>
      <c r="S153" s="197"/>
      <c r="T153" s="197"/>
      <c r="U153" s="197"/>
      <c r="V153" s="197"/>
      <c r="W153" s="197"/>
      <c r="X153" s="197"/>
      <c r="Y153" s="197"/>
      <c r="Z153" s="197"/>
      <c r="AA153" s="194"/>
      <c r="AB153" s="197"/>
      <c r="AC153" s="197"/>
      <c r="AD153" s="194"/>
      <c r="AE153" s="197"/>
      <c r="AF153" s="194"/>
      <c r="AG153" s="194"/>
      <c r="AH153" s="194"/>
      <c r="AI153" s="197"/>
      <c r="AJ153" s="197"/>
      <c r="AK153" s="197"/>
      <c r="AL153" s="194"/>
      <c r="AM153" s="254" t="s">
        <v>7668</v>
      </c>
    </row>
    <row r="154" s="182" customFormat="1" ht="18" customHeight="1" spans="1:72">
      <c r="A154" s="200" t="s">
        <v>7590</v>
      </c>
      <c r="B154" s="201" t="s">
        <v>7511</v>
      </c>
      <c r="C154" s="200" t="s">
        <v>7587</v>
      </c>
      <c r="D154" s="194">
        <v>1000043358</v>
      </c>
      <c r="E154" s="196">
        <v>46233</v>
      </c>
      <c r="F154" s="194" t="s">
        <v>7506</v>
      </c>
      <c r="G154" s="271" t="s">
        <v>7585</v>
      </c>
      <c r="H154" s="194">
        <v>201702</v>
      </c>
      <c r="I154" s="197"/>
      <c r="J154" s="197"/>
      <c r="K154" s="197"/>
      <c r="L154" s="197"/>
      <c r="M154" s="197"/>
      <c r="N154" s="197"/>
      <c r="O154" s="197"/>
      <c r="P154" s="197"/>
      <c r="Q154" s="197"/>
      <c r="R154" s="197"/>
      <c r="S154" s="197"/>
      <c r="T154" s="197"/>
      <c r="U154" s="197"/>
      <c r="V154" s="197"/>
      <c r="W154" s="197"/>
      <c r="X154" s="197"/>
      <c r="Y154" s="197"/>
      <c r="Z154" s="197"/>
      <c r="AA154" s="194"/>
      <c r="AB154" s="197"/>
      <c r="AC154" s="197"/>
      <c r="AD154" s="194"/>
      <c r="AE154" s="197"/>
      <c r="AF154" s="194"/>
      <c r="AG154" s="194"/>
      <c r="AH154" s="194"/>
      <c r="AI154" s="197"/>
      <c r="AJ154" s="197"/>
      <c r="AK154" s="197"/>
      <c r="AL154" s="194"/>
      <c r="AM154" s="254" t="s">
        <v>7669</v>
      </c>
    </row>
    <row r="155" s="183" customFormat="1" ht="18" customHeight="1" spans="1:72">
      <c r="A155" s="205" t="s">
        <v>7519</v>
      </c>
      <c r="B155" s="210">
        <v>77772</v>
      </c>
      <c r="C155" s="205" t="s">
        <v>7504</v>
      </c>
      <c r="D155" s="206">
        <v>1000043640</v>
      </c>
      <c r="E155" s="209">
        <v>46237</v>
      </c>
      <c r="F155" s="206" t="s">
        <v>7506</v>
      </c>
      <c r="G155" s="272" t="s">
        <v>7609</v>
      </c>
      <c r="H155" s="206">
        <v>500000</v>
      </c>
      <c r="I155" s="206">
        <v>500000</v>
      </c>
      <c r="J155" s="211"/>
      <c r="K155" s="211"/>
      <c r="L155" s="211"/>
      <c r="M155" s="211"/>
      <c r="N155" s="211"/>
      <c r="O155" s="211"/>
      <c r="P155" s="211"/>
      <c r="Q155" s="211"/>
      <c r="R155" s="211"/>
      <c r="S155" s="211"/>
      <c r="T155" s="211"/>
      <c r="U155" s="211"/>
      <c r="V155" s="211"/>
      <c r="W155" s="211"/>
      <c r="X155" s="211"/>
      <c r="Y155" s="211"/>
      <c r="Z155" s="211"/>
      <c r="AA155" s="206"/>
      <c r="AB155" s="211"/>
      <c r="AC155" s="211"/>
      <c r="AD155" s="206"/>
      <c r="AE155" s="211"/>
      <c r="AF155" s="206"/>
      <c r="AG155" s="206"/>
      <c r="AH155" s="206"/>
      <c r="AI155" s="211"/>
      <c r="AJ155" s="211"/>
      <c r="AK155" s="211"/>
      <c r="AL155" s="206"/>
      <c r="AM155" s="255"/>
      <c r="AN155" s="182"/>
      <c r="AO155" s="182"/>
      <c r="AP155" s="182"/>
      <c r="AQ155" s="182"/>
      <c r="AR155" s="182"/>
      <c r="AS155" s="182"/>
      <c r="AT155" s="182"/>
      <c r="AU155" s="182"/>
      <c r="AV155" s="182"/>
      <c r="AW155" s="182"/>
      <c r="AX155" s="182"/>
      <c r="AY155" s="182"/>
      <c r="AZ155" s="182"/>
      <c r="BA155" s="182"/>
      <c r="BB155" s="182"/>
      <c r="BC155" s="182"/>
      <c r="BD155" s="182"/>
      <c r="BE155" s="182"/>
      <c r="BF155" s="182"/>
      <c r="BG155" s="182"/>
      <c r="BH155" s="182"/>
      <c r="BI155" s="182"/>
      <c r="BJ155" s="182"/>
      <c r="BK155" s="182"/>
      <c r="BL155" s="182"/>
      <c r="BM155" s="182"/>
      <c r="BN155" s="182"/>
      <c r="BO155" s="182"/>
      <c r="BP155" s="182"/>
      <c r="BQ155" s="182"/>
      <c r="BR155" s="182"/>
      <c r="BS155" s="182"/>
      <c r="BT155" s="182"/>
    </row>
    <row r="156" s="183" customFormat="1" ht="18" customHeight="1" spans="1:72">
      <c r="A156" s="205" t="s">
        <v>7519</v>
      </c>
      <c r="B156" s="210">
        <v>77772</v>
      </c>
      <c r="C156" s="205" t="s">
        <v>7504</v>
      </c>
      <c r="D156" s="206">
        <v>1000043641</v>
      </c>
      <c r="E156" s="209">
        <v>46237</v>
      </c>
      <c r="F156" s="206" t="s">
        <v>7516</v>
      </c>
      <c r="G156" s="272" t="s">
        <v>7609</v>
      </c>
      <c r="H156" s="206">
        <v>200000</v>
      </c>
      <c r="I156" s="211"/>
      <c r="J156" s="206">
        <v>200000</v>
      </c>
      <c r="K156" s="211"/>
      <c r="L156" s="211"/>
      <c r="M156" s="211"/>
      <c r="N156" s="211"/>
      <c r="O156" s="211"/>
      <c r="P156" s="211"/>
      <c r="Q156" s="211"/>
      <c r="R156" s="211"/>
      <c r="S156" s="211"/>
      <c r="T156" s="211"/>
      <c r="U156" s="211"/>
      <c r="V156" s="211"/>
      <c r="W156" s="211"/>
      <c r="X156" s="211"/>
      <c r="Y156" s="211"/>
      <c r="Z156" s="211"/>
      <c r="AA156" s="206"/>
      <c r="AB156" s="211"/>
      <c r="AC156" s="211"/>
      <c r="AD156" s="206"/>
      <c r="AE156" s="211"/>
      <c r="AF156" s="206"/>
      <c r="AG156" s="206"/>
      <c r="AH156" s="206"/>
      <c r="AI156" s="211"/>
      <c r="AJ156" s="211"/>
      <c r="AK156" s="211"/>
      <c r="AL156" s="206"/>
      <c r="AM156" s="255"/>
      <c r="AN156" s="182"/>
      <c r="AO156" s="182"/>
      <c r="AP156" s="182"/>
      <c r="AQ156" s="182"/>
      <c r="AR156" s="182"/>
      <c r="AS156" s="182"/>
      <c r="AT156" s="182"/>
      <c r="AU156" s="182"/>
      <c r="AV156" s="182"/>
      <c r="AW156" s="182"/>
      <c r="AX156" s="182"/>
      <c r="AY156" s="182"/>
      <c r="AZ156" s="182"/>
      <c r="BA156" s="182"/>
      <c r="BB156" s="182"/>
      <c r="BC156" s="182"/>
      <c r="BD156" s="182"/>
      <c r="BE156" s="182"/>
      <c r="BF156" s="182"/>
      <c r="BG156" s="182"/>
      <c r="BH156" s="182"/>
      <c r="BI156" s="182"/>
      <c r="BJ156" s="182"/>
      <c r="BK156" s="182"/>
      <c r="BL156" s="182"/>
      <c r="BM156" s="182"/>
      <c r="BN156" s="182"/>
      <c r="BO156" s="182"/>
      <c r="BP156" s="182"/>
      <c r="BQ156" s="182"/>
      <c r="BR156" s="182"/>
      <c r="BS156" s="182"/>
      <c r="BT156" s="182"/>
    </row>
    <row r="157" s="183" customFormat="1" ht="18" customHeight="1" spans="1:72">
      <c r="A157" s="205" t="s">
        <v>7519</v>
      </c>
      <c r="B157" s="210">
        <v>77772</v>
      </c>
      <c r="C157" s="205" t="s">
        <v>7508</v>
      </c>
      <c r="D157" s="206">
        <v>1000043642</v>
      </c>
      <c r="E157" s="209">
        <v>46237</v>
      </c>
      <c r="F157" s="206" t="s">
        <v>7510</v>
      </c>
      <c r="G157" s="272" t="s">
        <v>7670</v>
      </c>
      <c r="H157" s="206">
        <v>1000000</v>
      </c>
      <c r="I157" s="211"/>
      <c r="J157" s="211"/>
      <c r="K157" s="211"/>
      <c r="L157" s="211"/>
      <c r="M157" s="211"/>
      <c r="N157" s="211"/>
      <c r="O157" s="206">
        <v>1000000</v>
      </c>
      <c r="P157" s="211"/>
      <c r="Q157" s="211"/>
      <c r="R157" s="211"/>
      <c r="S157" s="211"/>
      <c r="T157" s="211"/>
      <c r="U157" s="211"/>
      <c r="V157" s="211"/>
      <c r="W157" s="211"/>
      <c r="X157" s="211"/>
      <c r="Y157" s="211"/>
      <c r="Z157" s="211"/>
      <c r="AA157" s="206"/>
      <c r="AB157" s="211"/>
      <c r="AC157" s="211"/>
      <c r="AD157" s="206"/>
      <c r="AE157" s="211"/>
      <c r="AF157" s="206"/>
      <c r="AG157" s="206"/>
      <c r="AH157" s="206"/>
      <c r="AI157" s="211"/>
      <c r="AJ157" s="211"/>
      <c r="AK157" s="211"/>
      <c r="AL157" s="206"/>
      <c r="AM157" s="255"/>
      <c r="AN157" s="182"/>
      <c r="AO157" s="182"/>
      <c r="AP157" s="182"/>
      <c r="AQ157" s="182"/>
      <c r="AR157" s="182"/>
      <c r="AS157" s="182"/>
      <c r="AT157" s="182"/>
      <c r="AU157" s="182"/>
      <c r="AV157" s="182"/>
      <c r="AW157" s="182"/>
      <c r="AX157" s="182"/>
      <c r="AY157" s="182"/>
      <c r="AZ157" s="182"/>
      <c r="BA157" s="182"/>
      <c r="BB157" s="182"/>
      <c r="BC157" s="182"/>
      <c r="BD157" s="182"/>
      <c r="BE157" s="182"/>
      <c r="BF157" s="182"/>
      <c r="BG157" s="182"/>
      <c r="BH157" s="182"/>
      <c r="BI157" s="182"/>
      <c r="BJ157" s="182"/>
      <c r="BK157" s="182"/>
      <c r="BL157" s="182"/>
      <c r="BM157" s="182"/>
      <c r="BN157" s="182"/>
      <c r="BO157" s="182"/>
      <c r="BP157" s="182"/>
      <c r="BQ157" s="182"/>
      <c r="BR157" s="182"/>
      <c r="BS157" s="182"/>
      <c r="BT157" s="182"/>
    </row>
    <row r="158" s="183" customFormat="1" ht="18" customHeight="1" spans="1:72">
      <c r="A158" s="205" t="s">
        <v>7519</v>
      </c>
      <c r="B158" s="210" t="s">
        <v>7511</v>
      </c>
      <c r="C158" s="205" t="s">
        <v>7512</v>
      </c>
      <c r="D158" s="206">
        <v>1000043643</v>
      </c>
      <c r="E158" s="209">
        <v>46237</v>
      </c>
      <c r="F158" s="206" t="s">
        <v>7506</v>
      </c>
      <c r="G158" s="272" t="s">
        <v>7609</v>
      </c>
      <c r="H158" s="206">
        <v>7000</v>
      </c>
      <c r="I158" s="211"/>
      <c r="J158" s="211"/>
      <c r="K158" s="211"/>
      <c r="L158" s="211"/>
      <c r="M158" s="211"/>
      <c r="N158" s="211"/>
      <c r="O158" s="211"/>
      <c r="P158" s="211"/>
      <c r="Q158" s="206">
        <v>7000</v>
      </c>
      <c r="R158" s="211"/>
      <c r="S158" s="206"/>
      <c r="T158" s="211"/>
      <c r="U158" s="211"/>
      <c r="V158" s="211"/>
      <c r="W158" s="211"/>
      <c r="X158" s="211"/>
      <c r="Y158" s="211"/>
      <c r="Z158" s="211"/>
      <c r="AA158" s="206"/>
      <c r="AB158" s="211"/>
      <c r="AC158" s="211"/>
      <c r="AD158" s="206"/>
      <c r="AE158" s="211"/>
      <c r="AF158" s="206"/>
      <c r="AG158" s="206"/>
      <c r="AH158" s="206"/>
      <c r="AI158" s="211"/>
      <c r="AJ158" s="211"/>
      <c r="AK158" s="211"/>
      <c r="AL158" s="206"/>
      <c r="AM158" s="255"/>
      <c r="AN158" s="182"/>
      <c r="AO158" s="182"/>
      <c r="AP158" s="182"/>
      <c r="AQ158" s="182"/>
      <c r="AR158" s="182"/>
      <c r="AS158" s="182"/>
      <c r="AT158" s="182"/>
      <c r="AU158" s="182"/>
      <c r="AV158" s="182"/>
      <c r="AW158" s="182"/>
      <c r="AX158" s="182"/>
      <c r="AY158" s="182"/>
      <c r="AZ158" s="182"/>
      <c r="BA158" s="182"/>
      <c r="BB158" s="182"/>
      <c r="BC158" s="182"/>
      <c r="BD158" s="182"/>
      <c r="BE158" s="182"/>
      <c r="BF158" s="182"/>
      <c r="BG158" s="182"/>
      <c r="BH158" s="182"/>
      <c r="BI158" s="182"/>
      <c r="BJ158" s="182"/>
      <c r="BK158" s="182"/>
      <c r="BL158" s="182"/>
      <c r="BM158" s="182"/>
      <c r="BN158" s="182"/>
      <c r="BO158" s="182"/>
      <c r="BP158" s="182"/>
      <c r="BQ158" s="182"/>
      <c r="BR158" s="182"/>
      <c r="BS158" s="182"/>
      <c r="BT158" s="182"/>
    </row>
    <row r="159" s="183" customFormat="1" ht="18" customHeight="1" spans="1:72">
      <c r="A159" s="205" t="s">
        <v>7519</v>
      </c>
      <c r="B159" s="210" t="s">
        <v>7511</v>
      </c>
      <c r="C159" s="205" t="s">
        <v>7512</v>
      </c>
      <c r="D159" s="206">
        <v>1000043644</v>
      </c>
      <c r="E159" s="209">
        <v>46237</v>
      </c>
      <c r="F159" s="206" t="s">
        <v>7516</v>
      </c>
      <c r="G159" s="272" t="s">
        <v>7609</v>
      </c>
      <c r="H159" s="206">
        <v>2000</v>
      </c>
      <c r="I159" s="211"/>
      <c r="J159" s="211"/>
      <c r="K159" s="211"/>
      <c r="L159" s="211"/>
      <c r="M159" s="211"/>
      <c r="N159" s="211"/>
      <c r="O159" s="211"/>
      <c r="P159" s="211"/>
      <c r="Q159" s="211"/>
      <c r="R159" s="206">
        <v>2000</v>
      </c>
      <c r="S159" s="211"/>
      <c r="T159" s="206"/>
      <c r="U159" s="206"/>
      <c r="V159" s="211"/>
      <c r="W159" s="211"/>
      <c r="X159" s="211"/>
      <c r="Y159" s="211"/>
      <c r="Z159" s="211"/>
      <c r="AA159" s="206"/>
      <c r="AB159" s="211"/>
      <c r="AC159" s="211"/>
      <c r="AD159" s="206"/>
      <c r="AE159" s="211"/>
      <c r="AF159" s="206"/>
      <c r="AG159" s="206"/>
      <c r="AH159" s="206"/>
      <c r="AI159" s="211"/>
      <c r="AJ159" s="211"/>
      <c r="AK159" s="211"/>
      <c r="AL159" s="211"/>
      <c r="AM159" s="255"/>
      <c r="AN159" s="182"/>
      <c r="AO159" s="182"/>
      <c r="AP159" s="182"/>
      <c r="AQ159" s="182"/>
      <c r="AR159" s="182"/>
      <c r="AS159" s="182"/>
      <c r="AT159" s="182"/>
      <c r="AU159" s="182"/>
      <c r="AV159" s="182"/>
      <c r="AW159" s="182"/>
      <c r="AX159" s="182"/>
      <c r="AY159" s="182"/>
      <c r="AZ159" s="182"/>
      <c r="BA159" s="182"/>
      <c r="BB159" s="182"/>
      <c r="BC159" s="182"/>
      <c r="BD159" s="182"/>
      <c r="BE159" s="182"/>
      <c r="BF159" s="182"/>
      <c r="BG159" s="182"/>
      <c r="BH159" s="182"/>
      <c r="BI159" s="182"/>
      <c r="BJ159" s="182"/>
      <c r="BK159" s="182"/>
      <c r="BL159" s="182"/>
      <c r="BM159" s="182"/>
      <c r="BN159" s="182"/>
      <c r="BO159" s="182"/>
      <c r="BP159" s="182"/>
      <c r="BQ159" s="182"/>
      <c r="BR159" s="182"/>
      <c r="BS159" s="182"/>
      <c r="BT159" s="182"/>
    </row>
    <row r="160" s="183" customFormat="1" ht="18" customHeight="1" spans="1:72">
      <c r="A160" s="205" t="s">
        <v>7519</v>
      </c>
      <c r="B160" s="210" t="s">
        <v>7514</v>
      </c>
      <c r="C160" s="205" t="s">
        <v>7512</v>
      </c>
      <c r="D160" s="206">
        <v>1000043645</v>
      </c>
      <c r="E160" s="209">
        <v>46237</v>
      </c>
      <c r="F160" s="206" t="s">
        <v>7516</v>
      </c>
      <c r="G160" s="272" t="s">
        <v>7609</v>
      </c>
      <c r="H160" s="206">
        <v>5000</v>
      </c>
      <c r="I160" s="211"/>
      <c r="J160" s="211"/>
      <c r="K160" s="211"/>
      <c r="L160" s="211"/>
      <c r="M160" s="211"/>
      <c r="N160" s="211"/>
      <c r="O160" s="211"/>
      <c r="P160" s="211"/>
      <c r="Q160" s="211"/>
      <c r="R160" s="211"/>
      <c r="S160" s="211"/>
      <c r="T160" s="206">
        <v>5000</v>
      </c>
      <c r="U160" s="206"/>
      <c r="V160" s="211"/>
      <c r="W160" s="211"/>
      <c r="X160" s="211"/>
      <c r="Y160" s="211"/>
      <c r="Z160" s="211"/>
      <c r="AA160" s="206"/>
      <c r="AB160" s="211"/>
      <c r="AC160" s="211"/>
      <c r="AD160" s="206"/>
      <c r="AE160" s="211"/>
      <c r="AF160" s="206"/>
      <c r="AG160" s="206"/>
      <c r="AH160" s="206"/>
      <c r="AI160" s="211"/>
      <c r="AJ160" s="211"/>
      <c r="AK160" s="211"/>
      <c r="AL160" s="211"/>
      <c r="AM160" s="255"/>
      <c r="AN160" s="182"/>
      <c r="AO160" s="182"/>
      <c r="AP160" s="182"/>
      <c r="AQ160" s="182"/>
      <c r="AR160" s="182"/>
      <c r="AS160" s="182"/>
      <c r="AT160" s="182"/>
      <c r="AU160" s="182"/>
      <c r="AV160" s="182"/>
      <c r="AW160" s="182"/>
      <c r="AX160" s="182"/>
      <c r="AY160" s="182"/>
      <c r="AZ160" s="182"/>
      <c r="BA160" s="182"/>
      <c r="BB160" s="182"/>
      <c r="BC160" s="182"/>
      <c r="BD160" s="182"/>
      <c r="BE160" s="182"/>
      <c r="BF160" s="182"/>
      <c r="BG160" s="182"/>
      <c r="BH160" s="182"/>
      <c r="BI160" s="182"/>
      <c r="BJ160" s="182"/>
      <c r="BK160" s="182"/>
      <c r="BL160" s="182"/>
      <c r="BM160" s="182"/>
      <c r="BN160" s="182"/>
      <c r="BO160" s="182"/>
      <c r="BP160" s="182"/>
      <c r="BQ160" s="182"/>
      <c r="BR160" s="182"/>
      <c r="BS160" s="182"/>
      <c r="BT160" s="182"/>
    </row>
    <row r="161" s="183" customFormat="1" ht="18" customHeight="1" spans="1:72">
      <c r="A161" s="205" t="s">
        <v>7519</v>
      </c>
      <c r="B161" s="210" t="s">
        <v>799</v>
      </c>
      <c r="C161" s="205" t="s">
        <v>7569</v>
      </c>
      <c r="D161" s="206">
        <v>1000043647</v>
      </c>
      <c r="E161" s="209">
        <v>46237</v>
      </c>
      <c r="F161" s="206" t="s">
        <v>7516</v>
      </c>
      <c r="G161" s="272" t="s">
        <v>7609</v>
      </c>
      <c r="H161" s="206">
        <v>200</v>
      </c>
      <c r="I161" s="211"/>
      <c r="J161" s="211"/>
      <c r="K161" s="211"/>
      <c r="L161" s="211"/>
      <c r="M161" s="211"/>
      <c r="N161" s="211"/>
      <c r="O161" s="211"/>
      <c r="P161" s="211"/>
      <c r="Q161" s="211"/>
      <c r="R161" s="211"/>
      <c r="S161" s="211"/>
      <c r="T161" s="211"/>
      <c r="U161" s="211"/>
      <c r="V161" s="211"/>
      <c r="W161" s="211"/>
      <c r="X161" s="211"/>
      <c r="Y161" s="211"/>
      <c r="Z161" s="211"/>
      <c r="AA161" s="206"/>
      <c r="AB161" s="211"/>
      <c r="AC161" s="211"/>
      <c r="AD161" s="206"/>
      <c r="AE161" s="211">
        <v>200</v>
      </c>
      <c r="AF161" s="206"/>
      <c r="AG161" s="206"/>
      <c r="AH161" s="206"/>
      <c r="AI161" s="211"/>
      <c r="AJ161" s="211"/>
      <c r="AK161" s="211"/>
      <c r="AL161" s="211"/>
      <c r="AM161" s="270"/>
      <c r="AN161" s="182"/>
      <c r="AO161" s="182"/>
      <c r="AP161" s="182"/>
      <c r="AQ161" s="182"/>
      <c r="AR161" s="182"/>
      <c r="AS161" s="182"/>
      <c r="AT161" s="182"/>
      <c r="AU161" s="182"/>
      <c r="AV161" s="182"/>
      <c r="AW161" s="182"/>
      <c r="AX161" s="182"/>
      <c r="AY161" s="182"/>
      <c r="AZ161" s="182"/>
      <c r="BA161" s="182"/>
      <c r="BB161" s="182"/>
      <c r="BC161" s="182"/>
      <c r="BD161" s="182"/>
      <c r="BE161" s="182"/>
      <c r="BF161" s="182"/>
      <c r="BG161" s="182"/>
      <c r="BH161" s="182"/>
      <c r="BI161" s="182"/>
      <c r="BJ161" s="182"/>
      <c r="BK161" s="182"/>
      <c r="BL161" s="182"/>
      <c r="BM161" s="182"/>
      <c r="BN161" s="182"/>
      <c r="BO161" s="182"/>
      <c r="BP161" s="182"/>
      <c r="BQ161" s="182"/>
      <c r="BR161" s="182"/>
      <c r="BS161" s="182"/>
      <c r="BT161" s="182"/>
    </row>
    <row r="162" s="183" customFormat="1" ht="18" customHeight="1" spans="1:72">
      <c r="A162" s="210" t="s">
        <v>7590</v>
      </c>
      <c r="B162" s="210" t="s">
        <v>7511</v>
      </c>
      <c r="C162" s="205" t="s">
        <v>7512</v>
      </c>
      <c r="D162" s="206">
        <v>1000043357</v>
      </c>
      <c r="E162" s="209">
        <v>46238</v>
      </c>
      <c r="F162" s="210" t="s">
        <v>7506</v>
      </c>
      <c r="G162" s="205" t="s">
        <v>6779</v>
      </c>
      <c r="H162" s="206">
        <v>13738</v>
      </c>
      <c r="I162" s="211"/>
      <c r="J162" s="211"/>
      <c r="K162" s="211"/>
      <c r="L162" s="211"/>
      <c r="M162" s="211"/>
      <c r="N162" s="211"/>
      <c r="O162" s="211"/>
      <c r="P162" s="211"/>
      <c r="Q162" s="206"/>
      <c r="R162" s="211"/>
      <c r="S162" s="211"/>
      <c r="T162" s="211"/>
      <c r="U162" s="211">
        <v>13738</v>
      </c>
      <c r="V162" s="211"/>
      <c r="W162" s="211"/>
      <c r="X162" s="211"/>
      <c r="Y162" s="211"/>
      <c r="Z162" s="211"/>
      <c r="AA162" s="211"/>
      <c r="AB162" s="211"/>
      <c r="AC162" s="211"/>
      <c r="AD162" s="211"/>
      <c r="AE162" s="211"/>
      <c r="AF162" s="211"/>
      <c r="AG162" s="211"/>
      <c r="AH162" s="211"/>
      <c r="AI162" s="211"/>
      <c r="AJ162" s="211"/>
      <c r="AK162" s="211"/>
      <c r="AL162" s="211"/>
      <c r="AM162" s="255" t="s">
        <v>7671</v>
      </c>
      <c r="AN162" s="182"/>
      <c r="AO162" s="182"/>
      <c r="AP162" s="182"/>
      <c r="AQ162" s="182"/>
      <c r="AR162" s="182"/>
      <c r="AS162" s="182"/>
      <c r="AT162" s="182"/>
      <c r="AU162" s="182"/>
      <c r="AV162" s="182"/>
      <c r="AW162" s="182"/>
      <c r="AX162" s="182"/>
      <c r="AY162" s="182"/>
      <c r="AZ162" s="182"/>
      <c r="BA162" s="182"/>
      <c r="BB162" s="182"/>
      <c r="BC162" s="182"/>
      <c r="BD162" s="182"/>
      <c r="BE162" s="182"/>
      <c r="BF162" s="182"/>
      <c r="BG162" s="182"/>
      <c r="BH162" s="182"/>
      <c r="BI162" s="182"/>
      <c r="BJ162" s="182"/>
      <c r="BK162" s="182"/>
      <c r="BL162" s="182"/>
      <c r="BM162" s="182"/>
      <c r="BN162" s="182"/>
      <c r="BO162" s="182"/>
      <c r="BP162" s="182"/>
      <c r="BQ162" s="182"/>
      <c r="BR162" s="182"/>
      <c r="BS162" s="182"/>
      <c r="BT162" s="182"/>
    </row>
    <row r="163" s="183" customFormat="1" ht="18" customHeight="1" spans="1:72">
      <c r="A163" s="210" t="s">
        <v>7590</v>
      </c>
      <c r="B163" s="210" t="s">
        <v>7511</v>
      </c>
      <c r="C163" s="205" t="s">
        <v>7672</v>
      </c>
      <c r="D163" s="206">
        <v>1000043358</v>
      </c>
      <c r="E163" s="209">
        <v>46238</v>
      </c>
      <c r="F163" s="210" t="s">
        <v>7506</v>
      </c>
      <c r="G163" s="205" t="s">
        <v>98</v>
      </c>
      <c r="H163" s="206">
        <v>198699</v>
      </c>
      <c r="I163" s="211"/>
      <c r="J163" s="211"/>
      <c r="K163" s="211"/>
      <c r="L163" s="211"/>
      <c r="M163" s="211"/>
      <c r="N163" s="211"/>
      <c r="O163" s="211"/>
      <c r="P163" s="211"/>
      <c r="Q163" s="211"/>
      <c r="R163" s="211"/>
      <c r="S163" s="211"/>
      <c r="T163" s="211"/>
      <c r="U163" s="211"/>
      <c r="V163" s="211"/>
      <c r="W163" s="211"/>
      <c r="X163" s="211"/>
      <c r="Y163" s="211"/>
      <c r="Z163" s="211"/>
      <c r="AA163" s="211"/>
      <c r="AB163" s="211"/>
      <c r="AC163" s="211"/>
      <c r="AD163" s="211"/>
      <c r="AE163" s="211"/>
      <c r="AF163" s="211"/>
      <c r="AG163" s="211"/>
      <c r="AH163" s="211"/>
      <c r="AI163" s="211"/>
      <c r="AJ163" s="211"/>
      <c r="AK163" s="211"/>
      <c r="AL163" s="211"/>
      <c r="AM163" s="255" t="s">
        <v>7673</v>
      </c>
      <c r="AN163" s="182"/>
      <c r="AO163" s="182"/>
      <c r="AP163" s="182"/>
      <c r="AQ163" s="182"/>
      <c r="AR163" s="182"/>
      <c r="AS163" s="182"/>
      <c r="AT163" s="182"/>
      <c r="AU163" s="182"/>
      <c r="AV163" s="182"/>
      <c r="AW163" s="182"/>
      <c r="AX163" s="182"/>
      <c r="AY163" s="182"/>
      <c r="AZ163" s="182"/>
      <c r="BA163" s="182"/>
      <c r="BB163" s="182"/>
      <c r="BC163" s="182"/>
      <c r="BD163" s="182"/>
      <c r="BE163" s="182"/>
      <c r="BF163" s="182"/>
      <c r="BG163" s="182"/>
      <c r="BH163" s="182"/>
      <c r="BI163" s="182"/>
      <c r="BJ163" s="182"/>
      <c r="BK163" s="182"/>
      <c r="BL163" s="182"/>
      <c r="BM163" s="182"/>
      <c r="BN163" s="182"/>
      <c r="BO163" s="182"/>
      <c r="BP163" s="182"/>
      <c r="BQ163" s="182"/>
      <c r="BR163" s="182"/>
      <c r="BS163" s="182"/>
      <c r="BT163" s="182"/>
    </row>
    <row r="164" s="183" customFormat="1" ht="18" customHeight="1" spans="1:72">
      <c r="A164" s="210" t="s">
        <v>7674</v>
      </c>
      <c r="B164" s="210" t="s">
        <v>7536</v>
      </c>
      <c r="C164" s="205" t="s">
        <v>3985</v>
      </c>
      <c r="D164" s="206">
        <v>1000043650</v>
      </c>
      <c r="E164" s="209">
        <v>46239</v>
      </c>
      <c r="F164" s="206" t="s">
        <v>7516</v>
      </c>
      <c r="G164" s="205" t="s">
        <v>7507</v>
      </c>
      <c r="H164" s="206">
        <v>1890</v>
      </c>
      <c r="I164" s="211"/>
      <c r="J164" s="211"/>
      <c r="K164" s="211"/>
      <c r="L164" s="211"/>
      <c r="M164" s="211"/>
      <c r="N164" s="211"/>
      <c r="O164" s="211"/>
      <c r="P164" s="211"/>
      <c r="Q164" s="211"/>
      <c r="R164" s="211"/>
      <c r="S164" s="211"/>
      <c r="T164" s="211"/>
      <c r="U164" s="211"/>
      <c r="V164" s="211"/>
      <c r="W164" s="211"/>
      <c r="X164" s="211"/>
      <c r="Y164" s="211">
        <v>1890</v>
      </c>
      <c r="Z164" s="211"/>
      <c r="AA164" s="211"/>
      <c r="AB164" s="211"/>
      <c r="AC164" s="211"/>
      <c r="AD164" s="211"/>
      <c r="AE164" s="211"/>
      <c r="AF164" s="211"/>
      <c r="AG164" s="211"/>
      <c r="AH164" s="211"/>
      <c r="AI164" s="211"/>
      <c r="AJ164" s="211"/>
      <c r="AK164" s="211"/>
      <c r="AL164" s="211"/>
      <c r="AM164" s="255" t="s">
        <v>7675</v>
      </c>
      <c r="AN164" s="182"/>
      <c r="AO164" s="182"/>
      <c r="AP164" s="182"/>
      <c r="AQ164" s="182"/>
      <c r="AR164" s="182"/>
      <c r="AS164" s="182"/>
      <c r="AT164" s="182"/>
      <c r="AU164" s="182"/>
      <c r="AV164" s="182"/>
      <c r="AW164" s="182"/>
      <c r="AX164" s="182"/>
      <c r="AY164" s="182"/>
      <c r="AZ164" s="182"/>
      <c r="BA164" s="182"/>
      <c r="BB164" s="182"/>
      <c r="BC164" s="182"/>
      <c r="BD164" s="182"/>
      <c r="BE164" s="182"/>
      <c r="BF164" s="182"/>
      <c r="BG164" s="182"/>
      <c r="BH164" s="182"/>
      <c r="BI164" s="182"/>
      <c r="BJ164" s="182"/>
      <c r="BK164" s="182"/>
      <c r="BL164" s="182"/>
      <c r="BM164" s="182"/>
      <c r="BN164" s="182"/>
      <c r="BO164" s="182"/>
      <c r="BP164" s="182"/>
      <c r="BQ164" s="182"/>
      <c r="BR164" s="182"/>
      <c r="BS164" s="182"/>
      <c r="BT164" s="182"/>
    </row>
    <row r="165" s="183" customFormat="1" ht="18" customHeight="1" spans="1:72">
      <c r="A165" s="205" t="s">
        <v>7575</v>
      </c>
      <c r="B165" s="210" t="s">
        <v>7527</v>
      </c>
      <c r="C165" s="205" t="s">
        <v>7504</v>
      </c>
      <c r="D165" s="206" t="s">
        <v>7676</v>
      </c>
      <c r="E165" s="209">
        <v>46241</v>
      </c>
      <c r="F165" s="210" t="s">
        <v>7506</v>
      </c>
      <c r="G165" s="272" t="s">
        <v>7609</v>
      </c>
      <c r="H165" s="206">
        <v>286175</v>
      </c>
      <c r="I165" s="211"/>
      <c r="J165" s="211"/>
      <c r="K165" s="211"/>
      <c r="L165" s="211"/>
      <c r="M165" s="211"/>
      <c r="N165" s="206">
        <v>286175</v>
      </c>
      <c r="O165" s="211"/>
      <c r="P165" s="211"/>
      <c r="Q165" s="211"/>
      <c r="R165" s="211"/>
      <c r="S165" s="211"/>
      <c r="T165" s="211"/>
      <c r="U165" s="211"/>
      <c r="V165" s="211"/>
      <c r="W165" s="211"/>
      <c r="X165" s="211"/>
      <c r="Y165" s="211"/>
      <c r="Z165" s="211"/>
      <c r="AA165" s="211"/>
      <c r="AB165" s="211"/>
      <c r="AC165" s="211"/>
      <c r="AD165" s="211"/>
      <c r="AE165" s="211"/>
      <c r="AF165" s="211"/>
      <c r="AG165" s="211"/>
      <c r="AH165" s="211"/>
      <c r="AI165" s="211"/>
      <c r="AJ165" s="211"/>
      <c r="AK165" s="211"/>
      <c r="AL165" s="211"/>
      <c r="AM165" s="256"/>
    </row>
    <row r="166" s="183" customFormat="1" ht="18" customHeight="1" spans="1:72">
      <c r="A166" s="205" t="s">
        <v>7575</v>
      </c>
      <c r="B166" s="210" t="s">
        <v>7527</v>
      </c>
      <c r="C166" s="205" t="s">
        <v>7512</v>
      </c>
      <c r="D166" s="206" t="s">
        <v>7677</v>
      </c>
      <c r="E166" s="209">
        <v>46241</v>
      </c>
      <c r="F166" s="210" t="s">
        <v>7506</v>
      </c>
      <c r="G166" s="272" t="s">
        <v>7609</v>
      </c>
      <c r="H166" s="206">
        <v>11447</v>
      </c>
      <c r="I166" s="211"/>
      <c r="J166" s="211"/>
      <c r="K166" s="211"/>
      <c r="L166" s="211"/>
      <c r="M166" s="211"/>
      <c r="N166" s="211"/>
      <c r="O166" s="211"/>
      <c r="P166" s="211"/>
      <c r="Q166" s="211"/>
      <c r="R166" s="211"/>
      <c r="S166" s="211"/>
      <c r="T166" s="211"/>
      <c r="U166" s="211"/>
      <c r="V166" s="211"/>
      <c r="W166" s="211"/>
      <c r="X166" s="211"/>
      <c r="Y166" s="211"/>
      <c r="Z166" s="211"/>
      <c r="AA166" s="206">
        <v>11447</v>
      </c>
      <c r="AB166" s="211"/>
      <c r="AC166" s="211"/>
      <c r="AD166" s="211"/>
      <c r="AE166" s="211"/>
      <c r="AF166" s="211"/>
      <c r="AG166" s="211"/>
      <c r="AH166" s="211"/>
      <c r="AI166" s="211"/>
      <c r="AJ166" s="211"/>
      <c r="AK166" s="211"/>
      <c r="AL166" s="211"/>
      <c r="AM166" s="256"/>
    </row>
    <row r="167" s="183" customFormat="1" ht="18" customHeight="1" spans="1:72">
      <c r="A167" s="205" t="s">
        <v>7575</v>
      </c>
      <c r="B167" s="210" t="s">
        <v>7527</v>
      </c>
      <c r="C167" s="205" t="s">
        <v>7504</v>
      </c>
      <c r="D167" s="206" t="s">
        <v>7678</v>
      </c>
      <c r="E167" s="209">
        <v>46241</v>
      </c>
      <c r="F167" s="210" t="s">
        <v>7506</v>
      </c>
      <c r="G167" s="272" t="s">
        <v>7609</v>
      </c>
      <c r="H167" s="206">
        <v>154775</v>
      </c>
      <c r="I167" s="211"/>
      <c r="J167" s="211"/>
      <c r="K167" s="211"/>
      <c r="L167" s="211"/>
      <c r="M167" s="211"/>
      <c r="N167" s="206">
        <v>154775</v>
      </c>
      <c r="O167" s="211"/>
      <c r="P167" s="211"/>
      <c r="Q167" s="211"/>
      <c r="R167" s="211"/>
      <c r="S167" s="211"/>
      <c r="T167" s="211"/>
      <c r="U167" s="211"/>
      <c r="V167" s="211"/>
      <c r="W167" s="211"/>
      <c r="X167" s="211"/>
      <c r="Y167" s="211"/>
      <c r="Z167" s="211"/>
      <c r="AA167" s="211"/>
      <c r="AB167" s="211"/>
      <c r="AC167" s="211"/>
      <c r="AD167" s="211"/>
      <c r="AE167" s="211"/>
      <c r="AF167" s="211"/>
      <c r="AG167" s="211"/>
      <c r="AH167" s="211"/>
      <c r="AI167" s="211"/>
      <c r="AJ167" s="211"/>
      <c r="AK167" s="211"/>
      <c r="AL167" s="211"/>
      <c r="AM167" s="256"/>
    </row>
    <row r="168" s="183" customFormat="1" ht="18" customHeight="1" spans="1:72">
      <c r="A168" s="205" t="s">
        <v>7575</v>
      </c>
      <c r="B168" s="210" t="s">
        <v>7527</v>
      </c>
      <c r="C168" s="205" t="s">
        <v>7512</v>
      </c>
      <c r="D168" s="206" t="s">
        <v>7679</v>
      </c>
      <c r="E168" s="209">
        <v>46241</v>
      </c>
      <c r="F168" s="210" t="s">
        <v>7506</v>
      </c>
      <c r="G168" s="272" t="s">
        <v>7609</v>
      </c>
      <c r="H168" s="206">
        <v>6191</v>
      </c>
      <c r="I168" s="211"/>
      <c r="J168" s="211"/>
      <c r="K168" s="211"/>
      <c r="L168" s="211"/>
      <c r="M168" s="211"/>
      <c r="N168" s="211"/>
      <c r="O168" s="211"/>
      <c r="P168" s="211"/>
      <c r="Q168" s="211"/>
      <c r="R168" s="211"/>
      <c r="S168" s="211"/>
      <c r="T168" s="211"/>
      <c r="U168" s="211"/>
      <c r="V168" s="211"/>
      <c r="W168" s="211"/>
      <c r="X168" s="211"/>
      <c r="Y168" s="211"/>
      <c r="Z168" s="211"/>
      <c r="AA168" s="206">
        <v>6191</v>
      </c>
      <c r="AB168" s="211"/>
      <c r="AC168" s="211"/>
      <c r="AD168" s="211"/>
      <c r="AE168" s="211"/>
      <c r="AF168" s="211"/>
      <c r="AG168" s="211"/>
      <c r="AH168" s="211"/>
      <c r="AI168" s="211"/>
      <c r="AJ168" s="211"/>
      <c r="AK168" s="211"/>
      <c r="AL168" s="211"/>
      <c r="AM168" s="256"/>
    </row>
    <row r="169" s="183" customFormat="1" ht="18" customHeight="1" spans="1:72">
      <c r="A169" s="205" t="s">
        <v>7575</v>
      </c>
      <c r="B169" s="210" t="s">
        <v>7527</v>
      </c>
      <c r="C169" s="205" t="s">
        <v>7504</v>
      </c>
      <c r="D169" s="206">
        <v>1000044044</v>
      </c>
      <c r="E169" s="209">
        <v>46247</v>
      </c>
      <c r="F169" s="210" t="s">
        <v>7506</v>
      </c>
      <c r="G169" s="272" t="s">
        <v>7609</v>
      </c>
      <c r="H169" s="206">
        <v>92625</v>
      </c>
      <c r="I169" s="211"/>
      <c r="J169" s="211"/>
      <c r="K169" s="211"/>
      <c r="L169" s="211"/>
      <c r="M169" s="211"/>
      <c r="N169" s="211">
        <v>92625</v>
      </c>
      <c r="O169" s="211"/>
      <c r="P169" s="211"/>
      <c r="Q169" s="211"/>
      <c r="R169" s="211"/>
      <c r="S169" s="211"/>
      <c r="T169" s="211"/>
      <c r="U169" s="211"/>
      <c r="V169" s="211"/>
      <c r="W169" s="211"/>
      <c r="X169" s="211"/>
      <c r="Y169" s="211"/>
      <c r="Z169" s="211"/>
      <c r="AA169" s="206"/>
      <c r="AB169" s="211"/>
      <c r="AC169" s="211"/>
      <c r="AD169" s="211"/>
      <c r="AE169" s="211"/>
      <c r="AF169" s="211"/>
      <c r="AG169" s="211"/>
      <c r="AH169" s="211"/>
      <c r="AI169" s="211"/>
      <c r="AJ169" s="211"/>
      <c r="AK169" s="211"/>
      <c r="AL169" s="211"/>
      <c r="AM169" s="256" t="s">
        <v>7680</v>
      </c>
    </row>
    <row r="170" s="183" customFormat="1" ht="18" customHeight="1" spans="1:72">
      <c r="A170" s="205" t="s">
        <v>7575</v>
      </c>
      <c r="B170" s="210" t="s">
        <v>7527</v>
      </c>
      <c r="C170" s="205" t="s">
        <v>7512</v>
      </c>
      <c r="D170" s="206">
        <v>1000044045</v>
      </c>
      <c r="E170" s="209">
        <v>46247</v>
      </c>
      <c r="F170" s="210" t="s">
        <v>7506</v>
      </c>
      <c r="G170" s="272" t="s">
        <v>7609</v>
      </c>
      <c r="H170" s="206">
        <v>3705</v>
      </c>
      <c r="I170" s="211"/>
      <c r="J170" s="211"/>
      <c r="K170" s="211"/>
      <c r="L170" s="211"/>
      <c r="M170" s="211"/>
      <c r="N170" s="211"/>
      <c r="O170" s="211"/>
      <c r="P170" s="211"/>
      <c r="Q170" s="211"/>
      <c r="R170" s="211"/>
      <c r="S170" s="211"/>
      <c r="T170" s="211"/>
      <c r="U170" s="211"/>
      <c r="V170" s="211"/>
      <c r="W170" s="211"/>
      <c r="X170" s="211"/>
      <c r="Y170" s="211"/>
      <c r="Z170" s="211"/>
      <c r="AA170" s="206">
        <v>3705</v>
      </c>
      <c r="AB170" s="211"/>
      <c r="AC170" s="211"/>
      <c r="AD170" s="211"/>
      <c r="AE170" s="211"/>
      <c r="AF170" s="211"/>
      <c r="AG170" s="211"/>
      <c r="AH170" s="211"/>
      <c r="AI170" s="211"/>
      <c r="AJ170" s="211"/>
      <c r="AK170" s="211"/>
      <c r="AL170" s="211"/>
      <c r="AM170" s="256" t="s">
        <v>7680</v>
      </c>
    </row>
    <row r="171" s="182" customFormat="1" ht="18" customHeight="1" spans="1:72">
      <c r="A171" s="194"/>
      <c r="B171" s="194"/>
      <c r="C171" s="193"/>
      <c r="D171" s="194"/>
      <c r="E171" s="196"/>
      <c r="F171" s="194"/>
      <c r="G171" s="193"/>
      <c r="H171" s="194"/>
      <c r="I171" s="197"/>
      <c r="J171" s="197"/>
      <c r="K171" s="197"/>
      <c r="L171" s="197"/>
      <c r="M171" s="197"/>
      <c r="N171" s="197"/>
      <c r="O171" s="197"/>
      <c r="P171" s="197"/>
      <c r="Q171" s="197"/>
      <c r="R171" s="197"/>
      <c r="S171" s="197"/>
      <c r="T171" s="197"/>
      <c r="U171" s="197"/>
      <c r="V171" s="197"/>
      <c r="W171" s="197"/>
      <c r="X171" s="197"/>
      <c r="Y171" s="197"/>
      <c r="Z171" s="197"/>
      <c r="AA171" s="197"/>
      <c r="AB171" s="197"/>
      <c r="AC171" s="197"/>
      <c r="AD171" s="197"/>
      <c r="AE171" s="197"/>
      <c r="AF171" s="197"/>
      <c r="AG171" s="197"/>
      <c r="AH171" s="197"/>
      <c r="AI171" s="197"/>
      <c r="AJ171" s="197"/>
      <c r="AK171" s="197"/>
      <c r="AL171" s="197"/>
      <c r="AM171" s="217"/>
    </row>
    <row r="172" s="182" customFormat="1" ht="18" customHeight="1" spans="1:72">
      <c r="A172" s="194"/>
      <c r="B172" s="194"/>
      <c r="C172" s="193"/>
      <c r="D172" s="194"/>
      <c r="E172" s="196"/>
      <c r="F172" s="194"/>
      <c r="G172" s="193"/>
      <c r="H172" s="194"/>
      <c r="I172" s="197"/>
      <c r="J172" s="197"/>
      <c r="K172" s="197"/>
      <c r="L172" s="197"/>
      <c r="M172" s="197"/>
      <c r="N172" s="197"/>
      <c r="O172" s="197"/>
      <c r="P172" s="197"/>
      <c r="Q172" s="197"/>
      <c r="R172" s="197"/>
      <c r="S172" s="197"/>
      <c r="T172" s="197"/>
      <c r="U172" s="197"/>
      <c r="V172" s="197"/>
      <c r="W172" s="197"/>
      <c r="X172" s="197"/>
      <c r="Y172" s="197"/>
      <c r="Z172" s="197"/>
      <c r="AA172" s="197"/>
      <c r="AB172" s="197"/>
      <c r="AC172" s="197"/>
      <c r="AD172" s="197"/>
      <c r="AE172" s="197"/>
      <c r="AF172" s="197"/>
      <c r="AG172" s="197"/>
      <c r="AH172" s="197"/>
      <c r="AI172" s="197"/>
      <c r="AJ172" s="197"/>
      <c r="AK172" s="197"/>
      <c r="AL172" s="197"/>
      <c r="AM172" s="217"/>
    </row>
    <row r="173" s="182" customFormat="1" ht="18" customHeight="1" spans="1:72">
      <c r="A173" s="194"/>
      <c r="B173" s="194"/>
      <c r="C173" s="193"/>
      <c r="D173" s="194"/>
      <c r="E173" s="196"/>
      <c r="F173" s="194"/>
      <c r="G173" s="193"/>
      <c r="H173" s="194"/>
      <c r="I173" s="197"/>
      <c r="J173" s="197"/>
      <c r="K173" s="197"/>
      <c r="L173" s="197"/>
      <c r="M173" s="197"/>
      <c r="N173" s="197"/>
      <c r="O173" s="197"/>
      <c r="P173" s="197"/>
      <c r="Q173" s="197"/>
      <c r="R173" s="197"/>
      <c r="S173" s="197"/>
      <c r="T173" s="197"/>
      <c r="U173" s="197"/>
      <c r="V173" s="197"/>
      <c r="W173" s="197"/>
      <c r="X173" s="197"/>
      <c r="Y173" s="197"/>
      <c r="Z173" s="197"/>
      <c r="AA173" s="197"/>
      <c r="AB173" s="197"/>
      <c r="AC173" s="197"/>
      <c r="AD173" s="197"/>
      <c r="AE173" s="197"/>
      <c r="AF173" s="197"/>
      <c r="AG173" s="197"/>
      <c r="AH173" s="197"/>
      <c r="AI173" s="197"/>
      <c r="AJ173" s="197"/>
      <c r="AK173" s="197"/>
      <c r="AL173" s="197"/>
      <c r="AM173" s="217"/>
    </row>
    <row r="174" s="182" customFormat="1" ht="18" customHeight="1" spans="1:72">
      <c r="A174" s="194"/>
      <c r="B174" s="194"/>
      <c r="C174" s="193"/>
      <c r="D174" s="194"/>
      <c r="E174" s="196"/>
      <c r="F174" s="194"/>
      <c r="G174" s="193"/>
      <c r="H174" s="194"/>
      <c r="I174" s="197"/>
      <c r="J174" s="197"/>
      <c r="K174" s="197"/>
      <c r="L174" s="197">
        <v>113968</v>
      </c>
      <c r="M174" s="197"/>
      <c r="N174" s="197"/>
      <c r="O174" s="197"/>
      <c r="P174" s="197">
        <v>1600000</v>
      </c>
      <c r="Q174" s="197"/>
      <c r="R174" s="197"/>
      <c r="S174" s="197"/>
      <c r="T174" s="197"/>
      <c r="U174" s="197"/>
      <c r="V174" s="197"/>
      <c r="W174" s="197"/>
      <c r="X174" s="197"/>
      <c r="Y174" s="197"/>
      <c r="Z174" s="197"/>
      <c r="AA174" s="197"/>
      <c r="AB174" s="197"/>
      <c r="AC174" s="197"/>
      <c r="AD174" s="197"/>
      <c r="AE174" s="197"/>
      <c r="AF174" s="197"/>
      <c r="AG174" s="197"/>
      <c r="AH174" s="197"/>
      <c r="AI174" s="197"/>
      <c r="AJ174" s="197"/>
      <c r="AK174" s="197"/>
      <c r="AL174" s="197"/>
      <c r="AM174" s="217" t="s">
        <v>7681</v>
      </c>
    </row>
    <row r="175" spans="1:72">
      <c r="A175" s="213"/>
      <c r="B175" s="213"/>
      <c r="C175" s="214"/>
      <c r="D175" s="194"/>
      <c r="E175" s="215"/>
      <c r="F175" s="214"/>
      <c r="G175" s="214"/>
      <c r="H175" s="213"/>
      <c r="I175" s="216"/>
      <c r="J175" s="216"/>
      <c r="K175" s="216"/>
      <c r="L175" s="216"/>
      <c r="M175" s="216"/>
      <c r="N175" s="216"/>
      <c r="O175" s="216"/>
      <c r="P175" s="216"/>
      <c r="Q175" s="216"/>
      <c r="R175" s="216"/>
      <c r="S175" s="216"/>
      <c r="T175" s="216"/>
      <c r="U175" s="216"/>
      <c r="V175" s="216"/>
      <c r="W175" s="216"/>
      <c r="X175" s="216"/>
      <c r="Y175" s="216"/>
      <c r="Z175" s="216"/>
      <c r="AA175" s="273"/>
      <c r="AB175" s="273"/>
      <c r="AC175" s="273"/>
      <c r="AD175" s="273"/>
      <c r="AE175" s="273"/>
      <c r="AF175" s="273"/>
      <c r="AG175" s="273"/>
      <c r="AH175" s="273"/>
      <c r="AI175" s="273"/>
      <c r="AJ175" s="273"/>
      <c r="AK175" s="273"/>
      <c r="AL175" s="216"/>
      <c r="AM175" s="217"/>
    </row>
    <row r="176" spans="1:72">
      <c r="A176" s="216"/>
      <c r="B176" s="274"/>
      <c r="C176" s="273"/>
      <c r="D176" s="216"/>
      <c r="E176" s="275"/>
      <c r="F176" s="274"/>
      <c r="G176" s="273"/>
      <c r="H176" s="274"/>
      <c r="I176" s="216"/>
      <c r="J176" s="216"/>
      <c r="K176" s="216"/>
      <c r="L176" s="216"/>
      <c r="M176" s="216"/>
      <c r="N176" s="216"/>
      <c r="O176" s="216"/>
      <c r="P176" s="216"/>
      <c r="Q176" s="216"/>
      <c r="R176" s="216"/>
      <c r="S176" s="216"/>
      <c r="T176" s="216"/>
      <c r="U176" s="216"/>
      <c r="V176" s="216"/>
      <c r="W176" s="216"/>
      <c r="X176" s="216"/>
      <c r="Y176" s="216"/>
      <c r="Z176" s="216"/>
      <c r="AA176" s="273"/>
      <c r="AB176" s="273"/>
      <c r="AC176" s="273"/>
      <c r="AD176" s="273"/>
      <c r="AE176" s="273"/>
      <c r="AF176" s="273"/>
      <c r="AG176" s="273"/>
      <c r="AH176" s="273"/>
      <c r="AI176" s="273"/>
      <c r="AJ176" s="273"/>
      <c r="AK176" s="273"/>
      <c r="AL176" s="216"/>
      <c r="AM176" s="217"/>
    </row>
    <row r="177" spans="1:39">
      <c r="A177" s="276" t="s">
        <v>7682</v>
      </c>
      <c r="B177" s="276"/>
      <c r="C177" s="276"/>
      <c r="D177" s="276"/>
      <c r="E177" s="276"/>
      <c r="F177" s="277"/>
      <c r="G177" s="276"/>
      <c r="H177" s="276"/>
      <c r="I177" s="225">
        <f t="shared" ref="I177:R177" si="0">SUM(I3:I176)</f>
        <v>5020000</v>
      </c>
      <c r="J177" s="225">
        <f t="shared" si="0"/>
        <v>1520000</v>
      </c>
      <c r="K177" s="225">
        <f t="shared" si="0"/>
        <v>40008</v>
      </c>
      <c r="L177" s="225">
        <f t="shared" si="0"/>
        <v>175368</v>
      </c>
      <c r="M177" s="225">
        <f t="shared" si="0"/>
        <v>88256</v>
      </c>
      <c r="N177" s="225">
        <f t="shared" si="0"/>
        <v>2174614</v>
      </c>
      <c r="O177" s="225">
        <f t="shared" si="0"/>
        <v>8800000</v>
      </c>
      <c r="P177" s="225">
        <f t="shared" si="0"/>
        <v>2000000</v>
      </c>
      <c r="Q177" s="225">
        <f t="shared" si="0"/>
        <v>66600</v>
      </c>
      <c r="R177" s="225">
        <f t="shared" si="0"/>
        <v>21200</v>
      </c>
      <c r="S177" s="225">
        <f t="shared" ref="S177:Y177" si="1">SUM(S3:S176)</f>
        <v>17720</v>
      </c>
      <c r="T177" s="225">
        <f t="shared" si="1"/>
        <v>35700</v>
      </c>
      <c r="U177" s="225">
        <f t="shared" si="1"/>
        <v>19971</v>
      </c>
      <c r="V177" s="225">
        <f t="shared" si="1"/>
        <v>5196</v>
      </c>
      <c r="W177" s="225">
        <f t="shared" si="1"/>
        <v>105590</v>
      </c>
      <c r="X177" s="225">
        <f t="shared" si="1"/>
        <v>22811</v>
      </c>
      <c r="Y177" s="225">
        <f t="shared" si="1"/>
        <v>1890</v>
      </c>
      <c r="Z177" s="225">
        <f t="shared" ref="Z177:AL177" si="2">SUM(Z3:Z176)</f>
        <v>667</v>
      </c>
      <c r="AA177" s="225">
        <f t="shared" si="2"/>
        <v>86208</v>
      </c>
      <c r="AB177" s="225">
        <f t="shared" si="2"/>
        <v>0</v>
      </c>
      <c r="AC177" s="225">
        <f t="shared" si="2"/>
        <v>0</v>
      </c>
      <c r="AD177" s="225">
        <f t="shared" si="2"/>
        <v>300</v>
      </c>
      <c r="AE177" s="225">
        <f t="shared" si="2"/>
        <v>200</v>
      </c>
      <c r="AF177" s="225">
        <f t="shared" si="2"/>
        <v>3100</v>
      </c>
      <c r="AG177" s="225">
        <f t="shared" si="2"/>
        <v>900</v>
      </c>
      <c r="AH177" s="225">
        <f t="shared" si="2"/>
        <v>0</v>
      </c>
      <c r="AI177" s="225">
        <f t="shared" si="2"/>
        <v>595</v>
      </c>
      <c r="AJ177" s="225">
        <f t="shared" si="2"/>
        <v>140580</v>
      </c>
      <c r="AK177" s="225">
        <f t="shared" si="2"/>
        <v>140580</v>
      </c>
      <c r="AL177" s="225">
        <f t="shared" si="2"/>
        <v>140580</v>
      </c>
      <c r="AM177" s="226"/>
    </row>
    <row r="178" spans="1:39">
      <c r="A178" s="278"/>
      <c r="B178" s="278"/>
      <c r="C178" s="278"/>
      <c r="D178" s="278"/>
      <c r="E178" s="279"/>
      <c r="F178" s="280"/>
      <c r="G178" s="278"/>
      <c r="H178" s="278"/>
      <c r="I178" s="230"/>
      <c r="J178" s="230"/>
      <c r="K178" s="230"/>
      <c r="L178" s="230"/>
      <c r="M178" s="230"/>
      <c r="N178" s="230"/>
      <c r="O178" s="230"/>
      <c r="P178" s="230"/>
      <c r="Q178" s="230"/>
      <c r="R178" s="230"/>
      <c r="S178" s="230"/>
      <c r="T178" s="230"/>
      <c r="U178" s="230"/>
      <c r="V178" s="230"/>
      <c r="W178" s="230"/>
      <c r="X178" s="230"/>
      <c r="Y178" s="230"/>
      <c r="Z178" s="230"/>
      <c r="AA178" s="230"/>
      <c r="AB178" s="230"/>
      <c r="AC178" s="230"/>
      <c r="AD178" s="230"/>
      <c r="AE178" s="230"/>
      <c r="AF178" s="230"/>
      <c r="AG178" s="230"/>
      <c r="AH178" s="230"/>
      <c r="AI178" s="230"/>
      <c r="AJ178" s="230"/>
      <c r="AK178" s="230"/>
      <c r="AL178" s="230"/>
      <c r="AM178" s="231"/>
    </row>
    <row r="179" spans="1:39">
      <c r="A179" s="276" t="s">
        <v>7683</v>
      </c>
      <c r="B179" s="276"/>
      <c r="C179" s="276"/>
      <c r="D179" s="276"/>
      <c r="E179" s="276"/>
      <c r="F179" s="277"/>
      <c r="G179" s="276"/>
      <c r="H179" s="276"/>
      <c r="I179" s="225">
        <f>'77772'!AN1022</f>
        <v>4375858</v>
      </c>
      <c r="J179" s="225">
        <f>'77772'!AP1022</f>
        <v>1138327</v>
      </c>
      <c r="K179" s="225"/>
      <c r="L179" s="225">
        <f>'77772'!AQ1022</f>
        <v>431088</v>
      </c>
      <c r="M179" s="225">
        <f>'77772'!AS1022</f>
        <v>18544</v>
      </c>
      <c r="N179" s="225">
        <f>'77772'!AT1022</f>
        <v>2333533</v>
      </c>
      <c r="O179" s="225">
        <f>'77772'!AU1022</f>
        <v>7053579</v>
      </c>
      <c r="P179" s="225">
        <f>'77772'!AV1022</f>
        <v>502046.72</v>
      </c>
      <c r="Q179" s="225">
        <f>'77772'!BK1022</f>
        <v>70680</v>
      </c>
      <c r="R179" s="225">
        <f>'77772'!BL1022</f>
        <v>20821</v>
      </c>
      <c r="S179" s="225">
        <f>'77772'!BN1022</f>
        <v>15867.4166666667</v>
      </c>
      <c r="T179" s="225">
        <f>'77772'!BO1022</f>
        <v>36518</v>
      </c>
      <c r="U179" s="225"/>
      <c r="V179" s="225">
        <f>'77772'!BQ1022</f>
        <v>5718</v>
      </c>
      <c r="W179" s="225">
        <f>'77772'!BR1022</f>
        <v>124768</v>
      </c>
      <c r="X179" s="225">
        <f>'77772'!BS1022</f>
        <v>14188</v>
      </c>
      <c r="Y179" s="225">
        <f>'77772'!BS1022</f>
        <v>14188</v>
      </c>
      <c r="Z179" s="225">
        <f>'77772'!BT1022</f>
        <v>18679</v>
      </c>
      <c r="AA179" s="225">
        <f>'77772'!BU1022</f>
        <v>88022</v>
      </c>
      <c r="AB179" s="225"/>
      <c r="AC179" s="225"/>
      <c r="AD179" s="225">
        <f>'77772'!CB1022</f>
        <v>13</v>
      </c>
      <c r="AE179" s="225"/>
      <c r="AF179" s="225">
        <f>'77772'!CC1022</f>
        <v>3123</v>
      </c>
      <c r="AG179" s="225">
        <f>'77772'!BX1022</f>
        <v>822</v>
      </c>
      <c r="AH179" s="225">
        <f>'77772'!BY1022</f>
        <v>0</v>
      </c>
      <c r="AI179" s="225">
        <f>'77772'!BW1022</f>
        <v>794</v>
      </c>
      <c r="AJ179" s="225">
        <f>'77772'!CJ1022</f>
        <v>360336</v>
      </c>
      <c r="AK179" s="225">
        <f>'77772'!CK1022</f>
        <v>360336</v>
      </c>
      <c r="AL179" s="225">
        <f>'77772'!CL1022</f>
        <v>360336</v>
      </c>
      <c r="AM179" s="226"/>
    </row>
    <row r="180" spans="1:39">
      <c r="A180" s="281"/>
      <c r="B180" s="281"/>
      <c r="C180" s="282"/>
      <c r="D180" s="281"/>
      <c r="E180" s="281"/>
      <c r="F180" s="282"/>
      <c r="G180" s="282"/>
      <c r="H180" s="281"/>
      <c r="I180" s="230"/>
      <c r="J180" s="230"/>
      <c r="K180" s="230"/>
      <c r="L180" s="230"/>
      <c r="M180" s="230"/>
      <c r="N180" s="230"/>
      <c r="O180" s="230"/>
      <c r="P180" s="230"/>
      <c r="Q180" s="230"/>
      <c r="R180" s="230"/>
      <c r="S180" s="230"/>
      <c r="T180" s="230"/>
      <c r="U180" s="230"/>
      <c r="V180" s="230"/>
      <c r="W180" s="230"/>
      <c r="X180" s="230"/>
      <c r="Y180" s="230"/>
      <c r="Z180" s="230"/>
      <c r="AA180" s="230"/>
      <c r="AB180" s="230"/>
      <c r="AC180" s="230"/>
      <c r="AD180" s="230"/>
      <c r="AE180" s="230"/>
      <c r="AF180" s="230"/>
      <c r="AG180" s="230"/>
      <c r="AH180" s="230"/>
      <c r="AI180" s="230"/>
      <c r="AJ180" s="230"/>
      <c r="AK180" s="230"/>
      <c r="AL180" s="230"/>
      <c r="AM180" s="231"/>
    </row>
    <row r="181" spans="1:39">
      <c r="A181" s="276" t="s">
        <v>20</v>
      </c>
      <c r="B181" s="276"/>
      <c r="C181" s="276"/>
      <c r="D181" s="276"/>
      <c r="E181" s="276"/>
      <c r="F181" s="277"/>
      <c r="G181" s="278"/>
      <c r="H181" s="278"/>
      <c r="I181" s="234">
        <f t="shared" ref="I181:T181" si="3">I177-I179</f>
        <v>644142</v>
      </c>
      <c r="J181" s="234">
        <f t="shared" si="3"/>
        <v>381673</v>
      </c>
      <c r="K181" s="234"/>
      <c r="L181" s="234">
        <f t="shared" si="3"/>
        <v>-255720</v>
      </c>
      <c r="M181" s="234">
        <f t="shared" si="3"/>
        <v>69712</v>
      </c>
      <c r="N181" s="234">
        <f t="shared" si="3"/>
        <v>-158919</v>
      </c>
      <c r="O181" s="234">
        <f t="shared" si="3"/>
        <v>1746421</v>
      </c>
      <c r="P181" s="234">
        <f t="shared" si="3"/>
        <v>1497953.28</v>
      </c>
      <c r="Q181" s="234">
        <f t="shared" si="3"/>
        <v>-4080</v>
      </c>
      <c r="R181" s="234">
        <f t="shared" si="3"/>
        <v>379</v>
      </c>
      <c r="S181" s="234">
        <f t="shared" si="3"/>
        <v>1852.58333333333</v>
      </c>
      <c r="T181" s="234">
        <f t="shared" si="3"/>
        <v>-818</v>
      </c>
      <c r="U181" s="234"/>
      <c r="V181" s="234">
        <f>V177-V179</f>
        <v>-522</v>
      </c>
      <c r="W181" s="234">
        <f>W177-W179</f>
        <v>-19178</v>
      </c>
      <c r="X181" s="234">
        <f>X177-X179</f>
        <v>8623</v>
      </c>
      <c r="Y181" s="234">
        <f>Y177-Y179</f>
        <v>-12298</v>
      </c>
      <c r="Z181" s="234">
        <f t="shared" ref="Z181:AL181" si="4">Z177-Z179</f>
        <v>-18012</v>
      </c>
      <c r="AA181" s="234">
        <f t="shared" si="4"/>
        <v>-1814</v>
      </c>
      <c r="AB181" s="234">
        <f t="shared" si="4"/>
        <v>0</v>
      </c>
      <c r="AC181" s="234">
        <f t="shared" si="4"/>
        <v>0</v>
      </c>
      <c r="AD181" s="234">
        <f t="shared" si="4"/>
        <v>287</v>
      </c>
      <c r="AE181" s="234">
        <f t="shared" si="4"/>
        <v>200</v>
      </c>
      <c r="AF181" s="234">
        <f t="shared" si="4"/>
        <v>-23</v>
      </c>
      <c r="AG181" s="234">
        <f t="shared" si="4"/>
        <v>78</v>
      </c>
      <c r="AH181" s="234">
        <f t="shared" si="4"/>
        <v>0</v>
      </c>
      <c r="AI181" s="234">
        <f t="shared" si="4"/>
        <v>-199</v>
      </c>
      <c r="AJ181" s="234">
        <f t="shared" si="4"/>
        <v>-219756</v>
      </c>
      <c r="AK181" s="234">
        <f t="shared" si="4"/>
        <v>-219756</v>
      </c>
      <c r="AL181" s="234">
        <f t="shared" si="4"/>
        <v>-219756</v>
      </c>
      <c r="AM181" s="197"/>
    </row>
    <row r="190" ht="12" customHeight="1"/>
  </sheetData>
  <sheetProtection formatCells="0" formatColumns="0" formatRows="0" insertRows="0" insertColumns="0" insertHyperlinks="0" deleteColumns="0" deleteRows="0" sort="0" autoFilter="0" pivotTables="0"/>
  <autoFilter xmlns:etc="http://www.wps.cn/officeDocument/2017/etCustomData" ref="A2:AM174" etc:filterBottomFollowUsedRange="0">
    <extLst/>
  </autoFilter>
  <mergeCells count="3">
    <mergeCell ref="A177:F177"/>
    <mergeCell ref="A179:F179"/>
    <mergeCell ref="A181:F181"/>
  </mergeCells>
  <conditionalFormatting sqref="L181:N181">
    <cfRule type="cellIs" dxfId="0" priority="2" operator="lessThan">
      <formula>0</formula>
    </cfRule>
  </conditionalFormatting>
  <conditionalFormatting sqref="R181">
    <cfRule type="cellIs" dxfId="0" priority="8" operator="lessThan">
      <formula>0</formula>
    </cfRule>
  </conditionalFormatting>
  <conditionalFormatting sqref="S181">
    <cfRule type="cellIs" dxfId="0" priority="7" operator="lessThan">
      <formula>0</formula>
    </cfRule>
  </conditionalFormatting>
  <conditionalFormatting sqref="T181:Z181">
    <cfRule type="cellIs" dxfId="0" priority="6" operator="lessThan">
      <formula>0</formula>
    </cfRule>
  </conditionalFormatting>
  <conditionalFormatting sqref="AB181:AC181">
    <cfRule type="cellIs" dxfId="0" priority="4" operator="lessThan">
      <formula>0</formula>
    </cfRule>
  </conditionalFormatting>
  <conditionalFormatting sqref="AI181">
    <cfRule type="cellIs" dxfId="0" priority="1" operator="lessThan">
      <formula>0</formula>
    </cfRule>
  </conditionalFormatting>
  <conditionalFormatting sqref="G181:K181 O181:Q181 AA181 AD181:AH181 AJ181:AM181">
    <cfRule type="cellIs" dxfId="0" priority="11" operator="lessThan">
      <formula>0</formula>
    </cfRule>
  </conditionalFormatting>
  <pageMargins left="0.699305555555556" right="0.699305555555556" top="0.75" bottom="0.75" header="0.3" footer="0.3"/>
  <pageSetup paperSize="9"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E97"/>
  <sheetViews>
    <sheetView workbookViewId="0">
      <pane xSplit="8" ySplit="2" topLeftCell="Y80" activePane="bottomRight" state="frozen"/>
      <selection/>
      <selection pane="topRight"/>
      <selection pane="bottomLeft"/>
      <selection pane="bottomRight" activeCell="A80" sqref="A80:A85"/>
    </sheetView>
  </sheetViews>
  <sheetFormatPr defaultColWidth="9" defaultRowHeight="13.5"/>
  <cols>
    <col min="1" max="1" width="10.3333333333333" style="184"/>
    <col min="2" max="2" width="17.025" style="184" customWidth="1"/>
    <col min="3" max="3" width="12.5833333333333" style="184" customWidth="1"/>
    <col min="4" max="4" width="9.38333333333333" style="184" customWidth="1"/>
    <col min="5" max="5" width="11.725" style="184" customWidth="1"/>
    <col min="6" max="8" width="9" style="184"/>
    <col min="9" max="29" width="9.225" style="184" customWidth="1"/>
    <col min="30" max="30" width="37.8" style="184" customWidth="1"/>
    <col min="31" max="16384" width="9" style="184"/>
  </cols>
  <sheetData>
    <row r="1" ht="36" customHeight="1" spans="1:30">
      <c r="A1" s="185"/>
      <c r="B1" s="185"/>
      <c r="C1" s="185"/>
      <c r="D1" s="185"/>
      <c r="E1" s="186" t="s">
        <v>7684</v>
      </c>
      <c r="F1" s="185"/>
      <c r="G1" s="187"/>
      <c r="H1" s="185"/>
      <c r="I1" s="187"/>
      <c r="J1" s="187"/>
      <c r="K1" s="187"/>
      <c r="L1" s="187"/>
      <c r="M1" s="187"/>
      <c r="N1" s="187"/>
      <c r="O1" s="187"/>
      <c r="P1" s="187"/>
      <c r="Q1" s="187"/>
      <c r="R1" s="187"/>
      <c r="S1" s="187"/>
      <c r="T1" s="187"/>
      <c r="U1" s="187"/>
      <c r="V1" s="187"/>
      <c r="W1" s="187"/>
      <c r="X1" s="187"/>
      <c r="Y1" s="187"/>
      <c r="Z1" s="187"/>
      <c r="AA1" s="187"/>
      <c r="AB1" s="187"/>
      <c r="AC1" s="187"/>
      <c r="AD1" s="187"/>
    </row>
    <row r="2" s="181" customFormat="1" ht="22" customHeight="1" spans="1:30">
      <c r="A2" s="188" t="s">
        <v>7473</v>
      </c>
      <c r="B2" s="188" t="s">
        <v>7474</v>
      </c>
      <c r="C2" s="188" t="s">
        <v>7475</v>
      </c>
      <c r="D2" s="188" t="s">
        <v>7476</v>
      </c>
      <c r="E2" s="188" t="s">
        <v>7477</v>
      </c>
      <c r="F2" s="188" t="s">
        <v>7478</v>
      </c>
      <c r="G2" s="189" t="s">
        <v>7479</v>
      </c>
      <c r="H2" s="188" t="s">
        <v>7480</v>
      </c>
      <c r="I2" s="189" t="s">
        <v>7685</v>
      </c>
      <c r="J2" s="189" t="s">
        <v>7686</v>
      </c>
      <c r="K2" s="189" t="s">
        <v>7687</v>
      </c>
      <c r="L2" s="189" t="s">
        <v>7688</v>
      </c>
      <c r="M2" s="189" t="s">
        <v>7689</v>
      </c>
      <c r="N2" s="190" t="s">
        <v>7690</v>
      </c>
      <c r="O2" s="189" t="s">
        <v>7691</v>
      </c>
      <c r="P2" s="189" t="s">
        <v>3949</v>
      </c>
      <c r="Q2" s="189" t="s">
        <v>7692</v>
      </c>
      <c r="R2" s="191" t="s">
        <v>3966</v>
      </c>
      <c r="S2" s="189" t="s">
        <v>53</v>
      </c>
      <c r="T2" s="189" t="s">
        <v>54</v>
      </c>
      <c r="U2" s="189" t="s">
        <v>55</v>
      </c>
      <c r="V2" s="189" t="s">
        <v>56</v>
      </c>
      <c r="W2" s="189" t="s">
        <v>57</v>
      </c>
      <c r="X2" s="189" t="str">
        <f>'77772'!BI1</f>
        <v>TARGET客版收缩膜</v>
      </c>
      <c r="Y2" s="189" t="str">
        <f>'77772'!BJ1</f>
        <v>TARGET客版收藏指南</v>
      </c>
      <c r="Z2" s="189" t="s">
        <v>3963</v>
      </c>
      <c r="AA2" s="189" t="s">
        <v>3964</v>
      </c>
      <c r="AB2" s="189" t="s">
        <v>76</v>
      </c>
      <c r="AC2" s="189" t="s">
        <v>77</v>
      </c>
      <c r="AD2" s="192" t="s">
        <v>28</v>
      </c>
    </row>
    <row r="3" s="182" customFormat="1" ht="16" customHeight="1" spans="1:30">
      <c r="A3" s="193" t="s">
        <v>7503</v>
      </c>
      <c r="B3" s="194">
        <v>77794</v>
      </c>
      <c r="C3" s="193" t="s">
        <v>7693</v>
      </c>
      <c r="D3" s="195" t="s">
        <v>7694</v>
      </c>
      <c r="E3" s="196">
        <v>46022</v>
      </c>
      <c r="F3" s="194" t="s">
        <v>7506</v>
      </c>
      <c r="G3" s="197" t="s">
        <v>7507</v>
      </c>
      <c r="H3" s="194">
        <v>120000</v>
      </c>
      <c r="I3" s="197">
        <v>120000</v>
      </c>
      <c r="J3" s="197"/>
      <c r="K3" s="197"/>
      <c r="L3" s="197"/>
      <c r="M3" s="197"/>
      <c r="N3" s="197"/>
      <c r="O3" s="197"/>
      <c r="P3" s="197"/>
      <c r="Q3" s="197"/>
      <c r="R3" s="197"/>
      <c r="S3" s="197"/>
      <c r="T3" s="197"/>
      <c r="U3" s="197"/>
      <c r="V3" s="197"/>
      <c r="W3" s="197"/>
      <c r="X3" s="197"/>
      <c r="Y3" s="197"/>
      <c r="Z3" s="197"/>
      <c r="AA3" s="197"/>
      <c r="AB3" s="197"/>
      <c r="AC3" s="197"/>
      <c r="AD3" s="198"/>
    </row>
    <row r="4" s="182" customFormat="1" ht="15" customHeight="1" spans="1:30">
      <c r="A4" s="193" t="s">
        <v>7503</v>
      </c>
      <c r="B4" s="194">
        <v>77794</v>
      </c>
      <c r="C4" s="193" t="s">
        <v>7693</v>
      </c>
      <c r="D4" s="195" t="s">
        <v>7695</v>
      </c>
      <c r="E4" s="196">
        <v>46022</v>
      </c>
      <c r="F4" s="194" t="s">
        <v>7516</v>
      </c>
      <c r="G4" s="197" t="s">
        <v>7507</v>
      </c>
      <c r="H4" s="194">
        <v>20000</v>
      </c>
      <c r="I4" s="197"/>
      <c r="J4" s="197">
        <v>20000</v>
      </c>
      <c r="K4" s="197"/>
      <c r="L4" s="197"/>
      <c r="M4" s="197"/>
      <c r="N4" s="197"/>
      <c r="O4" s="197"/>
      <c r="P4" s="197"/>
      <c r="Q4" s="197"/>
      <c r="R4" s="197"/>
      <c r="S4" s="197"/>
      <c r="T4" s="197"/>
      <c r="U4" s="197"/>
      <c r="V4" s="197"/>
      <c r="W4" s="197"/>
      <c r="X4" s="197"/>
      <c r="Y4" s="197"/>
      <c r="Z4" s="197"/>
      <c r="AA4" s="197"/>
      <c r="AB4" s="197"/>
      <c r="AC4" s="197"/>
      <c r="AD4" s="198"/>
    </row>
    <row r="5" s="182" customFormat="1" ht="16" customHeight="1" spans="1:30">
      <c r="A5" s="193" t="s">
        <v>7503</v>
      </c>
      <c r="B5" s="194" t="s">
        <v>7696</v>
      </c>
      <c r="C5" s="193" t="s">
        <v>7512</v>
      </c>
      <c r="D5" s="195" t="s">
        <v>7697</v>
      </c>
      <c r="E5" s="196">
        <v>46022</v>
      </c>
      <c r="F5" s="194" t="s">
        <v>7506</v>
      </c>
      <c r="G5" s="197" t="s">
        <v>7507</v>
      </c>
      <c r="H5" s="194">
        <v>12000</v>
      </c>
      <c r="I5" s="197"/>
      <c r="J5" s="197"/>
      <c r="K5" s="197"/>
      <c r="L5" s="197"/>
      <c r="M5" s="197">
        <v>12000</v>
      </c>
      <c r="N5" s="197"/>
      <c r="O5" s="197"/>
      <c r="P5" s="197"/>
      <c r="Q5" s="197"/>
      <c r="R5" s="197"/>
      <c r="S5" s="197"/>
      <c r="T5" s="197"/>
      <c r="U5" s="197"/>
      <c r="V5" s="197"/>
      <c r="W5" s="197"/>
      <c r="X5" s="197"/>
      <c r="Y5" s="197"/>
      <c r="Z5" s="197"/>
      <c r="AA5" s="197"/>
      <c r="AB5" s="197"/>
      <c r="AC5" s="197"/>
      <c r="AD5" s="198"/>
    </row>
    <row r="6" s="182" customFormat="1" ht="16" customHeight="1" spans="1:30">
      <c r="A6" s="193" t="s">
        <v>7503</v>
      </c>
      <c r="B6" s="194" t="s">
        <v>7696</v>
      </c>
      <c r="C6" s="193" t="s">
        <v>7512</v>
      </c>
      <c r="D6" s="195" t="s">
        <v>7698</v>
      </c>
      <c r="E6" s="196">
        <v>46022</v>
      </c>
      <c r="F6" s="194" t="s">
        <v>7516</v>
      </c>
      <c r="G6" s="197" t="s">
        <v>7507</v>
      </c>
      <c r="H6" s="194">
        <v>1500</v>
      </c>
      <c r="I6" s="197"/>
      <c r="J6" s="197"/>
      <c r="K6" s="197"/>
      <c r="L6" s="197"/>
      <c r="M6" s="197"/>
      <c r="N6" s="197">
        <v>1500</v>
      </c>
      <c r="O6" s="197"/>
      <c r="P6" s="197"/>
      <c r="Q6" s="197"/>
      <c r="R6" s="197"/>
      <c r="S6" s="197"/>
      <c r="T6" s="197"/>
      <c r="U6" s="197"/>
      <c r="V6" s="197"/>
      <c r="W6" s="197"/>
      <c r="X6" s="197"/>
      <c r="Y6" s="197"/>
      <c r="Z6" s="197"/>
      <c r="AA6" s="197"/>
      <c r="AB6" s="197"/>
      <c r="AC6" s="197"/>
      <c r="AD6" s="198"/>
    </row>
    <row r="7" s="182" customFormat="1" ht="16" customHeight="1" spans="1:30">
      <c r="A7" s="193" t="s">
        <v>7517</v>
      </c>
      <c r="B7" s="194" t="s">
        <v>7699</v>
      </c>
      <c r="C7" s="193" t="s">
        <v>7700</v>
      </c>
      <c r="D7" s="195" t="s">
        <v>7701</v>
      </c>
      <c r="E7" s="196">
        <v>46045</v>
      </c>
      <c r="F7" s="194" t="s">
        <v>7510</v>
      </c>
      <c r="G7" s="197" t="s">
        <v>98</v>
      </c>
      <c r="H7" s="194">
        <v>26720</v>
      </c>
      <c r="I7" s="197"/>
      <c r="J7" s="197"/>
      <c r="K7" s="197"/>
      <c r="L7" s="197"/>
      <c r="M7" s="197"/>
      <c r="N7" s="197"/>
      <c r="O7" s="197">
        <v>26720</v>
      </c>
      <c r="P7" s="197"/>
      <c r="Q7" s="197"/>
      <c r="R7" s="197"/>
      <c r="S7" s="197"/>
      <c r="T7" s="197"/>
      <c r="U7" s="197"/>
      <c r="V7" s="197"/>
      <c r="W7" s="197"/>
      <c r="X7" s="197"/>
      <c r="Y7" s="197"/>
      <c r="Z7" s="197"/>
      <c r="AA7" s="197"/>
      <c r="AB7" s="197"/>
      <c r="AC7" s="197"/>
      <c r="AD7" s="198"/>
    </row>
    <row r="8" s="182" customFormat="1" ht="16" customHeight="1" spans="1:30">
      <c r="A8" s="193" t="s">
        <v>7519</v>
      </c>
      <c r="B8" s="194">
        <v>77794</v>
      </c>
      <c r="C8" s="193" t="s">
        <v>7693</v>
      </c>
      <c r="D8" s="195" t="s">
        <v>7702</v>
      </c>
      <c r="E8" s="196">
        <v>46044</v>
      </c>
      <c r="F8" s="194" t="s">
        <v>7506</v>
      </c>
      <c r="G8" s="197" t="s">
        <v>7507</v>
      </c>
      <c r="H8" s="194">
        <v>100000</v>
      </c>
      <c r="I8" s="197">
        <v>100000</v>
      </c>
      <c r="J8" s="197"/>
      <c r="K8" s="197"/>
      <c r="L8" s="197"/>
      <c r="M8" s="197"/>
      <c r="N8" s="197"/>
      <c r="O8" s="197"/>
      <c r="P8" s="197"/>
      <c r="Q8" s="197"/>
      <c r="R8" s="197"/>
      <c r="S8" s="197"/>
      <c r="T8" s="197"/>
      <c r="U8" s="197"/>
      <c r="V8" s="197"/>
      <c r="W8" s="197"/>
      <c r="X8" s="197"/>
      <c r="Y8" s="197"/>
      <c r="Z8" s="197"/>
      <c r="AA8" s="197"/>
      <c r="AB8" s="197"/>
      <c r="AC8" s="197"/>
      <c r="AD8" s="198" t="s">
        <v>7703</v>
      </c>
    </row>
    <row r="9" s="182" customFormat="1" ht="16" customHeight="1" spans="1:30">
      <c r="A9" s="193" t="s">
        <v>7519</v>
      </c>
      <c r="B9" s="194">
        <v>77794</v>
      </c>
      <c r="C9" s="193" t="s">
        <v>7693</v>
      </c>
      <c r="D9" s="195" t="s">
        <v>7704</v>
      </c>
      <c r="E9" s="196">
        <v>46044</v>
      </c>
      <c r="F9" s="194" t="s">
        <v>7516</v>
      </c>
      <c r="G9" s="197" t="s">
        <v>7507</v>
      </c>
      <c r="H9" s="194">
        <v>20000</v>
      </c>
      <c r="I9" s="197"/>
      <c r="J9" s="197">
        <v>20000</v>
      </c>
      <c r="K9" s="197"/>
      <c r="L9" s="197"/>
      <c r="M9" s="197"/>
      <c r="N9" s="197"/>
      <c r="O9" s="197"/>
      <c r="P9" s="197"/>
      <c r="Q9" s="197"/>
      <c r="R9" s="197"/>
      <c r="S9" s="197"/>
      <c r="T9" s="197"/>
      <c r="U9" s="197"/>
      <c r="V9" s="197"/>
      <c r="W9" s="197"/>
      <c r="X9" s="197"/>
      <c r="Y9" s="197"/>
      <c r="Z9" s="197"/>
      <c r="AA9" s="197"/>
      <c r="AB9" s="197"/>
      <c r="AC9" s="197"/>
      <c r="AD9" s="198" t="s">
        <v>7703</v>
      </c>
    </row>
    <row r="10" s="182" customFormat="1" ht="16" customHeight="1" spans="1:30">
      <c r="A10" s="193" t="s">
        <v>7519</v>
      </c>
      <c r="B10" s="194" t="s">
        <v>7699</v>
      </c>
      <c r="C10" s="193" t="s">
        <v>7512</v>
      </c>
      <c r="D10" s="195" t="s">
        <v>7705</v>
      </c>
      <c r="E10" s="196">
        <v>46044</v>
      </c>
      <c r="F10" s="194" t="s">
        <v>7506</v>
      </c>
      <c r="G10" s="197" t="s">
        <v>7507</v>
      </c>
      <c r="H10" s="194">
        <v>2000</v>
      </c>
      <c r="I10" s="197"/>
      <c r="J10" s="197"/>
      <c r="K10" s="197"/>
      <c r="L10" s="197"/>
      <c r="M10" s="197">
        <v>2000</v>
      </c>
      <c r="N10" s="197"/>
      <c r="O10" s="197"/>
      <c r="P10" s="197"/>
      <c r="Q10" s="197"/>
      <c r="R10" s="197"/>
      <c r="S10" s="197"/>
      <c r="T10" s="197"/>
      <c r="U10" s="197"/>
      <c r="V10" s="197"/>
      <c r="W10" s="197"/>
      <c r="X10" s="197"/>
      <c r="Y10" s="197"/>
      <c r="Z10" s="197"/>
      <c r="AA10" s="197"/>
      <c r="AB10" s="197"/>
      <c r="AC10" s="197"/>
      <c r="AD10" s="198"/>
    </row>
    <row r="11" s="182" customFormat="1" ht="16" customHeight="1" spans="1:30">
      <c r="A11" s="193" t="s">
        <v>7519</v>
      </c>
      <c r="B11" s="194" t="s">
        <v>7699</v>
      </c>
      <c r="C11" s="193" t="s">
        <v>7512</v>
      </c>
      <c r="D11" s="195" t="s">
        <v>7706</v>
      </c>
      <c r="E11" s="196">
        <v>46044</v>
      </c>
      <c r="F11" s="194" t="s">
        <v>7516</v>
      </c>
      <c r="G11" s="197" t="s">
        <v>7507</v>
      </c>
      <c r="H11" s="194">
        <v>1500</v>
      </c>
      <c r="I11" s="197"/>
      <c r="J11" s="197"/>
      <c r="K11" s="197"/>
      <c r="L11" s="197"/>
      <c r="M11" s="197"/>
      <c r="N11" s="197">
        <v>1500</v>
      </c>
      <c r="O11" s="197"/>
      <c r="P11" s="197"/>
      <c r="Q11" s="197"/>
      <c r="R11" s="197"/>
      <c r="S11" s="197"/>
      <c r="T11" s="197"/>
      <c r="U11" s="197"/>
      <c r="V11" s="197"/>
      <c r="W11" s="197"/>
      <c r="X11" s="197"/>
      <c r="Y11" s="197"/>
      <c r="Z11" s="197"/>
      <c r="AA11" s="197"/>
      <c r="AB11" s="197"/>
      <c r="AC11" s="197"/>
      <c r="AD11" s="198"/>
    </row>
    <row r="12" s="182" customFormat="1" ht="16" customHeight="1" spans="1:30">
      <c r="A12" s="193" t="s">
        <v>7519</v>
      </c>
      <c r="B12" s="194">
        <v>77794</v>
      </c>
      <c r="C12" s="193" t="s">
        <v>7693</v>
      </c>
      <c r="D12" s="195" t="s">
        <v>7707</v>
      </c>
      <c r="E12" s="196">
        <v>46087</v>
      </c>
      <c r="F12" s="194" t="s">
        <v>7506</v>
      </c>
      <c r="G12" s="197" t="s">
        <v>7609</v>
      </c>
      <c r="H12" s="194">
        <v>400000</v>
      </c>
      <c r="I12" s="197">
        <v>400000</v>
      </c>
      <c r="J12" s="197"/>
      <c r="K12" s="197"/>
      <c r="L12" s="197"/>
      <c r="M12" s="197"/>
      <c r="N12" s="197"/>
      <c r="O12" s="197"/>
      <c r="P12" s="197"/>
      <c r="Q12" s="197"/>
      <c r="R12" s="197"/>
      <c r="S12" s="197"/>
      <c r="T12" s="197"/>
      <c r="U12" s="197"/>
      <c r="V12" s="197"/>
      <c r="W12" s="197"/>
      <c r="X12" s="197"/>
      <c r="Y12" s="197"/>
      <c r="Z12" s="197"/>
      <c r="AA12" s="197"/>
      <c r="AB12" s="197"/>
      <c r="AC12" s="197"/>
      <c r="AD12" s="198" t="s">
        <v>7703</v>
      </c>
    </row>
    <row r="13" s="182" customFormat="1" ht="16" customHeight="1" spans="1:30">
      <c r="A13" s="193" t="s">
        <v>7519</v>
      </c>
      <c r="B13" s="194">
        <v>77794</v>
      </c>
      <c r="C13" s="193" t="s">
        <v>7693</v>
      </c>
      <c r="D13" s="195" t="s">
        <v>7708</v>
      </c>
      <c r="E13" s="196">
        <v>46087</v>
      </c>
      <c r="F13" s="194" t="s">
        <v>7516</v>
      </c>
      <c r="G13" s="197" t="s">
        <v>7609</v>
      </c>
      <c r="H13" s="194">
        <v>40000</v>
      </c>
      <c r="I13" s="197"/>
      <c r="J13" s="197">
        <v>40000</v>
      </c>
      <c r="K13" s="197"/>
      <c r="L13" s="197"/>
      <c r="M13" s="197"/>
      <c r="N13" s="197"/>
      <c r="O13" s="197"/>
      <c r="P13" s="197"/>
      <c r="Q13" s="197"/>
      <c r="R13" s="197"/>
      <c r="S13" s="197"/>
      <c r="T13" s="197"/>
      <c r="U13" s="197"/>
      <c r="V13" s="197"/>
      <c r="W13" s="197"/>
      <c r="X13" s="197"/>
      <c r="Y13" s="197"/>
      <c r="Z13" s="197"/>
      <c r="AA13" s="197"/>
      <c r="AB13" s="197"/>
      <c r="AC13" s="197"/>
      <c r="AD13" s="198" t="s">
        <v>7703</v>
      </c>
    </row>
    <row r="14" s="182" customFormat="1" ht="16" customHeight="1" spans="1:30">
      <c r="A14" s="193" t="s">
        <v>7519</v>
      </c>
      <c r="B14" s="194" t="s">
        <v>7699</v>
      </c>
      <c r="C14" s="193" t="s">
        <v>7512</v>
      </c>
      <c r="D14" s="195" t="s">
        <v>7709</v>
      </c>
      <c r="E14" s="196">
        <v>46087</v>
      </c>
      <c r="F14" s="194" t="s">
        <v>7506</v>
      </c>
      <c r="G14" s="197" t="s">
        <v>7507</v>
      </c>
      <c r="H14" s="194">
        <v>20000</v>
      </c>
      <c r="I14" s="197"/>
      <c r="J14" s="197"/>
      <c r="K14" s="197"/>
      <c r="L14" s="197"/>
      <c r="M14" s="197">
        <v>20000</v>
      </c>
      <c r="N14" s="197"/>
      <c r="O14" s="197"/>
      <c r="P14" s="197"/>
      <c r="Q14" s="197"/>
      <c r="R14" s="197"/>
      <c r="S14" s="197"/>
      <c r="T14" s="197"/>
      <c r="U14" s="197"/>
      <c r="V14" s="197"/>
      <c r="W14" s="197"/>
      <c r="X14" s="197"/>
      <c r="Y14" s="197"/>
      <c r="Z14" s="197"/>
      <c r="AA14" s="197"/>
      <c r="AB14" s="197"/>
      <c r="AC14" s="197"/>
      <c r="AD14" s="198"/>
    </row>
    <row r="15" s="182" customFormat="1" ht="16" customHeight="1" spans="1:30">
      <c r="A15" s="193" t="s">
        <v>7519</v>
      </c>
      <c r="B15" s="194" t="s">
        <v>7699</v>
      </c>
      <c r="C15" s="193" t="s">
        <v>7512</v>
      </c>
      <c r="D15" s="195" t="s">
        <v>7710</v>
      </c>
      <c r="E15" s="196">
        <v>46087</v>
      </c>
      <c r="F15" s="194" t="s">
        <v>7516</v>
      </c>
      <c r="G15" s="197" t="s">
        <v>7507</v>
      </c>
      <c r="H15" s="194">
        <v>3000</v>
      </c>
      <c r="I15" s="197"/>
      <c r="J15" s="197"/>
      <c r="K15" s="197"/>
      <c r="L15" s="197"/>
      <c r="M15" s="197"/>
      <c r="N15" s="197">
        <v>3000</v>
      </c>
      <c r="O15" s="197"/>
      <c r="P15" s="197"/>
      <c r="Q15" s="197"/>
      <c r="R15" s="197"/>
      <c r="S15" s="197"/>
      <c r="T15" s="197"/>
      <c r="U15" s="197"/>
      <c r="V15" s="197"/>
      <c r="W15" s="197"/>
      <c r="X15" s="197"/>
      <c r="Y15" s="197"/>
      <c r="Z15" s="197"/>
      <c r="AA15" s="197"/>
      <c r="AB15" s="197"/>
      <c r="AC15" s="197"/>
      <c r="AD15" s="198"/>
    </row>
    <row r="16" s="182" customFormat="1" ht="16" customHeight="1" spans="1:30">
      <c r="A16" s="193" t="s">
        <v>7519</v>
      </c>
      <c r="B16" s="194">
        <v>77794</v>
      </c>
      <c r="C16" s="193" t="s">
        <v>7711</v>
      </c>
      <c r="D16" s="195" t="s">
        <v>7712</v>
      </c>
      <c r="E16" s="196">
        <v>46113</v>
      </c>
      <c r="F16" s="194" t="s">
        <v>7713</v>
      </c>
      <c r="G16" s="197" t="s">
        <v>7507</v>
      </c>
      <c r="H16" s="194">
        <v>1500000</v>
      </c>
      <c r="I16" s="197"/>
      <c r="J16" s="197"/>
      <c r="K16" s="197">
        <v>1500000</v>
      </c>
      <c r="L16" s="197"/>
      <c r="M16" s="197"/>
      <c r="N16" s="197"/>
      <c r="O16" s="197"/>
      <c r="P16" s="197"/>
      <c r="Q16" s="197"/>
      <c r="R16" s="197"/>
      <c r="S16" s="197"/>
      <c r="T16" s="197"/>
      <c r="U16" s="197"/>
      <c r="V16" s="197"/>
      <c r="W16" s="197"/>
      <c r="X16" s="197"/>
      <c r="Y16" s="197"/>
      <c r="Z16" s="197"/>
      <c r="AA16" s="197"/>
      <c r="AB16" s="197"/>
      <c r="AC16" s="197"/>
      <c r="AD16" s="198"/>
    </row>
    <row r="17" s="182" customFormat="1" ht="16" customHeight="1" spans="1:30">
      <c r="A17" s="193" t="s">
        <v>7519</v>
      </c>
      <c r="B17" s="194">
        <v>77794</v>
      </c>
      <c r="C17" s="193" t="s">
        <v>7714</v>
      </c>
      <c r="D17" s="195" t="s">
        <v>7715</v>
      </c>
      <c r="E17" s="196">
        <v>46113</v>
      </c>
      <c r="F17" s="194" t="s">
        <v>7713</v>
      </c>
      <c r="G17" s="197" t="s">
        <v>7507</v>
      </c>
      <c r="H17" s="194">
        <v>1500000</v>
      </c>
      <c r="I17" s="197"/>
      <c r="J17" s="197"/>
      <c r="K17" s="197"/>
      <c r="L17" s="197">
        <v>1500000</v>
      </c>
      <c r="M17" s="197"/>
      <c r="N17" s="197"/>
      <c r="O17" s="197"/>
      <c r="P17" s="197"/>
      <c r="Q17" s="197"/>
      <c r="R17" s="197"/>
      <c r="S17" s="197"/>
      <c r="T17" s="197"/>
      <c r="U17" s="197"/>
      <c r="V17" s="197"/>
      <c r="W17" s="197"/>
      <c r="X17" s="197"/>
      <c r="Y17" s="197"/>
      <c r="Z17" s="197"/>
      <c r="AA17" s="197"/>
      <c r="AB17" s="197"/>
      <c r="AC17" s="197"/>
      <c r="AD17" s="198"/>
    </row>
    <row r="18" s="182" customFormat="1" ht="16" customHeight="1" spans="1:30">
      <c r="A18" s="193" t="s">
        <v>7519</v>
      </c>
      <c r="B18" s="194">
        <v>77794</v>
      </c>
      <c r="C18" s="193" t="s">
        <v>7693</v>
      </c>
      <c r="D18" s="195" t="s">
        <v>7716</v>
      </c>
      <c r="E18" s="196">
        <v>46115</v>
      </c>
      <c r="F18" s="194" t="s">
        <v>7506</v>
      </c>
      <c r="G18" s="197" t="s">
        <v>7609</v>
      </c>
      <c r="H18" s="194">
        <v>400000</v>
      </c>
      <c r="I18" s="197">
        <v>400000</v>
      </c>
      <c r="J18" s="197"/>
      <c r="K18" s="197"/>
      <c r="L18" s="197"/>
      <c r="M18" s="197"/>
      <c r="N18" s="197"/>
      <c r="O18" s="197"/>
      <c r="P18" s="197"/>
      <c r="Q18" s="197"/>
      <c r="R18" s="197"/>
      <c r="S18" s="197"/>
      <c r="T18" s="197"/>
      <c r="U18" s="197"/>
      <c r="V18" s="197"/>
      <c r="W18" s="197"/>
      <c r="X18" s="197"/>
      <c r="Y18" s="197"/>
      <c r="Z18" s="197"/>
      <c r="AA18" s="197"/>
      <c r="AB18" s="197"/>
      <c r="AC18" s="197"/>
      <c r="AD18" s="198"/>
    </row>
    <row r="19" s="182" customFormat="1" ht="16" customHeight="1" spans="1:30">
      <c r="A19" s="193" t="s">
        <v>7519</v>
      </c>
      <c r="B19" s="194">
        <v>77794</v>
      </c>
      <c r="C19" s="193" t="s">
        <v>7693</v>
      </c>
      <c r="D19" s="195" t="s">
        <v>7717</v>
      </c>
      <c r="E19" s="196">
        <v>46115</v>
      </c>
      <c r="F19" s="194" t="s">
        <v>7516</v>
      </c>
      <c r="G19" s="197" t="s">
        <v>7609</v>
      </c>
      <c r="H19" s="194">
        <v>40000</v>
      </c>
      <c r="I19" s="197"/>
      <c r="J19" s="197">
        <v>40000</v>
      </c>
      <c r="K19" s="197"/>
      <c r="L19" s="197"/>
      <c r="M19" s="197"/>
      <c r="N19" s="197"/>
      <c r="O19" s="197"/>
      <c r="P19" s="197"/>
      <c r="Q19" s="197"/>
      <c r="R19" s="197"/>
      <c r="S19" s="197"/>
      <c r="T19" s="197"/>
      <c r="U19" s="197"/>
      <c r="V19" s="197"/>
      <c r="W19" s="197"/>
      <c r="X19" s="197"/>
      <c r="Y19" s="197"/>
      <c r="Z19" s="197"/>
      <c r="AA19" s="197"/>
      <c r="AB19" s="197"/>
      <c r="AC19" s="197"/>
      <c r="AD19" s="198"/>
    </row>
    <row r="20" s="182" customFormat="1" ht="16" customHeight="1" spans="1:30">
      <c r="A20" s="193" t="s">
        <v>7519</v>
      </c>
      <c r="B20" s="194" t="s">
        <v>7699</v>
      </c>
      <c r="C20" s="193" t="s">
        <v>7512</v>
      </c>
      <c r="D20" s="195" t="s">
        <v>7718</v>
      </c>
      <c r="E20" s="196">
        <v>46115</v>
      </c>
      <c r="F20" s="194" t="s">
        <v>7506</v>
      </c>
      <c r="G20" s="197" t="s">
        <v>7507</v>
      </c>
      <c r="H20" s="194">
        <v>25000</v>
      </c>
      <c r="I20" s="197"/>
      <c r="J20" s="197"/>
      <c r="K20" s="197"/>
      <c r="L20" s="197"/>
      <c r="M20" s="197">
        <v>25000</v>
      </c>
      <c r="N20" s="197"/>
      <c r="O20" s="197"/>
      <c r="P20" s="197"/>
      <c r="Q20" s="197"/>
      <c r="R20" s="197"/>
      <c r="S20" s="197"/>
      <c r="T20" s="197"/>
      <c r="U20" s="197"/>
      <c r="V20" s="197"/>
      <c r="W20" s="197"/>
      <c r="X20" s="197"/>
      <c r="Y20" s="197"/>
      <c r="Z20" s="197"/>
      <c r="AA20" s="197"/>
      <c r="AB20" s="197"/>
      <c r="AC20" s="197"/>
      <c r="AD20" s="198"/>
    </row>
    <row r="21" s="182" customFormat="1" ht="16" customHeight="1" spans="1:30">
      <c r="A21" s="193" t="s">
        <v>7519</v>
      </c>
      <c r="B21" s="194" t="s">
        <v>7699</v>
      </c>
      <c r="C21" s="193" t="s">
        <v>7512</v>
      </c>
      <c r="D21" s="195" t="s">
        <v>7719</v>
      </c>
      <c r="E21" s="196">
        <v>46115</v>
      </c>
      <c r="F21" s="194" t="s">
        <v>7516</v>
      </c>
      <c r="G21" s="197" t="s">
        <v>7507</v>
      </c>
      <c r="H21" s="194">
        <v>4000</v>
      </c>
      <c r="I21" s="197"/>
      <c r="J21" s="197"/>
      <c r="K21" s="197"/>
      <c r="L21" s="197"/>
      <c r="M21" s="197"/>
      <c r="N21" s="197">
        <v>4000</v>
      </c>
      <c r="O21" s="197"/>
      <c r="P21" s="197"/>
      <c r="Q21" s="197"/>
      <c r="R21" s="197"/>
      <c r="S21" s="197"/>
      <c r="T21" s="197"/>
      <c r="U21" s="197"/>
      <c r="V21" s="197"/>
      <c r="W21" s="197"/>
      <c r="X21" s="197"/>
      <c r="Y21" s="197"/>
      <c r="Z21" s="197"/>
      <c r="AA21" s="197"/>
      <c r="AB21" s="197"/>
      <c r="AC21" s="197"/>
      <c r="AD21" s="198"/>
    </row>
    <row r="22" s="182" customFormat="1" ht="16" customHeight="1" spans="1:30">
      <c r="A22" s="193" t="s">
        <v>7575</v>
      </c>
      <c r="B22" s="194" t="s">
        <v>7720</v>
      </c>
      <c r="C22" s="193" t="s">
        <v>7721</v>
      </c>
      <c r="D22" s="195" t="s">
        <v>7722</v>
      </c>
      <c r="E22" s="196">
        <v>46127</v>
      </c>
      <c r="F22" s="194" t="s">
        <v>7506</v>
      </c>
      <c r="G22" s="197" t="s">
        <v>98</v>
      </c>
      <c r="H22" s="194">
        <v>112320</v>
      </c>
      <c r="I22" s="197"/>
      <c r="J22" s="197"/>
      <c r="K22" s="197"/>
      <c r="L22" s="197"/>
      <c r="M22" s="197"/>
      <c r="N22" s="197"/>
      <c r="O22" s="197"/>
      <c r="P22" s="197"/>
      <c r="Q22" s="197"/>
      <c r="R22" s="197"/>
      <c r="S22" s="197"/>
      <c r="T22" s="197"/>
      <c r="U22" s="194">
        <v>112320</v>
      </c>
      <c r="V22" s="197"/>
      <c r="W22" s="197"/>
      <c r="X22" s="197"/>
      <c r="Y22" s="197"/>
      <c r="Z22" s="197"/>
      <c r="AA22" s="197"/>
      <c r="AB22" s="197"/>
      <c r="AC22" s="197"/>
      <c r="AD22" s="198" t="s">
        <v>7723</v>
      </c>
    </row>
    <row r="23" s="182" customFormat="1" ht="16" customHeight="1" spans="1:30">
      <c r="A23" s="193" t="s">
        <v>7575</v>
      </c>
      <c r="B23" s="194" t="s">
        <v>7720</v>
      </c>
      <c r="C23" s="193" t="s">
        <v>7724</v>
      </c>
      <c r="D23" s="195" t="s">
        <v>7725</v>
      </c>
      <c r="E23" s="196">
        <v>46127</v>
      </c>
      <c r="F23" s="194" t="s">
        <v>7506</v>
      </c>
      <c r="G23" s="197" t="s">
        <v>98</v>
      </c>
      <c r="H23" s="194">
        <v>336960</v>
      </c>
      <c r="I23" s="197"/>
      <c r="J23" s="197"/>
      <c r="K23" s="197"/>
      <c r="L23" s="197"/>
      <c r="M23" s="197"/>
      <c r="N23" s="197"/>
      <c r="O23" s="197"/>
      <c r="P23" s="197"/>
      <c r="Q23" s="197"/>
      <c r="R23" s="197"/>
      <c r="S23" s="197"/>
      <c r="T23" s="194">
        <v>336960</v>
      </c>
      <c r="U23" s="197"/>
      <c r="V23" s="197"/>
      <c r="W23" s="197"/>
      <c r="X23" s="197"/>
      <c r="Y23" s="197"/>
      <c r="Z23" s="197"/>
      <c r="AA23" s="197"/>
      <c r="AB23" s="197"/>
      <c r="AC23" s="197"/>
      <c r="AD23" s="198" t="s">
        <v>7723</v>
      </c>
    </row>
    <row r="24" s="182" customFormat="1" ht="16" customHeight="1" spans="1:30">
      <c r="A24" s="193" t="s">
        <v>7575</v>
      </c>
      <c r="B24" s="194" t="s">
        <v>7720</v>
      </c>
      <c r="C24" s="193" t="s">
        <v>7504</v>
      </c>
      <c r="D24" s="195" t="s">
        <v>7726</v>
      </c>
      <c r="E24" s="196">
        <v>46127</v>
      </c>
      <c r="F24" s="194" t="s">
        <v>7506</v>
      </c>
      <c r="G24" s="197" t="s">
        <v>98</v>
      </c>
      <c r="H24" s="194">
        <v>336960</v>
      </c>
      <c r="I24" s="197"/>
      <c r="J24" s="197"/>
      <c r="K24" s="197"/>
      <c r="L24" s="197"/>
      <c r="M24" s="197"/>
      <c r="N24" s="197"/>
      <c r="O24" s="197"/>
      <c r="P24" s="197"/>
      <c r="Q24" s="197"/>
      <c r="R24" s="197"/>
      <c r="S24" s="194">
        <v>336960</v>
      </c>
      <c r="T24" s="197"/>
      <c r="U24" s="197"/>
      <c r="V24" s="197"/>
      <c r="W24" s="197"/>
      <c r="X24" s="197"/>
      <c r="Y24" s="197"/>
      <c r="Z24" s="197"/>
      <c r="AA24" s="197"/>
      <c r="AB24" s="197"/>
      <c r="AC24" s="197"/>
      <c r="AD24" s="198" t="s">
        <v>7723</v>
      </c>
    </row>
    <row r="25" s="182" customFormat="1" ht="16" customHeight="1" spans="1:30">
      <c r="A25" s="193" t="s">
        <v>7575</v>
      </c>
      <c r="B25" s="194" t="s">
        <v>7720</v>
      </c>
      <c r="C25" s="193" t="s">
        <v>7727</v>
      </c>
      <c r="D25" s="195" t="s">
        <v>7728</v>
      </c>
      <c r="E25" s="196">
        <v>46127</v>
      </c>
      <c r="F25" s="194" t="s">
        <v>7506</v>
      </c>
      <c r="G25" s="197" t="s">
        <v>98</v>
      </c>
      <c r="H25" s="194">
        <v>112320</v>
      </c>
      <c r="I25" s="197"/>
      <c r="J25" s="197"/>
      <c r="K25" s="197"/>
      <c r="L25" s="197"/>
      <c r="M25" s="197"/>
      <c r="N25" s="197"/>
      <c r="O25" s="197"/>
      <c r="P25" s="197"/>
      <c r="Q25" s="197"/>
      <c r="R25" s="197"/>
      <c r="S25" s="197"/>
      <c r="T25" s="197"/>
      <c r="U25" s="197"/>
      <c r="V25" s="194">
        <v>112320</v>
      </c>
      <c r="W25" s="197"/>
      <c r="X25" s="197"/>
      <c r="Y25" s="197"/>
      <c r="Z25" s="197"/>
      <c r="AA25" s="197"/>
      <c r="AB25" s="197"/>
      <c r="AC25" s="197"/>
      <c r="AD25" s="198" t="s">
        <v>7723</v>
      </c>
    </row>
    <row r="26" s="182" customFormat="1" ht="16" customHeight="1" spans="1:30">
      <c r="A26" s="193" t="s">
        <v>7575</v>
      </c>
      <c r="B26" s="194" t="s">
        <v>7720</v>
      </c>
      <c r="C26" s="193" t="s">
        <v>7729</v>
      </c>
      <c r="D26" s="195" t="s">
        <v>7730</v>
      </c>
      <c r="E26" s="196">
        <v>46127</v>
      </c>
      <c r="F26" s="194" t="s">
        <v>7506</v>
      </c>
      <c r="G26" s="197" t="s">
        <v>98</v>
      </c>
      <c r="H26" s="194">
        <v>18720</v>
      </c>
      <c r="I26" s="197"/>
      <c r="J26" s="197"/>
      <c r="K26" s="197"/>
      <c r="L26" s="197"/>
      <c r="M26" s="197"/>
      <c r="N26" s="197"/>
      <c r="O26" s="197"/>
      <c r="P26" s="197"/>
      <c r="Q26" s="197"/>
      <c r="R26" s="197"/>
      <c r="S26" s="197"/>
      <c r="T26" s="197"/>
      <c r="U26" s="197"/>
      <c r="V26" s="197"/>
      <c r="W26" s="194">
        <v>18720</v>
      </c>
      <c r="X26" s="197"/>
      <c r="Y26" s="197"/>
      <c r="Z26" s="197"/>
      <c r="AA26" s="197"/>
      <c r="AB26" s="197"/>
      <c r="AC26" s="197"/>
      <c r="AD26" s="198" t="s">
        <v>7723</v>
      </c>
    </row>
    <row r="27" s="182" customFormat="1" ht="16" customHeight="1" spans="1:30">
      <c r="A27" s="193" t="s">
        <v>7590</v>
      </c>
      <c r="B27" s="194" t="s">
        <v>7699</v>
      </c>
      <c r="C27" s="193" t="s">
        <v>7512</v>
      </c>
      <c r="D27" s="195" t="s">
        <v>7731</v>
      </c>
      <c r="E27" s="196">
        <v>46133</v>
      </c>
      <c r="F27" s="194" t="s">
        <v>7506</v>
      </c>
      <c r="G27" s="197" t="s">
        <v>98</v>
      </c>
      <c r="H27" s="194">
        <v>2330</v>
      </c>
      <c r="I27" s="197"/>
      <c r="J27" s="197"/>
      <c r="K27" s="197"/>
      <c r="L27" s="197"/>
      <c r="M27" s="194">
        <v>2330</v>
      </c>
      <c r="N27" s="197"/>
      <c r="O27" s="197"/>
      <c r="P27" s="197"/>
      <c r="Q27" s="197"/>
      <c r="R27" s="197"/>
      <c r="S27" s="197"/>
      <c r="T27" s="197"/>
      <c r="U27" s="197"/>
      <c r="V27" s="197"/>
      <c r="W27" s="194"/>
      <c r="X27" s="197"/>
      <c r="Y27" s="197"/>
      <c r="Z27" s="197"/>
      <c r="AA27" s="197"/>
      <c r="AB27" s="197"/>
      <c r="AC27" s="197"/>
      <c r="AD27" s="199" t="s">
        <v>7732</v>
      </c>
    </row>
    <row r="28" s="182" customFormat="1" ht="16" customHeight="1" spans="1:30">
      <c r="A28" s="193" t="s">
        <v>7532</v>
      </c>
      <c r="B28" s="194" t="s">
        <v>1580</v>
      </c>
      <c r="C28" s="193" t="s">
        <v>7733</v>
      </c>
      <c r="D28" s="195">
        <v>1000039352</v>
      </c>
      <c r="E28" s="196">
        <v>46139</v>
      </c>
      <c r="F28" s="194" t="s">
        <v>7506</v>
      </c>
      <c r="G28" s="197" t="s">
        <v>7507</v>
      </c>
      <c r="H28" s="194">
        <v>2000</v>
      </c>
      <c r="I28" s="197"/>
      <c r="J28" s="197"/>
      <c r="K28" s="197"/>
      <c r="L28" s="197"/>
      <c r="M28" s="197"/>
      <c r="N28" s="197"/>
      <c r="O28" s="197"/>
      <c r="P28" s="197"/>
      <c r="Q28" s="197"/>
      <c r="R28" s="197"/>
      <c r="S28" s="197"/>
      <c r="T28" s="197"/>
      <c r="U28" s="197"/>
      <c r="V28" s="197"/>
      <c r="W28" s="194"/>
      <c r="X28" s="197"/>
      <c r="Y28" s="197"/>
      <c r="Z28" s="197"/>
      <c r="AA28" s="197"/>
      <c r="AB28" s="197"/>
      <c r="AC28" s="197"/>
      <c r="AD28" s="198" t="s">
        <v>7734</v>
      </c>
    </row>
    <row r="29" s="182" customFormat="1" ht="16" customHeight="1" spans="1:30">
      <c r="A29" s="193" t="s">
        <v>7519</v>
      </c>
      <c r="B29" s="194">
        <v>77794</v>
      </c>
      <c r="C29" s="193" t="s">
        <v>7693</v>
      </c>
      <c r="D29" s="195">
        <v>1000039670</v>
      </c>
      <c r="E29" s="196">
        <v>46149</v>
      </c>
      <c r="F29" s="194" t="s">
        <v>7506</v>
      </c>
      <c r="G29" s="197" t="s">
        <v>7609</v>
      </c>
      <c r="H29" s="194">
        <v>250000</v>
      </c>
      <c r="I29" s="194">
        <v>250000</v>
      </c>
      <c r="J29" s="197"/>
      <c r="K29" s="197"/>
      <c r="L29" s="197"/>
      <c r="M29" s="197"/>
      <c r="N29" s="197"/>
      <c r="O29" s="197"/>
      <c r="P29" s="197"/>
      <c r="Q29" s="197"/>
      <c r="R29" s="197"/>
      <c r="S29" s="197"/>
      <c r="T29" s="197"/>
      <c r="U29" s="197"/>
      <c r="V29" s="197"/>
      <c r="W29" s="194"/>
      <c r="X29" s="197"/>
      <c r="Y29" s="197"/>
      <c r="Z29" s="197"/>
      <c r="AA29" s="197"/>
      <c r="AB29" s="197"/>
      <c r="AC29" s="197"/>
      <c r="AD29" s="198" t="s">
        <v>7703</v>
      </c>
    </row>
    <row r="30" s="182" customFormat="1" ht="16" customHeight="1" spans="1:30">
      <c r="A30" s="193" t="s">
        <v>7519</v>
      </c>
      <c r="B30" s="194">
        <v>77794</v>
      </c>
      <c r="C30" s="193" t="s">
        <v>7693</v>
      </c>
      <c r="D30" s="195">
        <v>1000039665</v>
      </c>
      <c r="E30" s="196">
        <v>46149</v>
      </c>
      <c r="F30" s="194" t="s">
        <v>7516</v>
      </c>
      <c r="G30" s="197" t="s">
        <v>7609</v>
      </c>
      <c r="H30" s="194">
        <v>150000</v>
      </c>
      <c r="I30" s="197"/>
      <c r="J30" s="194">
        <v>150000</v>
      </c>
      <c r="K30" s="197"/>
      <c r="L30" s="197"/>
      <c r="M30" s="197"/>
      <c r="N30" s="197"/>
      <c r="O30" s="197"/>
      <c r="P30" s="197"/>
      <c r="Q30" s="197"/>
      <c r="R30" s="197"/>
      <c r="S30" s="197"/>
      <c r="T30" s="197"/>
      <c r="U30" s="197"/>
      <c r="V30" s="197"/>
      <c r="W30" s="194"/>
      <c r="X30" s="197"/>
      <c r="Y30" s="197"/>
      <c r="Z30" s="197"/>
      <c r="AA30" s="197"/>
      <c r="AB30" s="197"/>
      <c r="AC30" s="197"/>
      <c r="AD30" s="198" t="s">
        <v>7703</v>
      </c>
    </row>
    <row r="31" s="182" customFormat="1" ht="16" customHeight="1" spans="1:30">
      <c r="A31" s="193" t="s">
        <v>7519</v>
      </c>
      <c r="B31" s="194">
        <v>77794</v>
      </c>
      <c r="C31" s="193" t="s">
        <v>7711</v>
      </c>
      <c r="D31" s="195">
        <v>1000039666</v>
      </c>
      <c r="E31" s="196">
        <v>46149</v>
      </c>
      <c r="F31" s="194" t="s">
        <v>7713</v>
      </c>
      <c r="G31" s="197" t="s">
        <v>7507</v>
      </c>
      <c r="H31" s="194">
        <v>200000</v>
      </c>
      <c r="I31" s="197"/>
      <c r="J31" s="197"/>
      <c r="K31" s="194">
        <v>200000</v>
      </c>
      <c r="L31" s="197"/>
      <c r="M31" s="197"/>
      <c r="N31" s="197"/>
      <c r="O31" s="197"/>
      <c r="P31" s="197"/>
      <c r="Q31" s="197"/>
      <c r="R31" s="197"/>
      <c r="S31" s="197"/>
      <c r="T31" s="197"/>
      <c r="U31" s="197"/>
      <c r="V31" s="197"/>
      <c r="W31" s="194"/>
      <c r="X31" s="197"/>
      <c r="Y31" s="197"/>
      <c r="Z31" s="197"/>
      <c r="AA31" s="197"/>
      <c r="AB31" s="197"/>
      <c r="AC31" s="197"/>
      <c r="AD31" s="198" t="s">
        <v>7735</v>
      </c>
    </row>
    <row r="32" s="182" customFormat="1" ht="16" customHeight="1" spans="1:30">
      <c r="A32" s="193" t="s">
        <v>7519</v>
      </c>
      <c r="B32" s="194">
        <v>77794</v>
      </c>
      <c r="C32" s="193" t="s">
        <v>7714</v>
      </c>
      <c r="D32" s="195">
        <v>1000039667</v>
      </c>
      <c r="E32" s="196">
        <v>46149</v>
      </c>
      <c r="F32" s="194" t="s">
        <v>7713</v>
      </c>
      <c r="G32" s="197" t="s">
        <v>7507</v>
      </c>
      <c r="H32" s="194">
        <v>200000</v>
      </c>
      <c r="I32" s="197"/>
      <c r="J32" s="197"/>
      <c r="K32" s="197"/>
      <c r="L32" s="194">
        <v>200000</v>
      </c>
      <c r="M32" s="197"/>
      <c r="N32" s="197"/>
      <c r="O32" s="197"/>
      <c r="P32" s="197"/>
      <c r="Q32" s="197"/>
      <c r="R32" s="197"/>
      <c r="S32" s="197"/>
      <c r="T32" s="197"/>
      <c r="U32" s="197"/>
      <c r="V32" s="197"/>
      <c r="W32" s="194"/>
      <c r="X32" s="197"/>
      <c r="Y32" s="197"/>
      <c r="Z32" s="197"/>
      <c r="AA32" s="197"/>
      <c r="AB32" s="197"/>
      <c r="AC32" s="197"/>
      <c r="AD32" s="198" t="s">
        <v>7736</v>
      </c>
    </row>
    <row r="33" s="182" customFormat="1" ht="16" customHeight="1" spans="1:31">
      <c r="A33" s="193" t="s">
        <v>7519</v>
      </c>
      <c r="B33" s="194" t="s">
        <v>7699</v>
      </c>
      <c r="C33" s="193" t="s">
        <v>7512</v>
      </c>
      <c r="D33" s="195">
        <v>1000039668</v>
      </c>
      <c r="E33" s="196">
        <v>46149</v>
      </c>
      <c r="F33" s="194" t="s">
        <v>7506</v>
      </c>
      <c r="G33" s="197" t="s">
        <v>7507</v>
      </c>
      <c r="H33" s="194">
        <v>50000</v>
      </c>
      <c r="I33" s="197"/>
      <c r="J33" s="197"/>
      <c r="K33" s="197"/>
      <c r="L33" s="197"/>
      <c r="M33" s="194">
        <v>50000</v>
      </c>
      <c r="N33" s="197"/>
      <c r="O33" s="197"/>
      <c r="P33" s="197"/>
      <c r="Q33" s="197"/>
      <c r="R33" s="197"/>
      <c r="S33" s="197"/>
      <c r="T33" s="197"/>
      <c r="U33" s="197"/>
      <c r="V33" s="197"/>
      <c r="W33" s="194"/>
      <c r="X33" s="197"/>
      <c r="Y33" s="197"/>
      <c r="Z33" s="197"/>
      <c r="AA33" s="197"/>
      <c r="AB33" s="197"/>
      <c r="AC33" s="197"/>
      <c r="AD33" s="198"/>
    </row>
    <row r="34" s="182" customFormat="1" ht="16" customHeight="1" spans="1:31">
      <c r="A34" s="193" t="s">
        <v>7519</v>
      </c>
      <c r="B34" s="194" t="s">
        <v>7699</v>
      </c>
      <c r="C34" s="193" t="s">
        <v>7512</v>
      </c>
      <c r="D34" s="195">
        <v>1000039669</v>
      </c>
      <c r="E34" s="196">
        <v>46149</v>
      </c>
      <c r="F34" s="194" t="s">
        <v>7516</v>
      </c>
      <c r="G34" s="197" t="s">
        <v>7507</v>
      </c>
      <c r="H34" s="194">
        <v>12000</v>
      </c>
      <c r="I34" s="197"/>
      <c r="J34" s="197"/>
      <c r="K34" s="197"/>
      <c r="L34" s="197"/>
      <c r="M34" s="197"/>
      <c r="N34" s="194">
        <v>12000</v>
      </c>
      <c r="O34" s="197"/>
      <c r="P34" s="197"/>
      <c r="Q34" s="197"/>
      <c r="R34" s="197"/>
      <c r="S34" s="197"/>
      <c r="T34" s="197"/>
      <c r="U34" s="197"/>
      <c r="V34" s="197"/>
      <c r="W34" s="194"/>
      <c r="X34" s="197"/>
      <c r="Y34" s="197"/>
      <c r="Z34" s="197"/>
      <c r="AA34" s="197"/>
      <c r="AB34" s="197"/>
      <c r="AC34" s="197"/>
      <c r="AD34" s="198"/>
    </row>
    <row r="35" s="182" customFormat="1" ht="16" customHeight="1" spans="1:31">
      <c r="A35" s="193" t="s">
        <v>7532</v>
      </c>
      <c r="B35" s="194" t="s">
        <v>1580</v>
      </c>
      <c r="C35" s="193" t="s">
        <v>7733</v>
      </c>
      <c r="D35" s="195">
        <v>1000039352</v>
      </c>
      <c r="E35" s="196">
        <v>46139</v>
      </c>
      <c r="F35" s="194" t="s">
        <v>7506</v>
      </c>
      <c r="G35" s="197" t="s">
        <v>7507</v>
      </c>
      <c r="H35" s="194">
        <v>2000</v>
      </c>
      <c r="I35" s="197"/>
      <c r="J35" s="197"/>
      <c r="K35" s="197"/>
      <c r="L35" s="197"/>
      <c r="M35" s="197"/>
      <c r="N35" s="197"/>
      <c r="O35" s="197"/>
      <c r="P35" s="197"/>
      <c r="Q35" s="197"/>
      <c r="R35" s="197"/>
      <c r="S35" s="197"/>
      <c r="T35" s="197"/>
      <c r="U35" s="197"/>
      <c r="V35" s="197"/>
      <c r="W35" s="194"/>
      <c r="X35" s="197"/>
      <c r="Y35" s="197"/>
      <c r="Z35" s="197"/>
      <c r="AA35" s="197"/>
      <c r="AB35" s="197"/>
      <c r="AC35" s="197">
        <v>2000</v>
      </c>
      <c r="AD35" s="198" t="s">
        <v>7734</v>
      </c>
    </row>
    <row r="36" s="182" customFormat="1" ht="16" customHeight="1" spans="1:31">
      <c r="A36" s="193" t="s">
        <v>7519</v>
      </c>
      <c r="B36" s="194">
        <v>77794</v>
      </c>
      <c r="C36" s="193" t="s">
        <v>7693</v>
      </c>
      <c r="D36" s="195" t="s">
        <v>7737</v>
      </c>
      <c r="E36" s="196">
        <v>46160</v>
      </c>
      <c r="F36" s="194" t="s">
        <v>7506</v>
      </c>
      <c r="G36" s="197" t="s">
        <v>7609</v>
      </c>
      <c r="H36" s="194">
        <v>250000</v>
      </c>
      <c r="I36" s="194">
        <v>250000</v>
      </c>
      <c r="J36" s="197"/>
      <c r="K36" s="197"/>
      <c r="L36" s="197"/>
      <c r="M36" s="197"/>
      <c r="N36" s="197"/>
      <c r="O36" s="197"/>
      <c r="P36" s="197"/>
      <c r="Q36" s="197"/>
      <c r="R36" s="197"/>
      <c r="S36" s="197"/>
      <c r="T36" s="197"/>
      <c r="U36" s="197"/>
      <c r="V36" s="197"/>
      <c r="W36" s="194"/>
      <c r="X36" s="197"/>
      <c r="Y36" s="197"/>
      <c r="Z36" s="197"/>
      <c r="AA36" s="197"/>
      <c r="AB36" s="197"/>
      <c r="AC36" s="197"/>
      <c r="AD36" s="198" t="s">
        <v>7703</v>
      </c>
    </row>
    <row r="37" s="182" customFormat="1" ht="16" customHeight="1" spans="1:31">
      <c r="A37" s="193" t="s">
        <v>7519</v>
      </c>
      <c r="B37" s="194">
        <v>77794</v>
      </c>
      <c r="C37" s="193" t="s">
        <v>7693</v>
      </c>
      <c r="D37" s="195" t="s">
        <v>7738</v>
      </c>
      <c r="E37" s="196">
        <v>46160</v>
      </c>
      <c r="F37" s="194" t="s">
        <v>7516</v>
      </c>
      <c r="G37" s="197" t="s">
        <v>7609</v>
      </c>
      <c r="H37" s="194">
        <v>150000</v>
      </c>
      <c r="I37" s="197"/>
      <c r="J37" s="194">
        <v>150000</v>
      </c>
      <c r="K37" s="197"/>
      <c r="L37" s="197"/>
      <c r="M37" s="197"/>
      <c r="N37" s="197"/>
      <c r="O37" s="197"/>
      <c r="P37" s="197"/>
      <c r="Q37" s="197"/>
      <c r="R37" s="197"/>
      <c r="S37" s="197"/>
      <c r="T37" s="197"/>
      <c r="U37" s="197"/>
      <c r="V37" s="197"/>
      <c r="W37" s="194"/>
      <c r="X37" s="197"/>
      <c r="Y37" s="197"/>
      <c r="Z37" s="197"/>
      <c r="AA37" s="197"/>
      <c r="AB37" s="197"/>
      <c r="AC37" s="197"/>
      <c r="AD37" s="198" t="s">
        <v>7703</v>
      </c>
    </row>
    <row r="38" s="182" customFormat="1" ht="16" customHeight="1" spans="1:31">
      <c r="A38" s="193" t="s">
        <v>7519</v>
      </c>
      <c r="B38" s="194">
        <v>77794</v>
      </c>
      <c r="C38" s="193" t="s">
        <v>7711</v>
      </c>
      <c r="D38" s="195" t="s">
        <v>7739</v>
      </c>
      <c r="E38" s="196">
        <v>46160</v>
      </c>
      <c r="F38" s="194" t="s">
        <v>7713</v>
      </c>
      <c r="G38" s="197" t="s">
        <v>7507</v>
      </c>
      <c r="H38" s="194">
        <v>200000</v>
      </c>
      <c r="I38" s="197"/>
      <c r="J38" s="197"/>
      <c r="K38" s="194">
        <v>200000</v>
      </c>
      <c r="L38" s="197"/>
      <c r="M38" s="197"/>
      <c r="N38" s="197"/>
      <c r="O38" s="197"/>
      <c r="P38" s="197"/>
      <c r="Q38" s="197"/>
      <c r="R38" s="197"/>
      <c r="S38" s="197"/>
      <c r="T38" s="197"/>
      <c r="U38" s="197"/>
      <c r="V38" s="197"/>
      <c r="W38" s="194"/>
      <c r="X38" s="197"/>
      <c r="Y38" s="197"/>
      <c r="Z38" s="197"/>
      <c r="AA38" s="197"/>
      <c r="AB38" s="197"/>
      <c r="AC38" s="197"/>
      <c r="AD38" s="198" t="s">
        <v>7735</v>
      </c>
    </row>
    <row r="39" s="182" customFormat="1" ht="16" customHeight="1" spans="1:31">
      <c r="A39" s="193" t="s">
        <v>7519</v>
      </c>
      <c r="B39" s="194">
        <v>77794</v>
      </c>
      <c r="C39" s="193" t="s">
        <v>7714</v>
      </c>
      <c r="D39" s="195" t="s">
        <v>7740</v>
      </c>
      <c r="E39" s="196">
        <v>46160</v>
      </c>
      <c r="F39" s="194" t="s">
        <v>7713</v>
      </c>
      <c r="G39" s="197" t="s">
        <v>7507</v>
      </c>
      <c r="H39" s="194">
        <v>200000</v>
      </c>
      <c r="I39" s="197"/>
      <c r="J39" s="197"/>
      <c r="K39" s="197"/>
      <c r="L39" s="194">
        <v>200000</v>
      </c>
      <c r="M39" s="197"/>
      <c r="N39" s="197"/>
      <c r="O39" s="197"/>
      <c r="P39" s="197"/>
      <c r="Q39" s="197"/>
      <c r="R39" s="197"/>
      <c r="S39" s="197"/>
      <c r="T39" s="197"/>
      <c r="U39" s="197"/>
      <c r="V39" s="197"/>
      <c r="W39" s="194"/>
      <c r="X39" s="197"/>
      <c r="Y39" s="197"/>
      <c r="Z39" s="197"/>
      <c r="AA39" s="197"/>
      <c r="AB39" s="197"/>
      <c r="AC39" s="197"/>
      <c r="AD39" s="198" t="s">
        <v>7736</v>
      </c>
    </row>
    <row r="40" s="182" customFormat="1" ht="16" customHeight="1" spans="1:31">
      <c r="A40" s="193" t="s">
        <v>7519</v>
      </c>
      <c r="B40" s="194" t="s">
        <v>7699</v>
      </c>
      <c r="C40" s="193" t="s">
        <v>7512</v>
      </c>
      <c r="D40" s="195" t="s">
        <v>7741</v>
      </c>
      <c r="E40" s="196">
        <v>46160</v>
      </c>
      <c r="F40" s="194" t="s">
        <v>7506</v>
      </c>
      <c r="G40" s="197" t="s">
        <v>7507</v>
      </c>
      <c r="H40" s="194">
        <v>25000</v>
      </c>
      <c r="I40" s="197"/>
      <c r="J40" s="197"/>
      <c r="K40" s="197"/>
      <c r="L40" s="197"/>
      <c r="M40" s="194">
        <v>25000</v>
      </c>
      <c r="N40" s="197"/>
      <c r="O40" s="197"/>
      <c r="P40" s="197"/>
      <c r="Q40" s="197"/>
      <c r="R40" s="197"/>
      <c r="S40" s="197"/>
      <c r="T40" s="197"/>
      <c r="U40" s="197"/>
      <c r="V40" s="197"/>
      <c r="W40" s="194"/>
      <c r="X40" s="197"/>
      <c r="Y40" s="197"/>
      <c r="Z40" s="197"/>
      <c r="AA40" s="197"/>
      <c r="AB40" s="197"/>
      <c r="AC40" s="197"/>
      <c r="AD40" s="198"/>
    </row>
    <row r="41" s="182" customFormat="1" ht="16" customHeight="1" spans="1:31">
      <c r="A41" s="193" t="s">
        <v>7519</v>
      </c>
      <c r="B41" s="194" t="s">
        <v>7699</v>
      </c>
      <c r="C41" s="193" t="s">
        <v>7512</v>
      </c>
      <c r="D41" s="195" t="s">
        <v>7742</v>
      </c>
      <c r="E41" s="196">
        <v>46160</v>
      </c>
      <c r="F41" s="194" t="s">
        <v>7516</v>
      </c>
      <c r="G41" s="197" t="s">
        <v>7507</v>
      </c>
      <c r="H41" s="194">
        <v>7000</v>
      </c>
      <c r="I41" s="197"/>
      <c r="J41" s="197"/>
      <c r="K41" s="197"/>
      <c r="L41" s="197"/>
      <c r="M41" s="197"/>
      <c r="N41" s="194">
        <v>7000</v>
      </c>
      <c r="O41" s="197"/>
      <c r="P41" s="197"/>
      <c r="Q41" s="197"/>
      <c r="R41" s="197"/>
      <c r="S41" s="197"/>
      <c r="T41" s="197"/>
      <c r="U41" s="197"/>
      <c r="V41" s="197"/>
      <c r="W41" s="194"/>
      <c r="X41" s="197"/>
      <c r="Y41" s="197"/>
      <c r="Z41" s="197"/>
      <c r="AA41" s="197"/>
      <c r="AB41" s="197"/>
      <c r="AC41" s="197"/>
      <c r="AD41" s="198"/>
    </row>
    <row r="42" s="182" customFormat="1" ht="16" customHeight="1" spans="1:31">
      <c r="A42" s="200" t="s">
        <v>7590</v>
      </c>
      <c r="B42" s="194" t="s">
        <v>7699</v>
      </c>
      <c r="C42" s="193" t="s">
        <v>7512</v>
      </c>
      <c r="D42" s="195">
        <v>1000040490</v>
      </c>
      <c r="E42" s="196">
        <v>46168</v>
      </c>
      <c r="F42" s="194" t="s">
        <v>7506</v>
      </c>
      <c r="G42" s="201" t="s">
        <v>98</v>
      </c>
      <c r="H42" s="194">
        <v>4996</v>
      </c>
      <c r="I42" s="197"/>
      <c r="J42" s="197"/>
      <c r="K42" s="197"/>
      <c r="L42" s="197"/>
      <c r="M42" s="194">
        <v>4996</v>
      </c>
      <c r="N42" s="194"/>
      <c r="O42" s="197"/>
      <c r="P42" s="197"/>
      <c r="Q42" s="197"/>
      <c r="R42" s="197"/>
      <c r="S42" s="197"/>
      <c r="T42" s="197"/>
      <c r="U42" s="197"/>
      <c r="V42" s="197"/>
      <c r="W42" s="194"/>
      <c r="X42" s="197"/>
      <c r="Y42" s="197"/>
      <c r="Z42" s="197"/>
      <c r="AA42" s="197"/>
      <c r="AB42" s="197"/>
      <c r="AC42" s="197"/>
      <c r="AD42" s="202" t="s">
        <v>7743</v>
      </c>
    </row>
    <row r="43" s="182" customFormat="1" ht="16" customHeight="1" spans="1:31">
      <c r="A43" s="200" t="s">
        <v>7575</v>
      </c>
      <c r="B43" s="194" t="s">
        <v>7720</v>
      </c>
      <c r="C43" s="193" t="s">
        <v>7721</v>
      </c>
      <c r="D43" s="195">
        <v>1000040497</v>
      </c>
      <c r="E43" s="196">
        <v>46182</v>
      </c>
      <c r="F43" s="194" t="s">
        <v>7506</v>
      </c>
      <c r="G43" s="197" t="s">
        <v>98</v>
      </c>
      <c r="H43" s="194">
        <v>99360</v>
      </c>
      <c r="I43" s="197"/>
      <c r="J43" s="197"/>
      <c r="K43" s="197"/>
      <c r="L43" s="197"/>
      <c r="M43" s="194"/>
      <c r="N43" s="194"/>
      <c r="O43" s="197"/>
      <c r="P43" s="194"/>
      <c r="Q43" s="197"/>
      <c r="R43" s="197"/>
      <c r="S43" s="197"/>
      <c r="T43" s="197"/>
      <c r="U43" s="194">
        <v>99360</v>
      </c>
      <c r="V43" s="197"/>
      <c r="W43" s="194"/>
      <c r="X43" s="197"/>
      <c r="Y43" s="197"/>
      <c r="Z43" s="197"/>
      <c r="AA43" s="197"/>
      <c r="AB43" s="197"/>
      <c r="AC43" s="197"/>
      <c r="AD43" s="203" t="s">
        <v>7744</v>
      </c>
      <c r="AE43" s="182" t="s">
        <v>7745</v>
      </c>
    </row>
    <row r="44" s="182" customFormat="1" ht="16" customHeight="1" spans="1:31">
      <c r="A44" s="200" t="s">
        <v>7575</v>
      </c>
      <c r="B44" s="194" t="s">
        <v>7720</v>
      </c>
      <c r="C44" s="193" t="s">
        <v>7724</v>
      </c>
      <c r="D44" s="195">
        <v>1000040498</v>
      </c>
      <c r="E44" s="196">
        <v>46182</v>
      </c>
      <c r="F44" s="194" t="s">
        <v>7506</v>
      </c>
      <c r="G44" s="197" t="s">
        <v>98</v>
      </c>
      <c r="H44" s="194">
        <v>298080</v>
      </c>
      <c r="I44" s="197"/>
      <c r="J44" s="197"/>
      <c r="K44" s="197"/>
      <c r="L44" s="197"/>
      <c r="M44" s="194"/>
      <c r="N44" s="194"/>
      <c r="O44" s="197"/>
      <c r="P44" s="197"/>
      <c r="Q44" s="197"/>
      <c r="R44" s="197"/>
      <c r="S44" s="197"/>
      <c r="T44" s="194">
        <v>298080</v>
      </c>
      <c r="U44" s="194"/>
      <c r="V44" s="197"/>
      <c r="W44" s="194"/>
      <c r="X44" s="197"/>
      <c r="Y44" s="197"/>
      <c r="Z44" s="197"/>
      <c r="AA44" s="197"/>
      <c r="AB44" s="197"/>
      <c r="AC44" s="197"/>
      <c r="AD44" s="203" t="s">
        <v>7744</v>
      </c>
      <c r="AE44" s="182" t="s">
        <v>7745</v>
      </c>
    </row>
    <row r="45" s="182" customFormat="1" ht="16" customHeight="1" spans="1:31">
      <c r="A45" s="200" t="s">
        <v>7575</v>
      </c>
      <c r="B45" s="194" t="s">
        <v>7720</v>
      </c>
      <c r="C45" s="193" t="s">
        <v>7504</v>
      </c>
      <c r="D45" s="195">
        <v>1000040499</v>
      </c>
      <c r="E45" s="196">
        <v>46182</v>
      </c>
      <c r="F45" s="194" t="s">
        <v>7506</v>
      </c>
      <c r="G45" s="197" t="s">
        <v>98</v>
      </c>
      <c r="H45" s="194">
        <v>298080</v>
      </c>
      <c r="I45" s="197"/>
      <c r="J45" s="197"/>
      <c r="K45" s="197"/>
      <c r="L45" s="197"/>
      <c r="M45" s="194"/>
      <c r="N45" s="194"/>
      <c r="O45" s="197"/>
      <c r="P45" s="197"/>
      <c r="Q45" s="197"/>
      <c r="R45" s="197"/>
      <c r="S45" s="194">
        <v>298080</v>
      </c>
      <c r="T45" s="197"/>
      <c r="U45" s="197"/>
      <c r="V45" s="197"/>
      <c r="W45" s="194"/>
      <c r="X45" s="197"/>
      <c r="Y45" s="197"/>
      <c r="Z45" s="197"/>
      <c r="AA45" s="197"/>
      <c r="AB45" s="197"/>
      <c r="AC45" s="197"/>
      <c r="AD45" s="203" t="s">
        <v>7744</v>
      </c>
      <c r="AE45" s="182" t="s">
        <v>7745</v>
      </c>
    </row>
    <row r="46" s="182" customFormat="1" ht="16" customHeight="1" spans="1:31">
      <c r="A46" s="200" t="s">
        <v>7575</v>
      </c>
      <c r="B46" s="194" t="s">
        <v>7720</v>
      </c>
      <c r="C46" s="193" t="s">
        <v>7727</v>
      </c>
      <c r="D46" s="195">
        <v>1000040500</v>
      </c>
      <c r="E46" s="196">
        <v>46182</v>
      </c>
      <c r="F46" s="194" t="s">
        <v>7506</v>
      </c>
      <c r="G46" s="197" t="s">
        <v>98</v>
      </c>
      <c r="H46" s="194">
        <v>99360</v>
      </c>
      <c r="I46" s="197"/>
      <c r="J46" s="197"/>
      <c r="K46" s="197"/>
      <c r="L46" s="197"/>
      <c r="M46" s="194"/>
      <c r="N46" s="194"/>
      <c r="O46" s="197"/>
      <c r="P46" s="197"/>
      <c r="Q46" s="194"/>
      <c r="R46" s="197"/>
      <c r="S46" s="197"/>
      <c r="T46" s="197"/>
      <c r="U46" s="197"/>
      <c r="V46" s="194">
        <v>99360</v>
      </c>
      <c r="W46" s="194"/>
      <c r="X46" s="197"/>
      <c r="Y46" s="197"/>
      <c r="Z46" s="197"/>
      <c r="AA46" s="197"/>
      <c r="AB46" s="197"/>
      <c r="AC46" s="197"/>
      <c r="AD46" s="203" t="s">
        <v>7744</v>
      </c>
      <c r="AE46" s="182" t="s">
        <v>7745</v>
      </c>
    </row>
    <row r="47" s="182" customFormat="1" ht="16" customHeight="1" spans="1:31">
      <c r="A47" s="200" t="s">
        <v>7575</v>
      </c>
      <c r="B47" s="194" t="s">
        <v>7720</v>
      </c>
      <c r="C47" s="193" t="s">
        <v>7729</v>
      </c>
      <c r="D47" s="195">
        <v>1000040501</v>
      </c>
      <c r="E47" s="196">
        <v>46182</v>
      </c>
      <c r="F47" s="194" t="s">
        <v>7506</v>
      </c>
      <c r="G47" s="197" t="s">
        <v>98</v>
      </c>
      <c r="H47" s="194">
        <v>16560</v>
      </c>
      <c r="I47" s="197"/>
      <c r="J47" s="197"/>
      <c r="K47" s="197"/>
      <c r="L47" s="197"/>
      <c r="M47" s="194"/>
      <c r="N47" s="194"/>
      <c r="O47" s="197"/>
      <c r="P47" s="197"/>
      <c r="Q47" s="197"/>
      <c r="R47" s="197"/>
      <c r="S47" s="197"/>
      <c r="T47" s="197"/>
      <c r="U47" s="197"/>
      <c r="V47" s="197"/>
      <c r="W47" s="194">
        <v>16560</v>
      </c>
      <c r="X47" s="197"/>
      <c r="Y47" s="197"/>
      <c r="Z47" s="197"/>
      <c r="AA47" s="197"/>
      <c r="AB47" s="197"/>
      <c r="AC47" s="197"/>
      <c r="AD47" s="203" t="s">
        <v>7744</v>
      </c>
      <c r="AE47" s="182" t="s">
        <v>7745</v>
      </c>
    </row>
    <row r="48" s="182" customFormat="1" ht="16" customHeight="1" spans="1:31">
      <c r="A48" s="200" t="s">
        <v>7590</v>
      </c>
      <c r="B48" s="194">
        <v>77869</v>
      </c>
      <c r="C48" s="193" t="s">
        <v>7746</v>
      </c>
      <c r="D48" s="195">
        <v>1000040860</v>
      </c>
      <c r="E48" s="196">
        <v>46174</v>
      </c>
      <c r="F48" s="194" t="s">
        <v>7516</v>
      </c>
      <c r="G48" s="201" t="s">
        <v>98</v>
      </c>
      <c r="H48" s="194">
        <v>20004</v>
      </c>
      <c r="I48" s="197"/>
      <c r="J48" s="197"/>
      <c r="K48" s="197"/>
      <c r="L48" s="197"/>
      <c r="M48" s="194"/>
      <c r="N48" s="194"/>
      <c r="O48" s="197"/>
      <c r="P48" s="197"/>
      <c r="Q48" s="197"/>
      <c r="R48" s="197">
        <v>20004</v>
      </c>
      <c r="S48" s="197"/>
      <c r="T48" s="197"/>
      <c r="U48" s="197"/>
      <c r="V48" s="197"/>
      <c r="W48" s="194"/>
      <c r="X48" s="197"/>
      <c r="Y48" s="197"/>
      <c r="Z48" s="197"/>
      <c r="AA48" s="197"/>
      <c r="AB48" s="197"/>
      <c r="AC48" s="197"/>
      <c r="AD48" s="202" t="s">
        <v>7747</v>
      </c>
    </row>
    <row r="49" s="182" customFormat="1" ht="16" customHeight="1" spans="1:31">
      <c r="A49" s="193" t="s">
        <v>7519</v>
      </c>
      <c r="B49" s="194">
        <v>77794</v>
      </c>
      <c r="C49" s="193" t="s">
        <v>7693</v>
      </c>
      <c r="D49" s="195">
        <v>1000040994</v>
      </c>
      <c r="E49" s="196">
        <v>46176</v>
      </c>
      <c r="F49" s="194" t="s">
        <v>7506</v>
      </c>
      <c r="G49" s="197" t="s">
        <v>7609</v>
      </c>
      <c r="H49" s="194">
        <v>250000</v>
      </c>
      <c r="I49" s="194">
        <v>250000</v>
      </c>
      <c r="J49" s="197"/>
      <c r="K49" s="197"/>
      <c r="L49" s="197"/>
      <c r="M49" s="197"/>
      <c r="N49" s="197"/>
      <c r="O49" s="197"/>
      <c r="P49" s="197"/>
      <c r="Q49" s="197"/>
      <c r="R49" s="197"/>
      <c r="S49" s="197"/>
      <c r="T49" s="197"/>
      <c r="U49" s="197"/>
      <c r="V49" s="197"/>
      <c r="W49" s="194"/>
      <c r="X49" s="197"/>
      <c r="Y49" s="197"/>
      <c r="Z49" s="197"/>
      <c r="AA49" s="197"/>
      <c r="AB49" s="197"/>
      <c r="AC49" s="197"/>
      <c r="AD49" s="198" t="s">
        <v>7703</v>
      </c>
    </row>
    <row r="50" s="182" customFormat="1" ht="16" customHeight="1" spans="1:31">
      <c r="A50" s="193" t="s">
        <v>7519</v>
      </c>
      <c r="B50" s="194">
        <v>77794</v>
      </c>
      <c r="C50" s="193" t="s">
        <v>7693</v>
      </c>
      <c r="D50" s="195">
        <v>1000040995</v>
      </c>
      <c r="E50" s="196">
        <v>46176</v>
      </c>
      <c r="F50" s="194" t="s">
        <v>7516</v>
      </c>
      <c r="G50" s="197" t="s">
        <v>7609</v>
      </c>
      <c r="H50" s="194">
        <v>150000</v>
      </c>
      <c r="I50" s="197"/>
      <c r="J50" s="194">
        <v>150000</v>
      </c>
      <c r="K50" s="197"/>
      <c r="L50" s="197"/>
      <c r="M50" s="197"/>
      <c r="N50" s="197"/>
      <c r="O50" s="197"/>
      <c r="P50" s="197"/>
      <c r="Q50" s="197"/>
      <c r="R50" s="197"/>
      <c r="S50" s="197"/>
      <c r="T50" s="197"/>
      <c r="U50" s="197"/>
      <c r="V50" s="197"/>
      <c r="W50" s="194"/>
      <c r="X50" s="197"/>
      <c r="Y50" s="197"/>
      <c r="Z50" s="197"/>
      <c r="AA50" s="197"/>
      <c r="AB50" s="197"/>
      <c r="AC50" s="197"/>
      <c r="AD50" s="198" t="s">
        <v>7703</v>
      </c>
    </row>
    <row r="51" s="182" customFormat="1" ht="16" customHeight="1" spans="1:31">
      <c r="A51" s="193" t="s">
        <v>7519</v>
      </c>
      <c r="B51" s="194">
        <v>77794</v>
      </c>
      <c r="C51" s="193" t="s">
        <v>7748</v>
      </c>
      <c r="D51" s="195">
        <v>1000040996</v>
      </c>
      <c r="E51" s="196">
        <v>46176</v>
      </c>
      <c r="F51" s="194" t="s">
        <v>7713</v>
      </c>
      <c r="G51" s="197" t="s">
        <v>7507</v>
      </c>
      <c r="H51" s="194">
        <v>300000</v>
      </c>
      <c r="I51" s="197"/>
      <c r="J51" s="197"/>
      <c r="K51" s="194">
        <v>300000</v>
      </c>
      <c r="L51" s="197"/>
      <c r="M51" s="197"/>
      <c r="N51" s="197"/>
      <c r="O51" s="197"/>
      <c r="P51" s="197"/>
      <c r="Q51" s="197"/>
      <c r="R51" s="197"/>
      <c r="S51" s="197"/>
      <c r="T51" s="197"/>
      <c r="U51" s="197"/>
      <c r="V51" s="197"/>
      <c r="W51" s="194"/>
      <c r="X51" s="197"/>
      <c r="Y51" s="197"/>
      <c r="Z51" s="197"/>
      <c r="AA51" s="197"/>
      <c r="AB51" s="197"/>
      <c r="AC51" s="197"/>
      <c r="AD51" s="198" t="s">
        <v>7735</v>
      </c>
    </row>
    <row r="52" s="182" customFormat="1" ht="16" customHeight="1" spans="1:31">
      <c r="A52" s="193" t="s">
        <v>7519</v>
      </c>
      <c r="B52" s="194">
        <v>77794</v>
      </c>
      <c r="C52" s="193" t="s">
        <v>7714</v>
      </c>
      <c r="D52" s="195">
        <v>1000040997</v>
      </c>
      <c r="E52" s="196">
        <v>46176</v>
      </c>
      <c r="F52" s="194" t="s">
        <v>7713</v>
      </c>
      <c r="G52" s="197" t="s">
        <v>7507</v>
      </c>
      <c r="H52" s="194">
        <v>300000</v>
      </c>
      <c r="I52" s="197"/>
      <c r="J52" s="197"/>
      <c r="K52" s="197"/>
      <c r="L52" s="194">
        <v>300000</v>
      </c>
      <c r="M52" s="197"/>
      <c r="N52" s="197"/>
      <c r="O52" s="197"/>
      <c r="P52" s="197"/>
      <c r="Q52" s="197"/>
      <c r="R52" s="197"/>
      <c r="S52" s="197"/>
      <c r="T52" s="197"/>
      <c r="U52" s="197"/>
      <c r="V52" s="197"/>
      <c r="W52" s="194"/>
      <c r="X52" s="197"/>
      <c r="Y52" s="197"/>
      <c r="Z52" s="197"/>
      <c r="AA52" s="197"/>
      <c r="AB52" s="197"/>
      <c r="AC52" s="197"/>
      <c r="AD52" s="198" t="s">
        <v>7736</v>
      </c>
    </row>
    <row r="53" s="182" customFormat="1" ht="16" customHeight="1" spans="1:31">
      <c r="A53" s="193" t="s">
        <v>7519</v>
      </c>
      <c r="B53" s="194" t="s">
        <v>7699</v>
      </c>
      <c r="C53" s="193" t="s">
        <v>7512</v>
      </c>
      <c r="D53" s="195">
        <v>1000040998</v>
      </c>
      <c r="E53" s="196">
        <v>46176</v>
      </c>
      <c r="F53" s="194" t="s">
        <v>7506</v>
      </c>
      <c r="G53" s="197" t="s">
        <v>7507</v>
      </c>
      <c r="H53" s="194">
        <v>20000</v>
      </c>
      <c r="I53" s="197"/>
      <c r="J53" s="197"/>
      <c r="K53" s="197"/>
      <c r="L53" s="197"/>
      <c r="M53" s="194">
        <v>20000</v>
      </c>
      <c r="N53" s="197"/>
      <c r="O53" s="197"/>
      <c r="P53" s="197"/>
      <c r="Q53" s="197"/>
      <c r="R53" s="197"/>
      <c r="S53" s="197"/>
      <c r="T53" s="197"/>
      <c r="U53" s="197"/>
      <c r="V53" s="197"/>
      <c r="W53" s="194"/>
      <c r="X53" s="197"/>
      <c r="Y53" s="197"/>
      <c r="Z53" s="197"/>
      <c r="AA53" s="197"/>
      <c r="AB53" s="197"/>
      <c r="AC53" s="197"/>
      <c r="AD53" s="198"/>
    </row>
    <row r="54" s="182" customFormat="1" ht="16" customHeight="1" spans="1:31">
      <c r="A54" s="193" t="s">
        <v>7519</v>
      </c>
      <c r="B54" s="194" t="s">
        <v>7699</v>
      </c>
      <c r="C54" s="193" t="s">
        <v>7512</v>
      </c>
      <c r="D54" s="195">
        <v>1000040999</v>
      </c>
      <c r="E54" s="196">
        <v>46176</v>
      </c>
      <c r="F54" s="194" t="s">
        <v>7516</v>
      </c>
      <c r="G54" s="197" t="s">
        <v>7507</v>
      </c>
      <c r="H54" s="194">
        <v>3000</v>
      </c>
      <c r="I54" s="197"/>
      <c r="J54" s="197"/>
      <c r="K54" s="197"/>
      <c r="L54" s="197"/>
      <c r="M54" s="197"/>
      <c r="N54" s="194">
        <v>3000</v>
      </c>
      <c r="O54" s="197"/>
      <c r="P54" s="197"/>
      <c r="Q54" s="197"/>
      <c r="R54" s="197"/>
      <c r="S54" s="197"/>
      <c r="T54" s="197"/>
      <c r="U54" s="197"/>
      <c r="V54" s="197"/>
      <c r="W54" s="197"/>
      <c r="X54" s="197"/>
      <c r="Y54" s="197"/>
      <c r="Z54" s="197"/>
      <c r="AA54" s="197"/>
      <c r="AB54" s="197"/>
      <c r="AC54" s="197"/>
      <c r="AD54" s="198"/>
    </row>
    <row r="55" s="182" customFormat="1" ht="16" customHeight="1" spans="1:31">
      <c r="A55" s="200" t="s">
        <v>7575</v>
      </c>
      <c r="B55" s="194" t="s">
        <v>7720</v>
      </c>
      <c r="C55" s="193" t="s">
        <v>7721</v>
      </c>
      <c r="D55" s="195">
        <v>1000041179</v>
      </c>
      <c r="E55" s="196">
        <v>46182</v>
      </c>
      <c r="F55" s="194" t="s">
        <v>7506</v>
      </c>
      <c r="G55" s="197" t="s">
        <v>98</v>
      </c>
      <c r="H55" s="194">
        <v>90720</v>
      </c>
      <c r="I55" s="197"/>
      <c r="J55" s="197"/>
      <c r="K55" s="197"/>
      <c r="L55" s="197"/>
      <c r="M55" s="197"/>
      <c r="N55" s="194"/>
      <c r="O55" s="197"/>
      <c r="P55" s="197"/>
      <c r="Q55" s="197"/>
      <c r="R55" s="197"/>
      <c r="S55" s="197"/>
      <c r="T55" s="197"/>
      <c r="U55" s="194">
        <v>90720</v>
      </c>
      <c r="V55" s="197"/>
      <c r="W55" s="197"/>
      <c r="X55" s="197"/>
      <c r="Y55" s="197"/>
      <c r="Z55" s="197"/>
      <c r="AA55" s="197"/>
      <c r="AB55" s="197"/>
      <c r="AC55" s="197"/>
      <c r="AD55" s="198" t="s">
        <v>7749</v>
      </c>
      <c r="AE55" s="182" t="s">
        <v>7750</v>
      </c>
    </row>
    <row r="56" s="182" customFormat="1" ht="16" customHeight="1" spans="1:31">
      <c r="A56" s="200" t="s">
        <v>7575</v>
      </c>
      <c r="B56" s="194" t="s">
        <v>7720</v>
      </c>
      <c r="C56" s="193" t="s">
        <v>7724</v>
      </c>
      <c r="D56" s="195">
        <v>1000041180</v>
      </c>
      <c r="E56" s="196">
        <v>46182</v>
      </c>
      <c r="F56" s="194" t="s">
        <v>7506</v>
      </c>
      <c r="G56" s="197" t="s">
        <v>98</v>
      </c>
      <c r="H56" s="194">
        <v>272160</v>
      </c>
      <c r="I56" s="197"/>
      <c r="J56" s="197"/>
      <c r="K56" s="197"/>
      <c r="L56" s="197"/>
      <c r="M56" s="197"/>
      <c r="N56" s="194"/>
      <c r="O56" s="197"/>
      <c r="P56" s="197"/>
      <c r="Q56" s="197"/>
      <c r="R56" s="197"/>
      <c r="S56" s="197"/>
      <c r="T56" s="194">
        <v>272160</v>
      </c>
      <c r="U56" s="197"/>
      <c r="V56" s="197"/>
      <c r="W56" s="197"/>
      <c r="X56" s="197"/>
      <c r="Y56" s="197"/>
      <c r="Z56" s="197"/>
      <c r="AA56" s="197"/>
      <c r="AB56" s="197"/>
      <c r="AC56" s="197"/>
      <c r="AD56" s="198" t="s">
        <v>7749</v>
      </c>
      <c r="AE56" s="182" t="s">
        <v>7750</v>
      </c>
    </row>
    <row r="57" s="182" customFormat="1" ht="16" customHeight="1" spans="1:31">
      <c r="A57" s="200" t="s">
        <v>7575</v>
      </c>
      <c r="B57" s="194" t="s">
        <v>7720</v>
      </c>
      <c r="C57" s="193" t="s">
        <v>7504</v>
      </c>
      <c r="D57" s="195">
        <v>1000041181</v>
      </c>
      <c r="E57" s="196">
        <v>46182</v>
      </c>
      <c r="F57" s="194" t="s">
        <v>7506</v>
      </c>
      <c r="G57" s="197" t="s">
        <v>98</v>
      </c>
      <c r="H57" s="194">
        <v>272160</v>
      </c>
      <c r="I57" s="197"/>
      <c r="J57" s="197"/>
      <c r="K57" s="197"/>
      <c r="L57" s="197"/>
      <c r="M57" s="197"/>
      <c r="N57" s="194"/>
      <c r="O57" s="197"/>
      <c r="P57" s="197"/>
      <c r="Q57" s="197"/>
      <c r="R57" s="197"/>
      <c r="S57" s="194">
        <v>272160</v>
      </c>
      <c r="T57" s="197"/>
      <c r="U57" s="197"/>
      <c r="V57" s="197"/>
      <c r="W57" s="197"/>
      <c r="X57" s="197"/>
      <c r="Y57" s="197"/>
      <c r="Z57" s="197"/>
      <c r="AA57" s="197"/>
      <c r="AB57" s="197"/>
      <c r="AC57" s="197"/>
      <c r="AD57" s="198" t="s">
        <v>7749</v>
      </c>
      <c r="AE57" s="182" t="s">
        <v>7750</v>
      </c>
    </row>
    <row r="58" s="182" customFormat="1" ht="16" customHeight="1" spans="1:31">
      <c r="A58" s="200" t="s">
        <v>7575</v>
      </c>
      <c r="B58" s="194" t="s">
        <v>7720</v>
      </c>
      <c r="C58" s="193" t="s">
        <v>7727</v>
      </c>
      <c r="D58" s="195">
        <v>1000041182</v>
      </c>
      <c r="E58" s="196">
        <v>46182</v>
      </c>
      <c r="F58" s="194" t="s">
        <v>7506</v>
      </c>
      <c r="G58" s="197" t="s">
        <v>98</v>
      </c>
      <c r="H58" s="194">
        <v>90720</v>
      </c>
      <c r="I58" s="197"/>
      <c r="J58" s="197"/>
      <c r="K58" s="197"/>
      <c r="L58" s="197"/>
      <c r="M58" s="197"/>
      <c r="N58" s="194"/>
      <c r="O58" s="197"/>
      <c r="P58" s="197"/>
      <c r="Q58" s="197"/>
      <c r="R58" s="197"/>
      <c r="S58" s="197"/>
      <c r="T58" s="197"/>
      <c r="U58" s="197"/>
      <c r="V58" s="194">
        <v>90720</v>
      </c>
      <c r="W58" s="197"/>
      <c r="X58" s="197"/>
      <c r="Y58" s="197"/>
      <c r="Z58" s="197"/>
      <c r="AA58" s="197"/>
      <c r="AB58" s="197"/>
      <c r="AC58" s="197"/>
      <c r="AD58" s="198" t="s">
        <v>7749</v>
      </c>
      <c r="AE58" s="182" t="s">
        <v>7750</v>
      </c>
    </row>
    <row r="59" s="182" customFormat="1" ht="16" customHeight="1" spans="1:31">
      <c r="A59" s="200" t="s">
        <v>7575</v>
      </c>
      <c r="B59" s="194" t="s">
        <v>7720</v>
      </c>
      <c r="C59" s="193" t="s">
        <v>7729</v>
      </c>
      <c r="D59" s="195">
        <v>1000041183</v>
      </c>
      <c r="E59" s="196">
        <v>46182</v>
      </c>
      <c r="F59" s="194" t="s">
        <v>7506</v>
      </c>
      <c r="G59" s="197" t="s">
        <v>98</v>
      </c>
      <c r="H59" s="194">
        <v>15120</v>
      </c>
      <c r="I59" s="197"/>
      <c r="J59" s="197"/>
      <c r="K59" s="197"/>
      <c r="L59" s="197"/>
      <c r="M59" s="197"/>
      <c r="N59" s="194"/>
      <c r="O59" s="197"/>
      <c r="P59" s="197"/>
      <c r="Q59" s="197"/>
      <c r="R59" s="197"/>
      <c r="S59" s="197"/>
      <c r="T59" s="197"/>
      <c r="U59" s="197"/>
      <c r="V59" s="197"/>
      <c r="W59" s="194">
        <v>15120</v>
      </c>
      <c r="X59" s="197"/>
      <c r="Y59" s="197"/>
      <c r="Z59" s="197"/>
      <c r="AA59" s="197"/>
      <c r="AB59" s="197"/>
      <c r="AC59" s="197"/>
      <c r="AD59" s="198" t="s">
        <v>7749</v>
      </c>
      <c r="AE59" s="182" t="s">
        <v>7750</v>
      </c>
    </row>
    <row r="60" s="182" customFormat="1" ht="16" customHeight="1" spans="1:31">
      <c r="A60" s="193" t="s">
        <v>7519</v>
      </c>
      <c r="B60" s="194">
        <v>77794</v>
      </c>
      <c r="C60" s="193" t="s">
        <v>7693</v>
      </c>
      <c r="D60" s="195">
        <v>1000041405</v>
      </c>
      <c r="E60" s="196">
        <v>46185</v>
      </c>
      <c r="F60" s="194" t="s">
        <v>7506</v>
      </c>
      <c r="G60" s="201" t="s">
        <v>7609</v>
      </c>
      <c r="H60" s="194">
        <v>250000</v>
      </c>
      <c r="I60" s="194">
        <v>250000</v>
      </c>
      <c r="J60" s="197"/>
      <c r="K60" s="197"/>
      <c r="L60" s="197"/>
      <c r="M60" s="197"/>
      <c r="N60" s="194"/>
      <c r="O60" s="197"/>
      <c r="P60" s="197"/>
      <c r="Q60" s="197"/>
      <c r="R60" s="197"/>
      <c r="S60" s="197"/>
      <c r="T60" s="197"/>
      <c r="U60" s="197"/>
      <c r="V60" s="197"/>
      <c r="W60" s="197"/>
      <c r="X60" s="197"/>
      <c r="Y60" s="197"/>
      <c r="Z60" s="197"/>
      <c r="AA60" s="197"/>
      <c r="AB60" s="197"/>
      <c r="AC60" s="197"/>
      <c r="AD60" s="203" t="s">
        <v>7703</v>
      </c>
    </row>
    <row r="61" s="182" customFormat="1" ht="16" customHeight="1" spans="1:31">
      <c r="A61" s="193" t="s">
        <v>7519</v>
      </c>
      <c r="B61" s="194">
        <v>77794</v>
      </c>
      <c r="C61" s="193" t="s">
        <v>7693</v>
      </c>
      <c r="D61" s="195">
        <v>1000041406</v>
      </c>
      <c r="E61" s="196">
        <v>46185</v>
      </c>
      <c r="F61" s="194" t="s">
        <v>7516</v>
      </c>
      <c r="G61" s="201" t="s">
        <v>7609</v>
      </c>
      <c r="H61" s="194">
        <v>150000</v>
      </c>
      <c r="I61" s="197"/>
      <c r="J61" s="194">
        <v>150000</v>
      </c>
      <c r="K61" s="197"/>
      <c r="L61" s="197"/>
      <c r="M61" s="197"/>
      <c r="N61" s="194"/>
      <c r="O61" s="197"/>
      <c r="P61" s="197"/>
      <c r="Q61" s="197"/>
      <c r="R61" s="197"/>
      <c r="S61" s="197"/>
      <c r="T61" s="197"/>
      <c r="U61" s="197"/>
      <c r="V61" s="197"/>
      <c r="W61" s="197"/>
      <c r="X61" s="197"/>
      <c r="Y61" s="197"/>
      <c r="Z61" s="197"/>
      <c r="AA61" s="197"/>
      <c r="AB61" s="197"/>
      <c r="AC61" s="197"/>
      <c r="AD61" s="203" t="s">
        <v>7703</v>
      </c>
    </row>
    <row r="62" s="182" customFormat="1" ht="16" customHeight="1" spans="1:31">
      <c r="A62" s="193" t="s">
        <v>7519</v>
      </c>
      <c r="B62" s="194">
        <v>77794</v>
      </c>
      <c r="C62" s="193" t="s">
        <v>7748</v>
      </c>
      <c r="D62" s="195">
        <v>1000041407</v>
      </c>
      <c r="E62" s="196">
        <v>46185</v>
      </c>
      <c r="F62" s="194" t="s">
        <v>7713</v>
      </c>
      <c r="G62" s="201" t="s">
        <v>7507</v>
      </c>
      <c r="H62" s="194">
        <v>300000</v>
      </c>
      <c r="I62" s="197"/>
      <c r="J62" s="197"/>
      <c r="K62" s="194">
        <v>300000</v>
      </c>
      <c r="L62" s="197"/>
      <c r="M62" s="197"/>
      <c r="N62" s="194"/>
      <c r="O62" s="197"/>
      <c r="P62" s="197"/>
      <c r="Q62" s="197"/>
      <c r="R62" s="197"/>
      <c r="S62" s="197"/>
      <c r="T62" s="197"/>
      <c r="U62" s="197"/>
      <c r="V62" s="197"/>
      <c r="W62" s="197"/>
      <c r="X62" s="197"/>
      <c r="Y62" s="197"/>
      <c r="Z62" s="197"/>
      <c r="AA62" s="197"/>
      <c r="AB62" s="197"/>
      <c r="AC62" s="197"/>
      <c r="AD62" s="203" t="s">
        <v>7735</v>
      </c>
    </row>
    <row r="63" s="182" customFormat="1" ht="16" customHeight="1" spans="1:31">
      <c r="A63" s="193" t="s">
        <v>7519</v>
      </c>
      <c r="B63" s="194">
        <v>77794</v>
      </c>
      <c r="C63" s="193" t="s">
        <v>7714</v>
      </c>
      <c r="D63" s="195">
        <v>1000041408</v>
      </c>
      <c r="E63" s="196">
        <v>46185</v>
      </c>
      <c r="F63" s="194" t="s">
        <v>7713</v>
      </c>
      <c r="G63" s="201" t="s">
        <v>7507</v>
      </c>
      <c r="H63" s="194">
        <v>300000</v>
      </c>
      <c r="I63" s="197"/>
      <c r="J63" s="197"/>
      <c r="K63" s="197"/>
      <c r="L63" s="194">
        <v>300000</v>
      </c>
      <c r="M63" s="197"/>
      <c r="N63" s="194"/>
      <c r="O63" s="197"/>
      <c r="P63" s="197"/>
      <c r="Q63" s="197"/>
      <c r="R63" s="197"/>
      <c r="S63" s="197"/>
      <c r="T63" s="197"/>
      <c r="U63" s="197"/>
      <c r="V63" s="197"/>
      <c r="W63" s="197"/>
      <c r="X63" s="197"/>
      <c r="Y63" s="197"/>
      <c r="Z63" s="197"/>
      <c r="AA63" s="197"/>
      <c r="AB63" s="197"/>
      <c r="AC63" s="197"/>
      <c r="AD63" s="203" t="s">
        <v>7736</v>
      </c>
    </row>
    <row r="64" s="182" customFormat="1" ht="16" customHeight="1" spans="1:31">
      <c r="A64" s="193" t="s">
        <v>7519</v>
      </c>
      <c r="B64" s="194" t="s">
        <v>7699</v>
      </c>
      <c r="C64" s="193" t="s">
        <v>7512</v>
      </c>
      <c r="D64" s="195">
        <v>1000041409</v>
      </c>
      <c r="E64" s="196">
        <v>46185</v>
      </c>
      <c r="F64" s="194" t="s">
        <v>7506</v>
      </c>
      <c r="G64" s="201" t="s">
        <v>7507</v>
      </c>
      <c r="H64" s="194">
        <v>10000</v>
      </c>
      <c r="I64" s="197"/>
      <c r="J64" s="197"/>
      <c r="K64" s="197"/>
      <c r="L64" s="197"/>
      <c r="M64" s="194">
        <v>10000</v>
      </c>
      <c r="N64" s="194"/>
      <c r="O64" s="197"/>
      <c r="P64" s="197"/>
      <c r="Q64" s="197"/>
      <c r="R64" s="197"/>
      <c r="S64" s="197"/>
      <c r="T64" s="197"/>
      <c r="U64" s="197"/>
      <c r="V64" s="197"/>
      <c r="W64" s="197"/>
      <c r="X64" s="197"/>
      <c r="Y64" s="197"/>
      <c r="Z64" s="197"/>
      <c r="AA64" s="197"/>
      <c r="AB64" s="197"/>
      <c r="AC64" s="197"/>
      <c r="AD64" s="203"/>
    </row>
    <row r="65" s="182" customFormat="1" ht="16" customHeight="1" spans="1:31">
      <c r="A65" s="193" t="s">
        <v>7519</v>
      </c>
      <c r="B65" s="194" t="s">
        <v>7699</v>
      </c>
      <c r="C65" s="193" t="s">
        <v>7512</v>
      </c>
      <c r="D65" s="195">
        <v>1000041410</v>
      </c>
      <c r="E65" s="196">
        <v>46185</v>
      </c>
      <c r="F65" s="194" t="s">
        <v>7516</v>
      </c>
      <c r="G65" s="201" t="s">
        <v>7507</v>
      </c>
      <c r="H65" s="194">
        <v>6000</v>
      </c>
      <c r="I65" s="197"/>
      <c r="J65" s="197"/>
      <c r="K65" s="197"/>
      <c r="L65" s="197"/>
      <c r="M65" s="197"/>
      <c r="N65" s="194">
        <v>6000</v>
      </c>
      <c r="O65" s="197"/>
      <c r="P65" s="197"/>
      <c r="Q65" s="197"/>
      <c r="R65" s="197"/>
      <c r="S65" s="197"/>
      <c r="T65" s="197"/>
      <c r="U65" s="197"/>
      <c r="V65" s="197"/>
      <c r="W65" s="197"/>
      <c r="X65" s="197"/>
      <c r="Y65" s="197"/>
      <c r="Z65" s="197"/>
      <c r="AA65" s="197"/>
      <c r="AB65" s="197"/>
      <c r="AC65" s="197"/>
      <c r="AD65" s="203"/>
    </row>
    <row r="66" s="182" customFormat="1" ht="16" customHeight="1" spans="1:31">
      <c r="A66" s="193" t="s">
        <v>7575</v>
      </c>
      <c r="B66" s="194" t="s">
        <v>7720</v>
      </c>
      <c r="C66" s="193" t="s">
        <v>7721</v>
      </c>
      <c r="D66" s="195">
        <v>1000041730</v>
      </c>
      <c r="E66" s="196">
        <v>46198</v>
      </c>
      <c r="F66" s="194" t="s">
        <v>7516</v>
      </c>
      <c r="G66" s="201" t="s">
        <v>98</v>
      </c>
      <c r="H66" s="194">
        <v>53760</v>
      </c>
      <c r="I66" s="197"/>
      <c r="J66" s="197"/>
      <c r="K66" s="197"/>
      <c r="L66" s="197"/>
      <c r="M66" s="197"/>
      <c r="N66" s="194"/>
      <c r="O66" s="197"/>
      <c r="P66" s="197"/>
      <c r="Q66" s="197"/>
      <c r="R66" s="197"/>
      <c r="S66" s="197"/>
      <c r="T66" s="197"/>
      <c r="U66" s="194">
        <v>53760</v>
      </c>
      <c r="V66" s="197"/>
      <c r="W66" s="197"/>
      <c r="X66" s="197"/>
      <c r="Y66" s="197"/>
      <c r="Z66" s="197"/>
      <c r="AA66" s="197"/>
      <c r="AB66" s="197"/>
      <c r="AC66" s="197"/>
      <c r="AD66" s="203" t="s">
        <v>7751</v>
      </c>
      <c r="AE66" s="204" t="s">
        <v>7752</v>
      </c>
    </row>
    <row r="67" s="182" customFormat="1" ht="16" customHeight="1" spans="1:31">
      <c r="A67" s="193" t="s">
        <v>7575</v>
      </c>
      <c r="B67" s="194" t="s">
        <v>7720</v>
      </c>
      <c r="C67" s="193" t="s">
        <v>7724</v>
      </c>
      <c r="D67" s="195">
        <v>1000041731</v>
      </c>
      <c r="E67" s="196">
        <v>46198</v>
      </c>
      <c r="F67" s="194" t="s">
        <v>7516</v>
      </c>
      <c r="G67" s="201" t="s">
        <v>98</v>
      </c>
      <c r="H67" s="194">
        <v>161280</v>
      </c>
      <c r="I67" s="197"/>
      <c r="J67" s="197"/>
      <c r="K67" s="197"/>
      <c r="L67" s="197"/>
      <c r="M67" s="197"/>
      <c r="N67" s="194"/>
      <c r="O67" s="197"/>
      <c r="P67" s="197"/>
      <c r="Q67" s="197"/>
      <c r="R67" s="197"/>
      <c r="S67" s="197"/>
      <c r="T67" s="194">
        <v>161280</v>
      </c>
      <c r="U67" s="197"/>
      <c r="V67" s="197"/>
      <c r="W67" s="197"/>
      <c r="X67" s="197"/>
      <c r="Y67" s="197"/>
      <c r="Z67" s="197"/>
      <c r="AA67" s="197"/>
      <c r="AB67" s="197"/>
      <c r="AC67" s="197"/>
      <c r="AD67" s="203" t="s">
        <v>7751</v>
      </c>
      <c r="AE67" s="204" t="s">
        <v>7752</v>
      </c>
    </row>
    <row r="68" s="182" customFormat="1" ht="16" customHeight="1" spans="1:31">
      <c r="A68" s="193" t="s">
        <v>7575</v>
      </c>
      <c r="B68" s="194" t="s">
        <v>7720</v>
      </c>
      <c r="C68" s="193" t="s">
        <v>7504</v>
      </c>
      <c r="D68" s="195">
        <v>1000041732</v>
      </c>
      <c r="E68" s="196">
        <v>46198</v>
      </c>
      <c r="F68" s="194" t="s">
        <v>7516</v>
      </c>
      <c r="G68" s="201" t="s">
        <v>98</v>
      </c>
      <c r="H68" s="194">
        <v>161280</v>
      </c>
      <c r="I68" s="197"/>
      <c r="J68" s="197"/>
      <c r="K68" s="197"/>
      <c r="L68" s="197"/>
      <c r="M68" s="197"/>
      <c r="N68" s="194"/>
      <c r="O68" s="197"/>
      <c r="P68" s="197"/>
      <c r="Q68" s="197"/>
      <c r="R68" s="197"/>
      <c r="S68" s="194">
        <v>161280</v>
      </c>
      <c r="T68" s="197"/>
      <c r="U68" s="197"/>
      <c r="V68" s="197"/>
      <c r="W68" s="197"/>
      <c r="X68" s="197"/>
      <c r="Y68" s="197"/>
      <c r="Z68" s="197"/>
      <c r="AA68" s="197"/>
      <c r="AB68" s="197"/>
      <c r="AC68" s="197"/>
      <c r="AD68" s="203" t="s">
        <v>7751</v>
      </c>
      <c r="AE68" s="204" t="s">
        <v>7752</v>
      </c>
    </row>
    <row r="69" s="182" customFormat="1" ht="16" customHeight="1" spans="1:31">
      <c r="A69" s="193" t="s">
        <v>7575</v>
      </c>
      <c r="B69" s="194" t="s">
        <v>7720</v>
      </c>
      <c r="C69" s="193" t="s">
        <v>7727</v>
      </c>
      <c r="D69" s="195">
        <v>1000041733</v>
      </c>
      <c r="E69" s="196">
        <v>46198</v>
      </c>
      <c r="F69" s="194" t="s">
        <v>7516</v>
      </c>
      <c r="G69" s="201" t="s">
        <v>98</v>
      </c>
      <c r="H69" s="194">
        <v>53760</v>
      </c>
      <c r="I69" s="197"/>
      <c r="J69" s="197"/>
      <c r="K69" s="197"/>
      <c r="L69" s="197"/>
      <c r="M69" s="197"/>
      <c r="N69" s="194"/>
      <c r="O69" s="197"/>
      <c r="P69" s="197"/>
      <c r="Q69" s="197"/>
      <c r="R69" s="197"/>
      <c r="S69" s="197"/>
      <c r="T69" s="197"/>
      <c r="U69" s="197"/>
      <c r="V69" s="194">
        <v>53760</v>
      </c>
      <c r="W69" s="197"/>
      <c r="X69" s="197"/>
      <c r="Y69" s="197"/>
      <c r="Z69" s="197"/>
      <c r="AA69" s="197"/>
      <c r="AB69" s="197"/>
      <c r="AC69" s="197"/>
      <c r="AD69" s="203" t="s">
        <v>7751</v>
      </c>
      <c r="AE69" s="204" t="s">
        <v>7752</v>
      </c>
    </row>
    <row r="70" s="182" customFormat="1" ht="16" customHeight="1" spans="1:31">
      <c r="A70" s="193" t="s">
        <v>7575</v>
      </c>
      <c r="B70" s="194" t="s">
        <v>7720</v>
      </c>
      <c r="C70" s="193" t="s">
        <v>7729</v>
      </c>
      <c r="D70" s="195">
        <v>1000041734</v>
      </c>
      <c r="E70" s="196">
        <v>46198</v>
      </c>
      <c r="F70" s="194" t="s">
        <v>7516</v>
      </c>
      <c r="G70" s="201" t="s">
        <v>98</v>
      </c>
      <c r="H70" s="194">
        <v>8960</v>
      </c>
      <c r="I70" s="197"/>
      <c r="J70" s="197"/>
      <c r="K70" s="197"/>
      <c r="L70" s="197"/>
      <c r="M70" s="197"/>
      <c r="N70" s="194"/>
      <c r="O70" s="197"/>
      <c r="P70" s="197"/>
      <c r="Q70" s="197"/>
      <c r="R70" s="197"/>
      <c r="S70" s="197"/>
      <c r="T70" s="197"/>
      <c r="U70" s="197"/>
      <c r="V70" s="197"/>
      <c r="W70" s="194">
        <v>8960</v>
      </c>
      <c r="X70" s="197"/>
      <c r="Y70" s="197"/>
      <c r="Z70" s="197"/>
      <c r="AA70" s="197"/>
      <c r="AB70" s="197"/>
      <c r="AC70" s="197"/>
      <c r="AD70" s="203" t="s">
        <v>7751</v>
      </c>
      <c r="AE70" s="204" t="s">
        <v>7752</v>
      </c>
    </row>
    <row r="71" s="182" customFormat="1" ht="16" customHeight="1" spans="1:31">
      <c r="A71" s="200" t="s">
        <v>7519</v>
      </c>
      <c r="B71" s="194">
        <v>77794</v>
      </c>
      <c r="C71" s="193" t="s">
        <v>7693</v>
      </c>
      <c r="D71" s="195">
        <v>1000042135</v>
      </c>
      <c r="E71" s="196">
        <v>46203</v>
      </c>
      <c r="F71" s="194" t="s">
        <v>7506</v>
      </c>
      <c r="G71" s="201" t="s">
        <v>7609</v>
      </c>
      <c r="H71" s="194">
        <v>250000</v>
      </c>
      <c r="I71" s="194">
        <v>250000</v>
      </c>
      <c r="J71" s="197"/>
      <c r="K71" s="197"/>
      <c r="L71" s="197"/>
      <c r="M71" s="197"/>
      <c r="N71" s="194"/>
      <c r="O71" s="197"/>
      <c r="P71" s="197"/>
      <c r="Q71" s="197"/>
      <c r="R71" s="197"/>
      <c r="S71" s="197"/>
      <c r="T71" s="197"/>
      <c r="U71" s="197"/>
      <c r="V71" s="197"/>
      <c r="W71" s="197"/>
      <c r="X71" s="197"/>
      <c r="Y71" s="197"/>
      <c r="Z71" s="197"/>
      <c r="AA71" s="197"/>
      <c r="AB71" s="197"/>
      <c r="AC71" s="197"/>
      <c r="AD71" s="203"/>
    </row>
    <row r="72" s="182" customFormat="1" ht="16" customHeight="1" spans="1:31">
      <c r="A72" s="200" t="s">
        <v>7519</v>
      </c>
      <c r="B72" s="194">
        <v>77794</v>
      </c>
      <c r="C72" s="193" t="s">
        <v>7693</v>
      </c>
      <c r="D72" s="195">
        <v>1000042136</v>
      </c>
      <c r="E72" s="196">
        <v>46203</v>
      </c>
      <c r="F72" s="194" t="s">
        <v>7516</v>
      </c>
      <c r="G72" s="201" t="s">
        <v>7609</v>
      </c>
      <c r="H72" s="194">
        <v>150000</v>
      </c>
      <c r="I72" s="197"/>
      <c r="J72" s="194">
        <v>150000</v>
      </c>
      <c r="K72" s="197"/>
      <c r="L72" s="197"/>
      <c r="M72" s="197"/>
      <c r="N72" s="194"/>
      <c r="O72" s="197"/>
      <c r="P72" s="197"/>
      <c r="Q72" s="197"/>
      <c r="R72" s="197"/>
      <c r="S72" s="197"/>
      <c r="T72" s="197"/>
      <c r="U72" s="197"/>
      <c r="V72" s="197"/>
      <c r="W72" s="197"/>
      <c r="X72" s="197"/>
      <c r="Y72" s="197"/>
      <c r="Z72" s="197"/>
      <c r="AA72" s="197"/>
      <c r="AB72" s="197"/>
      <c r="AC72" s="197"/>
      <c r="AD72" s="203"/>
    </row>
    <row r="73" s="182" customFormat="1" ht="16" customHeight="1" spans="1:31">
      <c r="A73" s="200" t="s">
        <v>7519</v>
      </c>
      <c r="B73" s="194" t="s">
        <v>7699</v>
      </c>
      <c r="C73" s="193" t="s">
        <v>7512</v>
      </c>
      <c r="D73" s="195">
        <v>1000042137</v>
      </c>
      <c r="E73" s="196">
        <v>46203</v>
      </c>
      <c r="F73" s="194" t="s">
        <v>7506</v>
      </c>
      <c r="G73" s="201" t="s">
        <v>7507</v>
      </c>
      <c r="H73" s="194">
        <v>10000</v>
      </c>
      <c r="I73" s="197"/>
      <c r="J73" s="197"/>
      <c r="K73" s="197"/>
      <c r="L73" s="197"/>
      <c r="M73" s="194">
        <v>10000</v>
      </c>
      <c r="N73" s="194"/>
      <c r="O73" s="197"/>
      <c r="P73" s="197"/>
      <c r="Q73" s="197"/>
      <c r="R73" s="197"/>
      <c r="S73" s="197"/>
      <c r="T73" s="197"/>
      <c r="U73" s="197"/>
      <c r="V73" s="197"/>
      <c r="W73" s="197"/>
      <c r="X73" s="197"/>
      <c r="Y73" s="197"/>
      <c r="Z73" s="197"/>
      <c r="AA73" s="197"/>
      <c r="AB73" s="197"/>
      <c r="AC73" s="197"/>
      <c r="AD73" s="203"/>
    </row>
    <row r="74" s="182" customFormat="1" ht="16" customHeight="1" spans="1:31">
      <c r="A74" s="200" t="s">
        <v>7519</v>
      </c>
      <c r="B74" s="194" t="s">
        <v>7699</v>
      </c>
      <c r="C74" s="193" t="s">
        <v>7512</v>
      </c>
      <c r="D74" s="195">
        <v>1000042138</v>
      </c>
      <c r="E74" s="196">
        <v>46203</v>
      </c>
      <c r="F74" s="194" t="s">
        <v>7516</v>
      </c>
      <c r="G74" s="201" t="s">
        <v>7507</v>
      </c>
      <c r="H74" s="194">
        <v>15000</v>
      </c>
      <c r="I74" s="197"/>
      <c r="J74" s="197"/>
      <c r="K74" s="197"/>
      <c r="L74" s="197"/>
      <c r="M74" s="197"/>
      <c r="N74" s="194">
        <v>15000</v>
      </c>
      <c r="O74" s="197"/>
      <c r="P74" s="197"/>
      <c r="Q74" s="197"/>
      <c r="R74" s="197"/>
      <c r="S74" s="197"/>
      <c r="T74" s="197"/>
      <c r="U74" s="197"/>
      <c r="V74" s="197"/>
      <c r="W74" s="197"/>
      <c r="X74" s="197"/>
      <c r="Y74" s="197"/>
      <c r="Z74" s="197"/>
      <c r="AA74" s="197"/>
      <c r="AB74" s="197"/>
      <c r="AC74" s="197"/>
      <c r="AD74" s="203"/>
    </row>
    <row r="75" s="182" customFormat="1" ht="16" customHeight="1" spans="1:31">
      <c r="A75" s="200" t="s">
        <v>7657</v>
      </c>
      <c r="B75" s="194">
        <v>77794</v>
      </c>
      <c r="C75" s="193" t="s">
        <v>7693</v>
      </c>
      <c r="D75" s="195">
        <v>1000042391</v>
      </c>
      <c r="E75" s="196">
        <v>46212</v>
      </c>
      <c r="F75" s="194" t="s">
        <v>7506</v>
      </c>
      <c r="G75" s="201" t="s">
        <v>7609</v>
      </c>
      <c r="H75" s="194">
        <v>200000</v>
      </c>
      <c r="I75" s="194">
        <v>200000</v>
      </c>
      <c r="J75" s="197"/>
      <c r="K75" s="197"/>
      <c r="L75" s="197"/>
      <c r="M75" s="197"/>
      <c r="N75" s="194"/>
      <c r="O75" s="197"/>
      <c r="P75" s="197"/>
      <c r="Q75" s="197"/>
      <c r="R75" s="197"/>
      <c r="S75" s="197"/>
      <c r="T75" s="197"/>
      <c r="U75" s="197"/>
      <c r="V75" s="197"/>
      <c r="W75" s="197"/>
      <c r="X75" s="197"/>
      <c r="Y75" s="197"/>
      <c r="Z75" s="197"/>
      <c r="AA75" s="197"/>
      <c r="AB75" s="197"/>
      <c r="AC75" s="197"/>
      <c r="AD75" s="203" t="s">
        <v>7703</v>
      </c>
    </row>
    <row r="76" s="182" customFormat="1" ht="16" customHeight="1" spans="1:31">
      <c r="A76" s="200" t="s">
        <v>7657</v>
      </c>
      <c r="B76" s="194" t="s">
        <v>7699</v>
      </c>
      <c r="C76" s="193" t="s">
        <v>7512</v>
      </c>
      <c r="D76" s="195">
        <v>1000042392</v>
      </c>
      <c r="E76" s="196">
        <v>46212</v>
      </c>
      <c r="F76" s="194" t="s">
        <v>7506</v>
      </c>
      <c r="G76" s="201" t="s">
        <v>7507</v>
      </c>
      <c r="H76" s="194">
        <v>60000</v>
      </c>
      <c r="I76" s="197"/>
      <c r="J76" s="197"/>
      <c r="K76" s="197"/>
      <c r="L76" s="197"/>
      <c r="M76" s="194">
        <v>60000</v>
      </c>
      <c r="N76" s="194"/>
      <c r="O76" s="197"/>
      <c r="P76" s="197"/>
      <c r="Q76" s="197"/>
      <c r="R76" s="197"/>
      <c r="S76" s="197"/>
      <c r="T76" s="197"/>
      <c r="U76" s="197"/>
      <c r="V76" s="197"/>
      <c r="W76" s="197"/>
      <c r="X76" s="197"/>
      <c r="Y76" s="197"/>
      <c r="Z76" s="197"/>
      <c r="AA76" s="197"/>
      <c r="AB76" s="197"/>
      <c r="AC76" s="197"/>
      <c r="AD76" s="203"/>
    </row>
    <row r="77" s="182" customFormat="1" ht="16" customHeight="1" spans="1:31">
      <c r="A77" s="200" t="s">
        <v>7657</v>
      </c>
      <c r="B77" s="194" t="s">
        <v>7699</v>
      </c>
      <c r="C77" s="193" t="s">
        <v>7512</v>
      </c>
      <c r="D77" s="195">
        <v>1000042393</v>
      </c>
      <c r="E77" s="196">
        <v>46212</v>
      </c>
      <c r="F77" s="194" t="s">
        <v>7516</v>
      </c>
      <c r="G77" s="201" t="s">
        <v>7507</v>
      </c>
      <c r="H77" s="194">
        <v>15000</v>
      </c>
      <c r="I77" s="197"/>
      <c r="J77" s="197"/>
      <c r="K77" s="197"/>
      <c r="L77" s="197"/>
      <c r="M77" s="197"/>
      <c r="N77" s="194">
        <v>15000</v>
      </c>
      <c r="O77" s="197"/>
      <c r="P77" s="197"/>
      <c r="Q77" s="197"/>
      <c r="R77" s="197"/>
      <c r="S77" s="197"/>
      <c r="T77" s="197"/>
      <c r="U77" s="197"/>
      <c r="V77" s="197"/>
      <c r="W77" s="197"/>
      <c r="X77" s="197"/>
      <c r="Y77" s="197"/>
      <c r="Z77" s="197"/>
      <c r="AA77" s="197"/>
      <c r="AB77" s="197"/>
      <c r="AC77" s="197"/>
      <c r="AD77" s="203"/>
    </row>
    <row r="78" s="182" customFormat="1" ht="16" customHeight="1" spans="1:31">
      <c r="A78" s="200" t="s">
        <v>7590</v>
      </c>
      <c r="B78" s="194" t="s">
        <v>7699</v>
      </c>
      <c r="C78" s="193" t="s">
        <v>7512</v>
      </c>
      <c r="D78" s="195">
        <v>1000042494</v>
      </c>
      <c r="E78" s="196">
        <v>46213</v>
      </c>
      <c r="F78" s="194" t="s">
        <v>7506</v>
      </c>
      <c r="G78" s="201" t="s">
        <v>7585</v>
      </c>
      <c r="H78" s="194">
        <v>6793</v>
      </c>
      <c r="I78" s="197"/>
      <c r="J78" s="197"/>
      <c r="K78" s="197"/>
      <c r="L78" s="197"/>
      <c r="M78" s="194">
        <v>6793</v>
      </c>
      <c r="N78" s="194"/>
      <c r="O78" s="197"/>
      <c r="P78" s="197"/>
      <c r="Q78" s="197"/>
      <c r="R78" s="197"/>
      <c r="S78" s="197"/>
      <c r="T78" s="197"/>
      <c r="U78" s="197"/>
      <c r="V78" s="197"/>
      <c r="W78" s="197"/>
      <c r="X78" s="197"/>
      <c r="Y78" s="197"/>
      <c r="Z78" s="197"/>
      <c r="AA78" s="197"/>
      <c r="AB78" s="197"/>
      <c r="AC78" s="197"/>
      <c r="AD78" s="203" t="s">
        <v>7753</v>
      </c>
    </row>
    <row r="79" s="182" customFormat="1" ht="16" customHeight="1" spans="1:31">
      <c r="A79" s="200" t="s">
        <v>7590</v>
      </c>
      <c r="B79" s="194" t="s">
        <v>7699</v>
      </c>
      <c r="C79" s="193" t="s">
        <v>7512</v>
      </c>
      <c r="D79" s="195">
        <v>1000043359</v>
      </c>
      <c r="E79" s="196">
        <v>46233</v>
      </c>
      <c r="F79" s="194" t="s">
        <v>7506</v>
      </c>
      <c r="G79" s="201" t="s">
        <v>7585</v>
      </c>
      <c r="H79" s="194">
        <v>1455</v>
      </c>
      <c r="I79" s="197"/>
      <c r="J79" s="197"/>
      <c r="K79" s="197"/>
      <c r="L79" s="197"/>
      <c r="M79" s="194">
        <v>1455</v>
      </c>
      <c r="N79" s="194"/>
      <c r="O79" s="197"/>
      <c r="P79" s="197"/>
      <c r="Q79" s="197"/>
      <c r="R79" s="197"/>
      <c r="S79" s="197"/>
      <c r="T79" s="197"/>
      <c r="U79" s="197"/>
      <c r="V79" s="197"/>
      <c r="W79" s="197"/>
      <c r="X79" s="197"/>
      <c r="Y79" s="197"/>
      <c r="Z79" s="197"/>
      <c r="AA79" s="197"/>
      <c r="AB79" s="197"/>
      <c r="AC79" s="197"/>
      <c r="AD79" s="203" t="s">
        <v>7754</v>
      </c>
    </row>
    <row r="80" s="183" customFormat="1" ht="16" customHeight="1" spans="1:31">
      <c r="A80" s="205" t="s">
        <v>7519</v>
      </c>
      <c r="B80" s="206">
        <v>77794</v>
      </c>
      <c r="C80" s="207" t="s">
        <v>7693</v>
      </c>
      <c r="D80" s="208"/>
      <c r="E80" s="209">
        <v>46237</v>
      </c>
      <c r="F80" s="206" t="s">
        <v>7506</v>
      </c>
      <c r="G80" s="210" t="s">
        <v>7670</v>
      </c>
      <c r="H80" s="206">
        <v>650000</v>
      </c>
      <c r="I80" s="211">
        <v>650000</v>
      </c>
      <c r="J80" s="211"/>
      <c r="K80" s="211"/>
      <c r="L80" s="211"/>
      <c r="M80" s="211"/>
      <c r="N80" s="206"/>
      <c r="O80" s="211"/>
      <c r="P80" s="211"/>
      <c r="Q80" s="211"/>
      <c r="R80" s="211"/>
      <c r="S80" s="211"/>
      <c r="T80" s="211"/>
      <c r="U80" s="211"/>
      <c r="V80" s="211"/>
      <c r="W80" s="211"/>
      <c r="X80" s="211"/>
      <c r="Y80" s="211"/>
      <c r="Z80" s="211"/>
      <c r="AA80" s="211"/>
      <c r="AB80" s="211"/>
      <c r="AC80" s="211"/>
      <c r="AD80" s="202"/>
    </row>
    <row r="81" s="183" customFormat="1" ht="16" customHeight="1" spans="1:30">
      <c r="A81" s="205" t="s">
        <v>7519</v>
      </c>
      <c r="B81" s="206">
        <v>77794</v>
      </c>
      <c r="C81" s="207" t="s">
        <v>7693</v>
      </c>
      <c r="D81" s="208"/>
      <c r="E81" s="209">
        <v>46237</v>
      </c>
      <c r="F81" s="206" t="s">
        <v>7516</v>
      </c>
      <c r="G81" s="210" t="s">
        <v>7670</v>
      </c>
      <c r="H81" s="206">
        <v>150000</v>
      </c>
      <c r="I81" s="211"/>
      <c r="J81" s="206">
        <v>150000</v>
      </c>
      <c r="K81" s="211"/>
      <c r="L81" s="211"/>
      <c r="M81" s="211"/>
      <c r="N81" s="206"/>
      <c r="O81" s="211"/>
      <c r="P81" s="211"/>
      <c r="Q81" s="211"/>
      <c r="R81" s="211"/>
      <c r="S81" s="211"/>
      <c r="T81" s="211"/>
      <c r="U81" s="211"/>
      <c r="V81" s="211"/>
      <c r="W81" s="211"/>
      <c r="X81" s="211"/>
      <c r="Y81" s="211"/>
      <c r="Z81" s="211"/>
      <c r="AA81" s="211"/>
      <c r="AB81" s="211"/>
      <c r="AC81" s="211"/>
      <c r="AD81" s="202"/>
    </row>
    <row r="82" s="183" customFormat="1" ht="16" customHeight="1" spans="1:30">
      <c r="A82" s="205" t="s">
        <v>7519</v>
      </c>
      <c r="B82" s="206" t="s">
        <v>7699</v>
      </c>
      <c r="C82" s="207" t="s">
        <v>7512</v>
      </c>
      <c r="D82" s="208"/>
      <c r="E82" s="209">
        <v>46237</v>
      </c>
      <c r="F82" s="206" t="s">
        <v>7506</v>
      </c>
      <c r="G82" s="210" t="s">
        <v>7609</v>
      </c>
      <c r="H82" s="206">
        <v>60000</v>
      </c>
      <c r="I82" s="211"/>
      <c r="J82" s="211"/>
      <c r="K82" s="211"/>
      <c r="L82" s="211"/>
      <c r="M82" s="206">
        <v>60000</v>
      </c>
      <c r="N82" s="206"/>
      <c r="O82" s="211"/>
      <c r="P82" s="211"/>
      <c r="Q82" s="211"/>
      <c r="R82" s="211"/>
      <c r="S82" s="211"/>
      <c r="T82" s="211"/>
      <c r="U82" s="211"/>
      <c r="V82" s="211"/>
      <c r="W82" s="211"/>
      <c r="X82" s="211"/>
      <c r="Y82" s="211"/>
      <c r="Z82" s="211"/>
      <c r="AA82" s="211"/>
      <c r="AB82" s="211"/>
      <c r="AC82" s="211"/>
      <c r="AD82" s="202"/>
    </row>
    <row r="83" s="183" customFormat="1" ht="16" customHeight="1" spans="1:30">
      <c r="A83" s="205" t="s">
        <v>7519</v>
      </c>
      <c r="B83" s="206" t="s">
        <v>7699</v>
      </c>
      <c r="C83" s="207" t="s">
        <v>7512</v>
      </c>
      <c r="D83" s="208"/>
      <c r="E83" s="209">
        <v>46237</v>
      </c>
      <c r="F83" s="206" t="s">
        <v>7516</v>
      </c>
      <c r="G83" s="210" t="s">
        <v>7609</v>
      </c>
      <c r="H83" s="206">
        <v>3000</v>
      </c>
      <c r="I83" s="211"/>
      <c r="J83" s="211"/>
      <c r="K83" s="211"/>
      <c r="L83" s="211"/>
      <c r="M83" s="211"/>
      <c r="N83" s="206">
        <v>3000</v>
      </c>
      <c r="O83" s="211"/>
      <c r="P83" s="211"/>
      <c r="Q83" s="211"/>
      <c r="R83" s="211"/>
      <c r="S83" s="211"/>
      <c r="T83" s="211"/>
      <c r="U83" s="211"/>
      <c r="V83" s="211"/>
      <c r="W83" s="211"/>
      <c r="X83" s="211"/>
      <c r="Y83" s="211"/>
      <c r="Z83" s="211"/>
      <c r="AA83" s="211"/>
      <c r="AB83" s="211"/>
      <c r="AC83" s="211"/>
      <c r="AD83" s="202"/>
    </row>
    <row r="84" s="183" customFormat="1" ht="16" customHeight="1" spans="1:30">
      <c r="A84" s="205" t="s">
        <v>7519</v>
      </c>
      <c r="B84" s="206">
        <v>77794</v>
      </c>
      <c r="C84" s="207" t="s">
        <v>7755</v>
      </c>
      <c r="D84" s="208"/>
      <c r="E84" s="209">
        <v>46237</v>
      </c>
      <c r="F84" s="206" t="s">
        <v>7713</v>
      </c>
      <c r="G84" s="210" t="s">
        <v>7507</v>
      </c>
      <c r="H84" s="206">
        <v>2170000</v>
      </c>
      <c r="I84" s="211"/>
      <c r="J84" s="211"/>
      <c r="K84" s="206">
        <v>2170000</v>
      </c>
      <c r="L84" s="211"/>
      <c r="M84" s="211"/>
      <c r="N84" s="206"/>
      <c r="O84" s="211"/>
      <c r="P84" s="211"/>
      <c r="Q84" s="211"/>
      <c r="R84" s="211"/>
      <c r="S84" s="211"/>
      <c r="T84" s="211"/>
      <c r="U84" s="211"/>
      <c r="V84" s="211"/>
      <c r="W84" s="211"/>
      <c r="X84" s="211"/>
      <c r="Y84" s="211"/>
      <c r="Z84" s="211"/>
      <c r="AA84" s="211"/>
      <c r="AB84" s="211"/>
      <c r="AC84" s="211"/>
      <c r="AD84" s="202"/>
    </row>
    <row r="85" s="183" customFormat="1" ht="16" customHeight="1" spans="1:30">
      <c r="A85" s="205" t="s">
        <v>7519</v>
      </c>
      <c r="B85" s="206">
        <v>77794</v>
      </c>
      <c r="C85" s="212" t="s">
        <v>7714</v>
      </c>
      <c r="D85" s="208"/>
      <c r="E85" s="209">
        <v>46237</v>
      </c>
      <c r="F85" s="206" t="s">
        <v>7713</v>
      </c>
      <c r="G85" s="210" t="s">
        <v>7507</v>
      </c>
      <c r="H85" s="206">
        <v>2170000</v>
      </c>
      <c r="I85" s="211"/>
      <c r="J85" s="211"/>
      <c r="K85" s="211"/>
      <c r="L85" s="206">
        <v>2170000</v>
      </c>
      <c r="M85" s="211"/>
      <c r="N85" s="206"/>
      <c r="O85" s="211"/>
      <c r="P85" s="211"/>
      <c r="Q85" s="211"/>
      <c r="R85" s="211"/>
      <c r="S85" s="211"/>
      <c r="T85" s="211"/>
      <c r="U85" s="211"/>
      <c r="V85" s="211"/>
      <c r="W85" s="211"/>
      <c r="X85" s="211"/>
      <c r="Y85" s="211"/>
      <c r="Z85" s="211"/>
      <c r="AA85" s="211"/>
      <c r="AB85" s="211"/>
      <c r="AC85" s="211"/>
      <c r="AD85" s="202"/>
    </row>
    <row r="86" s="183" customFormat="1" ht="16" customHeight="1" spans="1:30">
      <c r="A86" s="207"/>
      <c r="B86" s="206"/>
      <c r="C86" s="207"/>
      <c r="D86" s="208"/>
      <c r="E86" s="209"/>
      <c r="F86" s="206"/>
      <c r="G86" s="210"/>
      <c r="H86" s="206"/>
      <c r="I86" s="211"/>
      <c r="J86" s="211"/>
      <c r="K86" s="211"/>
      <c r="L86" s="211"/>
      <c r="M86" s="211"/>
      <c r="N86" s="206"/>
      <c r="O86" s="211"/>
      <c r="P86" s="211"/>
      <c r="Q86" s="211"/>
      <c r="R86" s="211"/>
      <c r="S86" s="211"/>
      <c r="T86" s="211"/>
      <c r="U86" s="211"/>
      <c r="V86" s="211"/>
      <c r="W86" s="211"/>
      <c r="X86" s="211"/>
      <c r="Y86" s="211"/>
      <c r="Z86" s="211"/>
      <c r="AA86" s="211"/>
      <c r="AB86" s="211"/>
      <c r="AC86" s="211"/>
      <c r="AD86" s="202"/>
    </row>
    <row r="87" s="182" customFormat="1" ht="16" customHeight="1" spans="1:30">
      <c r="A87" s="193"/>
      <c r="B87" s="194"/>
      <c r="C87" s="193"/>
      <c r="D87" s="195"/>
      <c r="E87" s="196"/>
      <c r="F87" s="194"/>
      <c r="G87" s="197"/>
      <c r="H87" s="194"/>
      <c r="I87" s="197"/>
      <c r="J87" s="197"/>
      <c r="K87" s="197"/>
      <c r="L87" s="197"/>
      <c r="M87" s="197"/>
      <c r="N87" s="197"/>
      <c r="O87" s="197"/>
      <c r="P87" s="197"/>
      <c r="Q87" s="197"/>
      <c r="R87" s="197"/>
      <c r="S87" s="197"/>
      <c r="T87" s="197"/>
      <c r="U87" s="197"/>
      <c r="V87" s="197"/>
      <c r="W87" s="197"/>
      <c r="X87" s="197"/>
      <c r="Y87" s="197"/>
      <c r="Z87" s="197"/>
      <c r="AA87" s="197"/>
      <c r="AB87" s="197"/>
      <c r="AC87" s="197"/>
      <c r="AD87" s="198"/>
    </row>
    <row r="88" s="182" customFormat="1" ht="17" customHeight="1" spans="1:30">
      <c r="A88" s="193"/>
      <c r="B88" s="194"/>
      <c r="C88" s="193"/>
      <c r="D88" s="195"/>
      <c r="E88" s="196"/>
      <c r="F88" s="194"/>
      <c r="G88" s="197"/>
      <c r="H88" s="194"/>
      <c r="I88" s="197"/>
      <c r="J88" s="197"/>
      <c r="K88" s="197"/>
      <c r="L88" s="197"/>
      <c r="M88" s="197"/>
      <c r="N88" s="197"/>
      <c r="O88" s="197"/>
      <c r="P88" s="197"/>
      <c r="Q88" s="197"/>
      <c r="R88" s="197"/>
      <c r="S88" s="197"/>
      <c r="T88" s="197"/>
      <c r="U88" s="197"/>
      <c r="V88" s="197"/>
      <c r="W88" s="197"/>
      <c r="X88" s="197"/>
      <c r="Y88" s="197"/>
      <c r="Z88" s="197"/>
      <c r="AA88" s="197"/>
      <c r="AB88" s="197"/>
      <c r="AC88" s="197"/>
      <c r="AD88" s="198"/>
    </row>
    <row r="89" spans="1:30">
      <c r="A89" s="213"/>
      <c r="B89" s="213"/>
      <c r="C89" s="214" t="s">
        <v>7756</v>
      </c>
      <c r="D89" s="194"/>
      <c r="E89" s="215"/>
      <c r="F89" s="214"/>
      <c r="G89" s="216"/>
      <c r="H89" s="213"/>
      <c r="I89" s="216"/>
      <c r="J89" s="216"/>
      <c r="K89" s="216"/>
      <c r="L89" s="216"/>
      <c r="M89" s="216"/>
      <c r="N89" s="216"/>
      <c r="O89" s="216"/>
      <c r="P89" s="216"/>
      <c r="Q89" s="216"/>
      <c r="R89" s="216"/>
      <c r="S89" s="216"/>
      <c r="T89" s="216"/>
      <c r="U89" s="216"/>
      <c r="V89" s="216"/>
      <c r="W89" s="216"/>
      <c r="X89" s="216"/>
      <c r="Y89" s="216"/>
      <c r="Z89" s="216"/>
      <c r="AA89" s="216"/>
      <c r="AB89" s="216"/>
      <c r="AC89" s="216"/>
      <c r="AD89" s="217"/>
    </row>
    <row r="90" spans="1:30">
      <c r="A90" s="218"/>
      <c r="B90" s="219"/>
      <c r="C90" s="220"/>
      <c r="D90" s="218"/>
      <c r="E90" s="221"/>
      <c r="F90" s="219"/>
      <c r="G90" s="216"/>
      <c r="H90" s="219"/>
      <c r="I90" s="216"/>
      <c r="J90" s="216"/>
      <c r="K90" s="216"/>
      <c r="L90" s="216"/>
      <c r="M90" s="216"/>
      <c r="N90" s="216"/>
      <c r="O90" s="216"/>
      <c r="P90" s="216"/>
      <c r="Q90" s="216"/>
      <c r="R90" s="216"/>
      <c r="S90" s="216"/>
      <c r="T90" s="216"/>
      <c r="U90" s="216"/>
      <c r="V90" s="216"/>
      <c r="W90" s="216"/>
      <c r="X90" s="216"/>
      <c r="Y90" s="216"/>
      <c r="Z90" s="216"/>
      <c r="AA90" s="216"/>
      <c r="AB90" s="216"/>
      <c r="AC90" s="216"/>
      <c r="AD90" s="217"/>
    </row>
    <row r="91" spans="1:30">
      <c r="A91" s="222"/>
      <c r="B91" s="222"/>
      <c r="C91" s="222"/>
      <c r="D91" s="222"/>
      <c r="E91" s="223" t="s">
        <v>7682</v>
      </c>
      <c r="F91" s="224"/>
      <c r="G91" s="225"/>
      <c r="H91" s="222"/>
      <c r="I91" s="225">
        <f t="shared" ref="I91:AC91" si="0">SUM(I3:I90)</f>
        <v>3120000</v>
      </c>
      <c r="J91" s="225">
        <f t="shared" si="0"/>
        <v>1020000</v>
      </c>
      <c r="K91" s="225">
        <f t="shared" si="0"/>
        <v>4670000</v>
      </c>
      <c r="L91" s="225">
        <f t="shared" si="0"/>
        <v>4670000</v>
      </c>
      <c r="M91" s="225">
        <f t="shared" si="0"/>
        <v>309574</v>
      </c>
      <c r="N91" s="225">
        <f t="shared" si="0"/>
        <v>71000</v>
      </c>
      <c r="O91" s="225">
        <f t="shared" si="0"/>
        <v>26720</v>
      </c>
      <c r="P91" s="225">
        <f t="shared" si="0"/>
        <v>0</v>
      </c>
      <c r="Q91" s="225">
        <f t="shared" si="0"/>
        <v>0</v>
      </c>
      <c r="R91" s="225">
        <f t="shared" si="0"/>
        <v>20004</v>
      </c>
      <c r="S91" s="225">
        <f t="shared" si="0"/>
        <v>1068480</v>
      </c>
      <c r="T91" s="225">
        <f t="shared" si="0"/>
        <v>1068480</v>
      </c>
      <c r="U91" s="225">
        <f t="shared" si="0"/>
        <v>356160</v>
      </c>
      <c r="V91" s="225">
        <f t="shared" si="0"/>
        <v>356160</v>
      </c>
      <c r="W91" s="225">
        <f t="shared" si="0"/>
        <v>59360</v>
      </c>
      <c r="X91" s="225">
        <f t="shared" si="0"/>
        <v>0</v>
      </c>
      <c r="Y91" s="225">
        <f t="shared" si="0"/>
        <v>0</v>
      </c>
      <c r="Z91" s="225">
        <f t="shared" si="0"/>
        <v>0</v>
      </c>
      <c r="AA91" s="225">
        <f t="shared" si="0"/>
        <v>0</v>
      </c>
      <c r="AB91" s="225">
        <f t="shared" si="0"/>
        <v>0</v>
      </c>
      <c r="AC91" s="225">
        <f t="shared" si="0"/>
        <v>2000</v>
      </c>
      <c r="AD91" s="226"/>
    </row>
    <row r="92" spans="1:30">
      <c r="A92" s="227"/>
      <c r="B92" s="227"/>
      <c r="C92" s="227"/>
      <c r="D92" s="227"/>
      <c r="E92" s="228"/>
      <c r="F92" s="229"/>
      <c r="G92" s="230"/>
      <c r="H92" s="227"/>
      <c r="I92" s="230"/>
      <c r="J92" s="230"/>
      <c r="K92" s="230"/>
      <c r="L92" s="230"/>
      <c r="M92" s="230"/>
      <c r="N92" s="230"/>
      <c r="O92" s="230"/>
      <c r="P92" s="230"/>
      <c r="Q92" s="230"/>
      <c r="R92" s="230"/>
      <c r="S92" s="230"/>
      <c r="T92" s="230"/>
      <c r="U92" s="230"/>
      <c r="V92" s="230"/>
      <c r="W92" s="230"/>
      <c r="X92" s="230"/>
      <c r="Y92" s="230"/>
      <c r="Z92" s="230"/>
      <c r="AA92" s="230"/>
      <c r="AB92" s="230"/>
      <c r="AC92" s="230"/>
      <c r="AD92" s="231"/>
    </row>
    <row r="93" spans="1:30">
      <c r="A93" s="222"/>
      <c r="B93" s="222"/>
      <c r="C93" s="222"/>
      <c r="D93" s="222"/>
      <c r="E93" s="223" t="s">
        <v>7683</v>
      </c>
      <c r="F93" s="224"/>
      <c r="G93" s="225"/>
      <c r="H93" s="222"/>
      <c r="I93" s="225">
        <f>'77794'!AK963</f>
        <v>3151982</v>
      </c>
      <c r="J93" s="225">
        <f>'77794'!AL963</f>
        <v>630690</v>
      </c>
      <c r="K93" s="225">
        <f>'77794'!AN963</f>
        <v>3710860</v>
      </c>
      <c r="L93" s="225">
        <f>'77794'!AN963</f>
        <v>3710860</v>
      </c>
      <c r="M93" s="225">
        <f>'77794'!AT963</f>
        <v>322183</v>
      </c>
      <c r="N93" s="225">
        <f>'77794'!AU963</f>
        <v>71958</v>
      </c>
      <c r="O93" s="225">
        <f>'77794'!AM963</f>
        <v>111800</v>
      </c>
      <c r="P93" s="225">
        <f>'77794'!AO963</f>
        <v>10440</v>
      </c>
      <c r="Q93" s="225">
        <f>'77772'!BT1022</f>
        <v>18679</v>
      </c>
      <c r="R93" s="225">
        <f>'77794'!BI962</f>
        <v>0</v>
      </c>
      <c r="S93" s="225">
        <f>'77772'!BB1022</f>
        <v>1234200</v>
      </c>
      <c r="T93" s="225">
        <f>'77772'!BC1022</f>
        <v>1234200</v>
      </c>
      <c r="U93" s="225">
        <f>'77772'!BD1022</f>
        <v>1234200</v>
      </c>
      <c r="V93" s="225">
        <f>'77772'!BE1022</f>
        <v>411400</v>
      </c>
      <c r="W93" s="225">
        <f>'77772'!BF1022</f>
        <v>68560</v>
      </c>
      <c r="X93" s="225">
        <f>'77772'!BI1022</f>
        <v>0</v>
      </c>
      <c r="Y93" s="225">
        <f>'77772'!BJ1022</f>
        <v>0</v>
      </c>
      <c r="Z93" s="225">
        <f>'77794'!BC963</f>
        <v>0</v>
      </c>
      <c r="AA93" s="225">
        <f>'77794'!BG963</f>
        <v>2000</v>
      </c>
      <c r="AB93" s="225">
        <f>'77794'!BE963</f>
        <v>353</v>
      </c>
      <c r="AC93" s="225">
        <f>'77794'!BF963</f>
        <v>2000</v>
      </c>
      <c r="AD93" s="226"/>
    </row>
    <row r="94" spans="1:30">
      <c r="A94" s="232"/>
      <c r="B94" s="232"/>
      <c r="C94" s="233"/>
      <c r="D94" s="232"/>
      <c r="E94" s="232"/>
      <c r="F94" s="233"/>
      <c r="G94" s="230"/>
      <c r="H94" s="232"/>
      <c r="I94" s="230"/>
      <c r="J94" s="230"/>
      <c r="K94" s="230"/>
      <c r="L94" s="230"/>
      <c r="M94" s="230"/>
      <c r="N94" s="230"/>
      <c r="O94" s="230"/>
      <c r="P94" s="230"/>
      <c r="Q94" s="230"/>
      <c r="R94" s="230"/>
      <c r="S94" s="230"/>
      <c r="T94" s="230"/>
      <c r="U94" s="230"/>
      <c r="V94" s="230"/>
      <c r="W94" s="230"/>
      <c r="X94" s="230"/>
      <c r="Y94" s="230"/>
      <c r="Z94" s="230"/>
      <c r="AA94" s="230"/>
      <c r="AB94" s="230"/>
      <c r="AC94" s="230"/>
      <c r="AD94" s="231"/>
    </row>
    <row r="95" spans="1:30">
      <c r="A95" s="227"/>
      <c r="B95" s="227"/>
      <c r="C95" s="227"/>
      <c r="D95" s="227"/>
      <c r="E95" s="228" t="s">
        <v>20</v>
      </c>
      <c r="F95" s="229"/>
      <c r="G95" s="234"/>
      <c r="H95" s="227"/>
      <c r="I95" s="234">
        <f>I91-I93</f>
        <v>-31982</v>
      </c>
      <c r="J95" s="234">
        <f>J91-J93</f>
        <v>389310</v>
      </c>
      <c r="K95" s="234"/>
      <c r="L95" s="234"/>
      <c r="M95" s="234">
        <f t="shared" ref="M95:AC95" si="1">M91-M93</f>
        <v>-12609</v>
      </c>
      <c r="N95" s="234">
        <f t="shared" si="1"/>
        <v>-958</v>
      </c>
      <c r="O95" s="234">
        <f t="shared" si="1"/>
        <v>-85080</v>
      </c>
      <c r="P95" s="234">
        <f t="shared" si="1"/>
        <v>-10440</v>
      </c>
      <c r="Q95" s="234">
        <f t="shared" si="1"/>
        <v>-18679</v>
      </c>
      <c r="R95" s="234">
        <f t="shared" si="1"/>
        <v>20004</v>
      </c>
      <c r="S95" s="234">
        <f t="shared" si="1"/>
        <v>-165720</v>
      </c>
      <c r="T95" s="234">
        <f t="shared" si="1"/>
        <v>-165720</v>
      </c>
      <c r="U95" s="234">
        <f t="shared" si="1"/>
        <v>-878040</v>
      </c>
      <c r="V95" s="234">
        <f t="shared" si="1"/>
        <v>-55240</v>
      </c>
      <c r="W95" s="234">
        <f t="shared" si="1"/>
        <v>-9200</v>
      </c>
      <c r="X95" s="234">
        <f t="shared" si="1"/>
        <v>0</v>
      </c>
      <c r="Y95" s="234">
        <f t="shared" si="1"/>
        <v>0</v>
      </c>
      <c r="Z95" s="234">
        <f t="shared" si="1"/>
        <v>0</v>
      </c>
      <c r="AA95" s="234">
        <f t="shared" si="1"/>
        <v>-2000</v>
      </c>
      <c r="AB95" s="234">
        <f t="shared" si="1"/>
        <v>-353</v>
      </c>
      <c r="AC95" s="234">
        <f t="shared" si="1"/>
        <v>0</v>
      </c>
      <c r="AD95" s="197"/>
    </row>
    <row r="96" spans="1:30">
      <c r="A96" s="235"/>
      <c r="B96" s="235"/>
      <c r="C96" s="235"/>
      <c r="D96" s="235"/>
      <c r="E96" s="235"/>
      <c r="F96" s="235"/>
      <c r="H96" s="235"/>
    </row>
    <row r="97" spans="1:8">
      <c r="A97" s="235"/>
      <c r="B97" s="235"/>
      <c r="C97" s="235"/>
      <c r="D97" s="235"/>
      <c r="E97" s="235"/>
      <c r="F97" s="235"/>
      <c r="H97" s="235"/>
    </row>
  </sheetData>
  <sheetProtection formatCells="0" formatColumns="0" formatRows="0" insertRows="0" insertColumns="0" insertHyperlinks="0" deleteColumns="0" deleteRows="0" sort="0" autoFilter="0" pivotTables="0"/>
  <autoFilter xmlns:etc="http://www.wps.cn/officeDocument/2017/etCustomData" ref="A2:AE97" etc:filterBottomFollowUsedRange="1">
    <extLst/>
  </autoFilter>
  <conditionalFormatting sqref="M95:N95">
    <cfRule type="cellIs" dxfId="0" priority="3" operator="lessThan">
      <formula>0</formula>
    </cfRule>
  </conditionalFormatting>
  <conditionalFormatting sqref="U95:V95">
    <cfRule type="cellIs" dxfId="0" priority="2" operator="lessThan">
      <formula>0</formula>
    </cfRule>
  </conditionalFormatting>
  <conditionalFormatting sqref="W95">
    <cfRule type="cellIs" dxfId="0" priority="1" operator="lessThan">
      <formula>0</formula>
    </cfRule>
  </conditionalFormatting>
  <conditionalFormatting sqref="A95:L95 O95:T95 X95:AD95">
    <cfRule type="cellIs" dxfId="0" priority="4" operator="lessThan">
      <formula>0</formula>
    </cfRule>
  </conditionalFormatting>
  <pageMargins left="0.699305555555556" right="0.699305555555556" top="0.75" bottom="0.75" header="0.3" footer="0.3"/>
  <pageSetup paperSize="9" orientation="portrait"/>
  <headerFooter/>
  <ignoredErrors>
    <ignoredError sqref="D3:D41" numberStoredAsText="1"/>
  </ignoredError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AU66"/>
  <sheetViews>
    <sheetView showGridLines="0" zoomScale="70" zoomScaleNormal="70" workbookViewId="0">
      <pane xSplit="5" ySplit="6" topLeftCell="AD22" activePane="bottomRight" state="frozen"/>
      <selection/>
      <selection pane="topRight"/>
      <selection pane="bottomLeft"/>
      <selection pane="bottomRight" activeCell="P2" sqref="P2"/>
    </sheetView>
  </sheetViews>
  <sheetFormatPr defaultColWidth="8.85833333333333" defaultRowHeight="14.25"/>
  <cols>
    <col min="1" max="1" width="10.7166666666667" style="99" customWidth="1"/>
    <col min="2" max="2" width="17.9166666666667" style="99" customWidth="1"/>
    <col min="3" max="3" width="15.65" style="99" customWidth="1"/>
    <col min="4" max="4" width="10.65" style="99" customWidth="1"/>
    <col min="5" max="6" width="10.05" style="99" customWidth="1"/>
    <col min="7" max="29" width="12.7" style="99" customWidth="1"/>
    <col min="30" max="30" width="6.91666666666667" style="99" customWidth="1"/>
    <col min="31" max="31" width="17.2666666666667" style="99" customWidth="1"/>
    <col min="32" max="33" width="20.525" style="99" customWidth="1"/>
    <col min="34" max="36" width="13.0916666666667" style="99" customWidth="1"/>
    <col min="37" max="37" width="14.6083333333333" style="99" customWidth="1"/>
    <col min="38" max="39" width="17.2666666666667" style="99" customWidth="1"/>
    <col min="40" max="40" width="12.525" style="99" customWidth="1"/>
    <col min="41" max="41" width="22.7583333333333" style="99" customWidth="1"/>
    <col min="42" max="42" width="8.85833333333333" style="99"/>
    <col min="43" max="43" width="10.1583333333333" style="99" customWidth="1"/>
    <col min="44" max="44" width="10.9083333333333" style="99" customWidth="1"/>
    <col min="45" max="45" width="7.28333333333333" style="99" customWidth="1"/>
    <col min="46" max="46" width="16.5083333333333" style="99" customWidth="1"/>
    <col min="47" max="16384" width="8.85833333333333" style="99"/>
  </cols>
  <sheetData>
    <row r="1" s="98" customFormat="1" ht="21" customHeight="1" spans="1:47">
      <c r="A1" s="102"/>
      <c r="B1" s="103" t="s">
        <v>7757</v>
      </c>
      <c r="C1" s="103"/>
      <c r="D1" s="103"/>
      <c r="E1" s="104">
        <v>0.0348547717842324</v>
      </c>
      <c r="F1" s="105"/>
      <c r="G1" s="105" t="s">
        <v>7758</v>
      </c>
      <c r="H1" s="105" t="s">
        <v>7758</v>
      </c>
      <c r="I1" s="105" t="s">
        <v>7759</v>
      </c>
      <c r="J1" s="105" t="s">
        <v>7759</v>
      </c>
      <c r="K1" s="105" t="s">
        <v>7760</v>
      </c>
      <c r="L1" s="105" t="s">
        <v>7761</v>
      </c>
      <c r="M1" s="105" t="s">
        <v>7761</v>
      </c>
      <c r="N1" s="105" t="s">
        <v>7762</v>
      </c>
      <c r="O1" s="105" t="s">
        <v>7763</v>
      </c>
      <c r="P1" s="105" t="s">
        <v>7763</v>
      </c>
      <c r="Q1" s="105" t="s">
        <v>7763</v>
      </c>
      <c r="R1" s="105" t="s">
        <v>7764</v>
      </c>
      <c r="S1" s="105" t="s">
        <v>7764</v>
      </c>
      <c r="T1" s="105" t="s">
        <v>7764</v>
      </c>
      <c r="U1" s="105" t="s">
        <v>7765</v>
      </c>
      <c r="V1" s="105" t="s">
        <v>7765</v>
      </c>
      <c r="W1" s="105" t="s">
        <v>7765</v>
      </c>
      <c r="X1" s="105" t="s">
        <v>7766</v>
      </c>
      <c r="Y1" s="105" t="s">
        <v>7766</v>
      </c>
      <c r="Z1" s="105" t="s">
        <v>7767</v>
      </c>
      <c r="AA1" s="106" t="s">
        <v>7768</v>
      </c>
      <c r="AB1" s="106" t="s">
        <v>7768</v>
      </c>
      <c r="AC1" s="106" t="s">
        <v>7768</v>
      </c>
      <c r="AD1" s="107"/>
      <c r="AE1" s="108"/>
      <c r="AF1" s="108"/>
      <c r="AG1" s="108"/>
      <c r="AH1" s="108"/>
      <c r="AI1" s="108"/>
      <c r="AJ1" s="108"/>
      <c r="AK1" s="108"/>
      <c r="AL1" s="109"/>
      <c r="AM1" s="109"/>
      <c r="AN1" s="108"/>
      <c r="AO1" s="108"/>
      <c r="AU1" s="102"/>
    </row>
    <row r="2" s="98" customFormat="1" ht="21" customHeight="1" spans="1:47">
      <c r="A2" s="102"/>
      <c r="B2" s="103" t="s">
        <v>7769</v>
      </c>
      <c r="C2" s="103"/>
      <c r="D2" s="103"/>
      <c r="E2" s="104"/>
      <c r="F2" s="105"/>
      <c r="G2" s="110">
        <v>46027</v>
      </c>
      <c r="H2" s="110">
        <v>46027</v>
      </c>
      <c r="I2" s="110">
        <v>46030</v>
      </c>
      <c r="J2" s="110">
        <v>46030</v>
      </c>
      <c r="K2" s="110">
        <v>46036</v>
      </c>
      <c r="L2" s="110">
        <v>46056</v>
      </c>
      <c r="M2" s="110">
        <v>46056</v>
      </c>
      <c r="N2" s="110">
        <v>46091</v>
      </c>
      <c r="O2" s="110">
        <v>46097</v>
      </c>
      <c r="P2" s="110">
        <v>46097</v>
      </c>
      <c r="Q2" s="110">
        <v>46097</v>
      </c>
      <c r="R2" s="110">
        <v>46142</v>
      </c>
      <c r="S2" s="110">
        <v>46142</v>
      </c>
      <c r="T2" s="110">
        <v>46142</v>
      </c>
      <c r="U2" s="110">
        <v>46170</v>
      </c>
      <c r="V2" s="110">
        <v>46170</v>
      </c>
      <c r="W2" s="110">
        <v>46170</v>
      </c>
      <c r="X2" s="110">
        <v>46191</v>
      </c>
      <c r="Y2" s="110">
        <v>46191</v>
      </c>
      <c r="Z2" s="110">
        <v>46217</v>
      </c>
      <c r="AA2" s="110">
        <v>46240</v>
      </c>
      <c r="AB2" s="110">
        <v>46240</v>
      </c>
      <c r="AC2" s="110">
        <v>46240</v>
      </c>
      <c r="AD2" s="107"/>
      <c r="AE2" s="111"/>
      <c r="AF2" s="111"/>
      <c r="AG2" s="111"/>
      <c r="AH2" s="111"/>
      <c r="AI2" s="111"/>
      <c r="AJ2" s="111"/>
      <c r="AK2" s="111"/>
      <c r="AL2" s="112"/>
      <c r="AM2" s="112"/>
      <c r="AN2" s="108"/>
      <c r="AO2" s="108"/>
      <c r="AU2" s="102"/>
    </row>
    <row r="3" s="98" customFormat="1" ht="21" customHeight="1" spans="1:47">
      <c r="A3" s="102"/>
      <c r="B3" s="103" t="s">
        <v>7770</v>
      </c>
      <c r="C3" s="103"/>
      <c r="D3" s="103"/>
      <c r="E3" s="105"/>
      <c r="F3" s="105"/>
      <c r="G3" s="110">
        <v>46137</v>
      </c>
      <c r="H3" s="110">
        <v>46137</v>
      </c>
      <c r="I3" s="110">
        <v>46147</v>
      </c>
      <c r="J3" s="110">
        <v>46147</v>
      </c>
      <c r="K3" s="110">
        <v>46167</v>
      </c>
      <c r="L3" s="110">
        <v>46167</v>
      </c>
      <c r="M3" s="110">
        <v>46167</v>
      </c>
      <c r="N3" s="110">
        <v>46147</v>
      </c>
      <c r="O3" s="110">
        <v>46172</v>
      </c>
      <c r="P3" s="110">
        <v>46172</v>
      </c>
      <c r="Q3" s="110">
        <v>46172</v>
      </c>
      <c r="R3" s="110">
        <v>46203</v>
      </c>
      <c r="S3" s="110">
        <v>46203</v>
      </c>
      <c r="T3" s="110">
        <v>46203</v>
      </c>
      <c r="U3" s="110">
        <v>46233</v>
      </c>
      <c r="V3" s="110">
        <v>46233</v>
      </c>
      <c r="W3" s="110">
        <v>46233</v>
      </c>
      <c r="X3" s="110">
        <v>46254</v>
      </c>
      <c r="Y3" s="110">
        <v>46254</v>
      </c>
      <c r="Z3" s="110">
        <v>46336</v>
      </c>
      <c r="AA3" s="110">
        <v>46339</v>
      </c>
      <c r="AB3" s="110">
        <v>46339</v>
      </c>
      <c r="AC3" s="110">
        <v>46339</v>
      </c>
      <c r="AD3" s="107"/>
      <c r="AE3" s="113"/>
      <c r="AF3" s="113"/>
      <c r="AG3" s="114">
        <f>AG5+AF5+AE5</f>
        <v>19983197</v>
      </c>
      <c r="AH3" s="113"/>
      <c r="AI3" s="114">
        <f>AI5+AH5+AJ5</f>
        <v>10553948</v>
      </c>
      <c r="AJ3" s="114"/>
      <c r="AK3" s="111"/>
      <c r="AL3" s="112"/>
      <c r="AM3" s="112"/>
      <c r="AN3" s="108"/>
      <c r="AO3" s="108"/>
      <c r="AU3" s="102"/>
    </row>
    <row r="4" s="99" customFormat="1" ht="42.75" spans="1:47">
      <c r="A4" s="115"/>
      <c r="B4" s="116" t="s">
        <v>7771</v>
      </c>
      <c r="C4" s="117" t="s">
        <v>7771</v>
      </c>
      <c r="D4" s="118" t="s">
        <v>7772</v>
      </c>
      <c r="E4" s="119" t="s">
        <v>7773</v>
      </c>
      <c r="F4" s="119" t="s">
        <v>7774</v>
      </c>
      <c r="G4" s="120" t="s">
        <v>7775</v>
      </c>
      <c r="H4" s="121" t="s">
        <v>7776</v>
      </c>
      <c r="I4" s="122" t="s">
        <v>7775</v>
      </c>
      <c r="J4" s="122" t="s">
        <v>7777</v>
      </c>
      <c r="K4" s="122" t="s">
        <v>7775</v>
      </c>
      <c r="L4" s="123" t="s">
        <v>7775</v>
      </c>
      <c r="M4" s="122" t="s">
        <v>7776</v>
      </c>
      <c r="N4" s="122" t="s">
        <v>7777</v>
      </c>
      <c r="O4" s="122" t="s">
        <v>7775</v>
      </c>
      <c r="P4" s="122" t="s">
        <v>7776</v>
      </c>
      <c r="Q4" s="124" t="s">
        <v>7778</v>
      </c>
      <c r="R4" s="122" t="s">
        <v>7775</v>
      </c>
      <c r="S4" s="122" t="s">
        <v>7776</v>
      </c>
      <c r="T4" s="124" t="s">
        <v>7778</v>
      </c>
      <c r="U4" s="124" t="s">
        <v>7775</v>
      </c>
      <c r="V4" s="124" t="s">
        <v>7777</v>
      </c>
      <c r="W4" s="124" t="s">
        <v>7779</v>
      </c>
      <c r="X4" s="124" t="s">
        <v>7775</v>
      </c>
      <c r="Y4" s="124" t="s">
        <v>7777</v>
      </c>
      <c r="Z4" s="124" t="s">
        <v>7777</v>
      </c>
      <c r="AA4" s="124" t="s">
        <v>7775</v>
      </c>
      <c r="AB4" s="124" t="s">
        <v>7777</v>
      </c>
      <c r="AC4" s="124" t="s">
        <v>7779</v>
      </c>
      <c r="AD4" s="107"/>
      <c r="AE4" s="123" t="s">
        <v>7780</v>
      </c>
      <c r="AF4" s="122" t="s">
        <v>7781</v>
      </c>
      <c r="AG4" s="124" t="s">
        <v>7782</v>
      </c>
      <c r="AH4" s="125" t="s">
        <v>7783</v>
      </c>
      <c r="AI4" s="125" t="s">
        <v>7784</v>
      </c>
      <c r="AJ4" s="125" t="s">
        <v>37</v>
      </c>
      <c r="AK4" s="126" t="s">
        <v>7785</v>
      </c>
      <c r="AL4" s="124" t="s">
        <v>7786</v>
      </c>
      <c r="AM4" s="127" t="s">
        <v>7787</v>
      </c>
      <c r="AN4" s="128" t="s">
        <v>7788</v>
      </c>
      <c r="AO4" s="128"/>
    </row>
    <row r="5" s="99" customFormat="1" ht="36" customHeight="1" spans="1:47">
      <c r="A5" s="129"/>
      <c r="B5" s="130" t="s">
        <v>7789</v>
      </c>
      <c r="C5" s="131" t="s">
        <v>7790</v>
      </c>
      <c r="D5" s="132">
        <f>SUM(D7:D58)</f>
        <v>1</v>
      </c>
      <c r="E5" s="132">
        <f>SUM(E7:E58)</f>
        <v>1</v>
      </c>
      <c r="F5" s="132">
        <f>SUM(F7:F58)</f>
        <v>1</v>
      </c>
      <c r="G5" s="107">
        <v>500000</v>
      </c>
      <c r="H5" s="107">
        <v>300000</v>
      </c>
      <c r="I5" s="107">
        <v>800000</v>
      </c>
      <c r="J5" s="107">
        <v>100000</v>
      </c>
      <c r="K5" s="107">
        <v>1100000</v>
      </c>
      <c r="L5" s="107">
        <v>1100000</v>
      </c>
      <c r="M5" s="107">
        <v>100000</v>
      </c>
      <c r="N5" s="107">
        <v>400000</v>
      </c>
      <c r="O5" s="107">
        <v>1124140</v>
      </c>
      <c r="P5" s="107">
        <v>144500</v>
      </c>
      <c r="Q5" s="107">
        <v>831360</v>
      </c>
      <c r="R5" s="107">
        <v>935120</v>
      </c>
      <c r="S5" s="107">
        <v>250000</v>
      </c>
      <c r="T5" s="107">
        <v>314880</v>
      </c>
      <c r="U5" s="107">
        <v>1578686</v>
      </c>
      <c r="V5" s="107">
        <v>320514</v>
      </c>
      <c r="W5" s="107">
        <v>100800</v>
      </c>
      <c r="X5" s="107">
        <v>5000000</v>
      </c>
      <c r="Y5" s="107">
        <v>1000000</v>
      </c>
      <c r="Z5" s="107">
        <v>800000</v>
      </c>
      <c r="AA5" s="107">
        <v>500000</v>
      </c>
      <c r="AB5" s="107">
        <v>2626029</v>
      </c>
      <c r="AC5" s="107">
        <v>57168</v>
      </c>
      <c r="AD5" s="107"/>
      <c r="AE5" s="133">
        <f>G5+I5+K5+L5+O5+R5+U5+X5+AA5</f>
        <v>12637946</v>
      </c>
      <c r="AF5" s="133">
        <f>H5+J5+M5+N5+P5+S5+V5+Y5+Z5+AB5</f>
        <v>6041043</v>
      </c>
      <c r="AG5" s="133">
        <f>Q5+T5+W5+AC5</f>
        <v>1304208</v>
      </c>
      <c r="AH5" s="107">
        <f>'77772'!AK1022</f>
        <v>6951060</v>
      </c>
      <c r="AI5" s="107">
        <f>'77772'!AM1022</f>
        <v>2368718</v>
      </c>
      <c r="AJ5" s="107">
        <f>'77772'!AL1022</f>
        <v>1234170</v>
      </c>
      <c r="AK5" s="107">
        <f>AE5-AH5</f>
        <v>5686886</v>
      </c>
      <c r="AL5" s="107">
        <f>AF5-AI5</f>
        <v>3672325</v>
      </c>
      <c r="AM5" s="134">
        <f>AG5-AJ5</f>
        <v>70038</v>
      </c>
      <c r="AN5" s="135" t="s">
        <v>7791</v>
      </c>
      <c r="AO5" s="136" t="s">
        <v>28</v>
      </c>
      <c r="AP5" s="137" t="s">
        <v>7792</v>
      </c>
      <c r="AQ5" s="138" t="s">
        <v>7793</v>
      </c>
      <c r="AR5" s="139" t="s">
        <v>7794</v>
      </c>
      <c r="AS5" s="140" t="s">
        <v>7795</v>
      </c>
      <c r="AT5" s="141" t="s">
        <v>83</v>
      </c>
      <c r="AU5" s="141" t="s">
        <v>7796</v>
      </c>
    </row>
    <row r="6" s="99" customFormat="1" ht="15" customHeight="1" spans="1:47">
      <c r="A6" s="142" t="s">
        <v>7797</v>
      </c>
      <c r="B6" s="143" t="s">
        <v>7789</v>
      </c>
      <c r="C6" s="144"/>
      <c r="D6" s="145"/>
      <c r="E6" s="145"/>
      <c r="F6" s="145"/>
      <c r="G6" s="145"/>
      <c r="H6" s="146"/>
      <c r="I6" s="146"/>
      <c r="J6" s="146"/>
      <c r="K6" s="146"/>
      <c r="L6" s="146"/>
      <c r="M6" s="146"/>
      <c r="N6" s="146"/>
      <c r="O6" s="146"/>
      <c r="P6" s="146"/>
      <c r="Q6" s="146"/>
      <c r="R6" s="146"/>
      <c r="S6" s="146"/>
      <c r="T6" s="146"/>
      <c r="U6" s="146"/>
      <c r="V6" s="146"/>
      <c r="W6" s="146"/>
      <c r="X6" s="146"/>
      <c r="Y6" s="146"/>
      <c r="Z6" s="146"/>
      <c r="AA6" s="146"/>
      <c r="AB6" s="146"/>
      <c r="AC6" s="146"/>
      <c r="AD6" s="146"/>
      <c r="AE6" s="146"/>
      <c r="AF6" s="146"/>
      <c r="AG6" s="146"/>
      <c r="AH6" s="146"/>
      <c r="AI6" s="146"/>
      <c r="AJ6" s="146"/>
      <c r="AK6" s="146"/>
      <c r="AL6" s="146"/>
      <c r="AM6" s="146"/>
      <c r="AN6" s="143"/>
      <c r="AO6" s="143"/>
      <c r="AP6" s="147"/>
      <c r="AQ6" s="147"/>
      <c r="AR6" s="147"/>
      <c r="AS6" s="147"/>
      <c r="AT6" s="147"/>
    </row>
    <row r="7" s="100" customFormat="1" ht="21" customHeight="1" spans="1:47">
      <c r="A7" s="148" t="s">
        <v>7798</v>
      </c>
      <c r="B7" s="149" t="s">
        <v>7799</v>
      </c>
      <c r="C7" s="107">
        <v>3430870</v>
      </c>
      <c r="D7" s="150">
        <v>0.0367349777363771</v>
      </c>
      <c r="E7" s="150">
        <v>0.0367349777363771</v>
      </c>
      <c r="F7" s="104">
        <f>VLOOKUP(B7,'[1]Sku List'!$B:$F,5,FALSE)</f>
        <v>0.0348547717842324</v>
      </c>
      <c r="G7" s="151">
        <v>146940</v>
      </c>
      <c r="H7" s="152"/>
      <c r="I7" s="153">
        <v>165310</v>
      </c>
      <c r="J7" s="152"/>
      <c r="K7" s="152">
        <v>202040</v>
      </c>
      <c r="L7" s="153">
        <v>220410</v>
      </c>
      <c r="M7" s="152"/>
      <c r="N7" s="152">
        <v>273470</v>
      </c>
      <c r="O7" s="153">
        <v>463770</v>
      </c>
      <c r="P7" s="153"/>
      <c r="Q7" s="152"/>
      <c r="R7" s="153">
        <v>875860</v>
      </c>
      <c r="S7" s="153"/>
      <c r="T7" s="152"/>
      <c r="U7" s="153">
        <v>-324420</v>
      </c>
      <c r="V7" s="153"/>
      <c r="W7" s="152"/>
      <c r="X7" s="153">
        <v>686370</v>
      </c>
      <c r="Y7" s="152"/>
      <c r="Z7" s="152">
        <v>146940</v>
      </c>
      <c r="AA7" s="153">
        <v>574180</v>
      </c>
      <c r="AB7" s="153"/>
      <c r="AC7" s="152"/>
      <c r="AD7" s="153"/>
      <c r="AE7" s="154">
        <f t="shared" ref="AE7:AE58" si="0">D7*$AE$5*5</f>
        <v>2321273.32471768</v>
      </c>
      <c r="AF7" s="154">
        <f t="shared" ref="AF7:AF58" si="1">E7*$AF$5*5</f>
        <v>1109587.90054748</v>
      </c>
      <c r="AG7" s="21">
        <f t="shared" ref="AG7:AG58" si="2">$AG$5*F7</f>
        <v>45457.8721991702</v>
      </c>
      <c r="AH7" s="154">
        <f t="shared" ref="AH7:AH58" si="3">E7*$AH$5*5</f>
        <v>1276735.17172111</v>
      </c>
      <c r="AI7" s="154">
        <f t="shared" ref="AI7:AI58" si="4">E7*$AI$5*5</f>
        <v>435074.014968778</v>
      </c>
      <c r="AJ7" s="154">
        <f t="shared" ref="AJ7:AJ58" si="5">F7*$AI$5*5</f>
        <v>412805.626556017</v>
      </c>
      <c r="AK7" s="107">
        <f t="shared" ref="AK7:AK57" si="6">$AK$5*D7*5</f>
        <v>1044538.15299657</v>
      </c>
      <c r="AL7" s="107">
        <f t="shared" ref="AL7:AL58" si="7">$AL$5*E7*5</f>
        <v>674513.885578705</v>
      </c>
      <c r="AM7" s="107">
        <f>$AM$5*F7*5</f>
        <v>12205.7925311203</v>
      </c>
      <c r="AN7" s="155" t="s">
        <v>7800</v>
      </c>
      <c r="AO7" s="156"/>
      <c r="AP7" s="157" t="s">
        <v>7801</v>
      </c>
      <c r="AQ7" s="147">
        <f>10779+5000+10000+5000+30000+100000+80000</f>
        <v>240779</v>
      </c>
      <c r="AR7" s="147">
        <f>16000+20000+6000+3000+20000+30000+15000+28000</f>
        <v>138000</v>
      </c>
      <c r="AS7" s="147">
        <f>300+300+1900+1000+500+300</f>
        <v>4300</v>
      </c>
      <c r="AT7" s="147">
        <f>350+300+100+700+800+2100</f>
        <v>4350</v>
      </c>
      <c r="AU7" s="147">
        <v>415680</v>
      </c>
    </row>
    <row r="8" s="100" customFormat="1" ht="21" customHeight="1" spans="1:47">
      <c r="A8" s="158"/>
      <c r="B8" s="149" t="s">
        <v>7802</v>
      </c>
      <c r="C8" s="107">
        <v>2148090</v>
      </c>
      <c r="D8" s="150">
        <v>0.0229999860606145</v>
      </c>
      <c r="E8" s="150">
        <v>0.0229999860606145</v>
      </c>
      <c r="F8" s="104">
        <f>VLOOKUP(B8,'[1]Sku List'!$B:$F,5,FALSE)</f>
        <v>0.0348547717842324</v>
      </c>
      <c r="G8" s="151">
        <v>92000</v>
      </c>
      <c r="H8" s="152"/>
      <c r="I8" s="153">
        <v>103500</v>
      </c>
      <c r="J8" s="152"/>
      <c r="K8" s="152">
        <v>126500</v>
      </c>
      <c r="L8" s="153">
        <v>138000</v>
      </c>
      <c r="M8" s="152"/>
      <c r="N8" s="152">
        <v>246000</v>
      </c>
      <c r="O8" s="153">
        <v>318620</v>
      </c>
      <c r="P8" s="153"/>
      <c r="Q8" s="152"/>
      <c r="R8" s="153">
        <v>772500</v>
      </c>
      <c r="S8" s="153"/>
      <c r="T8" s="152"/>
      <c r="U8" s="153">
        <v>-374850</v>
      </c>
      <c r="V8" s="153"/>
      <c r="W8" s="152"/>
      <c r="X8" s="153">
        <v>274320</v>
      </c>
      <c r="Y8" s="152"/>
      <c r="Z8" s="152">
        <v>92000</v>
      </c>
      <c r="AA8" s="153">
        <v>359500</v>
      </c>
      <c r="AB8" s="153"/>
      <c r="AC8" s="152"/>
      <c r="AD8" s="153"/>
      <c r="AE8" s="154">
        <f t="shared" si="0"/>
        <v>1453362.90917399</v>
      </c>
      <c r="AF8" s="154">
        <f t="shared" si="1"/>
        <v>694719.523957864</v>
      </c>
      <c r="AG8" s="21">
        <f t="shared" si="2"/>
        <v>45457.8721991702</v>
      </c>
      <c r="AH8" s="154">
        <f t="shared" si="3"/>
        <v>799371.415532475</v>
      </c>
      <c r="AI8" s="154">
        <f t="shared" si="4"/>
        <v>272402.404907633</v>
      </c>
      <c r="AJ8" s="154">
        <f t="shared" si="5"/>
        <v>412805.626556017</v>
      </c>
      <c r="AK8" s="107">
        <f t="shared" si="6"/>
        <v>653991.493641519</v>
      </c>
      <c r="AL8" s="107">
        <f t="shared" si="7"/>
        <v>422317.119050231</v>
      </c>
      <c r="AM8" s="107">
        <f t="shared" ref="AM8:AM39" si="8">$AM$5*F8*5</f>
        <v>12205.7925311203</v>
      </c>
      <c r="AN8" s="155" t="s">
        <v>7803</v>
      </c>
      <c r="AO8" s="156" t="s">
        <v>7804</v>
      </c>
      <c r="AP8" s="159" t="s">
        <v>7805</v>
      </c>
      <c r="AQ8" s="147">
        <f>'77772'!CD1022</f>
        <v>196915.416666667</v>
      </c>
      <c r="AR8" s="147">
        <f>'77772'!CE1022</f>
        <v>88022</v>
      </c>
      <c r="AS8" s="147">
        <f>'77772'!CF1022</f>
        <v>3123</v>
      </c>
      <c r="AT8" s="147">
        <f>'77772'!CG1022</f>
        <v>4046</v>
      </c>
      <c r="AU8" s="147"/>
    </row>
    <row r="9" s="100" customFormat="1" ht="21" customHeight="1" spans="1:47">
      <c r="A9" s="158"/>
      <c r="B9" s="149" t="s">
        <v>7806</v>
      </c>
      <c r="C9" s="107">
        <v>3430870</v>
      </c>
      <c r="D9" s="150">
        <v>0.0367349777363771</v>
      </c>
      <c r="E9" s="150">
        <v>0.0367349777363771</v>
      </c>
      <c r="F9" s="104">
        <f>VLOOKUP(B9,'[1]Sku List'!$B:$F,5,FALSE)</f>
        <v>0.0348547717842324</v>
      </c>
      <c r="G9" s="151">
        <v>157720</v>
      </c>
      <c r="H9" s="152"/>
      <c r="I9" s="153">
        <v>170310</v>
      </c>
      <c r="J9" s="152"/>
      <c r="K9" s="152">
        <v>202040</v>
      </c>
      <c r="L9" s="153">
        <v>230410</v>
      </c>
      <c r="M9" s="152"/>
      <c r="N9" s="152">
        <v>273470</v>
      </c>
      <c r="O9" s="153">
        <v>468770</v>
      </c>
      <c r="P9" s="153"/>
      <c r="Q9" s="152"/>
      <c r="R9" s="153">
        <v>905860</v>
      </c>
      <c r="S9" s="153"/>
      <c r="T9" s="152"/>
      <c r="U9" s="153">
        <v>-385200</v>
      </c>
      <c r="V9" s="153"/>
      <c r="W9" s="152"/>
      <c r="X9" s="153">
        <v>686370</v>
      </c>
      <c r="Y9" s="152"/>
      <c r="Z9" s="152">
        <v>146940</v>
      </c>
      <c r="AA9" s="153">
        <v>574180</v>
      </c>
      <c r="AB9" s="153"/>
      <c r="AC9" s="152"/>
      <c r="AD9" s="153"/>
      <c r="AE9" s="154">
        <f t="shared" si="0"/>
        <v>2321273.32471768</v>
      </c>
      <c r="AF9" s="154">
        <f t="shared" si="1"/>
        <v>1109587.90054748</v>
      </c>
      <c r="AG9" s="21">
        <f t="shared" si="2"/>
        <v>45457.8721991702</v>
      </c>
      <c r="AH9" s="154">
        <f t="shared" si="3"/>
        <v>1276735.17172111</v>
      </c>
      <c r="AI9" s="154">
        <f t="shared" si="4"/>
        <v>435074.014968778</v>
      </c>
      <c r="AJ9" s="154">
        <f t="shared" si="5"/>
        <v>412805.626556017</v>
      </c>
      <c r="AK9" s="107">
        <f t="shared" si="6"/>
        <v>1044538.15299657</v>
      </c>
      <c r="AL9" s="107">
        <f t="shared" si="7"/>
        <v>674513.885578705</v>
      </c>
      <c r="AM9" s="107">
        <f t="shared" si="8"/>
        <v>12205.7925311203</v>
      </c>
      <c r="AN9" s="155" t="s">
        <v>7807</v>
      </c>
      <c r="AO9" s="156"/>
      <c r="AP9" s="159" t="s">
        <v>7808</v>
      </c>
      <c r="AQ9" s="147">
        <f>AQ7-AQ8</f>
        <v>43863.5833333333</v>
      </c>
      <c r="AR9" s="147">
        <f>AR7-AR8</f>
        <v>49978</v>
      </c>
      <c r="AS9" s="147">
        <f>AS7-AS8</f>
        <v>1177</v>
      </c>
      <c r="AT9" s="147">
        <f>AT7-AT8</f>
        <v>304</v>
      </c>
      <c r="AU9" s="147">
        <f>AU7-AU8</f>
        <v>415680</v>
      </c>
    </row>
    <row r="10" s="100" customFormat="1" ht="21" customHeight="1" spans="1:47">
      <c r="A10" s="158"/>
      <c r="B10" s="149" t="s">
        <v>7809</v>
      </c>
      <c r="C10" s="107">
        <v>3430870</v>
      </c>
      <c r="D10" s="150">
        <v>0.0367349777363771</v>
      </c>
      <c r="E10" s="150">
        <v>0.0367349777363771</v>
      </c>
      <c r="F10" s="104">
        <f>VLOOKUP(B10,'[1]Sku List'!$B:$F,5,FALSE)</f>
        <v>0.0348547717842324</v>
      </c>
      <c r="G10" s="151">
        <v>158070</v>
      </c>
      <c r="H10" s="152"/>
      <c r="I10" s="153">
        <v>170610</v>
      </c>
      <c r="J10" s="152"/>
      <c r="K10" s="152">
        <v>202040</v>
      </c>
      <c r="L10" s="153">
        <v>230710</v>
      </c>
      <c r="M10" s="152"/>
      <c r="N10" s="152">
        <v>273570</v>
      </c>
      <c r="O10" s="153">
        <v>468770</v>
      </c>
      <c r="P10" s="153"/>
      <c r="Q10" s="152"/>
      <c r="R10" s="153">
        <v>906860</v>
      </c>
      <c r="S10" s="153"/>
      <c r="T10" s="152"/>
      <c r="U10" s="153">
        <v>-387250</v>
      </c>
      <c r="V10" s="153"/>
      <c r="W10" s="152"/>
      <c r="X10" s="153">
        <v>686370</v>
      </c>
      <c r="Y10" s="152"/>
      <c r="Z10" s="152">
        <v>146940</v>
      </c>
      <c r="AA10" s="153">
        <v>574180</v>
      </c>
      <c r="AB10" s="153"/>
      <c r="AC10" s="152"/>
      <c r="AD10" s="153"/>
      <c r="AE10" s="154">
        <f t="shared" si="0"/>
        <v>2321273.32471768</v>
      </c>
      <c r="AF10" s="154">
        <f t="shared" si="1"/>
        <v>1109587.90054748</v>
      </c>
      <c r="AG10" s="21">
        <f t="shared" si="2"/>
        <v>45457.8721991702</v>
      </c>
      <c r="AH10" s="154">
        <f t="shared" si="3"/>
        <v>1276735.17172111</v>
      </c>
      <c r="AI10" s="154">
        <f t="shared" si="4"/>
        <v>435074.014968778</v>
      </c>
      <c r="AJ10" s="154">
        <f t="shared" si="5"/>
        <v>412805.626556017</v>
      </c>
      <c r="AK10" s="107">
        <f t="shared" si="6"/>
        <v>1044538.15299657</v>
      </c>
      <c r="AL10" s="107">
        <f t="shared" si="7"/>
        <v>674513.885578705</v>
      </c>
      <c r="AM10" s="107">
        <f t="shared" si="8"/>
        <v>12205.7925311203</v>
      </c>
      <c r="AN10" s="155" t="s">
        <v>7810</v>
      </c>
      <c r="AO10" s="156" t="s">
        <v>7804</v>
      </c>
      <c r="AP10" s="99"/>
      <c r="AQ10" s="99"/>
      <c r="AR10" s="99"/>
      <c r="AS10" s="99"/>
    </row>
    <row r="11" s="100" customFormat="1" ht="21" customHeight="1" spans="1:47">
      <c r="A11" s="158"/>
      <c r="B11" s="149" t="s">
        <v>7811</v>
      </c>
      <c r="C11" s="107">
        <v>3430870</v>
      </c>
      <c r="D11" s="150">
        <v>0.0367349777363771</v>
      </c>
      <c r="E11" s="150">
        <v>0.0367349777363771</v>
      </c>
      <c r="F11" s="104">
        <f>VLOOKUP(B11,'[1]Sku List'!$B:$F,5,FALSE)</f>
        <v>0.0348547717842324</v>
      </c>
      <c r="G11" s="151">
        <v>146940</v>
      </c>
      <c r="H11" s="152"/>
      <c r="I11" s="153">
        <v>165310</v>
      </c>
      <c r="J11" s="152"/>
      <c r="K11" s="152">
        <v>202040</v>
      </c>
      <c r="L11" s="153">
        <v>220410</v>
      </c>
      <c r="M11" s="152"/>
      <c r="N11" s="152">
        <v>273470</v>
      </c>
      <c r="O11" s="153">
        <v>463770</v>
      </c>
      <c r="P11" s="153"/>
      <c r="Q11" s="152"/>
      <c r="R11" s="153">
        <v>875860</v>
      </c>
      <c r="S11" s="153"/>
      <c r="T11" s="152"/>
      <c r="U11" s="153">
        <v>-324420</v>
      </c>
      <c r="V11" s="153"/>
      <c r="W11" s="152"/>
      <c r="X11" s="153">
        <v>686370</v>
      </c>
      <c r="Y11" s="152"/>
      <c r="Z11" s="152">
        <v>146940</v>
      </c>
      <c r="AA11" s="153">
        <v>574180</v>
      </c>
      <c r="AB11" s="153"/>
      <c r="AC11" s="152"/>
      <c r="AD11" s="153"/>
      <c r="AE11" s="154">
        <f t="shared" si="0"/>
        <v>2321273.32471768</v>
      </c>
      <c r="AF11" s="154">
        <f t="shared" si="1"/>
        <v>1109587.90054748</v>
      </c>
      <c r="AG11" s="21">
        <f t="shared" si="2"/>
        <v>45457.8721991702</v>
      </c>
      <c r="AH11" s="154">
        <f t="shared" si="3"/>
        <v>1276735.17172111</v>
      </c>
      <c r="AI11" s="154">
        <f t="shared" si="4"/>
        <v>435074.014968778</v>
      </c>
      <c r="AJ11" s="154">
        <f t="shared" si="5"/>
        <v>412805.626556017</v>
      </c>
      <c r="AK11" s="107">
        <f t="shared" si="6"/>
        <v>1044538.15299657</v>
      </c>
      <c r="AL11" s="107">
        <f t="shared" si="7"/>
        <v>674513.885578705</v>
      </c>
      <c r="AM11" s="107">
        <f t="shared" si="8"/>
        <v>12205.7925311203</v>
      </c>
      <c r="AN11" s="155" t="s">
        <v>7812</v>
      </c>
      <c r="AO11" s="156" t="s">
        <v>7813</v>
      </c>
      <c r="AP11" s="99"/>
      <c r="AQ11" s="99"/>
      <c r="AR11" s="99"/>
      <c r="AS11" s="99"/>
    </row>
    <row r="12" s="100" customFormat="1" ht="21" customHeight="1" spans="1:47">
      <c r="A12" s="158"/>
      <c r="B12" s="149" t="s">
        <v>7814</v>
      </c>
      <c r="C12" s="107">
        <v>1185950</v>
      </c>
      <c r="D12" s="150">
        <v>0.0119999927272771</v>
      </c>
      <c r="E12" s="150">
        <v>0.0119999927272771</v>
      </c>
      <c r="F12" s="104">
        <f>VLOOKUP(B12,'[1]Sku List'!$B:$F,5,FALSE)</f>
        <v>0.0099585062240664</v>
      </c>
      <c r="G12" s="151">
        <v>48350</v>
      </c>
      <c r="H12" s="152"/>
      <c r="I12" s="153">
        <v>54300</v>
      </c>
      <c r="J12" s="152"/>
      <c r="K12" s="152">
        <v>66000</v>
      </c>
      <c r="L12" s="153">
        <v>72300</v>
      </c>
      <c r="M12" s="152"/>
      <c r="N12" s="152">
        <v>24100</v>
      </c>
      <c r="O12" s="153">
        <v>117690</v>
      </c>
      <c r="P12" s="153"/>
      <c r="Q12" s="152"/>
      <c r="R12" s="153">
        <v>87850</v>
      </c>
      <c r="S12" s="153"/>
      <c r="T12" s="152"/>
      <c r="U12" s="153">
        <v>116940</v>
      </c>
      <c r="V12" s="153"/>
      <c r="W12" s="152"/>
      <c r="X12" s="153">
        <v>360000</v>
      </c>
      <c r="Y12" s="152"/>
      <c r="Z12" s="152">
        <v>48000</v>
      </c>
      <c r="AA12" s="153">
        <v>190420</v>
      </c>
      <c r="AB12" s="153"/>
      <c r="AC12" s="152"/>
      <c r="AD12" s="153"/>
      <c r="AE12" s="154">
        <f t="shared" si="0"/>
        <v>758276.300438604</v>
      </c>
      <c r="AF12" s="154">
        <f t="shared" si="1"/>
        <v>362462.360325841</v>
      </c>
      <c r="AG12" s="21">
        <f t="shared" si="2"/>
        <v>12987.9634854772</v>
      </c>
      <c r="AH12" s="154">
        <f t="shared" si="3"/>
        <v>417063.347234334</v>
      </c>
      <c r="AI12" s="154">
        <f t="shared" si="4"/>
        <v>142122.993864852</v>
      </c>
      <c r="AJ12" s="154">
        <f t="shared" si="5"/>
        <v>117944.464730291</v>
      </c>
      <c r="AK12" s="107">
        <f t="shared" si="6"/>
        <v>341212.95320427</v>
      </c>
      <c r="AL12" s="107">
        <f t="shared" si="7"/>
        <v>220339.366460989</v>
      </c>
      <c r="AM12" s="107">
        <f t="shared" si="8"/>
        <v>3487.36929460581</v>
      </c>
      <c r="AN12" s="155" t="s">
        <v>7815</v>
      </c>
      <c r="AO12" s="156"/>
      <c r="AP12" s="99"/>
      <c r="AQ12" s="99"/>
      <c r="AR12" s="99"/>
      <c r="AS12" s="99"/>
    </row>
    <row r="13" s="100" customFormat="1" ht="21" customHeight="1" spans="1:47">
      <c r="A13" s="158"/>
      <c r="B13" s="149" t="s">
        <v>7816</v>
      </c>
      <c r="C13" s="107">
        <v>1185950</v>
      </c>
      <c r="D13" s="150">
        <v>0.0119999927272771</v>
      </c>
      <c r="E13" s="150">
        <v>0.0119999927272771</v>
      </c>
      <c r="F13" s="104">
        <f>VLOOKUP(B13,'[1]Sku List'!$B:$F,5,FALSE)</f>
        <v>0.0099585062240664</v>
      </c>
      <c r="G13" s="151">
        <v>48000</v>
      </c>
      <c r="H13" s="152"/>
      <c r="I13" s="153">
        <v>54000</v>
      </c>
      <c r="J13" s="152"/>
      <c r="K13" s="152">
        <v>66000</v>
      </c>
      <c r="L13" s="153">
        <v>72000</v>
      </c>
      <c r="M13" s="152"/>
      <c r="N13" s="152">
        <v>24000</v>
      </c>
      <c r="O13" s="153">
        <v>117690</v>
      </c>
      <c r="P13" s="153"/>
      <c r="Q13" s="152"/>
      <c r="R13" s="153">
        <v>86850</v>
      </c>
      <c r="S13" s="153"/>
      <c r="T13" s="152"/>
      <c r="U13" s="153">
        <v>118990</v>
      </c>
      <c r="V13" s="153"/>
      <c r="W13" s="152"/>
      <c r="X13" s="153">
        <v>360000</v>
      </c>
      <c r="Y13" s="152"/>
      <c r="Z13" s="152">
        <v>48000</v>
      </c>
      <c r="AA13" s="153">
        <v>190420</v>
      </c>
      <c r="AB13" s="153"/>
      <c r="AC13" s="152"/>
      <c r="AD13" s="153"/>
      <c r="AE13" s="154">
        <f t="shared" si="0"/>
        <v>758276.300438604</v>
      </c>
      <c r="AF13" s="154">
        <f t="shared" si="1"/>
        <v>362462.360325841</v>
      </c>
      <c r="AG13" s="21">
        <f t="shared" si="2"/>
        <v>12987.9634854772</v>
      </c>
      <c r="AH13" s="154">
        <f t="shared" si="3"/>
        <v>417063.347234334</v>
      </c>
      <c r="AI13" s="154">
        <f t="shared" si="4"/>
        <v>142122.993864852</v>
      </c>
      <c r="AJ13" s="154">
        <f t="shared" si="5"/>
        <v>117944.464730291</v>
      </c>
      <c r="AK13" s="107">
        <f t="shared" si="6"/>
        <v>341212.95320427</v>
      </c>
      <c r="AL13" s="107">
        <f t="shared" si="7"/>
        <v>220339.366460989</v>
      </c>
      <c r="AM13" s="107">
        <f t="shared" si="8"/>
        <v>3487.36929460581</v>
      </c>
      <c r="AN13" s="155" t="s">
        <v>7815</v>
      </c>
      <c r="AO13" s="156"/>
      <c r="AP13" s="99"/>
      <c r="AQ13" s="99"/>
      <c r="AR13" s="99"/>
      <c r="AS13" s="99"/>
    </row>
    <row r="14" s="100" customFormat="1" ht="21" customHeight="1" spans="1:47">
      <c r="A14" s="158"/>
      <c r="B14" s="149" t="s">
        <v>7817</v>
      </c>
      <c r="C14" s="107">
        <v>625810</v>
      </c>
      <c r="D14" s="150">
        <v>0.0060606023875137</v>
      </c>
      <c r="E14" s="150">
        <v>0.0060606023875137</v>
      </c>
      <c r="F14" s="104">
        <f>VLOOKUP(B14,'[1]Sku List'!$B:$F,5,FALSE)</f>
        <v>0.0091286307053942</v>
      </c>
      <c r="G14" s="151">
        <v>24600</v>
      </c>
      <c r="H14" s="152"/>
      <c r="I14" s="153">
        <v>27570</v>
      </c>
      <c r="J14" s="152"/>
      <c r="K14" s="152">
        <v>33330</v>
      </c>
      <c r="L14" s="153">
        <v>36670</v>
      </c>
      <c r="M14" s="152"/>
      <c r="N14" s="152">
        <v>12220</v>
      </c>
      <c r="O14" s="153">
        <v>76550</v>
      </c>
      <c r="P14" s="153"/>
      <c r="Q14" s="152"/>
      <c r="R14" s="153">
        <v>51340</v>
      </c>
      <c r="S14" s="153"/>
      <c r="T14" s="152"/>
      <c r="U14" s="153">
        <v>60120</v>
      </c>
      <c r="V14" s="153"/>
      <c r="W14" s="152"/>
      <c r="X14" s="153">
        <v>181820</v>
      </c>
      <c r="Y14" s="152"/>
      <c r="Z14" s="152">
        <v>24240</v>
      </c>
      <c r="AA14" s="153">
        <v>97350</v>
      </c>
      <c r="AB14" s="153"/>
      <c r="AC14" s="152"/>
      <c r="AD14" s="153"/>
      <c r="AE14" s="154">
        <f t="shared" si="0"/>
        <v>382967.828504346</v>
      </c>
      <c r="AF14" s="154">
        <f t="shared" si="1"/>
        <v>183061.798144365</v>
      </c>
      <c r="AG14" s="21">
        <f t="shared" si="2"/>
        <v>11905.6331950208</v>
      </c>
      <c r="AH14" s="154">
        <f t="shared" si="3"/>
        <v>210638.054158755</v>
      </c>
      <c r="AI14" s="154">
        <f t="shared" si="4"/>
        <v>71779.2898307334</v>
      </c>
      <c r="AJ14" s="154">
        <f t="shared" si="5"/>
        <v>108115.7593361</v>
      </c>
      <c r="AK14" s="107">
        <f t="shared" si="6"/>
        <v>172329.774345591</v>
      </c>
      <c r="AL14" s="107">
        <f t="shared" si="7"/>
        <v>111282.508313631</v>
      </c>
      <c r="AM14" s="107">
        <f t="shared" si="8"/>
        <v>3196.75518672199</v>
      </c>
      <c r="AN14" s="155" t="s">
        <v>7818</v>
      </c>
      <c r="AO14" s="156" t="s">
        <v>7804</v>
      </c>
      <c r="AP14" s="99"/>
      <c r="AQ14" s="99"/>
      <c r="AR14" s="99"/>
      <c r="AS14" s="99"/>
    </row>
    <row r="15" s="100" customFormat="1" ht="21" customHeight="1" spans="1:47">
      <c r="A15" s="158"/>
      <c r="B15" s="149" t="s">
        <v>7819</v>
      </c>
      <c r="C15" s="107">
        <v>2335000</v>
      </c>
      <c r="D15" s="150">
        <v>0.022993925458227</v>
      </c>
      <c r="E15" s="150">
        <v>0.022993925458227</v>
      </c>
      <c r="F15" s="104">
        <f>VLOOKUP(B15,'[1]Sku List'!$B:$F,5,FALSE)</f>
        <v>0.0286307053941909</v>
      </c>
      <c r="G15" s="151">
        <v>95000</v>
      </c>
      <c r="H15" s="152"/>
      <c r="I15" s="153">
        <v>105000</v>
      </c>
      <c r="J15" s="152"/>
      <c r="K15" s="152">
        <v>125000</v>
      </c>
      <c r="L15" s="153">
        <v>135000</v>
      </c>
      <c r="M15" s="152"/>
      <c r="N15" s="152">
        <v>50000</v>
      </c>
      <c r="O15" s="153">
        <v>265000</v>
      </c>
      <c r="P15" s="153"/>
      <c r="Q15" s="152"/>
      <c r="R15" s="153">
        <v>180000</v>
      </c>
      <c r="S15" s="153"/>
      <c r="T15" s="152"/>
      <c r="U15" s="153">
        <v>235000</v>
      </c>
      <c r="V15" s="153"/>
      <c r="W15" s="152"/>
      <c r="X15" s="153">
        <v>690000</v>
      </c>
      <c r="Y15" s="152"/>
      <c r="Z15" s="152">
        <v>90000</v>
      </c>
      <c r="AA15" s="153">
        <v>365000</v>
      </c>
      <c r="AB15" s="153"/>
      <c r="AC15" s="152"/>
      <c r="AD15" s="153"/>
      <c r="AE15" s="154">
        <f t="shared" si="0"/>
        <v>1452979.94134549</v>
      </c>
      <c r="AF15" s="154">
        <f t="shared" si="1"/>
        <v>694536.46215972</v>
      </c>
      <c r="AG15" s="21">
        <f t="shared" si="2"/>
        <v>37340.3950207469</v>
      </c>
      <c r="AH15" s="154">
        <f t="shared" si="3"/>
        <v>799160.777478317</v>
      </c>
      <c r="AI15" s="154">
        <f t="shared" si="4"/>
        <v>272330.625617803</v>
      </c>
      <c r="AJ15" s="154">
        <f t="shared" si="5"/>
        <v>339090.336099585</v>
      </c>
      <c r="AK15" s="107">
        <f t="shared" si="6"/>
        <v>653819.163867174</v>
      </c>
      <c r="AL15" s="107">
        <f t="shared" si="7"/>
        <v>422205.836541917</v>
      </c>
      <c r="AM15" s="107">
        <f t="shared" si="8"/>
        <v>10026.1867219917</v>
      </c>
      <c r="AN15" s="155" t="s">
        <v>7820</v>
      </c>
      <c r="AO15" s="156" t="s">
        <v>7821</v>
      </c>
      <c r="AP15" s="99"/>
      <c r="AQ15" s="99"/>
      <c r="AR15" s="99"/>
      <c r="AS15" s="99"/>
    </row>
    <row r="16" s="100" customFormat="1" ht="21" customHeight="1" spans="1:47">
      <c r="A16" s="158"/>
      <c r="B16" s="149" t="s">
        <v>7822</v>
      </c>
      <c r="C16" s="107">
        <v>2335000</v>
      </c>
      <c r="D16" s="150">
        <v>0.022993925458227</v>
      </c>
      <c r="E16" s="150">
        <v>0.022993925458227</v>
      </c>
      <c r="F16" s="104">
        <f>VLOOKUP(B16,'[1]Sku List'!$B:$F,5,FALSE)</f>
        <v>0.0286307053941909</v>
      </c>
      <c r="G16" s="151">
        <v>95000</v>
      </c>
      <c r="H16" s="152"/>
      <c r="I16" s="153">
        <v>105000</v>
      </c>
      <c r="J16" s="152"/>
      <c r="K16" s="152">
        <v>125000</v>
      </c>
      <c r="L16" s="153">
        <v>135000</v>
      </c>
      <c r="M16" s="152"/>
      <c r="N16" s="152">
        <v>50000</v>
      </c>
      <c r="O16" s="153">
        <v>265000</v>
      </c>
      <c r="P16" s="153"/>
      <c r="Q16" s="152"/>
      <c r="R16" s="153">
        <v>180000</v>
      </c>
      <c r="S16" s="153"/>
      <c r="T16" s="152"/>
      <c r="U16" s="153">
        <v>235000</v>
      </c>
      <c r="V16" s="153"/>
      <c r="W16" s="152"/>
      <c r="X16" s="153">
        <v>690000</v>
      </c>
      <c r="Y16" s="152"/>
      <c r="Z16" s="152">
        <v>90000</v>
      </c>
      <c r="AA16" s="153">
        <v>365000</v>
      </c>
      <c r="AB16" s="153"/>
      <c r="AC16" s="152"/>
      <c r="AD16" s="153"/>
      <c r="AE16" s="154">
        <f t="shared" si="0"/>
        <v>1452979.94134549</v>
      </c>
      <c r="AF16" s="154">
        <f t="shared" si="1"/>
        <v>694536.46215972</v>
      </c>
      <c r="AG16" s="21">
        <f t="shared" si="2"/>
        <v>37340.3950207469</v>
      </c>
      <c r="AH16" s="154">
        <f t="shared" si="3"/>
        <v>799160.777478317</v>
      </c>
      <c r="AI16" s="154">
        <f t="shared" si="4"/>
        <v>272330.625617803</v>
      </c>
      <c r="AJ16" s="154">
        <f t="shared" si="5"/>
        <v>339090.336099585</v>
      </c>
      <c r="AK16" s="107">
        <f t="shared" si="6"/>
        <v>653819.163867174</v>
      </c>
      <c r="AL16" s="107">
        <f t="shared" si="7"/>
        <v>422205.836541917</v>
      </c>
      <c r="AM16" s="107">
        <f t="shared" si="8"/>
        <v>10026.1867219917</v>
      </c>
      <c r="AN16" s="155" t="s">
        <v>7820</v>
      </c>
      <c r="AO16" s="156" t="s">
        <v>7821</v>
      </c>
      <c r="AP16" s="99"/>
      <c r="AQ16" s="99"/>
      <c r="AR16" s="99"/>
      <c r="AS16" s="99"/>
    </row>
    <row r="17" s="100" customFormat="1" ht="21" customHeight="1" spans="1:45">
      <c r="A17" s="158"/>
      <c r="B17" s="149" t="s">
        <v>7823</v>
      </c>
      <c r="C17" s="107">
        <v>2335000</v>
      </c>
      <c r="D17" s="150">
        <v>0.022993925458227</v>
      </c>
      <c r="E17" s="150">
        <v>0.022993925458227</v>
      </c>
      <c r="F17" s="104">
        <f>VLOOKUP(B17,'[1]Sku List'!$B:$F,5,FALSE)</f>
        <v>0.0286307053941909</v>
      </c>
      <c r="G17" s="151">
        <v>95000</v>
      </c>
      <c r="H17" s="152"/>
      <c r="I17" s="153">
        <v>105000</v>
      </c>
      <c r="J17" s="152"/>
      <c r="K17" s="152">
        <v>125000</v>
      </c>
      <c r="L17" s="153">
        <v>135000</v>
      </c>
      <c r="M17" s="152"/>
      <c r="N17" s="152">
        <v>50000</v>
      </c>
      <c r="O17" s="153">
        <v>265000</v>
      </c>
      <c r="P17" s="153"/>
      <c r="Q17" s="152"/>
      <c r="R17" s="153">
        <v>180000</v>
      </c>
      <c r="S17" s="153"/>
      <c r="T17" s="152"/>
      <c r="U17" s="153">
        <v>235000</v>
      </c>
      <c r="V17" s="153"/>
      <c r="W17" s="152"/>
      <c r="X17" s="153">
        <v>690000</v>
      </c>
      <c r="Y17" s="152"/>
      <c r="Z17" s="152">
        <v>90000</v>
      </c>
      <c r="AA17" s="153">
        <v>365000</v>
      </c>
      <c r="AB17" s="153"/>
      <c r="AC17" s="152"/>
      <c r="AD17" s="153"/>
      <c r="AE17" s="154">
        <f t="shared" si="0"/>
        <v>1452979.94134549</v>
      </c>
      <c r="AF17" s="154">
        <f t="shared" si="1"/>
        <v>694536.46215972</v>
      </c>
      <c r="AG17" s="21">
        <f t="shared" si="2"/>
        <v>37340.3950207469</v>
      </c>
      <c r="AH17" s="154">
        <f t="shared" si="3"/>
        <v>799160.777478317</v>
      </c>
      <c r="AI17" s="154">
        <f t="shared" si="4"/>
        <v>272330.625617803</v>
      </c>
      <c r="AJ17" s="154">
        <f t="shared" si="5"/>
        <v>339090.336099585</v>
      </c>
      <c r="AK17" s="107">
        <f t="shared" si="6"/>
        <v>653819.163867174</v>
      </c>
      <c r="AL17" s="107">
        <f t="shared" si="7"/>
        <v>422205.836541917</v>
      </c>
      <c r="AM17" s="107">
        <f t="shared" si="8"/>
        <v>10026.1867219917</v>
      </c>
      <c r="AN17" s="155" t="s">
        <v>7820</v>
      </c>
      <c r="AO17" s="156" t="s">
        <v>7821</v>
      </c>
      <c r="AP17" s="99"/>
      <c r="AQ17" s="99"/>
      <c r="AR17" s="99"/>
      <c r="AS17" s="99"/>
    </row>
    <row r="18" s="100" customFormat="1" ht="21" customHeight="1" spans="1:45">
      <c r="A18" s="158"/>
      <c r="B18" s="149" t="s">
        <v>7824</v>
      </c>
      <c r="C18" s="107">
        <v>2335000</v>
      </c>
      <c r="D18" s="150">
        <v>0.022993925458227</v>
      </c>
      <c r="E18" s="150">
        <v>0.022993925458227</v>
      </c>
      <c r="F18" s="104">
        <f>VLOOKUP(B18,'[1]Sku List'!$B:$F,5,FALSE)</f>
        <v>0.0286307053941909</v>
      </c>
      <c r="G18" s="151">
        <v>95000</v>
      </c>
      <c r="H18" s="152"/>
      <c r="I18" s="153">
        <v>105000</v>
      </c>
      <c r="J18" s="152"/>
      <c r="K18" s="152">
        <v>125000</v>
      </c>
      <c r="L18" s="153">
        <v>135000</v>
      </c>
      <c r="M18" s="152"/>
      <c r="N18" s="152">
        <v>50000</v>
      </c>
      <c r="O18" s="153">
        <v>265000</v>
      </c>
      <c r="P18" s="153"/>
      <c r="Q18" s="152"/>
      <c r="R18" s="153">
        <v>180000</v>
      </c>
      <c r="S18" s="153"/>
      <c r="T18" s="152"/>
      <c r="U18" s="153">
        <v>235000</v>
      </c>
      <c r="V18" s="153"/>
      <c r="W18" s="152"/>
      <c r="X18" s="153">
        <v>690000</v>
      </c>
      <c r="Y18" s="152"/>
      <c r="Z18" s="152">
        <v>90000</v>
      </c>
      <c r="AA18" s="153">
        <v>365000</v>
      </c>
      <c r="AB18" s="153"/>
      <c r="AC18" s="152"/>
      <c r="AD18" s="153"/>
      <c r="AE18" s="154">
        <f t="shared" si="0"/>
        <v>1452979.94134549</v>
      </c>
      <c r="AF18" s="154">
        <f t="shared" si="1"/>
        <v>694536.46215972</v>
      </c>
      <c r="AG18" s="21">
        <f t="shared" si="2"/>
        <v>37340.3950207469</v>
      </c>
      <c r="AH18" s="154">
        <f t="shared" si="3"/>
        <v>799160.777478317</v>
      </c>
      <c r="AI18" s="154">
        <f t="shared" si="4"/>
        <v>272330.625617803</v>
      </c>
      <c r="AJ18" s="154">
        <f t="shared" si="5"/>
        <v>339090.336099585</v>
      </c>
      <c r="AK18" s="107">
        <f t="shared" si="6"/>
        <v>653819.163867174</v>
      </c>
      <c r="AL18" s="107">
        <f t="shared" si="7"/>
        <v>422205.836541917</v>
      </c>
      <c r="AM18" s="107">
        <f t="shared" si="8"/>
        <v>10026.1867219917</v>
      </c>
      <c r="AN18" s="155" t="s">
        <v>7820</v>
      </c>
      <c r="AO18" s="156" t="s">
        <v>7821</v>
      </c>
      <c r="AP18" s="99"/>
      <c r="AQ18" s="99"/>
      <c r="AR18" s="99"/>
      <c r="AS18" s="99"/>
    </row>
    <row r="19" s="100" customFormat="1" ht="21" customHeight="1" spans="1:45">
      <c r="A19" s="158"/>
      <c r="B19" s="149" t="s">
        <v>7825</v>
      </c>
      <c r="C19" s="107">
        <v>2315000</v>
      </c>
      <c r="D19" s="150">
        <v>0.022757561965114</v>
      </c>
      <c r="E19" s="150">
        <v>0.022757561965114</v>
      </c>
      <c r="F19" s="104">
        <f>VLOOKUP(B19,'[1]Sku List'!$B:$F,5,FALSE)</f>
        <v>0.0286307053941909</v>
      </c>
      <c r="G19" s="151">
        <v>95000</v>
      </c>
      <c r="H19" s="152"/>
      <c r="I19" s="153">
        <v>100000</v>
      </c>
      <c r="J19" s="152"/>
      <c r="K19" s="152">
        <v>125000</v>
      </c>
      <c r="L19" s="153">
        <v>140000</v>
      </c>
      <c r="M19" s="152"/>
      <c r="N19" s="152">
        <v>45000</v>
      </c>
      <c r="O19" s="153">
        <v>260000</v>
      </c>
      <c r="P19" s="153"/>
      <c r="Q19" s="152"/>
      <c r="R19" s="153">
        <v>180000</v>
      </c>
      <c r="S19" s="153"/>
      <c r="T19" s="152"/>
      <c r="U19" s="153">
        <v>235000</v>
      </c>
      <c r="V19" s="153"/>
      <c r="W19" s="152"/>
      <c r="X19" s="153">
        <v>680000</v>
      </c>
      <c r="Y19" s="152"/>
      <c r="Z19" s="152">
        <v>90000</v>
      </c>
      <c r="AA19" s="153">
        <v>365000</v>
      </c>
      <c r="AB19" s="153"/>
      <c r="AC19" s="152"/>
      <c r="AD19" s="153"/>
      <c r="AE19" s="154">
        <f t="shared" si="0"/>
        <v>1438044.19603382</v>
      </c>
      <c r="AF19" s="154">
        <f t="shared" si="1"/>
        <v>687397.052032091</v>
      </c>
      <c r="AG19" s="21">
        <f t="shared" si="2"/>
        <v>37340.3950207469</v>
      </c>
      <c r="AH19" s="154">
        <f t="shared" si="3"/>
        <v>790945.893366127</v>
      </c>
      <c r="AI19" s="154">
        <f t="shared" si="4"/>
        <v>269531.233314404</v>
      </c>
      <c r="AJ19" s="154">
        <f t="shared" si="5"/>
        <v>339090.336099585</v>
      </c>
      <c r="AK19" s="107">
        <f t="shared" si="6"/>
        <v>647098.302667696</v>
      </c>
      <c r="AL19" s="107">
        <f t="shared" si="7"/>
        <v>417865.818717686</v>
      </c>
      <c r="AM19" s="107">
        <f t="shared" si="8"/>
        <v>10026.1867219917</v>
      </c>
      <c r="AN19" s="155" t="s">
        <v>7820</v>
      </c>
      <c r="AO19" s="156" t="s">
        <v>7821</v>
      </c>
      <c r="AP19" s="99"/>
      <c r="AQ19" s="99"/>
      <c r="AR19" s="99"/>
      <c r="AS19" s="99"/>
    </row>
    <row r="20" s="100" customFormat="1" ht="21" customHeight="1" spans="1:45">
      <c r="A20" s="158"/>
      <c r="B20" s="149" t="s">
        <v>7826</v>
      </c>
      <c r="C20" s="107">
        <v>2315000</v>
      </c>
      <c r="D20" s="150">
        <v>0.022757561965114</v>
      </c>
      <c r="E20" s="150">
        <v>0.022757561965114</v>
      </c>
      <c r="F20" s="104">
        <f>VLOOKUP(B20,'[1]Sku List'!$B:$F,5,FALSE)</f>
        <v>0.0286307053941909</v>
      </c>
      <c r="G20" s="151">
        <v>95000</v>
      </c>
      <c r="H20" s="152"/>
      <c r="I20" s="153">
        <v>100000</v>
      </c>
      <c r="J20" s="152"/>
      <c r="K20" s="152">
        <v>125000</v>
      </c>
      <c r="L20" s="153">
        <v>140000</v>
      </c>
      <c r="M20" s="152"/>
      <c r="N20" s="152">
        <v>45000</v>
      </c>
      <c r="O20" s="153">
        <v>260000</v>
      </c>
      <c r="P20" s="153"/>
      <c r="Q20" s="152"/>
      <c r="R20" s="153">
        <v>180000</v>
      </c>
      <c r="S20" s="153"/>
      <c r="T20" s="152"/>
      <c r="U20" s="153">
        <v>235000</v>
      </c>
      <c r="V20" s="153"/>
      <c r="W20" s="152"/>
      <c r="X20" s="153">
        <v>680000</v>
      </c>
      <c r="Y20" s="152"/>
      <c r="Z20" s="152">
        <v>90000</v>
      </c>
      <c r="AA20" s="153">
        <v>365000</v>
      </c>
      <c r="AB20" s="153"/>
      <c r="AC20" s="152"/>
      <c r="AD20" s="153"/>
      <c r="AE20" s="154">
        <f t="shared" si="0"/>
        <v>1438044.19603382</v>
      </c>
      <c r="AF20" s="154">
        <f t="shared" si="1"/>
        <v>687397.052032091</v>
      </c>
      <c r="AG20" s="21">
        <f t="shared" si="2"/>
        <v>37340.3950207469</v>
      </c>
      <c r="AH20" s="154">
        <f t="shared" si="3"/>
        <v>790945.893366127</v>
      </c>
      <c r="AI20" s="154">
        <f t="shared" si="4"/>
        <v>269531.233314404</v>
      </c>
      <c r="AJ20" s="154">
        <f t="shared" si="5"/>
        <v>339090.336099585</v>
      </c>
      <c r="AK20" s="107">
        <f t="shared" si="6"/>
        <v>647098.302667696</v>
      </c>
      <c r="AL20" s="107">
        <f t="shared" si="7"/>
        <v>417865.818717686</v>
      </c>
      <c r="AM20" s="107">
        <f t="shared" si="8"/>
        <v>10026.1867219917</v>
      </c>
      <c r="AN20" s="155" t="s">
        <v>7820</v>
      </c>
      <c r="AO20" s="156" t="s">
        <v>7821</v>
      </c>
      <c r="AP20" s="99"/>
      <c r="AQ20" s="99"/>
      <c r="AR20" s="99"/>
      <c r="AS20" s="99"/>
    </row>
    <row r="21" s="100" customFormat="1" ht="21" customHeight="1" spans="1:45">
      <c r="A21" s="158"/>
      <c r="B21" s="149" t="s">
        <v>7827</v>
      </c>
      <c r="C21" s="107">
        <v>2280000</v>
      </c>
      <c r="D21" s="150">
        <v>0.022757561965114</v>
      </c>
      <c r="E21" s="150">
        <v>0.022757561965114</v>
      </c>
      <c r="F21" s="104">
        <f>VLOOKUP(B21,'[1]Sku List'!$B:$F,5,FALSE)</f>
        <v>0.0232365145228216</v>
      </c>
      <c r="G21" s="151">
        <v>95000</v>
      </c>
      <c r="H21" s="152"/>
      <c r="I21" s="153">
        <v>100000</v>
      </c>
      <c r="J21" s="152"/>
      <c r="K21" s="152">
        <v>125000</v>
      </c>
      <c r="L21" s="153">
        <v>140000</v>
      </c>
      <c r="M21" s="152"/>
      <c r="N21" s="152">
        <v>45000</v>
      </c>
      <c r="O21" s="153">
        <v>240000</v>
      </c>
      <c r="P21" s="153"/>
      <c r="Q21" s="152"/>
      <c r="R21" s="153">
        <v>170000</v>
      </c>
      <c r="S21" s="153"/>
      <c r="T21" s="152"/>
      <c r="U21" s="153">
        <v>230000</v>
      </c>
      <c r="V21" s="153"/>
      <c r="W21" s="152"/>
      <c r="X21" s="153">
        <v>680000</v>
      </c>
      <c r="Y21" s="152"/>
      <c r="Z21" s="152">
        <v>95000</v>
      </c>
      <c r="AA21" s="153">
        <v>360000</v>
      </c>
      <c r="AB21" s="153"/>
      <c r="AC21" s="152"/>
      <c r="AD21" s="153"/>
      <c r="AE21" s="154">
        <f t="shared" si="0"/>
        <v>1438044.19603382</v>
      </c>
      <c r="AF21" s="154">
        <f t="shared" si="1"/>
        <v>687397.052032091</v>
      </c>
      <c r="AG21" s="21">
        <f t="shared" si="2"/>
        <v>30305.2481327801</v>
      </c>
      <c r="AH21" s="154">
        <f t="shared" si="3"/>
        <v>790945.893366127</v>
      </c>
      <c r="AI21" s="154">
        <f t="shared" si="4"/>
        <v>269531.233314404</v>
      </c>
      <c r="AJ21" s="154">
        <f t="shared" si="5"/>
        <v>275203.751037345</v>
      </c>
      <c r="AK21" s="107">
        <f t="shared" si="6"/>
        <v>647098.302667696</v>
      </c>
      <c r="AL21" s="107">
        <f t="shared" si="7"/>
        <v>417865.818717686</v>
      </c>
      <c r="AM21" s="107">
        <f t="shared" si="8"/>
        <v>8137.1950207469</v>
      </c>
      <c r="AN21" s="155" t="s">
        <v>7820</v>
      </c>
      <c r="AO21" s="156" t="s">
        <v>7821</v>
      </c>
      <c r="AP21" s="99"/>
      <c r="AQ21" s="99"/>
      <c r="AR21" s="99"/>
      <c r="AS21" s="99"/>
    </row>
    <row r="22" s="100" customFormat="1" ht="21" customHeight="1" spans="1:45">
      <c r="A22" s="158"/>
      <c r="B22" s="149" t="s">
        <v>7828</v>
      </c>
      <c r="C22" s="107">
        <v>2280000</v>
      </c>
      <c r="D22" s="150">
        <v>0.022757561965114</v>
      </c>
      <c r="E22" s="150">
        <v>0.022757561965114</v>
      </c>
      <c r="F22" s="104">
        <f>VLOOKUP(B22,'[1]Sku List'!$B:$F,5,FALSE)</f>
        <v>0.0232365145228216</v>
      </c>
      <c r="G22" s="151">
        <v>95000</v>
      </c>
      <c r="H22" s="152"/>
      <c r="I22" s="153">
        <v>100000</v>
      </c>
      <c r="J22" s="152"/>
      <c r="K22" s="152">
        <v>125000</v>
      </c>
      <c r="L22" s="153">
        <v>140000</v>
      </c>
      <c r="M22" s="152"/>
      <c r="N22" s="152">
        <v>45000</v>
      </c>
      <c r="O22" s="153">
        <v>240000</v>
      </c>
      <c r="P22" s="153"/>
      <c r="Q22" s="152"/>
      <c r="R22" s="153">
        <v>170000</v>
      </c>
      <c r="S22" s="153"/>
      <c r="T22" s="152"/>
      <c r="U22" s="153">
        <v>230000</v>
      </c>
      <c r="V22" s="153"/>
      <c r="W22" s="152"/>
      <c r="X22" s="153">
        <v>680000</v>
      </c>
      <c r="Y22" s="152"/>
      <c r="Z22" s="152">
        <v>95000</v>
      </c>
      <c r="AA22" s="153">
        <v>360000</v>
      </c>
      <c r="AB22" s="153"/>
      <c r="AC22" s="152"/>
      <c r="AD22" s="153"/>
      <c r="AE22" s="154">
        <f t="shared" si="0"/>
        <v>1438044.19603382</v>
      </c>
      <c r="AF22" s="154">
        <f t="shared" si="1"/>
        <v>687397.052032091</v>
      </c>
      <c r="AG22" s="21">
        <f t="shared" si="2"/>
        <v>30305.2481327801</v>
      </c>
      <c r="AH22" s="154">
        <f t="shared" si="3"/>
        <v>790945.893366127</v>
      </c>
      <c r="AI22" s="154">
        <f t="shared" si="4"/>
        <v>269531.233314404</v>
      </c>
      <c r="AJ22" s="154">
        <f t="shared" si="5"/>
        <v>275203.751037345</v>
      </c>
      <c r="AK22" s="107">
        <f t="shared" si="6"/>
        <v>647098.302667696</v>
      </c>
      <c r="AL22" s="107">
        <f t="shared" si="7"/>
        <v>417865.818717686</v>
      </c>
      <c r="AM22" s="107">
        <f t="shared" si="8"/>
        <v>8137.1950207469</v>
      </c>
      <c r="AN22" s="155" t="s">
        <v>7820</v>
      </c>
      <c r="AO22" s="156" t="s">
        <v>7821</v>
      </c>
      <c r="AP22" s="99"/>
      <c r="AQ22" s="99"/>
      <c r="AR22" s="99"/>
      <c r="AS22" s="99"/>
    </row>
    <row r="23" s="100" customFormat="1" ht="21" customHeight="1" spans="1:45">
      <c r="A23" s="158"/>
      <c r="B23" s="149" t="s">
        <v>7829</v>
      </c>
      <c r="C23" s="107">
        <v>2380000</v>
      </c>
      <c r="D23" s="150">
        <v>0.0212424113682355</v>
      </c>
      <c r="E23" s="150">
        <v>0.0212424113682355</v>
      </c>
      <c r="F23" s="104">
        <f>VLOOKUP(B23,'[1]Sku List'!$B:$F,5,FALSE)</f>
        <v>0.0232365145228216</v>
      </c>
      <c r="G23" s="151">
        <v>85000</v>
      </c>
      <c r="H23" s="152"/>
      <c r="I23" s="153">
        <v>100000</v>
      </c>
      <c r="J23" s="152"/>
      <c r="K23" s="152">
        <v>115000</v>
      </c>
      <c r="L23" s="153">
        <v>125000</v>
      </c>
      <c r="M23" s="152"/>
      <c r="N23" s="152">
        <v>45000</v>
      </c>
      <c r="O23" s="153">
        <v>230000</v>
      </c>
      <c r="P23" s="153"/>
      <c r="Q23" s="152"/>
      <c r="R23" s="153">
        <v>165000</v>
      </c>
      <c r="S23" s="153"/>
      <c r="T23" s="152"/>
      <c r="U23" s="153">
        <v>215000</v>
      </c>
      <c r="V23" s="153"/>
      <c r="W23" s="152"/>
      <c r="X23" s="153">
        <v>845000</v>
      </c>
      <c r="Y23" s="152"/>
      <c r="Z23" s="152">
        <v>115000</v>
      </c>
      <c r="AA23" s="153">
        <v>340000</v>
      </c>
      <c r="AB23" s="153"/>
      <c r="AC23" s="152"/>
      <c r="AD23" s="153"/>
      <c r="AE23" s="154">
        <f t="shared" si="0"/>
        <v>1342302.23890773</v>
      </c>
      <c r="AF23" s="154">
        <f t="shared" si="1"/>
        <v>641631.602495997</v>
      </c>
      <c r="AG23" s="21">
        <f t="shared" si="2"/>
        <v>30305.2481327801</v>
      </c>
      <c r="AH23" s="154">
        <f t="shared" si="3"/>
        <v>738286.379826435</v>
      </c>
      <c r="AI23" s="154">
        <f t="shared" si="4"/>
        <v>251586.41085672</v>
      </c>
      <c r="AJ23" s="154">
        <f t="shared" si="5"/>
        <v>275203.751037345</v>
      </c>
      <c r="AK23" s="107">
        <f t="shared" si="6"/>
        <v>604015.859081297</v>
      </c>
      <c r="AL23" s="107">
        <f t="shared" si="7"/>
        <v>390045.191639277</v>
      </c>
      <c r="AM23" s="107">
        <f t="shared" si="8"/>
        <v>8137.1950207469</v>
      </c>
      <c r="AN23" s="155" t="s">
        <v>7820</v>
      </c>
      <c r="AO23" s="156" t="s">
        <v>7821</v>
      </c>
      <c r="AP23" s="99"/>
      <c r="AQ23" s="99"/>
      <c r="AR23" s="99"/>
      <c r="AS23" s="99"/>
    </row>
    <row r="24" s="100" customFormat="1" ht="21" customHeight="1" spans="1:45">
      <c r="A24" s="158"/>
      <c r="B24" s="149" t="s">
        <v>7830</v>
      </c>
      <c r="C24" s="107">
        <v>1415000</v>
      </c>
      <c r="D24" s="150">
        <v>0.0212424113682355</v>
      </c>
      <c r="E24" s="150">
        <v>0.0212424113682355</v>
      </c>
      <c r="F24" s="104">
        <f>VLOOKUP(B24,'[1]Sku List'!$B:$F,5,FALSE)</f>
        <v>0.0232365145228216</v>
      </c>
      <c r="G24" s="151">
        <v>90000</v>
      </c>
      <c r="H24" s="152"/>
      <c r="I24" s="153">
        <v>95000</v>
      </c>
      <c r="J24" s="152"/>
      <c r="K24" s="152">
        <v>115000</v>
      </c>
      <c r="L24" s="153">
        <v>130000</v>
      </c>
      <c r="M24" s="152"/>
      <c r="N24" s="152">
        <v>40000</v>
      </c>
      <c r="O24" s="153">
        <v>235000</v>
      </c>
      <c r="P24" s="153"/>
      <c r="Q24" s="152"/>
      <c r="R24" s="153">
        <v>160000</v>
      </c>
      <c r="S24" s="153"/>
      <c r="T24" s="152"/>
      <c r="U24" s="153">
        <v>215000</v>
      </c>
      <c r="V24" s="153"/>
      <c r="W24" s="152"/>
      <c r="X24" s="153">
        <v>0</v>
      </c>
      <c r="Y24" s="152"/>
      <c r="Z24" s="152">
        <v>0</v>
      </c>
      <c r="AA24" s="153">
        <v>335000</v>
      </c>
      <c r="AB24" s="153"/>
      <c r="AC24" s="152"/>
      <c r="AD24" s="153"/>
      <c r="AE24" s="154">
        <f t="shared" si="0"/>
        <v>1342302.23890773</v>
      </c>
      <c r="AF24" s="154">
        <f t="shared" si="1"/>
        <v>641631.602495997</v>
      </c>
      <c r="AG24" s="21">
        <f t="shared" si="2"/>
        <v>30305.2481327801</v>
      </c>
      <c r="AH24" s="154">
        <f t="shared" si="3"/>
        <v>738286.379826435</v>
      </c>
      <c r="AI24" s="154">
        <f t="shared" si="4"/>
        <v>251586.41085672</v>
      </c>
      <c r="AJ24" s="154">
        <f t="shared" si="5"/>
        <v>275203.751037345</v>
      </c>
      <c r="AK24" s="107">
        <f t="shared" si="6"/>
        <v>604015.859081297</v>
      </c>
      <c r="AL24" s="107">
        <f t="shared" si="7"/>
        <v>390045.191639277</v>
      </c>
      <c r="AM24" s="107">
        <f t="shared" si="8"/>
        <v>8137.1950207469</v>
      </c>
      <c r="AN24" s="155" t="s">
        <v>7820</v>
      </c>
      <c r="AO24" s="156" t="s">
        <v>7821</v>
      </c>
      <c r="AP24" s="99"/>
      <c r="AQ24" s="99"/>
      <c r="AR24" s="99"/>
      <c r="AS24" s="99"/>
    </row>
    <row r="25" s="100" customFormat="1" ht="21" customHeight="1" spans="1:45">
      <c r="A25" s="158"/>
      <c r="B25" s="149" t="s">
        <v>7831</v>
      </c>
      <c r="C25" s="107">
        <v>1415000</v>
      </c>
      <c r="D25" s="150">
        <v>0.0212424113682355</v>
      </c>
      <c r="E25" s="150">
        <v>0.0212424113682355</v>
      </c>
      <c r="F25" s="104">
        <f>VLOOKUP(B25,'[1]Sku List'!$B:$F,5,FALSE)</f>
        <v>0.0232365145228216</v>
      </c>
      <c r="G25" s="151">
        <v>85000</v>
      </c>
      <c r="H25" s="152"/>
      <c r="I25" s="153">
        <v>100000</v>
      </c>
      <c r="J25" s="152"/>
      <c r="K25" s="152">
        <v>115000</v>
      </c>
      <c r="L25" s="153">
        <v>125000</v>
      </c>
      <c r="M25" s="152"/>
      <c r="N25" s="152">
        <v>45000</v>
      </c>
      <c r="O25" s="153">
        <v>230000</v>
      </c>
      <c r="P25" s="153"/>
      <c r="Q25" s="152"/>
      <c r="R25" s="153">
        <v>165000</v>
      </c>
      <c r="S25" s="153"/>
      <c r="T25" s="152"/>
      <c r="U25" s="153">
        <v>215000</v>
      </c>
      <c r="V25" s="153"/>
      <c r="W25" s="152"/>
      <c r="X25" s="153">
        <v>0</v>
      </c>
      <c r="Y25" s="152"/>
      <c r="Z25" s="152">
        <v>0</v>
      </c>
      <c r="AA25" s="153">
        <v>335000</v>
      </c>
      <c r="AB25" s="153"/>
      <c r="AC25" s="152"/>
      <c r="AD25" s="153"/>
      <c r="AE25" s="154">
        <f t="shared" si="0"/>
        <v>1342302.23890773</v>
      </c>
      <c r="AF25" s="154">
        <f t="shared" si="1"/>
        <v>641631.602495997</v>
      </c>
      <c r="AG25" s="21">
        <f t="shared" si="2"/>
        <v>30305.2481327801</v>
      </c>
      <c r="AH25" s="154">
        <f t="shared" si="3"/>
        <v>738286.379826435</v>
      </c>
      <c r="AI25" s="154">
        <f t="shared" si="4"/>
        <v>251586.41085672</v>
      </c>
      <c r="AJ25" s="154">
        <f t="shared" si="5"/>
        <v>275203.751037345</v>
      </c>
      <c r="AK25" s="107">
        <f t="shared" si="6"/>
        <v>604015.859081297</v>
      </c>
      <c r="AL25" s="107">
        <f t="shared" si="7"/>
        <v>390045.191639277</v>
      </c>
      <c r="AM25" s="107">
        <f t="shared" si="8"/>
        <v>8137.1950207469</v>
      </c>
      <c r="AN25" s="155" t="s">
        <v>7820</v>
      </c>
      <c r="AO25" s="156" t="s">
        <v>7821</v>
      </c>
      <c r="AP25" s="99"/>
      <c r="AQ25" s="99"/>
      <c r="AR25" s="99"/>
      <c r="AS25" s="99"/>
    </row>
    <row r="26" s="100" customFormat="1" ht="21" customHeight="1" spans="1:45">
      <c r="A26" s="158"/>
      <c r="B26" s="149" t="s">
        <v>7832</v>
      </c>
      <c r="C26" s="107">
        <v>1890000</v>
      </c>
      <c r="D26" s="150">
        <v>0.0185090796914668</v>
      </c>
      <c r="E26" s="150">
        <v>0.0185090796914669</v>
      </c>
      <c r="F26" s="104">
        <f>VLOOKUP(B26,'[1]Sku List'!$B:$F,5,FALSE)</f>
        <v>0.0244813278008299</v>
      </c>
      <c r="G26" s="151">
        <v>75000</v>
      </c>
      <c r="H26" s="152"/>
      <c r="I26" s="153">
        <v>85000</v>
      </c>
      <c r="J26" s="152"/>
      <c r="K26" s="152">
        <v>100000</v>
      </c>
      <c r="L26" s="153">
        <v>115000</v>
      </c>
      <c r="M26" s="152"/>
      <c r="N26" s="152">
        <v>35000</v>
      </c>
      <c r="O26" s="153">
        <v>220000</v>
      </c>
      <c r="P26" s="153"/>
      <c r="Q26" s="152"/>
      <c r="R26" s="153">
        <v>150000</v>
      </c>
      <c r="S26" s="153"/>
      <c r="T26" s="152"/>
      <c r="U26" s="153">
        <v>185000</v>
      </c>
      <c r="V26" s="153"/>
      <c r="W26" s="152"/>
      <c r="X26" s="153">
        <v>555000</v>
      </c>
      <c r="Y26" s="152"/>
      <c r="Z26" s="152">
        <v>75000</v>
      </c>
      <c r="AA26" s="153">
        <v>295000</v>
      </c>
      <c r="AB26" s="153"/>
      <c r="AC26" s="152"/>
      <c r="AD26" s="153"/>
      <c r="AE26" s="154">
        <f t="shared" si="0"/>
        <v>1169583.74825227</v>
      </c>
      <c r="AF26" s="154">
        <f t="shared" si="1"/>
        <v>559070.731532891</v>
      </c>
      <c r="AG26" s="21">
        <f t="shared" si="2"/>
        <v>31928.7435684648</v>
      </c>
      <c r="AH26" s="154">
        <f t="shared" si="3"/>
        <v>643288.617400839</v>
      </c>
      <c r="AI26" s="154">
        <f t="shared" si="4"/>
        <v>219213.95114306</v>
      </c>
      <c r="AJ26" s="154">
        <f t="shared" si="5"/>
        <v>289946.809128631</v>
      </c>
      <c r="AK26" s="107">
        <f t="shared" si="6"/>
        <v>526295.130851434</v>
      </c>
      <c r="AL26" s="107">
        <f t="shared" si="7"/>
        <v>339856.780389831</v>
      </c>
      <c r="AM26" s="107">
        <f t="shared" si="8"/>
        <v>8573.11618257262</v>
      </c>
      <c r="AN26" s="155" t="s">
        <v>7820</v>
      </c>
      <c r="AO26" s="156" t="s">
        <v>7821</v>
      </c>
      <c r="AP26" s="99"/>
      <c r="AQ26" s="99"/>
      <c r="AR26" s="99"/>
      <c r="AS26" s="99"/>
    </row>
    <row r="27" s="100" customFormat="1" ht="21" customHeight="1" spans="1:45">
      <c r="A27" s="158"/>
      <c r="B27" s="149" t="s">
        <v>7833</v>
      </c>
      <c r="C27" s="107">
        <v>2380000</v>
      </c>
      <c r="D27" s="150">
        <v>0.0212424113682355</v>
      </c>
      <c r="E27" s="150">
        <v>0.0212424113682355</v>
      </c>
      <c r="F27" s="104">
        <f>VLOOKUP(B27,'[1]Sku List'!$B:$F,5,FALSE)</f>
        <v>0.0232365145228216</v>
      </c>
      <c r="G27" s="151">
        <v>85000</v>
      </c>
      <c r="H27" s="152"/>
      <c r="I27" s="153">
        <v>100000</v>
      </c>
      <c r="J27" s="152"/>
      <c r="K27" s="152">
        <v>115000</v>
      </c>
      <c r="L27" s="153">
        <v>125000</v>
      </c>
      <c r="M27" s="152"/>
      <c r="N27" s="152">
        <v>45000</v>
      </c>
      <c r="O27" s="153">
        <v>230000</v>
      </c>
      <c r="P27" s="153"/>
      <c r="Q27" s="152"/>
      <c r="R27" s="153">
        <v>165000</v>
      </c>
      <c r="S27" s="153"/>
      <c r="T27" s="152"/>
      <c r="U27" s="153">
        <v>215000</v>
      </c>
      <c r="V27" s="153"/>
      <c r="W27" s="152"/>
      <c r="X27" s="153">
        <v>845000</v>
      </c>
      <c r="Y27" s="152"/>
      <c r="Z27" s="152">
        <v>115000</v>
      </c>
      <c r="AA27" s="153">
        <v>340000</v>
      </c>
      <c r="AB27" s="153"/>
      <c r="AC27" s="152"/>
      <c r="AD27" s="153"/>
      <c r="AE27" s="154">
        <f t="shared" si="0"/>
        <v>1342302.23890773</v>
      </c>
      <c r="AF27" s="154">
        <f t="shared" si="1"/>
        <v>641631.602495997</v>
      </c>
      <c r="AG27" s="21">
        <f t="shared" si="2"/>
        <v>30305.2481327801</v>
      </c>
      <c r="AH27" s="154">
        <f t="shared" si="3"/>
        <v>738286.379826435</v>
      </c>
      <c r="AI27" s="154">
        <f t="shared" si="4"/>
        <v>251586.41085672</v>
      </c>
      <c r="AJ27" s="154">
        <f t="shared" si="5"/>
        <v>275203.751037345</v>
      </c>
      <c r="AK27" s="107">
        <f t="shared" si="6"/>
        <v>604015.859081297</v>
      </c>
      <c r="AL27" s="107">
        <f t="shared" si="7"/>
        <v>390045.191639277</v>
      </c>
      <c r="AM27" s="107">
        <f t="shared" si="8"/>
        <v>8137.1950207469</v>
      </c>
      <c r="AN27" s="155" t="s">
        <v>7820</v>
      </c>
      <c r="AO27" s="156" t="s">
        <v>7821</v>
      </c>
      <c r="AP27" s="99"/>
      <c r="AQ27" s="99"/>
      <c r="AR27" s="99"/>
      <c r="AS27" s="99"/>
    </row>
    <row r="28" s="100" customFormat="1" ht="21" customHeight="1" spans="1:45">
      <c r="A28" s="158"/>
      <c r="B28" s="149" t="s">
        <v>7834</v>
      </c>
      <c r="C28" s="107">
        <v>1890000</v>
      </c>
      <c r="D28" s="150">
        <v>0.0185090796914668</v>
      </c>
      <c r="E28" s="150">
        <v>0.0185090796914669</v>
      </c>
      <c r="F28" s="104">
        <f>VLOOKUP(B28,'[1]Sku List'!$B:$F,5,FALSE)</f>
        <v>0.0244813278008299</v>
      </c>
      <c r="G28" s="151">
        <v>75000</v>
      </c>
      <c r="H28" s="152"/>
      <c r="I28" s="153">
        <v>85000</v>
      </c>
      <c r="J28" s="152"/>
      <c r="K28" s="152">
        <v>100000</v>
      </c>
      <c r="L28" s="153">
        <v>115000</v>
      </c>
      <c r="M28" s="152"/>
      <c r="N28" s="152">
        <v>35000</v>
      </c>
      <c r="O28" s="153">
        <v>220000</v>
      </c>
      <c r="P28" s="153"/>
      <c r="Q28" s="152"/>
      <c r="R28" s="153">
        <v>150000</v>
      </c>
      <c r="S28" s="153"/>
      <c r="T28" s="152"/>
      <c r="U28" s="153">
        <v>185000</v>
      </c>
      <c r="V28" s="153"/>
      <c r="W28" s="152"/>
      <c r="X28" s="153">
        <v>555000</v>
      </c>
      <c r="Y28" s="152"/>
      <c r="Z28" s="152">
        <v>75000</v>
      </c>
      <c r="AA28" s="153">
        <v>295000</v>
      </c>
      <c r="AB28" s="153"/>
      <c r="AC28" s="152"/>
      <c r="AD28" s="153"/>
      <c r="AE28" s="154">
        <f t="shared" si="0"/>
        <v>1169583.74825227</v>
      </c>
      <c r="AF28" s="154">
        <f t="shared" si="1"/>
        <v>559070.731532891</v>
      </c>
      <c r="AG28" s="21">
        <f t="shared" si="2"/>
        <v>31928.7435684648</v>
      </c>
      <c r="AH28" s="154">
        <f t="shared" si="3"/>
        <v>643288.617400839</v>
      </c>
      <c r="AI28" s="154">
        <f t="shared" si="4"/>
        <v>219213.95114306</v>
      </c>
      <c r="AJ28" s="154">
        <f t="shared" si="5"/>
        <v>289946.809128631</v>
      </c>
      <c r="AK28" s="107">
        <f t="shared" si="6"/>
        <v>526295.130851434</v>
      </c>
      <c r="AL28" s="107">
        <f t="shared" si="7"/>
        <v>339856.780389831</v>
      </c>
      <c r="AM28" s="107">
        <f t="shared" si="8"/>
        <v>8573.11618257262</v>
      </c>
      <c r="AN28" s="155" t="s">
        <v>7820</v>
      </c>
      <c r="AO28" s="156" t="s">
        <v>7821</v>
      </c>
      <c r="AP28" s="99"/>
      <c r="AQ28" s="99"/>
      <c r="AR28" s="99"/>
      <c r="AS28" s="99"/>
    </row>
    <row r="29" s="100" customFormat="1" ht="21" customHeight="1" spans="1:45">
      <c r="A29" s="158"/>
      <c r="B29" s="149" t="s">
        <v>7835</v>
      </c>
      <c r="C29" s="107">
        <v>1890000</v>
      </c>
      <c r="D29" s="150">
        <v>0.0185090796914668</v>
      </c>
      <c r="E29" s="150">
        <v>0.0185090796914669</v>
      </c>
      <c r="F29" s="104">
        <f>VLOOKUP(B29,'[1]Sku List'!$B:$F,5,FALSE)</f>
        <v>0.0244813278008299</v>
      </c>
      <c r="G29" s="151">
        <v>85000</v>
      </c>
      <c r="H29" s="152"/>
      <c r="I29" s="153">
        <v>90000</v>
      </c>
      <c r="J29" s="152"/>
      <c r="K29" s="152">
        <v>100000</v>
      </c>
      <c r="L29" s="153">
        <v>125000</v>
      </c>
      <c r="M29" s="152"/>
      <c r="N29" s="152">
        <v>35000</v>
      </c>
      <c r="O29" s="153">
        <v>225000</v>
      </c>
      <c r="P29" s="153"/>
      <c r="Q29" s="152"/>
      <c r="R29" s="153">
        <v>180000</v>
      </c>
      <c r="S29" s="153"/>
      <c r="T29" s="152"/>
      <c r="U29" s="153">
        <v>125000</v>
      </c>
      <c r="V29" s="153"/>
      <c r="W29" s="152"/>
      <c r="X29" s="153">
        <v>555000</v>
      </c>
      <c r="Y29" s="152"/>
      <c r="Z29" s="152">
        <v>75000</v>
      </c>
      <c r="AA29" s="153">
        <v>295000</v>
      </c>
      <c r="AB29" s="153"/>
      <c r="AC29" s="152"/>
      <c r="AD29" s="153"/>
      <c r="AE29" s="154">
        <f t="shared" si="0"/>
        <v>1169583.74825227</v>
      </c>
      <c r="AF29" s="154">
        <f t="shared" si="1"/>
        <v>559070.731532891</v>
      </c>
      <c r="AG29" s="21">
        <f t="shared" si="2"/>
        <v>31928.7435684648</v>
      </c>
      <c r="AH29" s="154">
        <f t="shared" si="3"/>
        <v>643288.617400839</v>
      </c>
      <c r="AI29" s="154">
        <f t="shared" si="4"/>
        <v>219213.95114306</v>
      </c>
      <c r="AJ29" s="154">
        <f t="shared" si="5"/>
        <v>289946.809128631</v>
      </c>
      <c r="AK29" s="107">
        <f t="shared" si="6"/>
        <v>526295.130851434</v>
      </c>
      <c r="AL29" s="107">
        <f t="shared" si="7"/>
        <v>339856.780389831</v>
      </c>
      <c r="AM29" s="107">
        <f t="shared" si="8"/>
        <v>8573.11618257262</v>
      </c>
      <c r="AN29" s="155" t="s">
        <v>7820</v>
      </c>
      <c r="AO29" s="156" t="s">
        <v>7821</v>
      </c>
      <c r="AP29" s="99"/>
      <c r="AQ29" s="99"/>
      <c r="AR29" s="99"/>
      <c r="AS29" s="99"/>
    </row>
    <row r="30" s="100" customFormat="1" ht="21" customHeight="1" spans="1:45">
      <c r="A30" s="158"/>
      <c r="B30" s="149" t="s">
        <v>7836</v>
      </c>
      <c r="C30" s="107">
        <v>1890000</v>
      </c>
      <c r="D30" s="150">
        <v>0.0185090796914668</v>
      </c>
      <c r="E30" s="150">
        <v>0.0185090796914669</v>
      </c>
      <c r="F30" s="104">
        <f>VLOOKUP(B30,'[1]Sku List'!$B:$F,5,FALSE)</f>
        <v>0.0244813278008299</v>
      </c>
      <c r="G30" s="151">
        <v>75000</v>
      </c>
      <c r="H30" s="152"/>
      <c r="I30" s="153">
        <v>85000</v>
      </c>
      <c r="J30" s="152"/>
      <c r="K30" s="152">
        <v>100000</v>
      </c>
      <c r="L30" s="153">
        <v>115000</v>
      </c>
      <c r="M30" s="152"/>
      <c r="N30" s="152">
        <v>35000</v>
      </c>
      <c r="O30" s="153">
        <v>220000</v>
      </c>
      <c r="P30" s="153"/>
      <c r="Q30" s="152"/>
      <c r="R30" s="153">
        <v>150000</v>
      </c>
      <c r="S30" s="153"/>
      <c r="T30" s="152"/>
      <c r="U30" s="153">
        <v>185000</v>
      </c>
      <c r="V30" s="153"/>
      <c r="W30" s="152"/>
      <c r="X30" s="153">
        <v>555000</v>
      </c>
      <c r="Y30" s="152"/>
      <c r="Z30" s="152">
        <v>75000</v>
      </c>
      <c r="AA30" s="153">
        <v>295000</v>
      </c>
      <c r="AB30" s="153"/>
      <c r="AC30" s="152"/>
      <c r="AD30" s="153"/>
      <c r="AE30" s="154">
        <f t="shared" si="0"/>
        <v>1169583.74825227</v>
      </c>
      <c r="AF30" s="154">
        <f t="shared" si="1"/>
        <v>559070.731532891</v>
      </c>
      <c r="AG30" s="21">
        <f t="shared" si="2"/>
        <v>31928.7435684648</v>
      </c>
      <c r="AH30" s="154">
        <f t="shared" si="3"/>
        <v>643288.617400839</v>
      </c>
      <c r="AI30" s="154">
        <f t="shared" si="4"/>
        <v>219213.95114306</v>
      </c>
      <c r="AJ30" s="154">
        <f t="shared" si="5"/>
        <v>289946.809128631</v>
      </c>
      <c r="AK30" s="107">
        <f t="shared" si="6"/>
        <v>526295.130851434</v>
      </c>
      <c r="AL30" s="107">
        <f t="shared" si="7"/>
        <v>339856.780389831</v>
      </c>
      <c r="AM30" s="107">
        <f t="shared" si="8"/>
        <v>8573.11618257262</v>
      </c>
      <c r="AN30" s="155" t="s">
        <v>7820</v>
      </c>
      <c r="AO30" s="156" t="s">
        <v>7821</v>
      </c>
      <c r="AP30" s="99"/>
      <c r="AQ30" s="99"/>
      <c r="AR30" s="99"/>
      <c r="AS30" s="99"/>
    </row>
    <row r="31" s="100" customFormat="1" ht="21" customHeight="1" spans="1:45">
      <c r="A31" s="158"/>
      <c r="B31" s="149" t="s">
        <v>7837</v>
      </c>
      <c r="C31" s="107">
        <v>2310000</v>
      </c>
      <c r="D31" s="150">
        <v>0.022993925458227</v>
      </c>
      <c r="E31" s="150">
        <v>0.022993925458227</v>
      </c>
      <c r="F31" s="104">
        <f>VLOOKUP(B31,'[1]Sku List'!$B:$F,5,FALSE)</f>
        <v>0.0244813278008299</v>
      </c>
      <c r="G31" s="151">
        <v>95000</v>
      </c>
      <c r="H31" s="152"/>
      <c r="I31" s="153">
        <v>105000</v>
      </c>
      <c r="J31" s="152"/>
      <c r="K31" s="152">
        <v>125000</v>
      </c>
      <c r="L31" s="153">
        <v>135000</v>
      </c>
      <c r="M31" s="152"/>
      <c r="N31" s="152">
        <v>50000</v>
      </c>
      <c r="O31" s="153">
        <v>245000</v>
      </c>
      <c r="P31" s="153"/>
      <c r="Q31" s="152"/>
      <c r="R31" s="153">
        <v>175000</v>
      </c>
      <c r="S31" s="153"/>
      <c r="T31" s="152"/>
      <c r="U31" s="153">
        <v>230000</v>
      </c>
      <c r="V31" s="153"/>
      <c r="W31" s="152"/>
      <c r="X31" s="153">
        <v>690000</v>
      </c>
      <c r="Y31" s="152"/>
      <c r="Z31" s="152">
        <v>95000</v>
      </c>
      <c r="AA31" s="153">
        <v>365000</v>
      </c>
      <c r="AB31" s="153"/>
      <c r="AC31" s="152"/>
      <c r="AD31" s="153"/>
      <c r="AE31" s="154">
        <f t="shared" si="0"/>
        <v>1452979.94134549</v>
      </c>
      <c r="AF31" s="154">
        <f t="shared" si="1"/>
        <v>694536.46215972</v>
      </c>
      <c r="AG31" s="21">
        <f t="shared" si="2"/>
        <v>31928.7435684648</v>
      </c>
      <c r="AH31" s="154">
        <f t="shared" si="3"/>
        <v>799160.777478317</v>
      </c>
      <c r="AI31" s="154">
        <f t="shared" si="4"/>
        <v>272330.625617803</v>
      </c>
      <c r="AJ31" s="154">
        <f t="shared" si="5"/>
        <v>289946.809128631</v>
      </c>
      <c r="AK31" s="107">
        <f t="shared" si="6"/>
        <v>653819.163867174</v>
      </c>
      <c r="AL31" s="107">
        <f t="shared" si="7"/>
        <v>422205.836541917</v>
      </c>
      <c r="AM31" s="107">
        <f t="shared" si="8"/>
        <v>8573.11618257262</v>
      </c>
      <c r="AN31" s="155" t="s">
        <v>7820</v>
      </c>
      <c r="AO31" s="156" t="s">
        <v>7821</v>
      </c>
      <c r="AP31" s="99"/>
      <c r="AQ31" s="99"/>
      <c r="AR31" s="99"/>
      <c r="AS31" s="99"/>
    </row>
    <row r="32" s="100" customFormat="1" ht="21" customHeight="1" spans="1:45">
      <c r="A32" s="158"/>
      <c r="B32" s="149" t="s">
        <v>7838</v>
      </c>
      <c r="C32" s="107">
        <v>2310000</v>
      </c>
      <c r="D32" s="150">
        <v>0.022993925458227</v>
      </c>
      <c r="E32" s="150">
        <v>0.022993925458227</v>
      </c>
      <c r="F32" s="104">
        <f>VLOOKUP(B32,'[1]Sku List'!$B:$F,5,FALSE)</f>
        <v>0.0244813278008299</v>
      </c>
      <c r="G32" s="151">
        <v>95000</v>
      </c>
      <c r="H32" s="152"/>
      <c r="I32" s="153">
        <v>105000</v>
      </c>
      <c r="J32" s="152"/>
      <c r="K32" s="152">
        <v>125000</v>
      </c>
      <c r="L32" s="153">
        <v>140000</v>
      </c>
      <c r="M32" s="152"/>
      <c r="N32" s="152">
        <v>45000</v>
      </c>
      <c r="O32" s="153">
        <v>245000</v>
      </c>
      <c r="P32" s="153"/>
      <c r="Q32" s="152"/>
      <c r="R32" s="153">
        <v>180000</v>
      </c>
      <c r="S32" s="153"/>
      <c r="T32" s="152"/>
      <c r="U32" s="153">
        <v>225000</v>
      </c>
      <c r="V32" s="153"/>
      <c r="W32" s="152"/>
      <c r="X32" s="153">
        <v>690000</v>
      </c>
      <c r="Y32" s="152"/>
      <c r="Z32" s="152">
        <v>95000</v>
      </c>
      <c r="AA32" s="153">
        <v>365000</v>
      </c>
      <c r="AB32" s="153"/>
      <c r="AC32" s="152"/>
      <c r="AD32" s="153"/>
      <c r="AE32" s="154">
        <f t="shared" si="0"/>
        <v>1452979.94134549</v>
      </c>
      <c r="AF32" s="154">
        <f t="shared" si="1"/>
        <v>694536.46215972</v>
      </c>
      <c r="AG32" s="21">
        <f t="shared" si="2"/>
        <v>31928.7435684648</v>
      </c>
      <c r="AH32" s="154">
        <f t="shared" si="3"/>
        <v>799160.777478317</v>
      </c>
      <c r="AI32" s="154">
        <f t="shared" si="4"/>
        <v>272330.625617803</v>
      </c>
      <c r="AJ32" s="154">
        <f t="shared" si="5"/>
        <v>289946.809128631</v>
      </c>
      <c r="AK32" s="107">
        <f t="shared" si="6"/>
        <v>653819.163867174</v>
      </c>
      <c r="AL32" s="107">
        <f t="shared" si="7"/>
        <v>422205.836541917</v>
      </c>
      <c r="AM32" s="107">
        <f t="shared" si="8"/>
        <v>8573.11618257262</v>
      </c>
      <c r="AN32" s="155" t="s">
        <v>7820</v>
      </c>
      <c r="AO32" s="156" t="s">
        <v>7821</v>
      </c>
      <c r="AP32" s="99"/>
      <c r="AQ32" s="99"/>
      <c r="AR32" s="99"/>
      <c r="AS32" s="99"/>
    </row>
    <row r="33" s="100" customFormat="1" ht="21" customHeight="1" spans="1:45">
      <c r="A33" s="158"/>
      <c r="B33" s="149" t="s">
        <v>7839</v>
      </c>
      <c r="C33" s="107">
        <v>2300000</v>
      </c>
      <c r="D33" s="150">
        <v>0.022993925458227</v>
      </c>
      <c r="E33" s="150">
        <v>0.022993925458227</v>
      </c>
      <c r="F33" s="104">
        <f>VLOOKUP(B33,'[1]Sku List'!$B:$F,5,FALSE)</f>
        <v>0.0232365145228216</v>
      </c>
      <c r="G33" s="151">
        <v>95000</v>
      </c>
      <c r="H33" s="152"/>
      <c r="I33" s="153">
        <v>105000</v>
      </c>
      <c r="J33" s="152"/>
      <c r="K33" s="152">
        <v>125000</v>
      </c>
      <c r="L33" s="153">
        <v>135000</v>
      </c>
      <c r="M33" s="152"/>
      <c r="N33" s="152">
        <v>50000</v>
      </c>
      <c r="O33" s="153">
        <v>240000</v>
      </c>
      <c r="P33" s="153"/>
      <c r="Q33" s="152"/>
      <c r="R33" s="153">
        <v>175000</v>
      </c>
      <c r="S33" s="153"/>
      <c r="T33" s="152"/>
      <c r="U33" s="153">
        <v>230000</v>
      </c>
      <c r="V33" s="153"/>
      <c r="W33" s="152"/>
      <c r="X33" s="153">
        <v>690000</v>
      </c>
      <c r="Y33" s="152"/>
      <c r="Z33" s="152">
        <v>90000</v>
      </c>
      <c r="AA33" s="153">
        <v>365000</v>
      </c>
      <c r="AB33" s="153"/>
      <c r="AC33" s="152"/>
      <c r="AD33" s="153"/>
      <c r="AE33" s="154">
        <f t="shared" si="0"/>
        <v>1452979.94134549</v>
      </c>
      <c r="AF33" s="154">
        <f t="shared" si="1"/>
        <v>694536.46215972</v>
      </c>
      <c r="AG33" s="21">
        <f t="shared" si="2"/>
        <v>30305.2481327801</v>
      </c>
      <c r="AH33" s="154">
        <f t="shared" si="3"/>
        <v>799160.777478317</v>
      </c>
      <c r="AI33" s="154">
        <f t="shared" si="4"/>
        <v>272330.625617803</v>
      </c>
      <c r="AJ33" s="154">
        <f t="shared" si="5"/>
        <v>275203.751037345</v>
      </c>
      <c r="AK33" s="107">
        <f t="shared" si="6"/>
        <v>653819.163867174</v>
      </c>
      <c r="AL33" s="107">
        <f t="shared" si="7"/>
        <v>422205.836541917</v>
      </c>
      <c r="AM33" s="107">
        <f t="shared" si="8"/>
        <v>8137.1950207469</v>
      </c>
      <c r="AN33" s="155" t="s">
        <v>7820</v>
      </c>
      <c r="AO33" s="156" t="s">
        <v>7821</v>
      </c>
      <c r="AP33" s="99"/>
      <c r="AQ33" s="99"/>
      <c r="AR33" s="99"/>
      <c r="AS33" s="99"/>
    </row>
    <row r="34" s="100" customFormat="1" ht="21" customHeight="1" spans="1:45">
      <c r="A34" s="158"/>
      <c r="B34" s="149" t="s">
        <v>7840</v>
      </c>
      <c r="C34" s="107">
        <v>2300000</v>
      </c>
      <c r="D34" s="150">
        <v>0.022993925458227</v>
      </c>
      <c r="E34" s="150">
        <v>0.022993925458227</v>
      </c>
      <c r="F34" s="104">
        <f>VLOOKUP(B34,'[1]Sku List'!$B:$F,5,FALSE)</f>
        <v>0.0232365145228216</v>
      </c>
      <c r="G34" s="151">
        <v>95000</v>
      </c>
      <c r="H34" s="152"/>
      <c r="I34" s="153">
        <v>105000</v>
      </c>
      <c r="J34" s="152"/>
      <c r="K34" s="152">
        <v>125000</v>
      </c>
      <c r="L34" s="153">
        <v>135000</v>
      </c>
      <c r="M34" s="152"/>
      <c r="N34" s="152">
        <v>50000</v>
      </c>
      <c r="O34" s="153">
        <v>240000</v>
      </c>
      <c r="P34" s="153"/>
      <c r="Q34" s="152"/>
      <c r="R34" s="153">
        <v>175000</v>
      </c>
      <c r="S34" s="153"/>
      <c r="T34" s="152"/>
      <c r="U34" s="153">
        <v>230000</v>
      </c>
      <c r="V34" s="153"/>
      <c r="W34" s="152"/>
      <c r="X34" s="153">
        <v>690000</v>
      </c>
      <c r="Y34" s="152"/>
      <c r="Z34" s="152">
        <v>90000</v>
      </c>
      <c r="AA34" s="153">
        <v>365000</v>
      </c>
      <c r="AB34" s="153"/>
      <c r="AC34" s="152"/>
      <c r="AD34" s="153"/>
      <c r="AE34" s="154">
        <f t="shared" si="0"/>
        <v>1452979.94134549</v>
      </c>
      <c r="AF34" s="154">
        <f t="shared" si="1"/>
        <v>694536.46215972</v>
      </c>
      <c r="AG34" s="21">
        <f t="shared" si="2"/>
        <v>30305.2481327801</v>
      </c>
      <c r="AH34" s="154">
        <f t="shared" si="3"/>
        <v>799160.777478317</v>
      </c>
      <c r="AI34" s="154">
        <f t="shared" si="4"/>
        <v>272330.625617803</v>
      </c>
      <c r="AJ34" s="154">
        <f t="shared" si="5"/>
        <v>275203.751037345</v>
      </c>
      <c r="AK34" s="107">
        <f t="shared" si="6"/>
        <v>653819.163867174</v>
      </c>
      <c r="AL34" s="107">
        <f t="shared" si="7"/>
        <v>422205.836541917</v>
      </c>
      <c r="AM34" s="107">
        <f t="shared" si="8"/>
        <v>8137.1950207469</v>
      </c>
      <c r="AN34" s="155" t="s">
        <v>7820</v>
      </c>
      <c r="AO34" s="156" t="s">
        <v>7821</v>
      </c>
      <c r="AP34" s="99"/>
      <c r="AQ34" s="99"/>
      <c r="AR34" s="99"/>
      <c r="AS34" s="99"/>
    </row>
    <row r="35" s="100" customFormat="1" ht="21" customHeight="1" spans="1:45">
      <c r="A35" s="158"/>
      <c r="B35" s="149" t="s">
        <v>7841</v>
      </c>
      <c r="C35" s="107">
        <v>2210000</v>
      </c>
      <c r="D35" s="150">
        <v>0.0183951403665816</v>
      </c>
      <c r="E35" s="150">
        <v>0.0183951403665816</v>
      </c>
      <c r="F35" s="104">
        <f>VLOOKUP(B35,'[1]Sku List'!$B:$F,5,FALSE)</f>
        <v>0.0232365145228216</v>
      </c>
      <c r="G35" s="151">
        <v>75000</v>
      </c>
      <c r="H35" s="152"/>
      <c r="I35" s="153">
        <v>85000</v>
      </c>
      <c r="J35" s="152"/>
      <c r="K35" s="152">
        <v>100000</v>
      </c>
      <c r="L35" s="153">
        <v>110000</v>
      </c>
      <c r="M35" s="152"/>
      <c r="N35" s="152">
        <v>35000</v>
      </c>
      <c r="O35" s="153">
        <v>215000</v>
      </c>
      <c r="P35" s="153"/>
      <c r="Q35" s="152"/>
      <c r="R35" s="153">
        <v>145000</v>
      </c>
      <c r="S35" s="153"/>
      <c r="T35" s="152"/>
      <c r="U35" s="153">
        <v>190000</v>
      </c>
      <c r="V35" s="153"/>
      <c r="W35" s="152"/>
      <c r="X35" s="153">
        <v>850000</v>
      </c>
      <c r="Y35" s="152"/>
      <c r="Z35" s="152">
        <v>110000</v>
      </c>
      <c r="AA35" s="153">
        <v>295000</v>
      </c>
      <c r="AB35" s="153"/>
      <c r="AC35" s="152"/>
      <c r="AD35" s="153"/>
      <c r="AE35" s="154">
        <f t="shared" si="0"/>
        <v>1162383.95307639</v>
      </c>
      <c r="AF35" s="154">
        <f t="shared" si="1"/>
        <v>555629.169727776</v>
      </c>
      <c r="AG35" s="21">
        <f t="shared" si="2"/>
        <v>30305.2481327801</v>
      </c>
      <c r="AH35" s="154">
        <f t="shared" si="3"/>
        <v>639328.621982653</v>
      </c>
      <c r="AI35" s="154">
        <f t="shared" si="4"/>
        <v>217864.500494242</v>
      </c>
      <c r="AJ35" s="154">
        <f t="shared" si="5"/>
        <v>275203.751037345</v>
      </c>
      <c r="AK35" s="107">
        <f t="shared" si="6"/>
        <v>523055.331093739</v>
      </c>
      <c r="AL35" s="107">
        <f t="shared" si="7"/>
        <v>337764.669233534</v>
      </c>
      <c r="AM35" s="107">
        <f t="shared" si="8"/>
        <v>8137.1950207469</v>
      </c>
      <c r="AN35" s="155" t="s">
        <v>7820</v>
      </c>
      <c r="AO35" s="156" t="s">
        <v>7821</v>
      </c>
      <c r="AP35" s="99"/>
      <c r="AQ35" s="99"/>
      <c r="AR35" s="99"/>
      <c r="AS35" s="99"/>
    </row>
    <row r="36" s="100" customFormat="1" ht="21" customHeight="1" spans="1:45">
      <c r="A36" s="158"/>
      <c r="B36" s="149" t="s">
        <v>7842</v>
      </c>
      <c r="C36" s="107">
        <v>2030000</v>
      </c>
      <c r="D36" s="150">
        <v>0.0183951403665816</v>
      </c>
      <c r="E36" s="150">
        <v>0.0183951403665816</v>
      </c>
      <c r="F36" s="104">
        <f>VLOOKUP(B36,'[1]Sku List'!$B:$F,5,FALSE)</f>
        <v>0.0232365145228216</v>
      </c>
      <c r="G36" s="151">
        <v>75000</v>
      </c>
      <c r="H36" s="152"/>
      <c r="I36" s="153">
        <v>85000</v>
      </c>
      <c r="J36" s="152"/>
      <c r="K36" s="152">
        <v>100000</v>
      </c>
      <c r="L36" s="153">
        <v>110000</v>
      </c>
      <c r="M36" s="152"/>
      <c r="N36" s="152">
        <v>35000</v>
      </c>
      <c r="O36" s="153">
        <v>215000</v>
      </c>
      <c r="P36" s="153"/>
      <c r="Q36" s="152"/>
      <c r="R36" s="153">
        <v>145000</v>
      </c>
      <c r="S36" s="153"/>
      <c r="T36" s="152"/>
      <c r="U36" s="153">
        <v>190000</v>
      </c>
      <c r="V36" s="153"/>
      <c r="W36" s="152"/>
      <c r="X36" s="153">
        <v>690000</v>
      </c>
      <c r="Y36" s="152"/>
      <c r="Z36" s="152">
        <v>90000</v>
      </c>
      <c r="AA36" s="153">
        <v>295000</v>
      </c>
      <c r="AB36" s="153"/>
      <c r="AC36" s="152"/>
      <c r="AD36" s="153"/>
      <c r="AE36" s="154">
        <f t="shared" si="0"/>
        <v>1162383.95307639</v>
      </c>
      <c r="AF36" s="154">
        <f t="shared" si="1"/>
        <v>555629.169727776</v>
      </c>
      <c r="AG36" s="21">
        <f t="shared" si="2"/>
        <v>30305.2481327801</v>
      </c>
      <c r="AH36" s="154">
        <f t="shared" si="3"/>
        <v>639328.621982653</v>
      </c>
      <c r="AI36" s="154">
        <f t="shared" si="4"/>
        <v>217864.500494242</v>
      </c>
      <c r="AJ36" s="154">
        <f t="shared" si="5"/>
        <v>275203.751037345</v>
      </c>
      <c r="AK36" s="107">
        <f t="shared" si="6"/>
        <v>523055.331093739</v>
      </c>
      <c r="AL36" s="107">
        <f t="shared" si="7"/>
        <v>337764.669233534</v>
      </c>
      <c r="AM36" s="107">
        <f t="shared" si="8"/>
        <v>8137.1950207469</v>
      </c>
      <c r="AN36" s="155" t="s">
        <v>7820</v>
      </c>
      <c r="AO36" s="156" t="s">
        <v>7821</v>
      </c>
      <c r="AP36" s="99"/>
      <c r="AQ36" s="99"/>
      <c r="AR36" s="99"/>
      <c r="AS36" s="99"/>
    </row>
    <row r="37" s="100" customFormat="1" ht="21" customHeight="1" spans="1:45">
      <c r="A37" s="158"/>
      <c r="B37" s="149" t="s">
        <v>7843</v>
      </c>
      <c r="C37" s="107">
        <v>1980000</v>
      </c>
      <c r="D37" s="150">
        <v>0.0183951403665816</v>
      </c>
      <c r="E37" s="150">
        <v>0.0183951403665816</v>
      </c>
      <c r="F37" s="104">
        <f>VLOOKUP(B37,'[1]Sku List'!$B:$F,5,FALSE)</f>
        <v>0.0154910096818811</v>
      </c>
      <c r="G37" s="151">
        <v>75000</v>
      </c>
      <c r="H37" s="152"/>
      <c r="I37" s="153">
        <v>85000</v>
      </c>
      <c r="J37" s="152"/>
      <c r="K37" s="152">
        <v>100000</v>
      </c>
      <c r="L37" s="153">
        <v>110000</v>
      </c>
      <c r="M37" s="152"/>
      <c r="N37" s="152">
        <v>35000</v>
      </c>
      <c r="O37" s="153">
        <v>185000</v>
      </c>
      <c r="P37" s="153"/>
      <c r="Q37" s="152"/>
      <c r="R37" s="153">
        <v>130000</v>
      </c>
      <c r="S37" s="153"/>
      <c r="T37" s="152"/>
      <c r="U37" s="153">
        <v>185000</v>
      </c>
      <c r="V37" s="153"/>
      <c r="W37" s="152"/>
      <c r="X37" s="153">
        <v>690000</v>
      </c>
      <c r="Y37" s="152"/>
      <c r="Z37" s="152">
        <v>90000</v>
      </c>
      <c r="AA37" s="153">
        <v>295000</v>
      </c>
      <c r="AB37" s="153"/>
      <c r="AC37" s="152"/>
      <c r="AD37" s="153"/>
      <c r="AE37" s="154">
        <f t="shared" si="0"/>
        <v>1162383.95307639</v>
      </c>
      <c r="AF37" s="154">
        <f t="shared" si="1"/>
        <v>555629.169727776</v>
      </c>
      <c r="AG37" s="21">
        <f t="shared" si="2"/>
        <v>20203.4987551868</v>
      </c>
      <c r="AH37" s="154">
        <f t="shared" si="3"/>
        <v>639328.621982653</v>
      </c>
      <c r="AI37" s="154">
        <f t="shared" si="4"/>
        <v>217864.500494242</v>
      </c>
      <c r="AJ37" s="154">
        <f t="shared" si="5"/>
        <v>183469.16735823</v>
      </c>
      <c r="AK37" s="107">
        <f t="shared" si="6"/>
        <v>523055.331093739</v>
      </c>
      <c r="AL37" s="107">
        <f t="shared" si="7"/>
        <v>337764.669233534</v>
      </c>
      <c r="AM37" s="107">
        <f t="shared" si="8"/>
        <v>5424.79668049794</v>
      </c>
      <c r="AN37" s="155" t="s">
        <v>7820</v>
      </c>
      <c r="AO37" s="156" t="s">
        <v>7821</v>
      </c>
      <c r="AP37" s="99"/>
      <c r="AQ37" s="99"/>
      <c r="AR37" s="99"/>
      <c r="AS37" s="99"/>
    </row>
    <row r="38" s="100" customFormat="1" ht="21" customHeight="1" spans="1:45">
      <c r="A38" s="158"/>
      <c r="B38" s="149" t="s">
        <v>7844</v>
      </c>
      <c r="C38" s="107">
        <v>1980000</v>
      </c>
      <c r="D38" s="150">
        <v>0.0183951403665816</v>
      </c>
      <c r="E38" s="150">
        <v>0.0183951403665816</v>
      </c>
      <c r="F38" s="104">
        <f>VLOOKUP(B38,'[1]Sku List'!$B:$F,5,FALSE)</f>
        <v>0.0154910096818811</v>
      </c>
      <c r="G38" s="151">
        <v>75000</v>
      </c>
      <c r="H38" s="152"/>
      <c r="I38" s="153">
        <v>85000</v>
      </c>
      <c r="J38" s="152"/>
      <c r="K38" s="152">
        <v>100000</v>
      </c>
      <c r="L38" s="153">
        <v>110000</v>
      </c>
      <c r="M38" s="152"/>
      <c r="N38" s="152">
        <v>35000</v>
      </c>
      <c r="O38" s="153">
        <v>185000</v>
      </c>
      <c r="P38" s="153"/>
      <c r="Q38" s="152"/>
      <c r="R38" s="153">
        <v>130000</v>
      </c>
      <c r="S38" s="153"/>
      <c r="T38" s="152"/>
      <c r="U38" s="153">
        <v>185000</v>
      </c>
      <c r="V38" s="153"/>
      <c r="W38" s="152"/>
      <c r="X38" s="153">
        <v>690000</v>
      </c>
      <c r="Y38" s="152"/>
      <c r="Z38" s="152">
        <v>90000</v>
      </c>
      <c r="AA38" s="153">
        <v>295000</v>
      </c>
      <c r="AB38" s="153"/>
      <c r="AC38" s="152"/>
      <c r="AD38" s="153"/>
      <c r="AE38" s="154">
        <f t="shared" si="0"/>
        <v>1162383.95307639</v>
      </c>
      <c r="AF38" s="154">
        <f t="shared" si="1"/>
        <v>555629.169727776</v>
      </c>
      <c r="AG38" s="21">
        <f t="shared" si="2"/>
        <v>20203.4987551868</v>
      </c>
      <c r="AH38" s="154">
        <f t="shared" si="3"/>
        <v>639328.621982653</v>
      </c>
      <c r="AI38" s="154">
        <f t="shared" si="4"/>
        <v>217864.500494242</v>
      </c>
      <c r="AJ38" s="154">
        <f t="shared" si="5"/>
        <v>183469.16735823</v>
      </c>
      <c r="AK38" s="107">
        <f t="shared" si="6"/>
        <v>523055.331093739</v>
      </c>
      <c r="AL38" s="107">
        <f t="shared" si="7"/>
        <v>337764.669233534</v>
      </c>
      <c r="AM38" s="107">
        <f t="shared" si="8"/>
        <v>5424.79668049794</v>
      </c>
      <c r="AN38" s="155" t="s">
        <v>7820</v>
      </c>
      <c r="AO38" s="156" t="s">
        <v>7821</v>
      </c>
      <c r="AP38" s="99"/>
      <c r="AQ38" s="99"/>
      <c r="AR38" s="99"/>
      <c r="AS38" s="99"/>
    </row>
    <row r="39" s="100" customFormat="1" ht="21" customHeight="1" spans="1:45">
      <c r="A39" s="158"/>
      <c r="B39" s="149" t="s">
        <v>7845</v>
      </c>
      <c r="C39" s="107">
        <v>1980000</v>
      </c>
      <c r="D39" s="150">
        <v>0.0183951403665816</v>
      </c>
      <c r="E39" s="150">
        <v>0.0183951403665816</v>
      </c>
      <c r="F39" s="104">
        <f>VLOOKUP(B39,'[1]Sku List'!$B:$F,5,FALSE)</f>
        <v>0.0154910096818811</v>
      </c>
      <c r="G39" s="151">
        <v>75000</v>
      </c>
      <c r="H39" s="152"/>
      <c r="I39" s="153">
        <v>85000</v>
      </c>
      <c r="J39" s="152"/>
      <c r="K39" s="152">
        <v>100000</v>
      </c>
      <c r="L39" s="153">
        <v>110000</v>
      </c>
      <c r="M39" s="152"/>
      <c r="N39" s="152">
        <v>35000</v>
      </c>
      <c r="O39" s="153">
        <v>185000</v>
      </c>
      <c r="P39" s="153"/>
      <c r="Q39" s="152"/>
      <c r="R39" s="153">
        <v>130000</v>
      </c>
      <c r="S39" s="153"/>
      <c r="T39" s="152"/>
      <c r="U39" s="153">
        <v>185000</v>
      </c>
      <c r="V39" s="153"/>
      <c r="W39" s="152"/>
      <c r="X39" s="153">
        <v>690000</v>
      </c>
      <c r="Y39" s="152"/>
      <c r="Z39" s="152">
        <v>90000</v>
      </c>
      <c r="AA39" s="153">
        <v>295000</v>
      </c>
      <c r="AB39" s="153"/>
      <c r="AC39" s="152"/>
      <c r="AD39" s="153"/>
      <c r="AE39" s="154">
        <f t="shared" si="0"/>
        <v>1162383.95307639</v>
      </c>
      <c r="AF39" s="154">
        <f t="shared" si="1"/>
        <v>555629.169727776</v>
      </c>
      <c r="AG39" s="21">
        <f t="shared" si="2"/>
        <v>20203.4987551868</v>
      </c>
      <c r="AH39" s="154">
        <f t="shared" si="3"/>
        <v>639328.621982653</v>
      </c>
      <c r="AI39" s="154">
        <f t="shared" si="4"/>
        <v>217864.500494242</v>
      </c>
      <c r="AJ39" s="154">
        <f t="shared" si="5"/>
        <v>183469.16735823</v>
      </c>
      <c r="AK39" s="107">
        <f t="shared" si="6"/>
        <v>523055.331093739</v>
      </c>
      <c r="AL39" s="107">
        <f t="shared" si="7"/>
        <v>337764.669233534</v>
      </c>
      <c r="AM39" s="107">
        <f t="shared" si="8"/>
        <v>5424.79668049794</v>
      </c>
      <c r="AN39" s="155" t="s">
        <v>7820</v>
      </c>
      <c r="AO39" s="156" t="s">
        <v>7821</v>
      </c>
      <c r="AP39" s="99"/>
      <c r="AQ39" s="99"/>
      <c r="AR39" s="99"/>
      <c r="AS39" s="99"/>
    </row>
    <row r="40" s="100" customFormat="1" ht="21" customHeight="1" spans="1:45">
      <c r="A40" s="158"/>
      <c r="B40" s="149" t="s">
        <v>7846</v>
      </c>
      <c r="C40" s="107">
        <v>1810000</v>
      </c>
      <c r="D40" s="150">
        <v>0.0187454431845799</v>
      </c>
      <c r="E40" s="150">
        <v>0.0187454431845799</v>
      </c>
      <c r="F40" s="104">
        <f>VLOOKUP(B40,'[1]Sku List'!$B:$F,5,FALSE)</f>
        <v>0.00885200553250346</v>
      </c>
      <c r="G40" s="151">
        <v>75000</v>
      </c>
      <c r="H40" s="152"/>
      <c r="I40" s="153">
        <v>85000</v>
      </c>
      <c r="J40" s="152"/>
      <c r="K40" s="152">
        <v>105000</v>
      </c>
      <c r="L40" s="153">
        <v>110000</v>
      </c>
      <c r="M40" s="152"/>
      <c r="N40" s="152">
        <v>40000</v>
      </c>
      <c r="O40" s="153">
        <v>155000</v>
      </c>
      <c r="P40" s="153"/>
      <c r="Q40" s="152"/>
      <c r="R40" s="153">
        <v>125000</v>
      </c>
      <c r="S40" s="153"/>
      <c r="T40" s="152"/>
      <c r="U40" s="153">
        <v>185000</v>
      </c>
      <c r="V40" s="153"/>
      <c r="W40" s="152"/>
      <c r="X40" s="153">
        <v>560000</v>
      </c>
      <c r="Y40" s="152"/>
      <c r="Z40" s="152">
        <v>75000</v>
      </c>
      <c r="AA40" s="153">
        <v>295000</v>
      </c>
      <c r="AB40" s="153"/>
      <c r="AC40" s="152"/>
      <c r="AD40" s="153"/>
      <c r="AE40" s="154">
        <f t="shared" si="0"/>
        <v>1184519.49356394</v>
      </c>
      <c r="AF40" s="154">
        <f t="shared" si="1"/>
        <v>566210.141660521</v>
      </c>
      <c r="AG40" s="21">
        <f t="shared" si="2"/>
        <v>11544.8564315353</v>
      </c>
      <c r="AH40" s="154">
        <f t="shared" si="3"/>
        <v>651503.50151303</v>
      </c>
      <c r="AI40" s="154">
        <f t="shared" si="4"/>
        <v>222013.343446459</v>
      </c>
      <c r="AJ40" s="154">
        <f t="shared" si="5"/>
        <v>104839.524204703</v>
      </c>
      <c r="AK40" s="107">
        <f t="shared" si="6"/>
        <v>533015.992050914</v>
      </c>
      <c r="AL40" s="107">
        <f t="shared" si="7"/>
        <v>344196.798214062</v>
      </c>
      <c r="AM40" s="107">
        <f t="shared" ref="AM40:AM58" si="9">$AM$5*F40*5</f>
        <v>3099.88381742739</v>
      </c>
      <c r="AN40" s="155" t="s">
        <v>7820</v>
      </c>
      <c r="AO40" s="156" t="s">
        <v>7821</v>
      </c>
      <c r="AP40" s="99"/>
      <c r="AQ40" s="99"/>
      <c r="AR40" s="99"/>
      <c r="AS40" s="99"/>
    </row>
    <row r="41" s="100" customFormat="1" ht="21" customHeight="1" spans="1:45">
      <c r="A41" s="158"/>
      <c r="B41" s="149" t="s">
        <v>7847</v>
      </c>
      <c r="C41" s="107">
        <v>1810000</v>
      </c>
      <c r="D41" s="150">
        <v>0.0187454431845799</v>
      </c>
      <c r="E41" s="150">
        <v>0.0187454431845799</v>
      </c>
      <c r="F41" s="104">
        <f>VLOOKUP(B41,'[1]Sku List'!$B:$F,5,FALSE)</f>
        <v>0.00885200553250346</v>
      </c>
      <c r="G41" s="151">
        <v>75000</v>
      </c>
      <c r="H41" s="152"/>
      <c r="I41" s="153">
        <v>85000</v>
      </c>
      <c r="J41" s="152"/>
      <c r="K41" s="152">
        <v>105000</v>
      </c>
      <c r="L41" s="153">
        <v>110000</v>
      </c>
      <c r="M41" s="152"/>
      <c r="N41" s="152">
        <v>40000</v>
      </c>
      <c r="O41" s="153">
        <v>155000</v>
      </c>
      <c r="P41" s="153"/>
      <c r="Q41" s="152"/>
      <c r="R41" s="153">
        <v>125000</v>
      </c>
      <c r="S41" s="153"/>
      <c r="T41" s="152"/>
      <c r="U41" s="153">
        <v>185000</v>
      </c>
      <c r="V41" s="153"/>
      <c r="W41" s="152"/>
      <c r="X41" s="153">
        <v>560000</v>
      </c>
      <c r="Y41" s="152"/>
      <c r="Z41" s="152">
        <v>75000</v>
      </c>
      <c r="AA41" s="153">
        <v>295000</v>
      </c>
      <c r="AB41" s="153"/>
      <c r="AC41" s="152"/>
      <c r="AD41" s="153"/>
      <c r="AE41" s="154">
        <f t="shared" si="0"/>
        <v>1184519.49356394</v>
      </c>
      <c r="AF41" s="154">
        <f t="shared" si="1"/>
        <v>566210.141660521</v>
      </c>
      <c r="AG41" s="21">
        <f t="shared" si="2"/>
        <v>11544.8564315353</v>
      </c>
      <c r="AH41" s="154">
        <f t="shared" si="3"/>
        <v>651503.50151303</v>
      </c>
      <c r="AI41" s="154">
        <f t="shared" si="4"/>
        <v>222013.343446459</v>
      </c>
      <c r="AJ41" s="154">
        <f t="shared" si="5"/>
        <v>104839.524204703</v>
      </c>
      <c r="AK41" s="107">
        <f t="shared" si="6"/>
        <v>533015.992050914</v>
      </c>
      <c r="AL41" s="107">
        <f t="shared" si="7"/>
        <v>344196.798214062</v>
      </c>
      <c r="AM41" s="107">
        <f t="shared" si="9"/>
        <v>3099.88381742739</v>
      </c>
      <c r="AN41" s="155" t="s">
        <v>7820</v>
      </c>
      <c r="AO41" s="156" t="s">
        <v>7821</v>
      </c>
      <c r="AP41" s="99"/>
      <c r="AQ41" s="99"/>
      <c r="AR41" s="99"/>
      <c r="AS41" s="99"/>
    </row>
    <row r="42" s="100" customFormat="1" ht="21" customHeight="1" spans="1:45">
      <c r="A42" s="158"/>
      <c r="B42" s="149" t="s">
        <v>7848</v>
      </c>
      <c r="C42" s="107">
        <v>1810000</v>
      </c>
      <c r="D42" s="150">
        <v>0.0187454431845799</v>
      </c>
      <c r="E42" s="150">
        <v>0.0187454431845799</v>
      </c>
      <c r="F42" s="104">
        <f>VLOOKUP(B42,'[1]Sku List'!$B:$F,5,FALSE)</f>
        <v>0.00885200553250346</v>
      </c>
      <c r="G42" s="151">
        <v>75000</v>
      </c>
      <c r="H42" s="152"/>
      <c r="I42" s="153">
        <v>85000</v>
      </c>
      <c r="J42" s="152"/>
      <c r="K42" s="152">
        <v>105000</v>
      </c>
      <c r="L42" s="153">
        <v>110000</v>
      </c>
      <c r="M42" s="152"/>
      <c r="N42" s="152">
        <v>40000</v>
      </c>
      <c r="O42" s="153">
        <v>155000</v>
      </c>
      <c r="P42" s="153"/>
      <c r="Q42" s="152"/>
      <c r="R42" s="153">
        <v>125000</v>
      </c>
      <c r="S42" s="153"/>
      <c r="T42" s="152"/>
      <c r="U42" s="153">
        <v>185000</v>
      </c>
      <c r="V42" s="153"/>
      <c r="W42" s="152"/>
      <c r="X42" s="153">
        <v>560000</v>
      </c>
      <c r="Y42" s="152"/>
      <c r="Z42" s="152">
        <v>75000</v>
      </c>
      <c r="AA42" s="153">
        <v>295000</v>
      </c>
      <c r="AB42" s="153"/>
      <c r="AC42" s="152"/>
      <c r="AD42" s="153"/>
      <c r="AE42" s="154">
        <f t="shared" si="0"/>
        <v>1184519.49356394</v>
      </c>
      <c r="AF42" s="154">
        <f t="shared" si="1"/>
        <v>566210.141660521</v>
      </c>
      <c r="AG42" s="21">
        <f t="shared" si="2"/>
        <v>11544.8564315353</v>
      </c>
      <c r="AH42" s="154">
        <f t="shared" si="3"/>
        <v>651503.50151303</v>
      </c>
      <c r="AI42" s="154">
        <f t="shared" si="4"/>
        <v>222013.343446459</v>
      </c>
      <c r="AJ42" s="154">
        <f t="shared" si="5"/>
        <v>104839.524204703</v>
      </c>
      <c r="AK42" s="107">
        <f t="shared" si="6"/>
        <v>533015.992050914</v>
      </c>
      <c r="AL42" s="107">
        <f t="shared" si="7"/>
        <v>344196.798214062</v>
      </c>
      <c r="AM42" s="107">
        <f t="shared" si="9"/>
        <v>3099.88381742739</v>
      </c>
      <c r="AN42" s="155" t="s">
        <v>7820</v>
      </c>
      <c r="AO42" s="156" t="s">
        <v>7821</v>
      </c>
      <c r="AP42" s="99"/>
      <c r="AQ42" s="99"/>
      <c r="AR42" s="99"/>
      <c r="AS42" s="99"/>
    </row>
    <row r="43" s="100" customFormat="1" ht="21" customHeight="1" spans="1:45">
      <c r="A43" s="158"/>
      <c r="B43" s="149" t="s">
        <v>7849</v>
      </c>
      <c r="C43" s="107">
        <v>1815000</v>
      </c>
      <c r="D43" s="150">
        <v>0.0187454431845799</v>
      </c>
      <c r="E43" s="150">
        <v>0.0187454431845799</v>
      </c>
      <c r="F43" s="104">
        <f>VLOOKUP(B43,'[1]Sku List'!$B:$F,5,FALSE)</f>
        <v>0.00968188105117567</v>
      </c>
      <c r="G43" s="151">
        <v>75000</v>
      </c>
      <c r="H43" s="152"/>
      <c r="I43" s="153">
        <v>85000</v>
      </c>
      <c r="J43" s="152"/>
      <c r="K43" s="152">
        <v>105000</v>
      </c>
      <c r="L43" s="153">
        <v>110000</v>
      </c>
      <c r="M43" s="152"/>
      <c r="N43" s="152">
        <v>40000</v>
      </c>
      <c r="O43" s="153">
        <v>160000</v>
      </c>
      <c r="P43" s="153"/>
      <c r="Q43" s="152"/>
      <c r="R43" s="153">
        <v>125000</v>
      </c>
      <c r="S43" s="153"/>
      <c r="T43" s="152"/>
      <c r="U43" s="153">
        <v>185000</v>
      </c>
      <c r="V43" s="153"/>
      <c r="W43" s="152"/>
      <c r="X43" s="153">
        <v>560000</v>
      </c>
      <c r="Y43" s="152"/>
      <c r="Z43" s="152">
        <v>75000</v>
      </c>
      <c r="AA43" s="153">
        <v>295000</v>
      </c>
      <c r="AB43" s="153"/>
      <c r="AC43" s="152"/>
      <c r="AD43" s="153"/>
      <c r="AE43" s="154">
        <f t="shared" si="0"/>
        <v>1184519.49356394</v>
      </c>
      <c r="AF43" s="154">
        <f t="shared" si="1"/>
        <v>566210.141660521</v>
      </c>
      <c r="AG43" s="21">
        <f t="shared" si="2"/>
        <v>12627.1867219917</v>
      </c>
      <c r="AH43" s="154">
        <f t="shared" si="3"/>
        <v>651503.50151303</v>
      </c>
      <c r="AI43" s="154">
        <f t="shared" si="4"/>
        <v>222013.343446459</v>
      </c>
      <c r="AJ43" s="154">
        <f t="shared" si="5"/>
        <v>114668.229598894</v>
      </c>
      <c r="AK43" s="107">
        <f t="shared" si="6"/>
        <v>533015.992050914</v>
      </c>
      <c r="AL43" s="107">
        <f t="shared" si="7"/>
        <v>344196.798214062</v>
      </c>
      <c r="AM43" s="107">
        <f t="shared" si="9"/>
        <v>3390.49792531121</v>
      </c>
      <c r="AN43" s="155" t="s">
        <v>7820</v>
      </c>
      <c r="AO43" s="156" t="s">
        <v>7821</v>
      </c>
      <c r="AP43" s="99"/>
      <c r="AQ43" s="99"/>
      <c r="AR43" s="99"/>
      <c r="AS43" s="99"/>
    </row>
    <row r="44" s="100" customFormat="1" ht="21" customHeight="1" spans="1:45">
      <c r="A44" s="158"/>
      <c r="B44" s="149" t="s">
        <v>7850</v>
      </c>
      <c r="C44" s="107">
        <v>1400000</v>
      </c>
      <c r="D44" s="150">
        <v>0.0142605974178197</v>
      </c>
      <c r="E44" s="150">
        <v>0.0142605974178197</v>
      </c>
      <c r="F44" s="104">
        <f>VLOOKUP(B44,'[1]Sku List'!$B:$F,5,FALSE)</f>
        <v>0.00968188105117567</v>
      </c>
      <c r="G44" s="151">
        <v>60000</v>
      </c>
      <c r="H44" s="152"/>
      <c r="I44" s="153">
        <v>65000</v>
      </c>
      <c r="J44" s="152"/>
      <c r="K44" s="152">
        <v>75000</v>
      </c>
      <c r="L44" s="153">
        <v>90000</v>
      </c>
      <c r="M44" s="152"/>
      <c r="N44" s="152">
        <v>25000</v>
      </c>
      <c r="O44" s="153">
        <v>130000</v>
      </c>
      <c r="P44" s="153"/>
      <c r="Q44" s="152"/>
      <c r="R44" s="153">
        <v>100000</v>
      </c>
      <c r="S44" s="153"/>
      <c r="T44" s="152"/>
      <c r="U44" s="153">
        <v>140000</v>
      </c>
      <c r="V44" s="153"/>
      <c r="W44" s="152"/>
      <c r="X44" s="153">
        <v>430000</v>
      </c>
      <c r="Y44" s="152"/>
      <c r="Z44" s="152">
        <v>55000</v>
      </c>
      <c r="AA44" s="153">
        <v>230000</v>
      </c>
      <c r="AB44" s="153"/>
      <c r="AC44" s="152"/>
      <c r="AD44" s="153"/>
      <c r="AE44" s="154">
        <f t="shared" si="0"/>
        <v>901123.300470724</v>
      </c>
      <c r="AF44" s="154">
        <f t="shared" si="1"/>
        <v>430744.411033689</v>
      </c>
      <c r="AG44" s="21">
        <f t="shared" si="2"/>
        <v>12627.1867219917</v>
      </c>
      <c r="AH44" s="154">
        <f t="shared" si="3"/>
        <v>495631.341435549</v>
      </c>
      <c r="AI44" s="154">
        <f t="shared" si="4"/>
        <v>168896.668971715</v>
      </c>
      <c r="AJ44" s="154">
        <f t="shared" si="5"/>
        <v>114668.229598894</v>
      </c>
      <c r="AK44" s="107">
        <f t="shared" si="6"/>
        <v>405491.959035175</v>
      </c>
      <c r="AL44" s="107">
        <f t="shared" si="7"/>
        <v>261847.742061974</v>
      </c>
      <c r="AM44" s="107">
        <f t="shared" si="9"/>
        <v>3390.49792531121</v>
      </c>
      <c r="AN44" s="155" t="s">
        <v>7820</v>
      </c>
      <c r="AO44" s="156" t="s">
        <v>7821</v>
      </c>
      <c r="AP44" s="99"/>
      <c r="AQ44" s="99"/>
      <c r="AR44" s="99"/>
      <c r="AS44" s="99"/>
    </row>
    <row r="45" s="100" customFormat="1" ht="21" customHeight="1" spans="1:45">
      <c r="A45" s="158"/>
      <c r="B45" s="149" t="s">
        <v>7851</v>
      </c>
      <c r="C45" s="107">
        <v>1400000</v>
      </c>
      <c r="D45" s="150">
        <v>0.0142605974178197</v>
      </c>
      <c r="E45" s="150">
        <v>0.0142605974178197</v>
      </c>
      <c r="F45" s="104">
        <f>VLOOKUP(B45,'[1]Sku List'!$B:$F,5,FALSE)</f>
        <v>0.00968188105117567</v>
      </c>
      <c r="G45" s="151">
        <v>60000</v>
      </c>
      <c r="H45" s="152"/>
      <c r="I45" s="153">
        <v>65000</v>
      </c>
      <c r="J45" s="152"/>
      <c r="K45" s="152">
        <v>75000</v>
      </c>
      <c r="L45" s="153">
        <v>90000</v>
      </c>
      <c r="M45" s="152"/>
      <c r="N45" s="152">
        <v>25000</v>
      </c>
      <c r="O45" s="153">
        <v>130000</v>
      </c>
      <c r="P45" s="153"/>
      <c r="Q45" s="152"/>
      <c r="R45" s="153">
        <v>100000</v>
      </c>
      <c r="S45" s="153"/>
      <c r="T45" s="152"/>
      <c r="U45" s="153">
        <v>140000</v>
      </c>
      <c r="V45" s="153"/>
      <c r="W45" s="152"/>
      <c r="X45" s="153">
        <v>430000</v>
      </c>
      <c r="Y45" s="152"/>
      <c r="Z45" s="152">
        <v>55000</v>
      </c>
      <c r="AA45" s="153">
        <v>230000</v>
      </c>
      <c r="AB45" s="153"/>
      <c r="AC45" s="152"/>
      <c r="AD45" s="153"/>
      <c r="AE45" s="154">
        <f t="shared" si="0"/>
        <v>901123.300470724</v>
      </c>
      <c r="AF45" s="154">
        <f t="shared" si="1"/>
        <v>430744.411033689</v>
      </c>
      <c r="AG45" s="21">
        <f t="shared" si="2"/>
        <v>12627.1867219917</v>
      </c>
      <c r="AH45" s="154">
        <f t="shared" si="3"/>
        <v>495631.341435549</v>
      </c>
      <c r="AI45" s="154">
        <f t="shared" si="4"/>
        <v>168896.668971715</v>
      </c>
      <c r="AJ45" s="154">
        <f t="shared" si="5"/>
        <v>114668.229598894</v>
      </c>
      <c r="AK45" s="107">
        <f t="shared" si="6"/>
        <v>405491.959035175</v>
      </c>
      <c r="AL45" s="107">
        <f t="shared" si="7"/>
        <v>261847.742061974</v>
      </c>
      <c r="AM45" s="107">
        <f t="shared" si="9"/>
        <v>3390.49792531121</v>
      </c>
      <c r="AN45" s="155" t="s">
        <v>7820</v>
      </c>
      <c r="AO45" s="156" t="s">
        <v>7821</v>
      </c>
      <c r="AP45" s="99"/>
      <c r="AQ45" s="99"/>
      <c r="AR45" s="99"/>
      <c r="AS45" s="99"/>
    </row>
    <row r="46" s="100" customFormat="1" ht="21" customHeight="1" spans="1:45">
      <c r="A46" s="158"/>
      <c r="B46" s="149" t="s">
        <v>7852</v>
      </c>
      <c r="C46" s="107">
        <v>1420000</v>
      </c>
      <c r="D46" s="150">
        <v>0.0142605974178197</v>
      </c>
      <c r="E46" s="150">
        <v>0.0142605974178197</v>
      </c>
      <c r="F46" s="104">
        <f>VLOOKUP(B46,'[1]Sku List'!$B:$F,5,FALSE)</f>
        <v>0.0132780082987552</v>
      </c>
      <c r="G46" s="151">
        <v>60000</v>
      </c>
      <c r="H46" s="152"/>
      <c r="I46" s="153">
        <v>65000</v>
      </c>
      <c r="J46" s="152"/>
      <c r="K46" s="152">
        <v>75000</v>
      </c>
      <c r="L46" s="153">
        <v>90000</v>
      </c>
      <c r="M46" s="152"/>
      <c r="N46" s="152">
        <v>25000</v>
      </c>
      <c r="O46" s="153">
        <v>145000</v>
      </c>
      <c r="P46" s="153"/>
      <c r="Q46" s="152"/>
      <c r="R46" s="153">
        <v>110000</v>
      </c>
      <c r="S46" s="153"/>
      <c r="T46" s="152"/>
      <c r="U46" s="153">
        <v>140000</v>
      </c>
      <c r="V46" s="153"/>
      <c r="W46" s="152"/>
      <c r="X46" s="153">
        <v>430000</v>
      </c>
      <c r="Y46" s="152"/>
      <c r="Z46" s="152">
        <v>55000</v>
      </c>
      <c r="AA46" s="153">
        <v>225000</v>
      </c>
      <c r="AB46" s="153"/>
      <c r="AC46" s="152"/>
      <c r="AD46" s="153"/>
      <c r="AE46" s="154">
        <f t="shared" si="0"/>
        <v>901123.300470724</v>
      </c>
      <c r="AF46" s="154">
        <f t="shared" si="1"/>
        <v>430744.411033689</v>
      </c>
      <c r="AG46" s="21">
        <f t="shared" si="2"/>
        <v>17317.2846473029</v>
      </c>
      <c r="AH46" s="154">
        <f t="shared" si="3"/>
        <v>495631.341435549</v>
      </c>
      <c r="AI46" s="154">
        <f t="shared" si="4"/>
        <v>168896.668971715</v>
      </c>
      <c r="AJ46" s="154">
        <f t="shared" si="5"/>
        <v>157259.286307054</v>
      </c>
      <c r="AK46" s="107">
        <f t="shared" si="6"/>
        <v>405491.959035175</v>
      </c>
      <c r="AL46" s="107">
        <f t="shared" si="7"/>
        <v>261847.742061974</v>
      </c>
      <c r="AM46" s="107">
        <f t="shared" si="9"/>
        <v>4649.82572614108</v>
      </c>
      <c r="AN46" s="155" t="s">
        <v>7820</v>
      </c>
      <c r="AO46" s="156" t="s">
        <v>7821</v>
      </c>
      <c r="AP46" s="99"/>
      <c r="AQ46" s="99"/>
      <c r="AR46" s="99"/>
      <c r="AS46" s="99"/>
    </row>
    <row r="47" s="100" customFormat="1" ht="21" customHeight="1" spans="1:45">
      <c r="A47" s="158"/>
      <c r="B47" s="149" t="s">
        <v>7853</v>
      </c>
      <c r="C47" s="107">
        <v>1420000</v>
      </c>
      <c r="D47" s="150">
        <v>0.0142605974178197</v>
      </c>
      <c r="E47" s="150">
        <v>0.0142605974178197</v>
      </c>
      <c r="F47" s="104">
        <f>VLOOKUP(B47,'[1]Sku List'!$B:$F,5,FALSE)</f>
        <v>0.0132780082987552</v>
      </c>
      <c r="G47" s="151">
        <v>60000</v>
      </c>
      <c r="H47" s="152"/>
      <c r="I47" s="153">
        <v>65000</v>
      </c>
      <c r="J47" s="152"/>
      <c r="K47" s="152">
        <v>75000</v>
      </c>
      <c r="L47" s="153">
        <v>90000</v>
      </c>
      <c r="M47" s="152"/>
      <c r="N47" s="152">
        <v>25000</v>
      </c>
      <c r="O47" s="153">
        <v>145000</v>
      </c>
      <c r="P47" s="153"/>
      <c r="Q47" s="152"/>
      <c r="R47" s="153">
        <v>110000</v>
      </c>
      <c r="S47" s="153"/>
      <c r="T47" s="152"/>
      <c r="U47" s="153">
        <v>140000</v>
      </c>
      <c r="V47" s="153"/>
      <c r="W47" s="152"/>
      <c r="X47" s="153">
        <v>430000</v>
      </c>
      <c r="Y47" s="152"/>
      <c r="Z47" s="152">
        <v>55000</v>
      </c>
      <c r="AA47" s="153">
        <v>225000</v>
      </c>
      <c r="AB47" s="153"/>
      <c r="AC47" s="152"/>
      <c r="AD47" s="153"/>
      <c r="AE47" s="154">
        <f t="shared" si="0"/>
        <v>901123.300470724</v>
      </c>
      <c r="AF47" s="154">
        <f t="shared" si="1"/>
        <v>430744.411033689</v>
      </c>
      <c r="AG47" s="21">
        <f t="shared" si="2"/>
        <v>17317.2846473029</v>
      </c>
      <c r="AH47" s="154">
        <f t="shared" si="3"/>
        <v>495631.341435549</v>
      </c>
      <c r="AI47" s="154">
        <f t="shared" si="4"/>
        <v>168896.668971715</v>
      </c>
      <c r="AJ47" s="154">
        <f t="shared" si="5"/>
        <v>157259.286307054</v>
      </c>
      <c r="AK47" s="107">
        <f t="shared" si="6"/>
        <v>405491.959035175</v>
      </c>
      <c r="AL47" s="107">
        <f t="shared" si="7"/>
        <v>261847.742061974</v>
      </c>
      <c r="AM47" s="107">
        <f t="shared" si="9"/>
        <v>4649.82572614108</v>
      </c>
      <c r="AN47" s="155" t="s">
        <v>7820</v>
      </c>
      <c r="AO47" s="156" t="s">
        <v>7821</v>
      </c>
      <c r="AP47" s="99"/>
      <c r="AQ47" s="99"/>
      <c r="AR47" s="99"/>
      <c r="AS47" s="99"/>
    </row>
    <row r="48" s="100" customFormat="1" ht="21" customHeight="1" spans="1:45">
      <c r="A48" s="158"/>
      <c r="B48" s="149" t="s">
        <v>7854</v>
      </c>
      <c r="C48" s="107">
        <v>1675000</v>
      </c>
      <c r="D48" s="150">
        <v>0.0169939290945884</v>
      </c>
      <c r="E48" s="150">
        <v>0.0169939290945884</v>
      </c>
      <c r="F48" s="104">
        <f>VLOOKUP(B48,'[1]Sku List'!$B:$F,5,FALSE)</f>
        <v>0.0132780082987552</v>
      </c>
      <c r="G48" s="151">
        <v>70000</v>
      </c>
      <c r="H48" s="152"/>
      <c r="I48" s="153">
        <v>75000</v>
      </c>
      <c r="J48" s="152"/>
      <c r="K48" s="152">
        <v>95000</v>
      </c>
      <c r="L48" s="153">
        <v>100000</v>
      </c>
      <c r="M48" s="152"/>
      <c r="N48" s="152">
        <v>35000</v>
      </c>
      <c r="O48" s="153">
        <v>165000</v>
      </c>
      <c r="P48" s="153"/>
      <c r="Q48" s="152"/>
      <c r="R48" s="153">
        <v>120000</v>
      </c>
      <c r="S48" s="153"/>
      <c r="T48" s="152"/>
      <c r="U48" s="153">
        <v>170000</v>
      </c>
      <c r="V48" s="153"/>
      <c r="W48" s="152"/>
      <c r="X48" s="153">
        <v>510000</v>
      </c>
      <c r="Y48" s="152"/>
      <c r="Z48" s="152">
        <v>65000</v>
      </c>
      <c r="AA48" s="153">
        <v>270000</v>
      </c>
      <c r="AB48" s="153"/>
      <c r="AC48" s="152"/>
      <c r="AD48" s="153"/>
      <c r="AE48" s="154">
        <f t="shared" si="0"/>
        <v>1073841.79112619</v>
      </c>
      <c r="AF48" s="154">
        <f t="shared" si="1"/>
        <v>513305.281996798</v>
      </c>
      <c r="AG48" s="21">
        <f t="shared" si="2"/>
        <v>17317.2846473029</v>
      </c>
      <c r="AH48" s="154">
        <f t="shared" si="3"/>
        <v>590629.103861148</v>
      </c>
      <c r="AI48" s="154">
        <f t="shared" si="4"/>
        <v>201269.128685376</v>
      </c>
      <c r="AJ48" s="154">
        <f t="shared" si="5"/>
        <v>157259.286307054</v>
      </c>
      <c r="AK48" s="107">
        <f t="shared" si="6"/>
        <v>483212.687265037</v>
      </c>
      <c r="AL48" s="107">
        <f t="shared" si="7"/>
        <v>312036.153311422</v>
      </c>
      <c r="AM48" s="107">
        <f t="shared" si="9"/>
        <v>4649.82572614108</v>
      </c>
      <c r="AN48" s="155" t="s">
        <v>7820</v>
      </c>
      <c r="AO48" s="156" t="s">
        <v>7821</v>
      </c>
      <c r="AP48" s="99"/>
      <c r="AQ48" s="99"/>
      <c r="AR48" s="99"/>
      <c r="AS48" s="99"/>
    </row>
    <row r="49" s="100" customFormat="1" ht="21" customHeight="1" spans="1:45">
      <c r="A49" s="158"/>
      <c r="B49" s="149" t="s">
        <v>7855</v>
      </c>
      <c r="C49" s="107">
        <v>1670000</v>
      </c>
      <c r="D49" s="150">
        <v>0.0169939290945884</v>
      </c>
      <c r="E49" s="150">
        <v>0.0169939290945884</v>
      </c>
      <c r="F49" s="104">
        <f>VLOOKUP(B49,'[1]Sku List'!$B:$F,5,FALSE)</f>
        <v>0.012448132780083</v>
      </c>
      <c r="G49" s="151">
        <v>70000</v>
      </c>
      <c r="H49" s="152"/>
      <c r="I49" s="153">
        <v>75000</v>
      </c>
      <c r="J49" s="152"/>
      <c r="K49" s="152">
        <v>95000</v>
      </c>
      <c r="L49" s="153">
        <v>100000</v>
      </c>
      <c r="M49" s="152"/>
      <c r="N49" s="152">
        <v>35000</v>
      </c>
      <c r="O49" s="153">
        <v>160000</v>
      </c>
      <c r="P49" s="153"/>
      <c r="Q49" s="152"/>
      <c r="R49" s="153">
        <v>120000</v>
      </c>
      <c r="S49" s="153"/>
      <c r="T49" s="152"/>
      <c r="U49" s="153">
        <v>170000</v>
      </c>
      <c r="V49" s="153"/>
      <c r="W49" s="152"/>
      <c r="X49" s="153">
        <v>510000</v>
      </c>
      <c r="Y49" s="152"/>
      <c r="Z49" s="152">
        <v>65000</v>
      </c>
      <c r="AA49" s="153">
        <v>270000</v>
      </c>
      <c r="AB49" s="153"/>
      <c r="AC49" s="152"/>
      <c r="AD49" s="153"/>
      <c r="AE49" s="154">
        <f t="shared" si="0"/>
        <v>1073841.79112619</v>
      </c>
      <c r="AF49" s="154">
        <f t="shared" si="1"/>
        <v>513305.281996798</v>
      </c>
      <c r="AG49" s="21">
        <f t="shared" si="2"/>
        <v>16234.9543568465</v>
      </c>
      <c r="AH49" s="154">
        <f t="shared" si="3"/>
        <v>590629.103861148</v>
      </c>
      <c r="AI49" s="154">
        <f t="shared" si="4"/>
        <v>201269.128685376</v>
      </c>
      <c r="AJ49" s="154">
        <f t="shared" si="5"/>
        <v>147430.580912863</v>
      </c>
      <c r="AK49" s="107">
        <f t="shared" si="6"/>
        <v>483212.687265037</v>
      </c>
      <c r="AL49" s="107">
        <f t="shared" si="7"/>
        <v>312036.153311422</v>
      </c>
      <c r="AM49" s="107">
        <f t="shared" si="9"/>
        <v>4359.21161825727</v>
      </c>
      <c r="AN49" s="155" t="s">
        <v>7820</v>
      </c>
      <c r="AO49" s="156" t="s">
        <v>7821</v>
      </c>
      <c r="AP49" s="99"/>
      <c r="AQ49" s="99"/>
      <c r="AR49" s="99"/>
      <c r="AS49" s="99"/>
    </row>
    <row r="50" s="100" customFormat="1" ht="21" customHeight="1" spans="1:45">
      <c r="A50" s="158"/>
      <c r="B50" s="149" t="s">
        <v>7856</v>
      </c>
      <c r="C50" s="107">
        <v>1670000</v>
      </c>
      <c r="D50" s="150">
        <v>0.0169939290945884</v>
      </c>
      <c r="E50" s="150">
        <v>0.0169939290945884</v>
      </c>
      <c r="F50" s="104">
        <f>VLOOKUP(B50,'[1]Sku List'!$B:$F,5,FALSE)</f>
        <v>0.012448132780083</v>
      </c>
      <c r="G50" s="151">
        <v>70000</v>
      </c>
      <c r="H50" s="152"/>
      <c r="I50" s="153">
        <v>75000</v>
      </c>
      <c r="J50" s="152"/>
      <c r="K50" s="152">
        <v>95000</v>
      </c>
      <c r="L50" s="153">
        <v>100000</v>
      </c>
      <c r="M50" s="152"/>
      <c r="N50" s="152">
        <v>35000</v>
      </c>
      <c r="O50" s="153">
        <v>160000</v>
      </c>
      <c r="P50" s="153"/>
      <c r="Q50" s="152"/>
      <c r="R50" s="153">
        <v>120000</v>
      </c>
      <c r="S50" s="153"/>
      <c r="T50" s="152"/>
      <c r="U50" s="153">
        <v>170000</v>
      </c>
      <c r="V50" s="153"/>
      <c r="W50" s="152"/>
      <c r="X50" s="153">
        <v>510000</v>
      </c>
      <c r="Y50" s="152"/>
      <c r="Z50" s="152">
        <v>65000</v>
      </c>
      <c r="AA50" s="153">
        <v>270000</v>
      </c>
      <c r="AB50" s="153"/>
      <c r="AC50" s="152"/>
      <c r="AD50" s="153"/>
      <c r="AE50" s="154">
        <f t="shared" si="0"/>
        <v>1073841.79112619</v>
      </c>
      <c r="AF50" s="154">
        <f t="shared" si="1"/>
        <v>513305.281996798</v>
      </c>
      <c r="AG50" s="21">
        <f t="shared" si="2"/>
        <v>16234.9543568465</v>
      </c>
      <c r="AH50" s="154">
        <f t="shared" si="3"/>
        <v>590629.103861148</v>
      </c>
      <c r="AI50" s="154">
        <f t="shared" si="4"/>
        <v>201269.128685376</v>
      </c>
      <c r="AJ50" s="154">
        <f t="shared" si="5"/>
        <v>147430.580912863</v>
      </c>
      <c r="AK50" s="107">
        <f t="shared" si="6"/>
        <v>483212.687265037</v>
      </c>
      <c r="AL50" s="107">
        <f t="shared" si="7"/>
        <v>312036.153311422</v>
      </c>
      <c r="AM50" s="107">
        <f t="shared" si="9"/>
        <v>4359.21161825727</v>
      </c>
      <c r="AN50" s="155" t="s">
        <v>7820</v>
      </c>
      <c r="AO50" s="156" t="s">
        <v>7821</v>
      </c>
      <c r="AP50" s="99"/>
      <c r="AQ50" s="99"/>
      <c r="AR50" s="99"/>
      <c r="AS50" s="99"/>
    </row>
    <row r="51" s="100" customFormat="1" ht="21" customHeight="1" spans="1:45">
      <c r="A51" s="158"/>
      <c r="B51" s="149" t="s">
        <v>7857</v>
      </c>
      <c r="C51" s="107">
        <v>1670000</v>
      </c>
      <c r="D51" s="150">
        <v>0.0169939290945884</v>
      </c>
      <c r="E51" s="150">
        <v>0.0169939290945884</v>
      </c>
      <c r="F51" s="104">
        <f>VLOOKUP(B51,'[1]Sku List'!$B:$F,5,FALSE)</f>
        <v>0.012448132780083</v>
      </c>
      <c r="G51" s="151">
        <v>70000</v>
      </c>
      <c r="H51" s="152"/>
      <c r="I51" s="153">
        <v>75000</v>
      </c>
      <c r="J51" s="152"/>
      <c r="K51" s="152">
        <v>95000</v>
      </c>
      <c r="L51" s="153">
        <v>100000</v>
      </c>
      <c r="M51" s="152"/>
      <c r="N51" s="152">
        <v>35000</v>
      </c>
      <c r="O51" s="153">
        <v>160000</v>
      </c>
      <c r="P51" s="153"/>
      <c r="Q51" s="152"/>
      <c r="R51" s="153">
        <v>120000</v>
      </c>
      <c r="S51" s="153"/>
      <c r="T51" s="152"/>
      <c r="U51" s="153">
        <v>170000</v>
      </c>
      <c r="V51" s="153"/>
      <c r="W51" s="152"/>
      <c r="X51" s="153">
        <v>510000</v>
      </c>
      <c r="Y51" s="152"/>
      <c r="Z51" s="152">
        <v>65000</v>
      </c>
      <c r="AA51" s="153">
        <v>270000</v>
      </c>
      <c r="AB51" s="153"/>
      <c r="AC51" s="152"/>
      <c r="AD51" s="153"/>
      <c r="AE51" s="154">
        <f t="shared" si="0"/>
        <v>1073841.79112619</v>
      </c>
      <c r="AF51" s="154">
        <f t="shared" si="1"/>
        <v>513305.281996798</v>
      </c>
      <c r="AG51" s="21">
        <f t="shared" si="2"/>
        <v>16234.9543568465</v>
      </c>
      <c r="AH51" s="154">
        <f t="shared" si="3"/>
        <v>590629.103861148</v>
      </c>
      <c r="AI51" s="154">
        <f t="shared" si="4"/>
        <v>201269.128685376</v>
      </c>
      <c r="AJ51" s="154">
        <f t="shared" si="5"/>
        <v>147430.580912863</v>
      </c>
      <c r="AK51" s="107">
        <f t="shared" si="6"/>
        <v>483212.687265037</v>
      </c>
      <c r="AL51" s="107">
        <f t="shared" si="7"/>
        <v>312036.153311422</v>
      </c>
      <c r="AM51" s="107">
        <f t="shared" si="9"/>
        <v>4359.21161825727</v>
      </c>
      <c r="AN51" s="155" t="s">
        <v>7820</v>
      </c>
      <c r="AO51" s="156" t="s">
        <v>7821</v>
      </c>
      <c r="AP51" s="99"/>
      <c r="AQ51" s="99"/>
      <c r="AR51" s="99"/>
      <c r="AS51" s="99"/>
    </row>
    <row r="52" s="100" customFormat="1" ht="21" customHeight="1" spans="1:45">
      <c r="A52" s="158"/>
      <c r="B52" s="149" t="s">
        <v>7858</v>
      </c>
      <c r="C52" s="107">
        <v>1265000</v>
      </c>
      <c r="D52" s="150">
        <v>0.0123393864609779</v>
      </c>
      <c r="E52" s="150">
        <v>0.0105766169665525</v>
      </c>
      <c r="F52" s="104">
        <f>VLOOKUP(B52,'[1]Sku List'!$B:$F,5,FALSE)</f>
        <v>0.0132780082987552</v>
      </c>
      <c r="G52" s="151">
        <v>50000</v>
      </c>
      <c r="H52" s="152"/>
      <c r="I52" s="153">
        <v>55000</v>
      </c>
      <c r="J52" s="152"/>
      <c r="K52" s="152">
        <v>65000</v>
      </c>
      <c r="L52" s="153">
        <v>75000</v>
      </c>
      <c r="M52" s="152"/>
      <c r="N52" s="152">
        <v>20000</v>
      </c>
      <c r="O52" s="153">
        <v>135000</v>
      </c>
      <c r="P52" s="153"/>
      <c r="Q52" s="152"/>
      <c r="R52" s="153">
        <v>90000</v>
      </c>
      <c r="S52" s="153"/>
      <c r="T52" s="152"/>
      <c r="U52" s="153">
        <v>120000</v>
      </c>
      <c r="V52" s="153"/>
      <c r="W52" s="152"/>
      <c r="X52" s="153">
        <v>435000</v>
      </c>
      <c r="Y52" s="152"/>
      <c r="Z52" s="152">
        <v>50000</v>
      </c>
      <c r="AA52" s="153">
        <v>170000</v>
      </c>
      <c r="AB52" s="153"/>
      <c r="AC52" s="152"/>
      <c r="AD52" s="153"/>
      <c r="AE52" s="154">
        <f t="shared" si="0"/>
        <v>779722.498834849</v>
      </c>
      <c r="AF52" s="154">
        <f t="shared" si="1"/>
        <v>319468.989447366</v>
      </c>
      <c r="AG52" s="21">
        <f t="shared" si="2"/>
        <v>17317.2846473029</v>
      </c>
      <c r="AH52" s="154">
        <f t="shared" si="3"/>
        <v>367593.495657622</v>
      </c>
      <c r="AI52" s="154">
        <f t="shared" si="4"/>
        <v>125265.114938892</v>
      </c>
      <c r="AJ52" s="154">
        <f t="shared" si="5"/>
        <v>157259.286307054</v>
      </c>
      <c r="AK52" s="107">
        <f t="shared" si="6"/>
        <v>350863.420567624</v>
      </c>
      <c r="AL52" s="107">
        <f t="shared" si="7"/>
        <v>194203.874508475</v>
      </c>
      <c r="AM52" s="107">
        <f t="shared" si="9"/>
        <v>4649.82572614108</v>
      </c>
      <c r="AN52" s="155" t="s">
        <v>7820</v>
      </c>
      <c r="AO52" s="156" t="s">
        <v>7821</v>
      </c>
      <c r="AP52" s="99"/>
      <c r="AQ52" s="99"/>
      <c r="AR52" s="99"/>
      <c r="AS52" s="99"/>
    </row>
    <row r="53" s="100" customFormat="1" ht="21" customHeight="1" spans="1:45">
      <c r="A53" s="158"/>
      <c r="B53" s="149" t="s">
        <v>7859</v>
      </c>
      <c r="C53" s="107">
        <v>1265000</v>
      </c>
      <c r="D53" s="150">
        <v>0.0123393864609779</v>
      </c>
      <c r="E53" s="150">
        <v>0.0105766169665525</v>
      </c>
      <c r="F53" s="104">
        <f>VLOOKUP(B53,'[1]Sku List'!$B:$F,5,FALSE)</f>
        <v>0.0132780082987552</v>
      </c>
      <c r="G53" s="151">
        <v>50000</v>
      </c>
      <c r="H53" s="152"/>
      <c r="I53" s="153">
        <v>55000</v>
      </c>
      <c r="J53" s="152"/>
      <c r="K53" s="152">
        <v>65000</v>
      </c>
      <c r="L53" s="153">
        <v>75000</v>
      </c>
      <c r="M53" s="152"/>
      <c r="N53" s="152">
        <v>20000</v>
      </c>
      <c r="O53" s="153">
        <v>135000</v>
      </c>
      <c r="P53" s="153"/>
      <c r="Q53" s="152"/>
      <c r="R53" s="153">
        <v>90000</v>
      </c>
      <c r="S53" s="153"/>
      <c r="T53" s="152"/>
      <c r="U53" s="153">
        <v>120000</v>
      </c>
      <c r="V53" s="153"/>
      <c r="W53" s="152"/>
      <c r="X53" s="153">
        <v>435000</v>
      </c>
      <c r="Y53" s="152"/>
      <c r="Z53" s="152">
        <v>50000</v>
      </c>
      <c r="AA53" s="153">
        <v>170000</v>
      </c>
      <c r="AB53" s="153"/>
      <c r="AC53" s="152"/>
      <c r="AD53" s="153"/>
      <c r="AE53" s="154">
        <f t="shared" si="0"/>
        <v>779722.498834849</v>
      </c>
      <c r="AF53" s="154">
        <f t="shared" si="1"/>
        <v>319468.989447366</v>
      </c>
      <c r="AG53" s="21">
        <f t="shared" si="2"/>
        <v>17317.2846473029</v>
      </c>
      <c r="AH53" s="154">
        <f t="shared" si="3"/>
        <v>367593.495657622</v>
      </c>
      <c r="AI53" s="154">
        <f t="shared" si="4"/>
        <v>125265.114938892</v>
      </c>
      <c r="AJ53" s="154">
        <f t="shared" si="5"/>
        <v>157259.286307054</v>
      </c>
      <c r="AK53" s="107">
        <f t="shared" si="6"/>
        <v>350863.420567624</v>
      </c>
      <c r="AL53" s="107">
        <f t="shared" si="7"/>
        <v>194203.874508475</v>
      </c>
      <c r="AM53" s="107">
        <f t="shared" si="9"/>
        <v>4649.82572614108</v>
      </c>
      <c r="AN53" s="155" t="s">
        <v>7820</v>
      </c>
      <c r="AO53" s="156" t="s">
        <v>7821</v>
      </c>
      <c r="AP53" s="99"/>
      <c r="AQ53" s="99"/>
      <c r="AR53" s="99"/>
      <c r="AS53" s="99"/>
    </row>
    <row r="54" s="100" customFormat="1" ht="21" customHeight="1" spans="1:45">
      <c r="A54" s="158"/>
      <c r="B54" s="149" t="s">
        <v>7860</v>
      </c>
      <c r="C54" s="107">
        <v>1265000</v>
      </c>
      <c r="D54" s="150">
        <v>0.0123393864609779</v>
      </c>
      <c r="E54" s="150">
        <v>0.0105766169665525</v>
      </c>
      <c r="F54" s="104">
        <f>VLOOKUP(B54,'[1]Sku List'!$B:$F,5,FALSE)</f>
        <v>0.0132780082987552</v>
      </c>
      <c r="G54" s="151">
        <v>50000</v>
      </c>
      <c r="H54" s="152"/>
      <c r="I54" s="153">
        <v>55000</v>
      </c>
      <c r="J54" s="152"/>
      <c r="K54" s="152">
        <v>65000</v>
      </c>
      <c r="L54" s="153">
        <v>75000</v>
      </c>
      <c r="M54" s="152"/>
      <c r="N54" s="152">
        <v>20000</v>
      </c>
      <c r="O54" s="153">
        <v>135000</v>
      </c>
      <c r="P54" s="153"/>
      <c r="Q54" s="152"/>
      <c r="R54" s="153">
        <v>90000</v>
      </c>
      <c r="S54" s="153"/>
      <c r="T54" s="152"/>
      <c r="U54" s="153">
        <v>120000</v>
      </c>
      <c r="V54" s="153"/>
      <c r="W54" s="152"/>
      <c r="X54" s="153">
        <v>435000</v>
      </c>
      <c r="Y54" s="152"/>
      <c r="Z54" s="152">
        <v>50000</v>
      </c>
      <c r="AA54" s="153">
        <v>170000</v>
      </c>
      <c r="AB54" s="153"/>
      <c r="AC54" s="152"/>
      <c r="AD54" s="153"/>
      <c r="AE54" s="154">
        <f t="shared" si="0"/>
        <v>779722.498834849</v>
      </c>
      <c r="AF54" s="154">
        <f t="shared" si="1"/>
        <v>319468.989447366</v>
      </c>
      <c r="AG54" s="21">
        <f t="shared" si="2"/>
        <v>17317.2846473029</v>
      </c>
      <c r="AH54" s="154">
        <f t="shared" si="3"/>
        <v>367593.495657622</v>
      </c>
      <c r="AI54" s="154">
        <f t="shared" si="4"/>
        <v>125265.114938892</v>
      </c>
      <c r="AJ54" s="154">
        <f t="shared" si="5"/>
        <v>157259.286307054</v>
      </c>
      <c r="AK54" s="107">
        <f t="shared" si="6"/>
        <v>350863.420567624</v>
      </c>
      <c r="AL54" s="107">
        <f t="shared" si="7"/>
        <v>194203.874508475</v>
      </c>
      <c r="AM54" s="107">
        <f t="shared" si="9"/>
        <v>4649.82572614108</v>
      </c>
      <c r="AN54" s="155" t="s">
        <v>7820</v>
      </c>
      <c r="AO54" s="156" t="s">
        <v>7821</v>
      </c>
      <c r="AP54" s="99"/>
      <c r="AQ54" s="99"/>
      <c r="AR54" s="99"/>
      <c r="AS54" s="99"/>
    </row>
    <row r="55" s="100" customFormat="1" ht="21" customHeight="1" spans="1:45">
      <c r="A55" s="158"/>
      <c r="B55" s="149" t="s">
        <v>7861</v>
      </c>
      <c r="C55" s="107">
        <v>1235000</v>
      </c>
      <c r="D55" s="150">
        <v>0.0123393864609779</v>
      </c>
      <c r="E55" s="150">
        <v>0.0105766169665525</v>
      </c>
      <c r="F55" s="104">
        <f>VLOOKUP(B55,'[1]Sku List'!$B:$F,5,FALSE)</f>
        <v>0.00885200553250346</v>
      </c>
      <c r="G55" s="151">
        <v>50000</v>
      </c>
      <c r="H55" s="152"/>
      <c r="I55" s="153">
        <v>55000</v>
      </c>
      <c r="J55" s="152"/>
      <c r="K55" s="152">
        <v>65000</v>
      </c>
      <c r="L55" s="153">
        <v>75000</v>
      </c>
      <c r="M55" s="152"/>
      <c r="N55" s="152">
        <v>20000</v>
      </c>
      <c r="O55" s="153">
        <v>115000</v>
      </c>
      <c r="P55" s="153"/>
      <c r="Q55" s="152"/>
      <c r="R55" s="153">
        <v>85000</v>
      </c>
      <c r="S55" s="153"/>
      <c r="T55" s="152"/>
      <c r="U55" s="153">
        <v>120000</v>
      </c>
      <c r="V55" s="153"/>
      <c r="W55" s="152"/>
      <c r="X55" s="153">
        <v>435000</v>
      </c>
      <c r="Y55" s="152"/>
      <c r="Z55" s="152">
        <v>45000</v>
      </c>
      <c r="AA55" s="153">
        <v>170000</v>
      </c>
      <c r="AB55" s="153"/>
      <c r="AC55" s="152"/>
      <c r="AD55" s="153"/>
      <c r="AE55" s="154">
        <f t="shared" si="0"/>
        <v>779722.498834849</v>
      </c>
      <c r="AF55" s="154">
        <f t="shared" si="1"/>
        <v>319468.989447366</v>
      </c>
      <c r="AG55" s="21">
        <f t="shared" si="2"/>
        <v>11544.8564315353</v>
      </c>
      <c r="AH55" s="154">
        <f t="shared" si="3"/>
        <v>367593.495657622</v>
      </c>
      <c r="AI55" s="154">
        <f t="shared" si="4"/>
        <v>125265.114938892</v>
      </c>
      <c r="AJ55" s="154">
        <f t="shared" si="5"/>
        <v>104839.524204703</v>
      </c>
      <c r="AK55" s="107">
        <f t="shared" si="6"/>
        <v>350863.420567624</v>
      </c>
      <c r="AL55" s="107">
        <f t="shared" si="7"/>
        <v>194203.874508475</v>
      </c>
      <c r="AM55" s="107">
        <f t="shared" si="9"/>
        <v>3099.88381742739</v>
      </c>
      <c r="AN55" s="155" t="s">
        <v>7820</v>
      </c>
      <c r="AO55" s="156" t="s">
        <v>7821</v>
      </c>
      <c r="AP55" s="99"/>
      <c r="AQ55" s="99"/>
      <c r="AR55" s="99"/>
      <c r="AS55" s="99"/>
    </row>
    <row r="56" s="100" customFormat="1" ht="21" customHeight="1" spans="1:45">
      <c r="A56" s="158"/>
      <c r="B56" s="149" t="s">
        <v>7862</v>
      </c>
      <c r="C56" s="107">
        <v>755000</v>
      </c>
      <c r="D56" s="150">
        <v>0.0123393864609779</v>
      </c>
      <c r="E56" s="150">
        <v>0.0105766169665525</v>
      </c>
      <c r="F56" s="104">
        <f>VLOOKUP(B56,'[1]Sku List'!$B:$F,5,FALSE)</f>
        <v>0.00885200553250346</v>
      </c>
      <c r="G56" s="151">
        <v>50000</v>
      </c>
      <c r="H56" s="152"/>
      <c r="I56" s="153">
        <v>55000</v>
      </c>
      <c r="J56" s="152"/>
      <c r="K56" s="152">
        <v>65000</v>
      </c>
      <c r="L56" s="153">
        <v>75000</v>
      </c>
      <c r="M56" s="152"/>
      <c r="N56" s="152">
        <v>20000</v>
      </c>
      <c r="O56" s="153">
        <v>115000</v>
      </c>
      <c r="P56" s="153"/>
      <c r="Q56" s="152"/>
      <c r="R56" s="153">
        <v>85000</v>
      </c>
      <c r="S56" s="153"/>
      <c r="T56" s="152"/>
      <c r="U56" s="153">
        <v>120000</v>
      </c>
      <c r="V56" s="153"/>
      <c r="W56" s="152"/>
      <c r="X56" s="153">
        <v>0</v>
      </c>
      <c r="Y56" s="152"/>
      <c r="Z56" s="152">
        <v>0</v>
      </c>
      <c r="AA56" s="153">
        <v>170000</v>
      </c>
      <c r="AB56" s="153"/>
      <c r="AC56" s="152"/>
      <c r="AD56" s="153"/>
      <c r="AE56" s="154">
        <f t="shared" si="0"/>
        <v>779722.498834849</v>
      </c>
      <c r="AF56" s="154">
        <f t="shared" si="1"/>
        <v>319468.989447366</v>
      </c>
      <c r="AG56" s="21">
        <f t="shared" si="2"/>
        <v>11544.8564315353</v>
      </c>
      <c r="AH56" s="154">
        <f t="shared" si="3"/>
        <v>367593.495657622</v>
      </c>
      <c r="AI56" s="154">
        <f t="shared" si="4"/>
        <v>125265.114938892</v>
      </c>
      <c r="AJ56" s="154">
        <f t="shared" si="5"/>
        <v>104839.524204703</v>
      </c>
      <c r="AK56" s="107">
        <f t="shared" si="6"/>
        <v>350863.420567624</v>
      </c>
      <c r="AL56" s="107">
        <f t="shared" si="7"/>
        <v>194203.874508475</v>
      </c>
      <c r="AM56" s="107">
        <f t="shared" si="9"/>
        <v>3099.88381742739</v>
      </c>
      <c r="AN56" s="155" t="s">
        <v>7820</v>
      </c>
      <c r="AO56" s="156" t="s">
        <v>7821</v>
      </c>
      <c r="AP56" s="99"/>
      <c r="AQ56" s="99"/>
      <c r="AR56" s="99"/>
      <c r="AS56" s="99"/>
    </row>
    <row r="57" s="100" customFormat="1" ht="21" customHeight="1" spans="1:45">
      <c r="A57" s="158"/>
      <c r="B57" s="149" t="s">
        <v>7863</v>
      </c>
      <c r="C57" s="107">
        <v>1235000</v>
      </c>
      <c r="D57" s="150">
        <v>0.0123393864609779</v>
      </c>
      <c r="E57" s="150">
        <v>0.0105766169665525</v>
      </c>
      <c r="F57" s="104">
        <f>VLOOKUP(B57,'[1]Sku List'!$B:$F,5,FALSE)</f>
        <v>0.00885200553250346</v>
      </c>
      <c r="G57" s="151">
        <v>50000</v>
      </c>
      <c r="H57" s="152"/>
      <c r="I57" s="153">
        <v>55000</v>
      </c>
      <c r="J57" s="152"/>
      <c r="K57" s="152">
        <v>65000</v>
      </c>
      <c r="L57" s="153">
        <v>75000</v>
      </c>
      <c r="M57" s="152"/>
      <c r="N57" s="152">
        <v>20000</v>
      </c>
      <c r="O57" s="153">
        <v>115000</v>
      </c>
      <c r="P57" s="153"/>
      <c r="Q57" s="152"/>
      <c r="R57" s="153">
        <v>85000</v>
      </c>
      <c r="S57" s="153"/>
      <c r="T57" s="152"/>
      <c r="U57" s="153">
        <v>120000</v>
      </c>
      <c r="V57" s="153"/>
      <c r="W57" s="152"/>
      <c r="X57" s="153">
        <v>430000</v>
      </c>
      <c r="Y57" s="152"/>
      <c r="Z57" s="152">
        <v>50000</v>
      </c>
      <c r="AA57" s="153">
        <v>170000</v>
      </c>
      <c r="AB57" s="153"/>
      <c r="AC57" s="152"/>
      <c r="AD57" s="153"/>
      <c r="AE57" s="154">
        <f t="shared" si="0"/>
        <v>779722.498834849</v>
      </c>
      <c r="AF57" s="154">
        <f t="shared" si="1"/>
        <v>319468.989447366</v>
      </c>
      <c r="AG57" s="21">
        <f t="shared" si="2"/>
        <v>11544.8564315353</v>
      </c>
      <c r="AH57" s="154">
        <f t="shared" si="3"/>
        <v>367593.495657622</v>
      </c>
      <c r="AI57" s="154">
        <f t="shared" si="4"/>
        <v>125265.114938892</v>
      </c>
      <c r="AJ57" s="154">
        <f t="shared" si="5"/>
        <v>104839.524204703</v>
      </c>
      <c r="AK57" s="107">
        <f t="shared" si="6"/>
        <v>350863.420567624</v>
      </c>
      <c r="AL57" s="107">
        <f t="shared" si="7"/>
        <v>194203.874508475</v>
      </c>
      <c r="AM57" s="107">
        <f t="shared" si="9"/>
        <v>3099.88381742739</v>
      </c>
      <c r="AN57" s="155" t="s">
        <v>7820</v>
      </c>
      <c r="AO57" s="156" t="s">
        <v>7821</v>
      </c>
      <c r="AP57" s="99"/>
      <c r="AQ57" s="99"/>
      <c r="AR57" s="99"/>
      <c r="AS57" s="99"/>
    </row>
    <row r="58" s="100" customFormat="1" ht="21" customHeight="1" spans="1:45">
      <c r="A58" s="158"/>
      <c r="B58" s="149" t="s">
        <v>7864</v>
      </c>
      <c r="C58" s="107">
        <v>340000</v>
      </c>
      <c r="D58" s="150"/>
      <c r="E58" s="150">
        <v>0.0105766169665525</v>
      </c>
      <c r="F58" s="104"/>
      <c r="G58" s="151">
        <v>20000</v>
      </c>
      <c r="H58" s="152"/>
      <c r="I58" s="153">
        <v>5000</v>
      </c>
      <c r="J58" s="152"/>
      <c r="K58" s="152">
        <v>0</v>
      </c>
      <c r="L58" s="153">
        <v>5000</v>
      </c>
      <c r="M58" s="152"/>
      <c r="N58" s="152">
        <v>20000</v>
      </c>
      <c r="O58" s="153">
        <v>10000</v>
      </c>
      <c r="P58" s="153"/>
      <c r="Q58" s="152"/>
      <c r="R58" s="153">
        <v>10000</v>
      </c>
      <c r="S58" s="153"/>
      <c r="T58" s="152"/>
      <c r="U58" s="153">
        <v>20000</v>
      </c>
      <c r="V58" s="153"/>
      <c r="W58" s="152"/>
      <c r="X58" s="153">
        <v>60000</v>
      </c>
      <c r="Y58" s="152"/>
      <c r="Z58" s="152">
        <v>50000</v>
      </c>
      <c r="AA58" s="153">
        <v>140000</v>
      </c>
      <c r="AB58" s="153"/>
      <c r="AC58" s="152"/>
      <c r="AD58" s="153"/>
      <c r="AE58" s="154">
        <f t="shared" si="0"/>
        <v>0</v>
      </c>
      <c r="AF58" s="154">
        <f t="shared" si="1"/>
        <v>319468.989447366</v>
      </c>
      <c r="AG58" s="21">
        <f t="shared" si="2"/>
        <v>0</v>
      </c>
      <c r="AH58" s="154">
        <f t="shared" si="3"/>
        <v>367593.495657622</v>
      </c>
      <c r="AI58" s="154">
        <f t="shared" si="4"/>
        <v>125265.114938892</v>
      </c>
      <c r="AJ58" s="154">
        <f t="shared" si="5"/>
        <v>0</v>
      </c>
      <c r="AK58" s="107">
        <f>$AK$5*D58*6</f>
        <v>0</v>
      </c>
      <c r="AL58" s="107">
        <f t="shared" si="7"/>
        <v>194203.874508475</v>
      </c>
      <c r="AM58" s="107">
        <f t="shared" si="9"/>
        <v>0</v>
      </c>
      <c r="AN58" s="155" t="s">
        <v>7820</v>
      </c>
      <c r="AO58" s="156" t="s">
        <v>7821</v>
      </c>
      <c r="AP58" s="99"/>
      <c r="AQ58" s="99"/>
      <c r="AR58" s="99"/>
      <c r="AS58" s="99"/>
    </row>
    <row r="59" s="101" customFormat="1" ht="23.1" customHeight="1" spans="1:45">
      <c r="A59" s="160"/>
      <c r="B59" s="161" t="s">
        <v>7865</v>
      </c>
      <c r="C59" s="161"/>
      <c r="D59" s="162"/>
      <c r="E59" s="163"/>
      <c r="F59" s="163"/>
      <c r="G59" s="164">
        <f>SUM(G7:H58)</f>
        <v>4132620</v>
      </c>
      <c r="H59" s="164"/>
      <c r="I59" s="164">
        <f>SUM(I7:J58)</f>
        <v>4550910</v>
      </c>
      <c r="J59" s="164"/>
      <c r="K59" s="164"/>
      <c r="L59" s="164"/>
      <c r="M59" s="164"/>
      <c r="N59" s="164"/>
      <c r="O59" s="164"/>
      <c r="P59" s="164"/>
      <c r="Q59" s="164"/>
      <c r="R59" s="164"/>
      <c r="S59" s="164"/>
      <c r="T59" s="164"/>
      <c r="U59" s="164"/>
      <c r="V59" s="164"/>
      <c r="W59" s="164"/>
      <c r="X59" s="164"/>
      <c r="Y59" s="164"/>
      <c r="Z59" s="164"/>
      <c r="AA59" s="164"/>
      <c r="AB59" s="164"/>
      <c r="AC59" s="164"/>
      <c r="AD59" s="164"/>
      <c r="AE59" s="165">
        <f>SUM(AE7:AE58)</f>
        <v>63189729.9999999</v>
      </c>
      <c r="AF59" s="166"/>
      <c r="AG59" s="166"/>
      <c r="AH59" s="167"/>
      <c r="AI59" s="167"/>
      <c r="AJ59" s="167"/>
      <c r="AK59" s="161"/>
      <c r="AL59" s="168"/>
      <c r="AM59" s="168"/>
      <c r="AN59" s="169"/>
      <c r="AO59" s="170"/>
      <c r="AQ59" s="171"/>
      <c r="AR59" s="171"/>
    </row>
    <row r="60" s="101" customFormat="1" ht="69.75" customHeight="1" spans="1:45">
      <c r="A60" s="51"/>
      <c r="B60" s="52"/>
      <c r="C60" s="53"/>
      <c r="D60" s="53"/>
      <c r="E60" s="53"/>
      <c r="F60" s="53"/>
      <c r="G60" s="53"/>
      <c r="H60" s="53"/>
      <c r="I60" s="53"/>
      <c r="J60" s="53"/>
      <c r="K60" s="53"/>
      <c r="L60" s="53"/>
      <c r="M60" s="53"/>
      <c r="N60" s="53"/>
      <c r="O60" s="53"/>
      <c r="P60" s="53"/>
      <c r="Q60" s="53"/>
      <c r="R60" s="53"/>
      <c r="S60" s="53"/>
      <c r="T60" s="53"/>
      <c r="U60" s="53"/>
      <c r="V60" s="53"/>
      <c r="W60" s="53"/>
      <c r="X60" s="53"/>
      <c r="Y60" s="53"/>
      <c r="Z60" s="53"/>
      <c r="AA60" s="53"/>
      <c r="AB60" s="53"/>
      <c r="AC60" s="53"/>
      <c r="AD60" s="53"/>
      <c r="AE60" s="53"/>
      <c r="AF60" s="53"/>
      <c r="AG60" s="53"/>
      <c r="AH60" s="53"/>
      <c r="AI60" s="53"/>
      <c r="AJ60" s="53"/>
      <c r="AK60" s="53"/>
      <c r="AL60" s="53"/>
      <c r="AM60" s="53"/>
      <c r="AN60" s="52"/>
      <c r="AO60" s="172"/>
      <c r="AP60" s="99"/>
      <c r="AQ60" s="99"/>
      <c r="AR60" s="99"/>
      <c r="AS60" s="99"/>
    </row>
    <row r="61" s="101" customFormat="1" ht="21.75" customHeight="1" spans="1:45">
      <c r="A61" s="173"/>
      <c r="B61" s="173"/>
      <c r="D61" s="174"/>
      <c r="E61" s="174"/>
      <c r="F61" s="174"/>
      <c r="G61" s="175"/>
      <c r="H61" s="175"/>
      <c r="I61" s="175"/>
      <c r="J61" s="175"/>
      <c r="K61" s="175"/>
      <c r="L61" s="175"/>
      <c r="M61" s="175"/>
      <c r="N61" s="175"/>
      <c r="O61" s="175"/>
      <c r="P61" s="175"/>
      <c r="Q61" s="175"/>
      <c r="R61" s="175"/>
      <c r="S61" s="175"/>
      <c r="T61" s="175"/>
      <c r="U61" s="175"/>
      <c r="V61" s="175"/>
      <c r="W61" s="175"/>
      <c r="X61" s="175"/>
      <c r="Y61" s="175"/>
      <c r="Z61" s="175"/>
      <c r="AA61" s="175"/>
      <c r="AB61" s="175"/>
      <c r="AC61" s="175"/>
      <c r="AD61" s="175"/>
      <c r="AE61" s="175"/>
      <c r="AF61" s="175"/>
      <c r="AG61" s="175"/>
      <c r="AH61" s="175"/>
      <c r="AI61" s="175"/>
      <c r="AJ61" s="175"/>
      <c r="AK61" s="175"/>
      <c r="AL61" s="175"/>
      <c r="AM61" s="175"/>
      <c r="AN61" s="174"/>
      <c r="AO61" s="176"/>
      <c r="AP61" s="171"/>
      <c r="AQ61" s="171"/>
      <c r="AR61" s="171"/>
    </row>
    <row r="62" s="101" customFormat="1" ht="21" customHeight="1" spans="1:45">
      <c r="A62" s="177"/>
      <c r="B62" s="177"/>
      <c r="C62" s="177"/>
      <c r="D62" s="177"/>
      <c r="E62" s="177"/>
      <c r="F62" s="177"/>
      <c r="G62" s="178"/>
      <c r="H62" s="178"/>
      <c r="I62" s="178"/>
      <c r="J62" s="178"/>
      <c r="K62" s="178"/>
      <c r="L62" s="178"/>
      <c r="M62" s="178"/>
      <c r="N62" s="178"/>
      <c r="O62" s="178"/>
      <c r="P62" s="178"/>
      <c r="Q62" s="178"/>
      <c r="R62" s="178"/>
      <c r="S62" s="178"/>
      <c r="T62" s="178"/>
      <c r="U62" s="178"/>
      <c r="V62" s="178"/>
      <c r="W62" s="178"/>
      <c r="X62" s="178"/>
      <c r="Y62" s="178"/>
      <c r="Z62" s="178"/>
      <c r="AA62" s="178"/>
      <c r="AB62" s="178"/>
      <c r="AC62" s="178"/>
      <c r="AD62" s="178"/>
      <c r="AE62" s="178"/>
      <c r="AF62" s="178"/>
      <c r="AG62" s="178"/>
      <c r="AH62" s="178"/>
      <c r="AI62" s="178"/>
      <c r="AJ62" s="178"/>
      <c r="AK62" s="178"/>
      <c r="AL62" s="178"/>
      <c r="AM62" s="178"/>
      <c r="AN62" s="177"/>
      <c r="AO62" s="177"/>
      <c r="AP62" s="179"/>
      <c r="AQ62" s="179"/>
      <c r="AR62" s="179"/>
    </row>
    <row r="63" s="101" customFormat="1" ht="21" customHeight="1" spans="1:45">
      <c r="A63" s="101" t="s">
        <v>7866</v>
      </c>
      <c r="D63" s="101" t="s">
        <v>7867</v>
      </c>
      <c r="G63" s="175"/>
      <c r="H63" s="175"/>
      <c r="I63" s="175"/>
      <c r="J63" s="175"/>
      <c r="K63" s="175"/>
      <c r="L63" s="175"/>
      <c r="M63" s="175"/>
      <c r="N63" s="175"/>
      <c r="O63" s="175"/>
      <c r="P63" s="175"/>
      <c r="Q63" s="175"/>
      <c r="R63" s="175"/>
      <c r="S63" s="175"/>
      <c r="T63" s="175"/>
      <c r="U63" s="175"/>
      <c r="V63" s="175"/>
      <c r="W63" s="175"/>
      <c r="X63" s="175"/>
      <c r="Y63" s="175"/>
      <c r="Z63" s="175"/>
      <c r="AA63" s="175"/>
      <c r="AB63" s="175"/>
      <c r="AC63" s="175"/>
      <c r="AD63" s="175"/>
      <c r="AE63" s="175"/>
      <c r="AF63" s="175"/>
      <c r="AG63" s="175"/>
      <c r="AH63" s="175"/>
      <c r="AI63" s="175"/>
      <c r="AJ63" s="175"/>
      <c r="AK63" s="175"/>
      <c r="AL63" s="175"/>
      <c r="AM63" s="175"/>
      <c r="AP63" s="179"/>
      <c r="AQ63" s="179"/>
      <c r="AR63" s="179"/>
    </row>
    <row r="64" s="101" customFormat="1" ht="21" customHeight="1" spans="1:45">
      <c r="G64" s="175"/>
      <c r="H64" s="175"/>
      <c r="I64" s="175"/>
      <c r="J64" s="175"/>
      <c r="K64" s="175"/>
      <c r="L64" s="175"/>
      <c r="M64" s="175"/>
      <c r="N64" s="175"/>
      <c r="O64" s="175"/>
      <c r="P64" s="175"/>
      <c r="Q64" s="175"/>
      <c r="R64" s="175"/>
      <c r="S64" s="175"/>
      <c r="T64" s="175"/>
      <c r="U64" s="175"/>
      <c r="V64" s="175"/>
      <c r="W64" s="175"/>
      <c r="X64" s="175"/>
      <c r="Y64" s="175"/>
      <c r="Z64" s="175"/>
      <c r="AA64" s="175"/>
      <c r="AB64" s="175"/>
      <c r="AC64" s="175"/>
      <c r="AD64" s="175"/>
      <c r="AE64" s="175"/>
      <c r="AF64" s="175"/>
      <c r="AG64" s="175"/>
      <c r="AH64" s="175"/>
      <c r="AI64" s="175"/>
      <c r="AJ64" s="175"/>
      <c r="AK64" s="175"/>
      <c r="AL64" s="175"/>
      <c r="AM64" s="175"/>
      <c r="AP64" s="179"/>
      <c r="AQ64" s="179"/>
      <c r="AR64" s="179"/>
    </row>
    <row r="65" s="101" customFormat="1" ht="21" customHeight="1" spans="1:44">
      <c r="G65" s="175"/>
      <c r="H65" s="175"/>
      <c r="I65" s="175"/>
      <c r="J65" s="175"/>
      <c r="K65" s="175"/>
      <c r="L65" s="175"/>
      <c r="M65" s="175"/>
      <c r="N65" s="175"/>
      <c r="O65" s="175"/>
      <c r="P65" s="175"/>
      <c r="Q65" s="175"/>
      <c r="R65" s="175"/>
      <c r="S65" s="175"/>
      <c r="T65" s="175"/>
      <c r="U65" s="175"/>
      <c r="V65" s="175"/>
      <c r="W65" s="175"/>
      <c r="X65" s="175"/>
      <c r="Y65" s="175"/>
      <c r="Z65" s="175"/>
      <c r="AA65" s="175"/>
      <c r="AB65" s="175"/>
      <c r="AC65" s="175"/>
      <c r="AD65" s="175"/>
      <c r="AE65" s="175"/>
      <c r="AF65" s="175"/>
      <c r="AG65" s="175"/>
      <c r="AH65" s="175"/>
      <c r="AI65" s="175"/>
      <c r="AJ65" s="175"/>
      <c r="AK65" s="175"/>
      <c r="AL65" s="175"/>
      <c r="AM65" s="175"/>
      <c r="AP65" s="179"/>
      <c r="AQ65" s="179"/>
      <c r="AR65" s="179"/>
    </row>
    <row r="66" s="101" customFormat="1" ht="15" spans="1:44">
      <c r="A66" s="180" t="s">
        <v>7868</v>
      </c>
      <c r="B66" s="180"/>
      <c r="C66" s="180"/>
      <c r="D66" s="180" t="s">
        <v>7868</v>
      </c>
      <c r="E66" s="180"/>
      <c r="F66" s="180"/>
      <c r="G66" s="175"/>
      <c r="H66" s="175"/>
      <c r="I66" s="175"/>
      <c r="J66" s="175"/>
      <c r="K66" s="175"/>
      <c r="L66" s="175"/>
      <c r="M66" s="175"/>
      <c r="N66" s="175"/>
      <c r="O66" s="175"/>
      <c r="P66" s="175"/>
      <c r="Q66" s="175"/>
      <c r="R66" s="175"/>
      <c r="S66" s="175"/>
      <c r="T66" s="175"/>
      <c r="U66" s="175"/>
      <c r="V66" s="175"/>
      <c r="W66" s="175"/>
      <c r="X66" s="175"/>
      <c r="Y66" s="175"/>
      <c r="Z66" s="175"/>
      <c r="AA66" s="175"/>
      <c r="AB66" s="175"/>
      <c r="AC66" s="175"/>
      <c r="AD66" s="175"/>
      <c r="AE66" s="175"/>
      <c r="AF66" s="175"/>
      <c r="AG66" s="175"/>
      <c r="AH66" s="175"/>
      <c r="AI66" s="175"/>
      <c r="AJ66" s="175"/>
      <c r="AK66" s="175"/>
      <c r="AL66" s="175"/>
      <c r="AM66" s="175"/>
      <c r="AP66" s="179"/>
      <c r="AQ66" s="179"/>
      <c r="AR66" s="179"/>
    </row>
  </sheetData>
  <sheetProtection formatCells="0" formatColumns="0" formatRows="0" insertRows="0" insertColumns="0" insertHyperlinks="0" deleteColumns="0" deleteRows="0" sort="0" autoFilter="0" pivotTables="0"/>
  <autoFilter xmlns:etc="http://www.wps.cn/officeDocument/2017/etCustomData" ref="A5:AU59" etc:filterBottomFollowUsedRange="0">
    <extLst/>
  </autoFilter>
  <mergeCells count="420">
    <mergeCell ref="G7:H7"/>
    <mergeCell ref="I7:J7"/>
    <mergeCell ref="L7:M7"/>
    <mergeCell ref="O7:Q7"/>
    <mergeCell ref="R7:T7"/>
    <mergeCell ref="U7:W7"/>
    <mergeCell ref="X7:Y7"/>
    <mergeCell ref="AA7:AC7"/>
    <mergeCell ref="G8:H8"/>
    <mergeCell ref="I8:J8"/>
    <mergeCell ref="L8:M8"/>
    <mergeCell ref="O8:Q8"/>
    <mergeCell ref="R8:T8"/>
    <mergeCell ref="U8:W8"/>
    <mergeCell ref="X8:Y8"/>
    <mergeCell ref="AA8:AC8"/>
    <mergeCell ref="G9:H9"/>
    <mergeCell ref="I9:J9"/>
    <mergeCell ref="L9:M9"/>
    <mergeCell ref="O9:Q9"/>
    <mergeCell ref="R9:T9"/>
    <mergeCell ref="U9:W9"/>
    <mergeCell ref="X9:Y9"/>
    <mergeCell ref="AA9:AC9"/>
    <mergeCell ref="G10:H10"/>
    <mergeCell ref="I10:J10"/>
    <mergeCell ref="L10:M10"/>
    <mergeCell ref="O10:Q10"/>
    <mergeCell ref="R10:T10"/>
    <mergeCell ref="U10:W10"/>
    <mergeCell ref="X10:Y10"/>
    <mergeCell ref="AA10:AC10"/>
    <mergeCell ref="G11:H11"/>
    <mergeCell ref="I11:J11"/>
    <mergeCell ref="L11:M11"/>
    <mergeCell ref="O11:Q11"/>
    <mergeCell ref="R11:T11"/>
    <mergeCell ref="U11:W11"/>
    <mergeCell ref="X11:Y11"/>
    <mergeCell ref="AA11:AC11"/>
    <mergeCell ref="G12:H12"/>
    <mergeCell ref="I12:J12"/>
    <mergeCell ref="L12:M12"/>
    <mergeCell ref="O12:Q12"/>
    <mergeCell ref="R12:T12"/>
    <mergeCell ref="U12:W12"/>
    <mergeCell ref="X12:Y12"/>
    <mergeCell ref="AA12:AC12"/>
    <mergeCell ref="G13:H13"/>
    <mergeCell ref="I13:J13"/>
    <mergeCell ref="L13:M13"/>
    <mergeCell ref="O13:Q13"/>
    <mergeCell ref="R13:T13"/>
    <mergeCell ref="U13:W13"/>
    <mergeCell ref="X13:Y13"/>
    <mergeCell ref="AA13:AC13"/>
    <mergeCell ref="G14:H14"/>
    <mergeCell ref="I14:J14"/>
    <mergeCell ref="L14:M14"/>
    <mergeCell ref="O14:Q14"/>
    <mergeCell ref="R14:T14"/>
    <mergeCell ref="U14:W14"/>
    <mergeCell ref="X14:Y14"/>
    <mergeCell ref="AA14:AC14"/>
    <mergeCell ref="G15:H15"/>
    <mergeCell ref="I15:J15"/>
    <mergeCell ref="L15:M15"/>
    <mergeCell ref="O15:Q15"/>
    <mergeCell ref="R15:T15"/>
    <mergeCell ref="U15:W15"/>
    <mergeCell ref="X15:Y15"/>
    <mergeCell ref="AA15:AC15"/>
    <mergeCell ref="G16:H16"/>
    <mergeCell ref="I16:J16"/>
    <mergeCell ref="L16:M16"/>
    <mergeCell ref="O16:Q16"/>
    <mergeCell ref="R16:T16"/>
    <mergeCell ref="U16:W16"/>
    <mergeCell ref="X16:Y16"/>
    <mergeCell ref="AA16:AC16"/>
    <mergeCell ref="G17:H17"/>
    <mergeCell ref="I17:J17"/>
    <mergeCell ref="L17:M17"/>
    <mergeCell ref="O17:Q17"/>
    <mergeCell ref="R17:T17"/>
    <mergeCell ref="U17:W17"/>
    <mergeCell ref="X17:Y17"/>
    <mergeCell ref="AA17:AC17"/>
    <mergeCell ref="G18:H18"/>
    <mergeCell ref="I18:J18"/>
    <mergeCell ref="L18:M18"/>
    <mergeCell ref="O18:Q18"/>
    <mergeCell ref="R18:T18"/>
    <mergeCell ref="U18:W18"/>
    <mergeCell ref="X18:Y18"/>
    <mergeCell ref="AA18:AC18"/>
    <mergeCell ref="G19:H19"/>
    <mergeCell ref="I19:J19"/>
    <mergeCell ref="L19:M19"/>
    <mergeCell ref="O19:Q19"/>
    <mergeCell ref="R19:T19"/>
    <mergeCell ref="U19:W19"/>
    <mergeCell ref="X19:Y19"/>
    <mergeCell ref="AA19:AC19"/>
    <mergeCell ref="G20:H20"/>
    <mergeCell ref="I20:J20"/>
    <mergeCell ref="L20:M20"/>
    <mergeCell ref="O20:Q20"/>
    <mergeCell ref="R20:T20"/>
    <mergeCell ref="U20:W20"/>
    <mergeCell ref="X20:Y20"/>
    <mergeCell ref="AA20:AC20"/>
    <mergeCell ref="G21:H21"/>
    <mergeCell ref="I21:J21"/>
    <mergeCell ref="L21:M21"/>
    <mergeCell ref="O21:Q21"/>
    <mergeCell ref="R21:T21"/>
    <mergeCell ref="U21:W21"/>
    <mergeCell ref="X21:Y21"/>
    <mergeCell ref="AA21:AC21"/>
    <mergeCell ref="G22:H22"/>
    <mergeCell ref="I22:J22"/>
    <mergeCell ref="L22:M22"/>
    <mergeCell ref="O22:Q22"/>
    <mergeCell ref="R22:T22"/>
    <mergeCell ref="U22:W22"/>
    <mergeCell ref="X22:Y22"/>
    <mergeCell ref="AA22:AC22"/>
    <mergeCell ref="G23:H23"/>
    <mergeCell ref="I23:J23"/>
    <mergeCell ref="L23:M23"/>
    <mergeCell ref="O23:Q23"/>
    <mergeCell ref="R23:T23"/>
    <mergeCell ref="U23:W23"/>
    <mergeCell ref="X23:Y23"/>
    <mergeCell ref="AA23:AC23"/>
    <mergeCell ref="G24:H24"/>
    <mergeCell ref="I24:J24"/>
    <mergeCell ref="L24:M24"/>
    <mergeCell ref="O24:Q24"/>
    <mergeCell ref="R24:T24"/>
    <mergeCell ref="U24:W24"/>
    <mergeCell ref="X24:Y24"/>
    <mergeCell ref="AA24:AC24"/>
    <mergeCell ref="G25:H25"/>
    <mergeCell ref="I25:J25"/>
    <mergeCell ref="L25:M25"/>
    <mergeCell ref="O25:Q25"/>
    <mergeCell ref="R25:T25"/>
    <mergeCell ref="U25:W25"/>
    <mergeCell ref="X25:Y25"/>
    <mergeCell ref="AA25:AC25"/>
    <mergeCell ref="G26:H26"/>
    <mergeCell ref="I26:J26"/>
    <mergeCell ref="L26:M26"/>
    <mergeCell ref="O26:Q26"/>
    <mergeCell ref="R26:T26"/>
    <mergeCell ref="U26:W26"/>
    <mergeCell ref="X26:Y26"/>
    <mergeCell ref="AA26:AC26"/>
    <mergeCell ref="G27:H27"/>
    <mergeCell ref="I27:J27"/>
    <mergeCell ref="L27:M27"/>
    <mergeCell ref="O27:Q27"/>
    <mergeCell ref="R27:T27"/>
    <mergeCell ref="U27:W27"/>
    <mergeCell ref="X27:Y27"/>
    <mergeCell ref="AA27:AC27"/>
    <mergeCell ref="G28:H28"/>
    <mergeCell ref="I28:J28"/>
    <mergeCell ref="L28:M28"/>
    <mergeCell ref="O28:Q28"/>
    <mergeCell ref="R28:T28"/>
    <mergeCell ref="U28:W28"/>
    <mergeCell ref="X28:Y28"/>
    <mergeCell ref="AA28:AC28"/>
    <mergeCell ref="G29:H29"/>
    <mergeCell ref="I29:J29"/>
    <mergeCell ref="L29:M29"/>
    <mergeCell ref="O29:Q29"/>
    <mergeCell ref="R29:T29"/>
    <mergeCell ref="U29:W29"/>
    <mergeCell ref="X29:Y29"/>
    <mergeCell ref="AA29:AC29"/>
    <mergeCell ref="G30:H30"/>
    <mergeCell ref="I30:J30"/>
    <mergeCell ref="L30:M30"/>
    <mergeCell ref="O30:Q30"/>
    <mergeCell ref="R30:T30"/>
    <mergeCell ref="U30:W30"/>
    <mergeCell ref="X30:Y30"/>
    <mergeCell ref="AA30:AC30"/>
    <mergeCell ref="G31:H31"/>
    <mergeCell ref="I31:J31"/>
    <mergeCell ref="L31:M31"/>
    <mergeCell ref="O31:Q31"/>
    <mergeCell ref="R31:T31"/>
    <mergeCell ref="U31:W31"/>
    <mergeCell ref="X31:Y31"/>
    <mergeCell ref="AA31:AC31"/>
    <mergeCell ref="G32:H32"/>
    <mergeCell ref="I32:J32"/>
    <mergeCell ref="L32:M32"/>
    <mergeCell ref="O32:Q32"/>
    <mergeCell ref="R32:T32"/>
    <mergeCell ref="U32:W32"/>
    <mergeCell ref="X32:Y32"/>
    <mergeCell ref="AA32:AC32"/>
    <mergeCell ref="G33:H33"/>
    <mergeCell ref="I33:J33"/>
    <mergeCell ref="L33:M33"/>
    <mergeCell ref="O33:Q33"/>
    <mergeCell ref="R33:T33"/>
    <mergeCell ref="U33:W33"/>
    <mergeCell ref="X33:Y33"/>
    <mergeCell ref="AA33:AC33"/>
    <mergeCell ref="G34:H34"/>
    <mergeCell ref="I34:J34"/>
    <mergeCell ref="L34:M34"/>
    <mergeCell ref="O34:Q34"/>
    <mergeCell ref="R34:T34"/>
    <mergeCell ref="U34:W34"/>
    <mergeCell ref="X34:Y34"/>
    <mergeCell ref="AA34:AC34"/>
    <mergeCell ref="G35:H35"/>
    <mergeCell ref="I35:J35"/>
    <mergeCell ref="L35:M35"/>
    <mergeCell ref="O35:Q35"/>
    <mergeCell ref="R35:T35"/>
    <mergeCell ref="U35:W35"/>
    <mergeCell ref="X35:Y35"/>
    <mergeCell ref="AA35:AC35"/>
    <mergeCell ref="G36:H36"/>
    <mergeCell ref="I36:J36"/>
    <mergeCell ref="L36:M36"/>
    <mergeCell ref="O36:Q36"/>
    <mergeCell ref="R36:T36"/>
    <mergeCell ref="U36:W36"/>
    <mergeCell ref="X36:Y36"/>
    <mergeCell ref="AA36:AC36"/>
    <mergeCell ref="G37:H37"/>
    <mergeCell ref="I37:J37"/>
    <mergeCell ref="L37:M37"/>
    <mergeCell ref="O37:Q37"/>
    <mergeCell ref="R37:T37"/>
    <mergeCell ref="U37:W37"/>
    <mergeCell ref="X37:Y37"/>
    <mergeCell ref="AA37:AC37"/>
    <mergeCell ref="G38:H38"/>
    <mergeCell ref="I38:J38"/>
    <mergeCell ref="L38:M38"/>
    <mergeCell ref="O38:Q38"/>
    <mergeCell ref="R38:T38"/>
    <mergeCell ref="U38:W38"/>
    <mergeCell ref="X38:Y38"/>
    <mergeCell ref="AA38:AC38"/>
    <mergeCell ref="G39:H39"/>
    <mergeCell ref="I39:J39"/>
    <mergeCell ref="L39:M39"/>
    <mergeCell ref="O39:Q39"/>
    <mergeCell ref="R39:T39"/>
    <mergeCell ref="U39:W39"/>
    <mergeCell ref="X39:Y39"/>
    <mergeCell ref="AA39:AC39"/>
    <mergeCell ref="G40:H40"/>
    <mergeCell ref="I40:J40"/>
    <mergeCell ref="L40:M40"/>
    <mergeCell ref="O40:Q40"/>
    <mergeCell ref="R40:T40"/>
    <mergeCell ref="U40:W40"/>
    <mergeCell ref="X40:Y40"/>
    <mergeCell ref="AA40:AC40"/>
    <mergeCell ref="G41:H41"/>
    <mergeCell ref="I41:J41"/>
    <mergeCell ref="L41:M41"/>
    <mergeCell ref="O41:Q41"/>
    <mergeCell ref="R41:T41"/>
    <mergeCell ref="U41:W41"/>
    <mergeCell ref="X41:Y41"/>
    <mergeCell ref="AA41:AC41"/>
    <mergeCell ref="G42:H42"/>
    <mergeCell ref="I42:J42"/>
    <mergeCell ref="L42:M42"/>
    <mergeCell ref="O42:Q42"/>
    <mergeCell ref="R42:T42"/>
    <mergeCell ref="U42:W42"/>
    <mergeCell ref="X42:Y42"/>
    <mergeCell ref="AA42:AC42"/>
    <mergeCell ref="G43:H43"/>
    <mergeCell ref="I43:J43"/>
    <mergeCell ref="L43:M43"/>
    <mergeCell ref="O43:Q43"/>
    <mergeCell ref="R43:T43"/>
    <mergeCell ref="U43:W43"/>
    <mergeCell ref="X43:Y43"/>
    <mergeCell ref="AA43:AC43"/>
    <mergeCell ref="G44:H44"/>
    <mergeCell ref="I44:J44"/>
    <mergeCell ref="L44:M44"/>
    <mergeCell ref="O44:Q44"/>
    <mergeCell ref="R44:T44"/>
    <mergeCell ref="U44:W44"/>
    <mergeCell ref="X44:Y44"/>
    <mergeCell ref="AA44:AC44"/>
    <mergeCell ref="G45:H45"/>
    <mergeCell ref="I45:J45"/>
    <mergeCell ref="L45:M45"/>
    <mergeCell ref="O45:Q45"/>
    <mergeCell ref="R45:T45"/>
    <mergeCell ref="U45:W45"/>
    <mergeCell ref="X45:Y45"/>
    <mergeCell ref="AA45:AC45"/>
    <mergeCell ref="G46:H46"/>
    <mergeCell ref="I46:J46"/>
    <mergeCell ref="L46:M46"/>
    <mergeCell ref="O46:Q46"/>
    <mergeCell ref="R46:T46"/>
    <mergeCell ref="U46:W46"/>
    <mergeCell ref="X46:Y46"/>
    <mergeCell ref="AA46:AC46"/>
    <mergeCell ref="G47:H47"/>
    <mergeCell ref="I47:J47"/>
    <mergeCell ref="L47:M47"/>
    <mergeCell ref="O47:Q47"/>
    <mergeCell ref="R47:T47"/>
    <mergeCell ref="U47:W47"/>
    <mergeCell ref="X47:Y47"/>
    <mergeCell ref="AA47:AC47"/>
    <mergeCell ref="G48:H48"/>
    <mergeCell ref="I48:J48"/>
    <mergeCell ref="L48:M48"/>
    <mergeCell ref="O48:Q48"/>
    <mergeCell ref="R48:T48"/>
    <mergeCell ref="U48:W48"/>
    <mergeCell ref="X48:Y48"/>
    <mergeCell ref="AA48:AC48"/>
    <mergeCell ref="G49:H49"/>
    <mergeCell ref="I49:J49"/>
    <mergeCell ref="L49:M49"/>
    <mergeCell ref="O49:Q49"/>
    <mergeCell ref="R49:T49"/>
    <mergeCell ref="U49:W49"/>
    <mergeCell ref="X49:Y49"/>
    <mergeCell ref="AA49:AC49"/>
    <mergeCell ref="G50:H50"/>
    <mergeCell ref="I50:J50"/>
    <mergeCell ref="L50:M50"/>
    <mergeCell ref="O50:Q50"/>
    <mergeCell ref="R50:T50"/>
    <mergeCell ref="U50:W50"/>
    <mergeCell ref="X50:Y50"/>
    <mergeCell ref="AA50:AC50"/>
    <mergeCell ref="G51:H51"/>
    <mergeCell ref="I51:J51"/>
    <mergeCell ref="L51:M51"/>
    <mergeCell ref="O51:Q51"/>
    <mergeCell ref="R51:T51"/>
    <mergeCell ref="U51:W51"/>
    <mergeCell ref="X51:Y51"/>
    <mergeCell ref="AA51:AC51"/>
    <mergeCell ref="G52:H52"/>
    <mergeCell ref="I52:J52"/>
    <mergeCell ref="L52:M52"/>
    <mergeCell ref="O52:Q52"/>
    <mergeCell ref="R52:T52"/>
    <mergeCell ref="U52:W52"/>
    <mergeCell ref="X52:Y52"/>
    <mergeCell ref="AA52:AC52"/>
    <mergeCell ref="G53:H53"/>
    <mergeCell ref="I53:J53"/>
    <mergeCell ref="L53:M53"/>
    <mergeCell ref="O53:Q53"/>
    <mergeCell ref="R53:T53"/>
    <mergeCell ref="U53:W53"/>
    <mergeCell ref="X53:Y53"/>
    <mergeCell ref="AA53:AC53"/>
    <mergeCell ref="G54:H54"/>
    <mergeCell ref="I54:J54"/>
    <mergeCell ref="L54:M54"/>
    <mergeCell ref="O54:Q54"/>
    <mergeCell ref="R54:T54"/>
    <mergeCell ref="U54:W54"/>
    <mergeCell ref="X54:Y54"/>
    <mergeCell ref="AA54:AC54"/>
    <mergeCell ref="G55:H55"/>
    <mergeCell ref="I55:J55"/>
    <mergeCell ref="L55:M55"/>
    <mergeCell ref="O55:Q55"/>
    <mergeCell ref="R55:T55"/>
    <mergeCell ref="U55:W55"/>
    <mergeCell ref="X55:Y55"/>
    <mergeCell ref="AA55:AC55"/>
    <mergeCell ref="G56:H56"/>
    <mergeCell ref="I56:J56"/>
    <mergeCell ref="L56:M56"/>
    <mergeCell ref="O56:Q56"/>
    <mergeCell ref="R56:T56"/>
    <mergeCell ref="U56:W56"/>
    <mergeCell ref="X56:Y56"/>
    <mergeCell ref="AA56:AC56"/>
    <mergeCell ref="G57:H57"/>
    <mergeCell ref="I57:J57"/>
    <mergeCell ref="L57:M57"/>
    <mergeCell ref="O57:Q57"/>
    <mergeCell ref="R57:T57"/>
    <mergeCell ref="U57:W57"/>
    <mergeCell ref="X57:Y57"/>
    <mergeCell ref="AA57:AC57"/>
    <mergeCell ref="G58:H58"/>
    <mergeCell ref="I58:J58"/>
    <mergeCell ref="L58:M58"/>
    <mergeCell ref="O58:Q58"/>
    <mergeCell ref="R58:T58"/>
    <mergeCell ref="U58:W58"/>
    <mergeCell ref="X58:Y58"/>
    <mergeCell ref="AA58:AC58"/>
    <mergeCell ref="G59:H59"/>
    <mergeCell ref="I59:J59"/>
    <mergeCell ref="A60:AN60"/>
    <mergeCell ref="A7:A58"/>
  </mergeCells>
  <printOptions horizontalCentered="1"/>
  <pageMargins left="0" right="0" top="0.393700787401575" bottom="0.393700787401575" header="0" footer="0"/>
  <pageSetup paperSize="9" scale="21" fitToHeight="3" orientation="portrait" horizontalDpi="1200" verticalDpi="1200"/>
  <headerFooter alignWithMargins="0"/>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31"/>
  <sheetViews>
    <sheetView zoomScale="70" zoomScaleNormal="70" topLeftCell="L17" workbookViewId="0">
      <selection activeCell="P3" sqref="P3:P4"/>
    </sheetView>
  </sheetViews>
  <sheetFormatPr defaultColWidth="8.85833333333333" defaultRowHeight="14.25"/>
  <cols>
    <col min="1" max="1" width="18.7166666666667" style="2" customWidth="1"/>
    <col min="2" max="2" width="33.7" style="2" customWidth="1"/>
    <col min="3" max="3" width="16.1416666666667" style="2" customWidth="1"/>
    <col min="4" max="4" width="25" style="2" customWidth="1"/>
    <col min="5" max="5" width="34.2833333333333" style="2" customWidth="1"/>
    <col min="6" max="6" width="16.2833333333333" style="2" customWidth="1"/>
    <col min="7" max="7" width="24.1083333333333" style="2" customWidth="1"/>
    <col min="8" max="15" width="16.2833333333333" style="2" customWidth="1"/>
    <col min="16" max="16" width="15.3333333333333" style="2" customWidth="1"/>
    <col min="17" max="17" width="22.7166666666667" style="2" customWidth="1"/>
    <col min="18" max="19" width="14.325" style="2" customWidth="1"/>
    <col min="20" max="20" width="8.96666666666667" style="2"/>
    <col min="21" max="21" width="8.85833333333333" style="2"/>
    <col min="22" max="22" width="18" style="2" customWidth="1"/>
    <col min="23" max="23" width="12.8583333333333" style="2" customWidth="1"/>
    <col min="24" max="24" width="12" style="2"/>
    <col min="25" max="16376" width="8.85833333333333" style="2"/>
  </cols>
  <sheetData>
    <row r="1" s="1" customFormat="1" ht="36" customHeight="1" spans="1:23">
      <c r="A1" s="4"/>
      <c r="B1" s="5"/>
      <c r="C1" s="6"/>
      <c r="D1" s="7" t="s">
        <v>7869</v>
      </c>
      <c r="E1" s="7"/>
      <c r="F1" s="7"/>
      <c r="G1" s="7"/>
      <c r="H1" s="7"/>
      <c r="I1" s="7"/>
      <c r="J1" s="7"/>
      <c r="K1" s="7"/>
      <c r="L1" s="7"/>
      <c r="M1" s="7"/>
      <c r="N1" s="7"/>
      <c r="O1" s="7"/>
      <c r="P1" s="7"/>
      <c r="Q1" s="7"/>
      <c r="R1" s="7"/>
      <c r="S1" s="8"/>
      <c r="T1" s="9"/>
      <c r="U1" s="9"/>
      <c r="V1" s="9"/>
    </row>
    <row r="2" s="2" customFormat="1" ht="36" customHeight="1" spans="1:23">
      <c r="A2" s="10"/>
      <c r="B2" s="11"/>
      <c r="C2" s="12"/>
      <c r="D2" s="13"/>
      <c r="E2" s="14" t="s">
        <v>7870</v>
      </c>
      <c r="F2" s="15">
        <v>46027</v>
      </c>
      <c r="G2" s="15">
        <v>46030</v>
      </c>
      <c r="H2" s="15">
        <v>46036</v>
      </c>
      <c r="I2" s="15">
        <v>46056</v>
      </c>
      <c r="J2" s="15">
        <v>46091</v>
      </c>
      <c r="K2" s="15">
        <v>46097</v>
      </c>
      <c r="L2" s="15">
        <v>46142</v>
      </c>
      <c r="M2" s="15">
        <v>46170</v>
      </c>
      <c r="N2" s="15">
        <v>46191</v>
      </c>
      <c r="O2" s="15">
        <v>46217</v>
      </c>
      <c r="P2" s="15" t="s">
        <v>7871</v>
      </c>
      <c r="Q2" s="16"/>
      <c r="R2" s="17"/>
      <c r="S2" s="17"/>
    </row>
    <row r="3" s="2" customFormat="1" ht="36" customHeight="1" spans="1:23">
      <c r="A3" s="10"/>
      <c r="B3" s="11"/>
      <c r="C3" s="12"/>
      <c r="D3" s="13"/>
      <c r="E3" s="18" t="s">
        <v>7872</v>
      </c>
      <c r="F3" s="15">
        <v>46137</v>
      </c>
      <c r="G3" s="15">
        <v>46147</v>
      </c>
      <c r="H3" s="15">
        <v>46167</v>
      </c>
      <c r="I3" s="15">
        <v>46167</v>
      </c>
      <c r="J3" s="15">
        <v>46147</v>
      </c>
      <c r="K3" s="15">
        <v>46172</v>
      </c>
      <c r="L3" s="15">
        <v>46203</v>
      </c>
      <c r="M3" s="15">
        <v>46233</v>
      </c>
      <c r="N3" s="15">
        <v>46254</v>
      </c>
      <c r="O3" s="15">
        <v>46336</v>
      </c>
      <c r="P3" s="15">
        <v>46339</v>
      </c>
      <c r="Q3" s="16"/>
      <c r="R3" s="17"/>
      <c r="S3" s="17"/>
    </row>
    <row r="4" s="2" customFormat="1" ht="36" customHeight="1" spans="1:23">
      <c r="A4" s="10"/>
      <c r="B4" s="11"/>
      <c r="C4" s="19"/>
      <c r="D4" s="13"/>
      <c r="E4" s="14" t="s">
        <v>7873</v>
      </c>
      <c r="F4" s="20" t="s">
        <v>7758</v>
      </c>
      <c r="G4" s="20" t="s">
        <v>7759</v>
      </c>
      <c r="H4" s="15" t="s">
        <v>7760</v>
      </c>
      <c r="I4" s="20" t="s">
        <v>7761</v>
      </c>
      <c r="J4" s="20" t="s">
        <v>7762</v>
      </c>
      <c r="K4" s="20" t="s">
        <v>7763</v>
      </c>
      <c r="L4" s="20" t="s">
        <v>7764</v>
      </c>
      <c r="M4" s="20" t="s">
        <v>7765</v>
      </c>
      <c r="N4" s="20" t="s">
        <v>7766</v>
      </c>
      <c r="O4" s="20" t="s">
        <v>7767</v>
      </c>
      <c r="P4" s="15" t="s">
        <v>7768</v>
      </c>
      <c r="Q4" s="21" t="s">
        <v>7874</v>
      </c>
      <c r="R4" s="22" t="s">
        <v>7875</v>
      </c>
      <c r="S4" s="22" t="s">
        <v>20</v>
      </c>
    </row>
    <row r="5" s="2" customFormat="1" ht="36" customHeight="1" spans="1:23">
      <c r="A5" s="10"/>
      <c r="B5" s="11" t="s">
        <v>7876</v>
      </c>
      <c r="C5" s="23"/>
      <c r="D5" s="13"/>
      <c r="E5" s="14" t="s">
        <v>7877</v>
      </c>
      <c r="F5" s="20">
        <v>400000</v>
      </c>
      <c r="G5" s="20">
        <v>200000</v>
      </c>
      <c r="H5" s="20"/>
      <c r="I5" s="20">
        <v>500000</v>
      </c>
      <c r="J5" s="20">
        <v>900000</v>
      </c>
      <c r="K5" s="20">
        <v>800000</v>
      </c>
      <c r="L5" s="20">
        <v>400000</v>
      </c>
      <c r="M5" s="20">
        <v>1000000</v>
      </c>
      <c r="N5" s="20">
        <v>800000</v>
      </c>
      <c r="O5" s="20">
        <v>1000000</v>
      </c>
      <c r="P5" s="20">
        <v>600000</v>
      </c>
      <c r="Q5" s="21">
        <f>SUM(F5:P5)</f>
        <v>6600000</v>
      </c>
      <c r="R5" s="17">
        <f>'77794'!AE963</f>
        <v>4405954</v>
      </c>
      <c r="S5" s="17">
        <f>Q5-R5</f>
        <v>2194046</v>
      </c>
    </row>
    <row r="6" s="2" customFormat="1" ht="36" customHeight="1" spans="1:23">
      <c r="A6" s="10"/>
      <c r="B6" s="11"/>
      <c r="C6" s="11"/>
      <c r="D6" s="13"/>
      <c r="E6" s="18" t="s">
        <v>7874</v>
      </c>
      <c r="F6" s="20">
        <f t="shared" ref="F6:H6" si="0">SUM(F5:F5)</f>
        <v>400000</v>
      </c>
      <c r="G6" s="20">
        <f t="shared" si="0"/>
        <v>200000</v>
      </c>
      <c r="H6" s="20">
        <f t="shared" si="0"/>
        <v>0</v>
      </c>
      <c r="I6" s="20">
        <f t="shared" ref="I6:O6" si="1">SUM(I5:I5)</f>
        <v>500000</v>
      </c>
      <c r="J6" s="20">
        <f t="shared" si="1"/>
        <v>900000</v>
      </c>
      <c r="K6" s="20">
        <f t="shared" si="1"/>
        <v>800000</v>
      </c>
      <c r="L6" s="20">
        <f t="shared" si="1"/>
        <v>400000</v>
      </c>
      <c r="M6" s="20">
        <f t="shared" si="1"/>
        <v>1000000</v>
      </c>
      <c r="N6" s="20">
        <f t="shared" si="1"/>
        <v>800000</v>
      </c>
      <c r="O6" s="20">
        <v>1000000</v>
      </c>
      <c r="P6" s="20">
        <v>600000</v>
      </c>
      <c r="Q6" s="21">
        <f>SUM(Q5:Q5)</f>
        <v>6600000</v>
      </c>
      <c r="R6" s="21">
        <f>SUM(R5:R5)</f>
        <v>4405954</v>
      </c>
      <c r="S6" s="21">
        <f>SUM(S5:S5)</f>
        <v>2194046</v>
      </c>
    </row>
    <row r="7" s="2" customFormat="1" ht="15" customHeight="1" spans="1:23">
      <c r="A7" s="24" t="s">
        <v>7797</v>
      </c>
      <c r="B7" s="25" t="s">
        <v>7789</v>
      </c>
      <c r="C7" s="25" t="s">
        <v>7878</v>
      </c>
      <c r="D7" s="26" t="s">
        <v>7879</v>
      </c>
      <c r="E7" s="27" t="s">
        <v>7791</v>
      </c>
      <c r="F7" s="28"/>
      <c r="G7" s="28"/>
      <c r="H7" s="28"/>
      <c r="I7" s="28"/>
      <c r="J7" s="28"/>
      <c r="K7" s="28"/>
      <c r="L7" s="28"/>
      <c r="M7" s="28"/>
      <c r="N7" s="28"/>
      <c r="O7" s="28"/>
      <c r="P7" s="28"/>
      <c r="Q7" s="28"/>
      <c r="R7" s="25"/>
      <c r="S7" s="29"/>
    </row>
    <row r="8" s="3" customFormat="1" ht="27" customHeight="1" spans="1:23">
      <c r="A8" s="30"/>
      <c r="B8" s="31" t="s">
        <v>7880</v>
      </c>
      <c r="C8" s="32" t="s">
        <v>7881</v>
      </c>
      <c r="D8" s="33" t="s">
        <v>7882</v>
      </c>
      <c r="E8" s="34" t="s">
        <v>7820</v>
      </c>
      <c r="F8" s="35">
        <v>400000</v>
      </c>
      <c r="G8" s="35">
        <v>200000</v>
      </c>
      <c r="H8" s="35">
        <v>500000</v>
      </c>
      <c r="I8" s="35">
        <v>900000</v>
      </c>
      <c r="J8" s="35">
        <v>0</v>
      </c>
      <c r="K8" s="35">
        <v>800000</v>
      </c>
      <c r="L8" s="35">
        <v>400000</v>
      </c>
      <c r="M8" s="35">
        <v>1000000</v>
      </c>
      <c r="N8" s="35">
        <v>800000</v>
      </c>
      <c r="O8" s="35">
        <v>1000000</v>
      </c>
      <c r="P8" s="35">
        <v>600000</v>
      </c>
      <c r="Q8" s="36">
        <f>SUM(F8:P8)</f>
        <v>6600000</v>
      </c>
      <c r="R8" s="37" t="s">
        <v>7883</v>
      </c>
      <c r="S8" s="38"/>
      <c r="T8" s="39">
        <v>3</v>
      </c>
      <c r="U8" s="40"/>
      <c r="V8" s="41"/>
      <c r="W8" s="41"/>
    </row>
    <row r="9" s="3" customFormat="1" ht="27" customHeight="1" spans="1:23">
      <c r="A9" s="30"/>
      <c r="B9" s="31" t="s">
        <v>7884</v>
      </c>
      <c r="C9" s="32" t="s">
        <v>7884</v>
      </c>
      <c r="D9" s="33" t="s">
        <v>98</v>
      </c>
      <c r="E9" s="34" t="s">
        <v>7885</v>
      </c>
      <c r="F9" s="35">
        <v>410780</v>
      </c>
      <c r="G9" s="35">
        <v>205000</v>
      </c>
      <c r="H9" s="35">
        <v>0</v>
      </c>
      <c r="I9" s="35">
        <v>510000</v>
      </c>
      <c r="J9" s="35">
        <v>900000</v>
      </c>
      <c r="K9" s="35">
        <v>805000</v>
      </c>
      <c r="L9" s="35">
        <v>430000</v>
      </c>
      <c r="M9" s="35">
        <v>939220</v>
      </c>
      <c r="N9" s="35">
        <v>800000</v>
      </c>
      <c r="O9" s="35">
        <v>1000000</v>
      </c>
      <c r="P9" s="35">
        <v>600000</v>
      </c>
      <c r="Q9" s="36">
        <f>SUM(F9:P9)</f>
        <v>6600000</v>
      </c>
      <c r="R9" s="37" t="s">
        <v>7886</v>
      </c>
      <c r="S9" s="38"/>
      <c r="T9" s="39"/>
      <c r="U9" s="40"/>
      <c r="V9" s="41"/>
      <c r="W9" s="41"/>
    </row>
    <row r="10" s="1" customFormat="1" ht="23.1" customHeight="1" spans="1:23">
      <c r="A10" s="42"/>
      <c r="B10" s="43" t="s">
        <v>7865</v>
      </c>
      <c r="C10" s="44"/>
      <c r="D10" s="45"/>
      <c r="E10" s="44"/>
      <c r="F10" s="46">
        <f>SUM(F8:F9)</f>
        <v>810780</v>
      </c>
      <c r="G10" s="46"/>
      <c r="H10" s="46"/>
      <c r="I10" s="46"/>
      <c r="J10" s="46"/>
      <c r="K10" s="46"/>
      <c r="L10" s="46"/>
      <c r="M10" s="46"/>
      <c r="N10" s="46"/>
      <c r="O10" s="46"/>
      <c r="P10" s="46"/>
      <c r="Q10" s="47">
        <f>SUM(Q8:Q9)</f>
        <v>13200000</v>
      </c>
      <c r="R10" s="48"/>
      <c r="S10" s="43"/>
      <c r="T10" s="49"/>
      <c r="V10" s="50"/>
    </row>
    <row r="11" s="1" customFormat="1" ht="69.75" customHeight="1" spans="1:23">
      <c r="A11" s="51" t="s">
        <v>7887</v>
      </c>
      <c r="B11" s="52"/>
      <c r="C11" s="52"/>
      <c r="D11" s="52"/>
      <c r="E11" s="52"/>
      <c r="F11" s="53"/>
      <c r="G11" s="53"/>
      <c r="H11" s="53"/>
      <c r="I11" s="53"/>
      <c r="J11" s="53"/>
      <c r="K11" s="53"/>
      <c r="L11" s="53"/>
      <c r="M11" s="53"/>
      <c r="N11" s="53"/>
      <c r="O11" s="53"/>
      <c r="P11" s="53"/>
      <c r="Q11" s="53"/>
      <c r="R11" s="52"/>
      <c r="S11" s="52"/>
      <c r="T11" s="54"/>
      <c r="V11" s="50"/>
    </row>
    <row r="12" s="1" customFormat="1" ht="21.75" customHeight="1" spans="1:23">
      <c r="A12" s="55"/>
      <c r="B12" s="55"/>
      <c r="C12" s="56"/>
      <c r="D12" s="56"/>
      <c r="E12" s="57"/>
      <c r="F12" s="58"/>
      <c r="G12" s="58"/>
      <c r="H12" s="58"/>
      <c r="I12" s="58"/>
      <c r="J12" s="58"/>
      <c r="K12" s="58"/>
      <c r="L12" s="58"/>
      <c r="M12" s="58"/>
      <c r="N12" s="58"/>
      <c r="O12" s="58"/>
      <c r="P12" s="58"/>
      <c r="Q12" s="59"/>
      <c r="R12" s="58"/>
      <c r="S12" s="60"/>
      <c r="T12" s="61"/>
      <c r="U12" s="50"/>
      <c r="V12" s="50"/>
    </row>
    <row r="13" s="1" customFormat="1" ht="45" customHeight="1" spans="1:23">
      <c r="A13" s="62" t="s">
        <v>7888</v>
      </c>
      <c r="B13" s="63"/>
      <c r="C13" s="63"/>
      <c r="D13" s="63"/>
      <c r="E13" s="63"/>
      <c r="F13" s="63"/>
      <c r="G13" s="63"/>
      <c r="H13" s="64"/>
      <c r="I13" s="65"/>
      <c r="J13" s="59"/>
      <c r="K13" s="59"/>
      <c r="L13" s="59"/>
      <c r="M13" s="59"/>
      <c r="N13" s="59"/>
      <c r="O13" s="59"/>
      <c r="Q13" s="66"/>
      <c r="R13" s="61"/>
      <c r="S13" s="61"/>
      <c r="T13" s="61"/>
      <c r="U13" s="67"/>
      <c r="V13" s="67"/>
    </row>
    <row r="14" s="1" customFormat="1" ht="21" customHeight="1" spans="1:23">
      <c r="A14" s="68" t="s">
        <v>7889</v>
      </c>
      <c r="B14" s="69" t="s">
        <v>7890</v>
      </c>
      <c r="C14" s="69" t="s">
        <v>7891</v>
      </c>
      <c r="D14" s="69" t="s">
        <v>7475</v>
      </c>
      <c r="E14" s="70" t="s">
        <v>7480</v>
      </c>
      <c r="F14" s="70" t="s">
        <v>7892</v>
      </c>
      <c r="G14" s="71" t="s">
        <v>7893</v>
      </c>
      <c r="H14" s="72" t="s">
        <v>28</v>
      </c>
      <c r="I14" s="73"/>
      <c r="J14" s="59"/>
      <c r="K14" s="74" t="s">
        <v>7894</v>
      </c>
      <c r="L14" s="74" t="s">
        <v>7895</v>
      </c>
      <c r="M14" s="59"/>
      <c r="N14" s="59"/>
      <c r="O14" s="59"/>
      <c r="Q14" s="75"/>
      <c r="R14" s="75"/>
      <c r="S14" s="67"/>
      <c r="T14" s="67"/>
    </row>
    <row r="15" s="1" customFormat="1" ht="30" spans="1:23">
      <c r="A15" s="76">
        <v>45989</v>
      </c>
      <c r="B15" s="77" t="s">
        <v>7896</v>
      </c>
      <c r="C15" s="77">
        <v>77794</v>
      </c>
      <c r="D15" s="77" t="s">
        <v>7897</v>
      </c>
      <c r="E15" s="77">
        <v>390000</v>
      </c>
      <c r="F15" s="78">
        <v>46024</v>
      </c>
      <c r="G15" s="79" t="s">
        <v>7898</v>
      </c>
      <c r="H15" s="80" t="s">
        <v>7899</v>
      </c>
      <c r="I15" s="81" t="s">
        <v>7900</v>
      </c>
      <c r="J15" s="59"/>
      <c r="K15" s="82">
        <f>1.06+0.6+1.5+0.35</f>
        <v>3.51</v>
      </c>
      <c r="L15" s="59"/>
      <c r="M15" s="59"/>
      <c r="N15" s="59"/>
      <c r="O15" s="59"/>
      <c r="Q15" s="75"/>
      <c r="R15" s="75"/>
      <c r="S15" s="67"/>
      <c r="T15" s="67"/>
    </row>
    <row r="16" s="1" customFormat="1" ht="30" spans="1:23">
      <c r="A16" s="76">
        <v>46017</v>
      </c>
      <c r="B16" s="77" t="s">
        <v>7901</v>
      </c>
      <c r="C16" s="77">
        <v>77794</v>
      </c>
      <c r="D16" s="77" t="s">
        <v>7897</v>
      </c>
      <c r="E16" s="77">
        <v>60000</v>
      </c>
      <c r="F16" s="78">
        <v>46032</v>
      </c>
      <c r="G16" s="79" t="s">
        <v>7898</v>
      </c>
      <c r="H16" s="80" t="s">
        <v>7899</v>
      </c>
      <c r="I16" s="81" t="s">
        <v>7900</v>
      </c>
      <c r="J16" s="59"/>
      <c r="K16" s="59"/>
      <c r="L16" s="59"/>
      <c r="M16" s="59"/>
      <c r="N16" s="59"/>
      <c r="O16" s="59"/>
      <c r="Q16" s="75"/>
      <c r="R16" s="75"/>
      <c r="S16" s="67"/>
      <c r="T16" s="67"/>
    </row>
    <row r="17" s="1" customFormat="1" ht="30" spans="1:20">
      <c r="A17" s="76">
        <v>46030</v>
      </c>
      <c r="B17" s="77" t="s">
        <v>7902</v>
      </c>
      <c r="C17" s="77">
        <v>77794</v>
      </c>
      <c r="D17" s="77" t="s">
        <v>7897</v>
      </c>
      <c r="E17" s="77">
        <v>150000</v>
      </c>
      <c r="F17" s="78">
        <v>46096</v>
      </c>
      <c r="G17" s="79" t="s">
        <v>7898</v>
      </c>
      <c r="H17" s="80" t="s">
        <v>7899</v>
      </c>
      <c r="I17" s="81" t="s">
        <v>7903</v>
      </c>
      <c r="J17" s="74" t="s">
        <v>7904</v>
      </c>
      <c r="K17" s="82">
        <f>1.06+0.6+1.95+0.35</f>
        <v>3.96</v>
      </c>
      <c r="L17" s="83">
        <f>K17-K15</f>
        <v>0.45</v>
      </c>
      <c r="M17" s="59"/>
      <c r="N17" s="59"/>
      <c r="O17" s="59"/>
      <c r="Q17" s="75"/>
      <c r="R17" s="75"/>
      <c r="S17" s="67"/>
      <c r="T17" s="67"/>
    </row>
    <row r="18" s="1" customFormat="1" ht="30" spans="1:20">
      <c r="A18" s="76">
        <v>46036</v>
      </c>
      <c r="B18" s="77" t="s">
        <v>7905</v>
      </c>
      <c r="C18" s="77">
        <v>77794</v>
      </c>
      <c r="D18" s="77" t="s">
        <v>7897</v>
      </c>
      <c r="E18" s="77">
        <v>500000</v>
      </c>
      <c r="F18" s="78">
        <v>46106</v>
      </c>
      <c r="G18" s="79" t="s">
        <v>7898</v>
      </c>
      <c r="H18" s="80" t="s">
        <v>7899</v>
      </c>
      <c r="I18" s="81" t="s">
        <v>7903</v>
      </c>
      <c r="J18" s="59"/>
      <c r="K18" s="59"/>
      <c r="L18" s="59"/>
      <c r="M18" s="59"/>
      <c r="N18" s="59"/>
      <c r="O18" s="59"/>
      <c r="Q18" s="75"/>
      <c r="R18" s="75"/>
      <c r="S18" s="67"/>
      <c r="T18" s="67"/>
    </row>
    <row r="19" s="1" customFormat="1" ht="30" spans="1:20">
      <c r="A19" s="76">
        <v>46056</v>
      </c>
      <c r="B19" s="77" t="s">
        <v>7906</v>
      </c>
      <c r="C19" s="77">
        <v>77794</v>
      </c>
      <c r="D19" s="77" t="s">
        <v>7897</v>
      </c>
      <c r="E19" s="77">
        <v>900000</v>
      </c>
      <c r="F19" s="78">
        <v>46106</v>
      </c>
      <c r="G19" s="79" t="s">
        <v>7898</v>
      </c>
      <c r="H19" s="80" t="s">
        <v>7899</v>
      </c>
      <c r="I19" s="81" t="s">
        <v>7907</v>
      </c>
      <c r="J19" s="74" t="s">
        <v>7908</v>
      </c>
      <c r="K19" s="82">
        <f>1.06+0.6+2.36+0.35</f>
        <v>4.37</v>
      </c>
      <c r="L19" s="83">
        <f>K19-K17</f>
        <v>0.409999999999999</v>
      </c>
      <c r="M19" s="59"/>
      <c r="N19" s="59"/>
      <c r="O19" s="59"/>
      <c r="Q19" s="75"/>
      <c r="R19" s="75"/>
      <c r="S19" s="67"/>
      <c r="T19" s="67"/>
    </row>
    <row r="20" s="1" customFormat="1" ht="30" spans="1:20">
      <c r="A20" s="76">
        <v>46085</v>
      </c>
      <c r="B20" s="77" t="s">
        <v>7909</v>
      </c>
      <c r="C20" s="77">
        <v>77794</v>
      </c>
      <c r="D20" s="77" t="s">
        <v>7897</v>
      </c>
      <c r="E20" s="77">
        <v>500000</v>
      </c>
      <c r="F20" s="78">
        <v>46110</v>
      </c>
      <c r="G20" s="79" t="s">
        <v>7898</v>
      </c>
      <c r="H20" s="80" t="s">
        <v>7899</v>
      </c>
      <c r="I20" s="81" t="s">
        <v>7907</v>
      </c>
      <c r="J20" s="59"/>
      <c r="K20" s="59"/>
      <c r="L20" s="59"/>
      <c r="M20" s="59"/>
      <c r="N20" s="59"/>
      <c r="O20" s="59"/>
      <c r="Q20" s="75"/>
      <c r="R20" s="75"/>
      <c r="S20" s="67"/>
      <c r="T20" s="67"/>
    </row>
    <row r="21" s="2" customFormat="1" ht="30" spans="1:20">
      <c r="A21" s="84">
        <v>46097</v>
      </c>
      <c r="B21" s="85" t="s">
        <v>7910</v>
      </c>
      <c r="C21" s="85">
        <v>77794</v>
      </c>
      <c r="D21" s="85" t="s">
        <v>7897</v>
      </c>
      <c r="E21" s="85">
        <v>1000000</v>
      </c>
      <c r="F21" s="86">
        <v>46122</v>
      </c>
      <c r="G21" s="86" t="s">
        <v>7911</v>
      </c>
      <c r="H21" s="87" t="s">
        <v>7912</v>
      </c>
      <c r="I21" s="81" t="s">
        <v>7907</v>
      </c>
      <c r="J21" s="59"/>
      <c r="K21" s="59"/>
      <c r="L21" s="59"/>
      <c r="M21" s="59"/>
      <c r="N21" s="59"/>
      <c r="O21" s="59"/>
      <c r="Q21" s="75"/>
      <c r="R21" s="75"/>
      <c r="S21" s="67"/>
      <c r="T21" s="67"/>
    </row>
    <row r="22" s="1" customFormat="1" ht="30" spans="1:20">
      <c r="A22" s="84">
        <v>46128</v>
      </c>
      <c r="B22" s="85" t="s">
        <v>7913</v>
      </c>
      <c r="C22" s="85">
        <v>77794</v>
      </c>
      <c r="D22" s="85" t="s">
        <v>7897</v>
      </c>
      <c r="E22" s="85">
        <v>360000</v>
      </c>
      <c r="F22" s="86">
        <v>46153</v>
      </c>
      <c r="G22" s="86" t="s">
        <v>7914</v>
      </c>
      <c r="H22" s="87" t="s">
        <v>7912</v>
      </c>
      <c r="I22" s="81" t="s">
        <v>7907</v>
      </c>
      <c r="J22" s="59"/>
      <c r="K22" s="59"/>
      <c r="L22" s="59"/>
      <c r="M22" s="59"/>
      <c r="N22" s="59"/>
      <c r="O22" s="59"/>
      <c r="Q22" s="75"/>
      <c r="R22" s="75"/>
      <c r="S22" s="67"/>
      <c r="T22" s="67"/>
    </row>
    <row r="23" s="1" customFormat="1" ht="30" spans="1:20">
      <c r="A23" s="84">
        <v>46157</v>
      </c>
      <c r="B23" s="85" t="s">
        <v>7915</v>
      </c>
      <c r="C23" s="85">
        <v>77794</v>
      </c>
      <c r="D23" s="85" t="s">
        <v>7897</v>
      </c>
      <c r="E23" s="85">
        <v>150000</v>
      </c>
      <c r="F23" s="86">
        <v>46182</v>
      </c>
      <c r="G23" s="86" t="s">
        <v>7914</v>
      </c>
      <c r="H23" s="87" t="s">
        <v>7912</v>
      </c>
      <c r="I23" s="81" t="s">
        <v>7907</v>
      </c>
      <c r="J23" s="74" t="s">
        <v>7916</v>
      </c>
      <c r="K23" s="82">
        <f>1.06+0.6+2.36+0.35</f>
        <v>4.37</v>
      </c>
      <c r="L23" s="59"/>
      <c r="M23" s="59"/>
      <c r="N23" s="59"/>
      <c r="O23" s="59"/>
      <c r="Q23" s="75"/>
      <c r="R23" s="75"/>
      <c r="S23" s="67"/>
      <c r="T23" s="67"/>
    </row>
    <row r="24" s="1" customFormat="1" ht="30" spans="1:20">
      <c r="A24" s="76">
        <v>46170</v>
      </c>
      <c r="B24" s="77" t="s">
        <v>7917</v>
      </c>
      <c r="C24" s="77">
        <v>77794</v>
      </c>
      <c r="D24" s="77" t="s">
        <v>7897</v>
      </c>
      <c r="E24" s="77">
        <v>660000</v>
      </c>
      <c r="F24" s="78">
        <v>46200</v>
      </c>
      <c r="G24" s="78"/>
      <c r="H24" s="80" t="s">
        <v>7899</v>
      </c>
      <c r="I24" s="81" t="s">
        <v>7907</v>
      </c>
      <c r="J24" s="74" t="s">
        <v>7918</v>
      </c>
      <c r="K24" s="82">
        <f>1.1+0.69+2.36+0.35</f>
        <v>4.5</v>
      </c>
      <c r="L24" s="83">
        <f>K24-K23</f>
        <v>0.130000000000001</v>
      </c>
      <c r="M24" s="59"/>
      <c r="N24" s="59"/>
      <c r="O24" s="59"/>
      <c r="Q24" s="75"/>
      <c r="R24" s="75"/>
      <c r="S24" s="67"/>
      <c r="T24" s="67"/>
    </row>
    <row r="25" s="1" customFormat="1" ht="30" spans="1:20">
      <c r="A25" s="76">
        <v>46188</v>
      </c>
      <c r="B25" s="77" t="s">
        <v>7919</v>
      </c>
      <c r="C25" s="77">
        <v>77794</v>
      </c>
      <c r="D25" s="77" t="s">
        <v>7897</v>
      </c>
      <c r="E25" s="77">
        <v>600000</v>
      </c>
      <c r="F25" s="78">
        <v>46218</v>
      </c>
      <c r="G25" s="78"/>
      <c r="H25" s="80" t="s">
        <v>7899</v>
      </c>
      <c r="I25" s="65"/>
      <c r="J25" s="74" t="s">
        <v>7918</v>
      </c>
      <c r="K25" s="82">
        <f>1.1+0.69+2.36+0.35</f>
        <v>4.5</v>
      </c>
      <c r="L25" s="83">
        <f>K25-K24</f>
        <v>0</v>
      </c>
      <c r="M25" s="59"/>
      <c r="N25" s="59"/>
      <c r="O25" s="59"/>
      <c r="Q25" s="75"/>
      <c r="R25" s="75"/>
      <c r="S25" s="67"/>
      <c r="T25" s="67"/>
    </row>
    <row r="26" s="1" customFormat="1" ht="31.5" customHeight="1" spans="1:20">
      <c r="A26" s="76">
        <v>46189</v>
      </c>
      <c r="B26" s="77" t="s">
        <v>7920</v>
      </c>
      <c r="C26" s="77">
        <v>77794</v>
      </c>
      <c r="D26" s="77" t="s">
        <v>7897</v>
      </c>
      <c r="E26" s="77">
        <v>1200000</v>
      </c>
      <c r="F26" s="78">
        <v>46220</v>
      </c>
      <c r="G26" s="78"/>
      <c r="H26" s="80" t="s">
        <v>7899</v>
      </c>
      <c r="I26" s="65"/>
      <c r="J26" s="74" t="s">
        <v>7918</v>
      </c>
      <c r="K26" s="59"/>
      <c r="L26" s="59"/>
      <c r="M26" s="59"/>
      <c r="N26" s="59"/>
      <c r="O26" s="59"/>
      <c r="Q26" s="75"/>
      <c r="R26" s="75"/>
      <c r="S26" s="67"/>
      <c r="T26" s="67"/>
    </row>
    <row r="27" s="1" customFormat="1" ht="31.5" customHeight="1" spans="1:20">
      <c r="A27" s="76">
        <v>46202</v>
      </c>
      <c r="B27" s="77" t="s">
        <v>7921</v>
      </c>
      <c r="C27" s="77">
        <v>77794</v>
      </c>
      <c r="D27" s="77" t="s">
        <v>7897</v>
      </c>
      <c r="E27" s="77">
        <v>3621719</v>
      </c>
      <c r="F27" s="78">
        <v>46232</v>
      </c>
      <c r="G27" s="78"/>
      <c r="H27" s="80" t="s">
        <v>7899</v>
      </c>
      <c r="I27" s="65"/>
      <c r="J27" s="74" t="s">
        <v>7918</v>
      </c>
      <c r="K27" s="59"/>
      <c r="L27" s="59"/>
      <c r="M27" s="59"/>
      <c r="N27" s="59"/>
      <c r="O27" s="59"/>
      <c r="Q27" s="75"/>
      <c r="R27" s="75"/>
      <c r="S27" s="67"/>
      <c r="T27" s="67"/>
    </row>
    <row r="28" s="1" customFormat="1" ht="30" spans="1:20">
      <c r="A28" s="88">
        <v>46205</v>
      </c>
      <c r="B28" s="89" t="s">
        <v>7922</v>
      </c>
      <c r="C28" s="90">
        <v>77794</v>
      </c>
      <c r="D28" s="90" t="s">
        <v>7897</v>
      </c>
      <c r="E28" s="90">
        <v>1310400</v>
      </c>
      <c r="F28" s="88">
        <v>46235</v>
      </c>
      <c r="G28" s="88"/>
      <c r="H28" s="80" t="s">
        <v>7899</v>
      </c>
      <c r="I28" s="65"/>
      <c r="J28" s="74" t="s">
        <v>7918</v>
      </c>
      <c r="K28" s="59"/>
      <c r="L28" s="59"/>
      <c r="M28" s="59"/>
      <c r="N28" s="59"/>
      <c r="O28" s="59"/>
      <c r="Q28" s="75"/>
      <c r="R28" s="75"/>
      <c r="S28" s="67"/>
      <c r="T28" s="67"/>
    </row>
    <row r="29" s="1" customFormat="1" ht="21" customHeight="1" spans="1:20">
      <c r="A29" s="76"/>
      <c r="B29" s="77"/>
      <c r="C29" s="77"/>
      <c r="D29" s="91"/>
      <c r="E29" s="77"/>
      <c r="F29" s="77"/>
      <c r="G29" s="77"/>
      <c r="H29" s="92"/>
      <c r="J29" s="59"/>
      <c r="K29" s="59"/>
      <c r="L29" s="59"/>
      <c r="M29" s="59"/>
      <c r="N29" s="59"/>
      <c r="O29" s="59"/>
      <c r="Q29" s="75"/>
      <c r="R29" s="75"/>
      <c r="S29" s="67"/>
      <c r="T29" s="67"/>
    </row>
    <row r="30" s="1" customFormat="1" ht="21" customHeight="1" spans="1:20">
      <c r="A30" s="93"/>
      <c r="B30" s="77"/>
      <c r="C30" s="77"/>
      <c r="D30" s="91" t="s">
        <v>7874</v>
      </c>
      <c r="E30" s="77">
        <f>SUM(E15:E29)</f>
        <v>11402119</v>
      </c>
      <c r="F30" s="77"/>
      <c r="G30" s="77"/>
      <c r="H30" s="92"/>
      <c r="J30" s="59"/>
      <c r="K30" s="59"/>
      <c r="L30" s="59"/>
      <c r="M30" s="59"/>
      <c r="N30" s="59"/>
      <c r="O30" s="59"/>
      <c r="Q30" s="75"/>
      <c r="R30" s="75"/>
      <c r="S30" s="67"/>
      <c r="T30" s="67"/>
    </row>
    <row r="31" s="1" customFormat="1" ht="21" customHeight="1" spans="1:20">
      <c r="A31" s="94"/>
      <c r="B31" s="95"/>
      <c r="C31" s="95"/>
      <c r="D31" s="96" t="s">
        <v>7923</v>
      </c>
      <c r="E31" s="95">
        <f>E30-Q6</f>
        <v>4802119</v>
      </c>
      <c r="F31" s="95"/>
      <c r="G31" s="95"/>
      <c r="H31" s="97"/>
      <c r="J31" s="59"/>
      <c r="K31" s="59"/>
      <c r="L31" s="59"/>
      <c r="M31" s="59"/>
      <c r="N31" s="59"/>
      <c r="O31" s="59"/>
      <c r="Q31" s="75"/>
      <c r="R31" s="75"/>
      <c r="S31" s="67"/>
      <c r="T31" s="67"/>
    </row>
  </sheetData>
  <sheetProtection formatCells="0" formatColumns="0" formatRows="0" insertRows="0" insertColumns="0" insertHyperlinks="0" deleteColumns="0" deleteRows="0" sort="0" autoFilter="0" pivotTables="0"/>
  <mergeCells count="6">
    <mergeCell ref="D1:S1"/>
    <mergeCell ref="R8:S8"/>
    <mergeCell ref="R9:S9"/>
    <mergeCell ref="A11:T11"/>
    <mergeCell ref="A13:H13"/>
    <mergeCell ref="A8:A9"/>
  </mergeCells>
  <pageMargins left="0.75" right="0.75" top="1" bottom="1" header="0.5" footer="0.5"/>
  <pageSetup paperSize="9" orientation="portrait"/>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sheetProtection formatCells="0" formatColumns="0" formatRows="0" insertRows="0" insertColumns="0" insertHyperlinks="0" deleteColumns="0" deleteRows="0" sort="0" autoFilter="0" pivotTables="0"/>
  <pageMargins left="0.75" right="0.75" top="1" bottom="1" header="0.5" footer="0.5"/>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allowEditUser xmlns="https://web.wps.cn/et/2018/main" xmlns:s="http://schemas.openxmlformats.org/spreadsheetml/2006/main" hasInvisiblePropRange="0">
  <rangeList sheetStid="23" master="" otherUserPermission="edit">
    <arrUserId title="Range1" rangeCreator="" othersAccessPermission="edit">
      <userID accessPermission="edit">1475153551</userID>
      <userID accessPermission="edit">1715258932</userID>
      <userID accessPermission="edit">1851561945</userID>
      <userID accessPermission="edit">1850010794</userID>
    </arrUserId>
    <arrUserId title="Range2" rangeCreator="" othersAccessPermission="visible">
      <userID accessPermission="edit">1475153551</userID>
      <userID accessPermission="edit">1474709007</userID>
      <userID accessPermission="edit">1474966847</userID>
      <userID accessPermission="edit">1765212680</userID>
      <userID accessPermission="edit">1853477080</userID>
    </arrUserId>
  </rangeList>
  <rangeList sheetStid="26" master="" otherUserPermission="edit">
    <arrUserId title="Range1" rangeCreator="" othersAccessPermission="edit">
      <userID accessPermission="edit">1475153551</userID>
      <userID accessPermission="edit">1715258932</userID>
      <userID accessPermission="edit">1851561945</userID>
      <userID accessPermission="edit">1850010794</userID>
    </arrUserId>
    <arrUserId title="Range2" rangeCreator="" othersAccessPermission="visible">
      <userID accessPermission="edit">1475153551</userID>
      <userID accessPermission="edit">1474709007</userID>
      <userID accessPermission="edit">1765212680</userID>
      <userID accessPermission="edit">1474966847</userID>
      <userID accessPermission="edit">1853477080</userID>
    </arrUserId>
  </rangeList>
  <rangeList sheetStid="15" master="" otherUserPermission="visible"/>
  <rangeList sheetStid="30" master="" otherUserPermission="visible"/>
  <rangeList sheetStid="24" master="" otherUserPermission="visible"/>
  <rangeList sheetStid="29" master="" otherUserPermission="visible"/>
  <rangeList sheetStid="18" master="" otherUserPermission="visible"/>
</allowEditUser>
</file>

<file path=customXml/item2.xml><?xml version="1.0" encoding="utf-8"?>
<comments xmlns="https://web.wps.cn/et/2018/main" xmlns:s="http://schemas.openxmlformats.org/spreadsheetml/2006/main" xmlns:r="http://schemas.openxmlformats.org/officeDocument/2006/relationships">
  <commentList sheetStid="23">
    <commentChains s:ref="V3" rgbClr="FF0000">
      <unresolved>
        <commentChain chainId="c3c7dec26d19de97adb2cb1f9dd4347b2d52bee1">
          <item id="557e85f38b4505f3cc8cfb415e4385e6bdf674bc" isNormal="1">
            <s:text>
              <s:r>
                <s:t xml:space="preserve">Administrator:
1/19 上UPC贴纸 100pcs</s:t>
              </s:r>
            </s:text>
          </item>
        </commentChain>
      </unresolved>
      <resolved/>
    </commentChains>
    <commentChains s:ref="T4" rgbClr="FF0000">
      <unresolved>
        <commentChain chainId="7c08fcdcd7a29e4e3d99f38ee39de655f097132a">
          <item id="ed1ac2d35c89e0aa2583e9bec70da82e3e5495fa" isNormal="1">
            <s:text>
              <s:r>
                <s:t xml:space="preserve">Administrator:
1405310 3/10 9500pcs B栋4楼A3区
1405314 3/11 18000pcs B栋4楼A3区1405462 3/11 21250pcs B栋4楼A3区</s:t>
              </s:r>
            </s:text>
          </item>
        </commentChain>
      </unresolved>
      <resolved/>
    </commentChains>
    <commentChains s:ref="V4" rgbClr="FF0000">
      <unresolved>
        <commentChain chainId="e608c57dc63970ca69adf647d7da2932196051d9">
          <item id="5ab31f06a784be683fb1bb74387f8cb152835bd2" isNormal="1">
            <s:text>
              <s:r>
                <s:t xml:space="preserve">Administrator:
1/26 上客供外箱条码贴纸 1970pcs
1/26 上EVENT LABEL 1950pcs</s:t>
              </s:r>
            </s:text>
          </item>
        </commentChain>
      </unresolved>
      <resolved/>
    </commentChains>
    <commentChains s:ref="T6" rgbClr="FF0000">
      <unresolved>
        <commentChain chainId="6d4fdcc23c11377cf7b362e4bcacdc42a8cb4b6e">
          <item id="80fdb90cdcf215d2292a56cf8de2b12ff7aa2e53" isNormal="1">
            <s:text>
              <s:r>
                <s:t xml:space="preserve">Administrator:
3/19 1405245 28875pcs
3/19 1405248 61500pcs
3/19 1405246 70875pcs</s:t>
              </s:r>
            </s:text>
          </item>
        </commentChain>
      </unresolved>
      <resolved/>
    </commentChains>
    <commentChains s:ref="V6" rgbClr="FF0000">
      <unresolved>
        <commentChain chainId="198b05665369f4372e255ddfb9603124a2d55464">
          <item id="afea0251f1e76f445a2d7c61c08ad99e3e8374af" isNormal="1">
            <s:text>
              <s:r>
                <s:t xml:space="preserve">Administrator:
1/26 上客供外箱条码贴纸 6515pcs</s:t>
              </s:r>
            </s:text>
          </item>
        </commentChain>
      </unresolved>
      <resolved/>
    </commentChains>
    <commentChains s:ref="T7" rgbClr="FF0000">
      <unresolved>
        <commentChain chainId="fae295f35c0140694e2334364c8e4d0ef2af589b">
          <item id="cd311aee9d83a8bf0bc3a3f8d4de644e4b5e6526" isNormal="1">
            <s:text>
              <s:r>
                <s:t xml:space="preserve">Administrator:
3/19 1405240 10000pcsB栋4楼B7区</s:t>
              </s:r>
            </s:text>
          </item>
        </commentChain>
      </unresolved>
      <resolved/>
    </commentChains>
    <commentChains s:ref="T8" rgbClr="FF0000">
      <unresolved>
        <commentChain chainId="5affee590af2c9a5ef9b036ff51365c90c121e34">
          <item id="81f3d2d114d76c028565386915d25d899aecb4a6" isNormal="1">
            <s:text>
              <s:r>
                <s:t xml:space="preserve">Administrator:
3/17 东莞生产，3/18走空运</s:t>
              </s:r>
            </s:text>
          </item>
        </commentChain>
      </unresolved>
      <resolved/>
    </commentChains>
    <commentChains s:ref="V8" rgbClr="FF0000">
      <unresolved>
        <commentChain chainId="3444ebb3c3121d1749d1a364c611aeec6777c867">
          <item id="44f3b2626eade52ceb759c090fe36f2401f845d5" isNormal="1">
            <s:text>
              <s:r>
                <s:t xml:space="preserve">Administrator:
3/6 上UPC贴纸 100pcs</s:t>
              </s:r>
            </s:text>
          </item>
        </commentChain>
      </unresolved>
      <resolved/>
    </commentChains>
    <commentChains s:ref="T9" rgbClr="FF0000">
      <unresolved>
        <commentChain chainId="f330667c5084e58318ce9d42dc30bff7a985f40c">
          <item id="a12c14c6a3768747aed4cedd8aa90be7bf5d9f05" isNormal="1">
            <s:text>
              <s:r>
                <s:t xml:space="preserve">Administrator:
3/19  1406106 
组合1 2417pcs
组合2 4992pcs
组合3 4989pcs
组合4 2502PCS
组合5 2496pcs
组合6 2497pcs
组合7 2499pcs
组合10 2292pcs
组合11 3413pcs
组合12 943pcs
吸塑640pcs</s:t>
              </s:r>
            </s:text>
          </item>
        </commentChain>
      </unresolved>
      <resolved/>
    </commentChains>
    <commentChains s:ref="T10" rgbClr="FF0000">
      <unresolved>
        <commentChain chainId="198339a4ac0b900f6c56e2801f1baaa3538c8260">
          <item id="76b89c16b94024ed048105805ff28f586bd73e61" isNormal="1">
            <s:text>
              <s:r>
                <s:t xml:space="preserve">Administrator:
3/19  1406106 
组合1 2417pcs
组合2 4992pcs
组合3 4989pcs
组合4 2502PCS
组合5 2496pcs
组合6 2497pcs
组合7 2499pcs
组合10 2292pcs
组合11 3413pcs
组合12 943pcs
吸塑640pcs</s:t>
              </s:r>
            </s:text>
          </item>
        </commentChain>
      </unresolved>
      <resolved/>
    </commentChains>
    <commentChains s:ref="T11" rgbClr="FF0000">
      <unresolved>
        <commentChain chainId="e628db459a9246d122f3a4ba9bc2a2d5e5a5cae5">
          <item id="a9f4c2f39011c0527dd2166bffd1e9fed605d9e5" isNormal="1">
            <s:text>
              <s:r>
                <s:t xml:space="preserve">Administrator:
3/19 1405240 1400pcsB栋4楼A8区
</s:t>
              </s:r>
            </s:text>
          </item>
        </commentChain>
      </unresolved>
      <resolved/>
    </commentChains>
    <commentChains s:ref="T12" rgbClr="FF0000">
      <unresolved>
        <commentChain chainId="3021d31b9686e0f018ebb287533c7e1bca25977e">
          <item id="f0c61e3b32b802b3d753ad33251a986462d020f8" isNormal="1">
            <s:text>
              <s:r>
                <s:t xml:space="preserve">Administrator:
3/19 1405240 600pcsB栋4楼B9区
</s:t>
              </s:r>
            </s:text>
          </item>
        </commentChain>
      </unresolved>
      <resolved/>
    </commentChains>
    <commentChains s:ref="T13" rgbClr="FF0000">
      <unresolved>
        <commentChain chainId="3893db9e14027a03c7e24c8f883bc1b93ca56435">
          <item id="de9c6a64403f0f68d39a1c2ac1c2245a7f6890fc" isNormal="1">
            <s:text>
              <s:r>
                <s:t xml:space="preserve">Administrator:
3/19  1406106 
组合1 2417pcs
组合2 4992pcs
组合3 4989pcs
组合4 2502PCS
组合5 2496pcs
组合6 2497pcs
组合7 2499pcs
组合10 2292pcs
组合11 3413pcs
组合12 943pcs
吸塑640pcs</s:t>
              </s:r>
            </s:text>
          </item>
        </commentChain>
      </unresolved>
      <resolved/>
    </commentChains>
    <commentChains s:ref="T14" rgbClr="FF0000">
      <unresolved>
        <commentChain chainId="7d566029f1bd7d1cef00c05841d5971993a7772e">
          <item id="14bb3cc5b167b7c7a8aeb2425761ac6ab3c24971" isNormal="1">
            <s:text>
              <s:r>
                <s:t xml:space="preserve">Administrator:
3/19 1405240 1700pcs B栋4楼A8区</s:t>
              </s:r>
            </s:text>
          </item>
        </commentChain>
      </unresolved>
      <resolved/>
    </commentChains>
    <commentChains s:ref="T15" rgbClr="FF0000">
      <unresolved>
        <commentChain chainId="912a71373f54d9da6a50ad512bd4be38877960c0">
          <item id="4360477cdc6b55329fe948101b32f419b0f5ba73" isNormal="1">
            <s:text>
              <s:r>
                <s:t xml:space="preserve">Administrator:
3/19 1405240 1300pcs B栋4楼B9区</s:t>
              </s:r>
            </s:text>
          </item>
        </commentChain>
      </unresolved>
      <resolved/>
    </commentChains>
    <commentChains s:ref="T16" rgbClr="FF0000">
      <unresolved>
        <commentChain chainId="49929421771cd375dd258b3f3179afd6b01d0689">
          <item id="61529b454fa39470f84862bb3d2eb6b7d1617a79" isNormal="1">
            <s:text>
              <s:r>
                <s:t xml:space="preserve">Administrator:
3/19  1406106 
组合1 2417pcs
组合2 4992pcs
组合3 4989pcs
组合4 2502PCS
组合5 2496pcs
组合6 2497pcs
组合7 2499pcs
组合10 2292pcs
组合11 3413pcs
组合12 943pcs
吸塑640pcs</s:t>
              </s:r>
            </s:text>
          </item>
        </commentChain>
      </unresolved>
      <resolved/>
    </commentChains>
    <commentChains s:ref="T17" rgbClr="FF0000">
      <unresolved>
        <commentChain chainId="7c7dc1c8df879bb7f2dc78dab55a4e6244c2f4d0">
          <item id="19556c4f6ca3bb0f034fd2757e4392c8f84127ef" isNormal="1">
            <s:text>
              <s:r>
                <s:t xml:space="preserve">Administrator:
3/19  1406106 
组合1 2417pcs
组合2 4992pcs
组合3 4989pcs
组合4 2502PCS
组合5 2496pcs
组合6 2497pcs
组合7 2499pcs
组合10 2292pcs
组合11 3413pcs
组合12 943pcs
吸塑640pcs</s:t>
              </s:r>
            </s:text>
          </item>
        </commentChain>
      </unresolved>
      <resolved/>
    </commentChains>
    <commentChains s:ref="T18" rgbClr="FF0000">
      <unresolved>
        <commentChain chainId="604669c930b5123cb476800878c108a753711b63">
          <item id="640edb8cd40e8df170e85cb2e2f5e218287e30d6" isNormal="1">
            <s:text>
              <s:r>
                <s:t xml:space="preserve">Administrator:
3/25 1405224 936pcs华兴3楼B14</s:t>
              </s:r>
            </s:text>
          </item>
        </commentChain>
      </unresolved>
      <resolved/>
    </commentChains>
    <commentChains s:ref="T19" rgbClr="FF0000">
      <unresolved>
        <commentChain chainId="08eadc86d01cdc2c72d03c9d04f9a976bf6b428a">
          <item id="b87adfe540a2fb754275d2b3c7fb0f368ea6b9fe" isNormal="1">
            <s:text>
              <s:r>
                <s:t xml:space="preserve">Administrator:
3/30 1405444 750pcs华兴3楼A30</s:t>
              </s:r>
            </s:text>
          </item>
        </commentChain>
      </unresolved>
      <resolved/>
    </commentChains>
    <commentChains s:ref="V19" rgbClr="FF0000">
      <unresolved>
        <commentChain chainId="2f69a51e23a2e29416b2a25ddb548ffa85f3a64c">
          <item id="4abc948699009b84d38d34952b772bef65ae28b5" isNormal="1">
            <s:text>
              <s:r>
                <s:t xml:space="preserve">Administrator:
3/6 上UPC贴纸 750pcs</s:t>
              </s:r>
            </s:text>
          </item>
        </commentChain>
      </unresolved>
      <resolved/>
    </commentChains>
    <commentChains s:ref="T20" rgbClr="FF0000">
      <unresolved>
        <commentChain chainId="ed788b52894136754a3f2ecdf55c275919fe477f">
          <item id="840d37f38ce3ac5bfb97125ce5a2096160454d54" isNormal="1">
            <s:text>
              <s:r>
                <s:t xml:space="preserve">Administrator:
3/28 1405438 9950pcs华兴3楼B30
3/30 1405444 50pcs 华兴3楼B30</s:t>
              </s:r>
            </s:text>
          </item>
        </commentChain>
      </unresolved>
      <resolved/>
    </commentChains>
    <commentChains s:ref="T21" rgbClr="FF0000">
      <unresolved>
        <commentChain chainId="ee6087bf187160a949583b4f52bb383d47b7281c">
          <item id="5f24e2699c9e4c0076aaa7caa83b7dec248d7f16" isNormal="1">
            <s:text>
              <s:r>
                <s:t xml:space="preserve">Administrator:
3/31 1405460 13650pcs
4/1 1405425 1950pcs</s:t>
              </s:r>
            </s:text>
          </item>
        </commentChain>
      </unresolved>
      <resolved/>
    </commentChains>
    <commentChains s:ref="T22" rgbClr="FF0000">
      <unresolved>
        <commentChain chainId="35b60c897d687ec83c8f614aa2bdf5063470e798">
          <item id="abdcca90ef5fcc66cf88dbbb7252a7e1dd9cebe5" isNormal="1">
            <s:text>
              <s:r>
                <s:t xml:space="preserve">Administrator:
3/27 1405205 7450pcs 华兴3楼A29
3/27 1405212 50pcs 华兴3楼A29</s:t>
              </s:r>
            </s:text>
          </item>
        </commentChain>
      </unresolved>
      <resolved/>
    </commentChains>
    <commentChains s:ref="V22" rgbClr="FF0000">
      <unresolved>
        <commentChain chainId="1cfde6db03d1b7f799b742df8a51ff86abd8955f">
          <item id="0801ebdaa2934ccdef91da9e8a3d76de222f59e5" isNormal="1">
            <s:text>
              <s:r>
                <s:t xml:space="preserve">Administrator:
3/21 上UPC贴纸 7500pcs
     上价格贴纸 7500pcs
   上shipping label 4*6in1200pcs</s:t>
              </s:r>
            </s:text>
          </item>
        </commentChain>
      </unresolved>
      <resolved/>
    </commentChains>
    <commentChains s:ref="T23" rgbClr="FF0000">
      <unresolved>
        <commentChain chainId="86310f0fe9b7bd49e9b45b6dfdcd1ada3f119ea9">
          <item id="195ae3874302563723632e934bda3baff8268bb4" isNormal="1">
            <s:text>
              <s:r>
                <s:t xml:space="preserve">Administrator:
4/7 1405372 52575pcs直走
4/7 1405376 2425pcs直走</s:t>
              </s:r>
            </s:text>
          </item>
        </commentChain>
      </unresolved>
      <resolved/>
    </commentChains>
    <commentChains s:ref="V23" rgbClr="FF0000">
      <unresolved>
        <commentChain chainId="cd66d27905f94512c39ba418c270f86a3fe6f04f">
          <item id="808c7ce1133762ff1f3bf3e1a3b64b148889cf40" isNormal="1">
            <s:text>
              <s:r>
                <s:t xml:space="preserve">Administrator:
3/23 上客供外箱条码贴纸 2222pcs</s:t>
              </s:r>
            </s:text>
          </item>
        </commentChain>
      </unresolved>
      <resolved/>
    </commentChains>
    <commentChains s:ref="T24" rgbClr="FF0000">
      <unresolved>
        <commentChain chainId="f1f3b15051cb4df34ab5553a8f4a033b3028f7b8">
          <item id="9b7eca3982b0c9d7eb3a8d2c3dd778a6041b99be" isNormal="1">
            <s:text>
              <s:r>
                <s:t xml:space="preserve">Administrator:
4/11 1405946 21375pcs新仓库B1</s:t>
              </s:r>
            </s:text>
          </item>
        </commentChain>
      </unresolved>
      <resolved/>
    </commentChains>
    <commentChains s:ref="T25" rgbClr="FF0000">
      <unresolved>
        <commentChain chainId="ea5a95b5b0efd9c4969a9725fa316d613f63de85">
          <item id="9884489fdba1474e2c90ba69038ceea78c8a7904" isNormal="1">
            <s:text>
              <s:r>
                <s:t xml:space="preserve">Administrator:
4/3 1405383 180pcs</s:t>
              </s:r>
            </s:text>
          </item>
        </commentChain>
      </unresolved>
      <resolved/>
    </commentChains>
    <commentChains s:ref="V25" rgbClr="FF0000">
      <unresolved>
        <commentChain chainId="0a15f0d7a93cc6eb151d6c973fddd879b9e8ae1a">
          <item id="fd10b49927ea290358c34a677465c59eaf9187c4" isNormal="1">
            <s:text>
              <s:r>
                <s:t xml:space="preserve">Administrator:
3/21 上警语贴纸780pcs</s:t>
              </s:r>
            </s:text>
          </item>
        </commentChain>
      </unresolved>
      <resolved/>
    </commentChains>
    <commentChains s:ref="T26" rgbClr="FF0000">
      <unresolved>
        <commentChain chainId="ce0fa5adefd8cdbd850482ea4cedbbd9b5bf1109">
          <item id="4ff839b3bcba3d84d46a4fe5f194c31dfa34f90e" isNormal="1">
            <s:text>
              <s:r>
                <s:t xml:space="preserve">Administrator:
4/3 1405383 180pcs</s:t>
              </s:r>
            </s:text>
          </item>
        </commentChain>
      </unresolved>
      <resolved/>
    </commentChains>
    <commentChains s:ref="V26" rgbClr="FF0000">
      <unresolved>
        <commentChain chainId="2995cf0748d7a66b1a956f17aab1172f9f80517f">
          <item id="b27c085dd5516d09154c9c6965fe81a28ec63072" isNormal="1">
            <s:text>
              <s:r>
                <s:t xml:space="preserve">Administrator:
3/23 上客供警语贴纸球底部贴 808pcs
   上收藏指南客供警语贴纸1030pcs</s:t>
              </s:r>
            </s:text>
          </item>
        </commentChain>
      </unresolved>
      <resolved/>
    </commentChains>
    <commentChains s:ref="T27" rgbClr="FF0000">
      <unresolved>
        <commentChain chainId="8a3361c531cae0b67a37a8e070383325b8aaa912">
          <item id="1cb740d968e9fd0bcef4c925fb2ba6f5d20e8409" isNormal="1">
            <s:text>
              <s:r>
                <s:t xml:space="preserve">Administrator:
4/11 1405946 34000pcs新仓库B5
4/11 1405944 21000pcs新仓库B1</s:t>
              </s:r>
            </s:text>
          </item>
        </commentChain>
      </unresolved>
      <resolved/>
    </commentChains>
    <commentChains s:ref="T28" rgbClr="FF0000">
      <unresolved>
        <commentChain chainId="ccb89608fc622824524b2dc82f30a7745599f0d6">
          <item id="62bf578ac5eb162881880aab2756586048abae71" isNormal="1">
            <s:text>
              <s:r>
                <s:t xml:space="preserve">Administrator:
1405907 4/15 3750pcs 新仓库B6区</s:t>
              </s:r>
            </s:text>
          </item>
        </commentChain>
      </unresolved>
      <resolved/>
    </commentChains>
    <commentChains s:ref="V28" rgbClr="FF0000">
      <unresolved>
        <commentChain chainId="68eb4a0000fc924aaef537b2e8c1a814062c45ba">
          <item id="17de8204e444fc26edb9f4f6ebd77f300b269b35" isNormal="1">
            <s:text>
              <s:r>
                <s:t xml:space="preserve">Administrator:
3/18 上PDQ条码贴纸 150pcs</s:t>
              </s:r>
            </s:text>
          </item>
        </commentChain>
      </unresolved>
      <resolved/>
    </commentChains>
    <commentChains s:ref="T29" rgbClr="FF0000">
      <unresolved>
        <commentChain chainId="5668ac6281e4d6aa26c16f41ab28069038840475">
          <item id="c1bce50b1155b5c7541ee3e3e9fb80362e01f3c2" isNormal="1">
            <s:text>
              <s:r>
                <s:t xml:space="preserve">Administrator:
4/10 1405341 9100pcs华兴三楼B16区
</s:t>
              </s:r>
            </s:text>
          </item>
        </commentChain>
      </unresolved>
      <resolved/>
    </commentChains>
    <commentChains s:ref="V29" rgbClr="FF0000">
      <unresolved>
        <commentChain chainId="59cdfad6f7fa9a209778ece8c6d994f4695c4f33">
          <item id="1205c1717051d6713570c378a037e5fdb33dbf56" isNormal="1">
            <s:text>
              <s:r>
                <s:t xml:space="preserve">Administrator:
3/16 上PDQ UPC条码贴纸 655pcs
194334/194341共用</s:t>
              </s:r>
            </s:text>
          </item>
        </commentChain>
      </unresolved>
      <resolved/>
    </commentChains>
    <commentChains s:ref="T30" rgbClr="FF0000">
      <unresolved>
        <commentChain chainId="8542fe271c90103223028919ad60ae6919ba45d4">
          <item id="57f606e9e2beed4b15348fe2e3d2afe000127dcd" isNormal="1">
            <s:text>
              <s:r>
                <s:t xml:space="preserve">Administrator:
4/9 1405332 7275pcs 华兴三楼B16</s:t>
              </s:r>
            </s:text>
          </item>
        </commentChain>
      </unresolved>
      <resolved/>
    </commentChains>
    <commentChains s:ref="V30" rgbClr="FF0000">
      <unresolved>
        <commentChain chainId="a46954eaf8b4c627d4e331e564fed3e6071fadff">
          <item id="99c1a786af39a42eb4aa311d6d245f638bd8eb0e" isNormal="1">
            <s:text>
              <s:r>
                <s:t xml:space="preserve">Administrator:
3/16 上PDQ UPC条码贴纸 655pcs
194334/194341共用</s:t>
              </s:r>
            </s:text>
          </item>
        </commentChain>
      </unresolved>
      <resolved/>
    </commentChains>
    <commentChains s:ref="T31" rgbClr="FF0000">
      <unresolved>
        <commentChain chainId="a656f5d45956d691b4f60aaa9dfacdc19b97ed99">
          <item id="41c6b3307cd962ca27fa71bb696866ed93eeeb1e" isNormal="1">
            <s:text>
              <s:r>
                <s:t xml:space="preserve">Administrator:
4/1 1405428 1008pcs  新仓库二楼A3
4/10 1405974 2958PCS 华兴3楼A12
4/11 1405957   36pcs 新仓库A3区</s:t>
              </s:r>
            </s:text>
          </item>
        </commentChain>
      </unresolved>
      <resolved/>
    </commentChains>
    <commentChains s:ref="V31" rgbClr="FF0000">
      <unresolved>
        <commentChain chainId="5c5e6fe0efc672b7e7ae26c2531e98b69ed6865f">
          <item id="121e95f3a215b316593f584c9dc50d392f8c3a78" isNormal="1">
            <s:text>
              <s:r>
                <s:t xml:space="preserve">Administrator:
3/14 上外箱贴纸 667pcs
3/18 上客版价格贴纸 4002pcs</s:t>
              </s:r>
            </s:text>
          </item>
        </commentChain>
      </unresolved>
      <resolved/>
    </commentChains>
    <commentChains s:ref="T32" rgbClr="FF0000">
      <unresolved>
        <commentChain chainId="30396ca1f7df486d658c0262b0ff868539910e25">
          <item id="a2811672da22e61f278dbe258563b2a3b62703c8" isNormal="1">
            <s:text>
              <s:r>
                <s:t xml:space="preserve">Administrator:
1405863 4/17 8750pcs 新仓库A3区</s:t>
              </s:r>
            </s:text>
          </item>
        </commentChain>
      </unresolved>
      <resolved/>
    </commentChains>
    <commentChains s:ref="V32" rgbClr="FF0000">
      <unresolved>
        <commentChain chainId="e29d5ed1a0559dbd3c054bbab46ba7abf8e623fa">
          <item id="3c35aba51b0ff1e72a64e5a62768c0e2a824811c" isNormal="1">
            <s:text>
              <s:r>
                <s:t xml:space="preserve">Administrator:
3/24 上AR警示语贴纸8750pcs</s:t>
              </s:r>
            </s:text>
          </item>
        </commentChain>
      </unresolved>
      <resolved/>
    </commentChains>
    <commentChains s:ref="T33" rgbClr="FF0000">
      <unresolved>
        <commentChain chainId="35f54650acf98404b8cd31cda2b8037daa328731">
          <item id="38e3a14d7be01417f00fa98b464e82da03cafc86" isNormal="1">
            <s:text>
              <s:r>
                <s:t xml:space="preserve">Administrator:
1406310 4/16 2000pcs 直走</s:t>
              </s:r>
            </s:text>
          </item>
        </commentChain>
      </unresolved>
      <resolved/>
    </commentChains>
    <commentChains s:ref="T35" rgbClr="FF0000">
      <unresolved>
        <commentChain chainId="09f12c9e5a3c5d637d762fe473ec8dddfe960fc5">
          <item id="622df5b8981655e379ca7ebc7db6f40ff6f47149" isNormal="1">
            <s:text>
              <s:r>
                <s:t xml:space="preserve">Administrator:
1403776 4/18 468pcs 直走</s:t>
              </s:r>
            </s:text>
          </item>
        </commentChain>
      </unresolved>
      <resolved/>
    </commentChains>
    <commentChains s:ref="T36" rgbClr="FF0000">
      <unresolved>
        <commentChain chainId="0eac6e7365e9270fb75e730c12aebf6fbbbbced1">
          <item id="9c010648235c67d55e7cb99d85e990d2f08bc1fe" isNormal="1">
            <s:text>
              <s:r>
                <s:t xml:space="preserve">Administrator:
4/29 1403712 192PCS
</s:t>
              </s:r>
            </s:text>
          </item>
        </commentChain>
      </unresolved>
      <resolved/>
    </commentChains>
    <commentChains s:ref="V36" rgbClr="FF0000">
      <unresolved>
        <commentChain chainId="c8c5b4f6bf90f1521e797d8d8ca29dd8bc96c70b">
          <item id="c2b87d889e7c35838d21952942e28281290a379e" isNormal="1">
            <s:text>
              <s:r>
                <s:t xml:space="preserve">Administrator:
.4/2上AR警示语/意大利回收标客供贴纸8750pcs</s:t>
              </s:r>
            </s:text>
          </item>
        </commentChain>
      </unresolved>
      <resolved/>
    </commentChains>
    <commentChains s:ref="T37" rgbClr="FF0000">
      <unresolved>
        <commentChain chainId="002020609f654aeae3a86862d6c83c0fd94b3fee">
          <item id="757f090e69a0cacd9dcc0722fd24b6fc5a4576e9" isNormal="1">
            <s:text>
              <s:r>
                <s:t xml:space="preserve">DELL:
1403873 4/25 6240pcs新仓库A10
1403879 4/25 9256pcs新仓库A10</s:t>
              </s:r>
            </s:text>
          </item>
        </commentChain>
      </unresolved>
      <resolved/>
    </commentChains>
    <commentChains s:ref="T38" rgbClr="FF0000">
      <unresolved>
        <commentChain chainId="145c723dff62de4b65e2dca111f02998a7cb71b0">
          <item id="8324d6bffa0cff60ce8a5e2492cf7d24dc122962" isNormal="1">
            <s:text>
              <s:r>
                <s:t xml:space="preserve">Administrator:
1403787 4/18 10000pcs 华兴一F9</s:t>
              </s:r>
            </s:text>
          </item>
        </commentChain>
      </unresolved>
      <resolved/>
    </commentChains>
    <commentChains s:ref="V38" rgbClr="FF0000">
      <unresolved>
        <commentChain chainId="7dec0acef2fc3ea3805ef26ef3479f3e64161e32">
          <item id="8337b68dfa4deb164da72347d76480b59e39b9e4" isNormal="1">
            <s:text>
              <s:r>
                <s:t xml:space="preserve">Administrator:
4/8 上进口商贴纸10000pcs
4/8 上UOC贴纸10000pcs
4/8 上外箱贴纸400pcs</s:t>
              </s:r>
            </s:text>
          </item>
        </commentChain>
      </unresolved>
      <resolved/>
    </commentChains>
    <commentChains s:ref="T39" rgbClr="FF0000">
      <unresolved>
        <commentChain chainId="6192bb6b867838fddba4514b3a9657e6785bdcab">
          <item id="62f2e1125ae9304ab6180f5d6a30776fa9f43a46" isNormal="1">
            <s:text>
              <s:r>
                <s:t xml:space="preserve">DELL:
1403827 4/51 2964pcs 新仓库A4区</s:t>
              </s:r>
            </s:text>
          </item>
        </commentChain>
      </unresolved>
      <resolved/>
    </commentChains>
    <commentChains s:ref="T40" rgbClr="FF0000">
      <unresolved>
        <commentChain chainId="458838fe6d39242432e58bfb55c44ee8a95c5f9c">
          <item id="24f4b9931417cece4dfe92cc407b9b3d811c8857" isNormal="1">
            <s:text>
              <s:r>
                <s:t xml:space="preserve">DELL:
1403827 4/21 1729pcs 新仓库A4区</s:t>
              </s:r>
            </s:text>
          </item>
        </commentChain>
      </unresolved>
      <resolved/>
    </commentChains>
    <commentChains s:ref="T41" rgbClr="FF0000">
      <unresolved>
        <commentChain chainId="4479d8f85df483c777ad09f3a913b2dac43be2c0">
          <item id="2ffd96b2a1429fc1e12f8b5692424a98f08fad53" isNormal="1">
            <s:text>
              <s:r>
                <s:t xml:space="preserve">Administrator:
1403815 4/20 45825pcs B栋4楼B9区
1403813 4/20 13125pcs 直走
1403840 4/22 21050pcs</s:t>
              </s:r>
            </s:text>
          </item>
        </commentChain>
      </unresolved>
      <resolved/>
    </commentChains>
    <commentChains s:ref="V41" rgbClr="FF0000">
      <unresolved>
        <commentChain chainId="8eb287a8e58f714cc1f71a3d8c7b212fc2072437">
          <item id="689c371e50a3d153501143f9d9bf569345b4c6e6" isNormal="1">
            <s:text>
              <s:r>
                <s:t xml:space="preserve">Administrator:
4/1 上客供外箱贴纸 3232pcs</s:t>
              </s:r>
            </s:text>
          </item>
        </commentChain>
      </unresolved>
      <resolved/>
    </commentChains>
    <commentChains s:ref="T42" rgbClr="FF0000">
      <unresolved>
        <commentChain chainId="98274895cebcc34a7208c183d7f838c485d3b503">
          <item id="f0c424f0b127c520b7b3d10be4ecf70f8a7837c0" isNormal="1">
            <s:text>
              <s:r>
                <s:t xml:space="preserve">DELL:
1403869 4/24 2500pcs 华兴三A29</s:t>
              </s:r>
            </s:text>
          </item>
        </commentChain>
      </unresolved>
      <resolved/>
    </commentChains>
    <commentChains s:ref="V42" rgbClr="FF0000">
      <unresolved>
        <commentChain chainId="940966638cd4cc0da6606fe21305c17d220009c9">
          <item id="8d344dbe9ac52b97e4767c06fc0ef62ac93babe2" isNormal="1">
            <s:text>
              <s:r>
                <s:t xml:space="preserve">Administrator:
4/8上进口商贴纸2500pcs
4/8上UPC贴纸2500pcs</s:t>
              </s:r>
            </s:text>
          </item>
        </commentChain>
      </unresolved>
      <resolved/>
    </commentChains>
    <commentChains s:ref="T43" rgbClr="FF0000">
      <unresolved>
        <commentChain chainId="fb831b45e7c5cf4354798728e9faf5366504ee1f">
          <item id="a369d6788834df2c140c018c5a3dad7694392aee" isNormal="1">
            <s:text>
              <s:r>
                <s:t xml:space="preserve">Administrator:
4/27 1403652 16250PCS新仓库</s:t>
              </s:r>
            </s:text>
          </item>
          <item id="7b850c2c5a972bb6e7693014e6e747823ba06827" userID="1850010794" userName="龙丽娟" dateTime="2026-08-13T03:18:54" isNormal="0">
            <s:text>
              <s:r>
                <s:t xml:space="preserve">1403663 4/28 13175pcs</s:t>
              </s:r>
            </s:text>
          </item>
        </commentChain>
      </unresolved>
      <resolved/>
    </commentChains>
    <commentChains s:ref="V43" rgbClr="FF0000">
      <unresolved>
        <commentChain chainId="bd7a7f61a0670246098f85b15afe92878ade1c77">
          <item id="74263f9530376ba4d73a194e60199bed4a545c8a" isNormal="1">
            <s:text>
              <s:r>
                <s:t xml:space="preserve">Administrator:
3/30上Event label贴纸1177pcs
4/1 上客供外箱贴纸1189pcs</s:t>
              </s:r>
            </s:text>
          </item>
        </commentChain>
      </unresolved>
      <resolved/>
    </commentChains>
    <commentChains s:ref="T44" rgbClr="FF0000">
      <unresolved>
        <commentChain chainId="227ee0746deb45da2643d89ea526ab5f0e3da181">
          <item id="13ff9cf32f2308a508f366a58a2cef22bc9491a8" isNormal="1">
            <s:text>
              <s:r>
                <s:t xml:space="preserve">Administrator:
4/27 1403652 780PCS新仓库B3</s:t>
              </s:r>
            </s:text>
          </item>
        </commentChain>
      </unresolved>
      <resolved/>
    </commentChains>
    <commentChains s:ref="V44" rgbClr="FF0000">
      <unresolved>
        <commentChain chainId="2d2b4100f840ccb4f692611d1ba5e30f21ee5e03">
          <item id="51330a790219cd7bcbe17a78889138621dcc962b" isNormal="1">
            <s:text>
              <s:r>
                <s:t xml:space="preserve">DELL:
4/3 上客供警语贴纸贴拆件说明书收藏指南 1030pcs
    上客供警语贴纸贴球底部 808pcs</s:t>
              </s:r>
            </s:text>
          </item>
        </commentChain>
      </unresolved>
      <resolved/>
    </commentChains>
    <commentChains s:ref="T45" rgbClr="FF0000">
      <unresolved>
        <commentChain chainId="1891344e5bf9551e5bd409d170ac0c6d9bfe7d57">
          <item id="066a0af24a5861ca714576f65d9863884943dfb0" isNormal="1">
            <s:text>
              <s:r>
                <s:t xml:space="preserve">Administrator:
4/28 1403769 5000pcs</s:t>
              </s:r>
            </s:text>
          </item>
        </commentChain>
      </unresolved>
      <resolved/>
    </commentChains>
    <commentChains s:ref="V45" rgbClr="FF0000">
      <unresolved>
        <commentChain chainId="55114f60355a48c08a7152089af91919ddfc39b9">
          <item id="d2779c704d58bf597106d79a04405b3804f5984c" isNormal="1">
            <s:text>
              <s:r>
                <s:t xml:space="preserve">Administrator:
4/8上进口商贴纸5000pcs
4/8上UPC贴纸5000pcs</s:t>
              </s:r>
            </s:text>
          </item>
        </commentChain>
      </unresolved>
      <resolved/>
    </commentChains>
    <commentChains s:ref="T46" rgbClr="FF0000">
      <unresolved>
        <commentChain chainId="672304cd94e898f56349ca752f09866f840b0f0f">
          <item id="fa7afd1d50a3084aa98de3167ea024246cd3290d" isNormal="1">
            <s:text>
              <s:r>
                <s:t xml:space="preserve">Administrator:
4/28 1403769 5000pcs
</s:t>
              </s:r>
            </s:text>
          </item>
        </commentChain>
      </unresolved>
      <resolved/>
    </commentChains>
    <commentChains s:ref="V46" rgbClr="FF0000">
      <unresolved>
        <commentChain chainId="f144b91918495af2b49ca7668b93a22abfac69cc">
          <item id="5eda5a16376ff74865ac778bd29ce53e72612630" isNormal="1">
            <s:text>
              <s:r>
                <s:t xml:space="preserve">Administrator:
4/8上进口商贴纸600pcs
4/8上UPC贴纸600pcs</s:t>
              </s:r>
            </s:text>
          </item>
        </commentChain>
      </unresolved>
      <resolved/>
    </commentChains>
    <commentChains s:ref="T47" rgbClr="FF0000">
      <unresolved>
        <commentChain chainId="48e2ca9a04cd6c0c61fcfe5ead9fa00ca8d5ae8e">
          <item id="9c3cc7b10ba93a5b18b29188226db9e14805e47e" isNormal="1">
            <s:text>
              <s:r>
                <s:t xml:space="preserve">DELL:
1403879 4/25 5707pcs新仓库A10
1403883 4/25 4290pcs新仓库A10
</s:t>
              </s:r>
            </s:text>
          </item>
        </commentChain>
      </unresolved>
      <resolved/>
    </commentChains>
    <commentChains s:ref="T48" rgbClr="FF0000">
      <unresolved>
        <commentChain chainId="1f5ec9661985acd09dc91c2697a97049b149b853">
          <item id="b80fa74420a2eb9cdad7c2b548c1e461534d1a89" isNormal="1">
            <s:text>
              <s:r>
                <s:t xml:space="preserve">DELL:
1403840 4/22 9607pcs 华兴一楼3区</s:t>
              </s:r>
            </s:text>
          </item>
        </commentChain>
      </unresolved>
      <resolved/>
    </commentChains>
    <commentChains s:ref="V48" rgbClr="FF0000">
      <unresolved>
        <commentChain chainId="cd2a99c76e21276c57b4d2bf8f7bb571197cb8fb">
          <item id="1c6abb237c49010baefbc6260330c39f6cbcbefa" isNormal="1">
            <s:text>
              <s:r>
                <s:t xml:space="preserve">Administrator:
4/8 上多语警语折叠贴纸 9607pcs</s:t>
              </s:r>
            </s:text>
          </item>
        </commentChain>
      </unresolved>
      <resolved/>
    </commentChains>
    <commentChains s:ref="T49" rgbClr="FF0000">
      <unresolved>
        <commentChain chainId="c82827d33e47b0633616741421cfadc59240d598">
          <item id="cb8e747861f56af2bd058fe9563d755c4e80ea57" isNormal="1">
            <s:text>
              <s:r>
                <s:t xml:space="preserve">DELL:
1403869 4/24 17500pcs 直走</s:t>
              </s:r>
            </s:text>
          </item>
        </commentChain>
      </unresolved>
      <resolved/>
    </commentChains>
    <commentChains s:ref="T50" rgbClr="FF0000">
      <unresolved>
        <commentChain chainId="e590281ad74f227d91b095840b3dd3efc997d171">
          <item id="245f919de1a2e617bae460e7b27b6eb1394bf2da" isNormal="1">
            <s:text>
              <s:r>
                <s:t xml:space="preserve">DELL:
1403647 4/25 1000pcs直走</s:t>
              </s:r>
            </s:text>
          </item>
        </commentChain>
      </unresolved>
      <resolved/>
    </commentChains>
    <commentChains s:ref="T51" rgbClr="FF0000">
      <unresolved>
        <commentChain chainId="b69fcf4cd9e2ed3686059fa83861709480743dda">
          <item id="f65bb7d8167c54c68a77f7b23d0b9ce528553bc5" isNormal="1">
            <s:text>
              <s:r>
                <s:t xml:space="preserve">Administrator:
.5/8 1403414 17280pcs新仓库3-c2</s:t>
              </s:r>
            </s:text>
          </item>
        </commentChain>
      </unresolved>
      <resolved/>
    </commentChains>
    <commentChains s:ref="V51" rgbClr="FF0000">
      <unresolved>
        <commentChain chainId="082ae08a90471fb30283bfd171532e4e1a4e0ed8">
          <item id="b3b4e33eac22a7f2d7533b67ba83d94ca412e26a" isNormal="1">
            <s:text>
              <s:r>
                <s:t xml:space="preserve">DELL:
3/27 上客供RFID贴纸 17280pcs</s:t>
              </s:r>
            </s:text>
          </item>
        </commentChain>
      </unresolved>
      <resolved/>
    </commentChains>
    <commentChains s:ref="T52" rgbClr="FF0000">
      <unresolved>
        <commentChain chainId="870822c63e27b71dde1bda51739b41dd24f9cf7a">
          <item id="4bce4c3ca3f2dcb7cb8c87b1638aa65668637ad2" isNormal="1">
            <s:text>
              <s:r>
                <s:t xml:space="preserve">DELL:
1403899 4/23 750pcs 新仓库二楼B3</s:t>
              </s:r>
            </s:text>
          </item>
        </commentChain>
      </unresolved>
      <resolved/>
    </commentChains>
    <commentChains s:ref="V52" rgbClr="FF0000">
      <unresolved>
        <commentChain chainId="96bbb1bf6df301a0caf38e0f9bbede1932ef8dfa">
          <item id="c97b14d251b7b4c5aa8f0ac9aee883694b0a5cc2" isNormal="1">
            <s:text>
              <s:r>
                <s:t xml:space="preserve">Administrator:
3/24 上UPC贴纸 750pcs
</s:t>
              </s:r>
            </s:text>
          </item>
        </commentChain>
      </unresolved>
      <resolved/>
    </commentChains>
    <commentChains s:ref="T53" rgbClr="FF0000">
      <unresolved>
        <commentChain chainId="d6b4607cd06779ed0eb6427bda3994d9211d4e8a">
          <item id="18ce422ae38400048e79aa4c055f4d7e3df4a95c" isNormal="1">
            <s:text>
              <s:r>
                <s:t xml:space="preserve">DELL:
1403699 4/30 4500pcs新仓库B3
</s:t>
              </s:r>
            </s:text>
          </item>
        </commentChain>
      </unresolved>
      <resolved/>
    </commentChains>
    <commentChains s:ref="V53" rgbClr="FF0000">
      <unresolved>
        <commentChain chainId="8922b4331f7ae2fd38fb365d3f7c07fde8e692f9">
          <item id="014f0e14de6394e98f7fd9e233822ae536d80f78" isNormal="1">
            <s:text>
              <s:r>
                <s:t xml:space="preserve">Administrator:
4/1 上客供外箱贴纸185pcs</s:t>
              </s:r>
            </s:text>
          </item>
        </commentChain>
      </unresolved>
      <resolved/>
    </commentChains>
    <commentChains s:ref="T54" rgbClr="FF0000">
      <unresolved>
        <commentChain chainId="d1bdfbfde68fa7a8cb1e4ad00002a31181f1959d">
          <item id="223c606c52afdc0c4ddb5913b4b7554dd82e199e" isNormal="1">
            <s:text>
              <s:r>
                <s:t xml:space="preserve">Administrator:
5/4 1403387 624pcs</s:t>
              </s:r>
            </s:text>
          </item>
        </commentChain>
      </unresolved>
      <resolved/>
    </commentChains>
    <commentChains s:ref="V54" rgbClr="FF0000">
      <unresolved>
        <commentChain chainId="127638f9dad28e495a6eb8c5baf03de26762e1f4">
          <item id="656514086d9cc4ca233c8b7ce623f5b116a4dfa4" isNormal="1">
            <s:text>
              <s:r>
                <s:t xml:space="preserve">Administrator:
3/24 上进口商贴纸624pcs</s:t>
              </s:r>
            </s:text>
          </item>
        </commentChain>
      </unresolved>
      <resolved/>
    </commentChains>
    <commentChains s:ref="T55" rgbClr="FF0000">
      <unresolved>
        <commentChain chainId="95615d6ecfe11ed8326ad093f0ebfb745b5cf893">
          <item id="81e7ab050b735be9f8443b67fccbf80cbffbf654" isNormal="1">
            <s:text>
              <s:r>
                <s:t xml:space="preserve">Administrator:
5/4 1403387 750pcs
</s:t>
              </s:r>
            </s:text>
          </item>
        </commentChain>
      </unresolved>
      <resolved/>
    </commentChains>
    <commentChains s:ref="V55" rgbClr="FF0000">
      <unresolved>
        <commentChain chainId="7c33ffdac7f6f16c4baf240bb3eefee2b0b0f285">
          <item id="d4e4c5f7a08605b9553cf62496b756d722140b73" isNormal="1">
            <s:text>
              <s:r>
                <s:t xml:space="preserve">Administrator:
3/24 上进口商贴纸750pcs</s:t>
              </s:r>
            </s:text>
          </item>
        </commentChain>
      </unresolved>
      <resolved/>
    </commentChains>
    <commentChains s:ref="T56" rgbClr="FF0000">
      <unresolved>
        <commentChain chainId="c9ae24e98071849b2bdb6c42cb1b23a6a200e054">
          <item id="ddde58cd66c06a6709ca0db5221423b924b21d62" isNormal="1">
            <s:text>
              <s:r>
                <s:t xml:space="preserve">DELL:
1403647 4/25 6464pcs新仓库B1
1403689 4/29 16pcs新仓库B1
</s:t>
              </s:r>
            </s:text>
          </item>
        </commentChain>
      </unresolved>
      <resolved/>
    </commentChains>
    <commentChains s:ref="T57" rgbClr="FF0000">
      <unresolved>
        <commentChain chainId="91890537f3c3f3938439966e804c547c2d351e82">
          <item id="2a5fa8d04b3dc45638dd12501185ff26bb717d23" isNormal="1">
            <s:text>
              <s:r>
                <s:t xml:space="preserve">Administrator:
DELL:
1403647 4/25 6464pcs新仓库B1
1403689 4/29 2546pcs新仓库B1
</s:t>
              </s:r>
            </s:text>
          </item>
        </commentChain>
      </unresolved>
      <resolved/>
    </commentChains>
    <commentChains s:ref="V57" rgbClr="FF0000">
      <unresolved>
        <commentChain chainId="dd6aa497bea9894499eda52fabe27bad4bcdb078">
          <item id="67b836b001abaeb312a4798b60c4377bffebc1a3" isNormal="1">
            <s:text>
              <s:r>
                <s:t xml:space="preserve">DELL:
4/14 上客供亚马逊外箱贴纸 751pcs</s:t>
              </s:r>
            </s:text>
          </item>
        </commentChain>
      </unresolved>
      <resolved/>
    </commentChains>
    <commentChains s:ref="T58" rgbClr="FF0000">
      <unresolved>
        <commentChain chainId="365d526089368c51ca68f977623f18db634ddf94">
          <item id="47e96ebc40b1f2b804f2c6a74dad43da81e5adbf" isNormal="1">
            <s:text>
              <s:r>
                <s:t xml:space="preserve">Administrator:
DELL:
1403647 4/25 6464pcs新仓库B1
1403689 4/29 650pcs新仓库B1
</s:t>
              </s:r>
            </s:text>
          </item>
        </commentChain>
      </unresolved>
      <resolved/>
    </commentChains>
    <commentChains s:ref="V58" rgbClr="FF0000">
      <unresolved>
        <commentChain chainId="4707d2bd711e0066cb79fbe9470aed8ddc477345">
          <item id="7b3c9454d5975f78e0f36f82615864f92ff24402" isNormal="1">
            <s:text>
              <s:r>
                <s:t xml:space="preserve">DELL:
4/14 上客供亚马逊外箱贴纸 593pcs</s:t>
              </s:r>
            </s:text>
          </item>
        </commentChain>
      </unresolved>
      <resolved/>
    </commentChains>
    <commentChains s:ref="T59" rgbClr="FF0000">
      <unresolved>
        <commentChain chainId="b4f56c8b2e204ad9841d0e9bca6507f8add81655">
          <item id="b7a85012bf5ff73014f4044f319862816a0fbf1b" isNormal="1">
            <s:text>
              <s:r>
                <s:t xml:space="preserve">Administrator:
DELL:
1403689 4/29 7716pcs新仓库B1
</s:t>
              </s:r>
            </s:text>
          </item>
        </commentChain>
      </unresolved>
      <resolved/>
    </commentChains>
    <commentChains s:ref="V59" rgbClr="FF0000">
      <unresolved>
        <commentChain chainId="ea579690f03af2aeb8ff8b5b79dc27a6e8dfda88">
          <item id="3e800b120b7c57c5f7f70784c5d24927e557a4a4" isNormal="1">
            <s:text>
              <s:r>
                <s:t xml:space="preserve">DELL:
4/14 上客供亚马逊外箱贴纸 622pcs</s:t>
              </s:r>
            </s:text>
          </item>
        </commentChain>
      </unresolved>
      <resolved/>
    </commentChains>
    <commentChains s:ref="T60" rgbClr="FF0000">
      <unresolved>
        <commentChain chainId="890292c3b17601dc468f2f63cbdbd39112f02d8d">
          <item id="be74b0ad5f606bd0803d735682e55e6e3880285c" isNormal="1">
            <s:text>
              <s:r>
                <s:t xml:space="preserve">Administrator:
5/8 1402839 9156新B5
</s:t>
              </s:r>
            </s:text>
          </item>
        </commentChain>
      </unresolved>
      <resolved/>
    </commentChains>
    <commentChains s:ref="V60" rgbClr="FF0000">
      <unresolved>
        <commentChain chainId="30069b61dbded2f4d68ae998659b21942c80ded5">
          <item id="a06305fe66556b4aed22fda8c0ea223b38b6d76e" isNormal="1">
            <s:text>
              <s:r>
                <s:t xml:space="preserve">DELL:
4/14 上客供亚马逊外箱贴纸 763pcs</s:t>
              </s:r>
            </s:text>
          </item>
        </commentChain>
      </unresolved>
      <resolved/>
    </commentChains>
    <commentChains s:ref="T61" rgbClr="FF0000">
      <unresolved>
        <commentChain chainId="4c91fc9be522172ca0eb0ef57ff1e3e9b1ae7944">
          <item id="1516c000aea5692e20704e7dd81fff27336550a9" isNormal="1">
            <s:text>
              <s:r>
                <s:t xml:space="preserve">Administrator:
5/8 1402839 7248新B5</s:t>
              </s:r>
            </s:text>
          </item>
        </commentChain>
      </unresolved>
      <resolved/>
    </commentChains>
    <commentChains s:ref="V61" rgbClr="FF0000">
      <unresolved>
        <commentChain chainId="c55ff282658d79adbb7b275de3f04cbf97d25b0b">
          <item id="95ee245b7bde170ed0f10f598d6ff023d1fa396f" isNormal="1">
            <s:text>
              <s:r>
                <s:t xml:space="preserve">DELL:
4/14 上客供亚马逊外箱贴纸 604pcs</s:t>
              </s:r>
            </s:text>
          </item>
        </commentChain>
      </unresolved>
      <resolved/>
    </commentChains>
    <commentChains s:ref="T62" rgbClr="FF0000">
      <unresolved>
        <commentChain chainId="6ae36d90a58a429cf4dd36755bf69498e9e7b512">
          <item id="a528deab3643a2cbb423ebe1757d2d0650f30965" isNormal="1">
            <s:text>
              <s:r>
                <s:t xml:space="preserve">Administrator:
5/4 1403383 13125pcs新仓库A7
5/5 1403765 2300新仓库A7</s:t>
              </s:r>
            </s:text>
          </item>
        </commentChain>
      </unresolved>
      <resolved/>
    </commentChains>
    <commentChains s:ref="V62" rgbClr="FF0000">
      <unresolved>
        <commentChain chainId="ef027f97088573781acce5c7606bf396012cb417">
          <item id="6ec272987452552b6273c7a31b3064098006f7e9" isNormal="1">
            <s:text>
              <s:r>
                <s:t xml:space="preserve">DELL:
4/13 上客供外箱条码贴纸 837pcs</s:t>
              </s:r>
            </s:text>
          </item>
        </commentChain>
      </unresolved>
      <resolved/>
    </commentChains>
    <commentChains s:ref="T63" rgbClr="FF0000">
      <unresolved>
        <commentChain chainId="a9f73f09f1f8ae23f91a69e480b3a7153fe2b306">
          <item id="f491b88c51a34f5be147cb17eaea96b45fed15b0" isNormal="1">
            <s:text>
              <s:r>
                <s:t xml:space="preserve">Administrator:
4/29 1403689 50PCS新仓库c1
4/29 1403683 5450pcs新仓库c1
</s:t>
              </s:r>
            </s:text>
          </item>
        </commentChain>
      </unresolved>
      <resolved/>
    </commentChains>
    <commentChains s:ref="T64" rgbClr="FF0000">
      <unresolved>
        <commentChain chainId="dfde8574f570bc6469f8dc3b4aa832660cc2a83e">
          <item id="ddb4891d98a3cc981fcd5d02914463ed1aea90ed" isNormal="1">
            <s:text>
              <s:r>
                <s:t xml:space="preserve">Administrator:
5/6 1403751 1755pcs新仓库A5
</s:t>
              </s:r>
            </s:text>
          </item>
        </commentChain>
      </unresolved>
      <resolved/>
    </commentChains>
    <commentChains s:ref="T65" rgbClr="FF0000">
      <unresolved>
        <commentChain chainId="5d2e9e45cacc7dddd42aa57e42d2ff0adb8c07b2">
          <item id="ad22f989e3bd315ef22372fee274f2910a95e8bf" isNormal="1">
            <s:text>
              <s:r>
                <s:t xml:space="preserve">Administrator:
5/6 1403751 3250pcs新仓库A5
</s:t>
              </s:r>
            </s:text>
          </item>
        </commentChain>
      </unresolved>
      <resolved/>
    </commentChains>
    <commentChains s:ref="T66" rgbClr="FF0000">
      <unresolved>
        <commentChain chainId="e8f057a7b0164aeb16a3378aac1b97e2c64a2350">
          <item id="c38451a19f1dd3740821edc892bcb69fa716c748" isNormal="1">
            <s:text>
              <s:r>
                <s:t xml:space="preserve">Administrator:
.5/8 1403414 936pcs新仓库A5</s:t>
              </s:r>
            </s:text>
          </item>
        </commentChain>
      </unresolved>
      <resolved/>
    </commentChains>
    <commentChains s:ref="T67" rgbClr="FF0000">
      <unresolved>
        <commentChain chainId="641212ef8d78b3f347871cc1b66c4f76645d9c1a">
          <item id="5a218c9853b5bc261285c0b47ee1956604d12900" isNormal="1">
            <s:text>
              <s:r>
                <s:t xml:space="preserve">Administrator:
5/6 1403757 1300PCS B4-B5</s:t>
              </s:r>
            </s:text>
          </item>
        </commentChain>
      </unresolved>
      <resolved/>
    </commentChains>
    <commentChains s:ref="V67" rgbClr="FF0000">
      <unresolved>
        <commentChain chainId="26e732fa9f9a2bca3b61c0f706c4842c955464cf">
          <item id="75d741427f90ccfa0c32f0b015284ae6ccb6a3d0" isNormal="1">
            <s:text>
              <s:r>
                <s:t xml:space="preserve">DELL:
4/11 上进口商贴纸 1300pcs</s:t>
              </s:r>
            </s:text>
          </item>
        </commentChain>
      </unresolved>
      <resolved/>
    </commentChains>
    <commentChains s:ref="T68" rgbClr="FF0000">
      <unresolved>
        <commentChain chainId="53fdf40183c4eb94430daeec316b20ea377fa75b">
          <item id="b381dbc320f30e3b1f459de50e24b7ad5e7c6c8b" isNormal="1">
            <s:text>
              <s:r>
                <s:t xml:space="preserve">Administrator:
5/8 1402839 28875新B5</s:t>
              </s:r>
            </s:text>
          </item>
        </commentChain>
      </unresolved>
      <resolved/>
    </commentChains>
    <commentChains s:ref="V68" rgbClr="FF0000">
      <unresolved>
        <commentChain chainId="c9559a235c4669ff76156127ce39aef508f93059">
          <item id="b6898daa44f125d9990958e007d1858a95210217" isNormal="1">
            <s:text>
              <s:r>
                <s:t xml:space="preserve">DELL:
4/13 上客供外箱条码贴纸 1167pcs</s:t>
              </s:r>
            </s:text>
          </item>
        </commentChain>
      </unresolved>
      <resolved/>
    </commentChains>
    <commentChains s:ref="T69" rgbClr="FF0000">
      <unresolved>
        <commentChain chainId="128afce5e7bcf6d2c196f333e57a4b4cbc9fa559">
          <item id="1999671452560b4e1f0df441ebe827ada4d18bf2" isNormal="1">
            <s:text>
              <s:r>
                <s:t xml:space="preserve">Administrator:
5/5 1403765 1500pcs B4-B5</s:t>
              </s:r>
            </s:text>
          </item>
        </commentChain>
      </unresolved>
      <resolved/>
    </commentChains>
    <commentChains s:ref="V69" rgbClr="FF0000">
      <unresolved>
        <commentChain chainId="162d9b33ad841dccae82d57d597cd7f7f786061f">
          <item id="6a2f22eb906ec8a5f7f6125338a512e695961be2" isNormal="1">
            <s:text>
              <s:r>
                <s:t xml:space="preserve">DELL:
4/14 上UPC贴纸 1500pcs
     上进口商贴纸 1500pcs</s:t>
              </s:r>
            </s:text>
          </item>
        </commentChain>
      </unresolved>
      <resolved/>
    </commentChains>
    <commentChains s:ref="T70" rgbClr="FF0000">
      <unresolved>
        <commentChain chainId="2baccfd6ea4b370fe8e190319bb96b37f98e1139">
          <item id="b005e282638d16a0a57c1a1063e23380d0213f4b" isNormal="1">
            <s:text>
              <s:r>
                <s:t xml:space="preserve">Administrator:
5/6 1403757 5000PCSB4-B5
</s:t>
              </s:r>
            </s:text>
          </item>
        </commentChain>
      </unresolved>
      <resolved/>
    </commentChains>
    <commentChains s:ref="V70" rgbClr="FF0000">
      <unresolved>
        <commentChain chainId="a75c7fb1fad404897483ee0dbc5eaaca6403ec9a">
          <item id="b1274d190b7889ed4f44452a79034ff3c189f50a" isNormal="1">
            <s:text>
              <s:r>
                <s:t xml:space="preserve">Administrator:
4/20 上UPC贴纸 5000pcs</s:t>
              </s:r>
            </s:text>
          </item>
        </commentChain>
      </unresolved>
      <resolved/>
    </commentChains>
    <commentChains s:ref="T71" rgbClr="FF0000">
      <unresolved>
        <commentChain chainId="3f278e8d6e8baa0e676093ce1622d1e878e57daa">
          <item id="bc7a5f16d47fe14dba40bfefa6429cbfacdb5a0c" isNormal="1">
            <s:text>
              <s:r>
                <s:t xml:space="preserve">Administrator:
5/9 1403457  14400pcs新3-c3</s:t>
              </s:r>
            </s:text>
          </item>
        </commentChain>
      </unresolved>
      <resolved/>
    </commentChains>
    <commentChains s:ref="V71" rgbClr="FF0000">
      <unresolved>
        <commentChain chainId="7b977ea1d238c8c903b0ea446f6dcdb54ab0d95c">
          <item id="e65e85b00f0d713c8c527da6b5b0c2fd0c6b5c27" isNormal="1">
            <s:text>
              <s:r>
                <s:t xml:space="preserve">DELL:
4/8 上客供RFID贴纸 14400pcs</s:t>
              </s:r>
            </s:text>
          </item>
        </commentChain>
      </unresolved>
      <resolved/>
    </commentChains>
    <commentChains s:ref="T72" rgbClr="FF0000">
      <unresolved>
        <commentChain chainId="84c59ec4bfb5bb5c3ea526304e6dbadcb3743f09">
          <item id="a62b07326a2d9ecda7bbcb5e5eab4900424a0105" isNormal="1">
            <s:text>
              <s:r>
                <s:t xml:space="preserve">Administrator:
5/13 1403514 1248PCS 华兴一楼A1-C7</s:t>
              </s:r>
            </s:text>
          </item>
        </commentChain>
      </unresolved>
      <resolved/>
    </commentChains>
    <commentChains s:ref="T73" rgbClr="FF0000">
      <unresolved>
        <commentChain chainId="522ca0d971172d6d62c555bb5ed787517a723d33">
          <item id="21c2f603d73d6973923e225cff89b33b6c2cea79" isNormal="1">
            <s:text>
              <s:r>
                <s:t xml:space="preserve">Administrator:
5/6 1403757 1164PCS B4-B5
</s:t>
              </s:r>
            </s:text>
          </item>
        </commentChain>
      </unresolved>
      <resolved/>
    </commentChains>
    <commentChains s:ref="T74" rgbClr="FF0000">
      <unresolved>
        <commentChain chainId="a02ef13a0d46a8fa0b8d673fa79a5b4b864bbbbf">
          <item id="e66c8553bb1e1d105d5af0ec5ee9d8168c9099e6" isNormal="1">
            <s:text>
              <s:r>
                <s:t xml:space="preserve">Administrator:
5/8 1403414 28525pcs 新仓库B13</s:t>
              </s:r>
            </s:text>
          </item>
        </commentChain>
      </unresolved>
      <resolved/>
    </commentChains>
    <commentChains s:ref="V74" rgbClr="FF0000">
      <unresolved>
        <commentChain chainId="e81ee5a5a4afa3434032bf73574682f2e06a54d5">
          <item id="34bb5c5828c2cf25baeaa4d8742837b2c6832571" isNormal="1">
            <s:text>
              <s:r>
                <s:t xml:space="preserve">DELL:
4/25 上客供外箱条码贴纸 1153pcs</s:t>
              </s:r>
            </s:text>
          </item>
        </commentChain>
      </unresolved>
      <resolved/>
    </commentChains>
    <commentChains s:ref="AK74" rgbClr="FF0000">
      <unresolved>
        <commentChain chainId="a853b7da44c0beac0305a03dc7eb3acafbef33fd">
          <item id="2aed8dfbf35a2711e2bc901bd3711bf609678997" isNormal="1">
            <s:text>
              <s:r>
                <s:t xml:space="preserve">Administrator:
5/8 1403414 28525pcs新仓库B13</s:t>
              </s:r>
            </s:text>
          </item>
        </commentChain>
      </unresolved>
      <resolved/>
    </commentChains>
    <commentChains s:ref="T75" rgbClr="FF0000">
      <unresolved>
        <commentChain chainId="9c79dc0d63304fd22ce95c8891a4351b440287b2">
          <item id="f28bf910c3263678579c7e8daa3969323ba42680" isNormal="1">
            <s:text>
              <s:r>
                <s:t xml:space="preserve">DELL:
3001838 4/25 456pcs
3001907 5/4 1176
3001933 5/5 999pcs
3001944 5/61529pcs</s:t>
              </s:r>
            </s:text>
          </item>
        </commentChain>
      </unresolved>
      <resolved/>
    </commentChains>
    <commentChains s:ref="T76" rgbClr="FF0000">
      <unresolved>
        <commentChain chainId="d8341d1dcb8050127694005e042fba0f773efb32">
          <item id="884405b3e5569ad9964407c29f31e73841bb5da1" isNormal="1">
            <s:text>
              <s:r>
                <s:t xml:space="preserve">Administrator:
</s:t>
              </s:r>
            </s:text>
          </item>
        </commentChain>
      </unresolved>
      <resolved/>
    </commentChains>
    <commentChains s:ref="V76" rgbClr="FF0000">
      <unresolved>
        <commentChain chainId="dd2a6873ffb964cd40d710bbd1589bfdc33ba433">
          <item id="1dac2865d90e25b0a7c9e6cd98ce60a29c39cf16" isNormal="1">
            <s:text>
              <s:r>
                <s:t xml:space="preserve">Administrator:
4/21 上警语贴纸 1365pcs</s:t>
              </s:r>
            </s:text>
          </item>
        </commentChain>
      </unresolved>
      <resolved/>
    </commentChains>
    <commentChains s:ref="T77" rgbClr="FF0000">
      <unresolved>
        <commentChain chainId="88e608a211335da2e1ced4ba490db723ed354b79">
          <item id="14a4dda781dadce090fe5b3896f9545177a43e2f" isNormal="1">
            <s:text>
              <s:r>
                <s:t xml:space="preserve">Administrator:
</s:t>
              </s:r>
            </s:text>
          </item>
        </commentChain>
      </unresolved>
      <resolved/>
    </commentChains>
    <commentChains s:ref="T78" rgbClr="FF0000">
      <unresolved>
        <commentChain chainId="2ade014b0134e2bd8fd550e2e28c38e2c62e5c05">
          <item id="da7dfeb95751740007beee2b3a821d29c5d0b6a0" isNormal="1">
            <s:text>
              <s:r>
                <s:t xml:space="preserve">Administrator:
5/12 1403457 17792pcs新仓库b3
</s:t>
              </s:r>
            </s:text>
          </item>
        </commentChain>
      </unresolved>
      <resolved/>
    </commentChains>
    <commentChains s:ref="V78" rgbClr="FF0000">
      <unresolved>
        <commentChain chainId="f74c77c7cc0f467c3a141fca5bfe55dbedd9bc50">
          <item id="23ac4f5cbf846242c64f818d8d46acae9d5d058b" isNormal="1">
            <s:text>
              <s:r>
                <s:t xml:space="preserve">DELL:
4/22 上粉色艾利贴纸 2092pcs
3/27 上客供RFID贴纸 17792pcs</s:t>
              </s:r>
            </s:text>
          </item>
        </commentChain>
      </unresolved>
      <resolved/>
    </commentChains>
    <commentChains s:ref="T79" rgbClr="FF0000">
      <unresolved>
        <commentChain chainId="6b63cc363bb9d9cdbf3d1a104fe37fd8eea5cfda">
          <item id="abe5f08e964bdf6048c392af4b357310f5342dbd" isNormal="1">
            <s:text>
              <s:r>
                <s:t xml:space="preserve">Administrator:
5/9 1403457 15680pcs新3-c3</s:t>
              </s:r>
            </s:text>
          </item>
        </commentChain>
      </unresolved>
      <resolved/>
    </commentChains>
    <commentChains s:ref="V79" rgbClr="FF0000">
      <unresolved>
        <commentChain chainId="6171f70bcd0544a6a506313b1098efcea76f5cc3">
          <item id="d069b443a67b007e641a65c82d776fa046b330d0" isNormal="1">
            <s:text>
              <s:r>
                <s:t xml:space="preserve">DELL:
4/22 上粉色艾利贴纸 2092pcs
3/27 上客供RFID贴纸 15680pcs
</s:t>
              </s:r>
            </s:text>
          </item>
        </commentChain>
      </unresolved>
      <resolved/>
    </commentChains>
    <commentChains s:ref="T80" rgbClr="FF0000">
      <unresolved>
        <commentChain chainId="8b8fef908c3a64e1538640f302f715f11e995e9c">
          <item id="3d01970b80fd43fbd88cbc3034331572d4db8b73" isNormal="1">
            <s:text>
              <s:r>
                <s:t xml:space="preserve">Administrator:
5/11 1403491 5239pcs新B6</s:t>
              </s:r>
            </s:text>
          </item>
        </commentChain>
      </unresolved>
      <resolved/>
    </commentChains>
    <commentChains s:ref="V80" rgbClr="FF0000">
      <unresolved>
        <commentChain chainId="d5aba0fdb01dedaf8d5b9e324c5293b7b8e9bd19">
          <item id="e8bc0a8eef29beacae53066429d6eb0a585908d2" isNormal="1">
            <s:text>
              <s:r>
                <s:t xml:space="preserve">DELL:
4/25 上外箱贴纸 403pcs
</s:t>
              </s:r>
            </s:text>
          </item>
        </commentChain>
      </unresolved>
      <resolved/>
    </commentChains>
    <commentChains s:ref="T81" rgbClr="FF0000">
      <unresolved>
        <commentChain chainId="fca2ee397fadf64ad5e526aa7ead4769384a1123">
          <item id="affe47095a91eee497acfee95533102ee2ec91d5" isNormal="1">
            <s:text>
              <s:r>
                <s:t xml:space="preserve">Administrator:
5/12 1403497 15360pcs新3-c3</s:t>
              </s:r>
            </s:text>
          </item>
        </commentChain>
      </unresolved>
      <resolved/>
    </commentChains>
    <commentChains s:ref="V81" rgbClr="FF0000">
      <unresolved>
        <commentChain chainId="929b9ceabf163fb69a77f92f89b85ecfd0cfe45e">
          <item id="9d29f35b637cff0f4c5c434a78e3566887e8a763" isNormal="1">
            <s:text>
              <s:r>
                <s:t xml:space="preserve">DELL:
4/8 上客供RFID贴纸 15360pcs</s:t>
              </s:r>
            </s:text>
          </item>
        </commentChain>
      </unresolved>
      <resolved/>
    </commentChains>
    <commentChains s:ref="T82" rgbClr="FF0000">
      <unresolved>
        <commentChain chainId="07a36b1073137254eaf59e27708c1e3134132c6e">
          <item id="4781b1b579edfec587fbebf6e23be42914b0d75e" isNormal="1">
            <s:text>
              <s:r>
                <s:t xml:space="preserve">Administrator:
5/12 1403497 10560 pcs新3 -c3</s:t>
              </s:r>
            </s:text>
          </item>
        </commentChain>
      </unresolved>
      <resolved/>
    </commentChains>
    <commentChains s:ref="V82" rgbClr="FF0000">
      <unresolved>
        <commentChain chainId="406faf068e2754c2073b58bce38c3e8771a132b8">
          <item id="e475f7be5d0926ba7f4ba2148e1c7f17a0101c12" isNormal="1">
            <s:text>
              <s:r>
                <s:t xml:space="preserve">DELL:
4/8 上客供RFID贴纸 10560pcs</s:t>
              </s:r>
            </s:text>
          </item>
        </commentChain>
      </unresolved>
      <resolved/>
    </commentChains>
    <commentChains s:ref="V83" rgbClr="FF0000">
      <unresolved>
        <commentChain chainId="440bdee67afb9677efc24d1e9be4ef0546f5667f">
          <item id="cf16b97151ca6bed77c67dbc85e51346f2b1899e" isNormal="1">
            <s:text>
              <s:r>
                <s:t xml:space="preserve">Administrator:
3/16 上白色防盗贴纸 585pcs
3/23 上Kmart外箱贴纸4*4 45pcs
4/11 上PDQ贴纸52*52mm 1241pcs
4500193541/4500193539共用
4/11 上PDQ贴纸50*38mm 2482pcs
4500193541/4500193539共用
4/11 上收藏指南贴纸40*40mm16133pcs
4500193541/4500193539共用
4/11 上收藏指南贴29*29mmmm32266pcs
4500193541/4500193539共用
4/18上kmart外箱贴纸45pcs
4/18上sscc外箱贴纸116pcs</s:t>
              </s:r>
            </s:text>
          </item>
        </commentChain>
      </unresolved>
      <resolved/>
    </commentChains>
    <commentChains s:ref="V84" rgbClr="FF0000">
      <unresolved>
        <commentChain chainId="7c74fc6cc3618c8076c253e56bb9340291e3645f">
          <item id="4a6b71af60ff6524a67a50dbb135b1d3801ed9cd" isNormal="1">
            <s:text>
              <s:r>
                <s:t xml:space="preserve">Administrator:
3/16 上白色防盗贴纸 7293pcs
3/23 上Kmart外箱贴纸4*4 561pcs
4/11 上PDQ贴纸52*52mm 1241pcs
4500193541/4500193539共用
4/11 上PDQ贴纸50*38mm 2482pcs
4500193541/4500193539共用
4/11 上收藏指南贴纸40*40mm16133pcs
4500193541/4500193539共用
4/11 上收藏指南贴29*29mmmm32266pcs
4500193541/4500193539共用
5/13上外箱贴纸561
</s:t>
              </s:r>
            </s:text>
          </item>
        </commentChain>
      </unresolved>
      <resolved/>
    </commentChains>
    <commentChains s:ref="T85" rgbClr="FF0000">
      <unresolved>
        <commentChain chainId="2facd23a8fb7da22355cb0053dc19d26f0672e2a">
          <item id="16b27a88a85c055d5334a095d31ffc6d75dc48c2" isNormal="1">
            <s:text>
              <s:r>
                <s:t xml:space="preserve">Administrator:
5/5 1403765 1416pcs</s:t>
              </s:r>
            </s:text>
          </item>
        </commentChain>
      </unresolved>
      <resolved/>
    </commentChains>
    <commentChains s:ref="V85" rgbClr="FF0000">
      <unresolved>
        <commentChain chainId="2a700971b84501d964126e788b61d19b4aff234f">
          <item id="2bf881bd24e89d48a1d00c0ed6c03f837c3d5ed2" isNormal="1">
            <s:text>
              <s:r>
                <s:t xml:space="preserve">Administrator:
3/16 上白色防盗贴纸 1417pcs
4/14 上Kmart贴纸109pcs
5/13上外箱贴纸109pcs</s:t>
              </s:r>
            </s:text>
          </item>
        </commentChain>
      </unresolved>
      <resolved/>
    </commentChains>
    <commentChains s:ref="T86" rgbClr="FF0000">
      <unresolved>
        <commentChain chainId="22197413a407fe2c17585033405643f6c0f5a197">
          <item id="80fbfd034231894f57b1ac34fba1679d1a9ae830" isNormal="1">
            <s:text>
              <s:r>
                <s:t xml:space="preserve">Administrator:
</s:t>
              </s:r>
            </s:text>
          </item>
        </commentChain>
      </unresolved>
      <resolved/>
    </commentChains>
    <commentChains s:ref="T87" rgbClr="FF0000">
      <unresolved>
        <commentChain chainId="3fa9e8e45fb426b5b640143c33743b071c3d36a0">
          <item id="509a81c8399b8a725c596ca9fd6c93141dd1c306" isNormal="1">
            <s:text>
              <s:r>
                <s:t xml:space="preserve">Administrator:
5/15 1403537 13440pcs新b17</s:t>
              </s:r>
            </s:text>
          </item>
        </commentChain>
      </unresolved>
      <resolved/>
    </commentChains>
    <commentChains s:ref="V87" rgbClr="FF0000">
      <unresolved>
        <commentChain chainId="0a251f025f3d7f440270933863a677567ea5fe6a">
          <item id="f3a833a9243dd7023858e9fb8c4928ff74a9c4a6" isNormal="1">
            <s:text>
              <s:r>
                <s:t xml:space="preserve">DELL:
4/27 上粉色艾利贴纸 5738pcs
196506/196505/196504共用</s:t>
              </s:r>
            </s:text>
          </item>
        </commentChain>
      </unresolved>
      <resolved/>
    </commentChains>
    <commentChains s:ref="T88" rgbClr="FF0000">
      <unresolved>
        <commentChain chainId="3d14e508783f25c205471faeec0b07c4eb4f05d9">
          <item id="20324118cdc07014fe2d189f833eb35f58279166" isNormal="1">
            <s:text>
              <s:r>
                <s:t xml:space="preserve">Administrator:
5/15 1403543 21056pcs新b10</s:t>
              </s:r>
            </s:text>
          </item>
        </commentChain>
      </unresolved>
      <resolved/>
    </commentChains>
    <commentChains s:ref="V88" rgbClr="FF0000">
      <unresolved>
        <commentChain chainId="86482bfbc8edca3e339d2004deb9f271decbd8bc">
          <item id="b0d059008feb076147e44bd4043eb486fbcf1917" isNormal="1">
            <s:text>
              <s:r>
                <s:t xml:space="preserve">DELL:
4/27 上粉色艾利贴纸 5738pcs
196506/196505/196504共用</s:t>
              </s:r>
            </s:text>
          </item>
        </commentChain>
      </unresolved>
      <resolved/>
    </commentChains>
    <commentChains s:ref="T89" rgbClr="FF0000">
      <unresolved>
        <commentChain chainId="5cf59edc46325586555b6176a982e154ac29ea8e">
          <item id="830febe90a25a04a23cacc08bf43264d9d1ee77d" isNormal="1">
            <s:text>
              <s:r>
                <s:t xml:space="preserve">Administrator:
</s:t>
              </s:r>
            </s:text>
          </item>
        </commentChain>
      </unresolved>
      <resolved/>
    </commentChains>
    <commentChains s:ref="T90" rgbClr="FF0000">
      <unresolved>
        <commentChain chainId="dd6073c415e638f4c2c18cb99da9d0269a01cc82">
          <item id="c7e00591ee9ba68325fdadd1870f9ab00fcf267b" isNormal="1">
            <s:text>
              <s:r>
                <s:t xml:space="preserve">Administrator:
</s:t>
              </s:r>
            </s:text>
          </item>
        </commentChain>
      </unresolved>
      <resolved/>
    </commentChains>
    <commentChains s:ref="T91" rgbClr="FF0000">
      <unresolved>
        <commentChain chainId="bfaa1173717196e03c510779ce4dae420596aa5b">
          <item id="5216d74fd88bcd5491b3dc6e2d074813373987fd" isNormal="1">
            <s:text>
              <s:r>
                <s:t xml:space="preserve">Administrator:
</s:t>
              </s:r>
            </s:text>
          </item>
        </commentChain>
      </unresolved>
      <resolved/>
    </commentChains>
    <commentChains s:ref="T92" rgbClr="FF0000">
      <unresolved>
        <commentChain chainId="52dcd917eb916c2383a77ac41974d4cf6597f791">
          <item id="d5e8a4bccdb39937a06422cf1be4a47d12c44cab" isNormal="1">
            <s:text>
              <s:r>
                <s:t xml:space="preserve">Administrator:
5/14 1405884 3840pcs新仓库B1</s:t>
              </s:r>
            </s:text>
          </item>
        </commentChain>
      </unresolved>
      <resolved/>
    </commentChains>
    <commentChains s:ref="T93" rgbClr="FF0000">
      <unresolved>
        <commentChain chainId="dd7a22404924f0341b4dde40cf32bb9f03157657">
          <item id="f4cbf409cdc3f9a85c5ff6e5ab4d3745ab43e754" isNormal="1">
            <s:text>
              <s:r>
                <s:t xml:space="preserve">Administrator:
</s:t>
              </s:r>
            </s:text>
          </item>
        </commentChain>
      </unresolved>
      <resolved/>
    </commentChains>
    <commentChains s:ref="V93" rgbClr="FF0000">
      <unresolved>
        <commentChain chainId="157f583922817f9cf393043eb5ce8e248013304e">
          <item id="19066cc66585f116d3a2c3a7c1e4b7d447271a48" isNormal="1">
            <s:text>
              <s:r>
                <s:t xml:space="preserve">Administrator
5/7 上客供亚马逊外箱贴纸144pcs
</s:t>
              </s:r>
            </s:text>
          </item>
        </commentChain>
      </unresolved>
      <resolved/>
    </commentChains>
    <commentChains s:ref="T94" rgbClr="FF0000">
      <unresolved>
        <commentChain chainId="d4c809cdd077dd1df3259fd50dad400ad3a7bdfc">
          <item id="390930ee2962120b1c625a53aef040af55fe873e" isNormal="1">
            <s:text>
              <s:r>
                <s:t xml:space="preserve">Administrator:
</s:t>
              </s:r>
            </s:text>
          </item>
        </commentChain>
      </unresolved>
      <resolved/>
    </commentChains>
    <commentChains s:ref="V94" rgbClr="FF0000">
      <unresolved>
        <commentChain chainId="36f975cef92804e8ec93c5eea9f561de95d17740">
          <item id="c043e2b05f6e3a5faf7d3ffeb1019243d4e200e0" isNormal="1">
            <s:text>
              <s:r>
                <s:t xml:space="preserve">Administrator
5/7 上客供亚马逊外箱贴纸262pcs
</s:t>
              </s:r>
            </s:text>
          </item>
        </commentChain>
      </unresolved>
      <resolved/>
    </commentChains>
    <commentChains s:ref="T95" rgbClr="FF0000">
      <unresolved>
        <commentChain chainId="c03694a4c4a42265a65655ba92b3ea999e104ccf">
          <item id="299c21ee521e985ac8ae0c1feccdd6786fe47100" isNormal="1">
            <s:text>
              <s:r>
                <s:t xml:space="preserve">Administrator:
</s:t>
              </s:r>
            </s:text>
          </item>
        </commentChain>
      </unresolved>
      <resolved/>
    </commentChains>
    <commentChains s:ref="V95" rgbClr="FF0000">
      <unresolved>
        <commentChain chainId="ef59185f9418271ec0f1aeb77298aba9d49312e2">
          <item id="f3314876556fa956857ee7828fc3da0b00e21f2c" isNormal="1">
            <s:text>
              <s:r>
                <s:t xml:space="preserve">Administrator
5/7 上客供亚马逊外箱贴纸119pcs
</s:t>
              </s:r>
            </s:text>
          </item>
        </commentChain>
      </unresolved>
      <resolved/>
    </commentChains>
    <commentChains s:ref="T96" rgbClr="FF0000">
      <unresolved>
        <commentChain chainId="1d43217844f305341a86b91a41ab63d0e6095d00">
          <item id="7edc0dcdaa42336c15c86b5755a9cc8f182657a9" isNormal="1">
            <s:text>
              <s:r>
                <s:t xml:space="preserve">Administrator:
</s:t>
              </s:r>
            </s:text>
          </item>
        </commentChain>
      </unresolved>
      <resolved/>
    </commentChains>
    <commentChains s:ref="V96" rgbClr="FF0000">
      <unresolved>
        <commentChain chainId="368de158804203a6f418d9844d8bfb41845bddb5">
          <item id="e76df1c97f39829188adfb4ad5271107fc6e98e2" isNormal="1">
            <s:text>
              <s:r>
                <s:t xml:space="preserve">Administrator
5/7 上客供亚马逊外箱贴纸116pcs
</s:t>
              </s:r>
            </s:text>
          </item>
        </commentChain>
      </unresolved>
      <resolved/>
    </commentChains>
    <commentChains s:ref="T97" rgbClr="FF0000">
      <unresolved>
        <commentChain chainId="842868192b51dbb28c452fd55c40e2bce89f0b79">
          <item id="ab291fe94dc8855f477f07000f1e095a37585e6b" isNormal="1">
            <s:text>
              <s:r>
                <s:t xml:space="preserve">Administrator:
</s:t>
              </s:r>
            </s:text>
          </item>
        </commentChain>
      </unresolved>
      <resolved/>
    </commentChains>
    <commentChains s:ref="T98" rgbClr="FF0000">
      <unresolved>
        <commentChain chainId="043a48dda6238271d1a269057cf25413430c875b">
          <item id="db4af38d0985a7f428b1b7dffbd29fcdb81c4e90" isNormal="1">
            <s:text>
              <s:r>
                <s:t xml:space="preserve">Administrator:
</s:t>
              </s:r>
            </s:text>
          </item>
        </commentChain>
      </unresolved>
      <resolved/>
    </commentChains>
    <commentChains s:ref="S99" rgbClr="FF0000">
      <unresolved>
        <commentChain chainId="3ff1106d0efde6d16f79382026bebc14e84e8968">
          <item id="4f211ec61eb95609913192a9dfa0fa8678de9017" isNormal="1">
            <s:text>
              <s:r>
                <s:t xml:space="preserve">Administrator:
5/21 1403269 4160pcs</s:t>
              </s:r>
            </s:text>
          </item>
        </commentChain>
      </unresolved>
      <resolved/>
    </commentChains>
    <commentChains s:ref="T99" rgbClr="FF0000">
      <unresolved>
        <commentChain chainId="63e0bb674266298cec31866142ae17dbfd0671dd">
          <item id="a4f7cff3dd0d49b1136b752d161790e0e2c5f2e3" isNormal="1">
            <s:text>
              <s:r>
                <s:t xml:space="preserve">Administrator:
5/21 1403269 4160pcs</s:t>
              </s:r>
            </s:text>
          </item>
        </commentChain>
      </unresolved>
      <resolved/>
    </commentChains>
    <commentChains s:ref="T100" rgbClr="FF0000">
      <unresolved>
        <commentChain chainId="eec08ece403ca4bd83e8ea1193302d3111c86e39">
          <item id="4d307726cb8092f5c49433891cb08469d1878634" isNormal="1">
            <s:text>
              <s:r>
                <s:t xml:space="preserve">Administrator:
5/22 1403313 25950pcs新B12</s:t>
              </s:r>
            </s:text>
          </item>
        </commentChain>
      </unresolved>
      <resolved/>
    </commentChains>
    <commentChains s:ref="V100" rgbClr="FF0000">
      <unresolved>
        <commentChain chainId="63b197786a112dfb85cea13a3e1173a252d90b78">
          <item id="86ece06328054168d8ea979a5dcb23e618168eef" isNormal="1">
            <s:text>
              <s:r>
                <s:t xml:space="preserve">Administrator:
5/7 上客供外箱条码贴纸 1049pcs</s:t>
              </s:r>
            </s:text>
          </item>
        </commentChain>
      </unresolved>
      <resolved/>
    </commentChains>
    <commentChains s:ref="T101" rgbClr="FF0000">
      <unresolved>
        <commentChain chainId="aaa7dfb25a975e7a6072d1a9ddbfb0549246a88f">
          <item id="28b57dc9ad1aba7bee23d6d5f61a903a8d9d8cc6" isNormal="1">
            <s:text>
              <s:r>
                <s:t xml:space="preserve">Administrator:
5/22 1403313 41125pcs新B12
</s:t>
              </s:r>
            </s:text>
          </item>
        </commentChain>
      </unresolved>
      <resolved/>
    </commentChains>
    <commentChains s:ref="V101" rgbClr="FF0000">
      <unresolved>
        <commentChain chainId="12477236768c8d3749b58a6a763125b57836205e">
          <item id="683598ec5f18917cd75f50334656764e5e147aec" isNormal="1">
            <s:text>
              <s:r>
                <s:t xml:space="preserve">Administrator:
5/7 上客供外箱条码贴纸 1662pcs</s:t>
              </s:r>
            </s:text>
          </item>
        </commentChain>
      </unresolved>
      <resolved/>
    </commentChains>
    <commentChains s:ref="T103" rgbClr="FF0000">
      <unresolved>
        <commentChain chainId="2bc62d6548e747e94e7c95e3d92d7dac88e00e27">
          <item id="bfc69252a01fd68e9cf6ebd9d5bd9b36efe277f1" isNormal="1">
            <s:text>
              <s:r>
                <s:t xml:space="preserve">Administrator:
5/21 1403296 8000pcs</s:t>
              </s:r>
            </s:text>
          </item>
        </commentChain>
      </unresolved>
      <resolved/>
    </commentChains>
    <commentChains s:ref="V103" rgbClr="FF0000">
      <unresolved>
        <commentChain chainId="f79620b39afc8cf2c7f590536cd292ee5202ea35">
          <item id="041af5eb3191dee4fe72ac304e723f964772620e" isNormal="1">
            <s:text>
              <s:r>
                <s:t xml:space="preserve">Administrator:
3/19 上客人通用进口商贴纸5000pcs
5/6 上PDQ唱片贴纸240pcs
5/6上PDQ上数字贴纸120pcs
5/6上收藏指南上数字贴纸3000pcs
5/6 上收藏指南唱片贴纸6000pcs
5/20 上客人通用进口商贴纸5000pcs
</s:t>
              </s:r>
            </s:text>
          </item>
        </commentChain>
      </unresolved>
      <resolved/>
    </commentChains>
    <commentChains s:ref="T104" rgbClr="FF0000">
      <unresolved>
        <commentChain chainId="578e153b7b2c627aa7bd1eb514b87c48f1cbe390">
          <item id="0e2cd47db976ef06022a6e7f4eb7cf8891b15efa" isNormal="1">
            <s:text>
              <s:r>
                <s:t xml:space="preserve">Administrator:
5/20 1405821 8750pcs</s:t>
              </s:r>
            </s:text>
          </item>
        </commentChain>
      </unresolved>
      <resolved/>
    </commentChains>
    <commentChains s:ref="V104" rgbClr="FF0000">
      <unresolved>
        <commentChain chainId="fcef33bce8f420062e7555b1d63766966d64c1ed">
          <item id="0465cc2aad59c6c16a231145ad94c560a280db55" isNormal="1">
            <s:text>
              <s:r>
                <s:t xml:space="preserve">DELL:
4/24 上多语警语折叠贴纸 850pcs</s:t>
              </s:r>
            </s:text>
          </item>
        </commentChain>
      </unresolved>
      <resolved/>
    </commentChains>
    <commentChains s:ref="T105" rgbClr="FF0000">
      <unresolved>
        <commentChain chainId="0c9d6c51c30ffdc5b6d7c5875cb9fb93a2c2ae88">
          <item id="48d4a1669e149a5415d41f81dace8b63f490390f" isNormal="1">
            <s:text>
              <s:r>
                <s:t xml:space="preserve">Administrator:
</s:t>
              </s:r>
            </s:text>
          </item>
          <item id="d1467ec1e45de38b3579d110317f4836a83f18f1" userID="1850010794" userName="龙丽娟" dateTime="2026-05-30T08:48:01" isNormal="0">
            <s:text>
              <s:r>
                <s:t xml:space="preserve">5/27 280021 24672pcs新2a14</s:t>
              </s:r>
            </s:text>
          </item>
        </commentChain>
      </unresolved>
      <resolved/>
    </commentChains>
    <commentChains s:ref="V105" rgbClr="FF0000">
      <unresolved>
        <commentChain chainId="344af03aeb836b25c01ba02573b89c53f5941b1f">
          <item id="c6d470bbc88c11731bc49d65d1162e213b756969" isNormal="1">
            <s:text>
              <s:r>
                <s:t xml:space="preserve">DELL:
4/27 上粉色艾利贴纸 5738pcs
196506/196505/196504共用</s:t>
              </s:r>
            </s:text>
          </item>
        </commentChain>
      </unresolved>
      <resolved/>
    </commentChains>
    <commentChains s:ref="T106" rgbClr="FF0000">
      <unresolved>
        <commentChain chainId="bd8ed1d25b849c38dad64006393a1a5a253ebdbb">
          <item id="e5c220a0c47d53c8a5e6bcca02d84734afd142f7" userID="1850010794" userName="龙丽娟" dateTime="2026-05-30T08:20:38" isNormal="0">
            <s:text>
              <s:r>
                <s:t xml:space="preserve">197340 5/27 14400pcsB栋4楼-B9</s:t>
              </s:r>
            </s:text>
          </item>
        </commentChain>
      </unresolved>
      <resolved/>
    </commentChains>
    <commentChains s:ref="T107" rgbClr="FF0000">
      <unresolved>
        <commentChain chainId="472192e4563bd44c4dc3c147419be19c2c0dfafd">
          <item id="c6975704e0eef22d5ab61904ba32330ad931270c" isNormal="1">
            <s:text>
              <s:r>
                <s:t xml:space="preserve">Administrator:
5/23 1403357 11520pcs</s:t>
              </s:r>
            </s:text>
          </item>
        </commentChain>
      </unresolved>
      <resolved/>
    </commentChains>
    <commentChains s:ref="T108" rgbClr="FF0000">
      <unresolved>
        <commentChain chainId="6d43d41d8c18cb5af07047e46bd0e06434b7805b">
          <item id="e3e02f41b3b7563fc8e332c37b910396204f5f6d" userID="1850010794" userName="龙丽娟" dateTime="2026-05-30T08:19:03" isNormal="0">
            <s:text>
              <s:r>
                <s:t xml:space="preserve">5/25 1403331 3000pcs新2B7</s:t>
              </s:r>
            </s:text>
          </item>
        </commentChain>
      </unresolved>
      <resolved/>
    </commentChains>
    <commentChains s:ref="T109" rgbClr="FF0000">
      <unresolved>
        <commentChain chainId="f519b9363026f5cd5b9968056d0f191030ad0c76">
          <item id="39ed4f500b401213222503ba39fa5dfc69b22f47" isNormal="1">
            <s:text>
              <s:r>
                <s:t xml:space="preserve">Administrator:
5/23 1403365 7664pcs</s:t>
              </s:r>
            </s:text>
          </item>
        </commentChain>
      </unresolved>
      <resolved/>
    </commentChains>
    <commentChains s:ref="T110" rgbClr="FF0000">
      <unresolved>
        <commentChain chainId="82c7d8bace476de07a815e621ea2898b485ae0d3">
          <item id="05dea64a392749cb7c0c6bf82f57100caec41d17" isNormal="1">
            <s:text>
              <s:r>
                <s:t xml:space="preserve">Administrator:
</s:t>
              </s:r>
            </s:text>
          </item>
          <item id="135d5650494f46b8fcc8b2a5f5e5736df2e09e68" userID="1850010794" userName="龙丽娟" dateTime="2026-06-01T05:20:29" isNormal="0">
            <s:text>
              <s:r>
                <s:t xml:space="preserve">5/27 3002532 4320PCS</s:t>
              </s:r>
            </s:text>
          </item>
        </commentChain>
      </unresolved>
      <resolved/>
    </commentChains>
    <commentChains s:ref="T111" rgbClr="FF0000">
      <unresolved>
        <commentChain chainId="a7f1372f182329a58494523d83d97cd88813e303">
          <item id="1caef12682bbcb605546795c10dfcf99eb838933" userID="1850010794" userName="龙丽娟" dateTime="2026-06-01T06:18:19" isNormal="0">
            <s:text>
              <s:r>
                <s:t xml:space="preserve">5/29 2800077 12064pcs应兴B4</s:t>
              </s:r>
            </s:text>
          </item>
        </commentChain>
      </unresolved>
      <resolved/>
    </commentChains>
    <commentChains s:ref="T112" rgbClr="FF0000">
      <unresolved>
        <commentChain chainId="9cf78420016021d60b07d897acfe47a5c86589cf">
          <item id="85fc1fb0c4b350cfda551f78fe5801f1f1b34101" isNormal="1">
            <s:text>
              <s:r>
                <s:t xml:space="preserve">Administrator:
5/22 1403313 1680pcs 新B4
</s:t>
              </s:r>
            </s:text>
          </item>
        </commentChain>
      </unresolved>
      <resolved/>
    </commentChains>
    <commentChains s:ref="V112" rgbClr="FF0000">
      <unresolved>
        <commentChain chainId="ad1fa1be96962589232e9d472ed66fc81683984b">
          <item id="4d94b8a5bd986e9319e8ab1f811ec8d695cde97b" isNormal="1">
            <s:text>
              <s:r>
                <s:t xml:space="preserve">Administrator
5/7 上客供亚马逊外箱贴纸140pcs
</s:t>
              </s:r>
            </s:text>
          </item>
        </commentChain>
      </unresolved>
      <resolved/>
    </commentChains>
    <commentChains s:ref="T113" rgbClr="FF0000">
      <unresolved>
        <commentChain chainId="ad67d7c9aff4e5d794a4963b2c597cefe3f511fc">
          <item id="d9efc37da9cd7c019d8d78011da4d1f08c5c14e4" userID="1850010794" userName="龙丽娟" dateTime="2026-05-30T08:41:51" isNormal="0">
            <s:text>
              <s:r>
                <s:t xml:space="preserve">5/27 2800015 1320pcs新2b9</s:t>
              </s:r>
            </s:text>
          </item>
        </commentChain>
      </unresolved>
      <resolved/>
    </commentChains>
    <commentChains s:ref="V113" rgbClr="FF0000">
      <unresolved>
        <commentChain chainId="4e2a8f861c4496ddcca2d9bcf9b2c23e41b2705b">
          <item id="06dda40dbafe26bcfe7e4d0118d91696a60f8ba0" isNormal="1">
            <s:text>
              <s:r>
                <s:t xml:space="preserve">Administrator
5/7 上客供亚马逊外箱贴纸111pcs
</s:t>
              </s:r>
            </s:text>
          </item>
        </commentChain>
      </unresolved>
      <resolved/>
    </commentChains>
    <commentChains s:ref="T114" rgbClr="FF0000">
      <unresolved>
        <commentChain chainId="2424cb5595026a1a27dacedaa943d78b8169377d">
          <item id="d4aa2c86b8e613469161ead4c0bdf7fac2e436e9" userID="1850010794" userName="龙丽娟" dateTime="2026-05-30T08:42:28" isNormal="0">
            <s:text>
              <s:r>
                <s:t xml:space="preserve">5/27 2800015 1500pcs新2b9</s:t>
              </s:r>
            </s:text>
          </item>
        </commentChain>
      </unresolved>
      <resolved/>
    </commentChains>
    <commentChains s:ref="V114" rgbClr="FF0000">
      <unresolved>
        <commentChain chainId="baa875aad5d47f349498795c5ce045284f3672dc">
          <item id="afd520ff70ecc40f026c364ea3318602895b6db9" isNormal="1">
            <s:text>
              <s:r>
                <s:t xml:space="preserve">Administrator
5/7 上客供亚马逊外箱贴纸125pcs
</s:t>
              </s:r>
            </s:text>
          </item>
        </commentChain>
      </unresolved>
      <resolved/>
    </commentChains>
    <commentChains s:ref="T115" rgbClr="FF0000">
      <unresolved>
        <commentChain chainId="bdb7f94a75b086204ad600d63ea4582aba1cac34">
          <item id="df66def97fbd1d86a8aa4cb0f4424e5d9a7bdf5d" userID="1850010794" userName="龙丽娟" dateTime="2026-06-07T05:38:56" isNormal="0">
            <s:text>
              <s:r>
                <s:t xml:space="preserve">5/27 2800015 1500pcs新2b9</s:t>
              </s:r>
            </s:text>
          </item>
        </commentChain>
      </unresolved>
      <resolved/>
    </commentChains>
    <commentChains s:ref="V115" rgbClr="FF0000">
      <unresolved>
        <commentChain chainId="a241fd6137a03b0e76b0bceefa19d8f7df69fab6">
          <item id="921a621f69182095dc00c699091840e739d740d8" isNormal="1">
            <s:text>
              <s:r>
                <s:t xml:space="preserve">Administrator
5/7 上客供亚马逊外箱贴纸119pcs
</s:t>
              </s:r>
            </s:text>
          </item>
        </commentChain>
      </unresolved>
      <resolved/>
    </commentChains>
    <commentChains s:ref="T116" rgbClr="FF0000">
      <unresolved>
        <commentChain chainId="faa944e4d8aa32adcecf71e51e4e8dd0aeb73bb3">
          <item id="88622f9d22ae09db1c7b1976ced1519aef66cfdf" userID="1850010794" userName="龙丽娟" dateTime="2026-05-30T08:46:10" isNormal="0">
            <s:text>
              <s:r>
                <s:t xml:space="preserve">5/27 2800015 1392pcsb9</s:t>
              </s:r>
            </s:text>
          </item>
        </commentChain>
      </unresolved>
      <resolved/>
    </commentChains>
    <commentChains s:ref="V116" rgbClr="FF0000">
      <unresolved>
        <commentChain chainId="4fb7ba6565ab0abbbaf604ac91a244a9a7950ce7">
          <item id="3c233af22c07ef1360a2bd50d927db53bf3a7fa0" isNormal="1">
            <s:text>
              <s:r>
                <s:t xml:space="preserve">Administrator
5/7 上客供亚马逊外箱贴纸116pcs
</s:t>
              </s:r>
            </s:text>
          </item>
        </commentChain>
      </unresolved>
      <resolved/>
    </commentChains>
    <commentChains s:ref="T117" rgbClr="FF0000">
      <unresolved>
        <commentChain chainId="71c98f978db87ac7232f0e0f8e78bdf769a94d19">
          <item id="846488ce13da99f94b8b3dbb67f8ee5551d52175" userID="1850010794" userName="龙丽娟" dateTime="2026-06-07T05:39:39" isNormal="0">
            <s:text>
              <s:r>
                <s:t xml:space="preserve">5/27 2800015 1250pcs新2b9</s:t>
              </s:r>
            </s:text>
          </item>
        </commentChain>
      </unresolved>
      <resolved/>
    </commentChains>
    <commentChains s:ref="V118" rgbClr="FF0000">
      <unresolved>
        <commentChain chainId="088c6d44f5ffba7b16516edcd832a9156b000130">
          <item id="9d4e332065ca870cb346127590c3b6d5175b334a" isNormal="1">
            <s:text>
              <s:r>
                <s:t xml:space="preserve">Administrator:
3/16 上白色防盗贴纸 91pcs
4/14 上Kmart贴纸7pcs
5/13上外箱贴纸7pcs</s:t>
              </s:r>
            </s:text>
          </item>
        </commentChain>
      </unresolved>
      <resolved/>
    </commentChains>
    <commentChains s:ref="T119" rgbClr="FF0000">
      <unresolved>
        <commentChain chainId="e210bfbdb0b2f47a246b1ab5473b19015813967c">
          <item id="6df883b29dea9befc2b8104255594fbd46e22ef8" isNormal="1">
            <s:text>
              <s:r>
                <s:t xml:space="preserve">Administrator:
5/16 1403589 1508pcs</s:t>
              </s:r>
            </s:text>
          </item>
        </commentChain>
      </unresolved>
      <resolved/>
    </commentChains>
    <commentChains s:ref="V119" rgbClr="FF0000">
      <unresolved>
        <commentChain chainId="8cb69f0ad394bbf650ca13b1c12538ba9736bfa7">
          <item id="83a4c35e4b25748478abe8d4f3964f3d42f9d5f0" isNormal="1">
            <s:text>
              <s:r>
                <s:t xml:space="preserve">Administrator:
4/29上白色防盗贴纸1508pcs
</s:t>
              </s:r>
            </s:text>
          </item>
        </commentChain>
      </unresolved>
      <resolved/>
    </commentChains>
    <commentChains s:ref="T120" rgbClr="FF0000">
      <unresolved>
        <commentChain chainId="c9b59d175b08de520d5868c07632f09731191756">
          <item id="84e8bbb7bfba063aa7b8dee92221048232cc8fbc" userID="1850010794" userName="龙丽娟" dateTime="2026-06-01T05:37:55" isNormal="0">
            <s:text>
              <s:r>
                <s:t xml:space="preserve">5/26 2800002 1508pcs</s:t>
              </s:r>
            </s:text>
          </item>
        </commentChain>
      </unresolved>
      <resolved/>
    </commentChains>
    <commentChains s:ref="V120" rgbClr="FF0000">
      <unresolved>
        <commentChain chainId="4fd89641f51affa016c289d4cdb02a67f8beb35a">
          <item id="4236b0dd91766fd00e0e2ac8d912614142dadbe7" isNormal="1">
            <s:text>
              <s:r>
                <s:t xml:space="preserve">Administrator:
4/18上sscc外箱贴纸116pcs
</s:t>
              </s:r>
            </s:text>
          </item>
        </commentChain>
      </unresolved>
      <resolved/>
    </commentChains>
    <commentChains s:ref="T121" rgbClr="FF0000">
      <unresolved>
        <commentChain chainId="399b9076bb56e3c9dc4726c1bce1ade2f4fd53b8">
          <item id="7fcd8ffd0352d6d25fb881d8fcd22b5bd650efed" userID="1850010794" userName="龙丽娟" dateTime="2026-06-01T06:17:20" isNormal="0">
            <s:text>
              <s:r>
                <s:t xml:space="preserve">5/29 2800077 1200pcs应兴B4</s:t>
              </s:r>
            </s:text>
          </item>
        </commentChain>
      </unresolved>
      <resolved/>
    </commentChains>
    <commentChains s:ref="V121" rgbClr="FF0000">
      <unresolved>
        <commentChain chainId="5ff23102db77b9e3935e668dcde06fac1b8cb065">
          <item id="8b7b8a71f4fa2bc7c3e68b354afa6c52ca591f39" isNormal="1">
            <s:text>
              <s:r>
                <s:t xml:space="preserve">Administrator:
5/15上PDQ数字贴纸76
4500197867/198032公用</s:t>
              </s:r>
            </s:text>
          </item>
        </commentChain>
      </unresolved>
      <resolved/>
    </commentChains>
    <commentChains s:ref="T122" rgbClr="FF0000">
      <unresolved>
        <commentChain chainId="b254733b7f6e525e064dbf4de841ff4e65439614">
          <item id="9db4a073f73dbe23c7aff8e2653c0ca9a88cacb9" userID="1850010794" userName="龙丽娟" dateTime="2026-06-01T06:17:30" isNormal="0">
            <s:text>
              <s:r>
                <s:t xml:space="preserve">5/29 2800077 2600pcs应兴B4</s:t>
              </s:r>
            </s:text>
          </item>
        </commentChain>
      </unresolved>
      <resolved/>
    </commentChains>
    <commentChains s:ref="V122" rgbClr="FF0000">
      <unresolved>
        <commentChain chainId="4faa969cdfc0221d03e354915cfdaa679bc0aadc">
          <item id="b346d2c1d3daabf22cbdef3069875a5b441b3050" isNormal="1">
            <s:text>
              <s:r>
                <s:t xml:space="preserve">Administrator:
5/15上PDQ数字贴纸76
5/15上PDQ唱片贴纸152
4500197867/198032公用</s:t>
              </s:r>
            </s:text>
          </item>
        </commentChain>
      </unresolved>
      <resolved/>
    </commentChains>
    <commentChains s:ref="T123" rgbClr="FF0000">
      <unresolved>
        <commentChain chainId="6a4351dd5ded51e7e1a44daa360f0677f86c620c">
          <item id="31cbc6aea34c35b5b6bef0625b486db80038988a" userID="1850010794" userName="龙丽娟" dateTime="2026-06-04T03:05:09" isNormal="0">
            <s:text>
              <s:r>
                <s:t xml:space="preserve">6/1 2800101  15904 pcs 新2c1</s:t>
              </s:r>
            </s:text>
          </item>
        </commentChain>
      </unresolved>
      <resolved/>
    </commentChains>
    <commentChains s:ref="V123" rgbClr="FF0000">
      <unresolved>
        <commentChain chainId="1799cede6ad8e690be927404cbff37d9e4260c35">
          <item id="64c2823dc42a27e557707b74853fdf09671d1331" isNormal="1">
            <s:text>
              <s:r>
                <s:t xml:space="preserve">DELL:
4/27 上粉色艾利贴纸 5738pcs
196506/196505/196504共用</s:t>
              </s:r>
            </s:text>
          </item>
        </commentChain>
      </unresolved>
      <resolved/>
    </commentChains>
    <commentChains s:ref="T124" rgbClr="FF0000">
      <unresolved>
        <commentChain chainId="65077a689451182a1ce9df3240aab8b824d38737">
          <item id="59fe95a5ff7015f27564b98d41f3b5f5353f58df" userID="1850010794" userName="龙丽娟" dateTime="2026-06-04T03:06:54" isNormal="0">
            <s:text>
              <s:r>
                <s:t xml:space="preserve">6/1 2800101 14400pcs新2c5</s:t>
              </s:r>
            </s:text>
          </item>
        </commentChain>
      </unresolved>
      <resolved/>
    </commentChains>
    <commentChains s:ref="T125" rgbClr="FF0000">
      <unresolved>
        <commentChain chainId="40349f799ae1f906a2b8e6bb70b73a649ff23d88">
          <item id="e53428b308ed57c48cdbbd43e6fb405d3143197a" userID="1850010794" userName="龙丽娟" dateTime="2026-05-30T08:23:44" isNormal="0">
            <s:text>
              <s:r>
                <s:t xml:space="preserve">5/27 2800030 962PCSB4-B9</s:t>
              </s:r>
            </s:text>
          </item>
        </commentChain>
      </unresolved>
      <resolved/>
    </commentChains>
    <commentChains s:ref="V125" rgbClr="FF0000">
      <unresolved>
        <commentChain chainId="37e52d525338b5f3c25d9efe4a05de9dcc979ed3">
          <item id="012c07c6d8ff73fd3413a6d3dc3bfcb1ea14a9c0" isNormal="1">
            <s:text>
              <s:r>
                <s:t xml:space="preserve">Administrator:
4/29上白色防盗贴纸962pcs
5/11 kmart外箱贴纸74pcs</s:t>
              </s:r>
            </s:text>
          </item>
        </commentChain>
      </unresolved>
      <resolved/>
    </commentChains>
    <commentChains s:ref="T126" rgbClr="FF0000">
      <unresolved>
        <commentChain chainId="f33bc254cdf89884c11767f7fdc69a4cae902f87">
          <item id="869880b9d2e398acbe7343670d1bc8d62aa7a914" userID="1850010794" userName="龙丽娟" dateTime="2026-05-30T08:23:07" isNormal="0">
            <s:text>
              <s:r>
                <s:t xml:space="preserve">5/27 2800030 14638pcsB栋4楼B9</s:t>
              </s:r>
            </s:text>
          </item>
        </commentChain>
      </unresolved>
      <resolved/>
    </commentChains>
    <commentChains s:ref="V126" rgbClr="FF0000">
      <unresolved>
        <commentChain chainId="4d6e30105ea69e90d99f30a1848424f964586262">
          <item id="57063c808d362d3a1d525d8d37bd1ad4a600d8e4" isNormal="1">
            <s:text>
              <s:r>
                <s:t xml:space="preserve">Administrator:
4/29 上白色防盗贴纸14638pcs</s:t>
              </s:r>
            </s:text>
          </item>
        </commentChain>
      </unresolved>
      <resolved/>
    </commentChains>
    <commentChains s:ref="V127" rgbClr="FF0000">
      <unresolved>
        <commentChain chainId="0dc464d5ac4c4760a3f8f2f17f0da1a90a16d3d5">
          <item id="87170fe4f5c96359ca490ef478142e80c1f398cc" isNormal="1">
            <s:text>
              <s:r>
                <s:t xml:space="preserve">DELL:
4/27 上粉色艾利贴纸 5738pcs
196506/196505/196504共用</s:t>
              </s:r>
            </s:text>
          </item>
        </commentChain>
      </unresolved>
      <resolved/>
    </commentChains>
    <commentChains s:ref="T128" rgbClr="FF0000">
      <unresolved>
        <commentChain chainId="baf1b699d5ee2706d8d69aa9d502fc9fab58b1ea">
          <item id="adcafde5c1aa91c59859c89cdb7e58bedc844afa" isNormal="1">
            <s:text>
              <s:r>
                <s:t xml:space="preserve">Administrator:
5/20 1403914 1392pcs
5/21 3001749 2928pcs</s:t>
              </s:r>
            </s:text>
          </item>
        </commentChain>
      </unresolved>
      <resolved/>
    </commentChains>
    <commentChains s:ref="T129" rgbClr="FF0000">
      <unresolved>
        <commentChain chainId="0d7acefda58945a48448455f026318f8d3043279">
          <item id="36244675b09d2a5ae2de0bb74866a61c21b7e917" userID="1850010794" userName="龙丽娟" dateTime="2026-06-04T02:54:59" isNormal="0">
            <s:text>
              <s:r>
                <s:t xml:space="preserve">6/1 2800112 6720pcs新2c1</s:t>
              </s:r>
            </s:text>
          </item>
        </commentChain>
      </unresolved>
      <resolved/>
    </commentChains>
    <commentChains s:ref="T130" rgbClr="FF0000">
      <unresolved>
        <commentChain chainId="452ed37ac01176da477aec76fc140fedfd8ad51b">
          <item id="43a97f218f9e90506816db6b45fb50fb77efcd0a" userID="1850010794" userName="龙丽娟" dateTime="2026-06-07T05:39:24" isNormal="0">
            <s:text>
              <s:r>
                <s:t xml:space="preserve">5/27 2800015 9600pcs新2b9</s:t>
              </s:r>
            </s:text>
          </item>
        </commentChain>
      </unresolved>
      <resolved/>
    </commentChains>
    <commentChains s:ref="T131" rgbClr="FF0000">
      <unresolved>
        <commentChain chainId="183ba9ac1ce6b1e12f1589c5014b15d46ab00f8d">
          <item id="1ff96e20da0a1babac581663368a45f248583c85" userID="1850010794" userName="龙丽娟" dateTime="2026-05-30T08:03:07" isNormal="0">
            <s:text>
              <s:r>
                <s:t xml:space="preserve">5/25 1403330 8400pcs</s:t>
              </s:r>
            </s:text>
          </item>
        </commentChain>
      </unresolved>
      <resolved/>
    </commentChains>
    <commentChains s:ref="AX131" rgbClr="FF0000">
      <unresolved>
        <commentChain chainId="f5e28ec027e4c4c0eb22fd7550011c11190704f1">
          <item id="1bc354451512022b0de60a030f56d97cf3e46f1c" isNormal="1">
            <s:text>
              <s:r>
                <s:t xml:space="preserve">RR:
移除21/23号唱片客版收藏指南</s:t>
              </s:r>
            </s:text>
          </item>
        </commentChain>
      </unresolved>
      <resolved/>
    </commentChains>
    <commentChains s:ref="T132" rgbClr="FF0000">
      <unresolved>
        <commentChain chainId="c92ddf1292494f6727f32d53119a1ab62fd38ba8">
          <item id="e68d3fa04fa6ed5d89bc7ffca5e13a4a3967f91f" userID="1850010794" userName="龙丽娟" dateTime="2026-06-04T02:15:08" isNormal="0">
            <s:text>
              <s:r>
                <s:t xml:space="preserve">5/30 2800093 7150PCS新2D3</s:t>
              </s:r>
            </s:text>
          </item>
        </commentChain>
      </unresolved>
      <resolved/>
    </commentChains>
    <commentChains s:ref="T134" rgbClr="FF0000">
      <unresolved>
        <commentChain chainId="2534a405508ed4fd82203f14c7c18b792dd38463">
          <item id="748c7120035ba965e9d99c5f831f0761bf304c8e" userID="1850010794" userName="龙丽娟" dateTime="2026-06-01T06:18:03" isNormal="0">
            <s:text>
              <s:r>
                <s:t xml:space="preserve">5/29 2800077 5000pcs应兴B4</s:t>
              </s:r>
            </s:text>
          </item>
        </commentChain>
      </unresolved>
      <resolved/>
    </commentChains>
    <commentChains s:ref="T135" rgbClr="FF0000">
      <unresolved>
        <commentChain chainId="125fb94ec56bcd526245dbdafa10c16a12c3f199">
          <item id="f369806f341a6ad8e9dcbae2fa7b91676e2322f9" isNormal="1">
            <s:text>
              <s:r>
                <s:t xml:space="preserve">Administrator:
5/12 454pcs
5/14 1224pcs
5/23 296pcs 3001741</s:t>
              </s:r>
            </s:text>
          </item>
        </commentChain>
      </unresolved>
      <resolved/>
    </commentChains>
    <commentChains s:ref="BB135" rgbClr="FF0000">
      <unresolved>
        <commentChain chainId="0214511c5f3ed26640e1dfb1b62601c8d8e86317">
          <item id="253110de648d72db2225bcaef0355ae3164d2ced" isNormal="1">
            <s:text>
              <s:r>
                <s:t xml:space="preserve">RR:
客版新资料</s:t>
              </s:r>
            </s:text>
          </item>
        </commentChain>
      </unresolved>
      <resolved/>
    </commentChains>
    <commentChains s:ref="BC135" rgbClr="FF0000">
      <unresolved>
        <commentChain chainId="cbbcf5bd5202e31f645611aa6343180ae30796ca">
          <item id="94c684b7b4e2e7cb4c29f876defa7480d44b7563" isNormal="1">
            <s:text>
              <s:r>
                <s:t xml:space="preserve">RR:
客版新资料</s:t>
              </s:r>
            </s:text>
          </item>
        </commentChain>
      </unresolved>
      <resolved/>
    </commentChains>
    <commentChains s:ref="BD135" rgbClr="FF0000">
      <unresolved>
        <commentChain chainId="722109b2c5a719f99f34d7780124e1819308bb12">
          <item id="3c1649cce7477593225354d525df34514fb8cd70" isNormal="1">
            <s:text>
              <s:r>
                <s:t xml:space="preserve">RR:
客版新资料</s:t>
              </s:r>
            </s:text>
          </item>
        </commentChain>
      </unresolved>
      <resolved/>
    </commentChains>
    <commentChains s:ref="BE135" rgbClr="FF0000">
      <unresolved>
        <commentChain chainId="c4b0caebae19b0afec4134cf14403498119c22b5">
          <item id="3d8320ff60ff951a218131b4c3a9088fd8bc94d9" isNormal="1">
            <s:text>
              <s:r>
                <s:t xml:space="preserve">RR:
客版新资料</s:t>
              </s:r>
            </s:text>
          </item>
        </commentChain>
      </unresolved>
      <resolved/>
    </commentChains>
    <commentChains s:ref="BF135" rgbClr="FF0000">
      <unresolved>
        <commentChain chainId="3a0069618775ebfe5ee9d6399a8e7a971a2045ca">
          <item id="4d8b639609024cb0ac06871391253515088aca41" isNormal="1">
            <s:text>
              <s:r>
                <s:t xml:space="preserve">RR:
客版新资料</s:t>
              </s:r>
            </s:text>
          </item>
        </commentChain>
      </unresolved>
      <resolved/>
    </commentChains>
    <commentChains s:ref="T136" rgbClr="FF0000">
      <unresolved>
        <commentChain chainId="0372cd9bfde3cf0048bffd2ca0574de3ca4afae5">
          <item id="9ac09a2695750c59896a0b506c5c6621990c336f" userID="1850010794" userName="龙丽娟" dateTime="2026-06-10T09:04:10" isNormal="0">
            <s:text>
              <s:r>
                <s:t xml:space="preserve">2801123 6/6 7500PCS欣泰B3</s:t>
              </s:r>
            </s:text>
          </item>
        </commentChain>
      </unresolved>
      <resolved/>
    </commentChains>
    <commentChains s:ref="T137" rgbClr="FF0000">
      <unresolved>
        <commentChain chainId="94ec70964985a9b65e245afc436f1306e55e15bc">
          <item id="f7662c7e090357a201cb03f1750e4985081c15e3" userID="1850010794" userName="龙丽娟" dateTime="2026-06-04T02:42:40" isNormal="0">
            <s:text>
              <s:r>
                <s:t xml:space="preserve">5/30 2800089 2500pcs新B4-B2</s:t>
              </s:r>
            </s:text>
          </item>
        </commentChain>
      </unresolved>
      <resolved/>
    </commentChains>
    <commentChains s:ref="V137" rgbClr="FF0000">
      <unresolved>
        <commentChain chainId="57c11b5c3d1100396ea52e96bda4fdd317c42c30">
          <item id="d208c6ea6391fbf66ea09d8d1ae246426f10e6ce" isNormal="1">
            <s:text>
              <s:r>
                <s:t xml:space="preserve">Administrator:
5/13 上收藏指南贴纸100pcs
5/13 上收藏指南唱片贴纸200pcs
5/13上PDQ贴纸200pcs
5/13上PDQ上数字贴纸100pcs
5/13上客人通用进口商贴纸2500pcs
.
</s:t>
              </s:r>
            </s:text>
          </item>
        </commentChain>
      </unresolved>
      <resolved/>
    </commentChains>
    <commentChains s:ref="AK137" rgbClr="FF0000">
      <unresolved>
        <commentChain chainId="6b816e26f81c9cfd6d60fa16acf1035fde2f2ce2">
          <item id="b4168765fcd45b575f463c55a42d87b30d7c3bed" isNormal="1">
            <s:text>
              <s:r>
                <s:t xml:space="preserve">Administrator:
</s:t>
              </s:r>
            </s:text>
          </item>
        </commentChain>
      </unresolved>
      <resolved/>
    </commentChains>
    <commentChains s:ref="AX137" rgbClr="FF0000">
      <unresolved>
        <commentChain chainId="9fb26668a7e4f0a6a47494d7ee8ea2ddae952ee3">
          <item id="f19683321f3997432f9d900b4adae322c81f6eb6" isNormal="1">
            <s:text>
              <s:r>
                <s:t xml:space="preserve">RR:
移除21/23号唱片客版收藏指南</s:t>
              </s:r>
            </s:text>
          </item>
        </commentChain>
      </unresolved>
      <resolved/>
    </commentChains>
    <commentChains s:ref="T138" rgbClr="FF0000">
      <unresolved>
        <commentChain chainId="17d603f4c1a86dfe96572e2092cf1b40fb28b50e">
          <item id="939346ec9b3c6015a071f2810fb61162ed152951" userID="1850010794" userName="龙丽娟" dateTime="2026-06-04T02:42:24" isNormal="0">
            <s:text>
              <s:r>
                <s:t xml:space="preserve">5/30 2800089 2880pcs新B4-B2</s:t>
              </s:r>
            </s:text>
          </item>
        </commentChain>
      </unresolved>
      <resolved/>
    </commentChains>
    <commentChains s:ref="V138" rgbClr="FF0000">
      <unresolved>
        <commentChain chainId="38af17fa80da7c6805d9425ac8e7cde091795b85">
          <item id="8a828ee19176f715263c54ff38c0786b4bebfe4b" isNormal="1">
            <s:text>
              <s:r>
                <s:t xml:space="preserve">Administrator:
5/13 上收藏指南贴纸80pcs
5/13 上收藏指南唱片贴纸160pcs
5/13上PDQ贴纸160pcs
5/13上PDQ上数字贴纸80pcs
5/13上客人通用进口商贴纸2880pcs
.
</s:t>
              </s:r>
            </s:text>
          </item>
        </commentChain>
      </unresolved>
      <resolved/>
    </commentChains>
    <commentChains s:ref="AX138" rgbClr="FF0000">
      <unresolved>
        <commentChain chainId="f8416f697fe7b3a1b457695640bd1d4b8ce67019">
          <item id="577caae570052362ebf98ae9e79b44893afffad5" isNormal="1">
            <s:text>
              <s:r>
                <s:t xml:space="preserve">RR:
移除21/23号唱片客版收藏指南</s:t>
              </s:r>
            </s:text>
          </item>
        </commentChain>
      </unresolved>
      <resolved/>
    </commentChains>
    <commentChains s:ref="T139" rgbClr="FF0000">
      <unresolved>
        <commentChain chainId="27b283958335cf26828adac0137522a5c1d5cc9d">
          <item id="20a73361dabbf8cd6f17b0dfa753e5aee243ea36" userID="1850010794" userName="龙丽娟" dateTime="2026-06-11T02:26:53" isNormal="0">
            <s:text>
              <s:r>
                <s:t xml:space="preserve">6/9 2801171 700pcs顶均B5</s:t>
              </s:r>
            </s:text>
          </item>
          <item id="7e338024700b5677d3bf68700d06545677adad72" userID="1850010794" userName="龙丽娟" dateTime="2026-06-11T02:35:58" isNormal="0">
            <s:text>
              <s:r>
                <s:t xml:space="preserve">6/9 2801157 7300pcspcs欣泰B3</s:t>
              </s:r>
            </s:text>
          </item>
        </commentChain>
      </unresolved>
      <resolved/>
    </commentChains>
    <commentChains s:ref="V140" rgbClr="FF0000">
      <unresolved>
        <commentChain chainId="4a6ae72671b86b8acf788f363a336677068fbb85">
          <item id="e397729013da1b4fa92375d0ffc738ad3f6dedb9" isNormal="1">
            <s:text>
              <s:r>
                <s:t xml:space="preserve">Administrator:
5/16 上警告语/环保标贴纸4296pcs
5/16 上空白贴纸8592pcs</s:t>
              </s:r>
            </s:text>
          </item>
        </commentChain>
      </unresolved>
      <resolved/>
    </commentChains>
    <commentChains s:ref="T141" rgbClr="FF0000">
      <unresolved>
        <commentChain chainId="54869c1b29eb7f623919ba97faf13345633f4301">
          <item id="510cd076bdae52844c63aa41f3b655137bc35eba" userID="1850010794" userName="龙丽娟" dateTime="2026-05-30T08:21:29" isNormal="0">
            <s:text>
              <s:r>
                <s:t xml:space="preserve">5/27 2800032 720pcs直走</s:t>
              </s:r>
            </s:text>
          </item>
        </commentChain>
      </unresolved>
      <resolved/>
    </commentChains>
    <commentChains s:ref="V141" rgbClr="FF0000">
      <unresolved>
        <commentChain chainId="d4d11416d0c1c56d5eb64f928480f7a08a048e7d">
          <item id="d6a12ad33600fd01e897340e1ba6963a3ba571b3" isNormal="1">
            <s:text>
              <s:r>
                <s:t xml:space="preserve">Administrator:
5/13 上空白贴纸1440pcs
5/13 上CAT LABEL720PCS
5/13 上数字贴纸720PCS</s:t>
              </s:r>
            </s:text>
          </item>
        </commentChain>
      </unresolved>
      <resolved/>
    </commentChains>
    <commentChains s:ref="T142" rgbClr="FF0000">
      <unresolved>
        <commentChain chainId="eb9730114d21a2e8e8d541043ddc26c0710017aa">
          <item id="8a6edd3f4a5ab3e12cc930f1af9dc6e150ccf16a" userID="1850010794" userName="龙丽娟" dateTime="2026-06-01T05:21:14" isNormal="0">
            <s:text>
              <s:r>
                <s:t xml:space="preserve">5/28 3002532 4320PCS</s:t>
              </s:r>
            </s:text>
          </item>
        </commentChain>
      </unresolved>
      <resolved/>
    </commentChains>
    <commentChains s:ref="T143" rgbClr="FF0000">
      <unresolved>
        <commentChain chainId="25d82886bce85b160b3167e2ddc9ed80ef0c3f27">
          <item id="b3f9fd6ec9a3774a93863a46bc4d5ae3682e5152" userID="1850010794" userName="龙丽娟" dateTime="2026-05-30T08:34:03" isNormal="0">
            <s:text>
              <s:r>
                <s:t xml:space="preserve">5/27 2800017 8697pcs五车间</s:t>
              </s:r>
            </s:text>
          </item>
        </commentChain>
      </unresolved>
      <resolved/>
    </commentChains>
    <commentChains s:ref="T144" rgbClr="FF0000">
      <unresolved>
        <commentChain chainId="3fe16728e3a9b4d3837f11605908f0d1bdfabbf8">
          <item id="47a870ed25e148a38b9b809bf01e130d00d7c9d3" userID="1850010794" userName="龙丽娟" dateTime="2026-06-04T02:24:45" isNormal="0">
            <s:text>
              <s:r>
                <s:t xml:space="preserve">5/30 2800091 700pcs新2D3</s:t>
              </s:r>
            </s:text>
          </item>
        </commentChain>
      </unresolved>
      <resolved/>
    </commentChains>
    <commentChains s:ref="V144" rgbClr="FF0000">
      <unresolved>
        <commentChain chainId="790400e1cc54183ce389593b43e345d84e39bf0e">
          <item id="2bf641aca68a6dbd9faaad15b15cea25bc4732e1" isNormal="1">
            <s:text>
              <s:r>
                <s:t xml:space="preserve">Administrator:
5/20 包装贴纸1210pcs</s:t>
              </s:r>
            </s:text>
          </item>
        </commentChain>
      </unresolved>
      <resolved/>
    </commentChains>
    <commentChains s:ref="T145" rgbClr="FF0000">
      <unresolved>
        <commentChain chainId="98de06c3954e7efae31d2fe588ae99603b1c29d9">
          <item id="b1c824cfd4e54d8a5094506d303d8bd800a17eaf" userID="1850010794" userName="龙丽娟" dateTime="2026-06-04T02:16:44" isNormal="0">
            <s:text>
              <s:r>
                <s:t xml:space="preserve">5/30 2800093 5892pcs新2D3</s:t>
              </s:r>
            </s:text>
          </item>
        </commentChain>
      </unresolved>
      <resolved/>
    </commentChains>
    <commentChains s:ref="V145" rgbClr="FF0000">
      <unresolved>
        <commentChain chainId="65a651e42397ec33511b7f31f7ee2abd3ba824a1">
          <item id="fac6131e1b3d3aebe8817a97708b68024cd06536" isNormal="1">
            <s:text>
              <s:r>
                <s:t xml:space="preserve">Administrator
5/7 上客供亚马逊外箱贴纸491pcs
</s:t>
              </s:r>
            </s:text>
          </item>
        </commentChain>
      </unresolved>
      <resolved/>
    </commentChains>
    <commentChains s:ref="T146" rgbClr="FF0000">
      <unresolved>
        <commentChain chainId="14fc769bfce271d4eeec89e331d8f999144a319c">
          <item id="f39ee41078a1c7b9458d3bf860a021acb281cc68" userID="1850010794" userName="龙丽娟" dateTime="2026-06-04T02:16:59" isNormal="0">
            <s:text>
              <s:r>
                <s:t xml:space="preserve">5/30 2800093 5832pcs新2D3</s:t>
              </s:r>
            </s:text>
          </item>
        </commentChain>
      </unresolved>
      <resolved/>
    </commentChains>
    <commentChains s:ref="V146" rgbClr="FF0000">
      <unresolved>
        <commentChain chainId="c0fbd2ec2724361e352eb30447ff6e784061af5b">
          <item id="69597509edaacac41381a58acf4d5e617da236e6" isNormal="1">
            <s:text>
              <s:r>
                <s:t xml:space="preserve">Administrator
5/7 上客供亚马逊外箱贴纸486pcs
</s:t>
              </s:r>
            </s:text>
          </item>
        </commentChain>
      </unresolved>
      <resolved/>
    </commentChains>
    <commentChains s:ref="T147" rgbClr="FF0000">
      <unresolved>
        <commentChain chainId="7556cc8942d5bfdedf852a542b3f5588a82ef0dc">
          <item id="cf7932a21f819a3124ab25462f5534a93eb54ae8" userID="1850010794" userName="龙丽娟" dateTime="2026-06-01T05:45:15" isNormal="0">
            <s:text>
              <s:r>
                <s:t xml:space="preserve">5/28 2800056 6960pcs五车间</s:t>
              </s:r>
            </s:text>
          </item>
        </commentChain>
      </unresolved>
      <resolved/>
    </commentChains>
    <commentChains s:ref="V147" rgbClr="FF0000">
      <unresolved>
        <commentChain chainId="71e919a31550fed96019511ecf62244067bb9d0a">
          <item id="30adebda581a210c5ed81c29989a2882a875dc32" isNormal="1">
            <s:text>
              <s:r>
                <s:t xml:space="preserve">Administrator
5/7 上客供亚马逊外箱贴纸580pcs
</s:t>
              </s:r>
            </s:text>
          </item>
        </commentChain>
      </unresolved>
      <resolved/>
    </commentChains>
    <commentChains s:ref="T148" rgbClr="FF0000">
      <unresolved>
        <commentChain chainId="290cae98b91d3454f5da9ecffb2ab33945bc5462">
          <item id="f1a491742b6502a1c372ceb71e90b44accbc0be6" userID="1850010794" userName="龙丽娟" dateTime="2026-06-07T05:43:28" isNormal="0">
            <s:text>
              <s:r>
                <s:t xml:space="preserve">6/4 2801073 16775pcs欣泰D5</s:t>
              </s:r>
            </s:text>
          </item>
        </commentChain>
      </unresolved>
      <resolved/>
    </commentChains>
    <commentChains s:ref="V148" rgbClr="FF0000">
      <unresolved>
        <commentChain chainId="79b76364ebd7fa844b296e59990622ac98111b35">
          <item id="ca81eaf2931330567a353e842146cefe27982a13" isNormal="1">
            <s:text>
              <s:r>
                <s:t xml:space="preserve">Administrator:
5/7 上客供外箱条码贴纸 678pcs</s:t>
              </s:r>
            </s:text>
          </item>
        </commentChain>
      </unresolved>
      <resolved/>
    </commentChains>
    <commentChains s:ref="T149" rgbClr="FF0000">
      <unresolved>
        <commentChain chainId="85c4c610ed4079f4c42c77d0aa5fda76ba17a72a">
          <item id="b8dc65ef6e263f16cda8567dfb51ee0addafe330" userID="1850010794" userName="龙丽娟" dateTime="2026-06-04T02:16:16" isNormal="0">
            <s:text>
              <s:r>
                <s:t xml:space="preserve">5/30 2800093 1001pcs新2D3</s:t>
              </s:r>
            </s:text>
          </item>
        </commentChain>
      </unresolved>
      <resolved/>
    </commentChains>
    <commentChains s:ref="T150" rgbClr="FF0000">
      <unresolved>
        <commentChain chainId="e0db5c9b54ae4b59e80481d016794e703d67708b">
          <item id="8242d2368bb40c6dc3b186499df5850a9f574084" userID="1850010794" userName="龙丽娟" dateTime="2026-06-04T02:25:00" isNormal="0">
            <s:text>
              <s:r>
                <s:t xml:space="preserve">5/30 2800091 700pcs直走</s:t>
              </s:r>
            </s:text>
          </item>
        </commentChain>
      </unresolved>
      <resolved/>
    </commentChains>
    <commentChains s:ref="T152" rgbClr="FF0000">
      <unresolved>
        <commentChain chainId="61e18caea54f812b21295dad718b02c68911f22e">
          <item id="89f25809f895da2cc2ee2211a3e57df40e5db294" userID="1850010794" userName="龙丽娟" dateTime="2026-05-30T08:24:31" isNormal="0">
            <s:text>
              <s:r>
                <s:t xml:space="preserve">5/27 4500PCS 2800030 B4-B9</s:t>
              </s:r>
            </s:text>
          </item>
        </commentChain>
      </unresolved>
      <resolved/>
    </commentChains>
    <commentChains s:ref="V152" rgbClr="FF0000">
      <unresolved>
        <commentChain chainId="4f51a0cba2e29f240858f4c63e013dccbe5688dc">
          <item id="24165274c43b59d7ac52d4607ab43307582f7e34" isNormal="1">
            <s:text>
              <s:r>
                <s:t xml:space="preserve">Administrator:
3/21 上UPC贴纸 4500pcs
     上价格贴纸 4500pcs
      上shipping label 4*6in1720pcs
</s:t>
              </s:r>
            </s:text>
          </item>
        </commentChain>
      </unresolved>
      <resolved/>
    </commentChains>
    <commentChains s:ref="T153" rgbClr="FF0000">
      <unresolved>
        <commentChain chainId="377ac703ea1a94376a465673e1311757a7e31723">
          <item id="abcfe1b8483406667d6bf3342994d66f21859dca" userID="1850010794" userName="龙丽娟" dateTime="2026-06-06T09:17:45" isNormal="0">
            <s:text>
              <s:r>
                <s:t xml:space="preserve">6/3 2801059 4121pcs欣泰A3</s:t>
              </s:r>
            </s:text>
          </item>
        </commentChain>
      </unresolved>
      <resolved/>
    </commentChains>
    <commentChains s:ref="V153" rgbClr="FF0000">
      <unresolved>
        <commentChain chainId="41051a364c9ee2c04bc9c7c97c0d8f14e4f377ff">
          <item id="79f2dc80d1ff2eb19abc029ee2873ddb674442fc" isNormal="1">
            <s:text>
              <s:r>
                <s:t xml:space="preserve">Administrator:
5/16 上多语警语折叠贴纸6500pcs</s:t>
              </s:r>
            </s:text>
          </item>
        </commentChain>
      </unresolved>
      <resolved/>
    </commentChains>
    <commentChains s:ref="T154" rgbClr="FF0000">
      <unresolved>
        <commentChain chainId="1c531d6be9e533d0af0c5fc57682b769d4f5bc5d">
          <item id="248b8f5cc6711f85fe5fb2185e99d6d10dc86549" userID="1850010794" userName="龙丽娟" dateTime="2026-06-07T05:39:12" isNormal="0">
            <s:text>
              <s:r>
                <s:t xml:space="preserve">5/27 2800015 3250pcs新2b9</s:t>
              </s:r>
            </s:text>
          </item>
        </commentChain>
      </unresolved>
      <resolved/>
    </commentChains>
    <commentChains s:ref="AX154" rgbClr="FF0000">
      <unresolved>
        <commentChain chainId="0e01c2ed45a806c15964beb209213de4859582a4">
          <item id="d82c178a5b4ad51258e0fc90f49629b7b9391ea8" isNormal="1">
            <s:text>
              <s:r>
                <s:t xml:space="preserve">RR:
移除21/23号唱片客版收藏指南</s:t>
              </s:r>
            </s:text>
          </item>
        </commentChain>
      </unresolved>
      <resolved/>
    </commentChains>
    <commentChains s:ref="T155" rgbClr="FF0000">
      <unresolved>
        <commentChain chainId="3a3d04da6826a569d67e0a79b2afc22f033de9b6">
          <item id="47ae60c312610c041fc3f4c769122b2b9c50472f" userID="1850010794" userName="龙丽娟" dateTime="2026-06-11T03:28:44" isNormal="0">
            <s:text>
              <s:r>
                <s:t xml:space="preserve">6/6 2801162 3000pcs</s:t>
              </s:r>
            </s:text>
          </item>
        </commentChain>
      </unresolved>
      <resolved/>
    </commentChains>
    <commentChains s:ref="V155" rgbClr="FF0000">
      <unresolved>
        <commentChain chainId="857ae440cb6604ff51e598235b6dfd83da7a1595">
          <item id="b617f30551c800c3184a96170d39e99839d5448a" isNormal="1">
            <s:text>
              <s:r>
                <s:t xml:space="preserve">Administrator:
5/16 上多语警语折叠贴纸3000ocs</s:t>
              </s:r>
            </s:text>
          </item>
        </commentChain>
      </unresolved>
      <resolved/>
    </commentChains>
    <commentChains s:ref="AX158" rgbClr="FF0000">
      <unresolved>
        <commentChain chainId="cc6dabbf87a2b8b8d607764e887b404773341564">
          <item id="20556b31948e4212522ca6d75cb469ccb8a636ba" isNormal="1">
            <s:text>
              <s:r>
                <s:t xml:space="preserve">RR:
移除21/23号唱片客版收藏指南</s:t>
              </s:r>
            </s:text>
          </item>
        </commentChain>
      </unresolved>
      <resolved/>
    </commentChains>
    <commentChains s:ref="BB165" rgbClr="FF0000">
      <unresolved>
        <commentChain chainId="b0041db259a74357d4c47e28939707407e66b65c">
          <item id="080577e038e7544e7119a134d7ec426efaa3525c" isNormal="1">
            <s:text>
              <s:r>
                <s:t xml:space="preserve">RR:
客版新资料</s:t>
              </s:r>
            </s:text>
          </item>
        </commentChain>
      </unresolved>
      <resolved/>
    </commentChains>
    <commentChains s:ref="BC165" rgbClr="FF0000">
      <unresolved>
        <commentChain chainId="a528f4c23386e6cf7b6651c20442ce42e8461112">
          <item id="e2fa88b104c30d8cd110230c7363caa3a8e9ac01" isNormal="1">
            <s:text>
              <s:r>
                <s:t xml:space="preserve">RR:
客版新资料</s:t>
              </s:r>
            </s:text>
          </item>
        </commentChain>
      </unresolved>
      <resolved/>
    </commentChains>
    <commentChains s:ref="BD165" rgbClr="FF0000">
      <unresolved>
        <commentChain chainId="63c4b9e3fc0d7fc47c9bc84fae6744e43470d355">
          <item id="8d000484a87eac8884b3e3049ce0fcd02368dad3" isNormal="1">
            <s:text>
              <s:r>
                <s:t xml:space="preserve">RR:
客版新资料</s:t>
              </s:r>
            </s:text>
          </item>
        </commentChain>
      </unresolved>
      <resolved/>
    </commentChains>
    <commentChains s:ref="BE165" rgbClr="FF0000">
      <unresolved>
        <commentChain chainId="541fd20cceb602301073a082d8416a186e7bfb02">
          <item id="218bc5fa5bc4496271806f6ae10a81342b43341e" isNormal="1">
            <s:text>
              <s:r>
                <s:t xml:space="preserve">RR:
客版新资料</s:t>
              </s:r>
            </s:text>
          </item>
        </commentChain>
      </unresolved>
      <resolved/>
    </commentChains>
    <commentChains s:ref="BF165" rgbClr="FF0000">
      <unresolved>
        <commentChain chainId="40efc116bd0c82fb66e84c784e36ae38c17be77e">
          <item id="21e6ab114997819172775bee09355dc4b534dcd8" isNormal="1">
            <s:text>
              <s:r>
                <s:t xml:space="preserve">RR:
客版新资料</s:t>
              </s:r>
            </s:text>
          </item>
        </commentChain>
      </unresolved>
      <resolved/>
    </commentChains>
    <commentChains s:ref="BB166" rgbClr="FF0000">
      <unresolved>
        <commentChain chainId="5492a5ffae1d13ba9c8d56cb5b150b9b0171887e">
          <item id="16133e15a65676ad662165310f56ae9f760a8193" isNormal="1">
            <s:text>
              <s:r>
                <s:t xml:space="preserve">RR:
客版新资料</s:t>
              </s:r>
            </s:text>
          </item>
        </commentChain>
      </unresolved>
      <resolved/>
    </commentChains>
    <commentChains s:ref="BC166" rgbClr="FF0000">
      <unresolved>
        <commentChain chainId="c480db7cc79f8c479a844ce1c22df38725f0e0ad">
          <item id="418c1828da4245483a05eb74a8b55836fbc98c8a" isNormal="1">
            <s:text>
              <s:r>
                <s:t xml:space="preserve">RR:
客版新资料</s:t>
              </s:r>
            </s:text>
          </item>
        </commentChain>
      </unresolved>
      <resolved/>
    </commentChains>
    <commentChains s:ref="BD166" rgbClr="FF0000">
      <unresolved>
        <commentChain chainId="ef0bff544bbfe39a4f5c59f6f0a625afb20800a9">
          <item id="55899ce3e96b4e6910d0b830d9b8d59661331279" isNormal="1">
            <s:text>
              <s:r>
                <s:t xml:space="preserve">RR:
客版新资料</s:t>
              </s:r>
            </s:text>
          </item>
        </commentChain>
      </unresolved>
      <resolved/>
    </commentChains>
    <commentChains s:ref="BE166" rgbClr="FF0000">
      <unresolved>
        <commentChain chainId="a270edef9e88ed80c4378c4a14c6b363312f1adc">
          <item id="8ae449edf246232aa168dc3f7ca4c7fb62ee63dd" isNormal="1">
            <s:text>
              <s:r>
                <s:t xml:space="preserve">RR:
客版新资料</s:t>
              </s:r>
            </s:text>
          </item>
        </commentChain>
      </unresolved>
      <resolved/>
    </commentChains>
    <commentChains s:ref="BF166" rgbClr="FF0000">
      <unresolved>
        <commentChain chainId="da5767ca0efd58cc2f39f2522f98e7638cf0c9f4">
          <item id="4e2a0d8df34598ca819d0e7deae87cbde1f42065" isNormal="1">
            <s:text>
              <s:r>
                <s:t xml:space="preserve">RR:
客版新资料</s:t>
              </s:r>
            </s:text>
          </item>
        </commentChain>
      </unresolved>
      <resolved/>
    </commentChains>
    <commentChains s:ref="T167" rgbClr="FF0000">
      <unresolved>
        <commentChain chainId="aabd13d94f399d8efccf7f5271c3121002fead8b">
          <item id="1ee33cb39254134e33da415669da4b6d21495345" userID="1850010794" userName="龙丽娟" dateTime="2026-06-07T05:42:56" isNormal="0">
            <s:text>
              <s:r>
                <s:t xml:space="preserve">6/4 2801073 10868pcs欣泰D5</s:t>
              </s:r>
            </s:text>
          </item>
        </commentChain>
      </unresolved>
      <resolved/>
    </commentChains>
    <commentChains s:ref="V167" rgbClr="FF0000">
      <unresolved>
        <commentChain chainId="82961037cc1aa36c27cc969b9a2c169e0a508831">
          <item id="b2368de7b47131993aea69a333227d6be98e4030" isNormal="1">
            <s:text>
              <s:r>
                <s:t xml:space="preserve">Administrator:
5/15 上四国警告语贴纸10868pcs</s:t>
              </s:r>
            </s:text>
          </item>
          <item id="cdf356462f8a3de93c73e18e571b54dcd1a9b447" userID="1850010794" userName="龙丽娟" dateTime="2026-07-12T08:15:07" isNormal="0">
            <s:text>
              <s:r>
                <s:t xml:space="preserve">7/3上空白贴纸4008pcs</s:t>
              </s:r>
            </s:text>
          </item>
        </commentChain>
      </unresolved>
      <resolved/>
    </commentChains>
    <commentChains s:ref="T171" rgbClr="FF0000">
      <unresolved>
        <commentChain chainId="f64195ba0959abcceb7b325ffe2fab213b034b5e">
          <item id="8f86968649841c3759564d52988b8fd4439bc88f" userID="1850010794" userName="龙丽娟" dateTime="2026-06-07T07:53:45" isNormal="0">
            <s:text>
              <s:r>
                <s:t xml:space="preserve">6/5 2801114 1040pcs新2B5</s:t>
              </s:r>
            </s:text>
          </item>
        </commentChain>
      </unresolved>
      <resolved/>
    </commentChains>
    <commentChains s:ref="V171" rgbClr="FF0000">
      <unresolved>
        <commentChain chainId="c969657800b0b5f0815153df5947bdafeb5fe329">
          <item id="becd0a00d9853a8e51f2f77a0cee80f85cba6c93" isNormal="1">
            <s:text>
              <s:r>
                <s:t xml:space="preserve">Administrator:
5/15 SNI label贴纸1040pcs</s:t>
              </s:r>
            </s:text>
          </item>
        </commentChain>
      </unresolved>
      <resolved/>
    </commentChains>
    <commentChains s:ref="V172" rgbClr="FF0000">
      <unresolved>
        <commentChain chainId="72fb244e5866ef56f96100c77dbb1168d2b6f1e1">
          <item id="9406bb58145ae790bf7d6592f2b3ae8a891334a3" isNormal="1">
            <s:text>
              <s:r>
                <s:t xml:space="preserve">Administrator:
4/29 上白色防盗贴纸403pcs
5/14 上Kmart外箱贴纸31pcs
</s:t>
              </s:r>
            </s:text>
          </item>
        </commentChain>
      </unresolved>
      <resolved/>
    </commentChains>
    <commentChains s:ref="AX172" rgbClr="FF0000">
      <unresolved>
        <commentChain chainId="741e03aeb3f3da9240976f6a585fb079d84acce4">
          <item id="fee4c2123a98c903f42d075055f08042e1357730" isNormal="1">
            <s:text>
              <s:r>
                <s:t xml:space="preserve">RR:
移除21/23号唱片客版收藏指南</s:t>
              </s:r>
            </s:text>
          </item>
        </commentChain>
      </unresolved>
      <resolved/>
    </commentChains>
    <commentChains s:ref="V173" rgbClr="FF0000">
      <unresolved>
        <commentChain chainId="4644b86c5cf3b4bc6f87ddda376a4ba5e77271bd">
          <item id="10c8582f7810c0f8f80b526e05a6446f3acffcff" isNormal="1">
            <s:text>
              <s:r>
                <s:t xml:space="preserve">Administrator:
5/14 上Kmart外箱贴纸469pcs
</s:t>
              </s:r>
            </s:text>
          </item>
        </commentChain>
      </unresolved>
      <resolved/>
    </commentChains>
    <commentChains s:ref="AX173" rgbClr="FF0000">
      <unresolved>
        <commentChain chainId="e479eb548c7ffd9379d8b563afa881b1b94f14c7">
          <item id="5cecb6050322bb98449e87e07e18d65d11e9b101" isNormal="1">
            <s:text>
              <s:r>
                <s:t xml:space="preserve">RR:
移除21/23号唱片客版收藏指南</s:t>
              </s:r>
            </s:text>
          </item>
        </commentChain>
      </unresolved>
      <resolved/>
    </commentChains>
    <commentChains s:ref="T174" rgbClr="FF0000">
      <unresolved>
        <commentChain chainId="5ade174f19c7f10a51b02408a682b1f87977bffb">
          <item id="7e792f7607af710e87e62f82a113e9e5657148d7" userID="1850010794" userName="龙丽娟" dateTime="2026-06-10T09:04:59" isNormal="0">
            <s:text>
              <s:r>
                <s:t xml:space="preserve">2801123 6/6 5720pcs欣泰B4</s:t>
              </s:r>
            </s:text>
          </item>
        </commentChain>
      </unresolved>
      <resolved/>
    </commentChains>
    <commentChains s:ref="T175" rgbClr="FF0000">
      <unresolved>
        <commentChain chainId="2f8b75132ee44f1a8378f3d20bf9a031bbeda72c">
          <item id="c4754deb5f18dbcbc187232b16187fac8b1e01ae" userID="1850010794" userName="龙丽娟" dateTime="2026-06-10T08:54:47" isNormal="0">
            <s:text>
              <s:r>
                <s:t xml:space="preserve">2801161 6/8 1300pcs顶均B7</s:t>
              </s:r>
            </s:text>
          </item>
        </commentChain>
      </unresolved>
      <resolved/>
    </commentChains>
    <commentChains s:ref="V175" rgbClr="FF0000">
      <unresolved>
        <commentChain chainId="8e8bac66772fa0c1adb603c61eaced5d5b29e200">
          <item id="d62cf4c2805d4a6223ff93532f7e39ed95f26963" isNormal="1">
            <s:text>
              <s:r>
                <s:t xml:space="preserve">Administrator:
5/16 上多语警语折叠贴纸1300ocs</s:t>
              </s:r>
            </s:text>
          </item>
        </commentChain>
      </unresolved>
      <resolved/>
    </commentChains>
    <commentChains s:ref="T176" rgbClr="FF0000">
      <unresolved>
        <commentChain chainId="73a2720f4bad0cbdcd740aa0f6a8c48fd2f41ff8">
          <item id="6bf687ece85d2480e96794fd62b9ad0174e60a02" userID="1850010794" userName="龙丽娟" dateTime="2026-06-07T07:54:05" isNormal="0">
            <s:text>
              <s:r>
                <s:t xml:space="preserve">6/5 2801114 1859pcs新2B5</s:t>
              </s:r>
            </s:text>
          </item>
        </commentChain>
      </unresolved>
      <resolved/>
    </commentChains>
    <commentChains s:ref="V176" rgbClr="FF0000">
      <unresolved>
        <commentChain chainId="e0906153647612aec535c824bdb93898f2e7726c">
          <item id="3cdb65fb41738ea3e0d665301061c1101abb33d2" isNormal="1">
            <s:text>
              <s:r>
                <s:t xml:space="preserve">Administrator:
5/16 上多语警语折叠贴纸1859ocs</s:t>
              </s:r>
            </s:text>
          </item>
        </commentChain>
      </unresolved>
      <resolved/>
    </commentChains>
    <commentChains s:ref="T177" rgbClr="FF0000">
      <unresolved>
        <commentChain chainId="cd77a294adcd40b6cb2750d8dbaa21539cf7ae0b">
          <item id="f3887edec94272b3f924c42bf1cd1b783a138131" userID="1850010794" userName="龙丽娟" dateTime="2026-06-11T03:30:47" isNormal="0">
            <s:text>
              <s:r>
                <s:t xml:space="preserve">6/6 2801170 390pcs</s:t>
              </s:r>
            </s:text>
          </item>
        </commentChain>
      </unresolved>
      <resolved/>
    </commentChains>
    <commentChains s:ref="V177" rgbClr="FF0000">
      <unresolved>
        <commentChain chainId="e632b6a679cc93d151a8583bd710ef9fdf47b2ad">
          <item id="696d8efd73b5ac92876c4d686c72ffa77b79b1b3" isNormal="1">
            <s:text>
              <s:r>
                <s:t xml:space="preserve">Administrator:
5/16 上多语警语折叠贴纸390ocs</s:t>
              </s:r>
            </s:text>
          </item>
        </commentChain>
      </unresolved>
      <resolved/>
    </commentChains>
    <commentChains s:ref="V181" rgbClr="FF0000">
      <unresolved>
        <commentChain chainId="2fd881f91472980c2b1bc0c57a24fd4cda1e89dc">
          <item id="09a080d69b29e69176c6950f406a3253bcd08824" isNormal="1">
            <s:text>
              <s:r>
                <s:t xml:space="preserve">Administrator:
5/20 警告语/环保标贴纸2748pcs</s:t>
              </s:r>
            </s:text>
          </item>
        </commentChain>
      </unresolved>
      <resolved/>
    </commentChains>
    <commentChains s:ref="V182" rgbClr="FF0000">
      <unresolved>
        <commentChain chainId="b94bf679811bbfe025a92142bb9fd88712ca81f2">
          <item id="8589a4f377abe46f9c3a898aa774fcec3cbd3856" isNormal="1">
            <s:text>
              <s:r>
                <s:t xml:space="preserve">Administrator:
5/20 警告语/环保标贴纸1032pcs</s:t>
              </s:r>
            </s:text>
          </item>
        </commentChain>
      </unresolved>
      <resolved/>
    </commentChains>
    <commentChains s:ref="T183" rgbClr="FF0000">
      <unresolved>
        <commentChain chainId="f0fa86280e12036e404bd7a4f1a5547c44a82ea9">
          <item id="b8638bf50fd6dd12d48852988bbe3e5a0229234e" userID="1850010794" userName="龙丽娟" dateTime="2026-07-02T12:57:04" isNormal="0">
            <s:text>
              <s:r>
                <s:t xml:space="preserve">6/26 1808pcs顶俊一楼c4</s:t>
              </s:r>
            </s:text>
          </item>
          <item id="e6be508d5d20675d36a4a875173b3d8d65f925d6" userID="1850010794" userName="龙丽娟" dateTime="2026-07-21T07:54:43" isNormal="0">
            <s:text>
              <s:r>
                <s:t xml:space="preserve">6480是从202342里转的</s:t>
              </s:r>
            </s:text>
          </item>
        </commentChain>
      </unresolved>
      <resolved/>
    </commentChains>
    <commentChains s:ref="T184" rgbClr="FF0000">
      <unresolved>
        <commentChain chainId="b379754c273b69dc0c345ef9babbefe4545b3c86">
          <item id="a7cfb92183485f0fa2be461d8a0e181bed9dff3b" userID="1850010794" userName="龙丽娟" dateTime="2026-06-07T07:55:04" isNormal="0">
            <s:text>
              <s:r>
                <s:t xml:space="preserve">6/5 2801114 4797pcs新2B5</s:t>
              </s:r>
            </s:text>
          </item>
        </commentChain>
      </unresolved>
      <resolved/>
    </commentChains>
    <commentChains s:ref="T185" rgbClr="FF0000">
      <unresolved>
        <commentChain chainId="5c7f506827773287b973ef7f4b45af69c2fe8d9e">
          <item id="7f2e89a75dabbd722350ebb089e2c9405fd10b3e" userID="1850010794" userName="龙丽娟" dateTime="2026-06-07T07:55:17" isNormal="0">
            <s:text>
              <s:r>
                <s:t xml:space="preserve">6/5 2801114 325pcs新2B5</s:t>
              </s:r>
            </s:text>
          </item>
        </commentChain>
      </unresolved>
      <resolved/>
    </commentChains>
    <commentChains s:ref="V185" rgbClr="FF0000">
      <unresolved>
        <commentChain chainId="d4b154a49f0b52b7b1f49358de499537a7524b93">
          <item id="d9a1d4dffdf74b1347751c9fce56794133bf869a" isNormal="1">
            <s:text>
              <s:r>
                <s:t xml:space="preserve">Administrator:
5/20 进口商贴纸325pcs</s:t>
              </s:r>
            </s:text>
          </item>
        </commentChain>
      </unresolved>
      <resolved/>
    </commentChains>
    <commentChains s:ref="T186" rgbClr="FF0000">
      <unresolved>
        <commentChain chainId="cc18d9f7af130899bf11fad515c4bed6853dcbd6">
          <item id="eac359456fef2361bd021e12f3bb209c41d2aab3" userID="1850010794" userName="龙丽娟" dateTime="2026-06-11T03:30:02" isNormal="0">
            <s:text>
              <s:r>
                <s:t xml:space="preserve">6/6 2801170 1410pcs</s:t>
              </s:r>
            </s:text>
          </item>
        </commentChain>
      </unresolved>
      <resolved/>
    </commentChains>
    <commentChains s:ref="V186" rgbClr="FF0000">
      <unresolved>
        <commentChain chainId="7b7dcf3fd17e9955a4c05a8c550ccdd58d17e563">
          <item id="ea8a0f3bd4f0428490d6ed66a4f09b447e2c78a5" isNormal="1">
            <s:text>
              <s:r>
                <s:t xml:space="preserve">Administrator:
5/20 进口商贴纸1410pcs</s:t>
              </s:r>
            </s:text>
          </item>
        </commentChain>
      </unresolved>
      <resolved/>
    </commentChains>
    <commentChains s:ref="T190" rgbClr="FF0000">
      <unresolved>
        <commentChain chainId="6374ac2c7b1f836e45476ae63713355448f66710">
          <item id="1c9ea1236ea4559fc7d60b25e4a871bbea70ddac" userID="1850010794" userName="龙丽娟" dateTime="2026-06-11T03:31:51" isNormal="0">
            <s:text>
              <s:r>
                <s:t xml:space="preserve">6/8 1000512 3198pcs</s:t>
              </s:r>
            </s:text>
          </item>
          <item id="467e95c7f454e46d12534c4ed997724f2cd5c436" userID="1850010794" userName="龙丽娟" dateTime="2026-07-17T07:20:41" isNormal="0">
            <s:text>
              <s:r>
                <s:t xml:space="preserve">6/9 1000491 1122pcs</s:t>
              </s:r>
            </s:text>
          </item>
        </commentChain>
      </unresolved>
      <resolved/>
    </commentChains>
    <commentChains s:ref="T191" rgbClr="FF0000">
      <unresolved>
        <commentChain chainId="0573368ad905ea40d4d8eb8a54eb68ad5c7174ff">
          <item id="20e27d41a8bbd58d50320e1d38c9afa156dc5a01" userID="1850010794" userName="龙丽娟" dateTime="2026-06-07T07:54:50" isNormal="0">
            <s:text>
              <s:r>
                <s:t xml:space="preserve">6/5 2801114 1950pcs新2B5</s:t>
              </s:r>
            </s:text>
          </item>
        </commentChain>
      </unresolved>
      <resolved/>
    </commentChains>
    <commentChains s:ref="V191" rgbClr="FF0000">
      <unresolved>
        <commentChain chainId="b8cb66626db2dfa0daf9ae7ac5c69bf50716e884">
          <item id="d7a37895a529b3b7ba901605137f13cadcd8970d" userID="1850010794" userName="龙丽娟" dateTime="2026-06-11T05:25:07" isNormal="0">
            <s:text>
              <s:r>
                <s:t xml:space="preserve">5/23上进口商贴纸 产品贴纸 weeee黑白说明书各2000pcs</s:t>
              </s:r>
            </s:text>
          </item>
        </commentChain>
      </unresolved>
      <resolved/>
    </commentChains>
    <commentChains s:ref="AX191" rgbClr="FF0000">
      <unresolved>
        <commentChain chainId="eee06c34fe13fa880442208c2c52171e5b13fdca">
          <item id="7bc1d2c24b1066757a7a1574f2d632305d8c1b82" isNormal="1">
            <s:text>
              <s:r>
                <s:t xml:space="preserve">RR:
移除21/23号唱片客版收藏指南</s:t>
              </s:r>
            </s:text>
          </item>
        </commentChain>
      </unresolved>
      <resolved/>
    </commentChains>
    <commentChains s:ref="V192" rgbClr="FF0000">
      <unresolved>
        <commentChain chainId="91a65177874069262d3b505d3e90e9261c4079a9">
          <item id="b82051f35410d10300272fb01951d8a51e1e78ea" userID="1850010794" userName="龙丽娟" dateTime="2026-07-07T09:40:34" isNormal="0">
            <s:text>
              <s:r>
                <s:t xml:space="preserve">7/3上空白贴纸4248pcs</s:t>
              </s:r>
            </s:text>
          </item>
          <item id="d809baab5aae491010aab4405f787be24468f32d" userID="1850010794" userName="龙丽娟" dateTime="2026-07-12T08:10:40" isNormal="0">
            <s:text>
              <s:r>
                <s:t xml:space="preserve">7/3上进口商贴纸(含法国环保标）4248pcs
       上产品贴纸 4248pcs
       上WEEE说明书 4248pcs</s:t>
              </s:r>
            </s:text>
          </item>
        </commentChain>
      </unresolved>
      <resolved/>
    </commentChains>
    <commentChains s:ref="T193" rgbClr="FF0000">
      <unresolved>
        <commentChain chainId="28a0532006399efa46cf2e6585bb91fe9cd1187b">
          <item id="c539d7b5730ab99a97fd1976636d9e1275c64974" userID="1850010794" userName="龙丽娟" dateTime="2026-06-11T02:01:27" isNormal="0">
            <s:text>
              <s:r>
                <s:t xml:space="preserve">2801149 6/9 954pcs顶均A16</s:t>
              </s:r>
            </s:text>
          </item>
        </commentChain>
      </unresolved>
      <resolved/>
    </commentChains>
    <commentChains s:ref="T194" rgbClr="FF0000">
      <unresolved>
        <commentChain chainId="2f00131d1684f27316b0eabe1fea0d846ef64b10">
          <item id="c5657e35dee490508e86e2e9b45392a653438abe" userID="1850010794" userName="龙丽娟" dateTime="2026-06-11T02:01:36" isNormal="0">
            <s:text>
              <s:r>
                <s:t xml:space="preserve">2801149 6/9 960pcs顶均A16</s:t>
              </s:r>
            </s:text>
          </item>
        </commentChain>
      </unresolved>
      <resolved/>
    </commentChains>
    <commentChains s:ref="T195" rgbClr="FF0000">
      <unresolved>
        <commentChain chainId="fdde45ebe5589d2ab9aba2a824cbc6c23e83efdc">
          <item id="4d2687a37b40d07956e0c1474e326557bfc48e48" userID="1850010794" userName="龙丽娟" dateTime="2026-06-11T02:01:47" isNormal="0">
            <s:text>
              <s:r>
                <s:t xml:space="preserve">2801149 6/9 3168pcs顶均A16</s:t>
              </s:r>
            </s:text>
          </item>
        </commentChain>
      </unresolved>
      <resolved/>
    </commentChains>
    <commentChains s:ref="T196" rgbClr="FF0000">
      <unresolved>
        <commentChain chainId="21e10b393e5451374903c5b30f09b8159893494f">
          <item id="553ca7c1e3df8d129605a982cf5be9a637c4c264" userID="1850010794" userName="龙丽娟" dateTime="2026-06-11T02:01:57" isNormal="0">
            <s:text>
              <s:r>
                <s:t xml:space="preserve">2801149 6/9 3348pcs顶均A16</s:t>
              </s:r>
            </s:text>
          </item>
        </commentChain>
      </unresolved>
      <resolved/>
    </commentChains>
    <commentChains s:ref="T197" rgbClr="FF0000">
      <unresolved>
        <commentChain chainId="e586f9160b7351c9dde77cb4ab3b6da5191d00ac">
          <item id="26969cc4a46c5faf7dfff710c0429aa5001d66df" userID="1850010794" userName="龙丽娟" dateTime="2026-06-11T02:02:10" isNormal="0">
            <s:text>
              <s:r>
                <s:t xml:space="preserve">2801149 6/9 786pcs顶均A16</s:t>
              </s:r>
            </s:text>
          </item>
        </commentChain>
      </unresolved>
      <resolved/>
    </commentChains>
    <commentChains s:ref="T198" rgbClr="FF0000">
      <unresolved>
        <commentChain chainId="5ce12454973166e9075683d71299df2c71f68bea">
          <item id="4ed61fc1d2153437bb870494b55b5153d5c245ac" userID="1850010794" userName="龙丽娟" dateTime="2026-06-11T02:02:20" isNormal="0">
            <s:text>
              <s:r>
                <s:t xml:space="preserve">2801149 6/9 426pcs顶均A16</s:t>
              </s:r>
            </s:text>
          </item>
        </commentChain>
      </unresolved>
      <resolved/>
    </commentChains>
    <commentChains s:ref="T199" rgbClr="FF0000">
      <unresolved>
        <commentChain chainId="9df4d16c3eb2196ba6a92f6ce55da1b559bea2f5">
          <item id="802a679a2f5d4b9d61712957d09264ff1b265a42" userID="1850010794" userName="龙丽娟" dateTime="2026-06-11T01:59:55" isNormal="0">
            <s:text>
              <s:r>
                <s:t xml:space="preserve">2801149 6/9 1032pcs顶均A16</s:t>
              </s:r>
            </s:text>
          </item>
        </commentChain>
      </unresolved>
      <resolved/>
    </commentChains>
    <commentChains s:ref="T200" rgbClr="FF0000">
      <unresolved>
        <commentChain chainId="56d95370bf4c0194f147b0f17b63d111a89ffb7f">
          <item id="32daa4e849f63cb4b9b78f389e9bb2651b8b587c" userID="1850010794" userName="龙丽娟" dateTime="2026-06-11T02:00:09" isNormal="0">
            <s:text>
              <s:r>
                <s:t xml:space="preserve">2801149 6/9 1026pcs顶均A16</s:t>
              </s:r>
            </s:text>
          </item>
        </commentChain>
      </unresolved>
      <resolved/>
    </commentChains>
    <commentChains s:ref="T201" rgbClr="FF0000">
      <unresolved>
        <commentChain chainId="896d410fb596a5497ad20ea6292790d9908019e6">
          <item id="c6e150c4ab723a17a282730a4edf0959a192f2e1" userID="1850010794" userName="龙丽娟" dateTime="2026-06-11T02:00:21" isNormal="0">
            <s:text>
              <s:r>
                <s:t xml:space="preserve">2801149 6/9 1770pcs顶均A16</s:t>
              </s:r>
            </s:text>
          </item>
        </commentChain>
      </unresolved>
      <resolved/>
    </commentChains>
    <commentChains s:ref="T202" rgbClr="FF0000">
      <unresolved>
        <commentChain chainId="47b7f023108a4301137fd9a9c54d8741f77b5897">
          <item id="2027ff8b78a9a86733fbc61afdfa31c2c2fbded3" userID="1850010794" userName="龙丽娟" dateTime="2026-06-11T02:00:31" isNormal="0">
            <s:text>
              <s:r>
                <s:t xml:space="preserve">2801149 6/9 954pcs顶均A16</s:t>
              </s:r>
            </s:text>
          </item>
        </commentChain>
      </unresolved>
      <resolved/>
    </commentChains>
    <commentChains s:ref="T203" rgbClr="FF0000">
      <unresolved>
        <commentChain chainId="5a94ae9db9cfb5f383dfe8a6e0aab4354513f7b8">
          <item id="e630178da6e73fe38e1188f8fa10a2d38fb1432a" userID="1850010794" userName="龙丽娟" dateTime="2026-06-11T02:00:44" isNormal="0">
            <s:text>
              <s:r>
                <s:t xml:space="preserve">2801149 6/9 1236pcs顶均A16</s:t>
              </s:r>
            </s:text>
          </item>
        </commentChain>
      </unresolved>
      <resolved/>
    </commentChains>
    <commentChains s:ref="T204" rgbClr="FF0000">
      <unresolved>
        <commentChain chainId="98f6a55ce9deae9faa5a8871c90f525199286800">
          <item id="dd3d4a2197416f5eaf5de65986208995c12b3477" userID="1850010794" userName="龙丽娟" dateTime="2026-06-11T02:00:54" isNormal="0">
            <s:text>
              <s:r>
                <s:t xml:space="preserve">2801149 6/9 732pcs顶均A16</s:t>
              </s:r>
            </s:text>
          </item>
        </commentChain>
      </unresolved>
      <resolved/>
    </commentChains>
    <commentChains s:ref="T205" rgbClr="FF0000">
      <unresolved>
        <commentChain chainId="8738db6934897e785bb8c05629bf04844faca9af">
          <item id="78ee09d5d8369b05b3df5dac0ac8eb273a00a5d3" userID="1850010794" userName="龙丽娟" dateTime="2026-06-11T02:34:52" isNormal="0">
            <s:text>
              <s:r>
                <s:t xml:space="preserve">6/9 2801157 2700pcspcs欣泰B3</s:t>
              </s:r>
            </s:text>
          </item>
          <item id="86ac92acb532a87a5dd4b2329fe8af3edc0cc9bf" userID="1850010794" userName="龙丽娟" dateTime="2026-07-17T07:13:22" isNormal="0">
            <s:text>
              <s:r>
                <s:t xml:space="preserve">6/10 2801192 100pcs</s:t>
              </s:r>
            </s:text>
          </item>
        </commentChain>
      </unresolved>
      <resolved/>
    </commentChains>
    <commentChains s:ref="T206" rgbClr="FF0000">
      <unresolved>
        <commentChain chainId="c7105d7f1b95c7a7f0b628e47a13938e35f0c49d">
          <item id="0c381074c34961aace37bced7c49a76b6d75f0d7" userID="1850010794" userName="龙丽娟" dateTime="2026-06-11T02:01:06" isNormal="0">
            <s:text>
              <s:r>
                <s:t xml:space="preserve">2801149 6/9 822pcs顶均A16</s:t>
              </s:r>
            </s:text>
          </item>
        </commentChain>
      </unresolved>
      <resolved/>
    </commentChains>
    <commentChains s:ref="T207" rgbClr="FF0000">
      <unresolved>
        <commentChain chainId="4eaccbf1f58b2fa4cc2e05f669e81b0a9887e838">
          <item id="05ad7431004b22b6b40fd0db197e907022984f4b" userID="1850010794" userName="龙丽娟" dateTime="2026-06-11T02:36:28" isNormal="0">
            <s:text>
              <s:r>
                <s:t xml:space="preserve">6/9 2801157 5000pcspcs欣泰B3</s:t>
              </s:r>
            </s:text>
          </item>
        </commentChain>
      </unresolved>
      <resolved/>
    </commentChains>
    <commentChains s:ref="T208" rgbClr="FF0000">
      <unresolved>
        <commentChain chainId="2c9b633548f9d27e6a8daa0102ba303a7de67e5a">
          <item id="2c1793ac2f3511b16d792af2f5911de5e377cc1a" userID="1850010794" userName="龙丽娟" dateTime="2026-06-11T02:36:49" isNormal="0">
            <s:text>
              <s:r>
                <s:t xml:space="preserve">6/9 2801157 3000pcs欣泰B3</s:t>
              </s:r>
            </s:text>
          </item>
        </commentChain>
      </unresolved>
      <resolved/>
    </commentChains>
    <commentChains s:ref="T209" rgbClr="FF0000">
      <unresolved>
        <commentChain chainId="138ba00bf0a625dc3f13c85d79f4a1c622a5d6d8">
          <item id="5902d52e6a6ad1b6d6ff15c2bc2f684a104adf32" userID="1850010794" userName="龙丽娟" dateTime="2026-06-15T06:03:17" isNormal="0">
            <s:text>
              <s:r>
                <s:t xml:space="preserve">2801239 6/12 1200pcs欣泰A3</s:t>
              </s:r>
            </s:text>
          </item>
        </commentChain>
      </unresolved>
      <resolved/>
    </commentChains>
    <commentChains s:ref="BB210" rgbClr="FF0000">
      <unresolved>
        <commentChain chainId="5725c0b7b3694d57f7245c314e0ab17d56ebe963">
          <item id="398543b34cf667b04973bed9f591319dd36a5ad5" isNormal="1">
            <s:text>
              <s:r>
                <s:t xml:space="preserve">RR:
客版新资料</s:t>
              </s:r>
            </s:text>
          </item>
        </commentChain>
      </unresolved>
      <resolved/>
    </commentChains>
    <commentChains s:ref="BC210" rgbClr="FF0000">
      <unresolved>
        <commentChain chainId="11344b966a9af6bb7f1b290d5bdf91042ee534fc">
          <item id="c25faa7a785649e39d1b69aa6972475b4d8b3313" isNormal="1">
            <s:text>
              <s:r>
                <s:t xml:space="preserve">RR:
客版新资料</s:t>
              </s:r>
            </s:text>
          </item>
        </commentChain>
      </unresolved>
      <resolved/>
    </commentChains>
    <commentChains s:ref="BD210" rgbClr="FF0000">
      <unresolved>
        <commentChain chainId="644b84c11d23b10a4990d43d713343a76c0aa7a6">
          <item id="3cbebcce581bdc5569c367340fa96ac7fcafea6d" isNormal="1">
            <s:text>
              <s:r>
                <s:t xml:space="preserve">RR:
客版新资料</s:t>
              </s:r>
            </s:text>
          </item>
        </commentChain>
      </unresolved>
      <resolved/>
    </commentChains>
    <commentChains s:ref="BE210" rgbClr="FF0000">
      <unresolved>
        <commentChain chainId="fe4d36ce6037b175a672632d07115265ce5e601d">
          <item id="2f134b031c9303a78251d0aa461933703ec8ed89" isNormal="1">
            <s:text>
              <s:r>
                <s:t xml:space="preserve">RR:
客版新资料</s:t>
              </s:r>
            </s:text>
          </item>
        </commentChain>
      </unresolved>
      <resolved/>
    </commentChains>
    <commentChains s:ref="BF210" rgbClr="FF0000">
      <unresolved>
        <commentChain chainId="fccdf5477eaa03bd316b3720923565daa70a8a38">
          <item id="879e64e42514bcb1dd75ffbc91fbbf1bb290e3d4" isNormal="1">
            <s:text>
              <s:r>
                <s:t xml:space="preserve">RR:
客版新资料</s:t>
              </s:r>
            </s:text>
          </item>
        </commentChain>
      </unresolved>
      <resolved/>
    </commentChains>
    <commentChains s:ref="T212" rgbClr="FF0000">
      <unresolved>
        <commentChain chainId="c1e52f9e2f02e97e8d363c1e8dbdb9cc9e7c866c">
          <item id="c0f2b33d748b7f22e364310f14d5687c072aa91f" userID="1850010794" userName="龙丽娟" dateTime="2026-06-11T02:30:50" isNormal="0">
            <s:text>
              <s:r>
                <s:t xml:space="preserve">6/9 2801177 700pcs欣泰B1</s:t>
              </s:r>
            </s:text>
          </item>
        </commentChain>
      </unresolved>
      <resolved/>
    </commentChains>
    <commentChains s:ref="T214" rgbClr="FF0000">
      <unresolved>
        <commentChain chainId="402b36e248bbee4e7ede93f5134e257424f5fa2c">
          <item id="b1e163a39447c8860b125226525aafd2e5a4e6a2" userID="1850010794" userName="龙丽娟" dateTime="2026-06-11T02:31:23" isNormal="0">
            <s:text>
              <s:r>
                <s:t xml:space="preserve">6/9 2801177 2700pcs欣泰B2</s:t>
              </s:r>
            </s:text>
          </item>
        </commentChain>
      </unresolved>
      <resolved/>
    </commentChains>
    <commentChains s:ref="T215" rgbClr="FF0000">
      <unresolved>
        <commentChain chainId="0eef0375d768c3f836571793d2fcf13799a9b3ef">
          <item id="eab9f2bd3d83acfd4bb45be91e1f32bfb5a4946e" userID="1850010794" userName="龙丽娟" dateTime="2026-07-17T07:26:25" isNormal="0">
            <s:text>
              <s:r>
                <s:t xml:space="preserve">1001921  7/15 2004pcs</s:t>
              </s:r>
            </s:text>
          </item>
        </commentChain>
      </unresolved>
      <resolved/>
    </commentChains>
    <commentChains s:ref="V215" rgbClr="FF0000">
      <unresolved>
        <commentChain chainId="d74b7e84eebb039f9de0b4547f45a25152a36153">
          <item id="ad203381e13c3e9170e29f6c142cadfa8fa3f27d" isNormal="1">
            <s:text>
              <s:r>
                <s:t xml:space="preserve">Administrator:
5/15 上空白贴纸4008pcs
5/15 上四国警告语贴纸2004pcs
</s:t>
              </s:r>
            </s:text>
          </item>
          <item id="25a70c335a17998b7893a40fe5899c5c9fe8012c" userID="1850010794" userName="龙丽娟" dateTime="2026-07-12T08:15:47" isNormal="0">
            <s:text>
              <s:r>
                <s:t xml:space="preserve">7/3上空白贴纸4008pcs</s:t>
              </s:r>
            </s:text>
          </item>
        </commentChain>
      </unresolved>
      <resolved/>
    </commentChains>
    <commentChains s:ref="T216" rgbClr="FF0000">
      <unresolved>
        <commentChain chainId="1fc23ed1a547b973f52c5118523f4cdbfed7d34f">
          <item id="e25f694549bac90bfa061fb2b57c9861e3a0e941" userID="1850010794" userName="龙丽娟" dateTime="2026-06-11T02:31:52" isNormal="0">
            <s:text>
              <s:r>
                <s:t xml:space="preserve">6/9 2801177 3536pcs欣泰B2</s:t>
              </s:r>
            </s:text>
          </item>
        </commentChain>
      </unresolved>
      <resolved/>
    </commentChains>
    <commentChains s:ref="T220" rgbClr="FF0000">
      <unresolved>
        <commentChain chainId="71561964051c5c5a314b5f9c3941eabee1a3dda4">
          <item id="be3acbafecd5c25e0961b7b751b0eb5b6f12f686" userID="1850010794" userName="龙丽娟" dateTime="2026-07-07T03:29:50" isNormal="0">
            <s:text>
              <s:r>
                <s:t xml:space="preserve">2801192 6/10 10560pcs  新泰一C5</s:t>
              </s:r>
            </s:text>
          </item>
        </commentChain>
      </unresolved>
      <resolved/>
    </commentChains>
    <commentChains s:ref="V220" rgbClr="FF0000">
      <unresolved>
        <commentChain chainId="93c6c3c9957ecce222b2af4f3f63d88401c31361">
          <item id="5ebcdd5f7df3d056250258a2c91e6696de806e12" isNormal="1">
            <s:text>
              <s:r>
                <s:t xml:space="preserve">Administrator:
5/7 上客供RFID贴纸8640pcs</s:t>
              </s:r>
            </s:text>
          </item>
        </commentChain>
      </unresolved>
      <resolved/>
    </commentChains>
    <commentChains s:ref="V221" rgbClr="FF0000">
      <unresolved>
        <commentChain chainId="3c3d2d6ea70223413a54f1022fc1875894685f4e">
          <item id="d1e2c0d782c8284ba6a02615c6d27557fddd9217" isNormal="1">
            <s:text>
              <s:r>
                <s:t xml:space="preserve">Administrator:
5/6上UPC/进口商贴纸1248pcs</s:t>
              </s:r>
            </s:text>
          </item>
        </commentChain>
      </unresolved>
      <resolved/>
    </commentChains>
    <commentChains s:ref="T229" rgbClr="FF0000">
      <unresolved>
        <commentChain chainId="823e15336e1e27694fefbb4c17e313a7c97ef539">
          <item id="eb98cb107fa1b3390c3ba317aed1d629137b9b6c" userID="1850010794" userName="龙丽娟" dateTime="2026-06-17T05:34:14" isNormal="0">
            <s:text>
              <s:r>
                <s:t xml:space="preserve">6/13 2801248 5316PCS 顶均B8</s:t>
              </s:r>
            </s:text>
          </item>
        </commentChain>
      </unresolved>
      <resolved/>
    </commentChains>
    <commentChains s:ref="V229" rgbClr="FF0000">
      <unresolved>
        <commentChain chainId="264ed269d86caa76cbc145acf0b0d0d8b19d8b81">
          <item id="e9aa4efa87b6c78290e76e569f96a8e0172f5fc0" userID="1850010794" userName="龙丽娟" dateTime="2026-06-11T05:41:10" isNormal="0">
            <s:text>
              <s:r>
                <s:t xml:space="preserve">6/5上客供亚马逊贴纸443pcs</s:t>
              </s:r>
            </s:text>
          </item>
        </commentChain>
      </unresolved>
      <resolved/>
    </commentChains>
    <commentChains s:ref="T230" rgbClr="FF0000">
      <unresolved>
        <commentChain chainId="d2eba5270114ca8ef94f00a54d86bd160c6521d5">
          <item id="bfa375adefb882be1c37dd02d1cfedbc0ab74981" userID="1850010794" userName="龙丽娟" dateTime="2026-06-17T05:34:22" isNormal="0">
            <s:text>
              <s:r>
                <s:t xml:space="preserve">6/13 2801248 24PCS 顶均B8</s:t>
              </s:r>
            </s:text>
          </item>
        </commentChain>
      </unresolved>
      <resolved/>
    </commentChains>
    <commentChains s:ref="V230" rgbClr="FF0000">
      <unresolved>
        <commentChain chainId="e0cfb62516ed346dff5f79ddd17aab216ddb8379">
          <item id="aaa2f7737f6812ea373620b8f8b6cf1731f77665" userID="1850010794" userName="龙丽娟" dateTime="2026-06-11T05:41:32" isNormal="0">
            <s:text>
              <s:r>
                <s:t xml:space="preserve">6/5上客供亚马逊贴纸2pcs</s:t>
              </s:r>
            </s:text>
          </item>
        </commentChain>
      </unresolved>
      <resolved/>
    </commentChains>
    <commentChains s:ref="T231" rgbClr="FF0000">
      <unresolved>
        <commentChain chainId="3355b4dd6f8ae0f282141ba445f2347711e130be">
          <item id="f7c1bc4d0fc4891e43e5253d06c60c7d121a046b" userID="1850010794" userName="龙丽娟" dateTime="2026-06-17T06:00:49" isNormal="0">
            <s:text>
              <s:r>
                <s:t xml:space="preserve">6/13 2801241 3008PCS顶均B2</s:t>
              </s:r>
            </s:text>
          </item>
        </commentChain>
      </unresolved>
      <resolved/>
    </commentChains>
    <commentChains s:ref="V232" rgbClr="FF0000">
      <unresolved>
        <commentChain chainId="65ee7bc1f255ed4f16056a3cc360d5e6bab82fdc">
          <item id="a59a1f9606a5fa9048e67bba9252e7cb647a75fc" userID="1850010794" userName="龙丽娟" dateTime="2026-07-06T11:20:20" isNormal="0">
            <s:text>
              <s:r>
                <s:t xml:space="preserve">6/27上产品贴纸7584pcs</s:t>
              </s:r>
            </s:text>
          </item>
          <item id="ebe87f8ea14c8207499eb7e61664f8c2cce69047" userID="1850010794" userName="龙丽娟" dateTime="2026-07-06T11:21:01" isNormal="0">
            <s:text>
              <s:r>
                <s:t xml:space="preserve">6/27上空白贴纸7584pcs</s:t>
              </s:r>
            </s:text>
          </item>
          <item id="a793b728e29c97b521d9584e321395ec797000ff" userID="1850010794" userName="龙丽娟" dateTime="2026-07-12T08:11:44" isNormal="0">
            <s:text>
              <s:r>
                <s:t xml:space="preserve">7/3上进口商贴纸（含法国环保标）7584pcs</s:t>
              </s:r>
            </s:text>
          </item>
        </commentChain>
      </unresolved>
      <resolved/>
    </commentChains>
    <commentChains s:ref="BB236" rgbClr="FF0000">
      <unresolved>
        <commentChain chainId="e157d49c9cf8683a301d4ef467759508d54dc6b8">
          <item id="a93fcf7eee12b115c40708a0784719cbb479d284" isNormal="1">
            <s:text>
              <s:r>
                <s:t xml:space="preserve">RR:
客版新资料</s:t>
              </s:r>
            </s:text>
          </item>
        </commentChain>
      </unresolved>
      <resolved/>
    </commentChains>
    <commentChains s:ref="BC236" rgbClr="FF0000">
      <unresolved>
        <commentChain chainId="3657dddeb0914c773e9a4fe0c17aad70e5837f68">
          <item id="195244c55b4476242966267082cc8bc01a452d0e" isNormal="1">
            <s:text>
              <s:r>
                <s:t xml:space="preserve">RR:
客版新资料</s:t>
              </s:r>
            </s:text>
          </item>
        </commentChain>
      </unresolved>
      <resolved/>
    </commentChains>
    <commentChains s:ref="BD236" rgbClr="FF0000">
      <unresolved>
        <commentChain chainId="635716b57a2eb942616b20434e1bcf32369fb2ad">
          <item id="53455d7daa27447b9b1537ce94cce460fafd5680" isNormal="1">
            <s:text>
              <s:r>
                <s:t xml:space="preserve">RR:
客版新资料</s:t>
              </s:r>
            </s:text>
          </item>
        </commentChain>
      </unresolved>
      <resolved/>
    </commentChains>
    <commentChains s:ref="BE236" rgbClr="FF0000">
      <unresolved>
        <commentChain chainId="2ef82cfdfb1b45de095a2682ee397b093d768275">
          <item id="309e147654cac213d89b564835bba4a4fe2af863" isNormal="1">
            <s:text>
              <s:r>
                <s:t xml:space="preserve">RR:
客版新资料</s:t>
              </s:r>
            </s:text>
          </item>
        </commentChain>
      </unresolved>
      <resolved/>
    </commentChains>
    <commentChains s:ref="BF236" rgbClr="FF0000">
      <unresolved>
        <commentChain chainId="9ac658340f614bed445c705aea282a09311c3778">
          <item id="5bc8aab4b9c72a96ab92fc1b13400a2dc28d627c" isNormal="1">
            <s:text>
              <s:r>
                <s:t xml:space="preserve">RR:
客版新资料</s:t>
              </s:r>
            </s:text>
          </item>
        </commentChain>
      </unresolved>
      <resolved/>
    </commentChains>
    <commentChains s:ref="T237" rgbClr="FF0000">
      <unresolved>
        <commentChain chainId="8e5f8c53833e2d1bb7f907c70650189450e8f8f0">
          <item id="106375e958d492fe9f2b1f00343af2dc52d6feb8" userID="1850010794" userName="龙丽娟" dateTime="2026-06-17T05:49:10" isNormal="0">
            <s:text>
              <s:r>
                <s:t xml:space="preserve">6/13 2801248 5316PCS 顶均B8</s:t>
              </s:r>
            </s:text>
          </item>
        </commentChain>
      </unresolved>
      <resolved/>
    </commentChains>
    <commentChains s:ref="T239" rgbClr="FF0000">
      <unresolved>
        <commentChain chainId="b555442391170f3894bc310f481b874e438129e8">
          <item id="8e0f51f373bc0f4f55cafda617ecef0122111929" userID="1850010794" userName="龙丽娟" dateTime="2026-06-23T06:54:35" isNormal="0">
            <s:text>
              <s:r>
                <s:t xml:space="preserve">6/18 2201065 6097pcs顶均B8</s:t>
              </s:r>
            </s:text>
          </item>
        </commentChain>
      </unresolved>
      <resolved/>
    </commentChains>
    <commentChains s:ref="V239" rgbClr="FF0000">
      <unresolved>
        <commentChain chainId="3e6ef35e5bb452d52a7ea7f2e38c3a2463af6b82">
          <item id="f03e568faf5b3e8998b5a6206459f5410c488a22" userID="1850010794" userName="龙丽娟" dateTime="2026-06-11T05:54:36" isNormal="0">
            <s:text>
              <s:r>
                <s:t xml:space="preserve">上kmart外箱贴纸469pcs</s:t>
              </s:r>
            </s:text>
          </item>
        </commentChain>
      </unresolved>
      <resolved/>
    </commentChains>
    <commentChains s:ref="AX239" rgbClr="FF0000">
      <unresolved>
        <commentChain chainId="4a6e86cc5b07755150bf17ef4353f0d9b0043ea7">
          <item id="539f98028de6578d8010044ada70622641f2e396" isNormal="1">
            <s:text>
              <s:r>
                <s:t xml:space="preserve">RR:
移除21/23号唱片客版收藏指南</s:t>
              </s:r>
            </s:text>
          </item>
        </commentChain>
      </unresolved>
      <resolved/>
    </commentChains>
    <commentChains s:ref="T240" rgbClr="FF0000">
      <unresolved>
        <commentChain chainId="aaecaa7c29d2a0b67182c14788b427ee59fd6ac0">
          <item id="10bfa0e5ecb5c33b1d8d95c5b9cf33504b1b531a" userID="1850010794" userName="龙丽娟" dateTime="2026-06-24T07:03:07" isNormal="0">
            <s:text>
              <s:r>
                <s:t xml:space="preserve">2201117 6/22 403PCS顶均c2</s:t>
              </s:r>
            </s:text>
          </item>
        </commentChain>
      </unresolved>
      <resolved/>
    </commentChains>
    <commentChains s:ref="V240" rgbClr="FF0000">
      <unresolved>
        <commentChain chainId="202e131ffdc7f04b011b794625e8f23996be9624">
          <item id="9e610d1e1e018f410ea828562a240153dd16355a" userID="1850010794" userName="龙丽娟" dateTime="2026-06-11T05:54:51" isNormal="0">
            <s:text>
              <s:r>
                <s:t xml:space="preserve">上kmart外箱贴纸31pcs</s:t>
              </s:r>
            </s:text>
          </item>
        </commentChain>
      </unresolved>
      <resolved/>
    </commentChains>
    <commentChains s:ref="AX240" rgbClr="FF0000">
      <unresolved>
        <commentChain chainId="d5d22276b86ef96d3e081ffb9ba235306203ca4f">
          <item id="f74f93e0166cd9a12e34e7cb70e6117051b5a64d" isNormal="1">
            <s:text>
              <s:r>
                <s:t xml:space="preserve">RR:
移除21/23号唱片客版收藏指南</s:t>
              </s:r>
            </s:text>
          </item>
        </commentChain>
      </unresolved>
      <resolved/>
    </commentChains>
    <commentChains s:ref="T241" rgbClr="FF0000">
      <unresolved>
        <commentChain chainId="4a5893fb1da156b2d77704e6339503f86097f75c">
          <item id="2f3756e38fbb43850e5f39df9886554c0240bd15" userID="1850010794" userName="龙丽娟" dateTime="2026-06-17T06:01:41" isNormal="0">
            <s:text>
              <s:r>
                <s:t xml:space="preserve">6/13 2801241 2600PCS顶均B2</s:t>
              </s:r>
            </s:text>
          </item>
        </commentChain>
      </unresolved>
      <resolved/>
    </commentChains>
    <commentChains s:ref="T242" rgbClr="FF0000">
      <unresolved>
        <commentChain chainId="ac943f77b22ff9c7bacd46d65a0b9e8e8c3424b0">
          <item id="fa3c8137f6c0ecf39f848e9afcb895425c5d4f28" userID="1850010794" userName="龙丽娟" dateTime="2026-06-26T13:34:12" isNormal="0">
            <s:text>
              <s:r>
                <s:t xml:space="preserve">6/24 20020pcs b4-a7</s:t>
              </s:r>
            </s:text>
          </item>
        </commentChain>
      </unresolved>
      <resolved/>
    </commentChains>
    <commentChains s:ref="T243" rgbClr="FF0000">
      <unresolved>
        <commentChain chainId="7e84bde3336d5f2cd44a8b895ac00df2e56ac952">
          <item id="6b06bc3ef2b8801e90033d03938b04b06953b6e1" userID="1850010794" userName="龙丽娟" dateTime="2026-07-09T07:25:40" isNormal="0">
            <s:text>
              <s:r>
                <s:t xml:space="preserve">2801274 6/16 728pcs</s:t>
              </s:r>
            </s:text>
          </item>
          <item id="578e74945824689788d4e1bc62e51a0bd2e921e2" userID="1850010794" userName="龙丽娟" dateTime="2026-07-09T07:26:14" isNormal="0">
            <s:text>
              <s:r>
                <s:t xml:space="preserve">2201047 6/16 52pcs</s:t>
              </s:r>
            </s:text>
          </item>
        </commentChain>
      </unresolved>
      <resolved/>
    </commentChains>
    <commentChains s:ref="V243" rgbClr="FF0000">
      <unresolved>
        <commentChain chainId="3092bf0382bb5019999eb05fce05214afab4077d">
          <item id="1ee74dd5cd9644e084ab7b35823962958605fc54" isNormal="1">
            <s:text>
              <s:r>
                <s:t xml:space="preserve">Administrator:
4/29 上客供警语贴纸球底部贴808pcs
4/29 上客供警语贴纸收藏指南和拆件说明书1071pcs</s:t>
              </s:r>
            </s:text>
          </item>
        </commentChain>
      </unresolved>
      <resolved/>
    </commentChains>
    <commentChains s:ref="V244" rgbClr="FF0000">
      <unresolved>
        <commentChain chainId="87c003b83f1ae73526d6c87fb9dc1810ba992cbf">
          <item id="7fc4292ba7fd77790575270d717c9b68351c8ae9" userID="1850010794" userName="龙丽娟" dateTime="2026-07-07T09:44:19" isNormal="0">
            <s:text>
              <s:r>
                <s:t xml:space="preserve">7/3上空白贴纸2310pcs</s:t>
              </s:r>
            </s:text>
          </item>
        </commentChain>
      </unresolved>
      <resolved/>
    </commentChains>
    <commentChains s:ref="T245" rgbClr="FF0000">
      <unresolved>
        <commentChain chainId="fcf4caa995e062172037bc88f70a7d6e4c34f51d">
          <item id="d2d4bfbd9a0cdff1beea3c0242d5d0f8bcf2b735" userID="1850010794" userName="龙丽娟" dateTime="2026-07-14T06:25:29" isNormal="0">
            <s:text>
              <s:r>
                <s:t xml:space="preserve">2801286 7/12 520pcs欣泰a5</s:t>
              </s:r>
            </s:text>
          </item>
        </commentChain>
      </unresolved>
      <resolved/>
    </commentChains>
    <commentChains s:ref="T246" rgbClr="FF0000">
      <unresolved>
        <commentChain chainId="64c5740a6a197b606f2afe97b750478fdc156f01">
          <item id="7442e83ee100424cea7f10d01003912cfaa53a65" userID="1850010794" userName="龙丽娟" dateTime="2026-07-22T12:53:09" isNormal="0">
            <s:text>
              <s:r>
                <s:t xml:space="preserve">7/12 2801298 660pcs五车间</s:t>
              </s:r>
            </s:text>
          </item>
        </commentChain>
      </unresolved>
      <resolved/>
    </commentChains>
    <commentChains s:ref="V246" rgbClr="FF0000">
      <unresolved>
        <commentChain chainId="37e5500ede8e6a04c02e951fd5b86975429e40f6">
          <item id="a6ce1d8ee888abed22d2f4677cacc0df36a1701b" userID="1850010794" userName="龙丽娟" dateTime="2026-06-30T07:19:49" isNormal="0">
            <s:text>
              <s:r>
                <s:t xml:space="preserve">6/17上空白贴纸1320pcs上丹麦贴纸1320pcs</s:t>
              </s:r>
            </s:text>
          </item>
          <item id="c6cce7231a7cd9cf2cb8e983697386a32e73587b" userID="1850010794" userName="龙丽娟" dateTime="2026-07-12T08:09:34" isNormal="0">
            <s:text>
              <s:r>
                <s:t xml:space="preserve">7/3上丹麦沙尼亚芬兰警语贴纸2970pcs</s:t>
              </s:r>
            </s:text>
          </item>
          <item id="2b1b166b7e4b0cf30c3b3d4993e5dd29681c34ab" userID="1850010794" userName="龙丽娟" dateTime="2026-07-12T08:14:41" isNormal="0">
            <s:text>
              <s:r>
                <s:t xml:space="preserve">7/3上空白贴纸2970pcs</s:t>
              </s:r>
            </s:text>
          </item>
        </commentChain>
      </unresolved>
      <resolved/>
    </commentChains>
    <commentChains s:ref="T251" rgbClr="FF0000">
      <unresolved>
        <commentChain chainId="a860f241211bbc7dd2fe5c07020fb5b4517fe628">
          <item id="dc612ff718613e8793d3329d15522481d50cb2dd" userID="1850010794" userName="龙丽娟" dateTime="2026-07-04T06:45:09" isNormal="0">
            <s:text>
              <s:r>
                <s:t xml:space="preserve">2200965 6/27 9000pcs顶均B7</s:t>
              </s:r>
            </s:text>
          </item>
        </commentChain>
      </unresolved>
      <resolved/>
    </commentChains>
    <commentChains s:ref="T252" rgbClr="FF0000">
      <unresolved>
        <commentChain chainId="7d55d181bd6f5a2c91a8803fcbc3b02a6a38b12c">
          <item id="b69c6f5f78685b7fde110dd5d6c88d927437ca88" userID="1850010794" userName="龙丽娟" dateTime="2026-07-04T06:45:16" isNormal="0">
            <s:text>
              <s:r>
                <s:t xml:space="preserve">2200965 6/27 9000pcs顶均B7</s:t>
              </s:r>
            </s:text>
          </item>
        </commentChain>
      </unresolved>
      <resolved/>
    </commentChains>
    <commentChains s:ref="T253" rgbClr="FF0000">
      <unresolved>
        <commentChain chainId="b80fcf33f28a4f09fb31183fb3c387bdd22778ef">
          <item id="7d053f9fa4618162f029e0cb3f2a1472173515e5" userID="1850010794" userName="龙丽娟" dateTime="2026-07-02T13:10:20" isNormal="0">
            <s:text>
              <s:r>
                <s:t xml:space="preserve">6/26 2200946 1196pcs欣泰b2</s:t>
              </s:r>
            </s:text>
          </item>
        </commentChain>
      </unresolved>
      <resolved/>
    </commentChains>
    <commentChains s:ref="T254" rgbClr="FF0000">
      <unresolved>
        <commentChain chainId="ac025efb4e971dd3595c60e464912ced497020d9">
          <item id="91590059d3958c81e27e553e3cd21cb82015d7d3" userID="1850010794" userName="龙丽娟" dateTime="2026-07-09T07:01:27" isNormal="0">
            <s:text>
              <s:r>
                <s:t xml:space="preserve">2801239 6/12 3000pcs</s:t>
              </s:r>
            </s:text>
          </item>
        </commentChain>
      </unresolved>
      <resolved/>
    </commentChains>
    <commentChains s:ref="T255" rgbClr="FF0000">
      <unresolved>
        <commentChain chainId="948f044cbd518cbbe70aa3981d8010eb8c22b2db">
          <item id="cc68d42dbcd63dcca75b38ac5b80b1682241a640" userID="1850010794" userName="龙丽娟" dateTime="2026-07-14T06:15:59" isNormal="0">
            <s:text>
              <s:r>
                <s:t xml:space="preserve">7/11 2801277 1560pcs欣泰B 3</s:t>
              </s:r>
            </s:text>
          </item>
        </commentChain>
      </unresolved>
      <resolved/>
    </commentChains>
    <commentChains s:ref="V255" rgbClr="FF0000">
      <unresolved>
        <commentChain chainId="bd21eef179f314f1b757a23e0c3c43dc5d175a57">
          <item id="124f903fffd2489f71ae5941911f5a3fbd6ee6e4" userID="1850010794" userName="龙丽娟" dateTime="2026-07-06T11:24:46" isNormal="0">
            <s:text>
              <s:r>
                <s:t xml:space="preserve">6/27上进口商贴纸1560pcs</s:t>
              </s:r>
            </s:text>
          </item>
        </commentChain>
      </unresolved>
      <resolved/>
    </commentChains>
    <commentChains s:ref="V256" rgbClr="FF0000">
      <unresolved>
        <commentChain chainId="626091d3b31d55711b31b9626dc0a86f581df49b">
          <item id="b9769b89c79eec87d9f4482e1a0f3adf44052ddf" userID="1850010794" userName="龙丽娟" dateTime="2026-06-30T06:58:31" isNormal="0">
            <s:text>
              <s:r>
                <s:t xml:space="preserve">6/22上客供价格贴纸8220pcs</s:t>
              </s:r>
            </s:text>
          </item>
          <item id="c8221d681133f43de2a444996c902bc2ccedb486" userID="1850010794" userName="龙丽娟" dateTime="2026-07-12T11:54:16" isNormal="0">
            <s:text>
              <s:r>
                <s:t xml:space="preserve">7/7上进口商贴纸8000pcs</s:t>
              </s:r>
            </s:text>
          </item>
        </commentChain>
      </unresolved>
      <resolved/>
    </commentChains>
    <commentChains s:ref="T257" rgbClr="FF0000">
      <unresolved>
        <commentChain chainId="ca380134a0022054c6090b5949286030d4343db6">
          <item id="404e697761d454526f3a7ae77e77fe914fade34b" userID="1850010794" userName="龙丽娟" dateTime="2026-07-22T13:03:24" isNormal="0">
            <s:text>
              <s:r>
                <s:t xml:space="preserve">7/15 1001921 600pcs欣泰B4</s:t>
              </s:r>
            </s:text>
          </item>
        </commentChain>
      </unresolved>
      <resolved/>
    </commentChains>
    <commentChains s:ref="V257" rgbClr="FF0000">
      <unresolved>
        <commentChain chainId="e68f3a67d3e32d10ef217321933aca1830b1be76">
          <item id="118cd524350d03dc05e8724c5c9bea782b276276" isNormal="1">
            <s:text>
              <s:r>
                <s:t xml:space="preserve">Administrator:
5/21 进口商贴纸600pcs</s:t>
              </s:r>
            </s:text>
          </item>
        </commentChain>
      </unresolved>
      <resolved/>
    </commentChains>
    <commentChains s:ref="T262" rgbClr="FF0000">
      <unresolved>
        <commentChain chainId="6c502bd4d21fb72a5358621d2139f9c0d6a19d66">
          <item id="338ec26f2eb6e07fc3eec83ef5d5cedd2f527a36" userID="1850010794" userName="龙丽娟" dateTime="2026-07-14T13:12:00" isNormal="0">
            <s:text>
              <s:r>
                <s:t xml:space="preserve">7/9 2201265 37856pcs欣泰2楼B2</s:t>
              </s:r>
            </s:text>
          </item>
          <item id="8cea36001c24fc739e383cfac8ce8ce2ca6d7e6f" userID="1850010794" userName="龙丽娟" dateTime="2026-07-14T13:17:00" isNormal="0">
            <s:text>
              <s:r>
                <s:t xml:space="preserve">7/9 2201281 156pcs欣泰B2</s:t>
              </s:r>
            </s:text>
          </item>
        </commentChain>
      </unresolved>
      <resolved/>
    </commentChains>
    <commentChains s:ref="V262" rgbClr="FF0000">
      <unresolved>
        <commentChain chainId="a730496906432693102a12134f14a4e404cc7f27">
          <item id="25f151c3f74026f10302e07f300d661940840c55" userID="1850010794" userName="龙丽娟" dateTime="2026-06-23T07:24:00" isNormal="0">
            <s:text>
              <s:r>
                <s:t xml:space="preserve">6/27上价格贴纸16000pcs</s:t>
              </s:r>
            </s:text>
          </item>
          <item id="230e729b91cf098a54cc3ca9e0c68dd447bbe503" userID="1850010794" userName="龙丽娟" dateTime="2026-07-06T11:25:38" isNormal="0">
            <s:text>
              <s:r>
                <s:t xml:space="preserve">6/27上价格贴纸38012pcs</s:t>
              </s:r>
            </s:text>
          </item>
        </commentChain>
      </unresolved>
      <resolved/>
    </commentChains>
    <commentChains s:ref="T263" rgbClr="FF0000">
      <unresolved>
        <commentChain chainId="f70c220963cfc9f0cb9a878a5c1def3f9496d907">
          <item id="3fe4653b0d231a1695f7dcb32cc4608271ce397c" userID="1850010794" userName="龙丽娟" dateTime="2026-07-02T13:06:42" isNormal="0">
            <s:text>
              <s:r>
                <s:t xml:space="preserve">6/25 2201165 6000pcs欣泰c4</s:t>
              </s:r>
            </s:text>
          </item>
        </commentChain>
      </unresolved>
      <resolved/>
    </commentChains>
    <commentChains s:ref="T265" rgbClr="FF0000">
      <unresolved>
        <commentChain chainId="587a6e7a8570de3a8dbde4b84b8fe65ad7f5022a">
          <item id="867ba485681ebd5f09e5d7a1ee06523a7802f576" userID="1850010794" userName="龙丽娟" dateTime="2026-07-22T13:26:05" isNormal="0">
            <s:text>
              <s:r>
                <s:t xml:space="preserve">7/14 1001943 500pcs欣泰c5</s:t>
              </s:r>
            </s:text>
          </item>
        </commentChain>
      </unresolved>
      <resolved/>
    </commentChains>
    <commentChains s:ref="V265" rgbClr="FF0000">
      <unresolved>
        <commentChain chainId="c4fb572f3ae37d05b0442295c72a1d9939130238">
          <item id="30f0493fb2e233810c6327106ca964fb71b23451" userID="1850010794" userName="龙丽娟" dateTime="2026-06-22T06:07:43" isNormal="0">
            <s:text>
              <s:r>
                <s:t xml:space="preserve">6/10上家乐福外箱贴纸60pcs</s:t>
              </s:r>
            </s:text>
          </item>
          <item id="034e688f08f653da5c7d91f2c97d0d869afcdefb" userID="1850010794" userName="龙丽娟" dateTime="2026-07-07T09:38:33" isNormal="0">
            <s:text>
              <s:r>
                <s:t xml:space="preserve">7/3上客户贴纸10300pcs
201727/201776共用</s:t>
              </s:r>
            </s:text>
          </item>
        </commentChain>
      </unresolved>
      <resolved/>
    </commentChains>
    <commentChains s:ref="T266" rgbClr="FF0000">
      <unresolved>
        <commentChain chainId="bdfad7ffd9f8b98d977d9a81792f333d0672213b">
          <item id="e515da7ef7c42b7ef1a71c253fe678cbf3313d4f" userID="1850010794" userName="龙丽娟" dateTime="2026-07-14T13:17:29" isNormal="0">
            <s:text>
              <s:r>
                <s:t xml:space="preserve">7/9 2201281 3120 pcs欣泰A5</s:t>
              </s:r>
            </s:text>
          </item>
        </commentChain>
      </unresolved>
      <resolved/>
    </commentChains>
    <commentChains s:ref="V266" rgbClr="FF0000">
      <unresolved>
        <commentChain chainId="9f1f07f21821e942a9f648c53fdcd74d3918917f">
          <item id="a955cae4c963143c584f3750a5cfd08dc444e75a" userID="1850010794" userName="龙丽娟" dateTime="2026-07-09T12:59:09" isNormal="0">
            <s:text>
              <s:r>
                <s:t xml:space="preserve">6/9收到240pcs PDQ贴纸留车间返工</s:t>
              </s:r>
            </s:text>
          </item>
        </commentChain>
      </unresolved>
      <resolved/>
    </commentChains>
    <commentChains s:ref="T267" rgbClr="FF0000">
      <unresolved>
        <commentChain chainId="682bbb10fede8ce560c2ed96d83d40199451149e">
          <item id="c72a8915d04fb84e60072e3a32d4864b2be3697f" userID="1850010794" userName="龙丽娟" dateTime="2026-07-17T07:27:47" isNormal="0">
            <s:text>
              <s:r>
                <s:t xml:space="preserve">1001943 7/14 520pcs</s:t>
              </s:r>
            </s:text>
          </item>
        </commentChain>
      </unresolved>
      <resolved/>
    </commentChains>
    <commentChains s:ref="V267" rgbClr="FF0000">
      <unresolved>
        <commentChain chainId="db01556120f95db5d72f1497e465aca7c051041f">
          <item id="1c2bc91bbcd1a71ed5d6ff60000087ae77a4ddec" userID="1850010794" userName="龙丽娟" dateTime="2026-06-11T05:30:22" isNormal="0">
            <s:text>
              <s:r>
                <s:t xml:space="preserve">6/1上警告语环保贴纸520pcs</s:t>
              </s:r>
            </s:text>
          </item>
        </commentChain>
      </unresolved>
      <resolved/>
    </commentChains>
    <commentChains s:ref="T268" rgbClr="FF0000">
      <unresolved>
        <commentChain chainId="35eb472c35ff002ce8a24ccc85be6ca1d7183dd4">
          <item id="5ca629838135669345b0f813a6aaffbc5b4a32f6" userID="1850010794" userName="龙丽娟" dateTime="2026-07-14T06:24:42" isNormal="0">
            <s:text>
              <s:r>
                <s:t xml:space="preserve">2801286 7/12 3000pcs欣泰c4</s:t>
              </s:r>
            </s:text>
          </item>
        </commentChain>
      </unresolved>
      <resolved/>
    </commentChains>
    <commentChains s:ref="V269" rgbClr="FF0000">
      <unresolved>
        <commentChain chainId="e65cf6a8c186a018ab55562fde3378aaa496c109">
          <item id="7ef11bcea45aa54b98110cfad9b99d078415de25" userID="1850010794" userName="龙丽娟" dateTime="2026-06-22T06:07:52" isNormal="0">
            <s:text>
              <s:r>
                <s:t xml:space="preserve">6/10上家乐福外箱贴纸40pcs</s:t>
              </s:r>
            </s:text>
          </item>
          <item id="8804092e1b2f44cc392d0b1064d7f82b35ebae07" userID="1850010794" userName="龙丽娟" dateTime="2026-07-07T09:38:37" isNormal="0">
            <s:text>
              <s:r>
                <s:t xml:space="preserve">7/3上客户贴纸10300pcs
201727/201776共用</s:t>
              </s:r>
            </s:text>
          </item>
        </commentChain>
      </unresolved>
      <resolved/>
    </commentChains>
    <commentChains s:ref="T270" rgbClr="FF0000">
      <unresolved>
        <commentChain chainId="710ed1de416b53ea5e1e9568b381b633d4f3f9fe">
          <item id="136ff809a1560e43dd98587995bd11a0b27ebbfe" userID="1850010794" userName="龙丽娟" dateTime="2026-07-02T13:10:45" isNormal="0">
            <s:text>
              <s:r>
                <s:t xml:space="preserve">6/26 2200946 2000pcs欣泰b2</s:t>
              </s:r>
            </s:text>
          </item>
        </commentChain>
      </unresolved>
      <resolved/>
    </commentChains>
    <commentChains s:ref="V270" rgbClr="FF0000">
      <unresolved>
        <commentChain chainId="5bedb38fb7de2876aa65f3b17a072793aac0e685">
          <item id="6a9732bc5582bed2b3db5ebf54dae014c371c35b" userID="1850010794" userName="龙丽娟" dateTime="2026-07-07T07:50:20" isNormal="0">
            <s:text>
              <s:r>
                <s:t xml:space="preserve">6/27上进口商贴纸2000pcs</s:t>
              </s:r>
            </s:text>
          </item>
        </commentChain>
      </unresolved>
      <resolved/>
    </commentChains>
    <commentChains s:ref="V271" rgbClr="FF0000">
      <unresolved>
        <commentChain chainId="cdce5b45b1c33287d2fa2fba90bf953376103171">
          <item id="bbf13f748a8b97a604c0b56db26152a5653636a3" userID="1850010794" userName="龙丽娟" dateTime="2026-06-29T02:57:30" isNormal="0">
            <s:text>
              <s:r>
                <s:t xml:space="preserve">6/25 上客供asn贴纸/客供hu条码/客供hu，s条形码贴纸各40pcs</s:t>
              </s:r>
            </s:text>
          </item>
        </commentChain>
      </unresolved>
      <resolved/>
    </commentChains>
    <commentChains s:ref="T272" rgbClr="FF0000">
      <unresolved>
        <commentChain chainId="a16536135f3f0d4fce7b448e899ff6f2ad656409">
          <item id="4b55ede154eccc87ea082330d765e6cf25a2d49a" userID="1850010794" userName="龙丽娟" dateTime="2026-06-26T13:37:05" isNormal="0">
            <s:text>
              <s:r>
                <s:t xml:space="preserve"> 6/24 1000pcs顶均b2</s:t>
              </s:r>
            </s:text>
          </item>
        </commentChain>
      </unresolved>
      <resolved/>
    </commentChains>
    <commentChains s:ref="V272" rgbClr="FF0000">
      <unresolved>
        <commentChain chainId="76aa5ddd6f419f3fc8e16a2750db12ef014e0751">
          <item id="013ddec972272224c68bc91251630a6a6147a2b9" userID="1850010794" userName="龙丽娟" dateTime="2026-06-22T06:14:04" isNormal="0">
            <s:text>
              <s:r>
                <s:t xml:space="preserve">6/9上upc贴纸1000pcs</s:t>
              </s:r>
            </s:text>
          </item>
        </commentChain>
      </unresolved>
      <resolved/>
    </commentChains>
    <commentChains s:ref="BB273" rgbClr="FF0000">
      <unresolved>
        <commentChain chainId="bf99e943a840de742c35b8ded18f7ecf60765bc1">
          <item id="15a61fed500b35108785b9d531d7c25ed9b2af11" isNormal="1">
            <s:text>
              <s:r>
                <s:t xml:space="preserve">RR:
客版新资料</s:t>
              </s:r>
            </s:text>
          </item>
        </commentChain>
      </unresolved>
      <resolved/>
    </commentChains>
    <commentChains s:ref="BC273" rgbClr="FF0000">
      <unresolved>
        <commentChain chainId="74fcfca75f4fbddc3a44164283379f522af3b100">
          <item id="87eaed9dccbdfb275f2f011899c38ee321fec1e2" isNormal="1">
            <s:text>
              <s:r>
                <s:t xml:space="preserve">RR:
客版新资料</s:t>
              </s:r>
            </s:text>
          </item>
        </commentChain>
      </unresolved>
      <resolved/>
    </commentChains>
    <commentChains s:ref="BD273" rgbClr="FF0000">
      <unresolved>
        <commentChain chainId="73d054138891f3e66ff22fb5e204b0405ec4b18a">
          <item id="697ae08447290cb45a816de496e1aadbe850ecde" isNormal="1">
            <s:text>
              <s:r>
                <s:t xml:space="preserve">RR:
客版新资料</s:t>
              </s:r>
            </s:text>
          </item>
        </commentChain>
      </unresolved>
      <resolved/>
    </commentChains>
    <commentChains s:ref="BE273" rgbClr="FF0000">
      <unresolved>
        <commentChain chainId="476e7eda868cee958a285f3f5b46db65c69603a3">
          <item id="00ca3de9ced8c876146ce3937a5e01d4634c8b67" isNormal="1">
            <s:text>
              <s:r>
                <s:t xml:space="preserve">RR:
客版新资料</s:t>
              </s:r>
            </s:text>
          </item>
        </commentChain>
      </unresolved>
      <resolved/>
    </commentChains>
    <commentChains s:ref="BF273" rgbClr="FF0000">
      <unresolved>
        <commentChain chainId="41c4ea6b49740eb49c2d773f586cd51a6d104c08">
          <item id="c0f023f6fbfb02a6c573f65d49ba668e21d5f91b" isNormal="1">
            <s:text>
              <s:r>
                <s:t xml:space="preserve">RR:
客版新资料</s:t>
              </s:r>
            </s:text>
          </item>
        </commentChain>
      </unresolved>
      <resolved/>
    </commentChains>
    <commentChains s:ref="T274" rgbClr="FF0000">
      <unresolved>
        <commentChain chainId="eef0c9ab5e7bf4dfefc1e15067987d84af3f86bf">
          <item id="97c84ec051fc4da8ae8cacbcc74d70f45eeeca2e" userID="1850010794" userName="龙丽娟" dateTime="2026-07-02T12:58:06" isNormal="0">
            <s:text>
              <s:r>
                <s:t xml:space="preserve">6/26 25000pcs欣泰B3</s:t>
              </s:r>
            </s:text>
          </item>
        </commentChain>
      </unresolved>
      <resolved/>
    </commentChains>
    <commentChains s:ref="V274" rgbClr="FF0000">
      <unresolved>
        <commentChain chainId="5168c48ff9d66b15b94948e0e8666ecc1c4464bb">
          <item id="5e4ff73056a5902d3de3097b284b6e79c9fbdb05" userID="1850010794" userName="龙丽娟" dateTime="2026-06-22T05:32:29" isNormal="0">
            <s:text>
              <s:r>
                <s:t xml:space="preserve">6/9上保证书25000pcs</s:t>
              </s:r>
            </s:text>
          </item>
        </commentChain>
      </unresolved>
      <resolved/>
    </commentChains>
    <commentChains s:ref="T276" rgbClr="FF0000">
      <unresolved>
        <commentChain chainId="ea683d159d95798c808c67d3921ae67b7136effe">
          <item id="8e18f73603de8164236a44004a32a85a8c822039" userID="1850010794" userName="龙丽娟" dateTime="2026-07-04T09:15:21" isNormal="0">
            <s:text>
              <s:r>
                <s:t xml:space="preserve">7/1 2201037 5648pcs欣泰a7</s:t>
              </s:r>
            </s:text>
          </item>
        </commentChain>
      </unresolved>
      <resolved/>
    </commentChains>
    <commentChains s:ref="T277" rgbClr="FF0000">
      <unresolved>
        <commentChain chainId="41bb7104d0938840d822a3e7cbe86467fe9980f3">
          <item id="1a7fe95d03bc112994f22e638442c664e8981d6e" userID="1850010794" userName="龙丽娟" dateTime="2026-07-04T09:15:50" isNormal="0">
            <s:text>
              <s:r>
                <s:t xml:space="preserve">7/1 2201037 6352pcs欣泰a7</s:t>
              </s:r>
            </s:text>
          </item>
        </commentChain>
      </unresolved>
      <resolved/>
    </commentChains>
    <commentChains s:ref="T278" rgbClr="FF0000">
      <unresolved>
        <commentChain chainId="fe9231fd3b13ba6deec473fd22c4c2e6fa8c7cc7">
          <item id="bc95f7c355fe06198edcd262d0509fca13abc3ff" userID="1850010794" userName="龙丽娟" dateTime="2026-07-04T08:47:47" isNormal="0">
            <s:text>
              <s:r>
                <s:t xml:space="preserve">6/27 2200981 17212pcs欣泰c3</s:t>
              </s:r>
            </s:text>
          </item>
        </commentChain>
      </unresolved>
      <resolved/>
    </commentChains>
    <commentChains s:ref="T279" rgbClr="FF0000">
      <unresolved>
        <commentChain chainId="a3a8d7d639a12bab21dba15ce93f3253cc43c271">
          <item id="1835eca997a939573d6b5ce91bae4d83d6b9886e" userID="1850010794" userName="龙丽娟" dateTime="2026-07-04T08:48:06" isNormal="0">
            <s:text>
              <s:r>
                <s:t xml:space="preserve">6/27 2200981 2080pcs欣泰c3</s:t>
              </s:r>
            </s:text>
          </item>
        </commentChain>
      </unresolved>
      <resolved/>
    </commentChains>
    <commentChains s:ref="T280" rgbClr="FF0000">
      <unresolved>
        <commentChain chainId="b1d9fc9c575586f75512cd2ae1bae6caf86abbe4">
          <item id="d1f34b25eba6550bf2b9118104ad714fac146c12" userID="1850010794" userName="龙丽娟" dateTime="2026-07-02T12:57:48" isNormal="0">
            <s:text>
              <s:r>
                <s:t xml:space="preserve">6/26 3036pcs欣泰c7</s:t>
              </s:r>
            </s:text>
          </item>
        </commentChain>
      </unresolved>
      <resolved/>
    </commentChains>
    <commentChains s:ref="T281" rgbClr="FF0000">
      <unresolved>
        <commentChain chainId="3370060aedad3943170358dabd9bc03233681b4c">
          <item id="bdbdae96ae73d455f615a41f773ab982fcd49e27" userID="1850010794" userName="龙丽娟" dateTime="2026-07-03T06:24:15" isNormal="0">
            <s:text>
              <s:r>
                <s:t xml:space="preserve">2200947 6/26 3108pcs  新泰一C7</s:t>
              </s:r>
            </s:text>
          </item>
          <item id="a7f9232086bccfeeba334d441b5a04573b366c3e" userID="1850010794" userName="龙丽娟" dateTime="2026-07-22T12:26:50" isNormal="0">
            <s:text>
              <s:r>
                <s:t xml:space="preserve">7/17 1001874 162pcs直走</s:t>
              </s:r>
            </s:text>
          </item>
        </commentChain>
      </unresolved>
      <resolved/>
    </commentChains>
    <commentChains s:ref="T283" rgbClr="FF0000">
      <unresolved>
        <commentChain chainId="bf3e175b67ab323152dc755deb746b8794ef12f8">
          <item id="3003cdfe8897073a034523d344dfe03e9e2e8a14" userID="1850010794" userName="龙丽娟" dateTime="2026-07-09T07:02:15" isNormal="0">
            <s:text>
              <s:r>
                <s:t xml:space="preserve">2500300 6/15 100000pcs</s:t>
              </s:r>
            </s:text>
          </item>
        </commentChain>
      </unresolved>
      <resolved/>
    </commentChains>
    <commentChains s:ref="V283" rgbClr="FF0000">
      <unresolved>
        <commentChain chainId="2813d1b445aece9da6237c0045603aa17212aebe">
          <item id="430650137cdc4c458732a362218d9a88e45b03b4" userID="1850010794" userName="龙丽娟" dateTime="2026-06-29T02:58:38" isNormal="0">
            <s:text>
              <s:r>
                <s:t xml:space="preserve">6/25上客供外箱条码贴纸4100pcs</s:t>
              </s:r>
            </s:text>
          </item>
        </commentChain>
      </unresolved>
      <resolved/>
    </commentChains>
    <commentChains s:ref="V287" rgbClr="FF0000">
      <unresolved>
        <commentChain chainId="fb9fb53660e4bc08fa86366812afea02209d8d92">
          <item id="0838f6b0276a59f1b114627c78dfc049f788a92b" userID="1850010794" userName="龙丽娟" dateTime="2026-06-11T05:49:17" isNormal="0">
            <s:text>
              <s:r>
                <s:t xml:space="preserve">6/27上UPC贴纸10764pcs</s:t>
              </s:r>
            </s:text>
          </item>
        </commentChain>
      </unresolved>
      <resolved/>
    </commentChains>
    <commentChains s:ref="T288" rgbClr="FF0000">
      <unresolved>
        <commentChain chainId="d55bc055d35df735032e446e7d608b3066dd73b9">
          <item id="b9014245ee598255826262d21bce5467353bf055" userID="1850010794" userName="龙丽娟" dateTime="2026-07-22T12:46:38" isNormal="0">
            <s:text>
              <s:r>
                <s:t xml:space="preserve">7/12 2801298 7500PCS欣泰d3</s:t>
              </s:r>
            </s:text>
          </item>
        </commentChain>
      </unresolved>
      <resolved/>
    </commentChains>
    <commentChains s:ref="V288" rgbClr="FF0000">
      <unresolved>
        <commentChain chainId="de24ad8db0af009f826fa170791c4fc87be03f57">
          <item id="14e5f39a4c17890928d633c857e47b64e9e76083" userID="1850010794" userName="龙丽娟" dateTime="2026-06-11T05:42:18" isNormal="0">
            <s:text>
              <s:r>
                <s:t xml:space="preserve">7/27上客人通用进口商贴纸7500pcs</s:t>
              </s:r>
            </s:text>
          </item>
        </commentChain>
      </unresolved>
      <resolved/>
    </commentChains>
    <commentChains s:ref="V295" rgbClr="FF0000">
      <unresolved>
        <commentChain chainId="07c3b9b97dd6d165f6c3b4972c07326192c818ef">
          <item id="cce0bfa74149b7685aa557803c94769d586ce93a" userID="1850010794" userName="龙丽娟" dateTime="2026-06-22T06:10:12" isNormal="0">
            <s:text>
              <s:r>
                <s:t xml:space="preserve">6/10上家乐福外箱贴纸200pcs</s:t>
              </s:r>
            </s:text>
          </item>
          <item id="38bd8a59c7a3e9c40c90b4ae8b4f7db129b1f9dc" userID="1850010794" userName="龙丽娟" dateTime="2026-07-07T09:38:49" isNormal="0">
            <s:text>
              <s:r>
                <s:t xml:space="preserve">7/3上客户贴纸10300pcs
201727/201776共用</s:t>
              </s:r>
            </s:text>
          </item>
        </commentChain>
      </unresolved>
      <resolved/>
    </commentChains>
    <commentChains s:ref="V296" rgbClr="FF0000">
      <unresolved>
        <commentChain chainId="3d3e309f592f1c9dfff2b09ebac31a85bc21e678">
          <item id="72a4508e4288f063954d789d3de2d3068741d2f4" userID="1850010794" userName="龙丽娟" dateTime="2026-06-22T06:10:12" isNormal="0">
            <s:text>
              <s:r>
                <s:t xml:space="preserve">6/10上家乐福外箱贴纸456pcs</s:t>
              </s:r>
            </s:text>
          </item>
          <item id="ceb865408733c4d686c162f755470a91fe63a918" userID="1850010794" userName="龙丽娟" dateTime="2026-07-07T09:38:51" isNormal="0">
            <s:text>
              <s:r>
                <s:t xml:space="preserve">7/3上客户贴纸10300pcs
201727/201776共用</s:t>
              </s:r>
            </s:text>
          </item>
        </commentChain>
      </unresolved>
      <resolved/>
    </commentChains>
    <commentChains s:ref="V297" rgbClr="FF0000">
      <unresolved>
        <commentChain chainId="ee23ac88479c71052370913cc4bf465351bb5f76">
          <item id="c402b7eb85adc0dbcf416ab1e38f80ca6562e988" userID="1850010794" userName="龙丽娟" dateTime="2026-06-22T06:10:12" isNormal="0">
            <s:text>
              <s:r>
                <s:t xml:space="preserve">6/10上家乐福外箱贴纸128pcs</s:t>
              </s:r>
            </s:text>
          </item>
          <item id="c7d16c0b893e9f3ab4ea5516c8ab33d5d9c22163" userID="1850010794" userName="龙丽娟" dateTime="2026-07-07T09:38:54" isNormal="0">
            <s:text>
              <s:r>
                <s:t xml:space="preserve">7/3上客户贴纸10300pcs
201727/201776共用</s:t>
              </s:r>
            </s:text>
          </item>
        </commentChain>
      </unresolved>
      <resolved/>
    </commentChains>
    <commentChains s:ref="BB298" rgbClr="FF0000">
      <unresolved>
        <commentChain chainId="d9fb3b5637031a3d29bf9f92df43904bbf97dc8a">
          <item id="f23a8061ff39fcc42d295020c89e714a8a71452b" isNormal="1">
            <s:text>
              <s:r>
                <s:t xml:space="preserve">RR:
客版新资料</s:t>
              </s:r>
            </s:text>
          </item>
        </commentChain>
      </unresolved>
      <resolved/>
    </commentChains>
    <commentChains s:ref="BC298" rgbClr="FF0000">
      <unresolved>
        <commentChain chainId="85b385c11434030a27efcf0e9c2a74f5e8467c58">
          <item id="1202a4cde6a9d7e2f9c03e692ffd4963605f720a" isNormal="1">
            <s:text>
              <s:r>
                <s:t xml:space="preserve">RR:
客版新资料</s:t>
              </s:r>
            </s:text>
          </item>
        </commentChain>
      </unresolved>
      <resolved/>
    </commentChains>
    <commentChains s:ref="BD298" rgbClr="FF0000">
      <unresolved>
        <commentChain chainId="032674b2b56cce3899e6ab4ce5ad7a3e4cdfccd4">
          <item id="c1545ce2feb29140e56273a7a78865f0546a2e8b" isNormal="1">
            <s:text>
              <s:r>
                <s:t xml:space="preserve">RR:
客版新资料</s:t>
              </s:r>
            </s:text>
          </item>
        </commentChain>
      </unresolved>
      <resolved/>
    </commentChains>
    <commentChains s:ref="BE298" rgbClr="FF0000">
      <unresolved>
        <commentChain chainId="b5c9a80e0d13a7a4f27b36b02bd063e909855d3b">
          <item id="bd66081e31595a8ac0a0276ad806c26dd686c117" isNormal="1">
            <s:text>
              <s:r>
                <s:t xml:space="preserve">RR:
客版新资料</s:t>
              </s:r>
            </s:text>
          </item>
        </commentChain>
      </unresolved>
      <resolved/>
    </commentChains>
    <commentChains s:ref="BF298" rgbClr="FF0000">
      <unresolved>
        <commentChain chainId="fe65cdaa47370e4520c124553fd36c6b3ba27229">
          <item id="d8a7468a667b6e43b8ddd815a956516f20669fc1" isNormal="1">
            <s:text>
              <s:r>
                <s:t xml:space="preserve">RR:
客版新资料</s:t>
              </s:r>
            </s:text>
          </item>
        </commentChain>
      </unresolved>
      <resolved/>
    </commentChains>
    <commentChains s:ref="T299" rgbClr="FF0000">
      <unresolved>
        <commentChain chainId="437faecd953e511934197661f1e7150e2ea6f45e">
          <item id="29f777f5d3c94e5f196c3b0563875f5a48ed8d73" userID="1850010794" userName="龙丽娟" dateTime="2026-07-22T13:02:13" isNormal="0">
            <s:text>
              <s:r>
                <s:t xml:space="preserve">7/15 2801305 5600pcs顶均e3</s:t>
              </s:r>
            </s:text>
          </item>
        </commentChain>
      </unresolved>
      <resolved/>
    </commentChains>
    <commentChains s:ref="V299" rgbClr="FF0000">
      <unresolved>
        <commentChain chainId="96a6a55c3f62df95086a19e6dc26afc84ff1b107">
          <item id="3b1b1f952c07666954492da156e1d26e44804592" userID="1850010794" userName="龙丽娟" dateTime="2026-06-11T05:50:43" isNormal="0">
            <s:text>
              <s:r>
                <s:t xml:space="preserve">6/2上upc贴纸5600pcs</s:t>
              </s:r>
            </s:text>
          </item>
        </commentChain>
      </unresolved>
      <resolved/>
    </commentChains>
    <commentChains s:ref="T302" rgbClr="FF0000">
      <unresolved>
        <commentChain chainId="cd7c73da58da80e453c98339f36c8be121b78991">
          <item id="4ed8e2b3f1aef47851e277c1682c590b88575200" userID="1850010794" userName="龙丽娟" dateTime="2026-08-07T13:22:27" isNormal="0">
            <s:text>
              <s:r>
                <s:t xml:space="preserve">3003918 8/7 192pcs</s:t>
              </s:r>
            </s:text>
          </item>
        </commentChain>
      </unresolved>
      <resolved/>
    </commentChains>
    <commentChains s:ref="T304" rgbClr="FF0000">
      <unresolved>
        <commentChain chainId="f9ce29b1fa0a7113c86274f512de5f340c351a15">
          <item id="714ba4fccd30b2ff68a1be5d9dea6598ce9a0a2b" userID="1850010794" userName="龙丽娟" dateTime="2026-07-04T06:58:12" isNormal="0">
            <s:text>
              <s:r>
                <s:t xml:space="preserve">6/27 2200971  38700pcs欣泰A4</s:t>
              </s:r>
            </s:text>
          </item>
          <item id="44b54260a09ac493bb7d9fe4a50d8da5d6a1ee28" userID="1850010794" userName="龙丽娟" dateTime="2026-07-04T07:04:43" isNormal="0">
            <s:text>
              <s:r>
                <s:t xml:space="preserve">6/29 2200980 13050pcs欣泰A4</s:t>
              </s:r>
            </s:text>
          </item>
          <item id="cd5a410931dfaeaf2eb904072ce7b58a5208b766" userID="1850010794" userName="龙丽娟" dateTime="2026-07-04T07:05:48" isNormal="0">
            <s:text>
              <s:r>
                <s:t xml:space="preserve">6/27 2200981 34750pcs欣泰A4</s:t>
              </s:r>
            </s:text>
          </item>
        </commentChain>
      </unresolved>
      <resolved/>
    </commentChains>
    <commentChains s:ref="T305" rgbClr="FF0000">
      <unresolved>
        <commentChain chainId="37b5806a5311bd3cf598d6b6c9168ec3d2940b5d">
          <item id="0f1e8f96c5a0e7eabb54ce5ec9c86499856fd82e" userID="1850010794" userName="龙丽娟" dateTime="2026-07-09T07:06:40" isNormal="0">
            <s:text>
              <s:r>
                <s:t xml:space="preserve">6/16 已送货</s:t>
              </s:r>
            </s:text>
          </item>
        </commentChain>
      </unresolved>
      <resolved/>
    </commentChains>
    <commentChains s:ref="T306" rgbClr="FF0000">
      <unresolved>
        <commentChain chainId="424a6f1cb17765e7af5e74d67c4f706c9f9b47ba">
          <item id="1ebed8d17f51e7c83e5358c8adb1a98b3f592631" userID="1850010794" userName="龙丽娟" dateTime="2026-07-02T12:56:48" isNormal="0">
            <s:text>
              <s:r>
                <s:t xml:space="preserve">6/26 403pcs欣泰B2</s:t>
              </s:r>
            </s:text>
          </item>
        </commentChain>
      </unresolved>
      <resolved/>
    </commentChains>
    <commentChains s:ref="AX306" rgbClr="FF0000">
      <unresolved>
        <commentChain chainId="56c3046438e8fa7252bdad647406fc7f3dcb20db">
          <item id="aa41c2783e33bedb9bfcc1ea4a89b6e36b633b30" isNormal="1">
            <s:text>
              <s:r>
                <s:t xml:space="preserve">RR:
移除21/23号唱片客版收藏指南</s:t>
              </s:r>
            </s:text>
          </item>
        </commentChain>
      </unresolved>
      <resolved/>
    </commentChains>
    <commentChains s:ref="T307" rgbClr="FF0000">
      <unresolved>
        <commentChain chainId="5a9b5f4ac5a2f2be537e03f5ed5e72a70dbe8379">
          <item id="78ed8f07c466a5230898752b6c18cc68e7ab8aa0" userID="1850010794" userName="龙丽娟" dateTime="2026-07-02T13:09:32" isNormal="0">
            <s:text>
              <s:r>
                <s:t xml:space="preserve">6/26 2200946 6097pcs欣泰d5</s:t>
              </s:r>
            </s:text>
          </item>
        </commentChain>
      </unresolved>
      <resolved/>
    </commentChains>
    <commentChains s:ref="AX307" rgbClr="FF0000">
      <unresolved>
        <commentChain chainId="d9285bec9eaaa0289bf31421f69722f38e73dd92">
          <item id="b79998afcc5ca89a5df10ee63c6670ccb0767d24" isNormal="1">
            <s:text>
              <s:r>
                <s:t xml:space="preserve">RR:
移除21/23号唱片客版收藏指南</s:t>
              </s:r>
            </s:text>
          </item>
        </commentChain>
      </unresolved>
      <resolved/>
    </commentChains>
    <commentChains s:ref="T308" rgbClr="FF0000">
      <unresolved>
        <commentChain chainId="d50d84ced4b5eb28778a1da19e1ae550577beeca">
          <item id="06c707bb846c6f9db771aaf6713424b13f2d43dc" userID="1850010794" userName="龙丽娟" dateTime="2026-07-22T13:01:03" isNormal="0">
            <s:text>
              <s:r>
                <s:t xml:space="preserve">7/15 1001913 540PCS顶均c5</s:t>
              </s:r>
            </s:text>
          </item>
        </commentChain>
      </unresolved>
      <resolved/>
    </commentChains>
    <commentChains s:ref="V308" rgbClr="FF0000">
      <unresolved>
        <commentChain chainId="2e2a12a0ed9ba76822bd37d759e6f501f0a4386b">
          <item id="161d95925c421cc8ed01a8452300a6d461c3e0ce" userID="1850010794" userName="龙丽娟" dateTime="2026-06-11T06:01:50" isNormal="0">
            <s:text>
              <s:r>
                <s:t xml:space="preserve">6/4上客人白色catlabel540pcs</s:t>
              </s:r>
            </s:text>
          </item>
        </commentChain>
      </unresolved>
      <resolved/>
    </commentChains>
    <commentChains s:ref="T309" rgbClr="FF0000">
      <unresolved>
        <commentChain chainId="c3aa5f6b7c2f5a356554092e1774f98047750df9">
          <item id="f2231ec7b3802917d37d5fd0efa4467fed023dc7" userID="1850010794" userName="龙丽娟" dateTime="2026-07-14T13:18:09" isNormal="0">
            <s:text>
              <s:r>
                <s:t xml:space="preserve">7/9 2201263 15000pcs直走</s:t>
              </s:r>
            </s:text>
          </item>
        </commentChain>
      </unresolved>
      <resolved/>
    </commentChains>
    <commentChains s:ref="T310" rgbClr="FF0000">
      <unresolved>
        <commentChain chainId="0b505f31e0466a27793f7d33e45d7e06dc181675">
          <item id="1e43c422918c87ab333fa6ca6552466d55938aad" userID="1850010794" userName="龙丽娟" dateTime="2026-07-14T13:20:01" isNormal="0">
            <s:text>
              <s:r>
                <s:t xml:space="preserve">7/9 2201275 300pcsB栋-B7</s:t>
              </s:r>
            </s:text>
          </item>
        </commentChain>
      </unresolved>
      <resolved/>
    </commentChains>
    <commentChains s:ref="V310" rgbClr="FF0000">
      <unresolved>
        <commentChain chainId="ee543721bc9fa8ef134f678fe636b7a52a9ee687">
          <item id="4ea0845228fb3ae2622d412116f4bad7331a8a89" userID="1850010794" userName="龙丽娟" dateTime="2026-07-09T12:24:34" isNormal="0">
            <s:text>
              <s:r>
                <s:t xml:space="preserve">7/9 收到UPC贴纸 300pcs-留东莞返工</s:t>
              </s:r>
            </s:text>
          </item>
          <item id="7596dc474df4509d6fb5c5e079f0823230a7af05" userID="1850010794" userName="龙丽娟" dateTime="2026-07-15T13:58:23" isNormal="0">
            <s:text>
              <s:r>
                <s:t xml:space="preserve">7/15收到UPC贴纸300pcs</s:t>
              </s:r>
            </s:text>
          </item>
          <item id="73376a51ddd2368270d7d4f5c2eda4658941e2ba" userID="1850010794" userName="龙丽娟" dateTime="2026-07-23T12:40:00" isNormal="0">
            <s:text>
              <s:r>
                <s:t xml:space="preserve">7/18上upc贴纸300pcs</s:t>
              </s:r>
            </s:text>
          </item>
        </commentChain>
      </unresolved>
      <resolved/>
    </commentChains>
    <commentChains s:ref="AX310" rgbClr="FF0000">
      <unresolved>
        <commentChain chainId="34133cd73e965ea2a06616b618a6f87dcb8e3ac2">
          <item id="3df19468afe18a2d711768a7c1fdcc35c3e589ac" isNormal="1">
            <s:text>
              <s:r>
                <s:t xml:space="preserve">RR:
移除21/23号唱片客版收藏指南</s:t>
              </s:r>
            </s:text>
          </item>
        </commentChain>
      </unresolved>
      <resolved/>
    </commentChains>
    <commentChains s:ref="T311" rgbClr="FF0000">
      <unresolved>
        <commentChain chainId="e9c4bba5ea1c1fbe8fae87f0490e56416ce7eb76">
          <item id="99be087993a331e84678713180bd6b93cdf99de8" userID="1850010794" userName="龙丽娟" dateTime="2026-07-14T13:09:16" isNormal="0">
            <s:text>
              <s:r>
                <s:t xml:space="preserve">7/9 2201265 4600pcs欣泰c4</s:t>
              </s:r>
            </s:text>
          </item>
        </commentChain>
      </unresolved>
      <resolved/>
    </commentChains>
    <commentChains s:ref="T312" rgbClr="FF0000">
      <unresolved>
        <commentChain chainId="a0141157c7beb4f7c72c6c620a508d98f4f4d842">
          <item id="72857e0e60ad05cc253bbcee99045aafdac4f527" userID="1850010794" userName="龙丽娟" dateTime="2026-07-14T13:09:32" isNormal="0">
            <s:text>
              <s:r>
                <s:t xml:space="preserve">7/9 2201265 2300pcs欣泰c2</s:t>
              </s:r>
            </s:text>
          </item>
        </commentChain>
      </unresolved>
      <resolved/>
    </commentChains>
    <commentChains s:ref="T313" rgbClr="FF0000">
      <unresolved>
        <commentChain chainId="335c4a4ba75287bb975c4427e668870204326df7">
          <item id="ebdcb7e59827b2e81a2cc4e181208b4fe4fd7e59" userID="1850010794" userName="龙丽娟" dateTime="2026-07-14T06:25:01" isNormal="0">
            <s:text>
              <s:r>
                <s:t xml:space="preserve">2801286 7/12 5700pcs欣泰c4</s:t>
              </s:r>
            </s:text>
          </item>
        </commentChain>
      </unresolved>
      <resolved/>
    </commentChains>
    <commentChains s:ref="T316" rgbClr="FF0000">
      <unresolved>
        <commentChain chainId="e58318ebef8f2326eabd9d49006cc190f2bcdddc">
          <item id="b0a5922def1fbe551af8d382bd73de1809ad8396" userID="1850010794" userName="龙丽娟" dateTime="2026-07-22T11:38:52" isNormal="0">
            <s:text>
              <s:r>
                <s:t xml:space="preserve">7/20 2801322 8840pcsB栋4楼B7</s:t>
              </s:r>
            </s:text>
          </item>
        </commentChain>
      </unresolved>
      <resolved/>
    </commentChains>
    <commentChains s:ref="T321" rgbClr="FF0000">
      <unresolved>
        <commentChain chainId="62f0c773d9d33131066f9b810324ea859a6164e6">
          <item id="697e3018e9e3e6533efc8daf10eef1ee543688b3" userID="1850010794" userName="龙丽娟" dateTime="2026-07-09T07:04:41" isNormal="0">
            <s:text>
              <s:r>
                <s:t xml:space="preserve">2801171 6/8 23800pcs</s:t>
              </s:r>
            </s:text>
          </item>
        </commentChain>
      </unresolved>
      <resolved/>
    </commentChains>
    <commentChains s:ref="V321" rgbClr="FF0000">
      <unresolved>
        <commentChain chainId="9180fabc6536717cd99898a7a7559abc036f3b18">
          <item id="752b85867f4f695698e049317d5381e1c0f721bd" userID="1850010794" userName="龙丽娟" dateTime="2026-07-07T09:47:29" isNormal="0">
            <s:text>
              <s:r>
                <s:t xml:space="preserve">7/3上客供外箱条码贴纸952pcs</s:t>
              </s:r>
            </s:text>
          </item>
        </commentChain>
      </unresolved>
      <resolved/>
    </commentChains>
    <commentChains s:ref="S323" rgbClr="FF0000">
      <unresolved>
        <commentChain chainId="e1bcd0e8c2a7bb1be1b6f25b6b9a593708aa47a6">
          <item id="3128643ffcbccd0eae2f0f3f63c7cede51753acb" userID="1850010794" userName="龙丽娟" dateTime="2026-07-06T06:50:21" isNormal="0">
            <s:text>
              <s:r>
                <s:t xml:space="preserve">40575pcs湖南生产</s:t>
              </s:r>
            </s:text>
          </item>
        </commentChain>
      </unresolved>
      <resolved/>
    </commentChains>
    <commentChains s:ref="T323" rgbClr="FF0000">
      <unresolved>
        <commentChain chainId="691bb4eec647de98f85ac637270294d05784f598">
          <item id="fb36d300369985038f0bdb2df0f00ca7faf5c76c" userID="1850010794" userName="龙丽娟" dateTime="2026-07-09T07:07:20" isNormal="0">
            <s:text>
              <s:r>
                <s:t xml:space="preserve">6/16 已送</s:t>
              </s:r>
            </s:text>
          </item>
        </commentChain>
      </unresolved>
      <resolved/>
    </commentChains>
    <commentChains s:ref="V323" rgbClr="FF0000">
      <unresolved>
        <commentChain chainId="5d5bcd5d07b7aec4340e4981c6513dfefb85e2e1">
          <item id="6ce00dcb9f3c1abc61b2e0ef18a6e3e19d84394e" userID="1850010794" userName="龙丽娟" dateTime="2026-07-07T09:48:05" isNormal="0">
            <s:text>
              <s:r>
                <s:t xml:space="preserve">7/3上客供外箱条码贴纸3260pcs</s:t>
              </s:r>
            </s:text>
          </item>
        </commentChain>
      </unresolved>
      <resolved/>
    </commentChains>
    <commentChains s:ref="V325" rgbClr="FF0000">
      <unresolved>
        <commentChain chainId="610a953764b263932f9416d47933c715111f7195">
          <item id="52371d3dde6a6598495ac677b153b2d56cc5f9ca" userID="1850010794" userName="龙丽娟" dateTime="2026-06-22T05:47:59" isNormal="0">
            <s:text>
              <s:r>
                <s:t xml:space="preserve">6/10上警告语/环保标贴纸5520pcs</s:t>
              </s:r>
            </s:text>
          </item>
        </commentChain>
      </unresolved>
      <resolved/>
    </commentChains>
    <commentChains s:ref="V326" rgbClr="FF0000">
      <unresolved>
        <commentChain chainId="7c1684f2007e41d514e5032efd0e245852ee64f7">
          <item id="58eda20a3acb9c025092e56a175adb3e9b9e4637" userID="1850010794" userName="龙丽娟" dateTime="2026-06-22T05:47:59" isNormal="0">
            <s:text>
              <s:r>
                <s:t xml:space="preserve">6/10上警告语/环保标贴纸2064pcs</s:t>
              </s:r>
            </s:text>
          </item>
        </commentChain>
      </unresolved>
      <resolved/>
    </commentChains>
    <commentChains s:ref="V327" rgbClr="FF0000">
      <unresolved>
        <commentChain chainId="e6942212601291c79f0ecadade0a144ba647996a">
          <item id="7a79838706f45467bcb0ca4ef1fac71bc8995588" userID="1850010794" userName="龙丽娟" dateTime="2026-06-22T12:45:18" isNormal="0">
            <s:text>
              <s:r>
                <s:t xml:space="preserve">6/22上法国/西班牙回收标贴纸3936pcs
203798/203810/203860/203898/203934共用</s:t>
              </s:r>
            </s:text>
          </item>
        </commentChain>
      </unresolved>
      <resolved/>
    </commentChains>
    <commentChains s:ref="V328" rgbClr="FF0000">
      <unresolved>
        <commentChain chainId="20383d0e776d883b930b6aa5f994de7c13b2f20b">
          <item id="536b6b32a760e5d1c74cf73fe620d5dfb18f7ec8" userID="1850010794" userName="龙丽娟" dateTime="2026-06-22T12:45:18" isNormal="0">
            <s:text>
              <s:r>
                <s:t xml:space="preserve">6/22上法国/西班牙回收标贴纸3936pcs
203798/203810/203860/203898/203934共用</s:t>
              </s:r>
            </s:text>
          </item>
        </commentChain>
      </unresolved>
      <resolved/>
    </commentChains>
    <commentChains s:ref="V331" rgbClr="FF0000">
      <unresolved>
        <commentChain chainId="0c8e7229ff7ae6362d4243a5dbd3a536b88330e5">
          <item id="3eac1323de8ed677624af28ac5e3e1f31a62e311" userID="1850010794" userName="龙丽娟" dateTime="2026-06-22T12:45:18" isNormal="0">
            <s:text>
              <s:r>
                <s:t xml:space="preserve">6/22上法国/西班牙回收标贴纸3936pcs
203798/203810/203860/203898/203934共用</s:t>
              </s:r>
            </s:text>
          </item>
        </commentChain>
      </unresolved>
      <resolved/>
    </commentChains>
    <commentChains s:ref="V332" rgbClr="FF0000">
      <unresolved>
        <commentChain chainId="0a8cb02b0a8fc7d383c5c662af15a46444d2b78c">
          <item id="5025335a2a2e5d6f5e7ef4687a464fe7dc451b54" userID="1850010794" userName="龙丽娟" dateTime="2026-06-22T12:45:18" isNormal="0">
            <s:text>
              <s:r>
                <s:t xml:space="preserve">6/22上法国/西班牙回收标贴纸3936pcs
203798/203810/203860/203898/203934共用</s:t>
              </s:r>
            </s:text>
          </item>
        </commentChain>
      </unresolved>
      <resolved/>
    </commentChains>
    <commentChains s:ref="V333" rgbClr="FF0000">
      <unresolved>
        <commentChain chainId="39bc6683ec733ca9a577c16ecaaf503e7b0ab31f">
          <item id="28c77d0dcb60f96b0f7e75182234e4ace0be1d4d" userID="1850010794" userName="龙丽娟" dateTime="2026-06-22T12:47:18" isNormal="0">
            <s:text>
              <s:r>
                <s:t xml:space="preserve">6/22上进口商贴纸2028pcs</s:t>
              </s:r>
            </s:text>
          </item>
        </commentChain>
      </unresolved>
      <resolved/>
    </commentChains>
    <commentChains s:ref="T334" rgbClr="FF0000">
      <unresolved>
        <commentChain chainId="7bf92223ecebe47e2defd718d62ca3617327968d">
          <item id="24af07376148d239f66916b74c8444943a4454e5" userID="1850010794" userName="龙丽娟" dateTime="2026-07-14T13:16:05" isNormal="0">
            <s:text>
              <s:r>
                <s:t xml:space="preserve">7/9 2800161 30000pcs钜顺</s:t>
              </s:r>
            </s:text>
          </item>
        </commentChain>
      </unresolved>
      <resolved/>
    </commentChains>
    <commentChains s:ref="V334" rgbClr="FF0000">
      <unresolved>
        <commentChain chainId="e1f6f45059a9c703f46037cd5afa590b23c5f618">
          <item id="b6ccbde8e4eb64e4e79c9ea6bad54cac65a0712e" userID="1850010794" userName="龙丽娟" dateTime="2026-07-07T09:48:48" isNormal="0">
            <s:text>
              <s:r>
                <s:t xml:space="preserve">7/3上客供外箱条码贴纸1200pcs</s:t>
              </s:r>
            </s:text>
          </item>
        </commentChain>
      </unresolved>
      <resolved/>
    </commentChains>
    <commentChains s:ref="T335" rgbClr="FF0000">
      <unresolved>
        <commentChain chainId="4e4949c34b385215033ecd7121e3adc690c11cb7">
          <item id="96a4ed1154b37bb3f3dc837e0d04d41183705fc9" userID="1850010794" userName="龙丽娟" dateTime="2026-07-22T13:06:58" isNormal="0">
            <s:text>
              <s:r>
                <s:t xml:space="preserve">7/15 1001921  15000pcs欣泰2A2</s:t>
              </s:r>
            </s:text>
          </item>
        </commentChain>
      </unresolved>
      <resolved/>
    </commentChains>
    <commentChains s:ref="V335" rgbClr="FF0000">
      <unresolved>
        <commentChain chainId="93ee6c8422725a38de346598384f34571294b75f">
          <item id="71a305e2170e761236826e2c2f829b828909ae01" userID="1850010794" userName="龙丽娟" dateTime="2026-06-22T05:33:13" isNormal="0">
            <s:text>
              <s:r>
                <s:t xml:space="preserve">6/9上西班牙环保标贴纸12000pcs</s:t>
              </s:r>
            </s:text>
          </item>
          <item id="98f67dc16d35ff371ae2bcbcf605374fdd6542a0" userID="1850010794" userName="龙丽娟" dateTime="2026-07-12T11:17:08" isNormal="0">
            <s:text>
              <s:r>
                <s:t xml:space="preserve">7/4上西班牙环保标贴纸3000pcs</s:t>
              </s:r>
            </s:text>
          </item>
        </commentChain>
      </unresolved>
      <resolved/>
    </commentChains>
    <commentChains s:ref="T336" rgbClr="FF0000">
      <unresolved>
        <commentChain chainId="a9eddbf91040d3a7638aa9fc935c4b15f9b3e52d">
          <item id="d7f9cfd4bb9a5edc78d4681b214cc2c0caabeb6c" userID="1850010794" userName="龙丽娟" dateTime="2026-07-09T07:09:05" isNormal="0">
            <s:text>
              <s:r>
                <s:t xml:space="preserve">1600563 7/3 275pcs直走</s:t>
              </s:r>
            </s:text>
          </item>
        </commentChain>
      </unresolved>
      <resolved/>
    </commentChains>
    <commentChains s:ref="V336" rgbClr="FF0000">
      <unresolved>
        <commentChain chainId="54cf1a3a27766f331d4b40d9ff3c9db7b7cb4536">
          <item id="249de047daa552d5232cd81b6793c31a15eb895a" userID="1850010794" userName="龙丽娟" dateTime="2026-06-22T13:33:52" isNormal="0">
            <s:text>
              <s:r>
                <s:t xml:space="preserve">6/22上多语警语折叠贴纸275pcs</s:t>
              </s:r>
            </s:text>
          </item>
        </commentChain>
      </unresolved>
      <resolved/>
    </commentChains>
    <commentChains s:ref="T337" rgbClr="FF0000">
      <unresolved>
        <commentChain chainId="fbe6268f86f896c4def8e398c31382b0b5d227bb">
          <item id="86981b692e38fcf8d90ba7ce6a6bfa97a326f029" userID="1850010794" userName="龙丽娟" dateTime="2026-07-22T11:49:17" isNormal="0">
            <s:text>
              <s:r>
                <s:t xml:space="preserve">7/20 2801325 2704pcs欣泰A2</s:t>
              </s:r>
            </s:text>
          </item>
        </commentChain>
      </unresolved>
      <resolved/>
    </commentChains>
    <commentChains s:ref="T339" rgbClr="FF0000">
      <unresolved>
        <commentChain chainId="4ad55e6cbf9b16bf95cee6ed2bad1c3f520c4044">
          <item id="ca5c30a45876e8c3ca754b8c348b92360308561d" userID="1850010794" userName="龙丽娟" dateTime="2026-07-22T11:48:15" isNormal="0">
            <s:text>
              <s:r>
                <s:t xml:space="preserve">7/20 2801325 3003pcs欣泰c1</s:t>
              </s:r>
            </s:text>
          </item>
        </commentChain>
      </unresolved>
      <resolved/>
    </commentChains>
    <commentChains s:ref="V339" rgbClr="FF0000">
      <unresolved>
        <commentChain chainId="afd8210327f69db5cc1cbfa3693ace746c50cb35">
          <item id="5d1d08d7146acece46480c084d9d98b7b1901127" isNormal="1">
            <s:text>
              <s:r>
                <s:t xml:space="preserve">DELL:
4/24 上多语警语折叠贴纸 3003pcs</s:t>
              </s:r>
            </s:text>
          </item>
        </commentChain>
      </unresolved>
      <resolved/>
    </commentChains>
    <commentChains s:ref="V340" rgbClr="FF0000">
      <unresolved>
        <commentChain chainId="ef93f5e87a30f8c9e5869db2dbd2926825c406f0">
          <item id="cfd324acdad53b2d0b92d8a69115ec6636471c2a" userID="1850010794" userName="龙丽娟" dateTime="2026-06-17T11:22:11" isNormal="0">
            <s:text>
              <s:r>
                <s:t xml:space="preserve">6/17 上空白贴纸2400pcs</s:t>
              </s:r>
            </s:text>
          </item>
          <item id="dd613adcb16b54257a145c08b87a7bcc54f94eae" userID="1850010794" userName="龙丽娟" dateTime="2026-07-07T09:41:23" isNormal="0">
            <s:text>
              <s:r>
                <s:t xml:space="preserve">7/3上进口商贴纸2004pcs</s:t>
              </s:r>
            </s:text>
          </item>
          <item id="103a8e45767058b047823e7ed636ff57719535fc" userID="1850010794" userName="龙丽娟" dateTime="2026-07-12T08:07:05" isNormal="0">
            <s:text>
              <s:r>
                <s:t xml:space="preserve">7/3上产品贴纸4008pcs</s:t>
              </s:r>
            </s:text>
          </item>
        </commentChain>
      </unresolved>
      <resolved/>
    </commentChains>
    <commentChains s:ref="V341" rgbClr="FF0000">
      <unresolved>
        <commentChain chainId="98716ea25cd15f09b87c15ce0af9ce3cd5a9b587">
          <item id="1fc9bb872e5ffa006d612ec37c0cf615727a6194" userID="1850010794" userName="龙丽娟" dateTime="2026-06-17T11:22:49" isNormal="0">
            <s:text>
              <s:r>
                <s:t xml:space="preserve">6/17上空白贴纸3000pcs</s:t>
              </s:r>
            </s:text>
          </item>
          <item id="f10b1c325e482a51f809441056a84ae0209c5718" userID="1850010794" userName="龙丽娟" dateTime="2026-07-07T09:41:40" isNormal="0">
            <s:text>
              <s:r>
                <s:t xml:space="preserve">7/3上进口商贴纸3000pcs</s:t>
              </s:r>
            </s:text>
          </item>
          <item id="57037ea6b605c96f93e983bf5535ffcc0d7b3710" userID="1850010794" userName="龙丽娟" dateTime="2026-07-12T08:06:32" isNormal="0">
            <s:text>
              <s:r>
                <s:t xml:space="preserve">7/3上产品贴纸6000pcs</s:t>
              </s:r>
            </s:text>
          </item>
        </commentChain>
      </unresolved>
      <resolved/>
    </commentChains>
    <commentChains s:ref="V342" rgbClr="FF0000">
      <unresolved>
        <commentChain chainId="213aa0064577c823e933041d2f93bb8227b6de38">
          <item id="badc566f6dc937cdb4ec8341019933d8f2c4d613" userID="1850010794" userName="龙丽娟" dateTime="2026-06-22T12:51:02" isNormal="0">
            <s:text>
              <s:r>
                <s:t xml:space="preserve">6/22pdq底部贴纸150pcs</s:t>
              </s:r>
            </s:text>
          </item>
        </commentChain>
      </unresolved>
      <resolved/>
    </commentChains>
    <commentChains s:ref="BB348" rgbClr="FF0000">
      <unresolved>
        <commentChain chainId="e4321f5da44de468399d1829a98fe495f7c7ee73">
          <item id="281b9d2e823d6a20e3b444535a839a83f6b74720" isNormal="1">
            <s:text>
              <s:r>
                <s:t xml:space="preserve">RR:
客版新资料</s:t>
              </s:r>
            </s:text>
          </item>
        </commentChain>
      </unresolved>
      <resolved/>
    </commentChains>
    <commentChains s:ref="BC348" rgbClr="FF0000">
      <unresolved>
        <commentChain chainId="9f1e91628f0386a62fbc3282bf21309ffe79c853">
          <item id="64a5e9d059d604e96d3f5c03fa4743f2f5bbe8a8" isNormal="1">
            <s:text>
              <s:r>
                <s:t xml:space="preserve">RR:
客版新资料</s:t>
              </s:r>
            </s:text>
          </item>
        </commentChain>
      </unresolved>
      <resolved/>
    </commentChains>
    <commentChains s:ref="BD348" rgbClr="FF0000">
      <unresolved>
        <commentChain chainId="6caf76dfb46a7a488c1d3d4fa6eae214e6c76d8f">
          <item id="7bcffccb80838e15322b309daaab0ec44e458976" isNormal="1">
            <s:text>
              <s:r>
                <s:t xml:space="preserve">RR:
客版新资料</s:t>
              </s:r>
            </s:text>
          </item>
        </commentChain>
      </unresolved>
      <resolved/>
    </commentChains>
    <commentChains s:ref="BE348" rgbClr="FF0000">
      <unresolved>
        <commentChain chainId="d73a92b7b82726a14f7a7c7fc47f02ae5118ce95">
          <item id="3017abce467cab6cb3c7d8f158abcee0beaa9cc9" isNormal="1">
            <s:text>
              <s:r>
                <s:t xml:space="preserve">RR:
客版新资料</s:t>
              </s:r>
            </s:text>
          </item>
        </commentChain>
      </unresolved>
      <resolved/>
    </commentChains>
    <commentChains s:ref="BF348" rgbClr="FF0000">
      <unresolved>
        <commentChain chainId="a1b73b55ffb948af3cb29e4620b3fb4926b6624b">
          <item id="bad021d4e7384007225dbd15cca2caf274af8985" isNormal="1">
            <s:text>
              <s:r>
                <s:t xml:space="preserve">RR:
客版新资料</s:t>
              </s:r>
            </s:text>
          </item>
        </commentChain>
      </unresolved>
      <resolved/>
    </commentChains>
    <commentChains s:ref="T350" rgbClr="FF0000">
      <unresolved>
        <commentChain chainId="79316bd1e13897b1c8bdf880607348873d4de4ba">
          <item id="fae797bfdb7c67753d0fe3c34f4d8e97ea9778d8" userID="1850010794" userName="龙丽娟" dateTime="2026-07-09T07:19:26" isNormal="0">
            <s:text>
              <s:r>
                <s:t xml:space="preserve">7/6 东莞返工</s:t>
              </s:r>
            </s:text>
          </item>
        </commentChain>
      </unresolved>
      <resolved/>
    </commentChains>
    <commentChains s:ref="T351" rgbClr="FF0000">
      <unresolved>
        <commentChain chainId="bcf41211acb64ab2c91058988cd45548e2609014">
          <item id="fbb6904c1ad6accffef31d50f6981d9f597f564a" userID="1850010794" userName="龙丽娟" dateTime="2026-07-14T06:14:32" isNormal="0">
            <s:text>
              <s:r>
                <s:t xml:space="preserve">7/11 1600543 33024pcs欣泰e3</s:t>
              </s:r>
            </s:text>
          </item>
        </commentChain>
      </unresolved>
      <resolved/>
    </commentChains>
    <commentChains s:ref="V351" rgbClr="FF0000">
      <unresolved>
        <commentChain chainId="cda65b2e03f6060020b284c639fe199289e79cec">
          <item id="6f6e3033e1616968ce3dc4baa6cf9e2d115b80e8" userID="1850010794" userName="龙丽娟" dateTime="2026-07-12T11:57:24" isNormal="0">
            <s:text>
              <s:r>
                <s:t xml:space="preserve">7/7上粉色艾力贴纸11686pcs同po共用</s:t>
              </s:r>
            </s:text>
          </item>
        </commentChain>
      </unresolved>
      <resolved/>
    </commentChains>
    <commentChains s:ref="V352" rgbClr="FF0000">
      <unresolved>
        <commentChain chainId="698da3c5dc0996fb1ac53579af903f30469c99e7">
          <item id="51c896c7cabd324e31e7e608ddb13199502c1b36" userID="1850010794" userName="龙丽娟" dateTime="2026-07-12T11:57:24" isNormal="0">
            <s:text>
              <s:r>
                <s:t xml:space="preserve">7/7上粉色艾力贴纸11686pcs同po共用</s:t>
              </s:r>
            </s:text>
          </item>
        </commentChain>
      </unresolved>
      <resolved/>
    </commentChains>
    <commentChains s:ref="T353" rgbClr="FF0000">
      <unresolved>
        <commentChain chainId="3adff26991d42ccbdb0b215a2c1201e90e24782a">
          <item id="65e4867457d15ff37dd49a974a919f06e560ed95" userID="1850010794" userName="龙丽娟" dateTime="2026-07-14T11:55:10" isNormal="0">
            <s:text>
              <s:r>
                <s:t xml:space="preserve">7/9 1600557 20032pcs欣泰f6</s:t>
              </s:r>
            </s:text>
          </item>
        </commentChain>
      </unresolved>
      <resolved/>
    </commentChains>
    <commentChains s:ref="V353" rgbClr="FF0000">
      <unresolved>
        <commentChain chainId="c1e1e4b6fe9aa345314cbc7f34811ecf5c2f32af">
          <item id="43325718c2f60d31c7858a5756ac230cef5b9fc5" userID="1850010794" userName="龙丽娟" dateTime="2026-07-12T11:57:24" isNormal="0">
            <s:text>
              <s:r>
                <s:t xml:space="preserve">7/7上粉色艾力贴纸11686pcs同po共用</s:t>
              </s:r>
            </s:text>
          </item>
        </commentChain>
      </unresolved>
      <resolved/>
    </commentChains>
    <commentChains s:ref="T354" rgbClr="FF0000">
      <unresolved>
        <commentChain chainId="7e58ee70c34bcfd79ad2ce9acfe4f9aad98b139a">
          <item id="076c89a4e6f974ced23ad9560f6f18c4d87792bf" userID="1850010794" userName="龙丽娟" dateTime="2026-07-14T11:56:04" isNormal="0">
            <s:text>
              <s:r>
                <s:t xml:space="preserve">7/9 1600557 23408pcs欣泰f6</s:t>
              </s:r>
            </s:text>
          </item>
        </commentChain>
      </unresolved>
      <resolved/>
    </commentChains>
    <commentChains s:ref="V354" rgbClr="FF0000">
      <unresolved>
        <commentChain chainId="cf1979f9316ec98b516b77c7583b1ca6ace19b09">
          <item id="86ec4ffe203f8cd24995fda612b4e8c6a8a85e3d" userID="1850010794" userName="龙丽娟" dateTime="2026-07-12T11:57:24" isNormal="0">
            <s:text>
              <s:r>
                <s:t xml:space="preserve">7/7上粉色艾力贴纸11686pcs同po共用</s:t>
              </s:r>
            </s:text>
          </item>
        </commentChain>
      </unresolved>
      <resolved/>
    </commentChains>
    <commentChains s:ref="T355" rgbClr="FF0000">
      <unresolved>
        <commentChain chainId="19ba598effb9519ce7319bf63b7037b3216cb508">
          <item id="e4d7d1cef6a46e5e6886cd918177fa779b50b745" userID="1850010794" userName="龙丽娟" dateTime="2026-07-14T11:39:21" isNormal="0">
            <s:text>
              <s:r>
                <s:t xml:space="preserve">7/10 1600535 26512pcs 欣泰d4</s:t>
              </s:r>
            </s:text>
          </item>
        </commentChain>
      </unresolved>
      <resolved/>
    </commentChains>
    <commentChains s:ref="V355" rgbClr="FF0000">
      <unresolved>
        <commentChain chainId="39cf911fb5f6cee0a2935ad6cf03b063f3aa6e6a">
          <item id="bade524b191fe1176e68a9a57d25897e4892f6bf" userID="1850010794" userName="龙丽娟" dateTime="2026-07-12T11:57:24" isNormal="0">
            <s:text>
              <s:r>
                <s:t xml:space="preserve">7/7上粉色艾力贴纸11686pcs同po共用</s:t>
              </s:r>
            </s:text>
          </item>
        </commentChain>
      </unresolved>
      <resolved/>
    </commentChains>
    <commentChains s:ref="V357" rgbClr="FF0000">
      <unresolved>
        <commentChain chainId="0c06052b5577f6c88310a87a2c51cbff6252289d">
          <item id="dbee955b02483ebae5cc8b5b4aad90d07ea34969" isNormal="1">
            <s:text>
              <s:r>
                <s:t xml:space="preserve">Administrator:
5/14上客供RFID贴纸17280pcs</s:t>
              </s:r>
            </s:text>
          </item>
        </commentChain>
      </unresolved>
      <resolved/>
    </commentChains>
    <commentChains s:ref="V358" rgbClr="FF0000">
      <unresolved>
        <commentChain chainId="0cde7226cd98cb8a9ba5849ab6f118fec668c0c9">
          <item id="77a08aaffb156e84c1e9b3b088ca23a9c8531678" isNormal="1">
            <s:text>
              <s:r>
                <s:t xml:space="preserve">Administrator:
5/14上客供RFID贴纸18240pcs</s:t>
              </s:r>
            </s:text>
          </item>
        </commentChain>
      </unresolved>
      <resolved/>
    </commentChains>
    <commentChains s:ref="V360" rgbClr="FF0000">
      <unresolved>
        <commentChain chainId="a6b187a94a8cde0293933768db0f332a0245be0e">
          <item id="69235987cdbbcb8ef562ac2eb2c4e04d25b66e44" userID="1850010794" userName="龙丽娟" dateTime="2026-06-23T11:55:15" isNormal="0">
            <s:text>
              <s:r>
                <s:t xml:space="preserve">上乌克兰语警告语/进口商贴纸各1196pcs</s:t>
              </s:r>
            </s:text>
          </item>
        </commentChain>
      </unresolved>
      <resolved/>
    </commentChains>
    <commentChains s:ref="AV360" rgbClr="FF0000">
      <unresolved>
        <commentChain chainId="fe8edebc78bd505645365a6e875347e75a0b1c91">
          <item id="8a166afe0f47d84dae06efb13de96344a7db64e9" isNormal="1">
            <s:text>
              <s:r>
                <s:t xml:space="preserve">RR:
客版</s:t>
              </s:r>
            </s:text>
          </item>
        </commentChain>
      </unresolved>
      <resolved/>
    </commentChains>
    <commentChains s:ref="V361" rgbClr="FF0000">
      <unresolved>
        <commentChain chainId="fd563315bb3a2a84f69e5a291df8780c11215cb8">
          <item id="e082cf0f6341d5ccbf3e0484dfd9ee54672a917d" userID="1850010794" userName="龙丽娟" dateTime="2026-06-23T11:55:15" isNormal="0">
            <s:text>
              <s:r>
                <s:t xml:space="preserve">上乌克兰语警告语/进口商贴纸各600pcs</s:t>
              </s:r>
            </s:text>
          </item>
        </commentChain>
      </unresolved>
      <resolved/>
    </commentChains>
    <commentChains s:ref="AV361" rgbClr="FF0000">
      <unresolved>
        <commentChain chainId="59601f9d6662d4704422891fac8e1d24db4175be">
          <item id="06791c4aa53ec74e2003bbcd933bfb020bf71fc0" isNormal="1">
            <s:text>
              <s:r>
                <s:t xml:space="preserve">RR:
客版</s:t>
              </s:r>
            </s:text>
          </item>
        </commentChain>
      </unresolved>
      <resolved/>
    </commentChains>
    <commentChains s:ref="V362" rgbClr="FF0000">
      <unresolved>
        <commentChain chainId="2816c49819de885d448b09a18770ec9cac3b076e">
          <item id="ef9bda3d2ffe00f1968a291200efc7efb32bbd25" userID="1850010794" userName="龙丽娟" dateTime="2026-06-23T11:55:15" isNormal="0">
            <s:text>
              <s:r>
                <s:t xml:space="preserve">上乌克兰语警告语/进口商贴纸各1512pcs</s:t>
              </s:r>
            </s:text>
          </item>
        </commentChain>
      </unresolved>
      <resolved/>
    </commentChains>
    <commentChains s:ref="AV362" rgbClr="FF0000">
      <unresolved>
        <commentChain chainId="c89b14054902236716c33fc973141c531b9439db">
          <item id="4cc2b3ea6f6efc5ba2bad21b6b7829526c0b560f" isNormal="1">
            <s:text>
              <s:r>
                <s:t xml:space="preserve">RR:
客版</s:t>
              </s:r>
            </s:text>
          </item>
        </commentChain>
      </unresolved>
      <resolved/>
    </commentChains>
    <commentChains s:ref="T363" rgbClr="FF0000">
      <unresolved>
        <commentChain chainId="daedaa54b5b37b1bca2653e4e3ab0d03b4005721">
          <item id="547c1f97ab4fd0ce2bc9d7f36d86586779d1beb8" userID="1850010794" userName="龙丽娟" dateTime="2026-07-09T07:15:55" isNormal="0">
            <s:text>
              <s:r>
                <s:t xml:space="preserve">7/5 东莞返工</s:t>
              </s:r>
            </s:text>
          </item>
        </commentChain>
      </unresolved>
      <resolved/>
    </commentChains>
    <commentChains s:ref="T364" rgbClr="FF0000">
      <unresolved>
        <commentChain chainId="8126502e78423c306c61cb78ea7b908df930d3db">
          <item id="ed012fe07d4247393bb787f668c868ffa3f7afec" userID="1850010794" userName="龙丽娟" dateTime="2026-07-02T13:07:52" isNormal="0">
            <s:text>
              <s:r>
                <s:t xml:space="preserve">6/25 2200924 17088pcs欣泰c4</s:t>
              </s:r>
            </s:text>
          </item>
        </commentChain>
      </unresolved>
      <resolved/>
    </commentChains>
    <commentChains s:ref="V364" rgbClr="FF0000">
      <unresolved>
        <commentChain chainId="ab086e9f387ec3cc0b1e620b9d66c357a7f09b99">
          <item id="0b7af0f2a690b5a74948822f0df0e7476d90529f" isNormal="1">
            <s:text>
              <s:r>
                <s:t xml:space="preserve">Administrator:
5/14上客供RFID贴纸17088pcs</s:t>
              </s:r>
            </s:text>
          </item>
        </commentChain>
      </unresolved>
      <resolved/>
    </commentChains>
    <commentChains s:ref="T365" rgbClr="FF0000">
      <unresolved>
        <commentChain chainId="ec27ea43f53af92700d64dd2d6b0f2c15a674d70">
          <item id="06beb459ef72ff8ba201920dd809314e250ad688" userID="1850010794" userName="龙丽娟" dateTime="2026-07-14T11:40:18" isNormal="0">
            <s:text>
              <s:r>
                <s:t xml:space="preserve">7/10 2201276 24992pcs 应兴B1</s:t>
              </s:r>
            </s:text>
          </item>
        </commentChain>
      </unresolved>
      <resolved/>
    </commentChains>
    <commentChains s:ref="V365" rgbClr="FF0000">
      <unresolved>
        <commentChain chainId="60c020d82acdbe60c0b6ae36364cc5d7e51e7671">
          <item id="665b87865ee857620845c96b9f3e7fc21ac862c1" userID="1850010794" userName="龙丽娟" dateTime="2026-07-12T11:57:24" isNormal="0">
            <s:text>
              <s:r>
                <s:t xml:space="preserve">7/7上粉色艾力贴纸11686pcs同po共用</s:t>
              </s:r>
            </s:text>
          </item>
        </commentChain>
      </unresolved>
      <resolved/>
    </commentChains>
    <commentChains s:ref="T366" rgbClr="FF0000">
      <unresolved>
        <commentChain chainId="4fb2ee263c6114f16e9fad17d9b4b7d406478451">
          <item id="13c3331e787c870a1be5b8b8f9190ad8e03466d2" userID="1850010794" userName="龙丽娟" dateTime="2026-07-14T11:38:49" isNormal="0">
            <s:text>
              <s:r>
                <s:t xml:space="preserve">7/10 1600535 36864pcs 欣泰f6</s:t>
              </s:r>
            </s:text>
          </item>
        </commentChain>
      </unresolved>
      <resolved/>
    </commentChains>
    <commentChains s:ref="V366" rgbClr="FF0000">
      <unresolved>
        <commentChain chainId="40c29ba86d66043233b673983a1d62354396a641">
          <item id="b2e9e47d4fa920da595d36568906f4a962fe72f0" userID="1850010794" userName="龙丽娟" dateTime="2026-07-12T11:57:24" isNormal="0">
            <s:text>
              <s:r>
                <s:t xml:space="preserve">7/7上粉色艾力贴纸11686pcs同po共用</s:t>
              </s:r>
            </s:text>
          </item>
        </commentChain>
      </unresolved>
      <resolved/>
    </commentChains>
    <commentChains s:ref="T367" rgbClr="FF0000">
      <unresolved>
        <commentChain chainId="1f3682407e6e5448ff0872fdb431c7d6f2ca6142">
          <item id="2ad67cb15c561b9472977ea7e485afd5d71e2a46" userID="1850010794" userName="龙丽娟" dateTime="2026-07-14T13:27:41" isNormal="0">
            <s:text>
              <s:r>
                <s:t xml:space="preserve">7/8 1600551 3000pcs欣泰二楼B1.</s:t>
              </s:r>
            </s:text>
          </item>
        </commentChain>
      </unresolved>
      <resolved/>
    </commentChains>
    <commentChains s:ref="T368" rgbClr="FF0000">
      <unresolved>
        <commentChain chainId="a07a7d6eb9c57793b69d0c8d33c068c5b0991319">
          <item id="a217427ce70821d3fcf94592afd14d70c59af725" userID="1850010794" userName="龙丽娟" dateTime="2026-07-02T13:08:10" isNormal="0">
            <s:text>
              <s:r>
                <s:t xml:space="preserve">6/25 2200924 3920pcs欣泰c4</s:t>
              </s:r>
            </s:text>
          </item>
        </commentChain>
      </unresolved>
      <resolved/>
    </commentChains>
    <commentChains s:ref="V368" rgbClr="FF0000">
      <unresolved>
        <commentChain chainId="9ed23960c773d1e8fab59c5fde2b6d4cc0c9df86">
          <item id="0fb9c3c9a331410603afc3a1405d089413240a8c" isNormal="1">
            <s:text>
              <s:r>
                <s:t xml:space="preserve">Administrator:
5/14上客供RFID贴纸11328pcs</s:t>
              </s:r>
            </s:text>
          </item>
        </commentChain>
      </unresolved>
      <resolved/>
    </commentChains>
    <commentChains s:ref="T371" rgbClr="FF0000">
      <unresolved>
        <commentChain chainId="0e77d4ada47d7e08b5b4bd926b9d831632f9fe68">
          <item id="46bd96977945e802290c2074b2a51aae35001b33" userID="1850010794" userName="龙丽娟" dateTime="2026-07-22T11:39:49" isNormal="0">
            <s:text>
              <s:r>
                <s:t xml:space="preserve">7/20 2801322 2500pcs直走</s:t>
              </s:r>
            </s:text>
          </item>
        </commentChain>
      </unresolved>
      <resolved/>
    </commentChains>
    <commentChains s:ref="V375" rgbClr="FF0000">
      <unresolved>
        <commentChain chainId="b4e6ccede4d999689b2c306703dd57d11cb461ec">
          <item id="25f2324d70ccd62fb2a581d540fd33b7e3d61645" userID="1850010794" userName="龙丽娟" dateTime="2026-06-22T05:31:48" isNormal="0">
            <s:text>
              <s:r>
                <s:t xml:space="preserve">6/9上UPC/进口商贴纸各50000pcs</s:t>
              </s:r>
            </s:text>
          </item>
        </commentChain>
      </unresolved>
      <resolved/>
    </commentChains>
    <commentChains s:ref="V379" rgbClr="FF0000">
      <unresolved>
        <commentChain chainId="97eb0c30e3e1e8e25c74d4076d85addecaa32661">
          <item id="cbb9ef38fcecfbca139aa22c47d2c6a7c67b8d09" userID="1850010794" userName="龙丽娟" dateTime="2026-07-07T09:12:13" isNormal="0">
            <s:text>
              <s:r>
                <s:t xml:space="preserve">6/29上包装贴纸1300pcs</s:t>
              </s:r>
            </s:text>
          </item>
        </commentChain>
      </unresolved>
      <resolved/>
    </commentChains>
    <commentChains s:ref="V381" rgbClr="FF0000">
      <unresolved>
        <commentChain chainId="04f4b9ea48173931b6ec0e1021531d9a2602cf07">
          <item id="676cb0b024a6497cd25462683fbf30ca67ba1750" userID="1850010794" userName="龙丽娟" dateTime="2026-07-12T11:31:54" isNormal="0">
            <s:text>
              <s:r>
                <s:t xml:space="preserve">7/6上空白贴纸1800pcs</s:t>
              </s:r>
            </s:text>
          </item>
          <item id="fa2eedde72b140318312f7eb4c4feeb735fb3a6e" userID="1850010794" userName="龙丽娟" dateTime="2026-07-12T12:27:18" isNormal="0">
            <s:text>
              <s:r>
                <s:t xml:space="preserve">7/8上进口商贴纸1800pcs</s:t>
              </s:r>
            </s:text>
          </item>
        </commentChain>
      </unresolved>
      <resolved/>
    </commentChains>
    <commentChains s:ref="V385" rgbClr="FF0000">
      <unresolved>
        <commentChain chainId="79ec4f76ff329bbe259cd3d0eb376abd16a29c8e">
          <item id="4bc06c8f3234e21170c0127db14cf5e1f30fe572" userID="1850010794" userName="龙丽娟" dateTime="2026-06-22T12:44:59" isNormal="0">
            <s:text>
              <s:r>
                <s:t xml:space="preserve">6/22上法国/西班牙回收标贴纸3936pcs
203798/203810/203860/203898/203934共用</s:t>
              </s:r>
            </s:text>
          </item>
        </commentChain>
      </unresolved>
      <resolved/>
    </commentChains>
    <commentChains s:ref="V392" rgbClr="FF0000">
      <unresolved>
        <commentChain chainId="5ecac55fd195bf4c1537ad6df960bfe7d64b1362">
          <item id="29dea196337cdb8e55bb166823af90197bbbf886" userID="1850010794" userName="龙丽娟" dateTime="2026-06-30T06:47:08" isNormal="0">
            <s:text>
              <s:r>
                <s:t xml:space="preserve">6/26上法国回收标贴纸336pcs</s:t>
              </s:r>
            </s:text>
          </item>
        </commentChain>
      </unresolved>
      <resolved/>
    </commentChains>
    <commentChains s:ref="T395" rgbClr="FF0000">
      <unresolved>
        <commentChain chainId="ffabc4fe19311066cdab6242de883f5525b5b1a9">
          <item id="8ec567f523ea19946b23d99b0e81ec7b9a38afe2" userID="1850010794" userName="龙丽娟" dateTime="2026-06-11T02:26:20" isNormal="0">
            <s:text>
              <s:r>
                <s:t xml:space="preserve">6/9 2801171 598PCS顶均B6</s:t>
              </s:r>
            </s:text>
          </item>
        </commentChain>
      </unresolved>
      <resolved/>
    </commentChains>
    <commentChains s:ref="V395" rgbClr="FF0000">
      <unresolved>
        <commentChain chainId="4870998be928f128f26501db0c91ea28b02af6c6">
          <item id="91ae3157119a9941743bf1d866f8e6968a376465" isNormal="1">
            <s:text>
              <s:r>
                <s:t xml:space="preserve">Administrator:
5/16上警语贴纸936pcs
5/16 上产品图片贴纸184pcs</s:t>
              </s:r>
            </s:text>
          </item>
        </commentChain>
      </unresolved>
      <resolved/>
    </commentChains>
    <commentChains s:ref="T396" rgbClr="FF0000">
      <unresolved>
        <commentChain chainId="46cc51a495020ed31d0a72d7471f99d4d061e120">
          <item id="7af45f39793ac1177609b8d857d42cdd2f45811d" userID="1850010794" userName="龙丽娟" dateTime="2026-07-09T07:17:44" isNormal="0">
            <s:text>
              <s:r>
                <s:t xml:space="preserve">7/5 东莞返工</s:t>
              </s:r>
            </s:text>
          </item>
        </commentChain>
      </unresolved>
      <resolved/>
    </commentChains>
    <commentChains s:ref="T397" rgbClr="FF0000">
      <unresolved>
        <commentChain chainId="a2e967c218562c3617abb1cb0d7e89cbe8d767b2">
          <item id="7b6d65b425f6084afb099f335085637db2a38941" userID="1850010794" userName="龙丽娟" dateTime="2026-07-17T11:43:26" isNormal="0">
            <s:text>
              <s:r>
                <s:t xml:space="preserve">2901298 7/11 5984pcs</s:t>
              </s:r>
            </s:text>
          </item>
          <item id="d64e8b14af3bb3c5f950d87c274686823f349212" userID="1850010794" userName="龙丽娟" dateTime="2026-07-17T11:44:27" isNormal="0">
            <s:text>
              <s:r>
                <s:t xml:space="preserve">2801286 7/11 24384pcs</s:t>
              </s:r>
            </s:text>
          </item>
        </commentChain>
      </unresolved>
      <resolved/>
    </commentChains>
    <commentChains s:ref="T398" rgbClr="FF0000">
      <unresolved>
        <commentChain chainId="f255ee5a044cd0a45dc747b374737e8235e589c4">
          <item id="f239520becd891c239a42dcaff419b0cbc91c0ac" userID="1850010794" userName="龙丽娟" dateTime="2026-06-26T13:35:30" isNormal="0">
            <s:text>
              <s:r>
                <s:t xml:space="preserve">6/24 12675pcs b4-c7</s:t>
              </s:r>
            </s:text>
          </item>
          <item id="33c95ab71f6038830221d91d58d3ad8eb8c881b7" userID="1850010794" userName="龙丽娟" dateTime="2026-07-02T13:09:05" isNormal="0">
            <s:text>
              <s:r>
                <s:t xml:space="preserve">6/26 2200946 2327pcs欣泰d5</s:t>
              </s:r>
            </s:text>
          </item>
        </commentChain>
      </unresolved>
      <resolved/>
    </commentChains>
    <commentChains s:ref="V398" rgbClr="FF0000">
      <unresolved>
        <commentChain chainId="7d281e63d921bd6f5c69d31be514c4bf45392984">
          <item id="e8a619808021769c572fdb53cb1719e87d29ab17" userID="1850010794" userName="龙丽娟" dateTime="2026-07-19T09:13:06" isNormal="0">
            <s:text>
              <s:r>
                <s:t xml:space="preserve">7/14上多语警语贴纸15002pcs</s:t>
              </s:r>
            </s:text>
          </item>
        </commentChain>
      </unresolved>
      <resolved/>
    </commentChains>
    <commentChains s:ref="T399" rgbClr="FF0000">
      <unresolved>
        <commentChain chainId="6f882377d0607969503f3691b3f04655831a08a7">
          <item id="23903587ccb057c05d6cea62b9c21a465be5847c" userID="1850010794" userName="龙丽娟" dateTime="2026-07-22T12:28:22" isNormal="0">
            <s:text>
              <s:r>
                <s:t xml:space="preserve">7/17 1001897 15492pcs顶均d1</s:t>
              </s:r>
            </s:text>
          </item>
        </commentChain>
      </unresolved>
      <resolved/>
    </commentChains>
    <commentChains s:ref="V399" rgbClr="FF0000">
      <unresolved>
        <commentChain chainId="33192f058e3d935f9ef7a8815e18923ac3ddad24">
          <item id="ea4061ce3c50a2c861332a11ff6c86438350b1cb" userID="1850010794" userName="龙丽娟" dateTime="2026-07-17T07:46:48" isNormal="0">
            <s:text>
              <s:r>
                <s:t xml:space="preserve">7/9 收到亚马逊外箱贴纸 1860pcs
7/13 上UPC贴纸 29172pcs
214526、214522、214773共用</s:t>
              </s:r>
            </s:text>
          </item>
        </commentChain>
      </unresolved>
      <resolved/>
    </commentChains>
    <commentChains s:ref="T401" rgbClr="FF0000">
      <unresolved>
        <commentChain chainId="2f90532261d442b2b0f1d39895bd3140e9728afb">
          <item id="c85ebc52eab6396208ad5a4e99c3f51f41cb8b4f" userID="1850010794" userName="龙丽娟" dateTime="2026-07-22T11:50:41" isNormal="0">
            <s:text>
              <s:r>
                <s:t xml:space="preserve">7/20 1001724 19008pcs欣泰D7</s:t>
              </s:r>
            </s:text>
          </item>
        </commentChain>
      </unresolved>
      <resolved/>
    </commentChains>
    <commentChains s:ref="T402" rgbClr="FF0000">
      <unresolved>
        <commentChain chainId="79e1cac30fb654953c1826116e198edda1fbec92">
          <item id="327bd4266a06ce9db384f520f060bb99ce343f00" userID="1850010794" userName="龙丽娟" dateTime="2026-07-22T11:56:55" isNormal="0">
            <s:text>
              <s:r>
                <s:t xml:space="preserve">7/17 1001895 35632pcs欣泰F7</s:t>
              </s:r>
            </s:text>
          </item>
        </commentChain>
      </unresolved>
      <resolved/>
    </commentChains>
    <commentChains s:ref="T403" rgbClr="FF0000">
      <unresolved>
        <commentChain chainId="e3ce312f226191ebc38ab1a8d3434eb63bccdd4d">
          <item id="3280b103621903a31f1e1abd8c23722fb808e688" userID="1850010794" userName="龙丽娟" dateTime="2026-07-22T13:28:53" isNormal="0">
            <s:text>
              <s:r>
                <s:t xml:space="preserve">7/15 2801308pcs11520pcs欣泰2B2</s:t>
              </s:r>
            </s:text>
          </item>
        </commentChain>
      </unresolved>
      <resolved/>
    </commentChains>
    <commentChains s:ref="V406" rgbClr="FF0000">
      <unresolved>
        <commentChain chainId="436d80c64f444ead4a8586da63d7a379c2f11a35">
          <item id="8ba64e5bf384cf5ce65ab50d6cfbd54b5ef6a8cf" userID="1850010794" userName="龙丽娟" dateTime="2026-07-06T08:53:57" isNormal="0">
            <s:text>
              <s:r>
                <s:t xml:space="preserve">7/6 上价格贴纸1932pcs</s:t>
              </s:r>
            </s:text>
          </item>
        </commentChain>
      </unresolved>
      <resolved/>
    </commentChains>
    <commentChains s:ref="V407" rgbClr="FF0000">
      <unresolved>
        <commentChain chainId="1f76dbadd55ca42599ba5236f20f6fb266385d35">
          <item id="ef258ebb7ffa613486a655a2b963cac7d56d2be6" userID="1850010794" userName="龙丽娟" dateTime="2026-07-06T08:53:57" isNormal="0">
            <s:text>
              <s:r>
                <s:t xml:space="preserve">7/6 上价格贴纸828pcs</s:t>
              </s:r>
            </s:text>
          </item>
        </commentChain>
      </unresolved>
      <resolved/>
    </commentChains>
    <commentChains s:ref="T411" rgbClr="FF0000">
      <unresolved>
        <commentChain chainId="565538b0a6ac3a5e64c881ce0aa32effbd26c3a5">
          <item id="0339270c8a74354484c47b68cf40168889b4bf78" userID="1850010794" userName="龙丽娟" dateTime="2026-07-22T13:15:19" isNormal="0">
            <s:text>
              <s:r>
                <s:t xml:space="preserve">7/14 2801504 23568PCS欣泰e3</s:t>
              </s:r>
            </s:text>
          </item>
          <item id="226da16372e1871f377af33fdb71d72b7a58ea66" userID="1850010794" userName="龙丽娟" dateTime="2026-07-22T13:27:21" isNormal="0">
            <s:text>
              <s:r>
                <s:t xml:space="preserve">7/14 2801505 64pcs欣泰e3</s:t>
              </s:r>
            </s:text>
          </item>
        </commentChain>
      </unresolved>
      <resolved/>
    </commentChains>
    <commentChains s:ref="T412" rgbClr="FF0000">
      <unresolved>
        <commentChain chainId="7e5cfd4a0591f772cf9873fdbabbbfa8ff6776e7">
          <item id="dcc99cc6bce908ccd1fe29d1cc6742ee4ae7db5e" userID="1850010794" userName="龙丽娟" dateTime="2026-07-22T11:46:59" isNormal="0">
            <s:text>
              <s:r>
                <s:t xml:space="preserve">7/20 2801325 9232pcs欣泰A2</s:t>
              </s:r>
            </s:text>
          </item>
        </commentChain>
      </unresolved>
      <resolved/>
    </commentChains>
    <commentChains s:ref="T415" rgbClr="FF0000">
      <unresolved>
        <commentChain chainId="d7870f2df2b878771588b2808e628128f22c236a">
          <item id="f2b0d25634426e361276812aeba546c6653e482f" userID="1850010794" userName="龙丽娟" dateTime="2026-07-22T13:28:14" isNormal="0">
            <s:text>
              <s:r>
                <s:t xml:space="preserve">7/15 20208pcs欣泰2B2</s:t>
              </s:r>
            </s:text>
          </item>
        </commentChain>
      </unresolved>
      <resolved/>
    </commentChains>
    <commentChains s:ref="T416" rgbClr="FF0000">
      <unresolved>
        <commentChain chainId="01c07338d02fd1ec7eb8bcae0fd3ab08dddcf37b">
          <item id="e90b68f5e2443018e5e5b9004d1eb0b278c525b3" userID="1850010794" userName="龙丽娟" dateTime="2026-07-22T13:14:53" isNormal="0">
            <s:text>
              <s:r>
                <s:t xml:space="preserve">7/14 2801504 23232pcs欣泰F6</s:t>
              </s:r>
            </s:text>
          </item>
        </commentChain>
      </unresolved>
      <resolved/>
    </commentChains>
    <commentChains s:ref="V418" rgbClr="FF0000">
      <unresolved>
        <commentChain chainId="314661daae049b46a09d4eb99f1698970426db88">
          <item id="54d2ad11d80d3d71071df8630d7184cbfc8a9d7e" userID="1850010794" userName="龙丽娟" dateTime="2026-07-12T11:09:36" isNormal="0">
            <s:text>
              <s:r>
                <s:t xml:space="preserve">7/3上进口商/UPC贴纸各23500</s:t>
              </s:r>
            </s:text>
          </item>
          <item id="0028e608422ce6e397797c25a74b885aebe175e5" userID="1850010794" userName="龙丽娟" dateTime="2026-07-12T11:16:36" isNormal="0">
            <s:text>
              <s:r>
                <s:t xml:space="preserve">7/4上外箱贴纸950pcs</s:t>
              </s:r>
            </s:text>
          </item>
        </commentChain>
      </unresolved>
      <resolved/>
    </commentChains>
    <commentChains s:ref="T422" rgbClr="FF0000">
      <unresolved>
        <commentChain chainId="a58a52dd2888cdd08831354f4e286254751ec4a4">
          <item id="ff32273f03f8d86d391fa0ffddb6ff88b7a98274" userID="1850010794" userName="龙丽娟" dateTime="2026-08-12T08:38:10" isNormal="0">
            <s:text>
              <s:r>
                <s:t xml:space="preserve">8/8 1000415 18pcs馥通c3</s:t>
              </s:r>
            </s:text>
          </item>
        </commentChain>
      </unresolved>
      <resolved/>
    </commentChains>
    <commentChains s:ref="V422" rgbClr="FF0000">
      <unresolved>
        <commentChain chainId="5d5ed768337c9521b4b92356dd0e98ebe0f1bb6c">
          <item id="783c3ccfc6339f8196b7323d7c58aa0ed41ad884" userID="1850010794" userName="龙丽娟" dateTime="2026-07-12T12:24:31" isNormal="0">
            <s:text>
              <s:r>
                <s:t xml:space="preserve">7/8上进口商贴纸产品贴纸各1704pcs</s:t>
              </s:r>
            </s:text>
          </item>
        </commentChain>
      </unresolved>
      <resolved/>
    </commentChains>
    <commentChains s:ref="T423" rgbClr="FF0000">
      <unresolved>
        <commentChain chainId="f1e015a66353c930d5d3320b9214197eb30831a7">
          <item id="fb6836a8da155b1ec759b4813a3dd3b64afdfe8b" userID="1850010794" userName="龙丽娟" dateTime="2026-08-14T09:01:31" isNormal="0">
            <s:text>
              <s:r>
                <s:t xml:space="preserve">8/6 1001536 50pcs欣泰A5</s:t>
              </s:r>
            </s:text>
          </item>
        </commentChain>
      </unresolved>
      <resolved/>
    </commentChains>
    <commentChains s:ref="V423" rgbClr="FF0000">
      <unresolved>
        <commentChain chainId="021d556477b72dae2bc9fb8a93276179f62e66d9">
          <item id="a86882d3a7efc8ca7cc23f4a19d69253305dd0d3" userID="1850010794" userName="龙丽娟" dateTime="2026-07-12T11:58:40" isNormal="0">
            <s:text>
              <s:r>
                <s:t xml:space="preserve">7/7上进口商/空白贴纸各37000pcs
206033/202915共用</s:t>
              </s:r>
            </s:text>
          </item>
        </commentChain>
      </unresolved>
      <resolved/>
    </commentChains>
    <commentChains s:ref="T424" rgbClr="FF0000">
      <unresolved>
        <commentChain chainId="bbc6e58e03cfa92c70224464cc879884b4a71f41">
          <item id="a40042a91657b54fb4aa57694e3d26108d667852" userID="1850010794" userName="龙丽娟" dateTime="2026-07-22T13:01:37" isNormal="0">
            <s:text>
              <s:r>
                <s:t xml:space="preserve">7/15 2801305 3900pcs顶均d3</s:t>
              </s:r>
            </s:text>
          </item>
        </commentChain>
      </unresolved>
      <resolved/>
    </commentChains>
    <commentChains s:ref="V426" rgbClr="FF0000">
      <unresolved>
        <commentChain chainId="bcb892128b3cad74d7a2e615568e7b997cb32344">
          <item id="91fcf36201605887b2a20c8e92ad675ad7f247d6" userID="1850010794" userName="龙丽娟" dateTime="2026-06-30T06:48:08" isNormal="0">
            <s:text>
              <s:r>
                <s:t xml:space="preserve">6/26上法国西班牙回收标贴纸1176pcs</s:t>
              </s:r>
            </s:text>
          </item>
        </commentChain>
      </unresolved>
      <resolved/>
    </commentChains>
    <commentChains s:ref="V427" rgbClr="FF0000">
      <unresolved>
        <commentChain chainId="2f0164f28c048733aef11b570689c401edaf2496">
          <item id="8b02f1416db3ae18af97814ad3047f2e377105e8" userID="1850010794" userName="龙丽娟" dateTime="2026-06-30T06:48:39" isNormal="0">
            <s:text>
              <s:r>
                <s:t xml:space="preserve">6/26上法国/西班牙回收标贴纸924pcs</s:t>
              </s:r>
            </s:text>
          </item>
        </commentChain>
      </unresolved>
      <resolved/>
    </commentChains>
    <commentChains s:ref="T428" rgbClr="FF0000">
      <unresolved>
        <commentChain chainId="ed86947ed1e9545c6273de3eab3db7f4f2e12448">
          <item id="9e21246dd3793ad002664377805f3d13639d0d7f" userID="1850010794" userName="龙丽娟" dateTime="2026-07-23T11:58:32" isNormal="0">
            <s:text>
              <s:r>
                <s:t xml:space="preserve">2801334 7/20 8000pcs</s:t>
              </s:r>
            </s:text>
          </item>
        </commentChain>
      </unresolved>
      <resolved/>
    </commentChains>
    <commentChains s:ref="V428" rgbClr="FF0000">
      <unresolved>
        <commentChain chainId="ce8cbf1fac50d7022ccd060bdac5b6a311c8a585">
          <item id="bf28d183c6abc3644ed9ab6cdd2d77e1b855a824" userID="1850010794" userName="龙丽娟" dateTime="2026-07-09T13:32:03" isNormal="0">
            <s:text>
              <s:r>
                <s:t xml:space="preserve">7/9上客人通用贴纸8000pcs</s:t>
              </s:r>
            </s:text>
          </item>
        </commentChain>
      </unresolved>
      <resolved/>
    </commentChains>
    <commentChains s:ref="AX428" rgbClr="FF0000">
      <unresolved>
        <commentChain chainId="95b3aad455f52819a7d713e882d4f1e834070107">
          <item id="47b402d2266594b237983b2cc441f8faf241ff3a" isNormal="1">
            <s:text>
              <s:r>
                <s:t xml:space="preserve">RR:
移除21/23号唱片客版收藏指南</s:t>
              </s:r>
            </s:text>
          </item>
        </commentChain>
      </unresolved>
      <resolved/>
    </commentChains>
    <commentChains s:ref="T429" rgbClr="FF0000">
      <unresolved>
        <commentChain chainId="06486b8e38144e50d13de37704243fe1f6e06416">
          <item id="ea439cfafcf97eb7e8db43cca3c6566749d18c51" userID="1850010794" userName="龙丽娟" dateTime="2026-07-22T13:13:04" isNormal="0">
            <s:text>
              <s:r>
                <s:t xml:space="preserve">7/11 2801293 17216pcsB4-C5</s:t>
              </s:r>
            </s:text>
          </item>
        </commentChain>
      </unresolved>
      <resolved/>
    </commentChains>
    <commentChains s:ref="V429" rgbClr="FF0000">
      <unresolved>
        <commentChain chainId="ada9ffb5e6317da19f2330d7fd03608c710f4640">
          <item id="6e8120dccd0617d43efb7f3745496e205852abee" isNormal="1">
            <s:text>
              <s:r>
                <s:t xml:space="preserve">Administrator:
5/14上客供RFID贴纸17216pcs</s:t>
              </s:r>
            </s:text>
          </item>
        </commentChain>
      </unresolved>
      <resolved/>
    </commentChains>
    <commentChains s:ref="T430" rgbClr="FF0000">
      <unresolved>
        <commentChain chainId="51e5a2ce7b57521f05efa481a07f48a615d7a0c4">
          <item id="6c0d8d28e91a4c53d7c11d2121609ef63815d19e" userID="1850010794" userName="龙丽娟" dateTime="2026-07-14T06:13:22" isNormal="0">
            <s:text>
              <s:r>
                <s:t xml:space="preserve">7/11 2801275 8624pcsB栋4楼</s:t>
              </s:r>
            </s:text>
          </item>
          <item id="ed52e0f82ad7dbd2b1a0f98fed4caaac5e2fd1dc" userID="1850010794" userName="龙丽娟" dateTime="2026-07-14T14:23:56" isNormal="0">
            <s:text>
              <s:r>
                <s:t xml:space="preserve">7/11 2801275 8624PCS</s:t>
              </s:r>
            </s:text>
          </item>
          <item id="202857c052cba39bcf5c4bd14b786d3c4b94cf7b" userID="1850010794" userName="龙丽娟" dateTime="2026-07-22T12:57:07" isNormal="0">
            <s:text>
              <s:r>
                <s:t xml:space="preserve">7/11 204120 8640pcsB4-B4</s:t>
              </s:r>
            </s:text>
          </item>
        </commentChain>
      </unresolved>
      <resolved/>
    </commentChains>
    <commentChains s:ref="V430" rgbClr="FF0000">
      <unresolved>
        <commentChain chainId="44381ca27d7e7507d008c852838352b8e58f326c">
          <item id="b298683e66200599f9d8410ed170dbf7bbd2472d" isNormal="1">
            <s:text>
              <s:r>
                <s:t xml:space="preserve">Administrator:
5/14上客供RFID贴纸26112pcs</s:t>
              </s:r>
            </s:text>
          </item>
        </commentChain>
      </unresolved>
      <resolved/>
    </commentChains>
    <commentChains s:ref="T431" rgbClr="FF0000">
      <unresolved>
        <commentChain chainId="da184ac29558108ccac4be86949a04caef840a71">
          <item id="00ac55da69ca05991487a27b459192be583dd222" userID="1850010794" userName="龙丽娟" dateTime="2026-07-02T13:11:05" isNormal="0">
            <s:text>
              <s:r>
                <s:t xml:space="preserve">6/26 2200946 1508pcs欣泰b4</s:t>
              </s:r>
            </s:text>
          </item>
        </commentChain>
      </unresolved>
      <resolved/>
    </commentChains>
    <commentChains s:ref="V431" rgbClr="FF0000">
      <unresolved>
        <commentChain chainId="f06bf33e7e3ff866b9c5309023175627a66962a2">
          <item id="89c5ddfc73ee33042a6462a4321d30c21e8db5ae" userID="1850010794" userName="龙丽娟" dateTime="2026-06-24T07:58:17" isNormal="0">
            <s:text>
              <s:r>
                <s:t xml:space="preserve">6/24 上警语贴纸/数写条码贴纸各50pcs</s:t>
              </s:r>
            </s:text>
          </item>
        </commentChain>
      </unresolved>
      <resolved/>
    </commentChains>
    <commentChains s:ref="T433" rgbClr="FF0000">
      <unresolved>
        <commentChain chainId="3cb9a56286ec006a71f57bda99a519e1adcaf567">
          <item id="69908fec948b381dbaa143072ba0a76a7111cf52" userID="1850010794" userName="龙丽娟" dateTime="2026-07-22T13:13:24" isNormal="0">
            <s:text>
              <s:r>
                <s:t xml:space="preserve">7/11 2801293 20720PCSb4-c5</s:t>
              </s:r>
            </s:text>
          </item>
        </commentChain>
      </unresolved>
      <resolved/>
    </commentChains>
    <commentChains s:ref="V433" rgbClr="FF0000">
      <unresolved>
        <commentChain chainId="1cb723d9b52e5d65da37f10fc3dbe57cfe77f599">
          <item id="1b6068fbc7d42b6c9d289db9759b352277b2fd82" isNormal="1">
            <s:text>
              <s:r>
                <s:t xml:space="preserve">Administrator:
5/14上客供RFID贴纸20736pcs</s:t>
              </s:r>
            </s:text>
          </item>
        </commentChain>
      </unresolved>
      <resolved/>
    </commentChains>
    <commentChains s:ref="V434" rgbClr="FF0000">
      <unresolved>
        <commentChain chainId="50bd4d0bfc726dd281d344b0733eddbfc728c077">
          <item id="c6cc6a66f68e23cd148a534ce123afa2d7871143" userID="1850010794" userName="龙丽娟" dateTime="2026-07-17T07:46:48" isNormal="0">
            <s:text>
              <s:r>
                <s:t xml:space="preserve">7/10 收到亚马逊外箱贴纸 1pcs
7/13 上UPC贴纸 29172pcs
214526、214522、214773共用</s:t>
              </s:r>
            </s:text>
          </item>
        </commentChain>
      </unresolved>
      <resolved/>
    </commentChains>
    <commentChains s:ref="V435" rgbClr="FF0000">
      <unresolved>
        <commentChain chainId="cd7abd69553651e8be1705c4bd45b832db3e927e">
          <item id="355fd4fac22ab539c66c77afe3053e564b3f5be0" userID="1850010794" userName="龙丽娟" dateTime="2026-07-17T07:46:48" isNormal="0">
            <s:text>
              <s:r>
                <s:t xml:space="preserve">7/10 收到亚马逊外箱贴纸 69pcs
7/13 上UPC贴纸 29172pcs
214526、214522、214773共用</s:t>
              </s:r>
            </s:text>
          </item>
        </commentChain>
      </unresolved>
      <resolved/>
    </commentChains>
    <commentChains s:ref="V436" rgbClr="FF0000">
      <unresolved>
        <commentChain chainId="33416e07380ea99e0260b57a1074df92a4863912">
          <item id="8fa12fa8c005d3b29b8558d2b7b39cc84dea431c" userID="1850010794" userName="龙丽娟" dateTime="2026-07-17T07:46:48" isNormal="0">
            <s:text>
              <s:r>
                <s:t xml:space="preserve">7/10 收到亚马逊外箱贴纸 31pcs
7/13 上UPC贴纸 29172pcs
214526、214522、214773共用</s:t>
              </s:r>
            </s:text>
          </item>
        </commentChain>
      </unresolved>
      <resolved/>
    </commentChains>
    <commentChains s:ref="V437" rgbClr="FF0000">
      <unresolved>
        <commentChain chainId="0eaceaaf097c16c393eec52f9b26490b786ca1eb">
          <item id="0fe4d494b4d42295824ecde074390146ff937551" userID="1850010794" userName="龙丽娟" dateTime="2026-07-17T07:46:48" isNormal="0">
            <s:text>
              <s:r>
                <s:t xml:space="preserve">7/10 收到亚马逊外箱贴纸 47pcs
7/13 上UPC贴纸 29172pcs
214526、214522、214773共用</s:t>
              </s:r>
            </s:text>
          </item>
        </commentChain>
      </unresolved>
      <resolved/>
    </commentChains>
    <commentChains s:ref="V438" rgbClr="FF0000">
      <unresolved>
        <commentChain chainId="e1da9624a35f0e28c498e9cffb9d2dc80cba4230">
          <item id="9ce0d4caab752c94af8b02e2179a82e96e530e4b" userID="1850010794" userName="龙丽娟" dateTime="2026-07-17T07:46:48" isNormal="0">
            <s:text>
              <s:r>
                <s:t xml:space="preserve">7/10 收到亚马逊外箱贴纸 192pcs
7/13 上UPC贴纸 29172pcs
214526、214522、214773共用</s:t>
              </s:r>
            </s:text>
          </item>
        </commentChain>
      </unresolved>
      <resolved/>
    </commentChains>
    <commentChains s:ref="T440" rgbClr="FF0000">
      <unresolved>
        <commentChain chainId="db05cf967232ffe8f2e619583c97988a0b1a710d">
          <item id="f1c0570c3cb214095bbeb71d2fb6e688484d7390" userID="1850010794" userName="龙丽娟" dateTime="2026-08-07T13:19:36" isNormal="0">
            <s:text>
              <s:r>
                <s:t xml:space="preserve">1001586 8/4 39PCS馥通</s:t>
              </s:r>
            </s:text>
          </item>
        </commentChain>
      </unresolved>
      <resolved/>
    </commentChains>
    <commentChains s:ref="V441" rgbClr="FF0000">
      <unresolved>
        <commentChain chainId="c2c420ea9cdb9392e74be315a05f4391c4fd9da1">
          <item id="c81a82a68769dcef9433c701769a89e7f9b8213c" userID="1850010794" userName="龙丽娟" dateTime="2026-07-12T12:00:25" isNormal="0">
            <s:text>
              <s:r>
                <s:t xml:space="preserve">7/7上进口商/upc贴纸各5160pcs
207499/208984共用</s:t>
              </s:r>
            </s:text>
          </item>
        </commentChain>
      </unresolved>
      <resolved/>
    </commentChains>
    <commentChains s:ref="T445" rgbClr="FF0000">
      <unresolved>
        <commentChain chainId="fa8417684f7b1d9d1dee2c20015cf482948c4c2e">
          <item id="932e2d80be0f0f0a60b189f434af3b66d25b16e7" userID="1850010794" userName="龙丽娟" dateTime="2026-07-22T12:04:18" isNormal="0">
            <s:text>
              <s:r>
                <s:t xml:space="preserve">7/17 1001878 11596pcs顶均d2</s:t>
              </s:r>
            </s:text>
          </item>
        </commentChain>
      </unresolved>
      <resolved/>
    </commentChains>
    <commentChains s:ref="V445" rgbClr="FF0000">
      <unresolved>
        <commentChain chainId="f40fd52e830c11ed3d4844e192abc227b8a17c9a">
          <item id="5ae012558c820c567077ee344da81add50e81b0e" userID="1850010794" userName="龙丽娟" dateTime="2026-06-22T05:30:30" isNormal="0">
            <s:text>
              <s:r>
                <s:t xml:space="preserve">6/9上德语警语贴纸11596pcs</s:t>
              </s:r>
            </s:text>
          </item>
        </commentChain>
      </unresolved>
      <resolved/>
    </commentChains>
    <commentChains s:ref="V446" rgbClr="FF0000">
      <unresolved>
        <commentChain chainId="c2f664b0e86b9c74a18206c4d522b19f2d2f2486">
          <item id="c9f3f5c1a7b445af5a19648542c7810efff94a70" userID="1850010794" userName="龙丽娟" dateTime="2026-07-07T09:11:35" isNormal="0">
            <s:text>
              <s:r>
                <s:t xml:space="preserve">6/29上西班牙环保标贴纸6032pcs</s:t>
              </s:r>
            </s:text>
          </item>
        </commentChain>
      </unresolved>
      <resolved/>
    </commentChains>
    <commentChains s:ref="V447" rgbClr="FF0000">
      <unresolved>
        <commentChain chainId="6f0dcf51da1245f2c6231cfa6143ee22b92290f9">
          <item id="dc596dc302e104b200d459e7af1ed5e201e7f1e2" userID="1850010794" userName="龙丽娟" dateTime="2026-06-17T11:14:55" isNormal="0">
            <s:text>
              <s:r>
                <s:t xml:space="preserve">6/17上PDQ贴纸372pcs</s:t>
              </s:r>
            </s:text>
          </item>
        </commentChain>
      </unresolved>
      <resolved/>
    </commentChains>
    <commentChains s:ref="V448" rgbClr="FF0000">
      <unresolved>
        <commentChain chainId="7c2fef59afcf846b7d13bdefda7be07c16df2d04">
          <item id="d61fe3750cee397c2c03bc80e19c7bb5ec900f3d" userID="1850010794" userName="龙丽娟" dateTime="2026-06-17T11:15:33" isNormal="0">
            <s:text>
              <s:r>
                <s:t xml:space="preserve">6/17上展示架贴纸120pcs</s:t>
              </s:r>
            </s:text>
          </item>
        </commentChain>
      </unresolved>
      <resolved/>
    </commentChains>
    <commentChains s:ref="BB450" rgbClr="FF0000">
      <unresolved>
        <commentChain chainId="ee6f2e1186c95f2419cccf70f0dc1673387c4822">
          <item id="ca0577ebacdfbbc0d45f531a4bef931bfb2b21de" isNormal="1">
            <s:text>
              <s:r>
                <s:t xml:space="preserve">RR:
客版新资料</s:t>
              </s:r>
            </s:text>
          </item>
        </commentChain>
      </unresolved>
      <resolved/>
    </commentChains>
    <commentChains s:ref="BC450" rgbClr="FF0000">
      <unresolved>
        <commentChain chainId="e0af2bde8c195d15b2bcad5638ee994772e1546c">
          <item id="0a9abc29737d770fef9c1055f8769261fbe0a3ee" isNormal="1">
            <s:text>
              <s:r>
                <s:t xml:space="preserve">RR:
客版新资料</s:t>
              </s:r>
            </s:text>
          </item>
        </commentChain>
      </unresolved>
      <resolved/>
    </commentChains>
    <commentChains s:ref="BD450" rgbClr="FF0000">
      <unresolved>
        <commentChain chainId="e98da5cb6180a5581818e5de24c307a05b62a554">
          <item id="d8d72859c1507a70bf2497b54829939d4ecbac31" isNormal="1">
            <s:text>
              <s:r>
                <s:t xml:space="preserve">RR:
客版新资料</s:t>
              </s:r>
            </s:text>
          </item>
        </commentChain>
      </unresolved>
      <resolved/>
    </commentChains>
    <commentChains s:ref="BE450" rgbClr="FF0000">
      <unresolved>
        <commentChain chainId="915230d5aa762f961d87a533c48414f74a211093">
          <item id="5a20b125b1686c9734bdc24f9a824b4a6b98c84c" isNormal="1">
            <s:text>
              <s:r>
                <s:t xml:space="preserve">RR:
客版新资料</s:t>
              </s:r>
            </s:text>
          </item>
        </commentChain>
      </unresolved>
      <resolved/>
    </commentChains>
    <commentChains s:ref="BF450" rgbClr="FF0000">
      <unresolved>
        <commentChain chainId="0643d6afb3cb06e24679cbffe3ac02b04d2dae36">
          <item id="17ab0cd4b0411b5b58fa8d8365482ff65b76c433" isNormal="1">
            <s:text>
              <s:r>
                <s:t xml:space="preserve">RR:
客版新资料</s:t>
              </s:r>
            </s:text>
          </item>
        </commentChain>
      </unresolved>
      <resolved/>
    </commentChains>
    <commentChains s:ref="V451" rgbClr="FF0000">
      <unresolved>
        <commentChain chainId="dbd88aba7086066dd4fe5e84de0134ef799f0f19">
          <item id="8aead193d3e5c16a0fb4b49848d40d21a61c9b2b" userID="1850010794" userName="龙丽娟" dateTime="2026-07-12T11:48:42" isNormal="0">
            <s:text>
              <s:r>
                <s:t xml:space="preserve">7/6上法国回收logo贴纸175pcs</s:t>
              </s:r>
            </s:text>
          </item>
        </commentChain>
      </unresolved>
      <resolved/>
    </commentChains>
    <commentChains s:ref="T453" rgbClr="FF0000">
      <unresolved>
        <commentChain chainId="2c2de644087997431d5ceef37df4aaf94d65dcb9">
          <item id="f3421256aaa39555bfe3a5d05793836d67351ed3" userID="1850010794" userName="龙丽娟" dateTime="2026-08-07T13:12:58" isNormal="0">
            <s:text>
              <s:r>
                <s:t xml:space="preserve">8/4 1001555 7450pcs馥通D8</s:t>
              </s:r>
            </s:text>
          </item>
        </commentChain>
      </unresolved>
      <resolved/>
    </commentChains>
    <commentChains s:ref="V453" rgbClr="FF0000">
      <unresolved>
        <commentChain chainId="badbb845ce5e71e1bd330849a9d7da5a89caef3e">
          <item id="2f51891a9e71e755ea5b5499a656603aca7a43cd" userID="1850010794" userName="龙丽娟" dateTime="2026-07-15T14:02:34" isNormal="0">
            <s:text>
              <s:r>
                <s:t xml:space="preserve">7/15上西班牙贴纸7450pcs</s:t>
              </s:r>
            </s:text>
          </item>
        </commentChain>
      </unresolved>
      <resolved/>
    </commentChains>
    <commentChains s:ref="V454" rgbClr="FF0000">
      <unresolved>
        <commentChain chainId="6ff71cba84c1718e7414a14ad9039b749522355f">
          <item id="5e0d14aa82068c8ee1411a549d96fc32d6d12926" userID="1850010794" userName="龙丽娟" dateTime="2026-07-12T11:42:44" isNormal="0">
            <s:text>
              <s:r>
                <s:t xml:space="preserve">7/6上进口商贴纸4472pcs</s:t>
              </s:r>
            </s:text>
          </item>
        </commentChain>
      </unresolved>
      <resolved/>
    </commentChains>
    <commentChains s:ref="V455" rgbClr="FF0000">
      <unresolved>
        <commentChain chainId="68d339560aed72087cf98d4610817c4eb00bdcff">
          <item id="b3039ce3d67c9279c06dde5ff64f41d9e10e2dcd" userID="1850010794" userName="龙丽娟" dateTime="2026-07-12T11:49:27" isNormal="0">
            <s:text>
              <s:r>
                <s:t xml:space="preserve">7/6上客版价格贴纸4002pcs/sscc外箱贴纸667pcs</s:t>
              </s:r>
            </s:text>
          </item>
        </commentChain>
      </unresolved>
      <resolved/>
    </commentChains>
    <commentChains s:ref="T456" rgbClr="FF0000">
      <unresolved>
        <commentChain chainId="188a36ff56d13337717cb86fc78b776203cadf04">
          <item id="003b5814767f611106abfb3cdf2ee64a167a892b" userID="1850010794" userName="龙丽娟" dateTime="2026-08-14T09:02:02" isNormal="0">
            <s:text>
              <s:r>
                <s:t xml:space="preserve">8/6 1001536 50pcs欣泰A5</s:t>
              </s:r>
            </s:text>
          </item>
        </commentChain>
      </unresolved>
      <resolved/>
    </commentChains>
    <commentChains s:ref="V456" rgbClr="FF0000">
      <unresolved>
        <commentChain chainId="881f7a84485307106ccd467c97874a786cb42fc9">
          <item id="a60720b3f0975c364582a798810ba127c415572c" userID="1850010794" userName="龙丽娟" dateTime="2026-07-12T11:58:40" isNormal="0">
            <s:text>
              <s:r>
                <s:t xml:space="preserve">7/7上进口商/空白贴纸各37000pcs
206033/202915共用</s:t>
              </s:r>
            </s:text>
          </item>
        </commentChain>
      </unresolved>
      <resolved/>
    </commentChains>
    <commentChains s:ref="V457" rgbClr="FF0000">
      <unresolved>
        <commentChain chainId="4fa29dbec05a4e28b3877604f876da3d1fa4c118">
          <item id="9a5eda23668bf2db4855b136e72d1fcc92bf2788" userID="1850010794" userName="龙丽娟" dateTime="2026-07-12T11:58:40" isNormal="0">
            <s:text>
              <s:r>
                <s:t xml:space="preserve">7/7上进口商/空白贴纸各37000pcs
206033/202915共用</s:t>
              </s:r>
            </s:text>
          </item>
        </commentChain>
      </unresolved>
      <resolved/>
    </commentChains>
    <commentChains s:ref="V458" rgbClr="FF0000">
      <unresolved>
        <commentChain chainId="ba51e07b0865713d4f38b4daaecb3f908a840848">
          <item id="7548d5e6b59fd204f40419cd8372822c36caeb00" userID="1850010794" userName="龙丽娟" dateTime="2026-07-12T11:50:26" isNormal="0">
            <s:text>
              <s:r>
                <s:t xml:space="preserve">7/6上进口商内容贴纸600pcs</s:t>
              </s:r>
            </s:text>
          </item>
        </commentChain>
      </unresolved>
      <resolved/>
    </commentChains>
    <commentChains s:ref="T459" rgbClr="FF0000">
      <unresolved>
        <commentChain chainId="49f4d504292926826a75e8556b685b2fb1c4b23d">
          <item id="a8f60579c8164ae27b2c832fac867dbb4411be9e" userID="1850010794" userName="龙丽娟" dateTime="2026-08-07T13:13:18" isNormal="0">
            <s:text>
              <s:r>
                <s:t xml:space="preserve">8/4 1001555 6032pcs馥通D8</s:t>
              </s:r>
            </s:text>
          </item>
        </commentChain>
      </unresolved>
      <resolved/>
    </commentChains>
    <commentChains s:ref="V459" rgbClr="FF0000">
      <unresolved>
        <commentChain chainId="af0783778a338d1f78a0aab375069875df04c761">
          <item id="0567e35394a8664e0201f4a5a687ccb0fde89dd2" userID="1850010794" userName="龙丽娟" dateTime="2026-07-12T11:43:09" isNormal="0">
            <s:text>
              <s:r>
                <s:t xml:space="preserve">7/6上警语贴纸6032pcs</s:t>
              </s:r>
            </s:text>
          </item>
        </commentChain>
      </unresolved>
      <resolved/>
    </commentChains>
    <commentChains s:ref="V460" rgbClr="FF0000">
      <unresolved>
        <commentChain chainId="3eb05ebf463a10a3d3b96852d75f7c0e5c901712">
          <item id="5b4b9bc0ceb9161e45f6fc45f4ee851620768fff" userID="1850010794" userName="龙丽娟" dateTime="2026-07-12T11:46:58" isNormal="0">
            <s:text>
              <s:r>
                <s:t xml:space="preserve">7/6上进口商/UPC贴纸各2100pcs</s:t>
              </s:r>
            </s:text>
          </item>
        </commentChain>
      </unresolved>
      <resolved/>
    </commentChains>
    <commentChains s:ref="V461" rgbClr="FF0000">
      <unresolved>
        <commentChain chainId="d03c302ec1e517742eb5a480d939000e704cef1a">
          <item id="8ae324e5d1df921e914eeb8af94eb6c349511af8" userID="1850010794" userName="龙丽娟" dateTime="2026-07-12T11:46:26" isNormal="0">
            <s:text>
              <s:r>
                <s:t xml:space="preserve">7/6上进口商贴纸2500pcs</s:t>
              </s:r>
            </s:text>
          </item>
        </commentChain>
      </unresolved>
      <resolved/>
    </commentChains>
    <commentChains s:ref="V462" rgbClr="FF0000">
      <unresolved>
        <commentChain chainId="88ea57ed50b662b3e85588c10cb6ef0d46bde335">
          <item id="bf5cb43c732684cbae384e74dfb13de140241b3f" userID="1850010794" userName="龙丽娟" dateTime="2026-07-19T07:33:34" isNormal="0">
            <s:text>
              <s:r>
                <s:t xml:space="preserve">7/10上客供RFID 贴纸37200pcs</s:t>
              </s:r>
            </s:text>
          </item>
        </commentChain>
      </unresolved>
      <resolved/>
    </commentChains>
    <commentChains s:ref="V463" rgbClr="FF0000">
      <unresolved>
        <commentChain chainId="2015b1a2d10e4c09ad6e00f4f30a92ce03306c8e">
          <item id="6eea2381307d6681bb72d69b9cbe231d326dd5bd" userID="1850010794" userName="龙丽娟" dateTime="2026-07-19T07:33:34" isNormal="0">
            <s:text>
              <s:r>
                <s:t xml:space="preserve">7/10上客供RFID 贴纸31712pcs</s:t>
              </s:r>
            </s:text>
          </item>
          <item id="2eb34dc5ab99602d206e69d4d143cad816c25655" userID="1850010794" userName="龙丽娟" dateTime="2026-07-23T12:41:13" isNormal="0">
            <s:text>
              <s:r>
                <s:t xml:space="preserve">7/18上upc贴纸74624pcs</s:t>
              </s:r>
            </s:text>
          </item>
        </commentChain>
      </unresolved>
      <resolved/>
    </commentChains>
    <commentChains s:ref="V466" rgbClr="FF0000">
      <unresolved>
        <commentChain chainId="be10b605d611ddfdf28d75cde17b761d9f143562">
          <item id="b519362c3799d72891699de4761d84583b56af6d" userID="1850010794" userName="龙丽娟" dateTime="2026-06-22T12:47:54" isNormal="0">
            <s:text>
              <s:r>
                <s:t xml:space="preserve">7/3上包装贴纸3300pcs</s:t>
              </s:r>
            </s:text>
          </item>
        </commentChain>
      </unresolved>
      <resolved/>
    </commentChains>
    <commentChains s:ref="V467" rgbClr="FF0000">
      <unresolved>
        <commentChain chainId="ed501157c8e0b35931a0d8a4adbb7971b7800a8a">
          <item id="6c655a5192115d47f077ba27bc97c4696328aad4" userID="1850010794" userName="龙丽娟" dateTime="2026-07-07T09:49:11" isNormal="0">
            <s:text>
              <s:r>
                <s:t xml:space="preserve">7/3上客供外箱条码贴纸617pcs</s:t>
              </s:r>
            </s:text>
          </item>
        </commentChain>
      </unresolved>
      <resolved/>
    </commentChains>
    <commentChains s:ref="V468" rgbClr="FF0000">
      <unresolved>
        <commentChain chainId="3a9aed1c2ac027ba6f8c1d3c54feb31d8db8c3f4">
          <item id="5d78d26c024b7000bab2dd877ef0207c1502a14a" userID="1850010794" userName="龙丽娟" dateTime="2026-06-17T11:16:28" isNormal="0">
            <s:text>
              <s:r>
                <s:t xml:space="preserve">6/17上价格贴纸1300pcs</s:t>
              </s:r>
            </s:text>
          </item>
          <item id="34d1045290bf050617d922d0592fe0630689f37a" userID="1850010794" userName="龙丽娟" dateTime="2026-06-30T06:59:09" isNormal="0">
            <s:text>
              <s:r>
                <s:t xml:space="preserve">6/24上客供外箱条码啊贴纸，26pcs</s:t>
              </s:r>
            </s:text>
          </item>
        </commentChain>
      </unresolved>
      <resolved/>
    </commentChains>
    <commentChains s:ref="T471" rgbClr="FF0000">
      <unresolved>
        <commentChain chainId="f76e69d04f4f1df1e956ea659dcd501b89b7672a">
          <item id="690654d4773e1e0fdda91669f057e78040756556" userID="1850010794" userName="龙丽娟" dateTime="2026-07-23T10:41:36" isNormal="0">
            <s:text>
              <s:r>
                <s:t xml:space="preserve">25000403 7/15 组合1-10各42pcs
                           组合11    60pcs
                           组合12    14pcs</s:t>
              </s:r>
            </s:text>
          </item>
        </commentChain>
      </unresolved>
      <resolved/>
    </commentChains>
    <commentChains s:ref="V471" rgbClr="FF0000">
      <unresolved>
        <commentChain chainId="a743f332dd9d71b6104d89702fb0dbc55fb00cca">
          <item id="377d1fac6c76b0015bfbc85cb277037c46e6362f" userID="1850010794" userName="龙丽娟" dateTime="2026-07-12T08:05:08" isNormal="0">
            <s:text>
              <s:r>
                <s:t xml:space="preserve">7/3上包装贴纸510pcs</s:t>
              </s:r>
            </s:text>
          </item>
        </commentChain>
      </unresolved>
      <resolved/>
    </commentChains>
    <commentChains s:ref="V472" rgbClr="FF0000">
      <unresolved>
        <commentChain chainId="bcc82e174da72b782b2c734a80c703078b3474ce">
          <item id="bbf8f674e03592f04e872cb868f67f023e275e04" userID="1850010794" userName="龙丽娟" dateTime="2026-06-22T12:48:55" isNormal="0">
            <s:text>
              <s:r>
                <s:t xml:space="preserve">6/22上包装贴纸3000pcs</s:t>
              </s:r>
            </s:text>
          </item>
        </commentChain>
      </unresolved>
      <resolved/>
    </commentChains>
    <commentChains s:ref="V473" rgbClr="FF0000">
      <unresolved>
        <commentChain chainId="3a06dc3fd632946984bfa30ae60c31d798bd1c41">
          <item id="68a1d9bf1d1a6206334a3067132d53a51f027182" userID="1850010794" userName="龙丽娟" dateTime="2026-06-23T12:04:30" isNormal="0">
            <s:text>
              <s:r>
                <s:t xml:space="preserve">6/26上德语警语贴纸1008pcs</s:t>
              </s:r>
            </s:text>
          </item>
          <item id="d6fcbc15d77778867d3296c542cea4e9051154fb" userID="1850010794" userName="龙丽娟" dateTime="2026-06-23T12:05:47" isNormal="0">
            <s:text>
              <s:r>
                <s:t xml:space="preserve">6/26上德语警语/EAN条码贴纸各504pcs</s:t>
              </s:r>
            </s:text>
          </item>
        </commentChain>
      </unresolved>
      <resolved/>
    </commentChains>
    <commentChains s:ref="V478" rgbClr="FF0000">
      <unresolved>
        <commentChain chainId="2fe821a04fae8efe45c1a85f3ea923a673af30b5">
          <item id="e4e5612fd84ebf7596b3410b1d3dca82ac416e3c" userID="1850010794" userName="龙丽娟" dateTime="2026-07-12T11:54:59" isNormal="0">
            <s:text>
              <s:r>
                <s:t xml:space="preserve">7/7上进口商/条码贴纸各400pcs</s:t>
              </s:r>
            </s:text>
          </item>
        </commentChain>
      </unresolved>
      <resolved/>
    </commentChains>
    <commentChains s:ref="V479" rgbClr="FF0000">
      <unresolved>
        <commentChain chainId="12a0cc28b88702af4761fedf6c7f9c8a78c39508">
          <item id="52886341f3b901e7c6e0a24db3b40eeafb49dd6d" userID="1850010794" userName="龙丽娟" dateTime="2026-07-19T07:33:34" isNormal="0">
            <s:text>
              <s:r>
                <s:t xml:space="preserve">7/10上客供RFID 贴纸26768pcs</s:t>
              </s:r>
            </s:text>
          </item>
        </commentChain>
      </unresolved>
      <resolved/>
    </commentChains>
    <commentChains s:ref="V480" rgbClr="FF0000">
      <unresolved>
        <commentChain chainId="ab4cdf9114ba98f51e972e202e94b5913371086c">
          <item id="4fb2af3c6b3a6066c253a3b76aaf9726fb0cc820" userID="1850010794" userName="龙丽娟" dateTime="2026-07-07T09:15:36" isNormal="0">
            <s:text>
              <s:r>
                <s:t xml:space="preserve">6/29上sscc外箱贴纸469pcs</s:t>
              </s:r>
            </s:text>
          </item>
          <item id="46de83e99fcb0b2f8a937840ed8faa4798f52866" userID="1850010794" userName="龙丽娟" dateTime="2026-07-21T07:37:28" isNormal="0">
            <s:text>
              <s:r>
                <s:t xml:space="preserve">7/16 上KM外箱贴纸 469pcs</s:t>
              </s:r>
            </s:text>
          </item>
        </commentChain>
      </unresolved>
      <resolved/>
    </commentChains>
    <commentChains s:ref="AX480" rgbClr="FF0000">
      <unresolved>
        <commentChain chainId="648bc40e0eb77ab16d3200af166106f18f4edad9">
          <item id="541aa2716caa9133613a49f20cb5799db54a5bac" isNormal="1">
            <s:text>
              <s:r>
                <s:t xml:space="preserve">RR:
移除21/23号唱片客版收藏指南</s:t>
              </s:r>
            </s:text>
          </item>
        </commentChain>
      </unresolved>
      <resolved/>
    </commentChains>
    <commentChains s:ref="V481" rgbClr="FF0000">
      <unresolved>
        <commentChain chainId="45cdd5b8dd75b6fe7b28bcabfdc77503e43093ee">
          <item id="e1891cba9583afa69292b289edf60f3e07a43b15" userID="1850010794" userName="龙丽娟" dateTime="2026-07-07T09:15:36" isNormal="0">
            <s:text>
              <s:r>
                <s:t xml:space="preserve">6/29上sscc外箱贴纸11pcs</s:t>
              </s:r>
            </s:text>
          </item>
          <item id="d0cc67f9849377e4da3e8ec82a88927fbc52bbec" userID="1850010794" userName="龙丽娟" dateTime="2026-07-19T09:51:24" isNormal="0">
            <s:text>
              <s:r>
                <s:t xml:space="preserve">7/16上kmart外箱贴纸31pcs</s:t>
              </s:r>
            </s:text>
          </item>
        </commentChain>
      </unresolved>
      <resolved/>
    </commentChains>
    <commentChains s:ref="AX481" rgbClr="FF0000">
      <unresolved>
        <commentChain chainId="a36eaa7856ec49d0dfba558507461105a62bc7bc">
          <item id="f48e075bed31c976929aa47e2cbb6047ce283957" isNormal="1">
            <s:text>
              <s:r>
                <s:t xml:space="preserve">RR:
移除21/23号唱片客版收藏指南</s:t>
              </s:r>
            </s:text>
          </item>
        </commentChain>
      </unresolved>
      <resolved/>
    </commentChains>
    <commentChains s:ref="V483" rgbClr="FF0000">
      <unresolved>
        <commentChain chainId="d3215dd8f5a79f732c428f4ccba341ad517c1f9f">
          <item id="992438d3d7e40d923ed32a2066cfab2ae027734d" userID="1850010794" userName="龙丽娟" dateTime="2026-07-12T11:53:44" isNormal="0">
            <s:text>
              <s:r>
                <s:t xml:space="preserve">7/7上包装贴纸1000pcs</s:t>
              </s:r>
            </s:text>
          </item>
        </commentChain>
      </unresolved>
      <resolved/>
    </commentChains>
    <commentChains s:ref="V485" rgbClr="FF0000">
      <unresolved>
        <commentChain chainId="415651f189ad8966b6cde6c37d80e2a603bf8f5b">
          <item id="fa01626ae29d9bc50ad37de75adb1b8648978df5" userID="1850010794" userName="龙丽娟" dateTime="2026-07-19T09:40:45" isNormal="0">
            <s:text>
              <s:r>
                <s:t xml:space="preserve">7/16商客户进口商贴纸1680pcs</s:t>
              </s:r>
            </s:text>
          </item>
        </commentChain>
      </unresolved>
      <resolved/>
    </commentChains>
    <commentChains s:ref="V486" rgbClr="FF0000">
      <unresolved>
        <commentChain chainId="337076650a3ebde9531b9e4d84f3d5ab4c90536d">
          <item id="aef31ffe77306d20e9d285d99a0e068591efc941" userID="1850010794" userName="龙丽娟" dateTime="2026-07-19T09:39:14" isNormal="0">
            <s:text>
              <s:r>
                <s:t xml:space="preserve">7/16 上客户进口商贴纸/EAN条码贴纸各2100pcs</s:t>
              </s:r>
            </s:text>
          </item>
        </commentChain>
      </unresolved>
      <resolved/>
    </commentChains>
    <commentChains s:ref="V489" rgbClr="FF0000">
      <unresolved>
        <commentChain chainId="a8107106825d66a75da4829fb59515bff2dc3a3d">
          <item id="7c285cc2b1423daf9461dce6cfe8f0abfe79baf0" userID="1850010794" userName="龙丽娟" dateTime="2026-07-19T09:17:17" isNormal="0">
            <s:text>
              <s:r>
                <s:t xml:space="preserve">7/14上客供价格贴纸2610pcs</s:t>
              </s:r>
            </s:text>
          </item>
        </commentChain>
      </unresolved>
      <resolved/>
    </commentChains>
    <commentChains s:ref="V490" rgbClr="FF0000">
      <unresolved>
        <commentChain chainId="f37e7ab1dc747184f3d610f46a963c45856a47bd">
          <item id="9e1fb5f7ab677693c1dd7d872ded5c7ddc61596c" userID="1850010794" userName="龙丽娟" dateTime="2026-07-09T13:32:38" isNormal="0">
            <s:text>
              <s:r>
                <s:t xml:space="preserve">7/9上警告语贴纸650pcs</s:t>
              </s:r>
            </s:text>
          </item>
        </commentChain>
      </unresolved>
      <resolved/>
    </commentChains>
    <commentChains s:ref="V494" rgbClr="FF0000">
      <unresolved>
        <commentChain chainId="93ef80d37c6d1023a6e66d4595d4674ab3b7d9d7">
          <item id="5eea388b2d8ffa5cb4009a3225c37fe72b997cf8" userID="1850010794" userName="龙丽娟" dateTime="2026-07-12T12:34:20" isNormal="0">
            <s:text>
              <s:r>
                <s:t xml:space="preserve">7/8上upc贴纸1700pcs
203228/203233共用</s:t>
              </s:r>
            </s:text>
          </item>
        </commentChain>
      </unresolved>
      <resolved/>
    </commentChains>
    <commentChains s:ref="V498" rgbClr="FF0000">
      <unresolved>
        <commentChain chainId="3bedd19c08c5fa4bcb36a1c1823f9b1c33159369">
          <item id="045fa1647979f549be9f10a4e50e606e53e67681" userID="1850010794" userName="龙丽娟" dateTime="2026-06-30T06:44:33" isNormal="0">
            <s:text>
              <s:r>
                <s:t xml:space="preserve">6/26上UPC贴纸11710pcs</s:t>
              </s:r>
            </s:text>
          </item>
        </commentChain>
      </unresolved>
      <resolved/>
    </commentChains>
    <commentChains s:ref="V499" rgbClr="FF0000">
      <unresolved>
        <commentChain chainId="d332728d4229fdd7bd5f22ce1f7247ce20443317">
          <item id="46620ee1264d6562bd5bc1a5155abf007a5a11dd" userID="1850010794" userName="龙丽娟" dateTime="2026-07-12T12:34:20" isNormal="0">
            <s:text>
              <s:r>
                <s:t xml:space="preserve">7/8上upc贴纸1700pcs
203228/203233共用</s:t>
              </s:r>
            </s:text>
          </item>
        </commentChain>
      </unresolved>
      <resolved/>
    </commentChains>
    <commentChains s:ref="V505" rgbClr="FF0000">
      <unresolved>
        <commentChain chainId="e9a7cd8e910f43b7f1be63b65a5fcc8a0b2511c5">
          <item id="8fcf4d12d71355a897500d4428f9f93fdaf8def2" userID="1850010794" userName="龙丽娟" dateTime="2026-07-19T07:33:34" isNormal="0">
            <s:text>
              <s:r>
                <s:t xml:space="preserve">7/10上客供RFID 贴纸24000pcs</s:t>
              </s:r>
            </s:text>
          </item>
        </commentChain>
      </unresolved>
      <resolved/>
    </commentChains>
    <commentChains s:ref="V506" rgbClr="FF0000">
      <unresolved>
        <commentChain chainId="0ddc4d9d10560191958929de3221ef8a45a655fd">
          <item id="d56531775ce319c9e3c5c1d4efeed9e6f9416852" userID="1850010794" userName="龙丽娟" dateTime="2026-07-19T07:33:34" isNormal="0">
            <s:text>
              <s:r>
                <s:t xml:space="preserve">7/10上客供RFID 贴纸22960pcs</s:t>
              </s:r>
            </s:text>
          </item>
        </commentChain>
      </unresolved>
      <resolved/>
    </commentChains>
    <commentChains s:ref="V507" rgbClr="FF0000">
      <unresolved>
        <commentChain chainId="d0bf5232642f72134a6dca852cd9e55a5e18e9d5">
          <item id="f75aa68bee469b85e7118829d74063f7ad96f368" userID="1850010794" userName="龙丽娟" dateTime="2026-07-21T08:22:07" isNormal="0">
            <s:text>
              <s:r>
                <s:t xml:space="preserve">6/2 上HK客供警语贴纸贴收藏指南和拆件说明书 2505pcs
      上HK客供警语贴纸贴球底部 1880pcs</s:t>
              </s:r>
            </s:text>
          </item>
        </commentChain>
      </unresolved>
      <resolved/>
    </commentChains>
    <commentChains s:ref="T508" rgbClr="FF0000">
      <unresolved>
        <commentChain chainId="594036f4dbc073795f511443562d3bcbbfd56f95">
          <item id="b33c8498d2b598c7b31858560b86e7a1b2ab6b63" userID="1850010794" userName="龙丽娟" dateTime="2026-08-07T13:14:54" isNormal="0">
            <s:text>
              <s:r>
                <s:t xml:space="preserve">8/4 1001555 468pcs馥通D8</s:t>
              </s:r>
            </s:text>
          </item>
        </commentChain>
      </unresolved>
      <resolved/>
    </commentChains>
    <commentChains s:ref="V509" rgbClr="FF0000">
      <unresolved>
        <commentChain chainId="d0963e09015d6f90cb8eb93eac7ff8ef630b05b3">
          <item id="5d9ddc2480f506df177f2f1893567f8376cacd82" userID="1850010794" userName="龙丽娟" dateTime="2026-07-07T09:49:53" isNormal="0">
            <s:text>
              <s:r>
                <s:t xml:space="preserve">7/3上客供外箱条码贴纸1623pcs</s:t>
              </s:r>
            </s:text>
          </item>
        </commentChain>
      </unresolved>
      <resolved/>
    </commentChains>
    <commentChains s:ref="V511" rgbClr="FF0000">
      <unresolved>
        <commentChain chainId="4e625a138ed796d80d95116dd4a30aa785ec72d8">
          <item id="b5e40f998bc4b987a89e90bf2b6072c5d40f9917" userID="1850010794" userName="龙丽娟" dateTime="2026-07-12T12:00:25" isNormal="0">
            <s:text>
              <s:r>
                <s:t xml:space="preserve">7/7上进口商/upc贴纸各5160pcs
207499/208984共用</s:t>
              </s:r>
            </s:text>
          </item>
        </commentChain>
      </unresolved>
      <resolved/>
    </commentChains>
    <commentChains s:ref="T512" rgbClr="FF0000">
      <unresolved>
        <commentChain chainId="bed6787690ed26edd18c5324dd1583f489c0de33">
          <item id="5114ee7cd3a70508fad948887bcbae1675d5468a" userID="1850010794" userName="龙丽娟" dateTime="2026-08-07T13:18:56" isNormal="0">
            <s:text>
              <s:r>
                <s:t xml:space="preserve">8/4 100155 3904pcs馥通C8</s:t>
              </s:r>
            </s:text>
          </item>
          <item id="6664896ac744ccb0ccf3f0c7d3b5e6355d68e85f" userID="1850010794" userName="龙丽娟" dateTime="2026-08-07T13:24:07" isNormal="0">
            <s:text>
              <s:r>
                <s:t xml:space="preserve">8/4 1001552 2128PCS馥通B2</s:t>
              </s:r>
            </s:text>
          </item>
        </commentChain>
      </unresolved>
      <resolved/>
    </commentChains>
    <commentChains s:ref="V512" rgbClr="FF0000">
      <unresolved>
        <commentChain chainId="ae82fbea09111260b700cf9aba81baf5cdca2c13">
          <item id="e4ae7f60d899ec9123716821322e09598aa680d5" userID="1850010794" userName="龙丽娟" dateTime="2026-07-09T13:31:26" isNormal="0">
            <s:text>
              <s:r>
                <s:t xml:space="preserve">7/9上upc贴纸6032pcs</s:t>
              </s:r>
            </s:text>
          </item>
        </commentChain>
      </unresolved>
      <resolved/>
    </commentChains>
    <commentChains s:ref="T513" rgbClr="FF0000">
      <unresolved>
        <commentChain chainId="9a179360e8d1ae634f382b722ad0cd68859c6834">
          <item id="8b0efdb6caa63ebbd757a86310ca46a9df64e1e5" userID="1850010794" userName="龙丽娟" dateTime="2026-08-07T13:27:09" isNormal="0">
            <s:text>
              <s:r>
                <s:t xml:space="preserve">8/4 2801407 2950pcs馥通d1</s:t>
              </s:r>
            </s:text>
          </item>
        </commentChain>
      </unresolved>
      <resolved/>
    </commentChains>
    <commentChains s:ref="V513" rgbClr="FF0000">
      <unresolved>
        <commentChain chainId="6380c03c7c68949fdcef85c375f42cd9b39468b9">
          <item id="dcf53ad44cbe141cbec1128b1c4760a95e658026" userID="1850010794" userName="龙丽娟" dateTime="2026-07-15T13:33:30" isNormal="0">
            <s:text>
              <s:r>
                <s:t xml:space="preserve">7/15 上UPC贴纸3000pcs</s:t>
              </s:r>
            </s:text>
          </item>
          <item id="63780dbafa58333e21b2a11154e31112017ec7b8" userID="1850010794" userName="龙丽娟" dateTime="2026-07-19T09:29:54" isNormal="0">
            <s:text>
              <s:r>
                <s:t xml:space="preserve">7/16上进口商贴纸3000pcs</s:t>
              </s:r>
            </s:text>
          </item>
        </commentChain>
      </unresolved>
      <resolved/>
    </commentChains>
    <commentChains s:ref="V514" rgbClr="FF0000">
      <unresolved>
        <commentChain chainId="6aa638df4b9265af12bc6970021ee6c39a8cdc9c">
          <item id="20d8758d08bf90705939ff80ddb5a09b7dcdddf5" userID="1850010794" userName="龙丽娟" dateTime="2026-07-19T07:54:45" isNormal="0">
            <s:text>
              <s:r>
                <s:t xml:space="preserve">7/13上进口商贴纸/PDQ贴纸各2000pcs</s:t>
              </s:r>
            </s:text>
          </item>
        </commentChain>
      </unresolved>
      <resolved/>
    </commentChains>
    <commentChains s:ref="T515" rgbClr="FF0000">
      <unresolved>
        <commentChain chainId="0f8e2054f398decb1f78b54032c41e6f3ff6bb91">
          <item id="bc07afb034563b32cf16f33bc7da76fbed5f5d81" userID="1850010794" userName="龙丽娟" dateTime="2026-08-14T09:10:04" isNormal="0">
            <s:text>
              <s:r>
                <s:t xml:space="preserve">8/6 1001547 5000pcs钜顺A4</s:t>
              </s:r>
            </s:text>
          </item>
        </commentChain>
      </unresolved>
      <resolved/>
    </commentChains>
    <commentChains s:ref="V515" rgbClr="FF0000">
      <unresolved>
        <commentChain chainId="e3b4f728df834ff1fe83f2c96f249f28774607e6">
          <item id="dca4f977e4f0e0492d95ca20f5e0c7fc7304cd3f" userID="1850010794" userName="龙丽娟" dateTime="2026-06-11T06:00:12" isNormal="0">
            <s:text>
              <s:r>
                <s:t xml:space="preserve">6/4上进口商贴纸（含条码)5000PCS</s:t>
              </s:r>
            </s:text>
          </item>
        </commentChain>
      </unresolved>
      <resolved/>
    </commentChains>
    <commentChains s:ref="V516" rgbClr="FF0000">
      <unresolved>
        <commentChain chainId="1dcf8bbc2aac2dfb81fcaf9f616bc26835dae686">
          <item id="945d2a2ccb59ba6895e6554f879667b81f536802" userID="1850010794" userName="龙丽娟" dateTime="2026-07-07T09:50:31" isNormal="0">
            <s:text>
              <s:r>
                <s:t xml:space="preserve">7/3上客供外箱条码贴纸1516pcs</s:t>
              </s:r>
            </s:text>
          </item>
          <item id="63d84b1124396dc3ae3978da2469c0f9df562583" userID="1850010794" userName="龙丽娟" dateTime="2026-07-15T13:49:48" isNormal="0">
            <s:text>
              <s:r>
                <s:t xml:space="preserve">7/15上警告语/环保标贴纸11208pcs
210819/21182共用</s:t>
              </s:r>
            </s:text>
          </item>
        </commentChain>
      </unresolved>
      <resolved/>
    </commentChains>
    <commentChains s:ref="V518" rgbClr="FF0000">
      <unresolved>
        <commentChain chainId="97012e93d3ca79f08f717abfd0e50e522a156902">
          <item id="0411fa1a754de291532a0d3c1a4587d0d1a5d0f1" userID="1850010794" userName="龙丽娟" dateTime="2026-07-12T11:59:27" isNormal="0">
            <s:text>
              <s:r>
                <s:t xml:space="preserve">7/7上upc贴纸780pcs</s:t>
              </s:r>
            </s:text>
          </item>
        </commentChain>
      </unresolved>
      <resolved/>
    </commentChains>
    <commentChains s:ref="V525" rgbClr="FF0000">
      <unresolved>
        <commentChain chainId="c580d8a24ee53d4966645ad3fac93ed14dd23a55">
          <item id="2f76bbf7f663afffe6920d0124eb0255aa8c4319" userID="1850010794" userName="龙丽娟" dateTime="2026-07-07T09:51:56" isNormal="0">
            <s:text>
              <s:r>
                <s:t xml:space="preserve">7/3上客供外箱条码贴纸952pcs</s:t>
              </s:r>
            </s:text>
          </item>
        </commentChain>
      </unresolved>
      <resolved/>
    </commentChains>
    <commentChains s:ref="V526" rgbClr="FF0000">
      <unresolved>
        <commentChain chainId="3d81affdaa1f7987f5096b7e8aa31a14bb6e5c39">
          <item id="2ec436a81161bd78f4051d98b431e95bcf6bb79e" isNormal="1">
            <s:text>
              <s:r>
                <s:t xml:space="preserve">Administrator:
5/14上客供价格贴纸12598pcs</s:t>
              </s:r>
            </s:text>
          </item>
        </commentChain>
      </unresolved>
      <resolved/>
    </commentChains>
    <commentChains s:ref="V528" rgbClr="FF0000">
      <unresolved>
        <commentChain chainId="7599453bb58d930bf753ccc868aaa44a890c197d">
          <item id="c2b54e401eca900ece39b173c0f6d9ed38656ee0" userID="1850010794" userName="龙丽娟" dateTime="2026-07-19T07:33:34" isNormal="0">
            <s:text>
              <s:r>
                <s:t xml:space="preserve">7/10上客供RFID 贴纸25216pcs</s:t>
              </s:r>
            </s:text>
          </item>
        </commentChain>
      </unresolved>
      <resolved/>
    </commentChains>
    <commentChains s:ref="T529" rgbClr="FF0000">
      <unresolved>
        <commentChain chainId="65bcbd2a06c80b8cac19effe2d2198afb1fb25ec">
          <item id="02d17ed4536ae266b3d43d81a0a9e70b3c7d03e3" userID="1850010794" userName="龙丽娟" dateTime="2026-08-07T13:41:11" isNormal="0">
            <s:text>
              <s:r>
                <s:t xml:space="preserve">8/3 1000400 1989pcs直出</s:t>
              </s:r>
            </s:text>
          </item>
        </commentChain>
      </unresolved>
      <resolved/>
    </commentChains>
    <commentChains s:ref="V529" rgbClr="FF0000">
      <unresolved>
        <commentChain chainId="7a37ebca2fe33a59f732e020ad99c2c6dd04e52a">
          <item id="726525b0978acfff8370f68935429924c4e7218b" userID="1850010794" userName="龙丽娟" dateTime="2026-07-15T13:53:45" isNormal="0">
            <s:text>
              <s:r>
                <s:t xml:space="preserve">7/15上UPC/进口商贴纸各1989pcs</s:t>
              </s:r>
            </s:text>
          </item>
        </commentChain>
      </unresolved>
      <resolved/>
    </commentChains>
    <commentChains s:ref="T530" rgbClr="FF0000">
      <unresolved>
        <commentChain chainId="1a08a3147b8cce638e75e48220fd32b18ce21bfb">
          <item id="02353c60d9a67580bafb3437e596ef23473df707" userID="1850010794" userName="龙丽娟" dateTime="2026-08-07T12:59:56" isNormal="0">
            <s:text>
              <s:r>
                <s:t xml:space="preserve">8/4 2801405 22400pcs欣泰f6e6</s:t>
              </s:r>
            </s:text>
          </item>
          <item id="930241873aaa82555b075c439054a6c77d233f6a" userID="1850010794" userName="龙丽娟" dateTime="2026-08-07T13:27:41" isNormal="0">
            <s:text>
              <s:r>
                <s:t xml:space="preserve">8/4 2801407 1568pcs馥通d2</s:t>
              </s:r>
            </s:text>
          </item>
        </commentChain>
      </unresolved>
      <resolved/>
    </commentChains>
    <commentChains s:ref="V530" rgbClr="FF0000">
      <unresolved>
        <commentChain chainId="1e9e75ba362a8e2ffbbd7618b777a37b86f4b045">
          <item id="e7d6836bd437ede0cbebf329e357d53b4e186857" userID="1850010794" userName="龙丽娟" dateTime="2026-07-19T07:33:34" isNormal="0">
            <s:text>
              <s:r>
                <s:t xml:space="preserve">7/10上客供RFID 贴纸23968pcs</s:t>
              </s:r>
            </s:text>
          </item>
        </commentChain>
      </unresolved>
      <resolved/>
    </commentChains>
    <commentChains s:ref="T531" rgbClr="FF0000">
      <unresolved>
        <commentChain chainId="5109e4f7c57f8f4a488511375025eaceeefd7f22">
          <item id="2865734acc0a4ebacc6b33a942fc592d9c92e24d" userID="1850010794" userName="龙丽娟" dateTime="2026-08-07T13:14:20" isNormal="0">
            <s:text>
              <s:r>
                <s:t xml:space="preserve">8/4 1001555 2496pcs馥通D8</s:t>
              </s:r>
            </s:text>
          </item>
        </commentChain>
      </unresolved>
      <resolved/>
    </commentChains>
    <commentChains s:ref="V531" rgbClr="FF0000">
      <unresolved>
        <commentChain chainId="6ba9e2f9598e9f5f36485d0eafecaa68b6033f74">
          <item id="809bb70a2118eb7eac357a9e536541b25e6871d2" userID="1850010794" userName="龙丽娟" dateTime="2026-06-23T03:34:29" isNormal="0">
            <s:text>
              <s:r>
                <s:t xml:space="preserve">6/18上HK客供警语贴纸2576pcs/HK客供警语贴纸贴收藏指南和拆件说明书3366pcs</s:t>
              </s:r>
            </s:text>
          </item>
        </commentChain>
      </unresolved>
      <resolved/>
    </commentChains>
    <commentChains s:ref="T532" rgbClr="FF0000">
      <unresolved>
        <commentChain chainId="68d5bbe1f59b0119b6bf9c2338cb7300d3f58d45">
          <item id="0f391c37ffdb6633a4f594b902d8f80a05c511a6" userID="1850010794" userName="龙丽娟" dateTime="2026-08-07T13:41:29" isNormal="0">
            <s:text>
              <s:r>
                <s:t xml:space="preserve">8/3 1000400 312pcs直出</s:t>
              </s:r>
            </s:text>
          </item>
        </commentChain>
      </unresolved>
      <resolved/>
    </commentChains>
    <commentChains s:ref="T533" rgbClr="FF0000">
      <unresolved>
        <commentChain chainId="7e7a5db8b35effb4e6b9de6496488f8affe0e8be">
          <item id="02527ee521c939b67f0585188500f0867d6c6bed" userID="1850010794" userName="龙丽娟" dateTime="2026-08-07T13:39:15" isNormal="0">
            <s:text>
              <s:r>
                <s:t xml:space="preserve">8/4 208214 27624pcs馥通D4</s:t>
              </s:r>
            </s:text>
          </item>
        </commentChain>
      </unresolved>
      <resolved/>
    </commentChains>
    <commentChains s:ref="T534" rgbClr="FF0000">
      <unresolved>
        <commentChain chainId="e12a093dcbcf5481f38df9a34bc44b63f21107e9">
          <item id="126a4a8455673649a1800f4b40dd09f14ffe0bac" userID="1850010794" userName="龙丽娟" dateTime="2026-08-07T12:42:52" isNormal="0">
            <s:text>
              <s:r>
                <s:t xml:space="preserve">8/1 2800365 24175pcs欣泰E3</s:t>
              </s:r>
            </s:text>
          </item>
          <item id="bbb01d8e0e64f2c7110c3f3d2a22d03ad6514ab0" userID="1850010794" userName="龙丽娟" dateTime="2026-08-07T12:48:10" isNormal="0">
            <s:text>
              <s:r>
                <s:t xml:space="preserve">8/1 2800366 3325pcs欣泰c3</s:t>
              </s:r>
            </s:text>
          </item>
        </commentChain>
      </unresolved>
      <resolved/>
    </commentChains>
    <commentChains s:ref="V534" rgbClr="FF0000">
      <unresolved>
        <commentChain chainId="8c56a30ceb53ee22dce572fbc8c11a2a67d2fb64">
          <item id="b51cd9b6fdf9d4b54801581a5a40d9456e86978b" userID="1850010794" userName="龙丽娟" dateTime="2026-07-15T13:54:44" isNormal="0">
            <s:text>
              <s:r>
                <s:t xml:space="preserve">7/15上客人通用进口商贴纸27500pcs</s:t>
              </s:r>
            </s:text>
          </item>
        </commentChain>
      </unresolved>
      <resolved/>
    </commentChains>
    <commentChains s:ref="AX534" rgbClr="FF0000">
      <unresolved>
        <commentChain chainId="b16a1ff667c4d5739605dd390711e0e4c4079fc5">
          <item id="a33d8dec19a64826bff566a22549db30a3a2ee0f" isNormal="1">
            <s:text>
              <s:r>
                <s:t xml:space="preserve">RR:
移除21/23号唱片客版收藏指南</s:t>
              </s:r>
            </s:text>
          </item>
        </commentChain>
      </unresolved>
      <resolved/>
    </commentChains>
    <commentChains s:ref="T535" rgbClr="FF0000">
      <unresolved>
        <commentChain chainId="30a0f02e865e8b3d181c1d322740b2aaf394b9c7">
          <item id="f95f98a4f134fcbb7327766749de609325b4d634" userID="1850010794" userName="龙丽娟" dateTime="2026-08-07T13:14:01" isNormal="0">
            <s:text>
              <s:r>
                <s:t xml:space="preserve">8/4 1001555 7450pcs馥通D5</s:t>
              </s:r>
            </s:text>
          </item>
        </commentChain>
      </unresolved>
      <resolved/>
    </commentChains>
    <commentChains s:ref="T536" rgbClr="FF0000">
      <unresolved>
        <commentChain chainId="795f161287aae3772d32f33ffa500c29df00219c">
          <item id="1d94337374cf9c63295e90cf7ff15c4bc6226516" userID="1850010794" userName="龙丽娟" dateTime="2026-08-07T13:13:45" isNormal="0">
            <s:text>
              <s:r>
                <s:t xml:space="preserve">8/4 1001555 4030pcs馥通D8</s:t>
              </s:r>
            </s:text>
          </item>
        </commentChain>
      </unresolved>
      <resolved/>
    </commentChains>
    <commentChains s:ref="V539" rgbClr="FF0000">
      <unresolved>
        <commentChain chainId="ac519e9e51f02551eb66e9bcb649fba846168610">
          <item id="44340fd2c428530721c6b8e6ec675bbc1cb6aae0" userID="1850010794" userName="龙丽娟" dateTime="2026-07-19T07:26:42" isNormal="0">
            <s:text>
              <s:r>
                <s:t xml:space="preserve">7/10上Kmart外箱贴纸31pcs</s:t>
              </s:r>
            </s:text>
          </item>
          <item id="ec077e593af8a401d7b6bf68ec2d0e4716c32210" userID="1850010794" userName="龙丽娟" dateTime="2026-07-19T09:21:42" isNormal="0">
            <s:text>
              <s:r>
                <s:t xml:space="preserve">7/15上白色防盗贴纸403pcs</s:t>
              </s:r>
            </s:text>
          </item>
        </commentChain>
      </unresolved>
      <resolved/>
    </commentChains>
    <commentChains s:ref="AX539" rgbClr="FF0000">
      <unresolved>
        <commentChain chainId="aa7b6743127cfb59988a38b2ce45df0fa5b35628">
          <item id="1966188fcd635abb917c4cada12abc814e3a3681" isNormal="1">
            <s:text>
              <s:r>
                <s:t xml:space="preserve">RR:
移除21/23号唱片客版收藏指南</s:t>
              </s:r>
            </s:text>
          </item>
          <item id="c8cee8d38617023432bcb9101d3a2732167c4f08" userID="1853477080" userName="陈龙" dateTime="2026-06-04T13:53:39" isNormal="0">
            <s:text>
              <s:r>
                <s:t xml:space="preserve">翻单4500197999</s:t>
              </s:r>
            </s:text>
          </item>
        </commentChain>
      </unresolved>
      <resolved/>
    </commentChains>
    <commentChains s:ref="T540" rgbClr="FF0000">
      <unresolved>
        <commentChain chainId="6b386cf6c6fe8601caf23f265a5646a557f8b5b9">
          <item id="a80df1a31ef4652e0f1e49366fdc1d934908897c" userID="1850010794" userName="龙丽娟" dateTime="2026-08-07T12:41:09" isNormal="0">
            <s:text>
              <s:r>
                <s:t xml:space="preserve">8/1 1001605 26pcs欣泰A5</s:t>
              </s:r>
            </s:text>
          </item>
        </commentChain>
      </unresolved>
      <resolved/>
    </commentChains>
    <commentChains s:ref="V540" rgbClr="FF0000">
      <unresolved>
        <commentChain chainId="6e91242419f7e91719dd13fed896937b738f512a">
          <item id="903e54367fc0ceb02147f1c6c6b853711cc26661" userID="1850010794" userName="龙丽娟" dateTime="2026-07-19T07:26:42" isNormal="0">
            <s:text>
              <s:r>
                <s:t xml:space="preserve">7/10上Kmart外箱贴纸469pcs</s:t>
              </s:r>
            </s:text>
          </item>
        </commentChain>
      </unresolved>
      <resolved/>
    </commentChains>
    <commentChains s:ref="AX540" rgbClr="FF0000">
      <unresolved>
        <commentChain chainId="12860f782429798674628203b3b2bc706259d09b">
          <item id="572addfae620278cbf2b46479c0aea96d31804f6" isNormal="1">
            <s:text>
              <s:r>
                <s:t xml:space="preserve">RR:
移除21/23号唱片客版收藏指南</s:t>
              </s:r>
            </s:text>
          </item>
          <item id="3ebb6d6337f6dd1b69be83abb91845dfcbab1a87" userID="1853477080" userName="陈龙" dateTime="2026-06-04T13:53:39" isNormal="0">
            <s:text>
              <s:r>
                <s:t xml:space="preserve">翻单4500197999</s:t>
              </s:r>
            </s:text>
          </item>
        </commentChain>
      </unresolved>
      <resolved/>
    </commentChains>
    <commentChains s:ref="V541" rgbClr="FF0000">
      <unresolved>
        <commentChain chainId="74b9761daaaf11fd67e4dcbfb9f1bd5b5f6b3efd">
          <item id="6a5f3a4d908d6a0e71ba757c1cbb850344726b27" userID="1850010794" userName="龙丽娟" dateTime="2026-07-24T12:34:41" isNormal="0">
            <s:text>
              <s:r>
                <s:t xml:space="preserve">7/21 上kmart外箱贴纸17pcs</s:t>
              </s:r>
            </s:text>
          </item>
        </commentChain>
      </unresolved>
      <resolved/>
    </commentChains>
    <commentChains s:ref="T542" rgbClr="FF0000">
      <unresolved>
        <commentChain chainId="f2dd56d65336b1d1f468f2eb46cb41298298e4b6">
          <item id="a6e1bef06bdc9383b432f789061860ab7507e2f6" userID="1850010794" userName="龙丽娟" dateTime="2026-08-07T12:40:33" isNormal="0">
            <s:text>
              <s:r>
                <s:t xml:space="preserve">8/1 1001605 13pcs欣泰A5</s:t>
              </s:r>
            </s:text>
          </item>
        </commentChain>
      </unresolved>
      <resolved/>
    </commentChains>
    <commentChains s:ref="V542" rgbClr="FF0000">
      <unresolved>
        <commentChain chainId="1b10156cc73659942b9b1157aca22d80b577ef2f">
          <item id="66bf3fe57d2c72ea051320f937a2f7265c1af709" userID="1850010794" userName="龙丽娟" dateTime="2026-07-24T12:34:41" isNormal="0">
            <s:text>
              <s:r>
                <s:t xml:space="preserve">7/21 上kmart外箱贴纸214pcs</s:t>
              </s:r>
            </s:text>
          </item>
        </commentChain>
      </unresolved>
      <resolved/>
    </commentChains>
    <commentChains s:ref="BB543" rgbClr="FF0000">
      <unresolved>
        <commentChain chainId="810ebe8ef2d2c3b1d3524590ad7efbd020b5c6a8">
          <item id="029c58b6dac72f7b6f5346c41bc84eeaa22c5a92" isNormal="1">
            <s:text>
              <s:r>
                <s:t xml:space="preserve">RR:
客版资料翻单墨西哥单</s:t>
              </s:r>
            </s:text>
          </item>
        </commentChain>
      </unresolved>
      <resolved/>
    </commentChains>
    <commentChains s:ref="BC543" rgbClr="FF0000">
      <unresolved>
        <commentChain chainId="aaaae5a4731919624946a783af825de1e31624a9">
          <item id="c6fbc557c0a2bece36e588d4073ca25e05eb8da4" isNormal="1">
            <s:text>
              <s:r>
                <s:t xml:space="preserve">RR:
客版新资料</s:t>
              </s:r>
            </s:text>
          </item>
        </commentChain>
      </unresolved>
      <resolved/>
    </commentChains>
    <commentChains s:ref="BD543" rgbClr="FF0000">
      <unresolved>
        <commentChain chainId="cad4758b8f85306992a7d3624ae50be69790041e">
          <item id="ded6764326ac265745d7ee5b2409d08bf89d0d06" isNormal="1">
            <s:text>
              <s:r>
                <s:t xml:space="preserve">RR:
客版资料翻单墨西哥单</s:t>
              </s:r>
            </s:text>
          </item>
        </commentChain>
      </unresolved>
      <resolved/>
    </commentChains>
    <commentChains s:ref="BE543" rgbClr="FF0000">
      <unresolved>
        <commentChain chainId="05a963d392858aabbe690d591edb00044a13795c">
          <item id="bb1039440612dc7de57692e8b21752e7a1bf860f" isNormal="1">
            <s:text>
              <s:r>
                <s:t xml:space="preserve">RR:
客版新资料</s:t>
              </s:r>
            </s:text>
          </item>
        </commentChain>
      </unresolved>
      <resolved/>
    </commentChains>
    <commentChains s:ref="BF543" rgbClr="FF0000">
      <unresolved>
        <commentChain chainId="49393e366ff3081a4b5d53c1c3df28b6929123dc">
          <item id="5ed56ec3a5c3c309ee885669297e050da71f890a" isNormal="1">
            <s:text>
              <s:r>
                <s:t xml:space="preserve">RR:
客版资料翻单墨西哥单</s:t>
              </s:r>
            </s:text>
          </item>
        </commentChain>
      </unresolved>
      <resolved/>
    </commentChains>
    <commentChains s:ref="T544" rgbClr="FF0000">
      <unresolved>
        <commentChain chainId="5eb8af0c3d7597b99358a7862f21312b17796606">
          <item id="8a9c09805270860659fb86fa15de730afde61373" userID="1850010794" userName="龙丽娟" dateTime="2026-08-07T13:17:02" isNormal="0">
            <s:text>
              <s:r>
                <s:t xml:space="preserve">8/4 100155 500pcs馥通C8</s:t>
              </s:r>
            </s:text>
          </item>
        </commentChain>
      </unresolved>
      <resolved/>
    </commentChains>
    <commentChains s:ref="V544" rgbClr="FF0000">
      <unresolved>
        <commentChain chainId="c26d8955fb35b0c98fcf3b83bece71079844e085">
          <item id="b649cb8b5e0bef254cb02e80b2d15d598a920469" userID="1850010794" userName="龙丽娟" dateTime="2026-07-20T14:38:17" isNormal="0">
            <s:text>
              <s:r>
                <s:t xml:space="preserve">7/20上进口商贴纸500pcs</s:t>
              </s:r>
            </s:text>
          </item>
        </commentChain>
      </unresolved>
      <resolved/>
    </commentChains>
    <commentChains s:ref="T545" rgbClr="FF0000">
      <unresolved>
        <commentChain chainId="d45755a4a8891f9c7bde8e78cad6be3e1d9759f9">
          <item id="852ca15c8c498d1d90e41224ff1f904818ce2027" userID="1850010794" userName="龙丽娟" dateTime="2026-08-07T13:00:50" isNormal="0">
            <s:text>
              <s:r>
                <s:t xml:space="preserve">8/4 2801405  13440pcs馥通c3</s:t>
              </s:r>
            </s:text>
          </item>
        </commentChain>
      </unresolved>
      <resolved/>
    </commentChains>
    <commentChains s:ref="V545" rgbClr="FF0000">
      <unresolved>
        <commentChain chainId="a976868becceaee6179997487851e6ea7caf2e32">
          <item id="b2c9b901b5af74f7a67576c9ee87f51d8a8ec145" userID="1850010794" userName="龙丽娟" dateTime="2026-07-19T07:33:34" isNormal="0">
            <s:text>
              <s:r>
                <s:t xml:space="preserve">7/10上客供RFID 贴纸13440pcs</s:t>
              </s:r>
            </s:text>
          </item>
        </commentChain>
      </unresolved>
      <resolved/>
    </commentChains>
    <commentChains s:ref="T546" rgbClr="FF0000">
      <unresolved>
        <commentChain chainId="dbf763d4b64bb9c9f24cb0c1855209c57e3c6e82">
          <item id="5c1c64ca33a572b20b895506edc92a5558b269d5" userID="1850010794" userName="龙丽娟" dateTime="2026-08-07T13:38:37" isNormal="0">
            <s:text>
              <s:r>
                <s:t xml:space="preserve">8/4 2801407 11520pcs馥通c2</s:t>
              </s:r>
            </s:text>
          </item>
        </commentChain>
      </unresolved>
      <resolved/>
    </commentChains>
    <commentChains s:ref="V546" rgbClr="FF0000">
      <unresolved>
        <commentChain chainId="d735b05f27b69a155c72894a013658dc8e6a0dea">
          <item id="1416b59d60d1805c14e9a09ae42fd3aa2a9c2b0c" userID="1850010794" userName="龙丽娟" dateTime="2026-07-19T07:33:34" isNormal="0">
            <s:text>
              <s:r>
                <s:t xml:space="preserve">7/10上客供RFID 贴纸11520pcs</s:t>
              </s:r>
            </s:text>
          </item>
        </commentChain>
      </unresolved>
      <resolved/>
    </commentChains>
    <commentChains s:ref="T547" rgbClr="FF0000">
      <unresolved>
        <commentChain chainId="dec5a15b5f27f02a83fd470edebb7123bd989afe">
          <item id="3a148975e4516e6727c9debe2abfbf4a439fd26e" userID="1850010794" userName="龙丽娟" dateTime="2026-08-07T13:01:42" isNormal="0">
            <s:text>
              <s:r>
                <s:t xml:space="preserve">8/4 2801405 11200pcs欣泰D7</s:t>
              </s:r>
            </s:text>
          </item>
          <item id="ba57650aa635e8cd615f9e7c15b1574baa6bfe5e" userID="1850010794" userName="龙丽娟" dateTime="2026-08-07T13:28:32" isNormal="0">
            <s:text>
              <s:r>
                <s:t xml:space="preserve">8/4 2801407 1280pcs馥通D2</s:t>
              </s:r>
            </s:text>
          </item>
        </commentChain>
      </unresolved>
      <resolved/>
    </commentChains>
    <commentChains s:ref="V547" rgbClr="FF0000">
      <unresolved>
        <commentChain chainId="be0ebe9c6ade6527b199476cefa871bb896b990b">
          <item id="b72930755ece43ee3e9e3d6b9da7f17bdd55fdcb" userID="1850010794" userName="龙丽娟" dateTime="2026-07-19T07:33:34" isNormal="0">
            <s:text>
              <s:r>
                <s:t xml:space="preserve">7/10上客供RFID 贴纸12480pcs</s:t>
              </s:r>
            </s:text>
          </item>
        </commentChain>
      </unresolved>
      <resolved/>
    </commentChains>
    <commentChains s:ref="T548" rgbClr="FF0000">
      <unresolved>
        <commentChain chainId="c20770205fb31dd174b573d4f74b00a140954383">
          <item id="03c3323dc0bec32fa1f0c8f084d9bcf048aceccd" userID="1850010794" userName="龙丽娟" dateTime="2026-08-14T09:08:05" isNormal="0">
            <s:text>
              <s:r>
                <s:t xml:space="preserve">8/4 2801397 8640pcs欣泰F6</s:t>
              </s:r>
            </s:text>
          </item>
        </commentChain>
      </unresolved>
      <resolved/>
    </commentChains>
    <commentChains s:ref="V548" rgbClr="FF0000">
      <unresolved>
        <commentChain chainId="caa647bdd7ce46b9ecdd66fea2bb98b8e36610be">
          <item id="6d08d5f1b660097557597efeb27ad0fd8d58992b" userID="1850010794" userName="龙丽娟" dateTime="2026-07-19T07:33:34" isNormal="0">
            <s:text>
              <s:r>
                <s:t xml:space="preserve">7/10上客供RFID 贴纸8640pcs</s:t>
              </s:r>
            </s:text>
          </item>
        </commentChain>
      </unresolved>
      <resolved/>
    </commentChains>
    <commentChains s:ref="BB549" rgbClr="FF0000">
      <unresolved>
        <commentChain chainId="229f266d78ce1fbd1e0152fb93be1ca57646fd74">
          <item id="66812205b4a229e05c12da813ee12e4d83b67840" isNormal="1">
            <s:text>
              <s:r>
                <s:t xml:space="preserve">RR:
客版资料翻单墨西哥单</s:t>
              </s:r>
            </s:text>
          </item>
        </commentChain>
      </unresolved>
      <resolved/>
    </commentChains>
    <commentChains s:ref="BC549" rgbClr="FF0000">
      <unresolved>
        <commentChain chainId="3d0b237a655db3b01bd8b2e0f63b4d17d8b94df9">
          <item id="529930004dac4fdadd4f586648b61c7a840caf0b" isNormal="1">
            <s:text>
              <s:r>
                <s:t xml:space="preserve">RR:
客版新资料</s:t>
              </s:r>
            </s:text>
          </item>
        </commentChain>
      </unresolved>
      <resolved/>
    </commentChains>
    <commentChains s:ref="BD549" rgbClr="FF0000">
      <unresolved>
        <commentChain chainId="c86455abb0e5463a970048ffd72fb24920b047b1">
          <item id="6531427a6c45108762576848174c3f49cda7a7d4" isNormal="1">
            <s:text>
              <s:r>
                <s:t xml:space="preserve">RR:
客版资料翻单墨西哥单</s:t>
              </s:r>
            </s:text>
          </item>
        </commentChain>
      </unresolved>
      <resolved/>
    </commentChains>
    <commentChains s:ref="BE549" rgbClr="FF0000">
      <unresolved>
        <commentChain chainId="4e82896ffd4a0f7e746ec5ec02f9bfd4036dc5ae">
          <item id="f7f809ad376b968a7b3a712cf3c785ef91d2df11" isNormal="1">
            <s:text>
              <s:r>
                <s:t xml:space="preserve">RR:
客版新资料</s:t>
              </s:r>
            </s:text>
          </item>
        </commentChain>
      </unresolved>
      <resolved/>
    </commentChains>
    <commentChains s:ref="BF549" rgbClr="FF0000">
      <unresolved>
        <commentChain chainId="69282330c3c7229267d426dbe6882d98ec0c825d">
          <item id="1989f7852547cecafcd0cb170d93d9194492630e" isNormal="1">
            <s:text>
              <s:r>
                <s:t xml:space="preserve">RR:
客版资料翻单墨西哥单</s:t>
              </s:r>
            </s:text>
          </item>
        </commentChain>
      </unresolved>
      <resolved/>
    </commentChains>
    <commentChains s:ref="V550" rgbClr="FF0000">
      <unresolved>
        <commentChain chainId="32e0f2801aca8b33fe976bac7f9debeeab838105">
          <item id="8ff614e990bb37e1da2b91133f0768106545fc61" userID="1850010794" userName="龙丽娟" dateTime="2026-07-17T13:10:37" isNormal="0">
            <s:text>
              <s:r>
                <s:t xml:space="preserve">7/17 上UPC贴纸3600pcs</s:t>
              </s:r>
            </s:text>
          </item>
        </commentChain>
      </unresolved>
      <resolved/>
    </commentChains>
    <commentChains s:ref="T551" rgbClr="FF0000">
      <unresolved>
        <commentChain chainId="52b62a73c0337c0aa9fbfe573d5200f95437aa07">
          <item id="dde57bdd7fc7a7e2dcd885f52aec8097b4fe4afc" userID="1850010794" userName="龙丽娟" dateTime="2026-08-07T13:04:07" isNormal="0">
            <s:text>
              <s:r>
                <s:t xml:space="preserve">8/4 2801405 133440pcs欣泰D7</s:t>
              </s:r>
            </s:text>
          </item>
        </commentChain>
      </unresolved>
      <resolved/>
    </commentChains>
    <commentChains s:ref="V551" rgbClr="FF0000">
      <unresolved>
        <commentChain chainId="da5f002e1a9ee12c75dbc7f92861cd0d4db0b6a1">
          <item id="03f770fd47b1e063ad982a347e9b9217e19b017f" userID="1850010794" userName="龙丽娟" dateTime="2026-07-17T11:58:38" isNormal="0">
            <s:text>
              <s:r>
                <s:t xml:space="preserve">7/10 上客供RFID贴纸 13440pcs</s:t>
              </s:r>
            </s:text>
          </item>
        </commentChain>
      </unresolved>
      <resolved/>
    </commentChains>
    <commentChains s:ref="T552" rgbClr="FF0000">
      <unresolved>
        <commentChain chainId="1d5be39f556330e07ff9e910f169502268dc236d">
          <item id="72ea8cad50533bdd507cd5cbf2ca92e0abf9e002" userID="1850010794" userName="龙丽娟" dateTime="2026-08-07T13:04:49" isNormal="0">
            <s:text>
              <s:r>
                <s:t xml:space="preserve">8/4 2801405 11200pcs欣泰D6</s:t>
              </s:r>
            </s:text>
          </item>
          <item id="431b0c0c012af5903a362c2b6705a26ab54e802c" userID="1850010794" userName="龙丽娟" dateTime="2026-08-07T13:37:29" isNormal="0">
            <s:text>
              <s:r>
                <s:t xml:space="preserve">8/4 2801407 2240pcs馥通D4</s:t>
              </s:r>
            </s:text>
          </item>
        </commentChain>
      </unresolved>
      <resolved/>
    </commentChains>
    <commentChains s:ref="V552" rgbClr="FF0000">
      <unresolved>
        <commentChain chainId="875d0f1a487f83c8e54f95bd62db9fc66820b32b">
          <item id="2c333f257b815ff56d7c093e70ec0b71bdb3f129" userID="1850010794" userName="龙丽娟" dateTime="2026-07-17T11:58:38" isNormal="0">
            <s:text>
              <s:r>
                <s:t xml:space="preserve">7/10 上客供RFID贴纸 13440pcs</s:t>
              </s:r>
            </s:text>
          </item>
        </commentChain>
      </unresolved>
      <resolved/>
    </commentChains>
    <commentChains s:ref="T554" rgbClr="FF0000">
      <unresolved>
        <commentChain chainId="5c4d9f6bab5f2b82c4e7557f9aa186999a28f6f8">
          <item id="60f04c9995be1379906985da614ff5e90f080a2d" userID="1850010794" userName="龙丽娟" dateTime="2026-08-07T13:14:35" isNormal="0">
            <s:text>
              <s:r>
                <s:t xml:space="preserve">8/4 1001555 650pcs馥通D8</s:t>
              </s:r>
            </s:text>
          </item>
        </commentChain>
      </unresolved>
      <resolved/>
    </commentChains>
    <commentChains s:ref="V556" rgbClr="FF0000">
      <unresolved>
        <commentChain chainId="30323894850709397319cd891caaa0a0827d1eab">
          <item id="697f15ec48aa21aeab4d9db674fb69a292b69e2a" userID="1850010794" userName="龙丽娟" dateTime="2026-07-12T12:20:07" isNormal="0">
            <s:text>
              <s:r>
                <s:t xml:space="preserve">7/7上upc条码贴纸1092pcs</s:t>
              </s:r>
            </s:text>
          </item>
        </commentChain>
      </unresolved>
      <resolved/>
    </commentChains>
    <commentChains s:ref="V558" rgbClr="FF0000">
      <unresolved>
        <commentChain chainId="5558d739bc7aea3fb2a5a26e46a4e096984cb03b">
          <item id="0f22512d2ec5a6cc094a30fecf53862fa1502e25" userID="1850010794" userName="龙丽娟" dateTime="2026-07-12T12:35:12" isNormal="0">
            <s:text>
              <s:r>
                <s:t xml:space="preserve">7/8上进口商/upc贴纸各3600pcs</s:t>
              </s:r>
            </s:text>
          </item>
        </commentChain>
      </unresolved>
      <resolved/>
    </commentChains>
    <commentChains s:ref="T562" rgbClr="FF0000">
      <unresolved>
        <commentChain chainId="33696f76ee951af8438719b604acc13aaf6cf30e">
          <item id="8c317793fc20968f88aec41b1f7706a8c75a8702" userID="1850010794" userName="龙丽娟" dateTime="2026-08-07T12:41:44" isNormal="0">
            <s:text>
              <s:r>
                <s:t xml:space="preserve">8/1 1001605 1250pcs欣泰A5</s:t>
              </s:r>
            </s:text>
          </item>
        </commentChain>
      </unresolved>
      <resolved/>
    </commentChains>
    <commentChains s:ref="V562" rgbClr="FF0000">
      <unresolved>
        <commentChain chainId="24712a08bb6db02d60f9d097945f796a57f8f393">
          <item id="0ec40b01ca80e66375ebdfe2594fbb0c9401e39e" userID="1850010794" userName="龙丽娟" dateTime="2026-07-19T07:40:45" isNormal="0">
            <s:text>
              <s:r>
                <s:t xml:space="preserve">7/11上进口商/UPC贴纸各1250pcs</s:t>
              </s:r>
            </s:text>
          </item>
        </commentChain>
      </unresolved>
      <resolved/>
    </commentChains>
    <commentChains s:ref="V563" rgbClr="FF0000">
      <unresolved>
        <commentChain chainId="df8be2139521b0545ca5d16f1413b7bd078e708b">
          <item id="495bc28d9a1c16dfaca6d8b9da13a06aed4593dd" userID="1850010794" userName="龙丽娟" dateTime="2026-07-19T09:18:17" isNormal="0">
            <s:text>
              <s:r>
                <s:t xml:space="preserve">7/14上客供防窜码贴纸6571pcs</s:t>
              </s:r>
            </s:text>
          </item>
        </commentChain>
      </unresolved>
      <resolved/>
    </commentChains>
    <commentChains s:ref="V565" rgbClr="FF0000">
      <unresolved>
        <commentChain chainId="68325fe896ade5d5fd16ec3fddae0b2d313a190a">
          <item id="c88c261da5cb50dcd268ce9bfd54a6d71c74b404" userID="1850010794" userName="龙丽娟" dateTime="2026-07-15T13:32:44" isNormal="0">
            <s:text>
              <s:r>
                <s:t xml:space="preserve">7/15 上UPC贴纸4000pcs</s:t>
              </s:r>
            </s:text>
          </item>
          <item id="8de2b6bbdfa82d7031d58e78283758adfd9693d5" userID="1850010794" userName="龙丽娟" dateTime="2026-07-19T09:30:25" isNormal="0">
            <s:text>
              <s:r>
                <s:t xml:space="preserve">7/16上进口商贴纸4000pcs</s:t>
              </s:r>
            </s:text>
          </item>
        </commentChain>
      </unresolved>
      <resolved/>
    </commentChains>
    <commentChains s:ref="V566" rgbClr="FF0000">
      <unresolved>
        <commentChain chainId="758b143674ffd6dd62715aab0b04e42707602072">
          <item id="cef54d0366c43832fb63aa1b286c5f2fe18d591c" userID="1850010794" userName="龙丽娟" dateTime="2026-07-12T12:22:19" isNormal="0">
            <s:text>
              <s:r>
                <s:t xml:space="preserve">7/8上进口商贴纸6000pcs</s:t>
              </s:r>
            </s:text>
          </item>
        </commentChain>
      </unresolved>
      <resolved/>
    </commentChains>
    <commentChains s:ref="AW568" rgbClr="FF0000">
      <unresolved>
        <commentChain chainId="9eaac3cd8ab61330db66c92e7b2f2686a0eefca4">
          <item id="4e49abb03390039e11df5d7cd981a3106e6cbac0" isNormal="1">
            <s:text>
              <s:r>
                <s:t xml:space="preserve">RR:
新资料</s:t>
              </s:r>
            </s:text>
          </item>
        </commentChain>
      </unresolved>
      <resolved/>
    </commentChains>
    <commentChains s:ref="V573" rgbClr="FF0000">
      <unresolved>
        <commentChain chainId="d2846f9a39742e075e255ba8125d88ec148af03a">
          <item id="c368bb1a204c4f543f7ef9eccaf6298e2cadcc1d" userID="1850010794" userName="龙丽娟" dateTime="2026-07-12T11:52:57" isNormal="0">
            <s:text>
              <s:r>
                <s:t xml:space="preserve">7/6上警告语/环保标贴纸3036pcs</s:t>
              </s:r>
            </s:text>
          </item>
        </commentChain>
      </unresolved>
      <resolved/>
    </commentChains>
    <commentChains s:ref="AW573" rgbClr="FF0000">
      <unresolved>
        <commentChain chainId="38bbb4bffb0b8df1f339afbb216fe7fc23c11a41">
          <item id="f92f7605d39892f27013ce481e26c9024f8a97c9" isNormal="1">
            <s:text>
              <s:r>
                <s:t xml:space="preserve">RR:
新资料</s:t>
              </s:r>
            </s:text>
          </item>
          <item id="f0951f76bbc17d7fe8e754408c1132248592ef93" userID="1853477080" userName="陈龙" dateTime="2026-06-13T06:57:35" isNormal="0">
            <s:text>
              <s:r>
                <s:t xml:space="preserve">翻单4500208529</s:t>
              </s:r>
            </s:text>
          </item>
        </commentChain>
      </unresolved>
      <resolved/>
    </commentChains>
    <commentChains s:ref="V574" rgbClr="FF0000">
      <unresolved>
        <commentChain chainId="966a23a5827839e1e1d5be001f80d67341d58f3a">
          <item id="ee4ef0e83b7cbc374a573e5c9980389a115e49c4" userID="1850010794" userName="龙丽娟" dateTime="2026-07-12T11:53:06" isNormal="0">
            <s:text>
              <s:r>
                <s:t xml:space="preserve">7/6上警告语/环保标贴纸1692pcs</s:t>
              </s:r>
            </s:text>
          </item>
        </commentChain>
      </unresolved>
      <resolved/>
    </commentChains>
    <commentChains s:ref="AW574" rgbClr="FF0000">
      <unresolved>
        <commentChain chainId="2b8ae39e94369e33378c51cdf7415eef77899c13">
          <item id="f6f11da95a51ee697ec638546f75a347fe547262" isNormal="1">
            <s:text>
              <s:r>
                <s:t xml:space="preserve">RR:
新资料</s:t>
              </s:r>
            </s:text>
          </item>
          <item id="2fbbb84ae0deaade995b575c17d36ce8aa5a990b" userID="1853477080" userName="陈龙" dateTime="2026-06-13T06:57:35" isNormal="0">
            <s:text>
              <s:r>
                <s:t xml:space="preserve">翻单4500208529</s:t>
              </s:r>
            </s:text>
          </item>
        </commentChain>
      </unresolved>
      <resolved/>
    </commentChains>
    <commentChains s:ref="V577" rgbClr="FF0000">
      <unresolved>
        <commentChain chainId="b49349505962e4ad278c82696e3e5e7d228b15b8">
          <item id="82bd1e1f4c641cf24c24274e13b28145f35ddd11" isNormal="1">
            <s:text>
              <s:r>
                <s:t xml:space="preserve">Administrator:
3/21 上UPC贴纸 3000pcs
     上价格贴纸 3000pcs
    上shipping label 4*6in804pcs
</s:t>
              </s:r>
            </s:text>
          </item>
        </commentChain>
      </unresolved>
      <resolved/>
    </commentChains>
    <commentChains s:ref="V578" rgbClr="FF0000">
      <unresolved>
        <commentChain chainId="15a6ef178107bbc182bad74d426335e820701ede">
          <item id="2f0bf6817fa52cfdc1e36256e3e6eb896a1b0d9d" userID="1850010794" userName="龙丽娟" dateTime="2026-07-19T07:55:41" isNormal="0">
            <s:text>
              <s:r>
                <s:t xml:space="preserve">7/13上款号条码贴纸/警告语贴纸各5000pcs</s:t>
              </s:r>
            </s:text>
          </item>
        </commentChain>
      </unresolved>
      <resolved/>
    </commentChains>
    <commentChains s:ref="V579" rgbClr="FF0000">
      <unresolved>
        <commentChain chainId="ee0ac08d27710b88548a68dc47742923541dde67">
          <item id="d13670c278fb2b84191aa64317781b8246e44097" userID="1850010794" userName="龙丽娟" dateTime="2026-07-19T09:12:12" isNormal="0">
            <s:text>
              <s:r>
                <s:t xml:space="preserve">7/13上PDQ底部贴纸60pcs</s:t>
              </s:r>
            </s:text>
          </item>
        </commentChain>
      </unresolved>
      <resolved/>
    </commentChains>
    <commentChains s:ref="V580" rgbClr="FF0000">
      <unresolved>
        <commentChain chainId="73732e314476189ce953b2f96b9d3cc40da733b9">
          <item id="8125a380ff01ec7d400153c0846bca6cfc92bae8" userID="1850010794" userName="龙丽娟" dateTime="2026-07-24T12:33:11" isNormal="0">
            <s:text>
              <s:r>
                <s:t xml:space="preserve">7/21上客供亚马逊外箱贴纸1640pcs</s:t>
              </s:r>
            </s:text>
          </item>
        </commentChain>
      </unresolved>
      <resolved/>
    </commentChains>
    <commentChains s:ref="V581" rgbClr="FF0000">
      <unresolved>
        <commentChain chainId="92d670bf933648d4c7e97f27b89817f2a2a946a6">
          <item id="c08a3bf1375ad85380012d2392452b595f821b91" userID="1850010794" userName="龙丽娟" dateTime="2026-07-17T07:46:48" isNormal="0">
            <s:text>
              <s:r>
                <s:t xml:space="preserve">7/10 收到亚马逊外箱贴纸 34pcs
7/13 上UPC贴纸 29172pcs
214526、214522、214773共用</s:t>
              </s:r>
            </s:text>
          </item>
        </commentChain>
      </unresolved>
      <resolved/>
    </commentChains>
    <commentChains s:ref="V582" rgbClr="FF0000">
      <unresolved>
        <commentChain chainId="b2fcbdfe301e262ae60440a75580b911ea734c86">
          <item id="27a495856e784cfc34ca4f941c8e46b39225a82b" userID="1850010794" userName="龙丽娟" dateTime="2026-07-17T07:46:48" isNormal="0">
            <s:text>
              <s:r>
                <s:t xml:space="preserve">7/10 收到亚马逊外箱贴纸 48pcs
7/13 上UPC贴纸 29172pcs
214526、214522、214773共用</s:t>
              </s:r>
            </s:text>
          </item>
        </commentChain>
      </unresolved>
      <resolved/>
    </commentChains>
    <commentChains s:ref="V583" rgbClr="FF0000">
      <unresolved>
        <commentChain chainId="6780db0484df08c32af0dce1ef4d69f2928bdb0c">
          <item id="dbb2dda5bc6714da8dc4bfd8b9717bcd11caf3f3" userID="1850010794" userName="龙丽娟" dateTime="2026-07-17T07:46:48" isNormal="0">
            <s:text>
              <s:r>
                <s:t xml:space="preserve">7/10 收到亚马逊外箱贴纸 91pcs
7/13 上UPC贴纸 29172pcs
214526、214522、214773共用</s:t>
              </s:r>
            </s:text>
          </item>
        </commentChain>
      </unresolved>
      <resolved/>
    </commentChains>
    <commentChains s:ref="V584" rgbClr="FF0000">
      <unresolved>
        <commentChain chainId="6d93b84cc5ff18a9786ebf90b41d69cd8c59b4d3">
          <item id="624874ed4cf484f9cd745603dfc8d21a8b870388" userID="1850010794" userName="龙丽娟" dateTime="2026-07-17T07:46:48" isNormal="0">
            <s:text>
              <s:r>
                <s:t xml:space="preserve">7/10 收到亚马逊外箱贴纸 39pcs
7/13 上UPC贴纸 29172pcs
214526、214522、214773共用</s:t>
              </s:r>
            </s:text>
          </item>
        </commentChain>
      </unresolved>
      <resolved/>
    </commentChains>
    <commentChains s:ref="T585" rgbClr="FF0000">
      <unresolved>
        <commentChain chainId="46ab708dd67df50cbccb9911f6f8b47e94b4c24f">
          <item id="ef81cf391d9dbe22e6b9866cb4eda6a22aa6239d" userID="1850010794" userName="龙丽娟" dateTime="2026-08-07T13:18:22" isNormal="0">
            <s:text>
              <s:r>
                <s:t xml:space="preserve">8/4 100155 228pcs馥通C8</s:t>
              </s:r>
            </s:text>
          </item>
        </commentChain>
      </unresolved>
      <resolved/>
    </commentChains>
    <commentChains s:ref="V585" rgbClr="FF0000">
      <unresolved>
        <commentChain chainId="1bd7a99d810baeb658f4ed8c76d7b6bde7908d2f">
          <item id="3017d485b07815b64ab38f58cf7fa01ea96392d0" userID="1850010794" userName="龙丽娟" dateTime="2026-07-17T07:46:48" isNormal="0">
            <s:text>
              <s:r>
                <s:t xml:space="preserve">7/10 收到亚马逊外箱贴纸 19pcs
7/13 上UPC贴纸 29172pcs
214526、214522、214773共用</s:t>
              </s:r>
            </s:text>
          </item>
        </commentChain>
      </unresolved>
      <resolved/>
    </commentChains>
    <commentChains s:ref="T588" rgbClr="FF0000">
      <unresolved>
        <commentChain chainId="94681fdd8399d5330d4272b2804a37933920c71e">
          <item id="d769c5fee5c494176018b614e4d9213c4e33d98c" userID="1850010794" userName="龙丽娟" dateTime="2026-08-14T09:03:31" isNormal="0">
            <s:text>
              <s:r>
                <s:t xml:space="preserve">8/6 1001536 2508pcs欣泰c7</s:t>
              </s:r>
            </s:text>
          </item>
        </commentChain>
      </unresolved>
      <resolved/>
    </commentChains>
    <commentChains s:ref="AW588" rgbClr="FF0000">
      <unresolved>
        <commentChain chainId="8214021c5ed50eb9e6a28391744bc099c90c9ba0">
          <item id="ac8234c53ad9b7f4de3823bce8f5d0fc84b66b3e" isNormal="1">
            <s:text>
              <s:r>
                <s:t xml:space="preserve">RR:
新资料</s:t>
              </s:r>
            </s:text>
          </item>
          <item id="f8527a9289de67ad07a2b61a903c91d2a2cf05e9" userID="1853477080" userName="陈龙" dateTime="2026-06-13T06:57:35" isNormal="0">
            <s:text>
              <s:r>
                <s:t xml:space="preserve">翻单4500208529</s:t>
              </s:r>
            </s:text>
          </item>
        </commentChain>
      </unresolved>
      <resolved/>
    </commentChains>
    <commentChains s:ref="T589" rgbClr="FF0000">
      <unresolved>
        <commentChain chainId="15d787ce4154b4db1a4957fd9a7c2d1ecd775528">
          <item id="ab010bf5ee973a980e78ef7c1edab417930aabdf" userID="1850010794" userName="龙丽娟" dateTime="2026-08-12T07:53:18" isNormal="0">
            <s:text>
              <s:r>
                <s:t xml:space="preserve">8/8 1001523 5124PCS欣泰F1</s:t>
              </s:r>
            </s:text>
          </item>
        </commentChain>
      </unresolved>
      <resolved/>
    </commentChains>
    <commentChains s:ref="AW589" rgbClr="FF0000">
      <unresolved>
        <commentChain chainId="331a99283bd41ece0785ad8509c5eecaf7b675be">
          <item id="52760645f21e55cf9b5108d51e86a9cc8152a1a8" isNormal="1">
            <s:text>
              <s:r>
                <s:t xml:space="preserve">RR:
新资料</s:t>
              </s:r>
            </s:text>
          </item>
          <item id="4bd95dc07df45f6b9ddf92cd952ce173483019bf" userID="1853477080" userName="陈龙" dateTime="2026-06-13T06:57:35" isNormal="0">
            <s:text>
              <s:r>
                <s:t xml:space="preserve">翻单4500208529</s:t>
              </s:r>
            </s:text>
          </item>
        </commentChain>
      </unresolved>
      <resolved/>
    </commentChains>
    <commentChains s:ref="T591" rgbClr="FF0000">
      <unresolved>
        <commentChain chainId="1fb55f107affb6a97c845ea3945ad1a36ea9a6f1">
          <item id="6d26f5b72d24c167b209d572ebd4d86c5d52a95b" userID="1850010794" userName="龙丽娟" dateTime="2026-08-14T09:17:21" isNormal="0">
            <s:text>
              <s:r>
                <s:t xml:space="preserve">2801403 8/6 1300pcs钜顺B2</s:t>
              </s:r>
            </s:text>
          </item>
        </commentChain>
      </unresolved>
      <resolved/>
    </commentChains>
    <commentChains s:ref="V595" rgbClr="FF0000">
      <unresolved>
        <commentChain chainId="26c6511a6f0f5a43c558f4e13fbc3f10e77cc9a9">
          <item id="0fbba00aa81476e428afb7541fd877daaac6e7f1" userID="1850010794" userName="龙丽娟" dateTime="2026-07-20T14:38:50" isNormal="0">
            <s:text>
              <s:r>
                <s:t xml:space="preserve">7/20上upc贴纸7248pcs</s:t>
              </s:r>
            </s:text>
          </item>
        </commentChain>
      </unresolved>
      <resolved/>
    </commentChains>
    <commentChains s:ref="T598" rgbClr="FF0000">
      <unresolved>
        <commentChain chainId="a7832422a667a5384fd312500dae5a925b4eb95e">
          <item id="8734a1cb933a9daf7f30408f64a3ba2da1ed8e9d" userID="1850010794" userName="龙丽娟" dateTime="2026-08-07T13:33:38" isNormal="0">
            <s:text>
              <s:r>
                <s:t xml:space="preserve">1001311 8/7 2500pcs</s:t>
              </s:r>
            </s:text>
          </item>
        </commentChain>
      </unresolved>
      <resolved/>
    </commentChains>
    <commentChains s:ref="V598" rgbClr="FF0000">
      <unresolved>
        <commentChain chainId="bf3275c04564a3bb6f3a8a279dbd199ee28b2d07">
          <item id="3369f7777df52e7dfb542c9925c2feab3b6e0756" userID="1850010794" userName="龙丽娟" dateTime="2026-06-22T12:49:54" isNormal="0">
            <s:text>
              <s:r>
                <s:t xml:space="preserve">6/22上客人款号条码贴纸/警语贴纸各2500pcs</s:t>
              </s:r>
            </s:text>
          </item>
        </commentChain>
      </unresolved>
      <resolved/>
    </commentChains>
    <commentChains s:ref="T599" rgbClr="FF0000">
      <unresolved>
        <commentChain chainId="7b5534917c300f853f924e85ea61966c00a548ba">
          <item id="5d92fc9ce3a90d8f41ab9dd250cb2a347cbbc5f8" userID="1850010794" userName="龙丽娟" dateTime="2026-08-07T13:17:26" isNormal="0">
            <s:text>
              <s:r>
                <s:t xml:space="preserve">8/4 100155 1200pcs馥通D5</s:t>
              </s:r>
            </s:text>
          </item>
        </commentChain>
      </unresolved>
      <resolved/>
    </commentChains>
    <commentChains s:ref="T600" rgbClr="FF0000">
      <unresolved>
        <commentChain chainId="f183a48234e26c231be5cd625118f0cf3d0a9767">
          <item id="4247de25ffe493e215a1066966464a27d3cc8db8" userID="1850010794" userName="龙丽娟" dateTime="2026-08-07T13:34:20" isNormal="0">
            <s:text>
              <s:r>
                <s:t xml:space="preserve">1001311 8/7 10439pcs</s:t>
              </s:r>
            </s:text>
          </item>
          <item id="fb8c1de1cfcdbb7142d6988c9a34f697c19a201b" userID="1850010794" userName="龙丽娟" dateTime="2026-08-07T13:49:13" isNormal="0">
            <s:text>
              <s:r>
                <s:t xml:space="preserve">1001522 8/7 13pcs欣泰A5</s:t>
              </s:r>
            </s:text>
          </item>
        </commentChain>
      </unresolved>
      <resolved/>
    </commentChains>
    <commentChains s:ref="T601" rgbClr="FF0000">
      <unresolved>
        <commentChain chainId="9d86178a94bbf287003964057c745b2647b56eef">
          <item id="f8c5a1b0dc4710a059c3e6b949217473cdd5d9d1" userID="1850010794" userName="龙丽娟" dateTime="2026-08-07T13:51:32" isNormal="0">
            <s:text>
              <s:r>
                <s:t xml:space="preserve">1001522 8/7 9360pcs欣泰D2</s:t>
              </s:r>
            </s:text>
          </item>
          <item id="e627468dd890d03220dca7abdb9337fd514b010f" userID="1850010794" userName="龙丽娟" dateTime="2026-08-12T07:57:26" isNormal="0">
            <s:text>
              <s:r>
                <s:t xml:space="preserve">1001530 8/8 5616PCS欣泰2A2</s:t>
              </s:r>
            </s:text>
          </item>
        </commentChain>
      </unresolved>
      <resolved/>
    </commentChains>
    <commentChains s:ref="T602" rgbClr="FF0000">
      <unresolved>
        <commentChain chainId="995311495b3be3958ae054b350eef5edb58da5b1">
          <item id="b7415d6cb3487d080cf7aa8527dfaf7caef884c4" userID="1850010794" userName="龙丽娟" dateTime="2026-08-07T13:31:32" isNormal="0">
            <s:text>
              <s:r>
                <s:t xml:space="preserve">1001302 8/7 24pcs欣泰A5</s:t>
              </s:r>
            </s:text>
          </item>
          <item id="f32b6a3c489c552924a3b9b76a870d81df9ddcda" userID="1850010794" userName="龙丽娟" dateTime="2026-08-14T08:53:13" isNormal="0">
            <s:text>
              <s:r>
                <s:t xml:space="preserve">1001546 8/6 3492pcs 钜顺A5</s:t>
              </s:r>
            </s:text>
          </item>
        </commentChain>
      </unresolved>
      <resolved/>
    </commentChains>
    <commentChains s:ref="V602" rgbClr="FF0000">
      <unresolved>
        <commentChain chainId="14a9436921d0c3d0ca3784799ba07d70c5faaad9">
          <item id="7d5ae600d1de8cc8096e7e04dcd4cc6cca3e24e0" userID="1850010794" userName="龙丽娟" dateTime="2026-07-23T12:32:19" isNormal="0">
            <s:text>
              <s:r>
                <s:t xml:space="preserve">7/18 警告语贴纸/环保贴纸13788pcs</s:t>
              </s:r>
            </s:text>
          </item>
        </commentChain>
      </unresolved>
      <resolved/>
    </commentChains>
    <commentChains s:ref="AW602" rgbClr="FF0000">
      <unresolved>
        <commentChain chainId="1a087cadb8f0c77f38be13f877411e5a7a8f3e9e">
          <item id="16639cb0235838a9840a64deea0f6833a2466778" isNormal="1">
            <s:text>
              <s:r>
                <s:t xml:space="preserve">RR:
新资料</s:t>
              </s:r>
            </s:text>
          </item>
          <item id="3e3ad5f549ad08dfece686353675e96df6b5ef3d" userID="1853477080" userName="陈龙" dateTime="2026-06-13T06:57:35" isNormal="0">
            <s:text>
              <s:r>
                <s:t xml:space="preserve">翻单4500208529</s:t>
              </s:r>
            </s:text>
          </item>
        </commentChain>
      </unresolved>
      <resolved/>
    </commentChains>
    <commentChains s:ref="T603" rgbClr="FF0000">
      <unresolved>
        <commentChain chainId="8f7cf6cb101194ef61d34ad0fd7b99660950570a">
          <item id="3cd0bcb3a9d425a5fe827734f41e296c5146b6ac" userID="1850010794" userName="龙丽娟" dateTime="2026-08-14T08:53:32" isNormal="0">
            <s:text>
              <s:r>
                <s:t xml:space="preserve">1001546 8/6 3504pcs 钜顺A5</s:t>
              </s:r>
            </s:text>
          </item>
        </commentChain>
      </unresolved>
      <resolved/>
    </commentChains>
    <commentChains s:ref="AW603" rgbClr="FF0000">
      <unresolved>
        <commentChain chainId="f6de065e0690bcc0df8122ae8e4897d86300369d">
          <item id="0af11929471efb409f3b4069c1588de8450cdff5" isNormal="1">
            <s:text>
              <s:r>
                <s:t xml:space="preserve">RR:
新资料</s:t>
              </s:r>
            </s:text>
          </item>
          <item id="44dc233921752ec4870d21201e824a7459d9cf5a" userID="1853477080" userName="陈龙" dateTime="2026-06-13T06:57:35" isNormal="0">
            <s:text>
              <s:r>
                <s:t xml:space="preserve">翻单4500208529</s:t>
              </s:r>
            </s:text>
          </item>
        </commentChain>
      </unresolved>
      <resolved/>
    </commentChains>
    <commentChains s:ref="T604" rgbClr="FF0000">
      <unresolved>
        <commentChain chainId="b83c03db967f914d97f1923ca4564f55c9e2d44d">
          <item id="eec49c20b0a5d83e4bf5af2bc47b21b7b1bf2bbf" userID="1850010794" userName="龙丽娟" dateTime="2026-08-14T08:53:42" isNormal="0">
            <s:text>
              <s:r>
                <s:t xml:space="preserve">1001546 8/6 3108pcs 钜顺A5</s:t>
              </s:r>
            </s:text>
          </item>
        </commentChain>
      </unresolved>
      <resolved/>
    </commentChains>
    <commentChains s:ref="AW604" rgbClr="FF0000">
      <unresolved>
        <commentChain chainId="3103b0b1e2c570a858b2b628d06247fc09a1d8ab">
          <item id="e37cbf797347e383fda319532ebc951eef03eaaa" isNormal="1">
            <s:text>
              <s:r>
                <s:t xml:space="preserve">RR:
新资料</s:t>
              </s:r>
            </s:text>
          </item>
          <item id="0f1883eeb22288ace93ffb21f168d15b233af234" userID="1853477080" userName="陈龙" dateTime="2026-06-13T06:57:35" isNormal="0">
            <s:text>
              <s:r>
                <s:t xml:space="preserve">翻单4500208529</s:t>
              </s:r>
            </s:text>
          </item>
        </commentChain>
      </unresolved>
      <resolved/>
    </commentChains>
    <commentChains s:ref="T605" rgbClr="FF0000">
      <unresolved>
        <commentChain chainId="0bfffde43d6fcb7bdbf0f820de0ca21e96370d4d">
          <item id="276d2dce17cd91d62c9b7b321ca612a0b76a9146" userID="1850010794" userName="龙丽娟" dateTime="2026-08-14T08:54:00" isNormal="0">
            <s:text>
              <s:r>
                <s:t xml:space="preserve">1001546 8/6 1968pcs 钜顺A5</s:t>
              </s:r>
            </s:text>
          </item>
        </commentChain>
      </unresolved>
      <resolved/>
    </commentChains>
    <commentChains s:ref="AW605" rgbClr="FF0000">
      <unresolved>
        <commentChain chainId="c9c6af8e258cb3c11e1ba596af12a3c79aa2c979">
          <item id="49e300e0a1d97ff7e845558d5ce18723d703ec9e" isNormal="1">
            <s:text>
              <s:r>
                <s:t xml:space="preserve">RR:
新资料</s:t>
              </s:r>
            </s:text>
          </item>
          <item id="a7fb21c9e9309b8d50557ecf49be472f3bc072c6" userID="1853477080" userName="陈龙" dateTime="2026-06-13T06:57:35" isNormal="0">
            <s:text>
              <s:r>
                <s:t xml:space="preserve">翻单4500208529</s:t>
              </s:r>
            </s:text>
          </item>
        </commentChain>
      </unresolved>
      <resolved/>
    </commentChains>
    <commentChains s:ref="T606" rgbClr="FF0000">
      <unresolved>
        <commentChain chainId="4e12a3340941c0db993aab3ea046e568158c002e">
          <item id="3e480f95b69fae6278c4c014ff3b95e2989271ee" userID="1850010794" userName="龙丽娟" dateTime="2026-08-14T08:54:10" isNormal="0">
            <s:text>
              <s:r>
                <s:t xml:space="preserve">1001546 8/6 852pcs 钜顺A5</s:t>
              </s:r>
            </s:text>
          </item>
        </commentChain>
      </unresolved>
      <resolved/>
    </commentChains>
    <commentChains s:ref="AW606" rgbClr="FF0000">
      <unresolved>
        <commentChain chainId="18d5ab81faa4b2ac6a284e6e7d401e5661abf1e1">
          <item id="6bc777361d47dee8557418edd851499709e36d51" isNormal="1">
            <s:text>
              <s:r>
                <s:t xml:space="preserve">RR:
新资料</s:t>
              </s:r>
            </s:text>
          </item>
          <item id="362162bb546dc504ec199322be3e3c0826d53d07" userID="1853477080" userName="陈龙" dateTime="2026-06-13T06:57:35" isNormal="0">
            <s:text>
              <s:r>
                <s:t xml:space="preserve">翻单4500208529</s:t>
              </s:r>
            </s:text>
          </item>
        </commentChain>
      </unresolved>
      <resolved/>
    </commentChains>
    <commentChains s:ref="T607" rgbClr="FF0000">
      <unresolved>
        <commentChain chainId="809638f7355257bfffd203aa5906913c8edb2b0b">
          <item id="fbaabfdc3285befad76518299c73570a609703ec" userID="1850010794" userName="龙丽娟" dateTime="2026-08-14T08:54:19" isNormal="0">
            <s:text>
              <s:r>
                <s:t xml:space="preserve">1001546 8/6 852pcs 钜顺A5</s:t>
              </s:r>
            </s:text>
          </item>
        </commentChain>
      </unresolved>
      <resolved/>
    </commentChains>
    <commentChains s:ref="AW607" rgbClr="FF0000">
      <unresolved>
        <commentChain chainId="e835eeb682e424cc11cf4d44e153c5d95b7544b3">
          <item id="c1003cb28e1138de81459f4d85a90ef3a51480ee" isNormal="1">
            <s:text>
              <s:r>
                <s:t xml:space="preserve">RR:
新资料</s:t>
              </s:r>
            </s:text>
          </item>
          <item id="5901fb4020831065b09b0da9a60bd7fe6c355225" userID="1853477080" userName="陈龙" dateTime="2026-06-13T06:57:35" isNormal="0">
            <s:text>
              <s:r>
                <s:t xml:space="preserve">翻单4500208529</s:t>
              </s:r>
            </s:text>
          </item>
        </commentChain>
      </unresolved>
      <resolved/>
    </commentChains>
    <commentChains s:ref="T609" rgbClr="FF0000">
      <unresolved>
        <commentChain chainId="cb086bc805b0e00ec003d0f5f373c5e00658baf3">
          <item id="4d094a995984f9fe0b92475e540cf51c126ce444" userID="1850010794" userName="龙丽娟" dateTime="2026-08-12T07:51:52" isNormal="0">
            <s:text>
              <s:r>
                <s:t xml:space="preserve">8/8 1001509 4800pcs欣泰A3</s:t>
              </s:r>
            </s:text>
          </item>
        </commentChain>
      </unresolved>
      <resolved/>
    </commentChains>
    <commentChains s:ref="T610" rgbClr="FF0000">
      <unresolved>
        <commentChain chainId="116362aa09926462590b439083815c67e0333296">
          <item id="1932cc0792e84cc5e0978e8b7732540738a3e2aa" userID="1850010794" userName="龙丽娟" dateTime="2026-08-14T09:15:02" isNormal="0">
            <s:text>
              <s:r>
                <s:t xml:space="preserve">2801403 8/6 3000pcs钜顺A7</s:t>
              </s:r>
            </s:text>
          </item>
        </commentChain>
      </unresolved>
      <resolved/>
    </commentChains>
    <commentChains s:ref="T613" rgbClr="FF0000">
      <unresolved>
        <commentChain chainId="5e90f3ce3408af0edcbd096c68888508a1efd007">
          <item id="e4f7d4c2a1df6f533873c9ca82e465f3ae982046" userID="1850010794" userName="龙丽娟" dateTime="2026-08-07T13:18:39" isNormal="0">
            <s:text>
              <s:r>
                <s:t xml:space="preserve">8/4 100155 3384pcs馥通C8</s:t>
              </s:r>
            </s:text>
          </item>
        </commentChain>
      </unresolved>
      <resolved/>
    </commentChains>
    <commentChains s:ref="V613" rgbClr="FF0000">
      <unresolved>
        <commentChain chainId="b6420d9789a959dc945d1a79c254ef973a5cbf14">
          <item id="d21630c67e5416cb0076fca8f5f9c3e03ef70edd" userID="1850010794" userName="龙丽娟" dateTime="2026-07-15T13:50:32" isNormal="0">
            <s:text>
              <s:r>
                <s:t xml:space="preserve">7/15上警告语环保标贴纸3396pcs</s:t>
              </s:r>
            </s:text>
          </item>
        </commentChain>
      </unresolved>
      <resolved/>
    </commentChains>
    <commentChains s:ref="AW613" rgbClr="FF0000">
      <unresolved>
        <commentChain chainId="d57868f01d3c382998c35888795d6c8636a040e7">
          <item id="249d74b1384e8d834096d47d196d44d4f3c5b970" isNormal="1">
            <s:text>
              <s:r>
                <s:t xml:space="preserve">RR:
新资料</s:t>
              </s:r>
            </s:text>
          </item>
          <item id="5cbc48575db778d5f4c0555fbc0370b5bd8614fd" userID="1853477080" userName="陈龙" dateTime="2026-06-13T06:57:35" isNormal="0">
            <s:text>
              <s:r>
                <s:t xml:space="preserve">翻单4500208529</s:t>
              </s:r>
            </s:text>
          </item>
        </commentChain>
      </unresolved>
      <resolved/>
    </commentChains>
    <commentChains s:ref="T614" rgbClr="FF0000">
      <unresolved>
        <commentChain chainId="9a759d84a7d19c9fa99aac022034b415045495f8">
          <item id="6f59c32afb8e4d63e1069dbd0d2ef0a72e0eb615" userID="1850010794" userName="龙丽娟" dateTime="2026-08-14T00:55:25" isNormal="0">
            <s:text>
              <s:r>
                <s:t xml:space="preserve">8/13 2800449 31668pcs</s:t>
              </s:r>
            </s:text>
          </item>
        </commentChain>
      </unresolved>
      <resolved/>
    </commentChains>
    <commentChains s:ref="V614" rgbClr="FF0000">
      <unresolved>
        <commentChain chainId="f49cb9bc66d1dee215a67018fd01676e448a3cba">
          <item id="f116e51da068e5898a273642b34946e9829cc57e" userID="1850010794" userName="龙丽娟" dateTime="2026-07-23T12:38:41" isNormal="0">
            <s:text>
              <s:r>
                <s:t xml:space="preserve">7/18上价格贴纸46020pcs</s:t>
              </s:r>
            </s:text>
          </item>
          <item id="ce112ff5a03cee97000bb892a2a7e2ab2b853012" userID="1850010794" userName="龙丽娟" dateTime="2026-07-23T12:39:22" isNormal="0">
            <s:text>
              <s:r>
                <s:t xml:space="preserve">7/18上外箱条码贴纸1770pcs</s:t>
              </s:r>
            </s:text>
          </item>
        </commentChain>
      </unresolved>
      <resolved/>
    </commentChains>
    <commentChains s:ref="T615" rgbClr="FF0000">
      <unresolved>
        <commentChain chainId="ce5541538e9d839a126921e10d34b545874098e2">
          <item id="4d1f0014824cb0315ed923d80eed5a8112d21d7e" userID="1850010794" userName="龙丽娟" dateTime="2026-08-12T07:51:29" isNormal="0">
            <s:text>
              <s:r>
                <s:t xml:space="preserve">8/8 1001509 8225pcs欣泰D4</s:t>
              </s:r>
            </s:text>
          </item>
          <item id="76f26d7a31e63b56081f7eddcf5e2dbad7ba5131" userID="1850010794" userName="龙丽娟" dateTime="2026-08-12T08:03:02" isNormal="0">
            <s:text>
              <s:r>
                <s:t xml:space="preserve">8/8 1001530 8550pcs欣泰D4</s:t>
              </s:r>
            </s:text>
          </item>
        </commentChain>
      </unresolved>
      <resolved/>
    </commentChains>
    <commentChains s:ref="V615" rgbClr="FF0000">
      <unresolved>
        <commentChain chainId="299dd84affcd903395af5887d98edd5b1ed099ce">
          <item id="8470d6d8ca65dd102257505051d2ca163473fd7f" userID="1850010794" userName="龙丽娟" dateTime="2026-07-17T12:32:11" isNormal="0">
            <s:text>
              <s:r>
                <s:t xml:space="preserve">7/16 上客供外箱贴纸 678psc</s:t>
              </s:r>
            </s:text>
          </item>
        </commentChain>
      </unresolved>
      <resolved/>
    </commentChains>
    <commentChains s:ref="T616" rgbClr="FF0000">
      <unresolved>
        <commentChain chainId="b15c0084abddc9da98d023d87e76d194cfebc45e">
          <item id="a4f44ef284a6054bb12d5b856b4c750ff6f38ce6" userID="1850010794" userName="龙丽娟" dateTime="2026-08-12T06:49:55" isNormal="0">
            <s:text>
              <s:r>
                <s:t xml:space="preserve">8/8 1001516 104pcs馥通C1</s:t>
              </s:r>
            </s:text>
          </item>
          <item id="f397da9e90c609a7923ae96e8256439ffcf700a3" userID="1850010794" userName="龙丽娟" dateTime="2026-08-12T08:03:44" isNormal="0">
            <s:text>
              <s:r>
                <s:t xml:space="preserve">1001530 8/8 2600PCS欣A6</s:t>
              </s:r>
            </s:text>
          </item>
        </commentChain>
      </unresolved>
      <resolved/>
    </commentChains>
    <commentChains s:ref="T618" rgbClr="FF0000">
      <unresolved>
        <commentChain chainId="3b46eb2a1e196fa66d3d9189125a56b4f2e96b25">
          <item id="daa7c8bbc2d96780aca86b1dfa942fd9dcaa522d" userID="1850010794" userName="龙丽娟" dateTime="2026-08-07T13:49:34" isNormal="0">
            <s:text>
              <s:r>
                <s:t xml:space="preserve">1001522 8/7 800pcs欣泰A5</s:t>
              </s:r>
            </s:text>
          </item>
        </commentChain>
      </unresolved>
      <resolved/>
    </commentChains>
    <commentChains s:ref="T619" rgbClr="FF0000">
      <unresolved>
        <commentChain chainId="689373738ad7fb0023286941727607a81f591b9f">
          <item id="d86c783f3710cd5639163208728650dacccb7919" userID="1850010794" userName="龙丽娟" dateTime="2026-08-12T06:48:13" isNormal="0">
            <s:text>
              <s:r>
                <s:t xml:space="preserve">8/8 1001516 1968pcsB栋A1-C8</s:t>
              </s:r>
            </s:text>
          </item>
        </commentChain>
      </unresolved>
      <resolved/>
    </commentChains>
    <commentChains s:ref="AW619" rgbClr="FF0000">
      <unresolved>
        <commentChain chainId="436c7624adf02939c41eb92affd6f1f9b1d6b152">
          <item id="f65b5dd9e9bf2461ef79070e53f6f724d2a6e1f6" isNormal="1">
            <s:text>
              <s:r>
                <s:t xml:space="preserve">RR:
新资料</s:t>
              </s:r>
            </s:text>
          </item>
          <item id="a712b5a0289bf7334cc9f7dab4ac57d3ae9146df" userID="1853477080" userName="陈龙" dateTime="2026-06-13T06:57:35" isNormal="0">
            <s:text>
              <s:r>
                <s:t xml:space="preserve">翻单4500208529</s:t>
              </s:r>
            </s:text>
          </item>
        </commentChain>
      </unresolved>
      <resolved/>
    </commentChains>
    <commentChains s:ref="T620" rgbClr="FF0000">
      <unresolved>
        <commentChain chainId="43c9e67492d517c84a1a3c64d392cb1f616e650a">
          <item id="8e5938d3caa00cbd6f2e4126fa9deac60c8302e8" userID="1850010794" userName="龙丽娟" dateTime="2026-08-12T06:49:01" isNormal="0">
            <s:text>
              <s:r>
                <s:t xml:space="preserve">8/8 1001516 1656pcsB栋A1-C8</s:t>
              </s:r>
            </s:text>
          </item>
        </commentChain>
      </unresolved>
      <resolved/>
    </commentChains>
    <commentChains s:ref="AW620" rgbClr="FF0000">
      <unresolved>
        <commentChain chainId="5ef11ff6db1f70cf48d4a2352631c7230e7f9983">
          <item id="bb705229a8f990daad346a21dd21e060927cb7e6" isNormal="1">
            <s:text>
              <s:r>
                <s:t xml:space="preserve">RR:
新资料</s:t>
              </s:r>
            </s:text>
          </item>
          <item id="83075d678df00e088445769d469e9b925f0b7ca2" userID="1853477080" userName="陈龙" dateTime="2026-06-13T06:57:35" isNormal="0">
            <s:text>
              <s:r>
                <s:t xml:space="preserve">翻单4500208529</s:t>
              </s:r>
            </s:text>
          </item>
        </commentChain>
      </unresolved>
      <resolved/>
    </commentChains>
    <commentChains s:ref="T621" rgbClr="FF0000">
      <unresolved>
        <commentChain chainId="56257575ded659463fc872d2a26ec2c5b05814d6">
          <item id="0024df1508d985f1f98a8f0408fc6df0a021deee" userID="1850010794" userName="龙丽娟" dateTime="2026-07-02T13:09:56" isNormal="0">
            <s:text>
              <s:r>
                <s:t xml:space="preserve">6/26 2200946 2500pcs欣泰b2</s:t>
              </s:r>
            </s:text>
          </item>
        </commentChain>
      </unresolved>
      <resolved/>
    </commentChains>
    <commentChains s:ref="V621" rgbClr="FF0000">
      <unresolved>
        <commentChain chainId="3f34493715cb502c285061dbe9a56ba34e8697fd">
          <item id="53b271735646e57553349837c3bfc9bde0a14d07" isNormal="1">
            <s:text>
              <s:r>
                <s:t xml:space="preserve">Administrator:
5/11 上UPC贴纸2500pcs</s:t>
              </s:r>
            </s:text>
          </item>
        </commentChain>
      </unresolved>
      <resolved/>
    </commentChains>
    <commentChains s:ref="BB622" rgbClr="FF0000">
      <unresolved>
        <commentChain chainId="5f4282e75ef8e19826a5184e026e8ee39beda145">
          <item id="975429e1caaada0eb5b480c0778076a0b811d771" isNormal="1">
            <s:text>
              <s:r>
                <s:t xml:space="preserve">RR:
日本新资料</s:t>
              </s:r>
            </s:text>
          </item>
        </commentChain>
      </unresolved>
      <resolved/>
    </commentChains>
    <commentChains s:ref="BC622" rgbClr="FF0000">
      <unresolved>
        <commentChain chainId="d24825195935b65317600a78b8609075494322d6">
          <item id="d19781bd88c126f459b0beef81c73ef7cd611131" isNormal="1">
            <s:text>
              <s:r>
                <s:t xml:space="preserve">RR:
日本新资料</s:t>
              </s:r>
            </s:text>
          </item>
        </commentChain>
      </unresolved>
      <resolved/>
    </commentChains>
    <commentChains s:ref="BD622" rgbClr="FF0000">
      <unresolved>
        <commentChain chainId="a4784cc7861dfd10a442a5d8234be53fc6a9522a">
          <item id="5dd469f14bbd69e45066573bca032fe7f87423d9" isNormal="1">
            <s:text>
              <s:r>
                <s:t xml:space="preserve">RR:
日本新资料</s:t>
              </s:r>
            </s:text>
          </item>
        </commentChain>
      </unresolved>
      <resolved/>
    </commentChains>
    <commentChains s:ref="BE622" rgbClr="FF0000">
      <unresolved>
        <commentChain chainId="76a36029c87b7548d6b8652a2b2c34961ad00147">
          <item id="487052d9b79379d00ca63d8edcb3feb25c1434d1" isNormal="1">
            <s:text>
              <s:r>
                <s:t xml:space="preserve">RR:
日本新资料
</s:t>
              </s:r>
            </s:text>
          </item>
        </commentChain>
      </unresolved>
      <resolved/>
    </commentChains>
    <commentChains s:ref="BF622" rgbClr="FF0000">
      <unresolved>
        <commentChain chainId="f254d06ab20711723e4433d0681b82c286d76b3d">
          <item id="0de8c63793faa0ead9fc14286ef3df70a88d4cb0" isNormal="1">
            <s:text>
              <s:r>
                <s:t xml:space="preserve">RR:
日本新资料
</s:t>
              </s:r>
            </s:text>
          </item>
        </commentChain>
      </unresolved>
      <resolved/>
    </commentChains>
    <commentChains s:ref="T627" rgbClr="FF0000">
      <unresolved>
        <commentChain chainId="38c0174f393c15fc46d3f42d300fff51214d97f5">
          <item id="f3027964d845faddb4f3298f884ded4122ff565d" userID="1850010794" userName="龙丽娟" dateTime="2026-08-07T13:49:54" isNormal="0">
            <s:text>
              <s:r>
                <s:t xml:space="preserve">1001522 8/7 2075pcs欣泰D2</s:t>
              </s:r>
            </s:text>
          </item>
          <item id="4033bcb8737773045998ed4da87ae53c05779da3" userID="1850010794" userName="龙丽娟" dateTime="2026-08-12T07:56:32" isNormal="0">
            <s:text>
              <s:r>
                <s:t xml:space="preserve">8/8 1001530  25PCS欣泰D2</s:t>
              </s:r>
            </s:text>
          </item>
        </commentChain>
      </unresolved>
      <resolved/>
    </commentChains>
    <commentChains s:ref="V627" rgbClr="FF0000">
      <unresolved>
        <commentChain chainId="33df58d2d8ec6b562e0814ff04191f8333575298">
          <item id="ebac56d694fc60893429a598badea797f6a6f955" userID="1850010794" userName="龙丽娟" dateTime="2026-07-20T14:03:28" isNormal="0">
            <s:text>
              <s:r>
                <s:t xml:space="preserve">7/16 上UPC贴纸 2100pcs
        上进口商贴纸 2100pcs</s:t>
              </s:r>
            </s:text>
          </item>
        </commentChain>
      </unresolved>
      <resolved/>
    </commentChains>
    <commentChains s:ref="T628" rgbClr="FF0000">
      <unresolved>
        <commentChain chainId="a2fabd84721c7deb3c30ea79e7f4c2b3a59fef1a">
          <item id="8c811db11b9d03f690de10f67d37d88e6db196a1" userID="1850010794" userName="龙丽娟" dateTime="2026-08-12T06:51:33" isNormal="0">
            <s:text>
              <s:r>
                <s:t xml:space="preserve">8/8 1001516 50pcs馥通C1</s:t>
              </s:r>
            </s:text>
          </item>
          <item id="74c419e7903a0265db2c456cc5253e7680eb70e6" userID="1850010794" userName="龙丽娟" dateTime="2026-08-12T07:52:22" isNormal="0">
            <s:text>
              <s:r>
                <s:t xml:space="preserve">8/8 1001509 450pcs欣泰C5</s:t>
              </s:r>
            </s:text>
          </item>
        </commentChain>
      </unresolved>
      <resolved/>
    </commentChains>
    <commentChains s:ref="V629" rgbClr="FF0000">
      <unresolved>
        <commentChain chainId="6a51f1052ade03acb025a482f5733ed7c4402ca9">
          <item id="97c2fafd479851d91f96e39b5e8a6a5f1096d9a5" userID="1850010794" userName="龙丽娟" dateTime="2026-07-21T07:31:09" isNormal="0">
            <s:text>
              <s:r>
                <s:t xml:space="preserve">7/16 上进口商贴纸 5000pcs
         上UPC贴纸 5000pcs</s:t>
              </s:r>
            </s:text>
          </item>
        </commentChain>
      </unresolved>
      <resolved/>
    </commentChains>
    <commentChains s:ref="V630" rgbClr="FF0000">
      <unresolved>
        <commentChain chainId="fd0cd2e10906363858821740e6de0d945928d7b4">
          <item id="d3e5e2f4d99bfeba42c794c6fcf0ecabbd7b8437" userID="1850010794" userName="龙丽娟" dateTime="2026-07-20T14:01:56" isNormal="0">
            <s:text>
              <s:r>
                <s:t xml:space="preserve">7/16 上进口商贴纸 1000pcs</s:t>
              </s:r>
            </s:text>
          </item>
        </commentChain>
      </unresolved>
      <resolved/>
    </commentChains>
    <commentChains s:ref="V631" rgbClr="FF0000">
      <unresolved>
        <commentChain chainId="82047eb2c72609e605a15a90e8eebcbc49f71f57">
          <item id="ffb031998c68e69debfce872f572fe123479403a" userID="1850010794" userName="龙丽娟" dateTime="2026-07-17T13:27:19" isNormal="0">
            <s:text>
              <s:r>
                <s:t xml:space="preserve">7/17上UPC贴纸1400pcs</s:t>
              </s:r>
            </s:text>
          </item>
        </commentChain>
      </unresolved>
      <resolved/>
    </commentChains>
    <commentChains s:ref="V632" rgbClr="FF0000">
      <unresolved>
        <commentChain chainId="538f987d3df79942283b762d5557242fea1994d8">
          <item id="aa71cb027aaf9783a268412f6dd261cc91db841f" userID="1850010794" userName="龙丽娟" dateTime="2026-07-19T07:26:42" isNormal="0">
            <s:text>
              <s:r>
                <s:t xml:space="preserve">7/10上Kmart外箱贴纸63pcs</s:t>
              </s:r>
            </s:text>
          </item>
        </commentChain>
      </unresolved>
      <resolved/>
    </commentChains>
    <commentChains s:ref="AR632" rgbClr="FF0000">
      <unresolved>
        <commentChain chainId="8abd8fb8a123abd35cd44c222a48003e8f882f42">
          <item id="862a53e7c7f5d2f99ef5a8c989d104fbc169ff98" userID="1853477080" userName="陈龙" dateTime="2026-06-04T13:56:56" isNormal="0">
            <s:text>
              <s:r>
                <s:t xml:space="preserve">客版无条码新资料</s:t>
              </s:r>
            </s:text>
          </item>
        </commentChain>
      </unresolved>
      <resolved/>
    </commentChains>
    <commentChains s:ref="AX632" rgbClr="FF0000">
      <unresolved>
        <commentChain chainId="7040e5288227baa959ad3389c91550c056eaa866">
          <item id="fa865a444175e6a2d56f61c76fe77c8c07b86041" isNormal="1">
            <s:text>
              <s:r>
                <s:t xml:space="preserve">RR:
移除21/23号唱片客版收藏指南</s:t>
              </s:r>
            </s:text>
          </item>
          <item id="2feae02f3c85ede061be05bdf22963540c96c255" userID="1853477080" userName="陈龙" dateTime="2026-06-04T13:53:39" isNormal="0">
            <s:text>
              <s:r>
                <s:t xml:space="preserve">新资料</s:t>
              </s:r>
            </s:text>
          </item>
        </commentChain>
      </unresolved>
      <resolved/>
    </commentChains>
    <commentChains s:ref="AR633" rgbClr="FF0000">
      <unresolved>
        <commentChain chainId="f10d845d59713056be75e81c67f8fa648dfaa0c0">
          <item id="3f9a55161942c75239cde9498e169f007df75d10" userID="1853477080" userName="陈龙" dateTime="2026-06-04T13:56:56" isNormal="0">
            <s:text>
              <s:r>
                <s:t xml:space="preserve">客版无条码新资料</s:t>
              </s:r>
            </s:text>
          </item>
        </commentChain>
      </unresolved>
      <resolved/>
    </commentChains>
    <commentChains s:ref="AX633" rgbClr="FF0000">
      <unresolved>
        <commentChain chainId="41e6a066a182f8f83b06faaa6ae4e797beb156e8">
          <item id="9cb19134248f81a028a9bcc732a23b15437c8815" isNormal="1">
            <s:text>
              <s:r>
                <s:t xml:space="preserve">RR:
移除21/23号唱片客版收藏指南</s:t>
              </s:r>
            </s:text>
          </item>
          <item id="04d826a0b21b3583e75f9a42209d723db3c72b6b" userID="1853477080" userName="陈龙" dateTime="2026-06-04T13:53:39" isNormal="0">
            <s:text>
              <s:r>
                <s:t xml:space="preserve">新资料</s:t>
              </s:r>
            </s:text>
          </item>
        </commentChain>
      </unresolved>
      <resolved/>
    </commentChains>
    <commentChains s:ref="T634" rgbClr="FF0000">
      <unresolved>
        <commentChain chainId="aec1bdbf2814234cae5eea85999322552af44534">
          <item id="238d016b264a91000fd31289e3a2b9f4739ae86a" userID="1850010794" userName="龙丽娟" dateTime="2026-08-12T08:33:39" isNormal="0">
            <s:text>
              <s:r>
                <s:t xml:space="preserve">8/8 1000414 5508pcs欣泰F3</s:t>
              </s:r>
            </s:text>
          </item>
        </commentChain>
      </unresolved>
      <resolved/>
    </commentChains>
    <commentChains s:ref="V634" rgbClr="FF0000">
      <unresolved>
        <commentChain chainId="2f762acc39016a90b249a8e7ad0b50f9ffc31a16">
          <item id="d1914bcf6c8959d50e19d1e7c01571c81adc158b" userID="1850010794" userName="龙丽娟" dateTime="2026-07-17T13:25:37" isNormal="0">
            <s:text>
              <s:r>
                <s:t xml:space="preserve">7/17上de/it警告语环保标7572pcs</s:t>
              </s:r>
            </s:text>
          </item>
          <item id="85bf38b3ed451dbcb74cb8a8037685074425410c" userID="1850010794" userName="龙丽娟" dateTime="2026-07-24T12:50:39" isNormal="0">
            <s:text>
              <s:r>
                <s:t xml:space="preserve">7/21上客供亚马逊外箱贴纸459pcs</s:t>
              </s:r>
            </s:text>
          </item>
        </commentChain>
      </unresolved>
      <resolved/>
    </commentChains>
    <commentChains s:ref="T635" rgbClr="FF0000">
      <unresolved>
        <commentChain chainId="aa85046d2f10d4ab585d4ad7c1b3eba3c520947d">
          <item id="49a992ba44db1987dbce0d2b6d9758e2af05d27d" userID="1850010794" userName="龙丽娟" dateTime="2026-08-12T08:33:59" isNormal="0">
            <s:text>
              <s:r>
                <s:t xml:space="preserve">8/8 1000414 2064pcs欣泰e6</s:t>
              </s:r>
            </s:text>
          </item>
        </commentChain>
      </unresolved>
      <resolved/>
    </commentChains>
    <commentChains s:ref="V635" rgbClr="FF0000">
      <unresolved>
        <commentChain chainId="6c5d27b62fa6fffa2c738cfa50bc6f4331e1c628">
          <item id="5e9164fc246ef093f9cf07caae275d8266bd86e9" userID="1850010794" userName="龙丽娟" dateTime="2026-07-17T13:25:37" isNormal="0">
            <s:text>
              <s:r>
                <s:t xml:space="preserve">7/17上de/it警告语环保标7572pcs</s:t>
              </s:r>
            </s:text>
          </item>
          <item id="2f09d3d86acf085b506cf69777283fd882768aa9" userID="1850010794" userName="龙丽娟" dateTime="2026-07-24T12:50:52" isNormal="0">
            <s:text>
              <s:r>
                <s:t xml:space="preserve">7/21上客供亚马逊外箱贴纸172pcs</s:t>
              </s:r>
            </s:text>
          </item>
        </commentChain>
      </unresolved>
      <resolved/>
    </commentChains>
    <commentChains s:ref="T636" rgbClr="FF0000">
      <unresolved>
        <commentChain chainId="a116e31abb1d91259d27654815ccb3fe00059907">
          <item id="a3fe5babcf6f0edb1f382aafdc648710b3f72aa1" userID="1850010794" userName="龙丽娟" dateTime="2026-08-12T08:34:27" isNormal="0">
            <s:text>
              <s:r>
                <s:t xml:space="preserve">8/8 1000414 1512pcs欣泰e4</s:t>
              </s:r>
            </s:text>
          </item>
        </commentChain>
      </unresolved>
      <resolved/>
    </commentChains>
    <commentChains s:ref="V636" rgbClr="FF0000">
      <unresolved>
        <commentChain chainId="2743a1b29c5503d69b18dfaf8fad65809ef70140">
          <item id="b800b2e53a731111771cd678150c4bf7dee341fd" userID="1850010794" userName="龙丽娟" dateTime="2026-07-20T14:30:16" isNormal="0">
            <s:text>
              <s:r>
                <s:t xml:space="preserve">7/20上de/it警告语/it环保标6132pcs</s:t>
              </s:r>
            </s:text>
          </item>
        </commentChain>
      </unresolved>
      <resolved/>
    </commentChains>
    <commentChains s:ref="T637" rgbClr="FF0000">
      <unresolved>
        <commentChain chainId="01b149b9df3512e9ab044cedaef4e772683183ee">
          <item id="922b0a8a2bd7a207d6437f145fa6323e73fd4de5" userID="1850010794" userName="龙丽娟" dateTime="2026-08-12T08:34:40" isNormal="0">
            <s:text>
              <s:r>
                <s:t xml:space="preserve">8/8 1000414 1512pcs欣泰e4</s:t>
              </s:r>
            </s:text>
          </item>
        </commentChain>
      </unresolved>
      <resolved/>
    </commentChains>
    <commentChains s:ref="V637" rgbClr="FF0000">
      <unresolved>
        <commentChain chainId="8a7e3e338fcd05e5a08cdd479b12805733985887">
          <item id="ed4ac5f0f6e0c33d0f69819cf3418073453d020b" userID="1850010794" userName="龙丽娟" dateTime="2026-07-20T14:30:16" isNormal="0">
            <s:text>
              <s:r>
                <s:t xml:space="preserve">7/20上de/it警告语/it环保标6132pcs</s:t>
              </s:r>
            </s:text>
          </item>
        </commentChain>
      </unresolved>
      <resolved/>
    </commentChains>
    <commentChains s:ref="T644" rgbClr="FF0000">
      <unresolved>
        <commentChain chainId="fa9bdcf274e1cbce9a3317e2ade7add5e4ec813c">
          <item id="638d8fa3269a0e5ea76ef9654c136b7b59e6340a" userID="1850010794" userName="龙丽娟" dateTime="2026-08-14T08:57:31" isNormal="0">
            <s:text>
              <s:r>
                <s:t xml:space="preserve">8/6 1001536 13000pcs欣泰A3</s:t>
              </s:r>
            </s:text>
          </item>
        </commentChain>
      </unresolved>
      <resolved/>
    </commentChains>
    <commentChains s:ref="V644" rgbClr="FF0000">
      <unresolved>
        <commentChain chainId="b8c63a8aef8ee9afb70722bd19703fa9f79e2637">
          <item id="e945a2422f754ef30ad18786386204e0b29748ac" userID="1850010794" userName="龙丽娟" dateTime="2026-07-20T14:23:32" isNormal="0">
            <s:text>
              <s:r>
                <s:t xml:space="preserve">7/20上多语警语贴纸25012pcs</s:t>
              </s:r>
            </s:text>
          </item>
        </commentChain>
      </unresolved>
      <resolved/>
    </commentChains>
    <commentChains s:ref="T645" rgbClr="FF0000">
      <unresolved>
        <commentChain chainId="b6f08546527f90695c9baf2539d01c996d82edaa">
          <item id="a5b4f6ed856b14519d4ddf100cff4a0df3df69db" userID="1850010794" userName="龙丽娟" dateTime="2026-08-07T13:41:38" isNormal="0">
            <s:text>
              <s:r>
                <s:t xml:space="preserve">1000409 8/7 23800pcs</s:t>
              </s:r>
            </s:text>
          </item>
        </commentChain>
      </unresolved>
      <resolved/>
    </commentChains>
    <commentChains s:ref="V645" rgbClr="FF0000">
      <unresolved>
        <commentChain chainId="664124624806aabfedeac7ec727c288caaa75252">
          <item id="477e3b5f889a106755a11eb976bade3e47da3100" userID="1850010794" userName="龙丽娟" dateTime="2026-07-17T12:30:21" isNormal="0">
            <s:text>
              <s:r>
                <s:t xml:space="preserve">7/16 上客供外箱贴纸 962pcs</s:t>
              </s:r>
            </s:text>
          </item>
        </commentChain>
      </unresolved>
      <resolved/>
    </commentChains>
    <commentChains s:ref="T646" rgbClr="FF0000">
      <unresolved>
        <commentChain chainId="8c4bcbe0c2d186bf1d5ce52d50bdd36c03f27831">
          <item id="1618eca303dc1f94b11ddae6580242a3f33bed57" userID="1850010794" userName="龙丽娟" dateTime="2026-08-12T07:50:49" isNormal="0">
            <s:text>
              <s:r>
                <s:t xml:space="preserve">8/8 1001509 3250pcs欣泰E6</s:t>
              </s:r>
            </s:text>
          </item>
        </commentChain>
      </unresolved>
      <resolved/>
    </commentChains>
    <commentChains s:ref="T647" rgbClr="FF0000">
      <unresolved>
        <commentChain chainId="b847310527ab39dc720852f567ec727c3818bf05">
          <item id="9ed6d4b6891c7f73cad54985e3d86ccfe78c40e3" userID="1850010794" userName="龙丽娟" dateTime="2026-08-12T07:50:58" isNormal="0">
            <s:text>
              <s:r>
                <s:t xml:space="preserve">8/8 1001509 1850pcs欣泰E6</s:t>
              </s:r>
            </s:text>
          </item>
        </commentChain>
      </unresolved>
      <resolved/>
    </commentChains>
    <commentChains s:ref="T648" rgbClr="FF0000">
      <unresolved>
        <commentChain chainId="f5e74b9df802378ea8373e5ff3c77fe3745cde36">
          <item id="8ea309332b82c1ec5a22c6ba4f32ca95ae7ccb55" userID="1850010794" userName="龙丽娟" dateTime="2026-08-14T09:17:38" isNormal="0">
            <s:text>
              <s:r>
                <s:t xml:space="preserve">2801403 8/6 12500pcs钜顺A7</s:t>
              </s:r>
            </s:text>
          </item>
        </commentChain>
      </unresolved>
      <resolved/>
    </commentChains>
    <commentChains s:ref="V649" rgbClr="FF0000">
      <unresolved>
        <commentChain chainId="2270aed0bfa4d9deccedfe7c9603515db52b64f1">
          <item id="768c62f14303c2c6c938bf153fc21b990d5c726f" userID="1850010794" userName="龙丽娟" dateTime="2026-07-17T13:28:22" isNormal="0">
            <s:text>
              <s:r>
                <s:t xml:space="preserve">7/17上意大利警语贴纸1000pcs</s:t>
              </s:r>
            </s:text>
          </item>
        </commentChain>
      </unresolved>
      <resolved/>
    </commentChains>
    <commentChains s:ref="T650" rgbClr="FF0000">
      <unresolved>
        <commentChain chainId="44cb0d8eb084bf99951998fda42a09cf46d19f7c">
          <item id="b328d0432b3711c35acd647859d8a10dac50c2be" userID="1850010794" userName="龙丽娟" dateTime="2026-08-12T08:26:35" isNormal="0">
            <s:text>
              <s:r>
                <s:t xml:space="preserve">8/8 1001512 7950pcs欣泰E5</s:t>
              </s:r>
            </s:text>
          </item>
        </commentChain>
      </unresolved>
      <resolved/>
    </commentChains>
    <commentChains s:ref="V650" rgbClr="FF0000">
      <unresolved>
        <commentChain chainId="69c27bf12c93ed3575a1784c702af4161f3ae767">
          <item id="d80be68150ccd2a1b3e7860bd45ce6c68d8194d8" userID="1850010794" userName="龙丽娟" dateTime="2026-07-23T12:33:48" isNormal="0">
            <s:text>
              <s:r>
                <s:t xml:space="preserve">7/18上upc贴纸7950pcs</s:t>
              </s:r>
            </s:text>
          </item>
        </commentChain>
      </unresolved>
      <resolved/>
    </commentChains>
    <commentChains s:ref="T651" rgbClr="FF0000">
      <unresolved>
        <commentChain chainId="d38ea5651c7dfaf6a4ab4e7fb18efe95ce6379bf">
          <item id="19e9076c37bd627501ff2a42244252a48ea4301f" userID="1850010794" userName="龙丽娟" dateTime="2026-08-12T08:26:54" isNormal="0">
            <s:text>
              <s:r>
                <s:t xml:space="preserve">8/8 1001512 9375pcs欣泰D6</s:t>
              </s:r>
            </s:text>
          </item>
        </commentChain>
      </unresolved>
      <resolved/>
    </commentChains>
    <commentChains s:ref="V651" rgbClr="FF0000">
      <unresolved>
        <commentChain chainId="99c40124364fad615dcf29489d3303111d205c7c">
          <item id="e9d0c162e871f72de19168b37065392cd66f04d1" userID="1850010794" userName="龙丽娟" dateTime="2026-06-23T11:50:41" isNormal="0">
            <s:text>
              <s:r>
                <s:t xml:space="preserve">6/23上upc贴纸9375pcs</s:t>
              </s:r>
            </s:text>
          </item>
        </commentChain>
      </unresolved>
      <resolved/>
    </commentChains>
    <commentChains s:ref="T652" rgbClr="FF0000">
      <unresolved>
        <commentChain chainId="7a66f45c0f78c1e9cca64a7e49aa67e0b9ad6f4b">
          <item id="5d40a8472d02437be68d182bb540d262699da08d" userID="1850010794" userName="龙丽娟" dateTime="2026-08-14T09:15:48" isNormal="0">
            <s:text>
              <s:r>
                <s:t xml:space="preserve">2801403 8/6 3000pcs钜顺b1</s:t>
              </s:r>
            </s:text>
          </item>
        </commentChain>
      </unresolved>
      <resolved/>
    </commentChains>
    <commentChains s:ref="T653" rgbClr="FF0000">
      <unresolved>
        <commentChain chainId="7d066f854bcb5aa795ced719112f1ba67325f5ef">
          <item id="a8196b7c1fe168edd93ea7d227c63ca22f631dbc" userID="1850010794" userName="龙丽娟" dateTime="2026-08-12T07:57:53" isNormal="0">
            <s:text>
              <s:r>
                <s:t xml:space="preserve">1001530 8/8 5356PCS欣泰2A2</s:t>
              </s:r>
            </s:text>
          </item>
        </commentChain>
      </unresolved>
      <resolved/>
    </commentChains>
    <commentChains s:ref="V653" rgbClr="FF0000">
      <unresolved>
        <commentChain chainId="06a1b1649b253736b043c9689aa7a4d0ae6dfbb7">
          <item id="6969b119f38c2c31db0004f168e021abbadde0f5" userID="1850010794" userName="龙丽娟" dateTime="2026-07-17T13:26:42" isNormal="0">
            <s:text>
              <s:r>
                <s:t xml:space="preserve">7/17上进口商贴纸5356pcs</s:t>
              </s:r>
            </s:text>
          </item>
        </commentChain>
      </unresolved>
      <resolved/>
    </commentChains>
    <commentChains s:ref="T654" rgbClr="FF0000">
      <unresolved>
        <commentChain chainId="4b5d2e413071222fca707b4c7af64b7e4e5e6a1f">
          <item id="d67e9c9277b714a2709623a76ebdd84d06cea4bf" userID="1850010794" userName="龙丽娟" dateTime="2026-08-07T13:31:06" isNormal="0">
            <s:text>
              <s:r>
                <s:t xml:space="preserve">1001302 8/7 7319pcs
备品1箱 欣泰f2</s:t>
              </s:r>
            </s:text>
          </item>
          <item id="b3aa68dae691f66f30119231802a0337498b7489" userID="1850010794" userName="龙丽娟" dateTime="2026-08-14T09:11:24" isNormal="0">
            <s:text>
              <s:r>
                <s:t xml:space="preserve">8/6 1001547 4680pcs钜顺A4</s:t>
              </s:r>
            </s:text>
          </item>
        </commentChain>
      </unresolved>
      <resolved/>
    </commentChains>
    <commentChains s:ref="V654" rgbClr="FF0000">
      <unresolved>
        <commentChain chainId="17ed6d1e6f3bcf194a57c2fe74f964adda4d6370">
          <item id="a99a725d26ffafdb30b0ab0c34057897980227d3" userID="1850010794" userName="龙丽娟" dateTime="2026-06-30T06:58:01" isNormal="0">
            <s:text>
              <s:r>
                <s:t xml:space="preserve">6/26上客供价格贴纸12682pcs</s:t>
              </s:r>
            </s:text>
          </item>
        </commentChain>
      </unresolved>
      <resolved/>
    </commentChains>
    <commentChains s:ref="T655" rgbClr="FF0000">
      <unresolved>
        <commentChain chainId="04f489bf883ed5685667f44edd5024dbb53a7c65">
          <item id="06a16a56fc8eb370ddc84601157721a46c64bbcc" userID="1850010794" userName="龙丽娟" dateTime="2026-08-14T08:58:05" isNormal="0">
            <s:text>
              <s:r>
                <s:t xml:space="preserve">8/6 1001536 12012PCS欣泰A3</s:t>
              </s:r>
            </s:text>
          </item>
        </commentChain>
      </unresolved>
      <resolved/>
    </commentChains>
    <commentChains s:ref="V656" rgbClr="FF0000">
      <unresolved>
        <commentChain chainId="cdd7d59cf6e704422221597b75c1a876b5834e0d">
          <item id="0b9abe2428fa6ef170b3c2231f7860210ed6a479" userID="1850010794" userName="龙丽娟" dateTime="2026-07-17T13:10:37" isNormal="0">
            <s:text>
              <s:r>
                <s:t xml:space="preserve">7/17 上UPC贴纸1800pcs</s:t>
              </s:r>
            </s:text>
          </item>
        </commentChain>
      </unresolved>
      <resolved/>
    </commentChains>
    <commentChains s:ref="T657" rgbClr="FF0000">
      <unresolved>
        <commentChain chainId="9c355f2b0394c52a21b79bd5ef3214c68804f502">
          <item id="bc073b5062f80514f766303bc23b32c3d7257fca" userID="1850010794" userName="龙丽娟" dateTime="2026-08-07T13:19:46" isNormal="0">
            <s:text>
              <s:r>
                <s:t xml:space="preserve">1000404 8/7 14400pcs欣泰E5</s:t>
              </s:r>
            </s:text>
          </item>
        </commentChain>
      </unresolved>
      <resolved/>
    </commentChains>
    <commentChains s:ref="V657" rgbClr="FF0000">
      <unresolved>
        <commentChain chainId="61da1386b5cbf8e24833370996790051f54618c9">
          <item id="11dbaf0ed571f905c7b0b68045d7ac7181c21aa5" userID="1850010794" userName="龙丽娟" dateTime="2026-07-17T11:58:38" isNormal="0">
            <s:text>
              <s:r>
                <s:t xml:space="preserve">7/10 上客供RFID贴纸 14400pcs</s:t>
              </s:r>
            </s:text>
          </item>
        </commentChain>
      </unresolved>
      <resolved/>
    </commentChains>
    <commentChains s:ref="T658" rgbClr="FF0000">
      <unresolved>
        <commentChain chainId="00e78fceb6d2dab62c7b99c41273302234236f06">
          <item id="79630bc806ad981e24afbbe7f7e2c5712942e236" userID="1850010794" userName="龙丽娟" dateTime="2026-08-07T13:21:04" isNormal="0">
            <s:text>
              <s:r>
                <s:t xml:space="preserve">1000404 8/7 16320pcs欣泰f6</s:t>
              </s:r>
            </s:text>
          </item>
        </commentChain>
      </unresolved>
      <resolved/>
    </commentChains>
    <commentChains s:ref="V658" rgbClr="FF0000">
      <unresolved>
        <commentChain chainId="4509d84afabba698c81188a05f9d6006e1bd1051">
          <item id="3bc147a363ca185a717c18eb44a1e75b5b034990" userID="1850010794" userName="龙丽娟" dateTime="2026-07-17T11:58:38" isNormal="0">
            <s:text>
              <s:r>
                <s:t xml:space="preserve">7/10 上客供RFID贴纸 16320pcs</s:t>
              </s:r>
            </s:text>
          </item>
        </commentChain>
      </unresolved>
      <resolved/>
    </commentChains>
    <commentChains s:ref="V659" rgbClr="FF0000">
      <unresolved>
        <commentChain chainId="638c11fb7e01db651774f8aaf89823e05980af53">
          <item id="597cd97842c0b19508ab6da2f797458d6d188888" userID="1850010794" userName="龙丽娟" dateTime="2026-07-17T11:58:38" isNormal="0">
            <s:text>
              <s:r>
                <s:t xml:space="preserve">7/10 上客供RFID贴纸 16320pcs</s:t>
              </s:r>
            </s:text>
          </item>
        </commentChain>
      </unresolved>
      <resolved/>
    </commentChains>
    <commentChains s:ref="V660" rgbClr="FF0000">
      <unresolved>
        <commentChain chainId="c098d81452569300f0e653be5350d28cc239ade5">
          <item id="bd5a86721b3c43d426907207bdcaddba335dae89" userID="1850010794" userName="龙丽娟" dateTime="2026-07-17T11:58:38" isNormal="0">
            <s:text>
              <s:r>
                <s:t xml:space="preserve">7/16 上客供RFID贴纸 12480pcs</s:t>
              </s:r>
            </s:text>
          </item>
        </commentChain>
      </unresolved>
      <resolved/>
    </commentChains>
    <commentChains s:ref="V661" rgbClr="FF0000">
      <unresolved>
        <commentChain chainId="e8ee4469917ba4a2c733fc15853a8e1fef91bebc">
          <item id="b7c721c4a5f2fe2174be62931f3c1fa4ff8d5a0d" userID="1850010794" userName="龙丽娟" dateTime="2026-07-17T11:58:38" isNormal="0">
            <s:text>
              <s:r>
                <s:t xml:space="preserve">7/16 上客供RFID贴纸 16320pcs</s:t>
              </s:r>
            </s:text>
          </item>
        </commentChain>
      </unresolved>
      <resolved/>
    </commentChains>
    <commentChains s:ref="V662" rgbClr="FF0000">
      <unresolved>
        <commentChain chainId="644020734cc532a0f412ee3c15dc5ff4400f3282">
          <item id="f7f4beddeb43d16c3b3de247f6ebd230571f7029" userID="1850010794" userName="龙丽娟" dateTime="2026-07-17T11:58:38" isNormal="0">
            <s:text>
              <s:r>
                <s:t xml:space="preserve">7/16 上客供RFID贴纸 17280pcs</s:t>
              </s:r>
            </s:text>
          </item>
        </commentChain>
      </unresolved>
      <resolved/>
    </commentChains>
    <commentChains s:ref="V663" rgbClr="FF0000">
      <unresolved>
        <commentChain chainId="cdaa76925afb52a473b1a64d1d2265ff2fbbd010">
          <item id="f2b675eb93de2e72fc64f3f0fdbf7ca7c8e83f85" userID="1850010794" userName="龙丽娟" dateTime="2026-07-17T11:58:38" isNormal="0">
            <s:text>
              <s:r>
                <s:t xml:space="preserve">7/16 上客供RFID贴纸 8640pcs</s:t>
              </s:r>
            </s:text>
          </item>
        </commentChain>
      </unresolved>
      <resolved/>
    </commentChains>
    <commentChains s:ref="V664" rgbClr="FF0000">
      <unresolved>
        <commentChain chainId="c3ac2e12ff42d5f9c9e957da97dfb80ea1677c4c">
          <item id="ff6be8fb98289252eb17d14ccd98c08f6ba0c61f" userID="1850010794" userName="龙丽娟" dateTime="2026-07-23T12:33:13" isNormal="0">
            <s:text>
              <s:r>
                <s:t xml:space="preserve">7/18上进口商/环保标/产品贴纸2000pcs</s:t>
              </s:r>
            </s:text>
          </item>
        </commentChain>
      </unresolved>
      <resolved/>
    </commentChains>
    <commentChains s:ref="T665" rgbClr="FF0000">
      <unresolved>
        <commentChain chainId="d36e43c1949224b89ec4895f9b5b7b3f0cea26c0">
          <item id="fddba5eebcc626f99fa80a6b114b98d9b98abeb3" userID="1850010794" userName="龙丽娟" dateTime="2026-08-12T08:35:48" isNormal="0">
            <s:text>
              <s:r>
                <s:t xml:space="preserve">8/8 1000414 3108pcs欣泰e4</s:t>
              </s:r>
            </s:text>
          </item>
        </commentChain>
      </unresolved>
      <resolved/>
    </commentChains>
    <commentChains s:ref="V665" rgbClr="FF0000">
      <unresolved>
        <commentChain chainId="3b2983ff0f262f957a0194e9e4dcdbe7203f4700">
          <item id="ff9b223439877251fa96b9e3c48b1b2fbb05af28" userID="1850010794" userName="龙丽娟" dateTime="2026-07-24T12:52:31" isNormal="0">
            <s:text>
              <s:r>
                <s:t xml:space="preserve">7/21收到客供亚马逊外箱贴纸259pcs</s:t>
              </s:r>
            </s:text>
          </item>
        </commentChain>
      </unresolved>
      <resolved/>
    </commentChains>
    <commentChains s:ref="AW665" rgbClr="FF0000">
      <unresolved>
        <commentChain chainId="0efbedbaee420222eaaa1a9209229740f2fd9476">
          <item id="d3f2edd21a7a790f704dbe253251cbd3ebb26f86" isNormal="1">
            <s:text>
              <s:r>
                <s:t xml:space="preserve">RR:
新资料</s:t>
              </s:r>
            </s:text>
          </item>
          <item id="f8e8f9358fbe5227a25143d4d4a712ffcfdf7931" userID="1853477080" userName="陈龙" dateTime="2026-06-13T06:57:35" isNormal="0">
            <s:text>
              <s:r>
                <s:t xml:space="preserve">翻单4500208529</s:t>
              </s:r>
            </s:text>
          </item>
        </commentChain>
      </unresolved>
      <resolved/>
    </commentChains>
    <commentChains s:ref="V666" rgbClr="FF0000">
      <unresolved>
        <commentChain chainId="1f7885fd5731731ce48674dfda26f70930ae3f8d">
          <item id="a487c0e94c1ac3dfdd07d4894400f5fc38ae298c" userID="1850010794" userName="龙丽娟" dateTime="2026-07-17T11:58:38" isNormal="0">
            <s:text>
              <s:r>
                <s:t xml:space="preserve">7/16 上客供RFID贴纸 17280pcs</s:t>
              </s:r>
            </s:text>
          </item>
        </commentChain>
      </unresolved>
      <resolved/>
    </commentChains>
    <commentChains s:ref="V667" rgbClr="FF0000">
      <unresolved>
        <commentChain chainId="df0e97b4696bd4c1071a3527a7237c4a4b950e00">
          <item id="538adbe837f1d9dc3fe9ad8decd7633562cc4db2" userID="1850010794" userName="龙丽娟" dateTime="2026-07-17T11:58:38" isNormal="0">
            <s:text>
              <s:r>
                <s:t xml:space="preserve">7/16 上客供RFID贴纸 11520pcs</s:t>
              </s:r>
            </s:text>
          </item>
        </commentChain>
      </unresolved>
      <resolved/>
    </commentChains>
    <commentChains s:ref="V668" rgbClr="FF0000">
      <unresolved>
        <commentChain chainId="1f6f20637fa9ad93eba63e7690523232c6e506bc">
          <item id="10cd924d08b7c63c47016231035fcf408659e646" userID="1850010794" userName="龙丽娟" dateTime="2026-07-17T11:58:38" isNormal="0">
            <s:text>
              <s:r>
                <s:t xml:space="preserve">7/16 上客供RFID贴纸 8640pcs</s:t>
              </s:r>
            </s:text>
          </item>
        </commentChain>
      </unresolved>
      <resolved/>
    </commentChains>
    <commentChains s:ref="T669" rgbClr="FF0000">
      <unresolved>
        <commentChain chainId="9121869fa3e7df75dfeecc52b293e587d9c5f8ba">
          <item id="8442c90facef528ce6cde1f20097e845a71077e3" userID="1850010794" userName="龙丽娟" dateTime="2026-08-07T13:19:18" isNormal="0">
            <s:text>
              <s:r>
                <s:t xml:space="preserve">1000404 8/7 11520pcs</s:t>
              </s:r>
            </s:text>
          </item>
        </commentChain>
      </unresolved>
      <resolved/>
    </commentChains>
    <commentChains s:ref="V669" rgbClr="FF0000">
      <unresolved>
        <commentChain chainId="26efc65a9bffb2456ee38a0e95ff0a8542ca210e">
          <item id="08893662b35bd23b0d685a858d3bca1184a172a5" userID="1850010794" userName="龙丽娟" dateTime="2026-07-17T11:58:38" isNormal="0">
            <s:text>
              <s:r>
                <s:t xml:space="preserve">7/10 上客供RFID贴纸 11520pcs</s:t>
              </s:r>
            </s:text>
          </item>
        </commentChain>
      </unresolved>
      <resolved/>
    </commentChains>
    <commentChains s:ref="AX670" rgbClr="FF0000">
      <unresolved>
        <commentChain chainId="ebeef556cecac973a451e0a58e04324e3d4c62d2">
          <item id="4846332701953292ba8df370f6e9e32345b8abae" isNormal="1">
            <s:text>
              <s:r>
                <s:t xml:space="preserve">RR:
移除21/23号唱片客版收藏指南</s:t>
              </s:r>
            </s:text>
          </item>
        </commentChain>
      </unresolved>
      <resolved/>
    </commentChains>
    <commentChains s:ref="AX671" rgbClr="FF0000">
      <unresolved>
        <commentChain chainId="3597b0869fded9309f19a6bad5b46c19caa89668">
          <item id="2183dea3c0740afaa5b1307df90cbd70a83d0ec6" isNormal="1">
            <s:text>
              <s:r>
                <s:t xml:space="preserve">RR:
移除21/23号唱片客版收藏指南</s:t>
              </s:r>
            </s:text>
          </item>
        </commentChain>
      </unresolved>
      <resolved/>
    </commentChains>
    <commentChains s:ref="T677" rgbClr="FF0000">
      <unresolved>
        <commentChain chainId="54dad253b3a89ff0d24193aba3f44ee4f46f508d">
          <item id="4d72b6489c37fbca0ed3debcf8e156fcb7f269b2" userID="1850010794" userName="龙丽娟" dateTime="2026-08-07T13:41:17" isNormal="0">
            <s:text>
              <s:r>
                <s:t xml:space="preserve">1000409 8/7 2769pcs</s:t>
              </s:r>
            </s:text>
          </item>
        </commentChain>
      </unresolved>
      <resolved/>
    </commentChains>
    <commentChains s:ref="T678" rgbClr="FF0000">
      <unresolved>
        <commentChain chainId="d7dc12490ec62ce2ab5215b5fe7b177dd9004dd2">
          <item id="048c2eb681797221bbfc2d73f3391b42073ff5c0" userID="1850010794" userName="龙丽娟" dateTime="2026-08-12T08:29:02" isNormal="0">
            <s:text>
              <s:r>
                <s:t xml:space="preserve">8/8 1000416 1992pcs直走</s:t>
              </s:r>
            </s:text>
          </item>
        </commentChain>
      </unresolved>
      <resolved/>
    </commentChains>
    <commentChains s:ref="T679" rgbClr="FF0000">
      <unresolved>
        <commentChain chainId="2927f5c9d792a50c9e4d5a43e2de9d9a75f85844">
          <item id="77924932870c960ed65635dd08f54d56a2a5fadb" userID="1850010794" userName="龙丽娟" dateTime="2026-08-12T08:36:16" isNormal="0">
            <s:text>
              <s:r>
                <s:t xml:space="preserve">8/8 1000414 2928pcs欣泰e4</s:t>
              </s:r>
            </s:text>
          </item>
        </commentChain>
      </unresolved>
      <resolved/>
    </commentChains>
    <commentChains s:ref="V679" rgbClr="FF0000">
      <unresolved>
        <commentChain chainId="06864e72eec474cd5a81550a04aa3b4ba102a79a">
          <item id="6c7d25e15cb66e21c83544c464b152e8453bd4d0" userID="1850010794" userName="龙丽娟" dateTime="2026-07-15T13:52:15" isNormal="0">
            <s:text>
              <s:r>
                <s:t xml:space="preserve">7/15上DE/IT警告语/+IT环保标贴纸2928pcs</s:t>
              </s:r>
            </s:text>
          </item>
          <item id="4364724b0bf07a91bb5d12155d595b22868cdd56" userID="1850010794" userName="龙丽娟" dateTime="2026-07-24T12:52:48" isNormal="0">
            <s:text>
              <s:r>
                <s:t xml:space="preserve">7/21收到客供亚马逊外箱贴纸244pcs</s:t>
              </s:r>
            </s:text>
          </item>
        </commentChain>
      </unresolved>
      <resolved/>
    </commentChains>
    <commentChains s:ref="T680" rgbClr="FF0000">
      <unresolved>
        <commentChain chainId="108a7bc486814cb233b51abf39f97307ed01a77e">
          <item id="400bd3dde7f4f1f55316128e0146f29b74cc59d1" userID="1850010794" userName="龙丽娟" dateTime="2026-08-07T13:40:35" isNormal="0">
            <s:text>
              <s:r>
                <s:t xml:space="preserve">1000409 8/7 208pcs</s:t>
              </s:r>
            </s:text>
          </item>
        </commentChain>
      </unresolved>
      <resolved/>
    </commentChains>
    <commentChains s:ref="T681" rgbClr="FF0000">
      <unresolved>
        <commentChain chainId="7c7cc85771a11a0c7d51024ce78175cde3e81605">
          <item id="07d2c9733347161bf161ca395b5089ddbef9d7e8" userID="1850010794" userName="龙丽娟" dateTime="2026-08-07T13:40:57" isNormal="0">
            <s:text>
              <s:r>
                <s:t xml:space="preserve">1000409 8/7 2782pcs</s:t>
              </s:r>
            </s:text>
          </item>
        </commentChain>
      </unresolved>
      <resolved/>
    </commentChains>
    <commentChains s:ref="V682" rgbClr="FF0000">
      <unresolved>
        <commentChain chainId="b01166fc4c5c291f2b0c8e9ba86219b4bae3306c">
          <item id="77eb0b22bd82ca36492b057c269bf826ae6ceeb6" userID="1850010794" userName="龙丽娟" dateTime="2026-07-19T09:45:08" isNormal="0">
            <s:text>
              <s:r>
                <s:t xml:space="preserve">7/16上进口商贴纸2430pcs</s:t>
              </s:r>
            </s:text>
          </item>
        </commentChain>
      </unresolved>
      <resolved/>
    </commentChains>
    <commentChains s:ref="T683" rgbClr="FF0000">
      <unresolved>
        <commentChain chainId="7c0801439e2500acc49a2f4e65b2f16d3aca9f61">
          <item id="9d640c9627eecf4bf8c537a4a8944c170a5be902" userID="1850010794" userName="龙丽娟" dateTime="2026-08-14T09:10:43" isNormal="0">
            <s:text>
              <s:r>
                <s:t xml:space="preserve">8/6 1001547 1000pcs钜顺B3</s:t>
              </s:r>
            </s:text>
          </item>
        </commentChain>
      </unresolved>
      <resolved/>
    </commentChains>
    <commentChains s:ref="T684" rgbClr="FF0000">
      <unresolved>
        <commentChain chainId="1754443aedd17dcb15cb253d1bf7608d1879115a">
          <item id="40d43a1fe2d03d8b5e0a8a1d2a866b6e43e7ac13" userID="1850010794" userName="龙丽娟" dateTime="2026-08-12T08:19:24" isNormal="0">
            <s:text>
              <s:r>
                <s:t xml:space="preserve">8/8 1001512 4000pcs欣泰B4</s:t>
              </s:r>
            </s:text>
          </item>
        </commentChain>
      </unresolved>
      <resolved/>
    </commentChains>
    <commentChains s:ref="BB687" rgbClr="FF0000">
      <unresolved>
        <commentChain chainId="50a6c9908c2f26142127bda2488236b9ccb780b1">
          <item id="4a3925d1eaa63c18a2f25bedb7eff9ad3390707f" isNormal="1">
            <s:text>
              <s:r>
                <s:t xml:space="preserve">RR:
客版资料翻单墨西哥单</s:t>
              </s:r>
            </s:text>
          </item>
        </commentChain>
      </unresolved>
      <resolved/>
    </commentChains>
    <commentChains s:ref="BC687" rgbClr="FF0000">
      <unresolved>
        <commentChain chainId="319fc5f6fef003f1ebee52f3dd0dcae05f9b29c0">
          <item id="99b0626919c67f40955f2aaff3237a0b4a07445d" isNormal="1">
            <s:text>
              <s:r>
                <s:t xml:space="preserve">RR:
客版新资料</s:t>
              </s:r>
            </s:text>
          </item>
        </commentChain>
      </unresolved>
      <resolved/>
    </commentChains>
    <commentChains s:ref="BD687" rgbClr="FF0000">
      <unresolved>
        <commentChain chainId="99454f7819703750c91967ffd99a88767418e0fd">
          <item id="8fadbc1182569fd6cbdca87c7f42d93f342e792b" isNormal="1">
            <s:text>
              <s:r>
                <s:t xml:space="preserve">RR:
客版资料翻单墨西哥单</s:t>
              </s:r>
            </s:text>
          </item>
        </commentChain>
      </unresolved>
      <resolved/>
    </commentChains>
    <commentChains s:ref="BE687" rgbClr="FF0000">
      <unresolved>
        <commentChain chainId="5ef17d540a1da5fd87cc22ed299134fd4828cfb6">
          <item id="01b55af51f5ea6f70586cefe0daab355493ae25b" isNormal="1">
            <s:text>
              <s:r>
                <s:t xml:space="preserve">RR:
客版新资料</s:t>
              </s:r>
            </s:text>
          </item>
        </commentChain>
      </unresolved>
      <resolved/>
    </commentChains>
    <commentChains s:ref="BF687" rgbClr="FF0000">
      <unresolved>
        <commentChain chainId="03040cde17bf2c8abcc821b04e46cfa525afd5cb">
          <item id="cb4f2330fb50acb258ac3baf2bde5cd50837c74f" isNormal="1">
            <s:text>
              <s:r>
                <s:t xml:space="preserve">RR:
客版资料翻单墨西哥单</s:t>
              </s:r>
            </s:text>
          </item>
        </commentChain>
      </unresolved>
      <resolved/>
    </commentChains>
    <commentChains s:ref="T688" rgbClr="FF0000">
      <unresolved>
        <commentChain chainId="d0ee356fbba696fefe5b521c2f470e8c6ad3f12c">
          <item id="045dfb155f77c85757091e67152d86def007c996" userID="1850010794" userName="龙丽娟" dateTime="2026-08-14T01:04:39" isNormal="0">
            <s:text>
              <s:r>
                <s:t xml:space="preserve">8/13 1000473 1134PCS</s:t>
              </s:r>
            </s:text>
          </item>
        </commentChain>
      </unresolved>
      <resolved/>
    </commentChains>
    <commentChains s:ref="BB688" rgbClr="FF0000">
      <unresolved>
        <commentChain chainId="a76b521f07a1bbed5ad5b6132c7a7d3aba238d54">
          <item id="9f5f0d6185276f64655dfad2eba1e3b21c56f78e" isNormal="1">
            <s:text>
              <s:r>
                <s:t xml:space="preserve">RR:
客版资料翻单墨西哥单</s:t>
              </s:r>
            </s:text>
          </item>
        </commentChain>
      </unresolved>
      <resolved/>
    </commentChains>
    <commentChains s:ref="BC688" rgbClr="FF0000">
      <unresolved>
        <commentChain chainId="a2d295df8c3e224b1035aab740fd1988314f887a">
          <item id="2c8b8d54ef244c4c90e2878aecd1fa6397a8e93e" isNormal="1">
            <s:text>
              <s:r>
                <s:t xml:space="preserve">RR:
客版新资料</s:t>
              </s:r>
            </s:text>
          </item>
        </commentChain>
      </unresolved>
      <resolved/>
    </commentChains>
    <commentChains s:ref="BD688" rgbClr="FF0000">
      <unresolved>
        <commentChain chainId="35283fdfceb5f437d85d7715d89b603c817f07b9">
          <item id="35fdf52621e7ebafbebbde751b18ad6efc977748" isNormal="1">
            <s:text>
              <s:r>
                <s:t xml:space="preserve">RR:
客版资料翻单墨西哥单</s:t>
              </s:r>
            </s:text>
          </item>
        </commentChain>
      </unresolved>
      <resolved/>
    </commentChains>
    <commentChains s:ref="BE688" rgbClr="FF0000">
      <unresolved>
        <commentChain chainId="36212c73c0a5f874501022a80e1042e76cad1af3">
          <item id="f1d25168d4387b889a3c65fc442862b37f9fb99c" isNormal="1">
            <s:text>
              <s:r>
                <s:t xml:space="preserve">RR:
客版新资料</s:t>
              </s:r>
            </s:text>
          </item>
        </commentChain>
      </unresolved>
      <resolved/>
    </commentChains>
    <commentChains s:ref="BF688" rgbClr="FF0000">
      <unresolved>
        <commentChain chainId="68946f99a67bf308f09d17c98ff8331b708b1be6">
          <item id="fdecdc76fea83ffb93133ed0355c8d1ad2d2a581" isNormal="1">
            <s:text>
              <s:r>
                <s:t xml:space="preserve">RR:
客版资料翻单墨西哥单</s:t>
              </s:r>
            </s:text>
          </item>
        </commentChain>
      </unresolved>
      <resolved/>
    </commentChains>
    <commentChains s:ref="V689" rgbClr="FF0000">
      <unresolved>
        <commentChain chainId="8bbaf7eac4b1bbc077952a59c0d6e9714b032614">
          <item id="93c26f1535d696fbb2214826812bcbb4449a2e0d" userID="1850010794" userName="龙丽娟" dateTime="2026-07-15T13:52:41" isNormal="0">
            <s:text>
              <s:r>
                <s:t xml:space="preserve">7/15上DE/IT警告语/+IT环保标贴纸1008pcs</s:t>
              </s:r>
            </s:text>
          </item>
        </commentChain>
      </unresolved>
      <resolved/>
    </commentChains>
    <commentChains s:ref="T690" rgbClr="FF0000">
      <unresolved>
        <commentChain chainId="aa2443bac63a1c9027fa4f43461768b2c4431bc1">
          <item id="f1383b7e60d6bac2eb0ceceea4735e1b712bfd86" userID="1850010794" userName="龙丽娟" dateTime="2026-08-13T01:24:29" isNormal="0">
            <s:text>
              <s:r>
                <s:t xml:space="preserve">8/12 1001449  13988pcs欣泰D4</s:t>
              </s:r>
            </s:text>
          </item>
        </commentChain>
      </unresolved>
      <resolved/>
    </commentChains>
    <commentChains s:ref="V690" rgbClr="FF0000">
      <unresolved>
        <commentChain chainId="09d7ec5c0b0c08c9b4f0b90000f562776c6bcbe6">
          <item id="23875bc56e542480613bb1e822dda15b80a52927" userID="1850010794" userName="龙丽娟" dateTime="2026-07-12T11:24:49" isNormal="0">
            <s:text>
              <s:r>
                <s:t xml:space="preserve">7/6上进口商/UPC贴纸各15028pcs</s:t>
              </s:r>
            </s:text>
          </item>
        </commentChain>
      </unresolved>
      <resolved/>
    </commentChains>
    <commentChains s:ref="V698" rgbClr="FF0000">
      <unresolved>
        <commentChain chainId="2903d4be9c2a617336b667d46f01ee4342da503a">
          <item id="3d0e0413e4b5a74335ec74f1a8f4f7bd13ba340f" userID="1850010794" userName="龙丽娟" dateTime="2026-07-24T12:55:10" isNormal="0">
            <s:text>
              <s:r>
                <s:t xml:space="preserve">7/21上kmart外箱贴纸31pcs</s:t>
              </s:r>
            </s:text>
          </item>
        </commentChain>
      </unresolved>
      <resolved/>
    </commentChains>
    <commentChains s:ref="AX698" rgbClr="FF0000">
      <unresolved>
        <commentChain chainId="cb0e97294ff8a737926cbd09aaee08ae38fa780f">
          <item id="6e1163265b787342ebf42ab9dfe821f4e0e883cc" isNormal="1">
            <s:text>
              <s:r>
                <s:t xml:space="preserve">RR:
移除21/23号唱片客版收藏指南</s:t>
              </s:r>
            </s:text>
          </item>
        </commentChain>
      </unresolved>
      <resolved/>
    </commentChains>
    <commentChains s:ref="AX699" rgbClr="FF0000">
      <unresolved>
        <commentChain chainId="6d1b177a9050b7db2f3fa4c06dfd4a4fa474c424">
          <item id="0ce90ee47d4d53fec3814b3eac1585db3ac6568e" isNormal="1">
            <s:text>
              <s:r>
                <s:t xml:space="preserve">RR:
移除21/23号唱片客版收藏指南</s:t>
              </s:r>
            </s:text>
          </item>
        </commentChain>
      </unresolved>
      <resolved/>
    </commentChains>
    <commentChains s:ref="V700" rgbClr="FF0000">
      <unresolved>
        <commentChain chainId="cbf93f019bd8147fec77c3141ecca304895f7f38">
          <item id="e7e69f0390be0b7e4a2ac909f33e655eaf2d3887" userID="1850010794" userName="龙丽娟" dateTime="2026-07-19T09:43:26" isNormal="0">
            <s:text>
              <s:r>
                <s:t xml:space="preserve">7/16上环保标/IT警告语贴纸4992pcs</s:t>
              </s:r>
            </s:text>
          </item>
          <item id="f033e0c52da275fc77bb345cfe16a8046fbc2022" userID="1850010794" userName="龙丽娟" dateTime="2026-07-24T12:51:17" isNormal="0">
            <s:text>
              <s:r>
                <s:t xml:space="preserve">7/21收到客供亚马逊外箱贴纸416pcs</s:t>
              </s:r>
            </s:text>
          </item>
        </commentChain>
      </unresolved>
      <resolved/>
    </commentChains>
    <commentChains s:ref="AW700" rgbClr="FF0000">
      <unresolved>
        <commentChain chainId="0ee1b3c8b2206fc3e90b96b537e8eb2c1cae33b5">
          <item id="c6c8b73afd844221d8ec94656ec35039fd1b95a1" isNormal="1">
            <s:text>
              <s:r>
                <s:t xml:space="preserve">RR:
新资料</s:t>
              </s:r>
            </s:text>
          </item>
          <item id="12b9668a88f5cf8559a5a2d80f8aa122cc54474e" userID="1853477080" userName="陈龙" dateTime="2026-06-13T06:57:35" isNormal="0">
            <s:text>
              <s:r>
                <s:t xml:space="preserve">翻单4500208529</s:t>
              </s:r>
            </s:text>
          </item>
        </commentChain>
      </unresolved>
      <resolved/>
    </commentChains>
    <commentChains s:ref="V701" rgbClr="FF0000">
      <unresolved>
        <commentChain chainId="1c8d98f147e5926d3800a078af5b7e5233302e82">
          <item id="0c22b04f2aa546021d6d3d23e21a3cb5ce8fa127" userID="1850010794" userName="龙丽娟" dateTime="2026-07-19T09:43:37" isNormal="0">
            <s:text>
              <s:r>
                <s:t xml:space="preserve">7/16上环保标/IT警告语贴纸2016pcs</s:t>
              </s:r>
            </s:text>
          </item>
          <item id="2df3b36e929ce4829900f484e39a3c25718bcaae" userID="1850010794" userName="龙丽娟" dateTime="2026-07-24T12:51:29" isNormal="0">
            <s:text>
              <s:r>
                <s:t xml:space="preserve">7/21收到客供亚马逊外箱贴纸168pcs</s:t>
              </s:r>
            </s:text>
          </item>
        </commentChain>
      </unresolved>
      <resolved/>
    </commentChains>
    <commentChains s:ref="AW701" rgbClr="FF0000">
      <unresolved>
        <commentChain chainId="242d9417456ac9d90ca4c261a7dc418c633fd364">
          <item id="2a9a0db6997a817067da555250c76ee5968addf5" isNormal="1">
            <s:text>
              <s:r>
                <s:t xml:space="preserve">RR:
新资料</s:t>
              </s:r>
            </s:text>
          </item>
          <item id="70cce88fe58881ed269e23f73b8098ac22fdcfc0" userID="1853477080" userName="陈龙" dateTime="2026-06-13T06:57:35" isNormal="0">
            <s:text>
              <s:r>
                <s:t xml:space="preserve">翻单4500208529</s:t>
              </s:r>
            </s:text>
          </item>
        </commentChain>
      </unresolved>
      <resolved/>
    </commentChains>
    <commentChains s:ref="V702" rgbClr="FF0000">
      <unresolved>
        <commentChain chainId="e9d7598a802f6559b2658cef2bedffe2722c57af">
          <item id="bd68f0e1a17e599a865c1a2f79d6f2ec46fbe947" userID="1850010794" userName="龙丽娟" dateTime="2026-07-19T09:43:51" isNormal="0">
            <s:text>
              <s:r>
                <s:t xml:space="preserve">7/16上环保标/IT警告语贴纸10392pcs</s:t>
              </s:r>
            </s:text>
          </item>
          <item id="4c485d1500d0c89ff84c365c39dda6231a5f3d4f" userID="1850010794" userName="龙丽娟" dateTime="2026-07-24T12:51:41" isNormal="0">
            <s:text>
              <s:r>
                <s:t xml:space="preserve">7/21收到客供亚马逊外箱贴纸866pcs</s:t>
              </s:r>
            </s:text>
          </item>
        </commentChain>
      </unresolved>
      <resolved/>
    </commentChains>
    <commentChains s:ref="AW702" rgbClr="FF0000">
      <unresolved>
        <commentChain chainId="7105f325ea89cf0c3fb57509c2188c1eaeef738f">
          <item id="7d5a4688932f1519b03fc94272664373b798eba1" isNormal="1">
            <s:text>
              <s:r>
                <s:t xml:space="preserve">RR:
新资料</s:t>
              </s:r>
            </s:text>
          </item>
          <item id="cc4d6177961e5541cf32ce6d34d807915904dbf3" userID="1853477080" userName="陈龙" dateTime="2026-06-13T06:57:35" isNormal="0">
            <s:text>
              <s:r>
                <s:t xml:space="preserve">翻单4500208529</s:t>
              </s:r>
            </s:text>
          </item>
        </commentChain>
      </unresolved>
      <resolved/>
    </commentChains>
    <commentChains s:ref="V703" rgbClr="FF0000">
      <unresolved>
        <commentChain chainId="be01c9630287da5bcf1e095191dd788ef667c176">
          <item id="bd1ff1f994f37ad648364a06c18d02a5ba2c9d6a" userID="1850010794" userName="龙丽娟" dateTime="2026-07-19T09:44:00" isNormal="0">
            <s:text>
              <s:r>
                <s:t xml:space="preserve">7/16上环保标/IT警告语贴纸3972pcs</s:t>
              </s:r>
            </s:text>
          </item>
          <item id="f8a7dce248a250b7ef84b10d045344dc7a14fadc" userID="1850010794" userName="龙丽娟" dateTime="2026-07-24T12:51:53" isNormal="0">
            <s:text>
              <s:r>
                <s:t xml:space="preserve">7/21收到客供亚马逊外箱贴纸331pcs</s:t>
              </s:r>
            </s:text>
          </item>
        </commentChain>
      </unresolved>
      <resolved/>
    </commentChains>
    <commentChains s:ref="AW703" rgbClr="FF0000">
      <unresolved>
        <commentChain chainId="8272caf5103e26386e88bfa389c31ef3876eb77f">
          <item id="ef2902e6cf059f8d09077374000bdd1b77b21b1c" isNormal="1">
            <s:text>
              <s:r>
                <s:t xml:space="preserve">RR:
新资料</s:t>
              </s:r>
            </s:text>
          </item>
          <item id="c8e4517f766f4a15e6dfb121834aa60762d2fc93" userID="1853477080" userName="陈龙" dateTime="2026-06-13T06:57:35" isNormal="0">
            <s:text>
              <s:r>
                <s:t xml:space="preserve">翻单4500208529</s:t>
              </s:r>
            </s:text>
          </item>
        </commentChain>
      </unresolved>
      <resolved/>
    </commentChains>
    <commentChains s:ref="V704" rgbClr="FF0000">
      <unresolved>
        <commentChain chainId="f411322307f586d450f0dff03113b249a2823fd8">
          <item id="ed9c259d1ce04111018b04e2173933566405895b" userID="1850010794" userName="龙丽娟" dateTime="2026-07-19T09:44:00" isNormal="0">
            <s:text>
              <s:r>
                <s:t xml:space="preserve">7/16上环保标/IT警告语贴纸3480pcs</s:t>
              </s:r>
            </s:text>
          </item>
          <item id="6b753d366efd9f03338a181d09bfeefa3126ed52" userID="1850010794" userName="龙丽娟" dateTime="2026-07-24T12:52:05" isNormal="0">
            <s:text>
              <s:r>
                <s:t xml:space="preserve">7/21收到客供亚马逊外箱贴纸290pcs</s:t>
              </s:r>
            </s:text>
          </item>
        </commentChain>
      </unresolved>
      <resolved/>
    </commentChains>
    <commentChains s:ref="AW704" rgbClr="FF0000">
      <unresolved>
        <commentChain chainId="44b4d5bdd63de0364ffe28eab238bad6f6e325a7">
          <item id="2643a0187e9094d0dcdf1ebb8ed678b5b91e0f00" isNormal="1">
            <s:text>
              <s:r>
                <s:t xml:space="preserve">RR:
新资料</s:t>
              </s:r>
            </s:text>
          </item>
          <item id="4422aa0cb5826ae2422eaefd0d1d04502803c5c5" userID="1853477080" userName="陈龙" dateTime="2026-06-13T06:57:35" isNormal="0">
            <s:text>
              <s:r>
                <s:t xml:space="preserve">翻单4500208529</s:t>
              </s:r>
            </s:text>
          </item>
        </commentChain>
      </unresolved>
      <resolved/>
    </commentChains>
    <commentChains s:ref="V705" rgbClr="FF0000">
      <unresolved>
        <commentChain chainId="ddfece24115f9413b7cfa0134e41f814396ce2be">
          <item id="4b5f72a27c06f48ad74a2a702517daae037af477" userID="1850010794" userName="龙丽娟" dateTime="2026-07-19T09:44:47" isNormal="0">
            <s:text>
              <s:r>
                <s:t xml:space="preserve">7/16上进口商贴纸2500pcs</s:t>
              </s:r>
            </s:text>
          </item>
        </commentChain>
      </unresolved>
      <resolved/>
    </commentChains>
    <commentChains s:ref="T706" rgbClr="FF0000">
      <unresolved>
        <commentChain chainId="3c3dc1d1b5468fd56116793865458178b2821e9b">
          <item id="ed02a09feeb661d18e1f6812e43db82226bfb8f6" userID="1850010794" userName="龙丽娟" dateTime="2026-08-14T00:54:26" isNormal="0">
            <s:text>
              <s:r>
                <s:t xml:space="preserve">8/13 1001456 61125pcs</s:t>
              </s:r>
            </s:text>
          </item>
          <item id="e48a420a7f34f2d8f0044884805521b486dbdf30" userID="1850010794" userName="龙丽娟" dateTime="2026-08-14T00:57:05" isNormal="0">
            <s:text>
              <s:r>
                <s:t xml:space="preserve">8/13 1001437 14650pcs</s:t>
              </s:r>
            </s:text>
          </item>
        </commentChain>
      </unresolved>
      <resolved/>
    </commentChains>
    <commentChains s:ref="BB714" rgbClr="FF0000">
      <unresolved>
        <commentChain chainId="b38c2db0e433994b7390618380895330252c6ad5">
          <item id="86ccdbad82f6f7ad92b36ef1d2bf220a5b9650c7" isNormal="1">
            <s:text>
              <s:r>
                <s:t xml:space="preserve">RR:
客版资料翻单墨西哥单</s:t>
              </s:r>
            </s:text>
          </item>
        </commentChain>
      </unresolved>
      <resolved/>
    </commentChains>
    <commentChains s:ref="BC714" rgbClr="FF0000">
      <unresolved>
        <commentChain chainId="1a4da13d733619b3d1e2c933308599949a635522">
          <item id="f301cfe67733531d1649b16c329bdc7060bc10b6" isNormal="1">
            <s:text>
              <s:r>
                <s:t xml:space="preserve">RR:
客版新资料</s:t>
              </s:r>
            </s:text>
          </item>
        </commentChain>
      </unresolved>
      <resolved/>
    </commentChains>
    <commentChains s:ref="BD714" rgbClr="FF0000">
      <unresolved>
        <commentChain chainId="d9f5ed6d4fbe36fd90f74ade90b810f83170e5f4">
          <item id="cfcc16699624f0dec680ede2d130d8be0c0e5432" isNormal="1">
            <s:text>
              <s:r>
                <s:t xml:space="preserve">RR:
客版资料翻单墨西哥单</s:t>
              </s:r>
            </s:text>
          </item>
        </commentChain>
      </unresolved>
      <resolved/>
    </commentChains>
    <commentChains s:ref="BE714" rgbClr="FF0000">
      <unresolved>
        <commentChain chainId="dc21a46d80983d19677ded8683c58816b6c838a8">
          <item id="74941affc67aa020db931616ad8a0f029b2426e9" isNormal="1">
            <s:text>
              <s:r>
                <s:t xml:space="preserve">RR:
客版新资料</s:t>
              </s:r>
            </s:text>
          </item>
        </commentChain>
      </unresolved>
      <resolved/>
    </commentChains>
    <commentChains s:ref="BF714" rgbClr="FF0000">
      <unresolved>
        <commentChain chainId="2350bf14400f317c11d4eee5135b6adda93a85e2">
          <item id="d769d621d88af3a6602d42e5bd6174f1f7eb8c55" isNormal="1">
            <s:text>
              <s:r>
                <s:t xml:space="preserve">RR:
客版资料翻单墨西哥单</s:t>
              </s:r>
            </s:text>
          </item>
        </commentChain>
      </unresolved>
      <resolved/>
    </commentChains>
    <commentChains s:ref="BB715" rgbClr="FF0000">
      <unresolved>
        <commentChain chainId="d351a96a581605fa56e56f1f9255b91f8b142d9b">
          <item id="ff925e37d0936db707215f4dc7f7a07e0244ff6d" isNormal="1">
            <s:text>
              <s:r>
                <s:t xml:space="preserve">RR:
客版资料翻单墨西哥单</s:t>
              </s:r>
            </s:text>
          </item>
        </commentChain>
      </unresolved>
      <resolved/>
    </commentChains>
    <commentChains s:ref="BC715" rgbClr="FF0000">
      <unresolved>
        <commentChain chainId="034c923664d1e44e5f2eca5df75f9b51ef7dd425">
          <item id="79d4ca2e7d8eb65a7e8174f104a260faaf373d7c" isNormal="1">
            <s:text>
              <s:r>
                <s:t xml:space="preserve">RR:
客版新资料</s:t>
              </s:r>
            </s:text>
          </item>
        </commentChain>
      </unresolved>
      <resolved/>
    </commentChains>
    <commentChains s:ref="BD715" rgbClr="FF0000">
      <unresolved>
        <commentChain chainId="48cba21ceb629c046a355e2111f6187b0fed94cc">
          <item id="716c6fc7c99ecef726eac1d5c6dd7a0b6fe51f80" isNormal="1">
            <s:text>
              <s:r>
                <s:t xml:space="preserve">RR:
客版资料翻单墨西哥单</s:t>
              </s:r>
            </s:text>
          </item>
        </commentChain>
      </unresolved>
      <resolved/>
    </commentChains>
    <commentChains s:ref="BE715" rgbClr="FF0000">
      <unresolved>
        <commentChain chainId="d91b1457c044635a7406e9be7b38ac57b296552f">
          <item id="5c213acf718e5bf1a0d1645d524ef61670a5bc92" isNormal="1">
            <s:text>
              <s:r>
                <s:t xml:space="preserve">RR:
客版新资料</s:t>
              </s:r>
            </s:text>
          </item>
        </commentChain>
      </unresolved>
      <resolved/>
    </commentChains>
    <commentChains s:ref="BF715" rgbClr="FF0000">
      <unresolved>
        <commentChain chainId="9fa3c0569970cb5762ee1318aaff30a4bd59aa4f">
          <item id="41019343ac7556c93915197e0123ba390370e0fd" isNormal="1">
            <s:text>
              <s:r>
                <s:t xml:space="preserve">RR:
客版资料翻单墨西哥单</s:t>
              </s:r>
            </s:text>
          </item>
        </commentChain>
      </unresolved>
      <resolved/>
    </commentChains>
    <commentChains s:ref="BB716" rgbClr="FF0000">
      <unresolved>
        <commentChain chainId="74951c05b059b78b6ddd091f6087f73d187d76c7">
          <item id="bd3965a69b0df5140b987c2a70819d5fe85c47e7" isNormal="1">
            <s:text>
              <s:r>
                <s:t xml:space="preserve">RR:
客版资料翻单墨西哥单</s:t>
              </s:r>
            </s:text>
          </item>
        </commentChain>
      </unresolved>
      <resolved/>
    </commentChains>
    <commentChains s:ref="BC716" rgbClr="FF0000">
      <unresolved>
        <commentChain chainId="eca81a3ef12b187667ff98dd0f4146dc750d3ed7">
          <item id="2f9692aed5eb2921e4fdc7c0a9c33e23432803a4" isNormal="1">
            <s:text>
              <s:r>
                <s:t xml:space="preserve">RR:
客版新资料</s:t>
              </s:r>
            </s:text>
          </item>
        </commentChain>
      </unresolved>
      <resolved/>
    </commentChains>
    <commentChains s:ref="BD716" rgbClr="FF0000">
      <unresolved>
        <commentChain chainId="f547397ede7eb87f30783465055917f19217fe49">
          <item id="6c57699fabc9f562af1ee569604a6a6a793ed307" isNormal="1">
            <s:text>
              <s:r>
                <s:t xml:space="preserve">RR:
客版资料翻单墨西哥单</s:t>
              </s:r>
            </s:text>
          </item>
        </commentChain>
      </unresolved>
      <resolved/>
    </commentChains>
    <commentChains s:ref="BE716" rgbClr="FF0000">
      <unresolved>
        <commentChain chainId="7de39bbc103c142e9a2cfbd9c312812144a084e4">
          <item id="243c1c87862ba526e99939253eecc8801fd7335d" isNormal="1">
            <s:text>
              <s:r>
                <s:t xml:space="preserve">RR:
客版新资料</s:t>
              </s:r>
            </s:text>
          </item>
        </commentChain>
      </unresolved>
      <resolved/>
    </commentChains>
    <commentChains s:ref="BF716" rgbClr="FF0000">
      <unresolved>
        <commentChain chainId="4f0348fb90f8f15c82206c96efc625cf68911214">
          <item id="633efc65415031a7dbb645b50e24cddf141fe3d5" isNormal="1">
            <s:text>
              <s:r>
                <s:t xml:space="preserve">RR:
客版资料翻单墨西哥单</s:t>
              </s:r>
            </s:text>
          </item>
        </commentChain>
      </unresolved>
      <resolved/>
    </commentChains>
    <commentChains s:ref="V717" rgbClr="FF0000">
      <unresolved>
        <commentChain chainId="95e80907f9b309604ca8885e87cd99875d1963a8">
          <item id="4e33a91d57df43c8d86f3346eab8f9e9d07e95d9" userID="1850010794" userName="龙丽娟" dateTime="2026-07-17T12:08:50" isNormal="0">
            <s:text>
              <s:r>
                <s:t xml:space="preserve">7/16 上客供RFID贴纸 13440pcs</s:t>
              </s:r>
            </s:text>
          </item>
        </commentChain>
      </unresolved>
      <resolved/>
    </commentChains>
    <commentChains s:ref="V718" rgbClr="FF0000">
      <unresolved>
        <commentChain chainId="12d1b7b3840d59cdb6512786e6b4f0da653bfe17">
          <item id="2b431a8f5e71d95f9e40c6a69a485ba63e889979" userID="1850010794" userName="龙丽娟" dateTime="2026-07-17T12:08:50" isNormal="0">
            <s:text>
              <s:r>
                <s:t xml:space="preserve">7/16 上客供RFID贴纸 13440pcs</s:t>
              </s:r>
            </s:text>
          </item>
        </commentChain>
      </unresolved>
      <resolved/>
    </commentChains>
    <commentChains s:ref="V719" rgbClr="FF0000">
      <unresolved>
        <commentChain chainId="8f28e32a67a6787f7a1408a98382c6bc7c25fb80">
          <item id="6d76ae70ee28942d038721cd55d36083f123b2c1" userID="1850010794" userName="龙丽娟" dateTime="2026-07-17T12:08:50" isNormal="0">
            <s:text>
              <s:r>
                <s:t xml:space="preserve">7/16 上客供RFID贴纸 18240pcs</s:t>
              </s:r>
            </s:text>
          </item>
        </commentChain>
      </unresolved>
      <resolved/>
    </commentChains>
    <commentChains s:ref="V720" rgbClr="FF0000">
      <unresolved>
        <commentChain chainId="c069dbe7b6283e946a44917cc278e8b3253be2a2">
          <item id="bf6eb976b84260b3482b404a7a401423f436231f" userID="1850010794" userName="龙丽娟" dateTime="2026-07-17T12:08:50" isNormal="0">
            <s:text>
              <s:r>
                <s:t xml:space="preserve">7/16 上客供RFID贴纸 10560pcs</s:t>
              </s:r>
            </s:text>
          </item>
        </commentChain>
      </unresolved>
      <resolved/>
    </commentChains>
    <commentChains s:ref="V721" rgbClr="FF0000">
      <unresolved>
        <commentChain chainId="a6d112ef2a5d00cd1bcd5b799fce10838dcfe55b">
          <item id="3f84756a14b0f1d29d2bd3f44d53741bb6be726a" userID="1850010794" userName="龙丽娟" dateTime="2026-07-17T12:08:50" isNormal="0">
            <s:text>
              <s:r>
                <s:t xml:space="preserve">7/16 上客供RFID贴纸 19200pcs</s:t>
              </s:r>
            </s:text>
          </item>
        </commentChain>
      </unresolved>
      <resolved/>
    </commentChains>
    <commentChains s:ref="T722" rgbClr="FF0000">
      <unresolved>
        <commentChain chainId="73a8a5d04ba174c0ca8f2ddbeb7e088be9d8f3e1">
          <item id="4d4f9c6f9008bb2cc8717d9fe59ea8044824d0e0" userID="1850010794" userName="龙丽娟" dateTime="2026-08-12T08:36:54" isNormal="0">
            <s:text>
              <s:r>
                <s:t xml:space="preserve">8/8 1000418 1200pcsb4-a2</s:t>
              </s:r>
            </s:text>
          </item>
        </commentChain>
      </unresolved>
      <resolved/>
    </commentChains>
    <commentChains s:ref="T724" rgbClr="FF0000">
      <unresolved>
        <commentChain chainId="fe657dde5dab1e0bb5c9f5ec5bc35abe8cb7fe46">
          <item id="32be12c63992a7a92d86357806cdca0a18318067" userID="1850010794" userName="龙丽娟" dateTime="2026-08-13T02:17:22" isNormal="0">
            <s:text>
              <s:r>
                <s:t xml:space="preserve">8/12 1001453 8060pcs</s:t>
              </s:r>
            </s:text>
          </item>
        </commentChain>
      </unresolved>
      <resolved/>
    </commentChains>
    <commentChains s:ref="T725" rgbClr="FF0000">
      <unresolved>
        <commentChain chainId="30fd1357c8e316ddbcf13a42a6ebc7ec3d7d03fe">
          <item id="70985561bec6eb64cb996497f838b0ca2ee813c8" userID="1850010794" userName="龙丽娟" dateTime="2026-08-13T02:17:22" isNormal="0">
            <s:text>
              <s:r>
                <s:t xml:space="preserve">8/12 1001453 8060pcs</s:t>
              </s:r>
            </s:text>
          </item>
        </commentChain>
      </unresolved>
      <resolved/>
    </commentChains>
    <commentChains s:ref="V726" rgbClr="FF0000">
      <unresolved>
        <commentChain chainId="a241faeb35e6a2d0824cd7d67369abfd330b0c19">
          <item id="0f7488adfd1b0d12cc0a726ac5eea0c6c80acad2" userID="1850010794" userName="龙丽娟" dateTime="2026-07-12T11:32:59" isNormal="0">
            <s:text>
              <s:r>
                <s:t xml:space="preserve">7/6上空白贴纸5520pcs</s:t>
              </s:r>
            </s:text>
          </item>
        </commentChain>
      </unresolved>
      <resolved/>
    </commentChains>
    <commentChains s:ref="V727" rgbClr="FF0000">
      <unresolved>
        <commentChain chainId="6cb2f42ba4c32aebbbf8a06609c46dd2cb55778f">
          <item id="1a3275201e63f1534b46d030ec354f49a9cd6415" userID="1850010794" userName="龙丽娟" dateTime="2026-07-12T11:32:59" isNormal="0">
            <s:text>
              <s:r>
                <s:t xml:space="preserve">7/6上空白贴纸5520pcs</s:t>
              </s:r>
            </s:text>
          </item>
        </commentChain>
      </unresolved>
      <resolved/>
    </commentChains>
    <commentChains s:ref="V728" rgbClr="FF0000">
      <unresolved>
        <commentChain chainId="6d5779e6f2394067d8c8b27d07029023cac6a0dd">
          <item id="7df5fc9ae0a9ce0813c7892e538f9814a154b4f1" userID="1850010794" userName="龙丽娟" dateTime="2026-07-12T11:32:59" isNormal="0">
            <s:text>
              <s:r>
                <s:t xml:space="preserve">7/6上空白贴纸5520pcs</s:t>
              </s:r>
            </s:text>
          </item>
        </commentChain>
      </unresolved>
      <resolved/>
    </commentChains>
    <commentChains s:ref="V729" rgbClr="FF0000">
      <unresolved>
        <commentChain chainId="1041f4739fd02b613dde0b3838920f129ed299f7">
          <item id="be86f4073e1a9b2c4f7c81c4ac210f16d4d6404e" userID="1850010794" userName="龙丽娟" dateTime="2026-07-12T11:32:59" isNormal="0">
            <s:text>
              <s:r>
                <s:t xml:space="preserve">7/6上空白贴纸5520pcs</s:t>
              </s:r>
            </s:text>
          </item>
        </commentChain>
      </unresolved>
      <resolved/>
    </commentChains>
    <commentChains s:ref="T730" rgbClr="FF0000">
      <unresolved>
        <commentChain chainId="85e3bcda7c0d0ccc8956c3ebaee8bbdff3cfc7f7">
          <item id="13dab5618b41f471981c52f413eb73b1aafd6d4e" userID="1850010794" userName="龙丽娟" dateTime="2026-08-12T09:10:56" isNormal="0">
            <s:text>
              <s:r>
                <s:t xml:space="preserve">8/10 1001496 13872pcs欣泰A7</s:t>
              </s:r>
            </s:text>
          </item>
        </commentChain>
      </unresolved>
      <resolved/>
    </commentChains>
    <commentChains s:ref="T731" rgbClr="FF0000">
      <unresolved>
        <commentChain chainId="6328f960bb8718b60df5e585094b6b8cfc28d69b">
          <item id="5e9565b9123bc0bdda94d7c01d2004dfaef70965" userID="1850010794" userName="龙丽娟" dateTime="2026-08-07T13:25:04" isNormal="0">
            <s:text>
              <s:r>
                <s:t xml:space="preserve">8/4 1001552 5268PCS馥通B2</s:t>
              </s:r>
            </s:text>
          </item>
        </commentChain>
      </unresolved>
      <resolved/>
    </commentChains>
    <commentChains s:ref="T732" rgbClr="FF0000">
      <unresolved>
        <commentChain chainId="22a35d7ac167b53ab2a01645ae4472a20693cd98">
          <item id="302a2d9ee679e22e0c4a56e1dc692a8eea15ac7b" userID="1850010794" userName="龙丽娟" dateTime="2026-08-07T13:26:08" isNormal="0">
            <s:text>
              <s:r>
                <s:t xml:space="preserve">8/4 1001552 5808PCS馥通D4</s:t>
              </s:r>
            </s:text>
          </item>
        </commentChain>
      </unresolved>
      <resolved/>
    </commentChains>
    <commentChains s:ref="BB744" rgbClr="FF0000">
      <unresolved>
        <commentChain chainId="4558626c66bbe7e46f47844ae7dea6a20455184c">
          <item id="50398f20c735963753c047a8fe3106a35a87974d" isNormal="1">
            <s:text>
              <s:r>
                <s:t xml:space="preserve">RR:
客版资料翻单墨西哥单</s:t>
              </s:r>
            </s:text>
          </item>
        </commentChain>
      </unresolved>
      <resolved/>
    </commentChains>
    <commentChains s:ref="BC744" rgbClr="FF0000">
      <unresolved>
        <commentChain chainId="d2bcee0a4299d23c8cc8398ce408f5fc435fa6e5">
          <item id="fe6d9a1433395f8b6f4e5459d29a7d7f24d827de" isNormal="1">
            <s:text>
              <s:r>
                <s:t xml:space="preserve">RR:
客版新资料</s:t>
              </s:r>
            </s:text>
          </item>
        </commentChain>
      </unresolved>
      <resolved/>
    </commentChains>
    <commentChains s:ref="BD744" rgbClr="FF0000">
      <unresolved>
        <commentChain chainId="d8b8f038950d86ac6b61c620a585350c48e4473a">
          <item id="10749306aa892a2178a34c5bd8487dba778dace7" isNormal="1">
            <s:text>
              <s:r>
                <s:t xml:space="preserve">RR:
客版资料翻单墨西哥单</s:t>
              </s:r>
            </s:text>
          </item>
        </commentChain>
      </unresolved>
      <resolved/>
    </commentChains>
    <commentChains s:ref="BE744" rgbClr="FF0000">
      <unresolved>
        <commentChain chainId="c9cb55d072e726131e2c86f71c14aafccf60f905">
          <item id="1a58363ed71cdb197bc3477eb0925ad9f0252ce9" isNormal="1">
            <s:text>
              <s:r>
                <s:t xml:space="preserve">RR:
客版新资料</s:t>
              </s:r>
            </s:text>
          </item>
        </commentChain>
      </unresolved>
      <resolved/>
    </commentChains>
    <commentChains s:ref="BF744" rgbClr="FF0000">
      <unresolved>
        <commentChain chainId="b24d6bd7de08e48d6cc6266939669262b84f7869">
          <item id="af66e8db37935de55c9814685f076e7ff912f1fe" isNormal="1">
            <s:text>
              <s:r>
                <s:t xml:space="preserve">RR:
客版资料翻单墨西哥单</s:t>
              </s:r>
            </s:text>
          </item>
        </commentChain>
      </unresolved>
      <resolved/>
    </commentChains>
    <commentChains s:ref="T749" rgbClr="FF0000">
      <unresolved>
        <commentChain chainId="faaa9da9556e4eccae62566b1e2b579286d10887">
          <item id="cdb9f42d483b82de9089d519f4a760909a027b1b" userID="1850010794" userName="龙丽娟" dateTime="2026-08-14T09:16:26" isNormal="0">
            <s:text>
              <s:r>
                <s:t xml:space="preserve">2801403 8/6 3300pcs钜顺B4</s:t>
              </s:r>
            </s:text>
          </item>
        </commentChain>
      </unresolved>
      <resolved/>
    </commentChains>
    <commentChains s:ref="V763" rgbClr="FF0000">
      <unresolved>
        <commentChain chainId="f372fdcef87970295804afbf4b670f6cfdd35ff2">
          <item id="7ac02eae1086a8f45696ae372f38ca69dee3088a" userID="1850010794" userName="龙丽娟" dateTime="2026-07-21T07:41:52" isNormal="0">
            <s:text>
              <s:r>
                <s:t xml:space="preserve">7/16 收到客供外箱贴纸 29pcs</s:t>
              </s:r>
            </s:text>
          </item>
        </commentChain>
      </unresolved>
      <resolved/>
    </commentChains>
    <commentChains s:ref="V765" rgbClr="FF0000">
      <unresolved>
        <commentChain chainId="022b5fecb9f6e4adf1850c8f29f245a09c1d7a33">
          <item id="2e96c5bcd04927563be22a625a53c5f470f5ac81" userID="1850010794" userName="龙丽娟" dateTime="2026-07-21T07:41:52" isNormal="0">
            <s:text>
              <s:r>
                <s:t xml:space="preserve">7/16 收到客供外箱贴纸 33pcs</s:t>
              </s:r>
            </s:text>
          </item>
        </commentChain>
      </unresolved>
      <resolved/>
    </commentChains>
    <commentChains s:ref="V767" rgbClr="FF0000">
      <unresolved>
        <commentChain chainId="59bf59dea1b1700c022f1e5b78e5ab28cc48a770">
          <item id="597b2add7cecb4ca5c8eb46f18a0d5b1c238be1b" userID="1850010794" userName="龙丽娟" dateTime="2026-07-21T07:41:52" isNormal="0">
            <s:text>
              <s:r>
                <s:t xml:space="preserve">7/16 收到客供外箱贴纸 22pcs</s:t>
              </s:r>
            </s:text>
          </item>
        </commentChain>
      </unresolved>
      <resolved/>
    </commentChains>
    <commentChains s:ref="V768" rgbClr="FF0000">
      <unresolved>
        <commentChain chainId="d511049f9912b8a658ef6ac35280e5aebe96eb7a">
          <item id="31d5b47501b4392b4813de08e767c482ecaa2d58" userID="1850010794" userName="龙丽娟" dateTime="2026-07-20T14:17:58" isNormal="0">
            <s:text>
              <s:r>
                <s:t xml:space="preserve">7/20上进口商贴纸690pcs</s:t>
              </s:r>
            </s:text>
          </item>
        </commentChain>
      </unresolved>
      <resolved/>
    </commentChains>
    <commentChains s:ref="V769" rgbClr="FF0000">
      <unresolved>
        <commentChain chainId="192cc630db82fec667ca0d8525a62a003a3b1a1b">
          <item id="557eb71968381218c256773ba9dd865a0a882244" userID="1850010794" userName="龙丽娟" dateTime="2026-07-20T14:17:58" isNormal="0">
            <s:text>
              <s:r>
                <s:t xml:space="preserve">7/20上进口商贴纸690pcs</s:t>
              </s:r>
            </s:text>
          </item>
        </commentChain>
      </unresolved>
      <resolved/>
    </commentChains>
    <commentChains s:ref="V770" rgbClr="FF0000">
      <unresolved>
        <commentChain chainId="1b9a5474db19144d1ed162d8acda3830b1fc6edb">
          <item id="17d2d3b6faa0aef3627c9bd58ba8aaae82865a36" userID="1850010794" userName="龙丽娟" dateTime="2026-07-20T14:17:58" isNormal="0">
            <s:text>
              <s:r>
                <s:t xml:space="preserve">7/20上进口商贴纸690pcs</s:t>
              </s:r>
            </s:text>
          </item>
        </commentChain>
      </unresolved>
      <resolved/>
    </commentChains>
    <commentChains s:ref="V780" rgbClr="FF0000">
      <unresolved>
        <commentChain chainId="65fefe43bd573f272328f90abe4af8a927e58486">
          <item id="39f8fe7d4b98e73b22eeb294b2955af05a3d4680" userID="1850010794" userName="龙丽娟" dateTime="2026-07-17T12:10:57" isNormal="0">
            <s:text>
              <s:r>
                <s:t xml:space="preserve">7/16 上客供RFID贴纸 14400pcs</s:t>
              </s:r>
            </s:text>
          </item>
        </commentChain>
      </unresolved>
      <resolved/>
    </commentChains>
    <commentChains s:ref="V796" rgbClr="FF0000">
      <unresolved>
        <commentChain chainId="1d2449b4172a002ab16a8ee212d8b4579dee2750">
          <item id="827d43bedeed1c083cd673155cef8d9b3920df1c" userID="1850010794" userName="龙丽娟" dateTime="2026-07-17T12:10:57" isNormal="0">
            <s:text>
              <s:r>
                <s:t xml:space="preserve">7/16 上客供RFID贴纸 25920pcs</s:t>
              </s:r>
            </s:text>
          </item>
        </commentChain>
      </unresolved>
      <resolved/>
    </commentChains>
    <commentChains s:ref="V797" rgbClr="FF0000">
      <unresolved>
        <commentChain chainId="a8b5d2d154c8b27ba0e4794616fe4300ad06a501">
          <item id="0a6399d05e6ed9fa5df120f5e5c6941cb3ba923a" userID="1850010794" userName="龙丽娟" dateTime="2026-07-17T12:10:57" isNormal="0">
            <s:text>
              <s:r>
                <s:t xml:space="preserve">7/16 上客供RFID贴纸 28800pcs</s:t>
              </s:r>
            </s:text>
          </item>
        </commentChain>
      </unresolved>
      <resolved/>
    </commentChains>
    <commentChains s:ref="AR801" rgbClr="FF0000">
      <unresolved>
        <commentChain chainId="77fcc015fbc2fcd665c386fd252de768ee8549b9">
          <item id="51afdb304ad4ccec3f14595defba92d1a94aefef" userID="1853477080" userName="陈龙" dateTime="2026-06-04T13:56:56" isNormal="0">
            <s:text>
              <s:r>
                <s:t xml:space="preserve">客版无条码新资料</s:t>
              </s:r>
            </s:text>
          </item>
        </commentChain>
      </unresolved>
      <resolved/>
    </commentChains>
    <commentChains s:ref="BB816" rgbClr="FF0000">
      <unresolved>
        <commentChain chainId="a718ec4a5b24ad33683bac606e45f39fc6618cd1">
          <item id="7a141e5472ee4c18af05736a902b7c7eeab102ca" isNormal="1">
            <s:text>
              <s:r>
                <s:t xml:space="preserve">RR:
客版资料翻单墨西哥单</s:t>
              </s:r>
            </s:text>
          </item>
        </commentChain>
      </unresolved>
      <resolved/>
    </commentChains>
    <commentChains s:ref="BC816" rgbClr="FF0000">
      <unresolved>
        <commentChain chainId="0e465915b29068621d65110aaac547a48be536cf">
          <item id="2bf3e40297b91bc8f647c83821510be68cb5e534" isNormal="1">
            <s:text>
              <s:r>
                <s:t xml:space="preserve">RR:
客版新资料</s:t>
              </s:r>
            </s:text>
          </item>
        </commentChain>
      </unresolved>
      <resolved/>
    </commentChains>
    <commentChains s:ref="BD816" rgbClr="FF0000">
      <unresolved>
        <commentChain chainId="46c89224081995683577b5b36b4f7168eaf5e4dc">
          <item id="86fe6feeca08fd0c2edc16d938907321f55b3ceb" isNormal="1">
            <s:text>
              <s:r>
                <s:t xml:space="preserve">RR:
客版资料翻单墨西哥单</s:t>
              </s:r>
            </s:text>
          </item>
        </commentChain>
      </unresolved>
      <resolved/>
    </commentChains>
    <commentChains s:ref="BE816" rgbClr="FF0000">
      <unresolved>
        <commentChain chainId="0c813d7bca009a11cb7a4933448ff9433d4f4985">
          <item id="da127deae357b47a8fa6bc47aa3cf295b345710f" isNormal="1">
            <s:text>
              <s:r>
                <s:t xml:space="preserve">RR:
客版新资料</s:t>
              </s:r>
            </s:text>
          </item>
        </commentChain>
      </unresolved>
      <resolved/>
    </commentChains>
    <commentChains s:ref="BF816" rgbClr="FF0000">
      <unresolved>
        <commentChain chainId="7af727aa5b2a839f1c0578c6f3f6eb3b0ef84c00">
          <item id="3700bbd1199beb45a9aac554e4206611ffa72aad" isNormal="1">
            <s:text>
              <s:r>
                <s:t xml:space="preserve">RR:
客版资料翻单墨西哥单</s:t>
              </s:r>
            </s:text>
          </item>
        </commentChain>
      </unresolved>
      <resolved/>
    </commentChains>
    <commentChains s:ref="V821" rgbClr="FF0000">
      <unresolved>
        <commentChain chainId="6b885614cef063f7fab71d24cc9490cf1f108046">
          <item id="c879f4bcd900b02b4105220c7dfa6db5f95c0d99" userID="1850010794" userName="龙丽娟" dateTime="2026-07-19T09:16:06" isNormal="0">
            <s:text>
              <s:r>
                <s:t xml:space="preserve">7/14上UPC贴纸6400pcs</s:t>
              </s:r>
            </s:text>
          </item>
        </commentChain>
      </unresolved>
      <resolved/>
    </commentChains>
    <commentChains s:ref="BQ835" rgbClr="FF0000">
      <unresolved>
        <commentChain chainId="a556ed7ee898916e59b528c5ea2f54a7516f5214">
          <item id="a9e3f0d390a0cf3131e394c0357a64ff633bb322" isNormal="1">
            <s:text>
              <s:r>
                <s:t xml:space="preserve">RR:
新资料</s:t>
              </s:r>
            </s:text>
          </item>
        </commentChain>
      </unresolved>
      <resolved/>
    </commentChains>
    <commentChains s:ref="BQ836" rgbClr="FF0000">
      <unresolved>
        <commentChain chainId="be9b6f0ccc074b6300e1c85dd0abe1958b89bfbe">
          <item id="96bc96b75ac2c4f004c6d45d1d0dec9f673aabfb" isNormal="1">
            <s:text>
              <s:r>
                <s:t xml:space="preserve">RR:
新资料</s:t>
              </s:r>
            </s:text>
          </item>
        </commentChain>
      </unresolved>
      <resolved/>
    </commentChains>
    <commentChains s:ref="BQ837" rgbClr="FF0000">
      <unresolved>
        <commentChain chainId="a0660172d7bd34b97d2889bd24becda54dbf3818">
          <item id="0ee941e50aa2f5dd4943554008dd558ea5c63987" isNormal="1">
            <s:text>
              <s:r>
                <s:t xml:space="preserve">RR:
新资料</s:t>
              </s:r>
            </s:text>
          </item>
        </commentChain>
      </unresolved>
      <resolved/>
    </commentChains>
    <commentChains s:ref="BB849" rgbClr="FF0000">
      <unresolved>
        <commentChain chainId="0976096ae3877bcf067925dfd3e353f64dbac94d">
          <item id="37f76e4f1bb969954a030dade76f3e26f58bf35e" isNormal="1">
            <s:text>
              <s:r>
                <s:t xml:space="preserve">RR:
客版资料翻单墨西哥单</s:t>
              </s:r>
            </s:text>
          </item>
        </commentChain>
      </unresolved>
      <resolved/>
    </commentChains>
    <commentChains s:ref="BC849" rgbClr="FF0000">
      <unresolved>
        <commentChain chainId="8064b0c443a1b455cfd0cb71b464b795576fdce5">
          <item id="232dae83f8168c779b85e9fc325011b21906484e" isNormal="1">
            <s:text>
              <s:r>
                <s:t xml:space="preserve">RR:
客版新资料</s:t>
              </s:r>
            </s:text>
          </item>
        </commentChain>
      </unresolved>
      <resolved/>
    </commentChains>
    <commentChains s:ref="BD849" rgbClr="FF0000">
      <unresolved>
        <commentChain chainId="5c7a9399db568a28785268a31e3c6310f5d3b194">
          <item id="f1d3fba81cf5c83588113447e41faaab6ba5a76e" isNormal="1">
            <s:text>
              <s:r>
                <s:t xml:space="preserve">RR:
客版资料翻单墨西哥单</s:t>
              </s:r>
            </s:text>
          </item>
        </commentChain>
      </unresolved>
      <resolved/>
    </commentChains>
    <commentChains s:ref="BE849" rgbClr="FF0000">
      <unresolved>
        <commentChain chainId="4c12469873b9ed948611c9a61423b018d444f0b9">
          <item id="522bdd181ed4784bea2ee6bab9eab04e6a28ca2f" isNormal="1">
            <s:text>
              <s:r>
                <s:t xml:space="preserve">RR:
客版新资料</s:t>
              </s:r>
            </s:text>
          </item>
        </commentChain>
      </unresolved>
      <resolved/>
    </commentChains>
    <commentChains s:ref="BF849" rgbClr="FF0000">
      <unresolved>
        <commentChain chainId="2fcd14415f92c9fedff5156c3e816fda12eaef78">
          <item id="15fefb44c9205c2063d5b3550d080a51bcbd1e32" isNormal="1">
            <s:text>
              <s:r>
                <s:t xml:space="preserve">RR:
客版资料翻单墨西哥单</s:t>
              </s:r>
            </s:text>
          </item>
        </commentChain>
      </unresolved>
      <resolved/>
    </commentChains>
    <commentChains s:ref="BB850" rgbClr="FF0000">
      <unresolved>
        <commentChain chainId="1fba94aa1b93522c2c1e75b7f70e4fc370319184">
          <item id="f053442fdc19749cfa42cca191d083cdd137ae2c" isNormal="1">
            <s:text>
              <s:r>
                <s:t xml:space="preserve">RR:
客版资料翻单墨西哥单</s:t>
              </s:r>
            </s:text>
          </item>
        </commentChain>
      </unresolved>
      <resolved/>
    </commentChains>
    <commentChains s:ref="BC850" rgbClr="FF0000">
      <unresolved>
        <commentChain chainId="8333319e31b652ef01f84b0d3af91856421f0a93">
          <item id="4f943075f0d791b1fb593486400e3844f9496da1" isNormal="1">
            <s:text>
              <s:r>
                <s:t xml:space="preserve">RR:
客版新资料</s:t>
              </s:r>
            </s:text>
          </item>
        </commentChain>
      </unresolved>
      <resolved/>
    </commentChains>
    <commentChains s:ref="BD850" rgbClr="FF0000">
      <unresolved>
        <commentChain chainId="df438d3e1b5fc15c8d02b2f5f6cfb85ff5c64560">
          <item id="6aa600d2fda61bcf0b6af7e285de48695a5fa5cf" isNormal="1">
            <s:text>
              <s:r>
                <s:t xml:space="preserve">RR:
客版资料翻单墨西哥单</s:t>
              </s:r>
            </s:text>
          </item>
        </commentChain>
      </unresolved>
      <resolved/>
    </commentChains>
    <commentChains s:ref="BE850" rgbClr="FF0000">
      <unresolved>
        <commentChain chainId="c637f01b5314147fccacadb8b4a0c505551e6eb9">
          <item id="3eb22352fce9663cc1c3748847528da18ee83c53" isNormal="1">
            <s:text>
              <s:r>
                <s:t xml:space="preserve">RR:
客版新资料</s:t>
              </s:r>
            </s:text>
          </item>
        </commentChain>
      </unresolved>
      <resolved/>
    </commentChains>
    <commentChains s:ref="BF850" rgbClr="FF0000">
      <unresolved>
        <commentChain chainId="5d6c66ecc5c6ac74a73a818db68183d2f0a122f8">
          <item id="0f16ad5f316c738b3b501fa59cb4d858bb52ba41" isNormal="1">
            <s:text>
              <s:r>
                <s:t xml:space="preserve">RR:
客版资料翻单墨西哥单</s:t>
              </s:r>
            </s:text>
          </item>
        </commentChain>
      </unresolved>
      <resolved/>
    </commentChains>
    <commentChains s:ref="BB853" rgbClr="FF0000">
      <unresolved>
        <commentChain chainId="7432ad19872230442a76b00f784c966039f260d2">
          <item id="98ba126bce6ad66dd3da12c9d95a4a9ea8a92f80" isNormal="1">
            <s:text>
              <s:r>
                <s:t xml:space="preserve">RR:
客版资料翻单墨西哥单</s:t>
              </s:r>
            </s:text>
          </item>
        </commentChain>
      </unresolved>
      <resolved/>
    </commentChains>
    <commentChains s:ref="BC853" rgbClr="FF0000">
      <unresolved>
        <commentChain chainId="ef38c5ffed40421b826c89a80b43a2def4e97cf0">
          <item id="6529242e4ee20e18ff53ddd878dbc194064a1ec1" isNormal="1">
            <s:text>
              <s:r>
                <s:t xml:space="preserve">RR:
客版新资料</s:t>
              </s:r>
            </s:text>
          </item>
        </commentChain>
      </unresolved>
      <resolved/>
    </commentChains>
    <commentChains s:ref="BD853" rgbClr="FF0000">
      <unresolved>
        <commentChain chainId="78323beebead81d9c5e79bc62dd97cd5d2031d33">
          <item id="f753ddac835b549a38174f9a7a9461e278bfd43c" isNormal="1">
            <s:text>
              <s:r>
                <s:t xml:space="preserve">RR:
客版资料翻单墨西哥单</s:t>
              </s:r>
            </s:text>
          </item>
        </commentChain>
      </unresolved>
      <resolved/>
    </commentChains>
    <commentChains s:ref="BE853" rgbClr="FF0000">
      <unresolved>
        <commentChain chainId="3ea66f9a53f1bba76a66c28bca68bc3367a178a4">
          <item id="842666c4a3f0ca756ffd276f4b9bfcffa6d0c0d4" isNormal="1">
            <s:text>
              <s:r>
                <s:t xml:space="preserve">RR:
客版新资料</s:t>
              </s:r>
            </s:text>
          </item>
        </commentChain>
      </unresolved>
      <resolved/>
    </commentChains>
    <commentChains s:ref="BF853" rgbClr="FF0000">
      <unresolved>
        <commentChain chainId="9ab8ad5dd09832651330a20b2221fa093235238d">
          <item id="fa1ce35eabff6aa6f7b6ff51be921e0227691460" isNormal="1">
            <s:text>
              <s:r>
                <s:t xml:space="preserve">RR:
客版资料翻单墨西哥单</s:t>
              </s:r>
            </s:text>
          </item>
        </commentChain>
      </unresolved>
      <resolved/>
    </commentChains>
    <commentChains s:ref="AX899" rgbClr="FF0000">
      <unresolved>
        <commentChain chainId="03989102c5589da4f30aea673386938ad246fd93">
          <item id="cea4dee66a157f9ded0e0a925f9bc6c8ddad9c8b" isNormal="1">
            <s:text>
              <s:r>
                <s:t xml:space="preserve">RR:
移除21/23号唱片客版收藏指南</s:t>
              </s:r>
            </s:text>
          </item>
        </commentChain>
      </unresolved>
      <resolved/>
    </commentChains>
    <commentChains s:ref="AX900" rgbClr="FF0000">
      <unresolved>
        <commentChain chainId="df7e82a8a9ea34847b37cbc171796fc6282464b1">
          <item id="8f1cb815defa36baf22cc9d507bdfb72d1502e43" isNormal="1">
            <s:text>
              <s:r>
                <s:t xml:space="preserve">RR:
移除21/23号唱片客版收藏指南</s:t>
              </s:r>
            </s:text>
          </item>
        </commentChain>
      </unresolved>
      <resolved/>
    </commentChains>
    <commentChains s:ref="BB913" rgbClr="FF0000">
      <unresolved>
        <commentChain chainId="78b8169a5341934e9458571b25f019f38f850fdc">
          <item id="f85bf8e9a3cd3e8af2eaaed0205fd3e97e5ec3c3" isNormal="1">
            <s:text>
              <s:r>
                <s:t xml:space="preserve">RR:
客版资料翻单墨西哥单</s:t>
              </s:r>
            </s:text>
          </item>
        </commentChain>
      </unresolved>
      <resolved/>
    </commentChains>
    <commentChains s:ref="BC913" rgbClr="FF0000">
      <unresolved>
        <commentChain chainId="47a4ff414d731d739c00395fbd2cb60901103ad9">
          <item id="0364f47bc3983ae0ebe646f101b4ad6bd36167ab" isNormal="1">
            <s:text>
              <s:r>
                <s:t xml:space="preserve">RR:
客版新资料</s:t>
              </s:r>
            </s:text>
          </item>
        </commentChain>
      </unresolved>
      <resolved/>
    </commentChains>
    <commentChains s:ref="BD913" rgbClr="FF0000">
      <unresolved>
        <commentChain chainId="71e8314415f380a7b3155cc75e88529f2b353b56">
          <item id="bab790ec4a6f57c241f5d62cb12b55f1116c2a08" isNormal="1">
            <s:text>
              <s:r>
                <s:t xml:space="preserve">RR:
客版资料翻单墨西哥单</s:t>
              </s:r>
            </s:text>
          </item>
        </commentChain>
      </unresolved>
      <resolved/>
    </commentChains>
    <commentChains s:ref="BE913" rgbClr="FF0000">
      <unresolved>
        <commentChain chainId="7463f181d2561a6260cb0c380b443936f764194f">
          <item id="16a863d49d0ed45fec005b4a4d1e372542086b06" isNormal="1">
            <s:text>
              <s:r>
                <s:t xml:space="preserve">RR:
客版新资料</s:t>
              </s:r>
            </s:text>
          </item>
        </commentChain>
      </unresolved>
      <resolved/>
    </commentChains>
    <commentChains s:ref="BF913" rgbClr="FF0000">
      <unresolved>
        <commentChain chainId="be54c39dc9f8befd4f6103df00801a29c028c62d">
          <item id="e440ef98ecc2f7881abfff1887299be15c2be3bf" isNormal="1">
            <s:text>
              <s:r>
                <s:t xml:space="preserve">RR:
客版资料翻单墨西哥单</s:t>
              </s:r>
            </s:text>
          </item>
        </commentChain>
      </unresolved>
      <resolved/>
    </commentChains>
    <commentChains s:ref="V931" rgbClr="FF0000">
      <unresolved>
        <commentChain chainId="8860274e76a05e6f6fbb73cec56493b74d778747">
          <item id="295b3f9e97953456b481b2e397f7c92d941d7f4e" userID="1850010794" userName="龙丽娟" dateTime="2026-08-14T08:19:10" isNormal="0">
            <s:text>
              <s:r>
                <s:t xml:space="preserve">8/13 上HK客供警语贴纸贴球底部2148pcs/客供警语贴纸拆件说明书收藏指南2748pcs</s:t>
              </s:r>
            </s:text>
          </item>
        </commentChain>
      </unresolved>
      <resolved/>
    </commentChains>
  </commentList>
  <commentList sheetStid="26">
    <commentChains s:ref="AG3" rgbClr="FF0000">
      <unresolved>
        <commentChain chainId="ac97344ed81dd6155ca54c473d538f6100d0d2cf">
          <item id="ee1d39ee5156b43216c58841257f83209bd8083a" isNormal="1">
            <s:text>
              <s:r>
                <s:t xml:space="preserve">Administrator:
3/18车间包装</s:t>
              </s:r>
            </s:text>
          </item>
        </commentChain>
      </unresolved>
      <resolved/>
    </commentChains>
    <commentChains s:ref="AI6" rgbClr="FF0000">
      <unresolved>
        <commentChain chainId="779c314180882e59e0f7d365a6ba9a88fc68f4e8">
          <item id="3d7fcfe993f31fb5cbfc50ff78ae4d5a53bdb212" isNormal="1">
            <s:text>
              <s:r>
                <s:t xml:space="preserve">Administrator:
1/26 收到客供外箱条码贴纸 1970pcs
1/26 收到EVENT LABEL 1950pcs
3/10 上锂电池贴纸 11932pcs
    189603/189608/190738/194297/194290/194303/194701 共用</s:t>
              </s:r>
            </s:text>
          </item>
        </commentChain>
      </unresolved>
      <resolved/>
    </commentChains>
    <commentChains s:ref="AG7" rgbClr="FF0000">
      <unresolved>
        <commentChain chainId="03f28f643b18bda338edabf282e247c11017fdb6">
          <item id="9db767644eedf707d7f7a101bc2fc1284cf6a0cf" isNormal="1">
            <s:text>
              <s:r>
                <s:t xml:space="preserve">Administrator:
东莞生产35000pcs
1405566 1/26 2880pcs 华兴一F11
1406380 3/7 10000 pcs 华兴华登1楼
1405479 3/7 7680 pcs 华兴一F5
1405482 3/7 12472 pcs 华兴华登1楼
以上退回湖南返工
1405268 3/17 12296+4848pcs华兴华登1楼
1405267 3/17 17856pcs华兴华登1楼
</s:t>
              </s:r>
            </s:text>
          </item>
        </commentChain>
      </unresolved>
      <resolved/>
    </commentChains>
    <commentChains s:ref="AI7" rgbClr="FF0000">
      <unresolved>
        <commentChain chainId="1bd7fd8dde867f53f7ed1ffda6128469d68e2f04">
          <item id="46e96360ed4c55a205c16fb3e3de0dd6778d5fd6" isNormal="1">
            <s:text>
              <s:r>
                <s:t xml:space="preserve">Administrator:
1/26 上客供外箱条码贴纸 40000pcs/5000箱
     东莞生产29400pcs/3675箱
3/10 上锂电池贴纸 11932pcs
      189603/189608/190738/194297/194290/194303/194701 共用
</s:t>
              </s:r>
            </s:text>
          </item>
        </commentChain>
      </unresolved>
      <resolved/>
    </commentChains>
    <commentChains s:ref="AG8" rgbClr="FF0000">
      <unresolved>
        <commentChain chainId="a03eaa6ac6227b2640a634cf74f9964b55b3c611">
          <item id="5623e1c219f839e92bc0efea0b3cd0f1d49f4d36" isNormal="1">
            <s:text>
              <s:r>
                <s:t xml:space="preserve">Administrator:
1406095 3/4 2016pcs
半成品，东莞混装
备品248pcs</s:t>
              </s:r>
            </s:text>
          </item>
        </commentChain>
      </unresolved>
      <resolved/>
    </commentChains>
    <commentChains s:ref="AG9" rgbClr="FF0000">
      <unresolved>
        <commentChain chainId="87948981e08104adb070e8c349fde794679d276c">
          <item id="07b39a2222fc6aba2a73a58ee4c8aacff366f9ba" isNormal="1">
            <s:text>
              <s:r>
                <s:t xml:space="preserve">Administrator:
1406095 3/4 864pcs
半成品，东莞混装</s:t>
              </s:r>
            </s:text>
          </item>
        </commentChain>
      </unresolved>
      <resolved/>
    </commentChains>
    <commentChains s:ref="AG10" rgbClr="FF0000">
      <unresolved>
        <commentChain chainId="d312eebe55eeec6a6a700bb044c8f46b43bf6aca">
          <item id="fb7c51e8a89b2489c3f235e4164047d33c5c78b6" isNormal="1">
            <s:text>
              <s:r>
                <s:t xml:space="preserve">Administrator:
3/21 1405264 5008pcs 华兴华登一楼B1区
</s:t>
              </s:r>
            </s:text>
          </item>
        </commentChain>
      </unresolved>
      <resolved/>
    </commentChains>
    <commentChains s:ref="AI10" rgbClr="FF0000">
      <unresolved>
        <commentChain chainId="51b068693c1b059447771208b2f0c4a13471bcb7">
          <item id="1828ec194b92043c32373d1ba93fb150df19c40d" isNormal="1">
            <s:text>
              <s:r>
                <s:t xml:space="preserve">Administrator:
3/23 上锂电池贴纸106*106mm 753pcs
191968/191960/191961/191990/191996共用</s:t>
              </s:r>
            </s:text>
          </item>
        </commentChain>
      </unresolved>
      <resolved/>
    </commentChains>
    <commentChains s:ref="AG11" rgbClr="FF0000">
      <unresolved>
        <commentChain chainId="ac6f5256d05918a4d2e677040889f01683d02a4a">
          <item id="36936d914c8f4a0a2ed132e9346dd9a6d3a29b74" isNormal="1">
            <s:text>
              <s:r>
                <s:t xml:space="preserve">Administrator:
1405268 3/17 2512pcs华兴华登一楼</s:t>
              </s:r>
            </s:text>
          </item>
        </commentChain>
      </unresolved>
      <resolved/>
    </commentChains>
    <commentChains s:ref="AI11" rgbClr="FF0000">
      <unresolved>
        <commentChain chainId="3b6e2da2f2a6114c4d003b84fe4b8c39846c4f50">
          <item id="5c7e6a107cd80cd94adb98bab94157da03ad03b9" isNormal="1">
            <s:text>
              <s:r>
                <s:t xml:space="preserve">Administrator:
3/23 上锂电池贴纸106*106mm 753pcs
191968/191960/191961/191990/191996共用</s:t>
              </s:r>
            </s:text>
          </item>
        </commentChain>
      </unresolved>
      <resolved/>
    </commentChains>
    <commentChains s:ref="AG12" rgbClr="FF0000">
      <unresolved>
        <commentChain chainId="473abaa7f64708c483179a0490f225889a05a705">
          <item id="f9fc4ce877b4c7f92231237f5bc805c02dca07c2" isNormal="1">
            <s:text>
              <s:r>
                <s:t xml:space="preserve">Administrator:
3/17 东莞生产，18号走空运</s:t>
              </s:r>
            </s:text>
          </item>
        </commentChain>
      </unresolved>
      <resolved/>
    </commentChains>
    <commentChains s:ref="AI12" rgbClr="FF0000">
      <unresolved>
        <commentChain chainId="05efaba97423eac510a86259d91074b88752d80a">
          <item id="127bf580bee569663fdc5a50e5f11626451dcb67" isNormal="1">
            <s:text>
              <s:r>
                <s:t xml:space="preserve">Administrator:
3/6 上UPC贴纸 32pcs</s:t>
              </s:r>
            </s:text>
          </item>
        </commentChain>
      </unresolved>
      <resolved/>
    </commentChains>
    <commentChains s:ref="AG13" rgbClr="FF0000">
      <unresolved>
        <commentChain chainId="9df2960a3b54ae89a825468015a80b7a3b4234f7">
          <item id="c68661160ba533fc1f6f9aae8d70134e3b8f8d03" isNormal="1">
            <s:text>
              <s:r>
                <s:t xml:space="preserve">Administrator:
3/26 1405204 560pcs</s:t>
              </s:r>
            </s:text>
          </item>
        </commentChain>
      </unresolved>
      <resolved/>
    </commentChains>
    <commentChains s:ref="AI13" rgbClr="FF0000">
      <unresolved>
        <commentChain chainId="61f0737d5aba40018953e3d8306a49013a7234fd">
          <item id="29a3672d74bf46978f9bcd220a25e7e24586e361" isNormal="1">
            <s:text>
              <s:r>
                <s:t xml:space="preserve">Administrator:
3/23 上锂电池贴纸106*106mm 753pcs
191968/191960/191961/191990/191996共用</s:t>
              </s:r>
            </s:text>
          </item>
        </commentChain>
      </unresolved>
      <resolved/>
    </commentChains>
    <commentChains s:ref="AG14" rgbClr="FF0000">
      <unresolved>
        <commentChain chainId="b7dede6529d01e2669084709da4a7d9cedc66088">
          <item id="2bf9e9781fca2f8366149fdca10d1dd93bd35536" isNormal="1">
            <s:text>
              <s:r>
                <s:t xml:space="preserve">Administrator:
3/26 1405204 240pcs
</s:t>
              </s:r>
            </s:text>
          </item>
        </commentChain>
      </unresolved>
      <resolved/>
    </commentChains>
    <commentChains s:ref="AI14" rgbClr="FF0000">
      <unresolved>
        <commentChain chainId="2766d64eca28bf8d205451579def1b03a79f705b">
          <item id="0132b04e3784546517ccb081a0f66685dc84a287" isNormal="1">
            <s:text>
              <s:r>
                <s:t xml:space="preserve">Administrator:
3/23 上锂电池贴纸106*106mm 753pcs
191968/191960/191961/191990/191996共用</s:t>
              </s:r>
            </s:text>
          </item>
        </commentChain>
      </unresolved>
      <resolved/>
    </commentChains>
    <commentChains s:ref="AG15" rgbClr="FF0000">
      <unresolved>
        <commentChain chainId="fca12304c2ce79c349803b66baeb4f17eafee0b8">
          <item id="4439718372935e93d59b009bf697e6bb239c8be9" isNormal="1">
            <s:text>
              <s:r>
                <s:t xml:space="preserve">Administrator:
1406074 3/9 3422pcs  文本云
1406103 3/17 2741pcs</s:t>
              </s:r>
            </s:text>
          </item>
        </commentChain>
      </unresolved>
      <resolved/>
    </commentChains>
    <commentChains s:ref="AI15" rgbClr="FF0000">
      <unresolved>
        <commentChain chainId="b26a452dfac7394ac62ba473e730f9b8d27a51b8">
          <item id="ef543a29a48f2c7e979b290cc7016fe72cb76f92" isNormal="1">
            <s:text>
              <s:r>
                <s:t xml:space="preserve">Administrator:
3/23 上锂电池贴纸106*106mm 753pcs
191968/191960/191961/191990/191996共用</s:t>
              </s:r>
            </s:text>
          </item>
        </commentChain>
      </unresolved>
      <resolved/>
    </commentChains>
    <commentChains s:ref="AG16" rgbClr="FF0000">
      <unresolved>
        <commentChain chainId="a73a935203fa5acfbac5a4f3ef274aeb971df57a">
          <item id="334238de1578d614c261976ec857664767cb3206" isNormal="1">
            <s:text>
              <s:r>
                <s:t xml:space="preserve">Administrator:
1406103 3/17 1536pcs</s:t>
              </s:r>
            </s:text>
          </item>
        </commentChain>
      </unresolved>
      <resolved/>
    </commentChains>
    <commentChains s:ref="AG17" rgbClr="FF0000">
      <unresolved>
        <commentChain chainId="f76c5f245037effbcd975c82165ed6f572f8121e">
          <item id="d5181a3bad634a9a58bf413a39c2992d5d192db8" isNormal="1">
            <s:text>
              <s:r>
                <s:t xml:space="preserve">Administrator:
3/23 1405232 992pcs 华兴三楼B14区</s:t>
              </s:r>
            </s:text>
          </item>
        </commentChain>
      </unresolved>
      <resolved/>
    </commentChains>
    <commentChains s:ref="AI17" rgbClr="FF0000">
      <unresolved>
        <commentChain chainId="261268d0c14d2d7b6f9f43964b87f20cc502756d">
          <item id="3260bddaba795fdd73bb50030f895882991775f3" isNormal="1">
            <s:text>
              <s:r>
                <s:t xml:space="preserve">Administrator:
3/21 上地址贴纸 7600pcs
191996/191997共用
3/23 上锂电池贴纸106*106mm 753pcs
191968/191960/191961/191990/191996共用
</s:t>
              </s:r>
            </s:text>
          </item>
        </commentChain>
      </unresolved>
      <resolved/>
    </commentChains>
    <commentChains s:ref="AG18" rgbClr="FF0000">
      <unresolved>
        <commentChain chainId="40ff6a7e5a5aeba28e3976f31b4c779802ba1642">
          <item id="f9b22ab237b91bc068bd1d17b3da1648bcaa003d" isNormal="1">
            <s:text>
              <s:r>
                <s:t xml:space="preserve">Administrator:
3/23 1405232 608pcs 华兴--F5</s:t>
              </s:r>
            </s:text>
          </item>
        </commentChain>
      </unresolved>
      <resolved/>
    </commentChains>
    <commentChains s:ref="AI18" rgbClr="FF0000">
      <unresolved>
        <commentChain chainId="5809d3e9d9acc704ff51df3f0470be0f4ab15fc2">
          <item id="0a7c7bdada3ae6436a4f7bac9d60908c58f62390" isNormal="1">
            <s:text>
              <s:r>
                <s:t xml:space="preserve">Administrator:
3/21 上地址贴纸 7600pcs
191996/191997共用
3/23 上锂电池贴纸106*106mm 753pcs
191968/191960/191961/191990/191996共用
</s:t>
              </s:r>
            </s:text>
          </item>
        </commentChain>
      </unresolved>
      <resolved/>
    </commentChains>
    <commentChains s:ref="AG19" rgbClr="FF0000">
      <unresolved>
        <commentChain chainId="a1ed6fcff0b744a8a17b91ab9e739da3df6a1f7d">
          <item id="48db4df80767a5e5ed9d5bc0c5e7be76fbd513e3" isNormal="1">
            <s:text>
              <s:r>
                <s:t xml:space="preserve">Administrator:
1406103 3/17 1771pcs
1406064 3/23  1013pcs</s:t>
              </s:r>
            </s:text>
          </item>
        </commentChain>
      </unresolved>
      <resolved/>
    </commentChains>
    <commentChains s:ref="AI19" rgbClr="FF0000">
      <unresolved>
        <commentChain chainId="089533993bc2642be827e101150680c1f102e1c8">
          <item id="9403cabeedf67207ebf6173fe02febc6f36d5f29" isNormal="1">
            <s:text>
              <s:r>
                <s:t xml:space="preserve">Administrator:
3/21 上地址贴纸 7600pcs
191996/191997共用</s:t>
              </s:r>
            </s:text>
          </item>
        </commentChain>
      </unresolved>
      <resolved/>
    </commentChains>
    <commentChains s:ref="AG20" rgbClr="FF0000">
      <unresolved>
        <commentChain chainId="e5681460f57e638c3a1854557ae9ea799044e603">
          <item id="4de5a06682086319a6794b96b6d91d718f12b2ee" isNormal="1">
            <s:text>
              <s:r>
                <s:t xml:space="preserve">Administrator:
3/23 1406064 3216pcs</s:t>
              </s:r>
            </s:text>
          </item>
        </commentChain>
      </unresolved>
      <resolved/>
    </commentChains>
    <commentChains s:ref="AI20" rgbClr="FF0000">
      <unresolved>
        <commentChain chainId="3445aa99a27fb2453da2c86d55173d3068179ae6">
          <item id="9daba0187bdf9d1fe6d32338f1c02e825106efcf" isNormal="1">
            <s:text>
              <s:r>
                <s:t xml:space="preserve">Administrator:
3/21 上地址贴纸 7600pcs
191996/191997共用</s:t>
              </s:r>
            </s:text>
          </item>
        </commentChain>
      </unresolved>
      <resolved/>
    </commentChains>
    <commentChains s:ref="AG21" rgbClr="FF0000">
      <unresolved>
        <commentChain chainId="25c34e44d0ee86e5f6e7f0afb89357071855daa0">
          <item id="2651879edfd1cd965a2b75e202b14ad8f9b0eb31" isNormal="1">
            <s:text>
              <s:r>
                <s:t xml:space="preserve">Administrator:
3/28 1406070 
唱片机半成品1850pcs
A03耳机半成品1850
A04音响半成品3700pcs
A07麦克风半成品1850pcs
A黄金唱片半成品1850pcs
A塞子          1850pcs
4/6 140637 唱片机半成品 8460pcs
4/11 1405995 唱片机半成品13000pcs</s:t>
              </s:r>
            </s:text>
          </item>
        </commentChain>
      </unresolved>
      <resolved/>
    </commentChains>
    <commentChains s:ref="AI21" rgbClr="FF0000">
      <unresolved>
        <commentChain chainId="55eef441248986abe14cabba4411cf12aeea6f37">
          <item id="166098f5bde72c4b26c92448f118853483f9ec1e" isNormal="1">
            <s:text>
              <s:r>
                <s:t xml:space="preserve">Administrator:
2/26 上客供RFID贴纸 4320pcs
3/11 上锂电池贴纸 2000pcs
192823/192824/192825/192826/192827/192828共用
5/14上锂电池贴纸 26118pcs
192823/192824/192825/192826/192827/192828共用
</s:t>
              </s:r>
            </s:text>
          </item>
        </commentChain>
      </unresolved>
      <resolved/>
    </commentChains>
    <commentChains s:ref="AG22" rgbClr="FF0000">
      <unresolved>
        <commentChain chainId="85aae9383d2c387068a7f66f0b57f4c833abb109">
          <item id="b8652a57ba41826c22b2a6169b5851d0383af99b" isNormal="1">
            <s:text>
              <s:r>
                <s:t xml:space="preserve">Administrator:
1406265 4/3 400新仓库B5
</s:t>
              </s:r>
            </s:text>
          </item>
        </commentChain>
      </unresolved>
      <resolved/>
    </commentChains>
    <commentChains s:ref="AI22" rgbClr="FF0000">
      <unresolved>
        <commentChain chainId="5a4cd6047dc6a07fec1ec6989eac785b8baa7f1a">
          <item id="1c20e52e0435ed4b45d1c494a617209afab6da16" isNormal="1">
            <s:text>
              <s:r>
                <s:t xml:space="preserve">Administrator:
3/6 上UPC贴纸 400pcs</s:t>
              </s:r>
            </s:text>
          </item>
        </commentChain>
      </unresolved>
      <resolved/>
    </commentChains>
    <commentChains s:ref="AG23" rgbClr="FF0000">
      <unresolved>
        <commentChain chainId="f299c9d26293162db863623b0aee5b0242d39225">
          <item id="1180275060bb4b634ab869ca07ef545350240420" isNormal="1">
            <s:text>
              <s:r>
                <s:t xml:space="preserve">Administrator:
1406304 4/14 6400pcs 直走</s:t>
              </s:r>
            </s:text>
          </item>
        </commentChain>
      </unresolved>
      <resolved/>
    </commentChains>
    <commentChains s:ref="AI23" rgbClr="FF0000">
      <unresolved>
        <commentChain chainId="9ba4d19ca45789c8d25e3416cc19487858b33671">
          <item id="ae10a49d0f6f9b924f1db1dc74cb22244cf78993" isNormal="1">
            <s:text>
              <s:r>
                <s:t xml:space="preserve">Administrator:
3/19 上地址贴纸6400pcs
3/24 上锂电池贴纸2000pcs 196425/193875/192187共用
4/10 多语警语折叠贴纸6400pcs</s:t>
              </s:r>
            </s:text>
          </item>
        </commentChain>
      </unresolved>
      <resolved/>
    </commentChains>
    <commentChains s:ref="AG24" rgbClr="FF0000">
      <unresolved>
        <commentChain chainId="67b2d084e9f447e1c2ef324eb3d1a25a5a2fd921">
          <item id="6696436cb3eaea17a0da0df0676ea8bf09ece947" isNormal="1">
            <s:text>
              <s:r>
                <s:t xml:space="preserve">Administrator:
4/7 1406273 6000pcs</s:t>
              </s:r>
            </s:text>
          </item>
        </commentChain>
      </unresolved>
      <resolved/>
    </commentChains>
    <commentChains s:ref="AI25" rgbClr="FF0000">
      <unresolved>
        <commentChain chainId="8fe359228ff498e4c8d1d39a4dcc04fc97ebf57e">
          <item id="4f77a3aaecd1fd3d1012c8764aee0f9e80358985" isNormal="1">
            <s:text>
              <s:r>
                <s:t xml:space="preserve">Administrator:
3/9 上Event label 1847pcs
3/9 上SAMPLE-Not for 1847pcs
3/23 客供外箱条码贴纸 785pcs（留在东莞）</s:t>
              </s:r>
            </s:text>
          </item>
        </commentChain>
      </unresolved>
      <resolved/>
    </commentChains>
    <commentChains s:ref="AG26" rgbClr="FF0000">
      <unresolved>
        <commentChain chainId="ec95dd34711b0dd059a6af1a64a788b023619f83">
          <item id="bb16a1efb25153f15b58f27dc61596993ae60be2" isNormal="1">
            <s:text>
              <s:r>
                <s:t xml:space="preserve">Administrator:
3/28 1406070 
唱片机半成品1850pcs
A03耳机半成品1850
A04音响半成品3700pcs
A07麦克风半成品1850pcs
A黄金唱片半成品1850pcs
A塞子          1850pcs
4/6 140637 唱片机半成品 8460pcs
4/11 1405995 唱片机半成品13000pcs</s:t>
              </s:r>
            </s:text>
          </item>
        </commentChain>
      </unresolved>
      <resolved/>
    </commentChains>
    <commentChains s:ref="AI26" rgbClr="FF0000">
      <unresolved>
        <commentChain chainId="cc098b7d3606e6a9bb9197d494e8284f0e1563fc">
          <item id="1fb83e45dc3dac0ec0a1b9295c428c5b2d595105" isNormal="1">
            <s:text>
              <s:r>
                <s:t xml:space="preserve">Administrator:
2/26 上客供RFID贴纸 4560pcs
192823/192824/192825/192826/192827/192828共用
</s:t>
              </s:r>
            </s:text>
          </item>
        </commentChain>
      </unresolved>
      <resolved/>
    </commentChains>
    <commentChains s:ref="AG27" rgbClr="FF0000">
      <unresolved>
        <commentChain chainId="04b16877e738c4d1fe85e8084d4813d0f3e88ed3">
          <item id="5a1ef7b0d0a1c4d83f4ea69d8ce56de8248c6f9f" isNormal="1">
            <s:text>
              <s:r>
                <s:t xml:space="preserve">DELL:
1405332 4/9 248pcs 华兴三楼B13</s:t>
              </s:r>
            </s:text>
          </item>
        </commentChain>
      </unresolved>
      <resolved/>
    </commentChains>
    <commentChains s:ref="AG28" rgbClr="FF0000">
      <unresolved>
        <commentChain chainId="c2576090bf022bc8b3ddc3d03dea355e1041006b">
          <item id="621595588f0949b48dc020d95c5ee5cb929edce4" isNormal="1">
            <s:text>
              <s:r>
                <s:t xml:space="preserve">Administrator:
4/9 1405332 2720pcs华兴三楼B12
</s:t>
              </s:r>
            </s:text>
          </item>
        </commentChain>
      </unresolved>
      <resolved/>
    </commentChains>
    <commentChains s:ref="AI28" rgbClr="FF0000">
      <unresolved>
        <commentChain chainId="621d7d9902fe9defa04797daa417740dfb3d4907">
          <item id="20fb801596f3404bf3cab4ba4a06180de500d29d" isNormal="1">
            <s:text>
              <s:r>
                <s:t xml:space="preserve">Administrator:
3/16 上白色防盗贴纸 2720pcs
3/23 上Kmart外箱贴纸4*4 340pcs</s:t>
              </s:r>
            </s:text>
          </item>
        </commentChain>
      </unresolved>
      <resolved/>
    </commentChains>
    <commentChains s:ref="AG29" rgbClr="FF0000">
      <unresolved>
        <commentChain chainId="4cb2f43ca84744f871a423a9bf9fd75327f41a2d">
          <item id="e355484cf1305c77cbf842c51c131867ccf96d92" isNormal="1">
            <s:text>
              <s:r>
                <s:t xml:space="preserve">Administrator:
1405907 4/15 6744pcs 新仓库A8区
1405914 4/15   96pcs 新仓库A8区</s:t>
              </s:r>
            </s:text>
          </item>
        </commentChain>
      </unresolved>
      <resolved/>
    </commentChains>
    <commentChains s:ref="AI29" rgbClr="FF0000">
      <unresolved>
        <commentChain chainId="63f0a683fab5fb609a01004b6795e6a469f8c9af">
          <item id="561e73b077a0cab913ad5928839d1b3ba70c71be" isNormal="1">
            <s:text>
              <s:r>
                <s:t xml:space="preserve">Administrator:
3/10 上锂电池贴纸 11932pcs
      189603/189608/190738/194297/194290/194303/194701 共用
3/23上客供外箱条码贴纸 864pcs</s:t>
              </s:r>
            </s:text>
          </item>
        </commentChain>
      </unresolved>
      <resolved/>
    </commentChains>
    <commentChains s:ref="AG30" rgbClr="FF0000">
      <unresolved>
        <commentChain chainId="9a63485e0b2724f498a1f8cd32623686f129cd21">
          <item id="9bfc3e1be6a972cb88a79d767fc3fc5c1b1a15a9" isNormal="1">
            <s:text>
              <s:r>
                <s:t xml:space="preserve">Administrator:
4/9 1405332 240pcs华兴三楼B14</s:t>
              </s:r>
            </s:text>
          </item>
        </commentChain>
      </unresolved>
      <resolved/>
    </commentChains>
    <commentChains s:ref="AI30" rgbClr="FF0000">
      <unresolved>
        <commentChain chainId="a99548e4f5b16853676f7c344f695a99bd7e2da7">
          <item id="0c9da765db46f7fcfd825b6b4e5a6e77069ef902" isNormal="1">
            <s:text>
              <s:r>
                <s:t xml:space="preserve">Administrator:
3/23 上客供警语贴纸球底部贴 252pcs
     上说明书客供警语贴纸 252pcs
    上客供电池警语贴纸 252pcs
    上客供警语贴纸贴留音机说明书252pcs</s:t>
              </s:r>
            </s:text>
          </item>
        </commentChain>
      </unresolved>
      <resolved/>
    </commentChains>
    <commentChains s:ref="AG31" rgbClr="FF0000">
      <unresolved>
        <commentChain chainId="e193ad122a161e0e6e7a28a7e7dba0a253a8c9ab">
          <item id="3b6f27f62b4eeeced56ff1cf95a56081f1c13c52" isNormal="1">
            <s:text>
              <s:r>
                <s:t xml:space="preserve">Administrator:
4/11 1405944 240pcs新仓库B3</s:t>
              </s:r>
            </s:text>
          </item>
        </commentChain>
      </unresolved>
      <resolved/>
    </commentChains>
    <commentChains s:ref="AI31" rgbClr="FF0000">
      <unresolved>
        <commentChain chainId="1227e35e1ef2122341f138b66eace94e8d81278c">
          <item id="adb27fe2421be856b513b994e3b1104cffb719ed" isNormal="1">
            <s:text>
              <s:r>
                <s:t xml:space="preserve">Administrator:
 3/21 上警语贴纸240pcs</s:t>
              </s:r>
            </s:text>
          </item>
        </commentChain>
      </unresolved>
      <resolved/>
    </commentChains>
    <commentChains s:ref="AG32" rgbClr="FF0000">
      <unresolved>
        <commentChain chainId="2a26852056926d6a854dd6a12b62ad9558f706ed">
          <item id="086a00ad151c9a9700f966df7646417dcfc3dc72" isNormal="1">
            <s:text>
              <s:r>
                <s:t xml:space="preserve">Administrator:
3/28 1406070 
唱片机半成品1850pcs
A03耳机半成品1850
A04音响半成品3700pcs
A07麦克风半成品1850pcs
A黄金唱片半成品1850pcs
A塞子          1850pcs
4/6 140637 唱片机半成品 8460pcs
4/11 1405995 唱片机半成品13000pcs</s:t>
              </s:r>
            </s:text>
          </item>
        </commentChain>
      </unresolved>
      <resolved/>
    </commentChains>
    <commentChains s:ref="AI32" rgbClr="FF0000">
      <unresolved>
        <commentChain chainId="0425fb2ef8e2328a862c92103dfd13c80dbaf5b1">
          <item id="eb7fd7e3eea38da82bc1d17e0be6340d3d650ef1" isNormal="1">
            <s:text>
              <s:r>
                <s:t xml:space="preserve">Administrator:
2/26 上客供RFID贴纸 2832pcs
192823/192824/192825/192826/192827/192828共用
</s:t>
              </s:r>
            </s:text>
          </item>
        </commentChain>
      </unresolved>
      <resolved/>
    </commentChains>
    <commentChains s:ref="AG33" rgbClr="FF0000">
      <unresolved>
        <commentChain chainId="a8eb68f57e83cb3e8159593ea4e8d2753ffa1be9">
          <item id="de33cf42ddec4378010695834272e7023df952e6" isNormal="1">
            <s:text>
              <s:r>
                <s:t xml:space="preserve">Administrator:
3/28 1406070 
唱片机半成品1850pcs
A03耳机半成品1850
A04音响半成品3700pcs
A07麦克风半成品1850pcs
A黄金唱片半成品1850pcs
A塞子          1850pcs
4/6 140637 唱片机半成品 8460pcs
4/11 1405995 唱片机半成品13000pcs</s:t>
              </s:r>
            </s:text>
          </item>
        </commentChain>
      </unresolved>
      <resolved/>
    </commentChains>
    <commentChains s:ref="AI33" rgbClr="FF0000">
      <unresolved>
        <commentChain chainId="4924f707e0d3c10e2179b502b0c9a0b5ae3ae0e0">
          <item id="dac9ffdf90a592ac919721226e6ed30c05703425" isNormal="1">
            <s:text>
              <s:r>
                <s:t xml:space="preserve">Administrator:
2/26 上客供RFID贴纸 4272pcs
192823/192824/192825/192826/192827/192828共用
</s:t>
              </s:r>
            </s:text>
          </item>
        </commentChain>
      </unresolved>
      <resolved/>
    </commentChains>
    <commentChains s:ref="AG34" rgbClr="FF0000">
      <unresolved>
        <commentChain chainId="6440e1178e139d53c2ffc3e35bed107b4a29ab01">
          <item id="03959bb272df36109cd22f4f5b9d16e59d6ede62" isNormal="1">
            <s:text>
              <s:r>
                <s:t xml:space="preserve">Administrator:
1405921 4/14 1520pcs 新仓库A3区
1406304 4/14   80pcs 新仓库A3区</s:t>
              </s:r>
            </s:text>
          </item>
        </commentChain>
      </unresolved>
      <resolved/>
    </commentChains>
    <commentChains s:ref="AI34" rgbClr="FF0000">
      <unresolved>
        <commentChain chainId="3a3053183ea2c3aa98591d2e300ad2c1b9642daa">
          <item id="d91d8a916506fa77e661ae5561c7fda56016fa33" isNormal="1">
            <s:text>
              <s:r>
                <s:t xml:space="preserve">Administrator:
4/7 上PDQ条码贴纸800pcs</s:t>
              </s:r>
            </s:text>
          </item>
        </commentChain>
      </unresolved>
      <resolved/>
    </commentChains>
    <commentChains s:ref="AG35" rgbClr="FF0000">
      <unresolved>
        <commentChain chainId="f51646f784a06a1b10255787ba9b813d46b6136c">
          <item id="1a8c656d36e823d197da7216219bd901573fad04" isNormal="1">
            <s:text>
              <s:r>
                <s:t xml:space="preserve">Administrator:
1405907 4/15 2360pcs 新仓库A4区
1405914 4/15   40pcs 新仓库A4区</s:t>
              </s:r>
            </s:text>
          </item>
        </commentChain>
      </unresolved>
      <resolved/>
    </commentChains>
    <commentChains s:ref="AI35" rgbClr="FF0000">
      <unresolved>
        <commentChain chainId="f1731a03e8da6dcbd65a7da16e84b1b2cf977b47">
          <item id="e1af85c143f0f5a07d13971bb0c3f6e2b5f6f1c3" isNormal="1">
            <s:text>
              <s:r>
                <s:t xml:space="preserve">Administrator:
3/19 上客人通用进口商贴纸 2400pcs
</s:t>
              </s:r>
            </s:text>
          </item>
        </commentChain>
      </unresolved>
      <resolved/>
    </commentChains>
    <commentChains s:ref="AG36" rgbClr="FF0000">
      <unresolved>
        <commentChain chainId="aca94ff1814cd563e04beb894c1ac4f0124380fd">
          <item id="7326892661d3de802f9132359201994e94839e63" isNormal="1">
            <s:text>
              <s:r>
                <s:t xml:space="preserve">Administrator:
3/28 1406070 
唱片机半成品1850pcs
A03耳机半成品1850
A04音响半成品3700pcs
A07麦克风半成品1850pcs
A黄金唱片半成品1850pcs
A塞子          1850pcs
4/6 140637 唱片机半成品 8460pcs
4/11 1405995 唱片机半成品13000pcs</s:t>
              </s:r>
            </s:text>
          </item>
        </commentChain>
      </unresolved>
      <resolved/>
    </commentChains>
    <commentChains s:ref="AI36" rgbClr="FF0000">
      <unresolved>
        <commentChain chainId="711a77ef4c863c26c16f0b8e8813140dbf1bf764">
          <item id="750a5d7d7815b3e4a3c4c439535ed1e1f3dcf5d4" isNormal="1">
            <s:text>
              <s:r>
                <s:t xml:space="preserve">Administrator:
2/26 上客供RFID贴纸 6528pcs
192823/192824/192825/192826/192827/192828共用
</s:t>
              </s:r>
            </s:text>
          </item>
        </commentChain>
      </unresolved>
      <resolved/>
    </commentChains>
    <commentChains s:ref="AG37" rgbClr="FF0000">
      <unresolved>
        <commentChain chainId="28c9ac702fb8c3ed866410b89f4890eb4edb416d">
          <item id="8739d1813cbe00e331e2c0ee8f978b724506c0f5" isNormal="1">
            <s:text>
              <s:r>
                <s:t xml:space="preserve">Administrator:
1405872 4/16 4496pcs 华兴三B14
1405856 4/17  160pcs 华兴三B14</s:t>
              </s:r>
            </s:text>
          </item>
        </commentChain>
      </unresolved>
      <resolved/>
    </commentChains>
    <commentChains s:ref="AG38" rgbClr="FF0000">
      <unresolved>
        <commentChain chainId="60d66742664233a524dddbcbf0b3260f5722aa4d">
          <item id="112e58c80d0d05ed96d162779a5736b7cb053a20" isNormal="1">
            <s:text>
              <s:r>
                <s:t xml:space="preserve">Administrator:
1405866 4/16 3744pcs 直走</s:t>
              </s:r>
            </s:text>
          </item>
        </commentChain>
      </unresolved>
      <resolved/>
    </commentChains>
    <commentChains s:ref="AG39" rgbClr="FF0000">
      <unresolved>
        <commentChain chainId="ba3c3d1302bc3cccfad0dbddfb9fd6c30c84021d">
          <item id="4ce6255fe6f3aa8bfb5fc0ba07b4b1c8fa2670eb" isNormal="1">
            <s:text>
              <s:r>
                <s:t xml:space="preserve">Administrator:
4/1 1405432 1000pcs
5/4 1403383 3000pcs</s:t>
              </s:r>
            </s:text>
          </item>
        </commentChain>
      </unresolved>
      <resolved/>
    </commentChains>
    <commentChains s:ref="AI39" rgbClr="FF0000">
      <unresolved>
        <commentChain chainId="fcb1559f604403a1fb7a6ffc889e3ce934dfcf6f">
          <item id="c1a09acdd412fcc4c0842894f6a04cd25616cc1c" isNormal="1">
            <s:text>
              <s:r>
                <s:t xml:space="preserve">Administrator:
3/14 上外箱贴纸 500pcs
3/18 上客版价格贴纸 4000pcs</s:t>
              </s:r>
            </s:text>
          </item>
        </commentChain>
      </unresolved>
      <resolved/>
    </commentChains>
    <commentChains s:ref="AG40" rgbClr="FF0000">
      <unresolved>
        <commentChain chainId="190ca8a07e38537b3052f24044baf1e9ec2eca5e">
          <item id="dfde9adec30891853bdb7303fba261a7949a990c" isNormal="1">
            <s:text>
              <s:r>
                <s:t xml:space="preserve">Administrator:
1405872 4/16 5856pcs 华兴三A31
1405873 4/17 7144pcs 华兴一F9</s:t>
              </s:r>
            </s:text>
          </item>
        </commentChain>
      </unresolved>
      <resolved/>
    </commentChains>
    <commentChains s:ref="AI40" rgbClr="FF0000">
      <unresolved>
        <commentChain chainId="8a1a993f3c8302f986c01a79ced796d9ad7cbeec">
          <item id="1e56e9287c3ccf72ad78ace8c875dc6578209a14" isNormal="1">
            <s:text>
              <s:r>
                <s:t xml:space="preserve">Administrator:
3/10 上锂电池贴纸 11932pcs
      189603/189608/190738/194297/194290/194303/194701 共用
</s:t>
              </s:r>
            </s:text>
          </item>
        </commentChain>
      </unresolved>
      <resolved/>
    </commentChains>
    <commentChains s:ref="AG42" rgbClr="FF0000">
      <unresolved>
        <commentChain chainId="24e1508e232f0fbeff385e93ea95743604de1816">
          <item id="cf0d7a64a8d8a11b3ddeeefd905d5137a425c7f5" isNormal="1">
            <s:text>
              <s:r>
                <s:t xml:space="preserve">Administrator:
1406228 4/18 400pcs B栋4楼B1区</s:t>
              </s:r>
            </s:text>
          </item>
        </commentChain>
      </unresolved>
      <resolved/>
    </commentChains>
    <commentChains s:ref="AG43" rgbClr="FF0000">
      <unresolved>
        <commentChain chainId="310eb0dc1a05dcb091fbf50ce1c8f4226ee46ce3">
          <item id="29513cff63c50a49ae2266917b2d63a9231f866a" isNormal="1">
            <s:text>
              <s:r>
                <s:t xml:space="preserve">Administrator:
4/24 1000671 912PCS B栋4楼B9区</s:t>
              </s:r>
            </s:text>
          </item>
        </commentChain>
      </unresolved>
      <resolved/>
    </commentChains>
    <commentChains s:ref="AI43" rgbClr="FF0000">
      <unresolved>
        <commentChain chainId="cc45cf01bf92bbc8af241993a2718cc21134b6c0">
          <item id="06f879c66b48d94a26c3cbf65d8dc75e50f89e1f" isNormal="1">
            <s:text>
              <s:r>
                <s:t xml:space="preserve">Administrator:
3/30 上地址贴纸912pcs
3/30上锂电池贴纸4792pcs
4500196046/4500195753/4500195755/4500196881/4500196882共用
</s:t>
              </s:r>
            </s:text>
          </item>
        </commentChain>
      </unresolved>
      <resolved/>
    </commentChains>
    <commentChains s:ref="AG44" rgbClr="FF0000">
      <unresolved>
        <commentChain chainId="daef9e293c45541dcd15c4592866eaa7d22ba1b9">
          <item id="7cbc30f7e2fccc282d3d4ecdd11e9a31c92d1b4d" isNormal="1">
            <s:text>
              <s:r>
                <s:t xml:space="preserve">Administrator:
1000762 4/20 3600pcs 新仓库A3区</s:t>
              </s:r>
            </s:text>
          </item>
        </commentChain>
      </unresolved>
      <resolved/>
    </commentChains>
    <commentChains s:ref="AI44" rgbClr="FF0000">
      <unresolved>
        <commentChain chainId="6f541334853b8f440106d61c0c397c0d9850696e">
          <item id="5e87dac888ca8017473840ca40c2c50d91a07a61" isNormal="1">
            <s:text>
              <s:r>
                <s:t xml:space="preserve">Administrator:
3/24 上锂电池贴纸2000pcs 196425/193875/192187共用
3/24 上地址贴纸3600pcs
4/10上多语警语贴纸3600pcs</s:t>
              </s:r>
            </s:text>
          </item>
        </commentChain>
      </unresolved>
      <resolved/>
    </commentChains>
    <commentChains s:ref="AG45" rgbClr="FF0000">
      <unresolved>
        <commentChain chainId="c4df41b5b2c2aa23bcf5f23f0dc8e23ec1a168bb">
          <item id="dd8bb139941a051ce83518226ce56f11b57407ff" isNormal="1">
            <s:text>
              <s:r>
                <s:t xml:space="preserve">Administrator:
1406232 4/18 5520pcs B栋4楼A7区</s:t>
              </s:r>
            </s:text>
          </item>
        </commentChain>
      </unresolved>
      <resolved/>
    </commentChains>
    <commentChains s:ref="AI45" rgbClr="FF0000">
      <unresolved>
        <commentChain chainId="38c6224e0b31436220dd50d0ae07b17a67a7ef51">
          <item id="861ac1715cbf863a2cd5e6fd06318a9a913c6dc3" isNormal="1">
            <s:text>
              <s:r>
                <s:t xml:space="preserve">Administrator:
4/8 上包装进口商贴纸5520pcs
4/8 上产品进口商贴纸5520pcs
4/8 上UPC贴纸5520pcs
4/8 上外箱贴纸690pcs
4/10上保证书贴纸5520pcs</s:t>
              </s:r>
            </s:text>
          </item>
        </commentChain>
      </unresolved>
      <resolved/>
    </commentChains>
    <commentChains s:ref="AG46" rgbClr="FF0000">
      <unresolved>
        <commentChain chainId="3ad1e4123a19546456a4c765b4eafa23c3306c15">
          <item id="b802682bd09fb145e9dbecb18cb5c4e7ed1c8ffc" isNormal="1">
            <s:text>
              <s:r>
                <s:t xml:space="preserve">DELL:
1403869 4/24  16pcs  新仓库二楼B8
1403899 4/23 5984pcs 新仓库二楼B8</s:t>
              </s:r>
            </s:text>
          </item>
        </commentChain>
      </unresolved>
      <resolved/>
    </commentChains>
    <commentChains s:ref="AI46" rgbClr="FF0000">
      <unresolved>
        <commentChain chainId="de513231d5a47cfe24e3dae0f97d72313c39f561">
          <item id="7e8339ddfc83fdc9cf39a2494fb4f7622b616783" isNormal="1">
            <s:text>
              <s:r>
                <s:t xml:space="preserve">Administrator:
3/24 上锂电池贴纸2000pcs 196425/193875/192187共用
</s:t>
              </s:r>
            </s:text>
          </item>
        </commentChain>
      </unresolved>
      <resolved/>
    </commentChains>
    <commentChains s:ref="AG47" rgbClr="FF0000">
      <unresolved>
        <commentChain chainId="f6dac67c79ed69c1511529c675a0397fff8e12be">
          <item id="dde8fb007ca2fa15b46a131f8c75b1a4444b0841" isNormal="1">
            <s:text>
              <s:r>
                <s:t xml:space="preserve">DELL:
1000666 4/23 6000pcs 新仓库二楼B8</s:t>
              </s:r>
            </s:text>
          </item>
        </commentChain>
      </unresolved>
      <resolved/>
    </commentChains>
    <commentChains s:ref="AI47" rgbClr="FF0000">
      <unresolved>
        <commentChain chainId="14033a51041ce2792ded200824903dd6bab9869b">
          <item id="3d4a1cb7f8cbdc88ff7975f434f781bfd0a34830" isNormal="1">
            <s:text>
              <s:r>
                <s:t xml:space="preserve">Administrator:
3/24 上锂电池贴纸2000pcs 196425/193875/192187共用
</s:t>
              </s:r>
            </s:text>
          </item>
        </commentChain>
      </unresolved>
      <resolved/>
    </commentChains>
    <commentChains s:ref="AG48" rgbClr="FF0000">
      <unresolved>
        <commentChain chainId="8c06a4a99aa5741c90a318d1e6c9254b5c366e7d">
          <item id="6a3612f606ce12b49012a5c979e82aea787e0a04" isNormal="1">
            <s:text>
              <s:r>
                <s:t xml:space="preserve">Administrator:
1000774 4/17 5632pcs 新仓库B5区
1000780 4/18 3784pcs 新仓库B5区</s:t>
              </s:r>
            </s:text>
          </item>
        </commentChain>
      </unresolved>
      <resolved/>
    </commentChains>
    <commentChains s:ref="AI48" rgbClr="FF0000">
      <unresolved>
        <commentChain chainId="4e3d80aaea4764011b03b32c825b922aba8d6356">
          <item id="4527f8997c4581fba8fa078fbe3151294504b44a" isNormal="1">
            <s:text>
              <s:r>
                <s:t xml:space="preserve">Administrator:
3/10 上锂电池贴纸 11932pcs
      189603/189608/190738/194297/194290/194303/194701 共用
3/30 上Event label 1177pcs
4/1  上客供外箱贴纸1177pcs
</s:t>
              </s:r>
            </s:text>
          </item>
        </commentChain>
      </unresolved>
      <resolved/>
    </commentChains>
    <commentChains s:ref="AI49" rgbClr="FF0000">
      <unresolved>
        <commentChain chainId="bcbce169e969869099f856ea3b2804236e5f0fd6">
          <item id="4c4dfe8e0e4c4b9f500ad07db392f086f9bcbe72" isNormal="1">
            <s:text>
              <s:r>
                <s:t xml:space="preserve">Administrator:
3/9 上Event label 1847pcs
3/9 上SAMPLE-Not for 1847pcs</s:t>
              </s:r>
            </s:text>
          </item>
        </commentChain>
      </unresolved>
      <resolved/>
    </commentChains>
    <commentChains s:ref="AG50" rgbClr="FF0000">
      <unresolved>
        <commentChain chainId="3cf3904eb646f3d609937b6555fcccada85ca172">
          <item id="3b50665fd73cae54343976b1188349310ce73289" isNormal="1">
            <s:text>
              <s:r>
                <s:t xml:space="preserve">DELL:
1403853 4/25  3840pcs
1403854 4/25 16496pcsB栋雨棚</s:t>
              </s:r>
            </s:text>
          </item>
        </commentChain>
      </unresolved>
      <resolved/>
    </commentChains>
    <commentChains s:ref="AI50" rgbClr="FF0000">
      <unresolved>
        <commentChain chainId="18e71a0108c3a6421b9d699e408deac7ba1decf1">
          <item id="b0fa661231daf393c0b19c98d9a879e8416174ea" isNormal="1">
            <s:text>
              <s:r>
                <s:t xml:space="preserve">Administrator:
3/30上锂电池贴纸4792pcs
4500196046/4500195753/4500195755/4500196881/4500196882共用
4/1 上客供外箱贴纸2568pcs</s:t>
              </s:r>
            </s:text>
          </item>
        </commentChain>
      </unresolved>
      <resolved/>
    </commentChains>
    <commentChains s:ref="AG52" rgbClr="FF0000">
      <unresolved>
        <commentChain chainId="ff1f44ed0112c5a39bc6c132d2165a3492c3f3ad">
          <item id="121b1773004d51300827b99e952a9bdc6c988a64" isNormal="1">
            <s:text>
              <s:r>
                <s:t xml:space="preserve">DELL:
1406211 4/25 992pcs直走</s:t>
              </s:r>
            </s:text>
          </item>
        </commentChain>
      </unresolved>
      <resolved/>
    </commentChains>
    <commentChains s:ref="AG53" rgbClr="FF0000">
      <unresolved>
        <commentChain chainId="4b4e73837ec28dede8385aa76bb69261a6bc39ea">
          <item id="aee44d7b0fc0306ca91f8b7b7885a6bce377b9b6" isNormal="1">
            <s:text>
              <s:r>
                <s:t xml:space="preserve">Administrator:
3/28 1406070 
唱片机半成品1850pcs
A03耳机半成品1850
A04音响半成品3700pcs
A07麦克风半成品1850pcs
A黄金唱片半成品1850pcs
A塞子          1850pcs
4/6 140637 唱片机半成品 8460pcs
4/11 1405995 唱片机半成品13000pcs</s:t>
              </s:r>
            </s:text>
          </item>
        </commentChain>
      </unresolved>
      <resolved/>
    </commentChains>
    <commentChains s:ref="AI53" rgbClr="FF0000">
      <unresolved>
        <commentChain chainId="464549437616a0260daaa1c4acce622d42afc440">
          <item id="d97abd46e4165637784b3f686e2d0bd51ff5aa38" isNormal="1">
            <s:text>
              <s:r>
                <s:t xml:space="preserve">Administrator:
2/26 上客供RFID贴纸 5184pcs
192823/192824/192825/192826/192827/192828共用
</s:t>
              </s:r>
            </s:text>
          </item>
        </commentChain>
      </unresolved>
      <resolved/>
    </commentChains>
    <commentChains s:ref="AG54" rgbClr="FF0000">
      <unresolved>
        <commentChain chainId="e20dceafd77d6d7f5f6bcb3786c6c0de39d899df">
          <item id="34fe7685e32e3dbe178175342ef4435600ed9085" isNormal="1">
            <s:text>
              <s:r>
                <s:t xml:space="preserve">Administrator:
3/28 1406070 
唱片机半成品1850pcs
A03耳机半成品1850
A04音响半成品3700pcs
A07麦克风半成品1850pcs
A黄金唱片半成品1850pcs
A塞子          1850pcs
4/6 140637 唱片机半成品 8460pcs
4/11 1405995 唱片机半成品13000pcs</s:t>
              </s:r>
            </s:text>
          </item>
        </commentChain>
      </unresolved>
      <resolved/>
    </commentChains>
    <commentChains s:ref="AI54" rgbClr="FF0000">
      <unresolved>
        <commentChain chainId="58f2cdec7171cb6f16811ba4bc3dea39c98b4b61">
          <item id="73b0c79b0624c5c259c88e40d5fbdebc62f8e0da" isNormal="1">
            <s:text>
              <s:r>
                <s:t xml:space="preserve">Administrator:
2/26 上客供RFID贴纸 4304pcs
192823/192824/192825/192826/192827/192828共用
</s:t>
              </s:r>
            </s:text>
          </item>
        </commentChain>
      </unresolved>
      <resolved/>
    </commentChains>
    <commentChains s:ref="AG56" rgbClr="FF0000">
      <unresolved>
        <commentChain chainId="df2ca43b4bd91d9efbbacebdbba7008f67594d05">
          <item id="01cba5f12e6395b0b1dde5f746ed166c11e2abb7" isNormal="1">
            <s:text>
              <s:r>
                <s:t xml:space="preserve">DELL:
1403840 4/22 368pcs
1403888 4/23  32pcs 新仓库</s:t>
              </s:r>
            </s:text>
          </item>
        </commentChain>
      </unresolved>
      <resolved/>
    </commentChains>
    <commentChains s:ref="AI56" rgbClr="FF0000">
      <unresolved>
        <commentChain chainId="fc59ac6bc23b40511b23fa1a488707336bce02a8">
          <item id="39794e1727fe962ad9dc76baf971d3c27c581ace" isNormal="1">
            <s:text>
              <s:r>
                <s:t xml:space="preserve">Administrator:
3/24 上UPC贴纸 400pcs</s:t>
              </s:r>
            </s:text>
          </item>
        </commentChain>
      </unresolved>
      <resolved/>
    </commentChains>
    <commentChains s:ref="AG57" rgbClr="FF0000">
      <unresolved>
        <commentChain chainId="83a8da5e2cde21d69adbd00dc4c52aec25af1a2b">
          <item id="e54c1eef03d21f5629776a39e4b455660d8b1a06" isNormal="1">
            <s:text>
              <s:r>
                <s:t xml:space="preserve">DELL:
1000656 4/25 3088pcs新仓库B3
</s:t>
              </s:r>
            </s:text>
          </item>
        </commentChain>
      </unresolved>
      <resolved/>
    </commentChains>
    <commentChains s:ref="AI57" rgbClr="FF0000">
      <unresolved>
        <commentChain chainId="c369c332f895fb6ca655458f22cd918377b319b8">
          <item id="73e17a0220be03b9ea7b3535ae6551807295bbd4" isNormal="1">
            <s:text>
              <s:r>
                <s:t xml:space="preserve">Administrator:
4/7 上UPC贴纸3192pcs</s:t>
              </s:r>
            </s:text>
          </item>
        </commentChain>
      </unresolved>
      <resolved/>
    </commentChains>
    <commentChains s:ref="AG58" rgbClr="FF0000">
      <unresolved>
        <commentChain chainId="8566c2e323b46e53921c8d93d19449f90c84ac1c">
          <item id="7307fb3ede5359e71b5a91e2524a72096678f154" isNormal="1">
            <s:text>
              <s:r>
                <s:t xml:space="preserve">Administrator:
4/27 3001843 2000pcs新仓库B3</s:t>
              </s:r>
            </s:text>
          </item>
        </commentChain>
      </unresolved>
      <resolved/>
    </commentChains>
    <commentChains s:ref="AI58" rgbClr="FF0000">
      <unresolved>
        <commentChain chainId="ee6f286743839455566f0f37516c7522c285c1f1">
          <item id="bc7c446bbde315acee8b89f2f54464bec5f8a883" isNormal="1">
            <s:text>
              <s:r>
                <s:t xml:space="preserve">Administrator:
3/10 上锂电池贴纸 11932pcs
      189603/189608/190738/194297/194290/194303/194701 共用
4/1 上客供外箱条码贴纸256pcs</s:t>
              </s:r>
            </s:text>
          </item>
        </commentChain>
      </unresolved>
      <resolved/>
    </commentChains>
    <commentChains s:ref="AG59" rgbClr="FF0000">
      <unresolved>
        <commentChain chainId="d2558df9a166857ac129e334d553f9aa6ada99fc">
          <item id="6ab9f18ad801f950453b9ddaa5f2bde4a68d8603" isNormal="1">
            <s:text>
              <s:r>
                <s:t xml:space="preserve">DELL:
3001884 4/30 2304pcS新仓库B14
3001881 4/30 3456pcs新仓库B14
3001900 5/4 8152pcs
3001907 5/4 288pcs</s:t>
              </s:r>
            </s:text>
          </item>
        </commentChain>
      </unresolved>
      <resolved/>
    </commentChains>
    <commentChains s:ref="AI59" rgbClr="FF0000">
      <unresolved>
        <commentChain chainId="2759f23a647bd52a4dc6e86d659e4c593b66e246">
          <item id="7e36de17373eb526dcea7f2616e609829b3abb5b" isNormal="1">
            <s:text>
              <s:r>
                <s:t xml:space="preserve">Administrator:
3/30上锂电池贴纸4792pcs
4500196046/4500195753/4500195755/4500196881/4500196882共用
4/14 上客供外箱条码贴纸 1793pcs</s:t>
              </s:r>
            </s:text>
          </item>
        </commentChain>
      </unresolved>
      <resolved/>
    </commentChains>
    <commentChains s:ref="AG60" rgbClr="FF0000">
      <unresolved>
        <commentChain chainId="cff978faee1b0469fda512561d62fc427e4746ba">
          <item id="8703a32142698c3e5e962b5aebe79e6aac0cc6a0" isNormal="1">
            <s:text>
              <s:r>
                <s:t xml:space="preserve">DELL:
1403854 4/25 1824pcs新仓库A5
</s:t>
              </s:r>
            </s:text>
          </item>
        </commentChain>
      </unresolved>
      <resolved/>
    </commentChains>
    <commentChains s:ref="AG61" rgbClr="FF0000">
      <unresolved>
        <commentChain chainId="1c75bc331abe2ad6db6cf7c0729298c64045347d">
          <item id="48ccdbea327871dddcb06482c8af1c06dd0402ba" isNormal="1">
            <s:text>
              <s:r>
                <s:t xml:space="preserve">DELL:
1403854 4/25 1064pcs新仓库A5
</s:t>
              </s:r>
            </s:text>
          </item>
        </commentChain>
      </unresolved>
      <resolved/>
    </commentChains>
    <commentChains s:ref="AG62" rgbClr="FF0000">
      <unresolved>
        <commentChain chainId="15191bf628314cf7b07208a8871f68196cb3115d">
          <item id="1367a96f78f9fffcda3f8ca50e3f88322d51b66f" isNormal="1">
            <s:text>
              <s:r>
                <s:t xml:space="preserve">DELL:
1403854 4/25 984pcs新仓库A5</s:t>
              </s:r>
            </s:text>
          </item>
        </commentChain>
      </unresolved>
      <resolved/>
    </commentChains>
    <commentChains s:ref="AG63" rgbClr="FF0000">
      <unresolved>
        <commentChain chainId="6f87d096880cbec0363e39d5f8f00c9a4ed6336a">
          <item id="e9159f364ac1849759f72bd29ec26d9899ada116" isNormal="1">
            <s:text>
              <s:r>
                <s:t xml:space="preserve">DELL:
1403854 4/25 1824pcs新仓库A5
</s:t>
              </s:r>
            </s:text>
          </item>
        </commentChain>
      </unresolved>
      <resolved/>
    </commentChains>
    <commentChains s:ref="AG64" rgbClr="FF0000">
      <unresolved>
        <commentChain chainId="21afecec7a4573d57a0191e8346ed7598ad1f72b">
          <item id="6559a9f1fe47f33b35d1c10313fad5946b71a1c9" isNormal="1">
            <s:text>
              <s:r>
                <s:t xml:space="preserve">DELL:
1403854 4/25 2944pcs新仓库B5
1403652 4/27 56pcs新仓库B5</s:t>
              </s:r>
            </s:text>
          </item>
        </commentChain>
      </unresolved>
      <resolved/>
    </commentChains>
    <commentChains s:ref="AG65" rgbClr="FF0000">
      <unresolved>
        <commentChain chainId="3f7b06600c6738cb8f5752f0c516fa02a856b801">
          <item id="59191c6356a18c9e0b9fae3ed95d925c0a82d977" isNormal="1">
            <s:text>
              <s:r>
                <s:t xml:space="preserve">Administrator:
5/2 1403738 800pcs B栋四楼B9</s:t>
              </s:r>
            </s:text>
          </item>
        </commentChain>
      </unresolved>
      <resolved/>
    </commentChains>
    <commentChains s:ref="AI65" rgbClr="FF0000">
      <unresolved>
        <commentChain chainId="afe1c4428254478954d1f0076933ec454c7cf84f">
          <item id="7df5a91b7f5af137fa8f271f0c7f2875aa32e2eb" isNormal="1">
            <s:text>
              <s:r>
                <s:t xml:space="preserve">DELL:
4/11 上进口商贴纸 800pcs</s:t>
              </s:r>
            </s:text>
          </item>
        </commentChain>
      </unresolved>
      <resolved/>
    </commentChains>
    <commentChains s:ref="AG66" rgbClr="FF0000">
      <unresolved>
        <commentChain chainId="6ef601bf886ddf8e4b90e816d27dada6628625d0">
          <item id="adf921e081e9a5d0d1d1dc3b85ef94eb652f8649" isNormal="1">
            <s:text>
              <s:r>
                <s:t xml:space="preserve">Administrator:
5/6 1403751 704pcs新仓库A5</s:t>
              </s:r>
            </s:text>
          </item>
        </commentChain>
      </unresolved>
      <resolved/>
    </commentChains>
    <commentChains s:ref="AG67" rgbClr="FF0000">
      <unresolved>
        <commentChain chainId="50de7b93c49b07988b56c8946b4b3f4f386ce95e">
          <item id="e6f11d5895565514c098f82c4b0d3384df42ae54" isNormal="1">
            <s:text>
              <s:r>
                <s:t xml:space="preserve">DELL:
1000657 4/25 880pcs新仓库C1
1000658 4/25 768pcs新仓库C2
3001843 4/27 5584pcs新仓库C2</s:t>
              </s:r>
            </s:text>
          </item>
        </commentChain>
      </unresolved>
      <resolved/>
    </commentChains>
    <commentChains s:ref="AI67" rgbClr="FF0000">
      <unresolved>
        <commentChain chainId="0a63e64767ece8bcfbf75aa663809dc49ea8b4d4">
          <item id="4838cf778645bf5a6ffcbbe03f6960f5698a1c10" isNormal="1">
            <s:text>
              <s:r>
                <s:t xml:space="preserve">Administrator:
4/9 上锂电池标签贴纸1375pcs</s:t>
              </s:r>
            </s:text>
          </item>
        </commentChain>
      </unresolved>
      <resolved/>
    </commentChains>
    <commentChains s:ref="AG68" rgbClr="FF0000">
      <unresolved>
        <commentChain chainId="87db627fef49d1381560d972008ff022bb72bb16">
          <item id="19cba4f1759cc0aca1785abe197a7d1f48196160" isNormal="1">
            <s:text>
              <s:r>
                <s:t xml:space="preserve">Administrator:
5/5 1403765 1416PCS B4-B5</s:t>
              </s:r>
            </s:text>
          </item>
        </commentChain>
      </unresolved>
      <resolved/>
    </commentChains>
    <commentChains s:ref="AI68" rgbClr="FF0000">
      <unresolved>
        <commentChain chainId="58f629ec53e9894762dbfc142b5832e331283555">
          <item id="0c73ae120a700deb567d0bd26db6f94b8545972d" isNormal="1">
            <s:text>
              <s:r>
                <s:t xml:space="preserve">Administrator:
3/16 上白色防盗贴纸 1408pcs
4/16 上KM外箱贴纸 177pcs</s:t>
              </s:r>
            </s:text>
          </item>
        </commentChain>
      </unresolved>
      <resolved/>
    </commentChains>
    <commentChains s:ref="AG69" rgbClr="FF0000">
      <unresolved>
        <commentChain chainId="f751faee1daeb046fbc7bdbd6f130a7103f905db">
          <item id="e31d8e8f74ae3c23d2a52b67389d684549ec1d62" isNormal="1">
            <s:text>
              <s:r>
                <s:t xml:space="preserve">Administrator:
5/4 1403387 88pcs</s:t>
              </s:r>
            </s:text>
          </item>
        </commentChain>
      </unresolved>
      <resolved/>
    </commentChains>
    <commentChains s:ref="AI69" rgbClr="FF0000">
      <unresolved>
        <commentChain chainId="5616dc24760db93bf039cf483f7ecc47011bacbb">
          <item id="c37b02f12964c12df350da79304f94794a44eac7" isNormal="1">
            <s:text>
              <s:r>
                <s:t xml:space="preserve">Administrator:
3/16 上白色防盗贴纸 88pcs
4/16 上KM外箱贴纸 11pcs</s:t>
              </s:r>
            </s:text>
          </item>
        </commentChain>
      </unresolved>
      <resolved/>
    </commentChains>
    <commentChains s:ref="AG70" rgbClr="FF0000">
      <unresolved>
        <commentChain chainId="23a665e52b8fe39a503d10833bd56fc765abc15e">
          <item id="6ca3bc09e94b25bdf7cbfda3b2243a3df6dfa478" isNormal="1">
            <s:text>
              <s:r>
                <s:t xml:space="preserve">Administrator:
5/4 1403387 736pcs</s:t>
              </s:r>
            </s:text>
          </item>
        </commentChain>
      </unresolved>
      <resolved/>
    </commentChains>
    <commentChains s:ref="AI70" rgbClr="FF0000">
      <unresolved>
        <commentChain chainId="cff59c45edcca8d5c4f210b2e8c64d818ea41408">
          <item id="f222f29c107af21c3ed759fb6a2c6f7dad82ed45" isNormal="1">
            <s:text>
              <s:r>
                <s:t xml:space="preserve">Administrator:
4/17 上锂电池标签纸106*106  4011pcs
199055/192526/193910/194882/196674/197095共用
4/14 上保证书121*81mm 736pcs
     上进口商贴纸45*47mm 736pcs
     上UPC条码贴纸35*19mm 736pcs</s:t>
              </s:r>
            </s:text>
          </item>
        </commentChain>
      </unresolved>
      <resolved/>
    </commentChains>
    <commentChains s:ref="AG71" rgbClr="FF0000">
      <unresolved>
        <commentChain chainId="f10f73d1145dbe037ef21b59780cc34d5857f64b">
          <item id="c14382b0772caba8c407f297d93e91b88f6a0060" isNormal="1">
            <s:text>
              <s:r>
                <s:t xml:space="preserve">Administrator:
5/11 1403491 10752pcs新B6</s:t>
              </s:r>
            </s:text>
          </item>
        </commentChain>
      </unresolved>
      <resolved/>
    </commentChains>
    <commentChains s:ref="AI71" rgbClr="FF0000">
      <unresolved>
        <commentChain chainId="7eb1541d1041ef0b7ca199e264b62c969c3d69e5">
          <item id="f6a8a8c20a2a855c0bdea15ac6c469e16752a948" isNormal="1">
            <s:text>
              <s:r>
                <s:t xml:space="preserve">Administrator:
4/20 上锂电池贴纸 8425pcs
196335/196563/196509/196510/196512/196513/198363/198365/198366/198368/198369公用
3/27 上客供RFID贴纸 10752pcs</s:t>
              </s:r>
            </s:text>
          </item>
        </commentChain>
      </unresolved>
      <resolved/>
    </commentChains>
    <commentChains s:ref="AG72" rgbClr="FF0000">
      <unresolved>
        <commentChain chainId="f600d8c70f9607bd4123549fdec78cdeda2050cb">
          <item id="63b1a2217352bfd1c8891235deb7684a2ef67e45" isNormal="1">
            <s:text>
              <s:r>
                <s:t xml:space="preserve">Administrator:
5/9 1402986 8704pcs</s:t>
              </s:r>
            </s:text>
          </item>
        </commentChain>
      </unresolved>
      <resolved/>
    </commentChains>
    <commentChains s:ref="AI72" rgbClr="FF0000">
      <unresolved>
        <commentChain chainId="46d5744db2cc4041c52eec81d313e3e0be43fdd5">
          <item id="8d0d1ae86d6b6b9919b2c0ce204e9e1dcbca4e98" isNormal="1">
            <s:text>
              <s:r>
                <s:t xml:space="preserve">Administrator:
4/20 上锂电池贴纸 8425pcs
196335/196563/196509/196510/196512/196513/198363/198365/198366/198368/198369公用
4/8 上客供RFID贴纸 8704pcs</s:t>
              </s:r>
            </s:text>
          </item>
        </commentChain>
      </unresolved>
      <resolved/>
    </commentChains>
    <commentChains s:ref="AI73" rgbClr="FF0000">
      <unresolved>
        <commentChain chainId="43fa6aaf0a220086baec2e5ac1ec54575364ad3e">
          <item id="c4ccfb23e4866c7bb7a22ca9faf8b1f0b91c844e" isNormal="1">
            <s:text>
              <s:r>
                <s:t xml:space="preserve">DELL:
4/30 上锂电池贴纸 7282pcs
196453/194798/195170/198032/ZMPO260306/197999/198146/198397/ZMPO260320/199501/1995045/199725/199726/199929/200071/200163/200909/201073/202070共用</s:t>
              </s:r>
            </s:text>
          </item>
        </commentChain>
      </unresolved>
      <resolved/>
    </commentChains>
    <commentChains s:ref="AG74" rgbClr="FF0000">
      <unresolved>
        <commentChain chainId="4eaf57dc5266a77d546509f70789f84b4cb1adf0">
          <item id="d6a07ba0ecc011d69500dfc6a1ccea8bbe96ff45" isNormal="1">
            <s:text>
              <s:r>
                <s:t xml:space="preserve">Administrator:
5/4 1403383 19552pcs</s:t>
              </s:r>
            </s:text>
          </item>
        </commentChain>
      </unresolved>
      <resolved/>
    </commentChains>
    <commentChains s:ref="AI74" rgbClr="FF0000">
      <unresolved>
        <commentChain chainId="ded965d1ed93a7968eeaef659675edd993a6273d">
          <item id="f97cc23245e119e62951f674dd5e3bb1bc1c63fa" isNormal="1">
            <s:text>
              <s:r>
                <s:t xml:space="preserve">Administrator:
4/17 上锂电池标签纸106*106  4011pcs
199055/192526/193910/194882/196674/197095共用
4/25 上客供外箱条码贴纸 2469pcs</s:t>
              </s:r>
            </s:text>
          </item>
        </commentChain>
      </unresolved>
      <resolved/>
    </commentChains>
    <commentChains s:ref="AG75" rgbClr="FF0000">
      <unresolved>
        <commentChain chainId="c4275afb86c0b59ef8fcd5d4572aeaad415a6aa0">
          <item id="21a9a820ed504fa166624fb698168a949f813584" isNormal="1">
            <s:text>
              <s:r>
                <s:t xml:space="preserve">Administrator:
5/8 1403429 1704PCS B4-A7</s:t>
              </s:r>
            </s:text>
          </item>
        </commentChain>
      </unresolved>
      <resolved/>
    </commentChains>
    <commentChains s:ref="AG76" rgbClr="FF0000">
      <unresolved>
        <commentChain chainId="030b21526e7116243a16868c6baea5dd27e6e652">
          <item id="ff6797b4c750ce5471241404feebe6ff58042ccc" isNormal="1">
            <s:text>
              <s:r>
                <s:t xml:space="preserve">Administrator:
5/9 1403434 600pcs </s:t>
              </s:r>
            </s:text>
          </item>
        </commentChain>
      </unresolved>
      <resolved/>
    </commentChains>
    <commentChains s:ref="AI76" rgbClr="FF0000">
      <unresolved>
        <commentChain chainId="b72f158a9e0b6f112157fc507e4c68999947a25c">
          <item id="9f7c18295344f88b4e49fe247b1f22e8b801bb03" isNormal="1">
            <s:text>
              <s:r>
                <s:t xml:space="preserve">Administrator:
4/21 上警语贴纸 600pcs</s:t>
              </s:r>
            </s:text>
          </item>
        </commentChain>
      </unresolved>
      <resolved/>
    </commentChains>
    <commentChains s:ref="AG77" rgbClr="FF0000">
      <unresolved>
        <commentChain chainId="a3d144b1313d73a648b763661d1a58cbc27cf1e7">
          <item id="565c932fae0092470400fb4367388fdfe075be63" isNormal="1">
            <s:text>
              <s:r>
                <s:t xml:space="preserve">DELL:
3001838 4/25 456pcs
3001907 5/4 1176
3001933 5/5 999pcs
3001944 5/61529pcs</s:t>
              </s:r>
            </s:text>
          </item>
        </commentChain>
      </unresolved>
      <resolved/>
    </commentChains>
    <commentChains s:ref="AI77" rgbClr="FF0000">
      <unresolved>
        <commentChain chainId="51176a0b9765d13c56b1b59c81c3e4806e1ee338">
          <item id="1bfb5be1d9fde240c6638804fd53715f137e70b3" isNormal="1">
            <s:text>
              <s:r>
                <s:t xml:space="preserve">Administrator:
4/7 收到锂电池标贴纸 36pcs
</s:t>
              </s:r>
            </s:text>
          </item>
        </commentChain>
      </unresolved>
      <resolved/>
    </commentChains>
    <commentChains s:ref="AI78" rgbClr="FF0000">
      <unresolved>
        <commentChain chainId="e4e5e7d73e44351f053f461b5ec95c5e518019a1">
          <item id="7efdbe7b8c3e3eff1bf71f43de940af4b6bdb289" isNormal="1">
            <s:text>
              <s:r>
                <s:t xml:space="preserve">DELL:
4/30 上锂电池贴纸 7282pcs
196453/194798/195170/198032/ZMPO260306/197999/198146/198397/ZMPO260320/199501/1995045/199725/199726/199929/200071/200163/200909/201073/202070共用</s:t>
              </s:r>
            </s:text>
          </item>
        </commentChain>
      </unresolved>
      <resolved/>
    </commentChains>
    <commentChains s:ref="AG79" rgbClr="FF0000">
      <unresolved>
        <commentChain chainId="539106df058cfaa537781b2e1eb45d5303e3a70b">
          <item id="f6326bf241ae9b08381c36d8cc31a3fc9237df41" isNormal="1">
            <s:text>
              <s:r>
                <s:t xml:space="preserve">Administrator:
3001903 5/4 4800pcs新仓库B7
3001929 5/5 4096pcs新仓库B7</s:t>
              </s:r>
            </s:text>
          </item>
        </commentChain>
      </unresolved>
      <resolved/>
    </commentChains>
    <commentChains s:ref="AI79" rgbClr="FF0000">
      <unresolved>
        <commentChain chainId="18ceba2e6a5e9a56b09135c43282ef8bd9ef977d">
          <item id="0f8dc73d2c5e9bb39887a71dd60675ca76b4baf2" isNormal="1">
            <s:text>
              <s:r>
                <s:t xml:space="preserve">Administrator:
4/20 上锂电池贴纸 8425pcs
196335/196563/196509/196510/196512/196513/198363/198365/198366/198368/198369公用
4/22 上粉色艾利贴纸 2092pcs
3/27 上客供RFID贴纸 8896pcs</s:t>
              </s:r>
            </s:text>
          </item>
        </commentChain>
      </unresolved>
      <resolved/>
    </commentChains>
    <commentChains s:ref="AG80" rgbClr="FF0000">
      <unresolved>
        <commentChain chainId="540205f27c767d0f9005151767222717e14066d6">
          <item id="238128240fbed3b78200d19b0922d04f463458fb" isNormal="1">
            <s:text>
              <s:r>
                <s:t xml:space="preserve">Administrator:
5/5 3001936 6720pcs新仓库B5
5/6 3001942 1120pcs新仓库B5
</s:t>
              </s:r>
            </s:text>
          </item>
        </commentChain>
      </unresolved>
      <resolved/>
    </commentChains>
    <commentChains s:ref="AI80" rgbClr="FF0000">
      <unresolved>
        <commentChain chainId="37a90d898a00bdd9e29013a615f25b3ed67db69d">
          <item id="f61032fee80159031499fe2cb845c5cf32e7f81c" isNormal="1">
            <s:text>
              <s:r>
                <s:t xml:space="preserve">Administrator:
4/20 上锂电池贴纸 8425pcs
196335/196563/196509/196510/196512/196513/198363/198365/198366/198368/198369公用
4/22 上粉色艾利贴纸 2092pcs
3/27 上客供RFID贴纸 7840pcs</s:t>
              </s:r>
            </s:text>
          </item>
        </commentChain>
      </unresolved>
      <resolved/>
    </commentChains>
    <commentChains s:ref="AG81" rgbClr="FF0000">
      <unresolved>
        <commentChain chainId="4782d2910d97fa1c012fa10bc1b8ccbeb86f48fe">
          <item id="f63d595c65b6aa1c28ccea6671a0a8de98436b68" isNormal="1">
            <s:text>
              <s:r>
                <s:t xml:space="preserve">Administrator:
5/9 1403435 6144pcs新3-c3</s:t>
              </s:r>
            </s:text>
          </item>
        </commentChain>
      </unresolved>
      <resolved/>
    </commentChains>
    <commentChains s:ref="AI81" rgbClr="FF0000">
      <unresolved>
        <commentChain chainId="152474594c820c539a0025e865365536ee0524eb">
          <item id="102086c2ba0bfdbef621c8108601507b2f2f46e8" isNormal="1">
            <s:text>
              <s:r>
                <s:t xml:space="preserve">Administrator:
4/20 上锂电池贴纸 8425pcs
196335/196563/196509/196510/196512/196513/198363/198365/198366/198368/198369公用
4/8 上客供RFID贴纸 6144pcs</s:t>
              </s:r>
            </s:text>
          </item>
        </commentChain>
      </unresolved>
      <resolved/>
    </commentChains>
    <commentChains s:ref="AG82" rgbClr="FF0000">
      <unresolved>
        <commentChain chainId="c6f5fca8276c14866790ccd6e1c34bb433d69588">
          <item id="c100a5e23e1dcca49cbbc1918b1ae284cfaa73a6" isNormal="1">
            <s:text>
              <s:r>
                <s:t xml:space="preserve">Administrator:
5/9 1403434 9216pcs新3-c3</s:t>
              </s:r>
            </s:text>
          </item>
        </commentChain>
      </unresolved>
      <resolved/>
    </commentChains>
    <commentChains s:ref="AI82" rgbClr="FF0000">
      <unresolved>
        <commentChain chainId="c6f8ce7a87a4c6175e3c7b84f0b4597a3afe5fd3">
          <item id="878276c727ad07d28dd7f6f298744c59d1f29347" isNormal="1">
            <s:text>
              <s:r>
                <s:t xml:space="preserve">Administrator:
4/20 上锂电池贴纸 8425pcs
196335/196563/196509/196510/196512/196513/198363/198365/198366/198368/198369公用
4/8 上客供RFID贴纸 9216pcs
</s:t>
              </s:r>
            </s:text>
          </item>
        </commentChain>
      </unresolved>
      <resolved/>
    </commentChains>
    <commentChains s:ref="AG83" rgbClr="FF0000">
      <unresolved>
        <commentChain chainId="4134fd6a95e00f776430eb4498f8dbe8d0a8ed4a">
          <item id="bcf23a5e674e2eb1a4563aa3bc9c2f3af08c2c86" isNormal="1">
            <s:text>
              <s:r>
                <s:t xml:space="preserve">Administrator:
5/9 1000021 1840pcs新3-A1
</s:t>
              </s:r>
            </s:text>
          </item>
        </commentChain>
      </unresolved>
      <resolved/>
    </commentChains>
    <commentChains s:ref="AI83" rgbClr="FF0000">
      <unresolved>
        <commentChain chainId="c757a251aa11d9fb293f4e3afe63f0e99820c410">
          <item id="4878418be2340cde7c2aab9260648a4ee49ecee5" isNormal="1">
            <s:text>
              <s:r>
                <s:t xml:space="preserve">Administrator:
3/30上锂电池贴纸4792pcs
4500196046/4500195753/4500195755/4500196881/4500196882共用
4/25 上外箱贴纸 230pcs
5/6 上PDQ覆盖唱片贴纸836pcs
4500196881/196882 共用
</s:t>
              </s:r>
            </s:text>
          </item>
        </commentChain>
      </unresolved>
      <resolved/>
    </commentChains>
    <commentChains s:ref="AG84" rgbClr="FF0000">
      <unresolved>
        <commentChain chainId="4bea70f0e793bae25a336d0aadf2106f3a03411c">
          <item id="5bd928f20bb33b3c13c129086062c993f1840e5a" isNormal="1">
            <s:text>
              <s:r>
                <s:t xml:space="preserve">Administrator:
5/16 3001722 3328pcs</s:t>
              </s:r>
            </s:text>
          </item>
        </commentChain>
      </unresolved>
      <resolved/>
    </commentChains>
    <commentChains s:ref="AI84" rgbClr="FF0000">
      <unresolved>
        <commentChain chainId="6f56e04718e3873d6538de20ea9d65af365ff498">
          <item id="50f5a644ad0cad1eb01431a3db213abe67ce7fc4" isNormal="1">
            <s:text>
              <s:r>
                <s:t xml:space="preserve">Administrator:
4/29 上大白方防盗贴纸3328pcs
4/30 上锂电池贴纸 104pcs</s:t>
              </s:r>
            </s:text>
          </item>
        </commentChain>
      </unresolved>
      <resolved/>
    </commentChains>
    <commentChains s:ref="AG85" rgbClr="FF0000">
      <unresolved>
        <commentChain chainId="1b374c5de243fe2122ca955681fa839c1415b1b6">
          <item id="df8f4890de3a6d1a1d748805ca6a8295a8bca90e" isNormal="1">
            <s:text>
              <s:r>
                <s:t xml:space="preserve">Administrator:
5/7 3001948 1246pcs</s:t>
              </s:r>
            </s:text>
          </item>
        </commentChain>
      </unresolved>
      <resolved/>
    </commentChains>
    <commentChains s:ref="AI85" rgbClr="FF0000">
      <unresolved>
        <commentChain chainId="168b2075dbc6084dd43550012744b097f776a47d">
          <item id="414fad262271c27637bededbeef5af86fce18f88" isNormal="1">
            <s:text>
              <s:r>
                <s:t xml:space="preserve">DELL:
4/22 上cat label 1264pcs
     上锂电池外箱贴纸 158pcs</s:t>
              </s:r>
            </s:text>
          </item>
        </commentChain>
      </unresolved>
      <resolved/>
    </commentChains>
    <commentChains s:ref="AG86" rgbClr="FF0000">
      <unresolved>
        <commentChain chainId="b1d2f822ad318bbff2dd0ed30b0056f9711ef6b5">
          <item id="a4391ed0b62860c5e2f0c084014c4803f64a6b2e" isNormal="1">
            <s:text>
              <s:r>
                <s:t xml:space="preserve">Administrator:
5/7 3001948 1246pcs</s:t>
              </s:r>
            </s:text>
          </item>
        </commentChain>
      </unresolved>
      <resolved/>
    </commentChains>
    <commentChains s:ref="AI86" rgbClr="FF0000">
      <unresolved>
        <commentChain chainId="ee117b9df70dd99700cfa64e7b9aa7053c6bd707">
          <item id="40e4a707c53cdf0437c1b2e4b14798a45f6d1c9d" isNormal="1">
            <s:text>
              <s:r>
                <s:t xml:space="preserve">DELL:
4/22 上cat label 1264pcs
     上锂电池外箱贴纸 158pcs</s:t>
              </s:r>
            </s:text>
          </item>
        </commentChain>
      </unresolved>
      <resolved/>
    </commentChains>
    <commentChains s:ref="AG87" rgbClr="FF0000">
      <unresolved>
        <commentChain chainId="c062671d509b56a045378f01c7e55c020bd6650b">
          <item id="9db394e1b83bd6b80c7a874bc2192204931768ae" isNormal="1">
            <s:text>
              <s:r>
                <s:t xml:space="preserve">Administrator:
5/9 1403435 6720pcs</s:t>
              </s:r>
            </s:text>
          </item>
        </commentChain>
      </unresolved>
      <resolved/>
    </commentChains>
    <commentChains s:ref="AI87" rgbClr="FF0000">
      <unresolved>
        <commentChain chainId="746b021bbf25c3b0d5cb4b33324890baa15dcb39">
          <item id="4aae3fcba4ffe0272744d6e929be98e61587c3ff" isNormal="1">
            <s:text>
              <s:r>
                <s:t xml:space="preserve">Administrator:
4/20 上锂电池贴纸 8425pcs
196335/196563/196509/196510/196512/196513/198363/198365/198366/198368/198369公用
3/27 上客供RFID贴纸 3720pcs
4/27 上粉色艾利贴纸 5738pcs
196513/196512/196510共用
</s:t>
              </s:r>
            </s:text>
          </item>
        </commentChain>
      </unresolved>
      <resolved/>
    </commentChains>
    <commentChains s:ref="AG88" rgbClr="FF0000">
      <unresolved>
        <commentChain chainId="de2836c7668ffdda468bb44ebba7a1b5022b5487">
          <item id="afa96218fbb125edc902edf2c49fae358d70bfef" isNormal="1">
            <s:text>
              <s:r>
                <s:t xml:space="preserve">Administrator:
5/9 1403440 10528pcs</s:t>
              </s:r>
            </s:text>
          </item>
        </commentChain>
      </unresolved>
      <resolved/>
    </commentChains>
    <commentChains s:ref="AI88" rgbClr="FF0000">
      <unresolved>
        <commentChain chainId="cffbaa3226a8e381c377c02724dd969613faa0f2">
          <item id="35e821971936b3dab40a1314ab5ae4512552d8d0" isNormal="1">
            <s:text>
              <s:r>
                <s:t xml:space="preserve">Administrator:
4/20 上锂电池贴纸 8425pcs
196335/196563/196509/196510/196512/196513/198363/198365/198366/198368/198369公用
3/27 上客供RFID贴纸 10528pcs
4/27 上粉色艾利贴纸 5738pcs
196513/196512/196510共用
</s:t>
              </s:r>
            </s:text>
          </item>
        </commentChain>
      </unresolved>
      <resolved/>
    </commentChains>
    <commentChains s:ref="AG89" rgbClr="FF0000">
      <unresolved>
        <commentChain chainId="5d682f771ecaa4c924807b7a8a23917bc1922107">
          <item id="cb95db5bfde525a74d01e4ab090f70b33a4f985f" isNormal="1">
            <s:text>
              <s:r>
                <s:t xml:space="preserve">Administrator:
5/15 1403578 12800pcs</s:t>
              </s:r>
            </s:text>
          </item>
        </commentChain>
      </unresolved>
      <resolved/>
    </commentChains>
    <commentChains s:ref="AI89" rgbClr="FF0000">
      <unresolved>
        <commentChain chainId="710bee75a88944bf49a187b08330d52f7a439d3a">
          <item id="8ed2f8b5167d1aa11742f880f3037c8ea442e38b" isNormal="1">
            <s:text>
              <s:r>
                <s:t xml:space="preserve">Administrator:
4/20 上锂电池贴纸 8425pcs
196335/196563/196509/196510/196512/196513/198363/198365/198366/198368/198369公用
4/8 上客供RFID贴纸 12800pcs
</s:t>
              </s:r>
            </s:text>
          </item>
        </commentChain>
      </unresolved>
      <resolved/>
    </commentChains>
    <commentChains s:ref="AG92" rgbClr="FF0000">
      <unresolved>
        <commentChain chainId="365df3f88255623fcc9347994b17f929b7cde7eb">
          <item id="23b4a001b207812363426fedff9c8841bc6e79f4" isNormal="1">
            <s:text>
              <s:r>
                <s:t xml:space="preserve">Administrator:
5/11 1000048 2048pcs</s:t>
              </s:r>
            </s:text>
          </item>
        </commentChain>
      </unresolved>
      <resolved/>
    </commentChains>
    <commentChains s:ref="AI92" rgbClr="FF0000">
      <unresolved>
        <commentChain chainId="eead997149ac6b8dc5a457bb32b157d3a117060a">
          <item id="a776be78593a88a9765f35b7cc0ac064906e8a92" isNormal="1">
            <s:text>
              <s:r>
                <s:t xml:space="preserve">Administrator:
4/17 上锂电池标签纸106*106  4011pcs
199055/192526/193910/194882/196674/197095共用</s:t>
              </s:r>
            </s:text>
          </item>
        </commentChain>
      </unresolved>
      <resolved/>
    </commentChains>
    <commentChains s:ref="AG93" rgbClr="FF0000">
      <unresolved>
        <commentChain chainId="293d24832892781eb006c4dc75d69e071e7ecdc1">
          <item id="a493249c6a0970e08f68af757bfecb4824e359f0" isNormal="1">
            <s:text>
              <s:r>
                <s:t xml:space="preserve">Administrator:
5/16 1403593 6144pcs</s:t>
              </s:r>
            </s:text>
          </item>
        </commentChain>
      </unresolved>
      <resolved/>
    </commentChains>
    <commentChains s:ref="AI93" rgbClr="FF0000">
      <unresolved>
        <commentChain chainId="2a506f0e53c7e7a6ecceac43e63c8278e5e5557c">
          <item id="539f241b214d25a0f9fc8e0b809645eaa158e614" isNormal="1">
            <s:text>
              <s:r>
                <s:t xml:space="preserve">Administrator:
4/20 上锂电池贴纸 8425pcs
196335/196563/196509/196510/196512/196513/198363/198365/198366/198368/198369公用
4/8 上客供RFID贴纸 6144pcs
</s:t>
              </s:r>
            </s:text>
          </item>
        </commentChain>
      </unresolved>
      <resolved/>
    </commentChains>
    <commentChains s:ref="AG94" rgbClr="FF0000">
      <unresolved>
        <commentChain chainId="1b9697cdf40a2c1c3abe1779378ad4f3dd027016">
          <item id="844c884dece05a07ccc2840706545d3615dba8b2" isNormal="1">
            <s:text>
              <s:r>
                <s:t xml:space="preserve">Administrator:
5/16 1403593 6144pcs
</s:t>
              </s:r>
            </s:text>
          </item>
        </commentChain>
      </unresolved>
      <resolved/>
    </commentChains>
    <commentChains s:ref="AI94" rgbClr="FF0000">
      <unresolved>
        <commentChain chainId="5a04f8f7dc32a1f9f6155c30203e6f84ce386e08">
          <item id="09fd6cfb5363257935ef1b27a8aae6b50a043e17" isNormal="1">
            <s:text>
              <s:r>
                <s:t xml:space="preserve">Administrator:
4/20 上锂电池贴纸 8425pcs
196335/196563/196509/196510/196512/196513/198363/198365/198366/198368/198369公用
4/8 上客供RFID贴纸 6656pcs
</s:t>
              </s:r>
            </s:text>
          </item>
        </commentChain>
      </unresolved>
      <resolved/>
    </commentChains>
    <commentChains s:ref="AG95" rgbClr="FF0000">
      <unresolved>
        <commentChain chainId="6b29b25ce16cb7142d3b54a52906333e59f02939">
          <item id="536595defe941348cb8bf043600139ce8b768164" isNormal="1">
            <s:text>
              <s:r>
                <s:t xml:space="preserve">Administrator:
Administrator:
5/16 1403593 6144pcs
</s:t>
              </s:r>
            </s:text>
          </item>
        </commentChain>
      </unresolved>
      <resolved/>
    </commentChains>
    <commentChains s:ref="AI95" rgbClr="FF0000">
      <unresolved>
        <commentChain chainId="989e7c3ceb5762ff2fe54d3f012ba58b17bb2127">
          <item id="5af7aa83a5366b7d9bd79510ecb161a2abbda4ca" isNormal="1">
            <s:text>
              <s:r>
                <s:t xml:space="preserve">Administrator:
4/20 上锂电池贴纸 8425pcs
196335/196563/196509/196510/196512/196513/198363/198365/198366/198368/198369公用
4/8 上客供RFID贴纸 8704pcs</s:t>
              </s:r>
            </s:text>
          </item>
        </commentChain>
      </unresolved>
      <resolved/>
    </commentChains>
    <commentChains s:ref="AG96" rgbClr="FF0000">
      <unresolved>
        <commentChain chainId="b275e787baebdd0f24a17570eea4e1251613e1a8">
          <item id="044828057c82a97d27e02f7840d76e64e028f9a4" isNormal="1">
            <s:text>
              <s:r>
                <s:t xml:space="preserve">Administrator:
5/14 140525 12336pcs</s:t>
              </s:r>
            </s:text>
          </item>
        </commentChain>
      </unresolved>
      <resolved/>
    </commentChains>
    <commentChains s:ref="AI96" rgbClr="FF0000">
      <unresolved>
        <commentChain chainId="700d89f9958118b7618c47c7086ae8d030f8c278">
          <item id="995ae7bc2696a0e0616937f5629cbca594652007" isNormal="1">
            <s:text>
              <s:r>
                <s:t xml:space="preserve">Administrator:
4/20 上锂电池贴纸 8425pcs
196335/196563/196509/196510/196512/196513/198363/198365/198366/198368/198369公用
4/27 上粉色艾利贴纸 5738pcs
196513/196512/196510共用
</s:t>
              </s:r>
            </s:text>
          </item>
        </commentChain>
      </unresolved>
      <resolved/>
    </commentChains>
    <commentChains s:ref="AG97" rgbClr="FF0000">
      <unresolved>
        <commentChain chainId="9dc36e4f08344e4c90daa5e67f61d698e901ff81">
          <item id="e751be2fe49d503e4b18c066f5abadf908a9b067" isNormal="1">
            <s:text>
              <s:r>
                <s:t xml:space="preserve">Administrator:
5/13 1000021 6000pcs</s:t>
              </s:r>
            </s:text>
          </item>
        </commentChain>
      </unresolved>
      <resolved/>
    </commentChains>
    <commentChains s:ref="AI97" rgbClr="FF0000">
      <unresolved>
        <commentChain chainId="50472b35c04866c23900dac7a950c97c291e1e12">
          <item id="4d583e964c728bb543b72e33b6977cbd0115346f" isNormal="1">
            <s:text>
              <s:r>
                <s:t xml:space="preserve">DELL:
4/30 上锂电池贴纸 7282pcs
196453/194798/195170/198032/ZMPO260306/197999/198146/198397/ZMPO260320/199501/1995045/199725/199726/199929/200071/200163/200909/201073/202070共用</s:t>
              </s:r>
            </s:text>
          </item>
        </commentChain>
      </unresolved>
      <resolved/>
    </commentChains>
    <commentChains s:ref="AG98" rgbClr="FF0000">
      <unresolved>
        <commentChain chainId="507e7bedf91181eac371564a57974c146522c1ca">
          <item id="d5b3e37f5d471a28a1e203235ecf2cc8da16e53b" isNormal="1">
            <s:text>
              <s:r>
                <s:t xml:space="preserve">Administrator:
</s:t>
              </s:r>
            </s:text>
          </item>
          <item id="48bf30c0b32a66de4191dded48b9c189554bab97" userID="1850010794" userName="龙丽娟" dateTime="2026-06-01T05:20:29" isNormal="0">
            <s:text>
              <s:r>
                <s:t xml:space="preserve">5/27 3002532 4320PCS</s:t>
              </s:r>
            </s:text>
          </item>
        </commentChain>
      </unresolved>
      <resolved/>
    </commentChains>
    <commentChains s:ref="AI98" rgbClr="FF0000">
      <unresolved>
        <commentChain chainId="ee41389da4320eb40db4fee2c68a7edfb0f4b8b1">
          <item id="10dbb56a85102f1ff6fd09c39dbc0c9332702e91" isNormal="1">
            <s:text>
              <s:r>
                <s:t xml:space="preserve">Administrator:
4/17 收到锂电池标签纸 396pcs
194942/194943/194944/194945/194947/194948/194951/194953/194954/194956/194957共用</s:t>
              </s:r>
            </s:text>
          </item>
        </commentChain>
      </unresolved>
      <resolved/>
    </commentChains>
    <commentChains s:ref="AG99" rgbClr="FF0000">
      <unresolved>
        <commentChain chainId="8fa40115adf5376a71ec9137704ce0d5c2bd7aca">
          <item id="6c86c7146c5a83a51d1714217cdf70f8f153bdd4" userID="1850010794" userName="龙丽娟" dateTime="2026-05-30T08:52:48" isNormal="0">
            <s:text>
              <s:r>
                <s:t xml:space="preserve">5/27 2800023 3192pcs新2b6</s:t>
              </s:r>
            </s:text>
          </item>
        </commentChain>
      </unresolved>
      <resolved/>
    </commentChains>
    <commentChains s:ref="AI99" rgbClr="FF0000">
      <unresolved>
        <commentChain chainId="5e9252222d0ead143effc331c4c64cec8ad5856f">
          <item id="4551199755b7f3bed8f355bd978cd22435cf35cd" isNormal="1">
            <s:text>
              <s:r>
                <s:t xml:space="preserve">Administrator:
4/20 上锂电池贴纸 8425pcs
196335/196563/196509/196510/196512/196513/198363/198365/198366/198368/198369公用</s:t>
              </s:r>
            </s:text>
          </item>
        </commentChain>
      </unresolved>
      <resolved/>
    </commentChains>
    <commentChains s:ref="AG100" rgbClr="FF0000">
      <unresolved>
        <commentChain chainId="3642f519002dc754fd4865a4dcfcd3ff174c41ed">
          <item id="e67292a68c2e667e5b027d1938e15229eff39ba8" isNormal="1">
            <s:text>
              <s:r>
                <s:t xml:space="preserve">Administrator:
5/23 1403357 2128pcs</s:t>
              </s:r>
            </s:text>
          </item>
        </commentChain>
      </unresolved>
      <resolved/>
    </commentChains>
    <commentChains s:ref="AI100" rgbClr="FF0000">
      <unresolved>
        <commentChain chainId="1e5f83167a44396f5e42cb13bc24765682834393">
          <item id="8a691176846ae25f24cc841f85cc6cd953796d97" isNormal="1">
            <s:text>
              <s:r>
                <s:t xml:space="preserve">Administrator:
4/17 上锂电池标签纸106*106  4011pcs
199055/192526/193910/194882/196674/197095共用</s:t>
              </s:r>
            </s:text>
          </item>
        </commentChain>
      </unresolved>
      <resolved/>
    </commentChains>
    <commentChains s:ref="AG101" rgbClr="FF0000">
      <unresolved>
        <commentChain chainId="0b3c4933b2f92a41e44e3ae333e105054fb7dbaa">
          <item id="28e0149a8c35416fb73cdf0ca0989e93f77942e2" isNormal="1">
            <s:text>
              <s:r>
                <s:t xml:space="preserve">Administrator:
</s:t>
              </s:r>
            </s:text>
          </item>
        </commentChain>
      </unresolved>
      <resolved/>
    </commentChains>
    <commentChains s:ref="AI101" rgbClr="FF0000">
      <unresolved>
        <commentChain chainId="a69ec860164430509bbb9ca6b3284920589238b2">
          <item id="0a14a7a945fa45c4d788121d619c3ce6ea513a86" isNormal="1">
            <s:text>
              <s:r>
                <s:t xml:space="preserve">Administrator:
3/24 上锂电池贴纸32pcs
4/7 上进口商贴纸512pcs</s:t>
              </s:r>
            </s:text>
          </item>
        </commentChain>
      </unresolved>
      <resolved/>
    </commentChains>
    <commentChains s:ref="AG102" rgbClr="FF0000">
      <unresolved>
        <commentChain chainId="82f99516cac07758f9d5d0e845ac0117ee9913dc">
          <item id="27a4aed9e1d6992c0d3a0b147c17080f061ee5c0" isNormal="1">
            <s:text>
              <s:r>
                <s:t xml:space="preserve">Administrator:
5/16 1403582 1232pcs</s:t>
              </s:r>
            </s:text>
          </item>
        </commentChain>
      </unresolved>
      <resolved/>
    </commentChains>
    <commentChains s:ref="AI102" rgbClr="FF0000">
      <unresolved>
        <commentChain chainId="6f313fcb6aac942948a767b76794a0543bfe80ec">
          <item id="fe3dd31cb59a3535940a263a49d8f1e7ab959274" isNormal="1">
            <s:text>
              <s:r>
                <s:t xml:space="preserve">Administrator:
5/15 上PDQ覆盖唱片贴纸226pcs
4500197867/198032</s:t>
              </s:r>
            </s:text>
          </item>
        </commentChain>
      </unresolved>
      <resolved/>
    </commentChains>
    <commentChains s:ref="AG103" rgbClr="FF0000">
      <unresolved>
        <commentChain chainId="762ae88968195bd0c414171b6cec1d17a6868474">
          <item id="2501c1e68cc0e19f60da6c69c065f26a5c39fa9e" isNormal="1">
            <s:text>
              <s:r>
                <s:t xml:space="preserve">Administrator:
5/16 1403582 576pcs</s:t>
              </s:r>
            </s:text>
          </item>
        </commentChain>
      </unresolved>
      <resolved/>
    </commentChains>
    <commentChains s:ref="AI103" rgbClr="FF0000">
      <unresolved>
        <commentChain chainId="9a122acfa9544bd0134fdbb3dccb6dd337857e51">
          <item id="4884c5c62aa2b22c5ec852e0c77ed58102b5479f" isNormal="1">
            <s:text>
              <s:r>
                <s:t xml:space="preserve">DELL:
4/30 上锂电池贴纸 7282pcs
196453/194798/195170/198032/ZMPO260306/197999/198146/198397/ZMPO260320/199501/1995045/199725/199726/199929/200071/200163/200909/201073/202070共用
5/15上PDQ覆盖唱片贴纸226pcs</s:t>
              </s:r>
            </s:text>
          </item>
        </commentChain>
      </unresolved>
      <resolved/>
    </commentChains>
    <commentChains s:ref="AG104" rgbClr="FF0000">
      <unresolved>
        <commentChain chainId="3c590f89b22185081ba23b97850f78d016c81aff">
          <item id="1073554c695d86895baaadde24aa67a42462a00b" userID="1850010794" userName="龙丽娟" dateTime="2026-05-30T08:54:47" isNormal="0">
            <s:text>
              <s:r>
                <s:t xml:space="preserve">5/27 2800023 88pcs新2b5</s:t>
              </s:r>
            </s:text>
          </item>
        </commentChain>
      </unresolved>
      <resolved/>
    </commentChains>
    <commentChains s:ref="AI104" rgbClr="FF0000">
      <unresolved>
        <commentChain chainId="384de0988276d2eb0eccc62a0695b953e9ea4103">
          <item id="d6fc99786f902680566db2864ca2eb2f567611be" isNormal="1">
            <s:text>
              <s:r>
                <s:t xml:space="preserve">DELL:
4/30 上锂电池贴纸 7282pcs
196453/194798/195170/198032/ZMPO260306/197999/198146/198397/ZMPO260320/199501/1995045/199725/199726/199929/200071/200163/200909/201073/202070共用
5/11上kmart外箱贴纸177pcs</s:t>
              </s:r>
            </s:text>
          </item>
        </commentChain>
      </unresolved>
      <resolved/>
    </commentChains>
    <commentChains s:ref="AG105" rgbClr="FF0000">
      <unresolved>
        <commentChain chainId="0e8ce3a73759ad6a2222f6ed1f745fb63f6ab3ae">
          <item id="e60d731b4932d32d620646db246db59180ee6a86" userID="1850010794" userName="龙丽娟" dateTime="2026-05-30T08:53:41" isNormal="0">
            <s:text>
              <s:r>
                <s:t xml:space="preserve">5/27 2800023 88pcs新2b6</s:t>
              </s:r>
            </s:text>
          </item>
        </commentChain>
      </unresolved>
      <resolved/>
    </commentChains>
    <commentChains s:ref="AI105" rgbClr="FF0000">
      <unresolved>
        <commentChain chainId="276042af61a53c6ed4c919264b4a498134a29936">
          <item id="485d78be6d96b9f91788830ad3520c50382bb218" isNormal="1">
            <s:text>
              <s:r>
                <s:t xml:space="preserve">Administrator:
4/2 上白色防盗贴纸88pcs
5/11上kmart外箱贴纸11pcs</s:t>
              </s:r>
            </s:text>
          </item>
        </commentChain>
      </unresolved>
      <resolved/>
    </commentChains>
    <commentChains s:ref="AG106" rgbClr="FF0000">
      <unresolved>
        <commentChain chainId="92df6f680b40c929cb82371b89eb9e40a551a000">
          <item id="0145983e5b744597a0dbcb101ab5f56c0289cd9b" isNormal="1">
            <s:text>
              <s:r>
                <s:t xml:space="preserve">Administrator:
</s:t>
              </s:r>
            </s:text>
          </item>
        </commentChain>
      </unresolved>
      <resolved/>
    </commentChains>
    <commentChains s:ref="AI106" rgbClr="FF0000">
      <unresolved>
        <commentChain chainId="34e72c3c9a414b4cefff4b4d63e5ec5e5edb1aa3">
          <item id="ee34897b24215d13e74c5ea5f21bece7cc2bb512" isNormal="1">
            <s:text>
              <s:r>
                <s:t xml:space="preserve">DELL:
4/30 上锂电池贴纸 7282pcs
196453/194798/195170/198032/ZMPO260306/197999/198146/198397/ZMPO260320/199501/1995045/199725/199726/199929/200071/200163/200909/201073/202070共用</s:t>
              </s:r>
            </s:text>
          </item>
        </commentChain>
      </unresolved>
      <resolved/>
    </commentChains>
    <commentChains s:ref="AG107" rgbClr="FF0000">
      <unresolved>
        <commentChain chainId="1cb53e40839c995273d48a5ef9911b340d27642b">
          <item id="8be35213263d861f5176ec89d618e2ceb758d1df" isNormal="1">
            <s:text>
              <s:r>
                <s:t xml:space="preserve">Administrator:
5/23 1403365 7968pcs</s:t>
              </s:r>
            </s:text>
          </item>
        </commentChain>
      </unresolved>
      <resolved/>
    </commentChains>
    <commentChains s:ref="AI107" rgbClr="FF0000">
      <unresolved>
        <commentChain chainId="a0f53a3c37ff8658db30bfa18dde145cef7eedc1">
          <item id="a58909ecab140b75c38e30e4bc2f0c0bd8b87dd2" isNormal="1">
            <s:text>
              <s:r>
                <s:t xml:space="preserve">DELL:
4/27 上粉色艾利贴纸 5738pcs
196513/196512/196510共用
</s:t>
              </s:r>
            </s:text>
          </item>
        </commentChain>
      </unresolved>
      <resolved/>
    </commentChains>
    <commentChains s:ref="AG108" rgbClr="FF0000">
      <unresolved>
        <commentChain chainId="ceda20a8ee7f106ee92daa5cebe8f6a63cb15da1">
          <item id="82cc69dfbc77db88086d694790ba972034a41bb7" userID="1850010794" userName="龙丽娟" dateTime="2026-05-30T08:13:57" isNormal="0">
            <s:text>
              <s:r>
                <s:t xml:space="preserve">5/23 1403365 7968pcs</s:t>
              </s:r>
            </s:text>
          </item>
        </commentChain>
      </unresolved>
      <resolved/>
    </commentChains>
    <commentChains s:ref="AI108" rgbClr="FF0000">
      <unresolved>
        <commentChain chainId="9e06f9b48d0841a289bf2789624f51ac415657c5">
          <item id="c6471c2d9135caa95690576466e32199bf6ce3d9" isNormal="1">
            <s:text>
              <s:r>
                <s:t xml:space="preserve">DELL:
4/27 上粉色艾利贴纸 5738pcs
196513/196512/196510共用
</s:t>
              </s:r>
            </s:text>
          </item>
        </commentChain>
      </unresolved>
      <resolved/>
    </commentChains>
    <commentChains s:ref="AG109" rgbClr="FF0000">
      <unresolved>
        <commentChain chainId="8ab167d7b0957cb6d8b54cd170fce1e122462987">
          <item id="abaeb97b5c7ac58fa0ff4163dd84591edad3fea0" isNormal="1">
            <s:text>
              <s:r>
                <s:t xml:space="preserve">Administrator:
</s:t>
              </s:r>
            </s:text>
          </item>
        </commentChain>
      </unresolved>
      <resolved/>
    </commentChains>
    <commentChains s:ref="AI109" rgbClr="FF0000">
      <unresolved>
        <commentChain chainId="eb9bfb3411c23291414d575c49488d87dee42b10">
          <item id="e2439caad621a3e2273313d261bcf174f581e91b" isNormal="1">
            <s:text>
              <s:r>
                <s:t xml:space="preserve">Administrator:
5/14已上30000pcs锂电池贴纸</s:t>
              </s:r>
            </s:text>
          </item>
        </commentChain>
      </unresolved>
      <resolved/>
    </commentChains>
    <commentChains s:ref="AG110" rgbClr="FF0000">
      <unresolved>
        <commentChain chainId="2650e6b24da6f23ab300768b7344620ca675da34">
          <item id="f42ce27d57bc2feb061e21506a5fcec8b7f82d1f" isNormal="1">
            <s:text>
              <s:r>
                <s:t xml:space="preserve">Administrator:
</s:t>
              </s:r>
            </s:text>
          </item>
        </commentChain>
      </unresolved>
      <resolved/>
    </commentChains>
    <commentChains s:ref="AI110" rgbClr="FF0000">
      <unresolved>
        <commentChain chainId="9bd92ab45976b5bf71debc7f395ac3bd47b80649">
          <item id="e2c67b506c696aa5de4d5cd673101973b0db5fac" isNormal="1">
            <s:text>
              <s:r>
                <s:t xml:space="preserve">Administrator:
5/14已上30000pcs锂电池贴纸</s:t>
              </s:r>
            </s:text>
          </item>
        </commentChain>
      </unresolved>
      <resolved/>
    </commentChains>
    <commentChains s:ref="AG111" rgbClr="FF0000">
      <unresolved>
        <commentChain chainId="18ceaa2cdea64509aaad448a08e6107cb7a3f81d">
          <item id="c6aaac09d8c2f653bd14e1229aaf9cee49df8a64" isNormal="1">
            <s:text>
              <s:r>
                <s:t xml:space="preserve">Administrator:
</s:t>
              </s:r>
            </s:text>
          </item>
        </commentChain>
      </unresolved>
      <resolved/>
    </commentChains>
    <commentChains s:ref="AI111" rgbClr="FF0000">
      <unresolved>
        <commentChain chainId="08621b39732e915dc5d41b2aa39a27ce8778a475">
          <item id="fea7f781ae9ad3f46f09748c8b6905258de5658c" isNormal="1">
            <s:text>
              <s:r>
                <s:t xml:space="preserve">Administrator:
5/14已上30000pcs锂电池贴纸</s:t>
              </s:r>
            </s:text>
          </item>
        </commentChain>
      </unresolved>
      <resolved/>
    </commentChains>
    <commentChains s:ref="AG112" rgbClr="FF0000">
      <unresolved>
        <commentChain chainId="23147602088cb638145c88e0f4fdb8637346b2d2">
          <item id="5920253e24e9a4595b3f3e100a29e693fb418f18" isNormal="1">
            <s:text>
              <s:r>
                <s:t xml:space="preserve">Administrator:
5/15 3001718 12288pcs</s:t>
              </s:r>
            </s:text>
          </item>
        </commentChain>
      </unresolved>
      <resolved/>
    </commentChains>
    <commentChains s:ref="AI112" rgbClr="FF0000">
      <unresolved>
        <commentChain chainId="4dc94db83bdff68f9bcfe917b3bf822d86ff0fcb">
          <item id="9d99ffdf2d80800a3e394324b8609bf4568470a0" isNormal="1">
            <s:text>
              <s:r>
                <s:t xml:space="preserve">Administrator:
5/14已上30000pcs锂电池贴纸</s:t>
              </s:r>
            </s:text>
          </item>
        </commentChain>
      </unresolved>
      <resolved/>
    </commentChains>
    <commentChains s:ref="AG113" rgbClr="FF0000">
      <unresolved>
        <commentChain chainId="4a99a1e4a31309e5d2aadb810960bee0862d3b55">
          <item id="367ff84bc3c2b2ca55d29e394c46a6ee6df9be08" userID="1850010794" userName="龙丽娟" dateTime="2026-06-01T05:44:03" isNormal="0">
            <s:text>
              <s:r>
                <s:t xml:space="preserve">5/28 2800056 1504pcs</s:t>
              </s:r>
            </s:text>
          </item>
        </commentChain>
      </unresolved>
      <resolved/>
    </commentChains>
    <commentChains s:ref="AI113" rgbClr="FF0000">
      <unresolved>
        <commentChain chainId="1b658dfa96e05f1a6320bc092f04b1e8e386e709">
          <item id="07b682cc40baa0891d3ccce8ef5f7d56c1620c6d" isNormal="1">
            <s:text>
              <s:r>
                <s:t xml:space="preserve">Administrator:
3/30上锂电池贴纸4792pcs
4500196046/4500195753/4500195755/4500196881/4500196882共用
5/6 上PDQ覆盖唱片贴纸836pcs
4500196881/196882 共用
5/18上sscc外箱贴纸188
pcs
</s:t>
              </s:r>
            </s:text>
          </item>
        </commentChain>
      </unresolved>
      <resolved/>
    </commentChains>
    <commentChains s:ref="AG114" rgbClr="FF0000">
      <unresolved>
        <commentChain chainId="d4c36003386d4ef3a5ead898313046a9aa735be1">
          <item id="14cc4c22a944177801fc19a7cbc20bfcd2bd19e6" isNormal="1">
            <s:text>
              <s:r>
                <s:t xml:space="preserve">Administrator:
</s:t>
              </s:r>
            </s:text>
          </item>
        </commentChain>
      </unresolved>
      <resolved/>
    </commentChains>
    <commentChains s:ref="AJ114" rgbClr="FF0000">
      <unresolved>
        <commentChain chainId="e4be6d7e2a7e1fced700774cf1e560ea62a73a94">
          <item id="a111ad4154ed81783cb4a8d9dea37282894f2b5a" isNormal="1">
            <s:text>
              <s:r>
                <s:t xml:space="preserve">Administrator:
5/18 3002598 5008pcs</s:t>
              </s:r>
            </s:text>
          </item>
        </commentChain>
      </unresolved>
      <resolved/>
    </commentChains>
    <commentChains s:ref="AI115" rgbClr="FF0000">
      <unresolved>
        <commentChain chainId="0dfcdb10e0b1be37ca25464919c355cce4d26fa4">
          <item id="7ba7f24d7b1b94e516388ee43faf609af3edd29f" isNormal="1">
            <s:text>
              <s:r>
                <s:t xml:space="preserve">DELL:
4/30 上锂电池贴纸 7282pcs
196453/194798/195170/198032/ZMPO260306/197999/198146/198397/ZMPO260320/199501/1995045/199725/199726/199929/200071/200163/200909/201073/202070共用</s:t>
              </s:r>
            </s:text>
          </item>
        </commentChain>
      </unresolved>
      <resolved/>
    </commentChains>
    <commentChains s:ref="AG116" rgbClr="FF0000">
      <unresolved>
        <commentChain chainId="73f4f37c9af6993ce437252aee2a5b37653871f8">
          <item id="d101e0b28459b6e06582d69edec9c82e8c015eae" isNormal="1">
            <s:text>
              <s:r>
                <s:t xml:space="preserve">Administrator:
5/20 1403914 1392pcs
5/21 3001749 2928pcs</s:t>
              </s:r>
            </s:text>
          </item>
        </commentChain>
      </unresolved>
      <resolved/>
    </commentChains>
    <commentChains s:ref="AI116" rgbClr="FF0000">
      <unresolved>
        <commentChain chainId="2693d5483884c6f17cd9c069d6d38daca68df22b">
          <item id="f630785e5b0ac54ca119b9645d0130dc6172e23d" isNormal="1">
            <s:text>
              <s:r>
                <s:t xml:space="preserve">Administrator:
4/17 收到锂电池标签纸 396pcs
194942/194943/194944/194945/194947/194948/194951/194953/194954/194956/194957共用</s:t>
              </s:r>
            </s:text>
          </item>
        </commentChain>
      </unresolved>
      <resolved/>
    </commentChains>
    <commentChains s:ref="AI117" rgbClr="FF0000">
      <unresolved>
        <commentChain chainId="256175f0f90fc476404435a771f9f7e17e4c2985">
          <item id="501462e1a227f556385387d732133dce5281af1e" isNormal="1">
            <s:text>
              <s:r>
                <s:t xml:space="preserve">Administrator:
4/17 收到锂电池标签纸 396pcs
194942/194943/194944/194945/194947/194948/194951/194953/194954/194956/194957共用</s:t>
              </s:r>
            </s:text>
          </item>
        </commentChain>
      </unresolved>
      <resolved/>
    </commentChains>
    <commentChains s:ref="AG118" rgbClr="FF0000">
      <unresolved>
        <commentChain chainId="7f5f1c8ca7aefdbcd96c4f1f404383bf0ad44b77">
          <item id="839fa26472ca42ff170939ca56f777aaeb749f39" isNormal="1">
            <s:text>
              <s:r>
                <s:t xml:space="preserve">Administrator:
5/12 454pcs
5/14 1224pcs
5/23 296pcs 3001741</s:t>
              </s:r>
            </s:text>
          </item>
        </commentChain>
      </unresolved>
      <resolved/>
    </commentChains>
    <commentChains s:ref="AI118" rgbClr="FF0000">
      <unresolved>
        <commentChain chainId="32500e3e91e7ea6f028444d46e4978f5e2ec08d2">
          <item id="ec62d6fd731fb66b1e378f07fc54500a0b656a62" isNormal="1">
            <s:text>
              <s:r>
                <s:t xml:space="preserve">DELL:
4/30 上锂电池UN3481标识贴纸260*260mm 196pcs
197499/198839/198838/197500/197501/197502共用</s:t>
              </s:r>
            </s:text>
          </item>
        </commentChain>
      </unresolved>
      <resolved/>
    </commentChains>
    <commentChains s:ref="AQ118" rgbClr="FF0000">
      <unresolved>
        <commentChain chainId="8f728b6e90a597ec43cfd6f2748f90bcdad489c9">
          <item id="296ef8521ce64174cdf3aa50ed53904416d4edd4" isNormal="1">
            <s:text>
              <s:r>
                <s:t xml:space="preserve">RR:
新客版资料</s:t>
              </s:r>
            </s:text>
          </item>
        </commentChain>
      </unresolved>
      <resolved/>
    </commentChains>
    <commentChains s:ref="AR118" rgbClr="FF0000">
      <unresolved>
        <commentChain chainId="0a111a9708074d9fec4c768b001035e469a324f9">
          <item id="682e2d355509e2222adca74df849a3b6c8e1233c" isNormal="1">
            <s:text>
              <s:r>
                <s:t xml:space="preserve">RR:
新客版资料</s:t>
              </s:r>
            </s:text>
          </item>
        </commentChain>
      </unresolved>
      <resolved/>
    </commentChains>
    <commentChains s:ref="AS118" rgbClr="FF0000">
      <unresolved>
        <commentChain chainId="f9a2e0cd71dfde011d3d27c2565ea89b71137fbf">
          <item id="32839502eced6b5d84e76cf2c6912f39d087697a" isNormal="1">
            <s:text>
              <s:r>
                <s:t xml:space="preserve">RR:
新客版资料</s:t>
              </s:r>
            </s:text>
          </item>
        </commentChain>
      </unresolved>
      <resolved/>
    </commentChains>
    <commentChains s:ref="AG119" rgbClr="FF0000">
      <unresolved>
        <commentChain chainId="11c15d64a22023cf4164153545e3f998c2d81f57">
          <item id="552a05ff019c1d1e6fa097a68ca51413a3bf6860" isNormal="1">
            <s:text>
              <s:r>
                <s:t xml:space="preserve">Administrator:
5/21 3001750 1200pcs新B9</s:t>
              </s:r>
            </s:text>
          </item>
        </commentChain>
      </unresolved>
      <resolved/>
    </commentChains>
    <commentChains s:ref="AI119" rgbClr="FF0000">
      <unresolved>
        <commentChain chainId="ee869f72ce3344c1aea22058b5f73b855e8eaa83">
          <item id="c1e43f76cb4938d1bd0cc91caa1bef87e9c93fae" isNormal="1">
            <s:text>
              <s:r>
                <s:t xml:space="preserve">DELL:
4/30 上锂电池贴纸 7282pcs
196453/194798/195170/198032/ZMPO260306/197999/198146/198397/ZMPO260320/199501/1995045/199725/199726/199929/200071/200163/200909/201073/202070共用
5/13商客人通用进口商贴纸2160pcs
5/13PDQ覆盖唱片贴纸460pcs</s:t>
              </s:r>
            </s:text>
          </item>
        </commentChain>
      </unresolved>
      <resolved/>
    </commentChains>
    <commentChains s:ref="AG120" rgbClr="FF0000">
      <unresolved>
        <commentChain chainId="90e32dc62a49e3af41b583e95b99ce5574e63bb7">
          <item id="bbcfa6df0ecac36f768ec16d584fd4a7a56364f0" isNormal="1">
            <s:text>
              <s:r>
                <s:t xml:space="preserve">Administrator:
</s:t>
              </s:r>
            </s:text>
          </item>
        </commentChain>
      </unresolved>
      <resolved/>
    </commentChains>
    <commentChains s:ref="AI120" rgbClr="FF0000">
      <unresolved>
        <commentChain chainId="a8b8a857c4723fadbc3ebdbbbdc890d03f0a7a2b">
          <item id="531c1cbddb7b5a2788c6a9569b801063ec1e9826" isNormal="1">
            <s:text>
              <s:r>
                <s:t xml:space="preserve">Administrator:
4/17 收到锂电池标签纸 396pcs
194942/194943/194944/194945/194947/194948/194951/194953/194954/194956/194957共用</s:t>
              </s:r>
            </s:text>
          </item>
        </commentChain>
      </unresolved>
      <resolved/>
    </commentChains>
    <commentChains s:ref="AG121" rgbClr="FF0000">
      <unresolved>
        <commentChain chainId="01abeaf42940cdd9f5fe53e59ad14bdfbc6d79e5">
          <item id="8ab223661a4510773e33b7b23977182a463fac2b" isNormal="1">
            <s:text>
              <s:r>
                <s:t xml:space="preserve">Administrator:
5/21 3001750 1200pcs新B9
</s:t>
              </s:r>
            </s:text>
          </item>
        </commentChain>
      </unresolved>
      <resolved/>
    </commentChains>
    <commentChains s:ref="AI121" rgbClr="FF0000">
      <unresolved>
        <commentChain chainId="d4a404d77f79e3496cb9914a6efb6e12de8aecf3">
          <item id="2860a697e6e15b0e3a31755b190c959fa9a2be0f" isNormal="1">
            <s:text>
              <s:r>
                <s:t xml:space="preserve">Administrator:
4/17 收到锂电池标签纸 396pcs
194942/194943/194944/194945/194947/194948/194951/194953/194954/194956/194957共用</s:t>
              </s:r>
            </s:text>
          </item>
        </commentChain>
      </unresolved>
      <resolved/>
    </commentChains>
    <commentChains s:ref="AG122" rgbClr="FF0000">
      <unresolved>
        <commentChain chainId="5f75206ea06893d2602350d7c43445f42a50467e">
          <item id="bbb77c60ba5b407013b9f48f207b4c103363d9e8" userID="1850010794" userName="龙丽娟" dateTime="2026-06-01T05:21:14" isNormal="0">
            <s:text>
              <s:r>
                <s:t xml:space="preserve">5/28 3002532 4320PCS</s:t>
              </s:r>
            </s:text>
          </item>
        </commentChain>
      </unresolved>
      <resolved/>
    </commentChains>
    <commentChains s:ref="AI122" rgbClr="FF0000">
      <unresolved>
        <commentChain chainId="b13d48114ce1f1b591647b24a9938b3d899279fa">
          <item id="19046b3c9c25ffd53ff8e9bf50fe62aae356b0fb" isNormal="1">
            <s:text>
              <s:r>
                <s:t xml:space="preserve">Administrator:
4/17 收到锂电池标签纸 396pcs
194942/194943/194944/194945/194947/194948/194951/194953/194954/194956/194957共用</s:t>
              </s:r>
            </s:text>
          </item>
        </commentChain>
      </unresolved>
      <resolved/>
    </commentChains>
    <commentChains s:ref="AG123" rgbClr="FF0000">
      <unresolved>
        <commentChain chainId="90b287cb5f28436811e50360bfd15f7c42d8f36f">
          <item id="ed68edc2b98c83c4d2d4ea703d55f922845ad08b" isNormal="1">
            <s:text>
              <s:r>
                <s:t xml:space="preserve">Administrator:
5/23 3001646 600pcs</s:t>
              </s:r>
            </s:text>
          </item>
        </commentChain>
      </unresolved>
      <resolved/>
    </commentChains>
    <commentChains s:ref="AI123" rgbClr="FF0000">
      <unresolved>
        <commentChain chainId="6030cb03d47e1b8bce4c05c9db5aa900b84aebdf">
          <item id="ec0438b1a2088227ea98f8cb2c0b53a1d0a413b8" isNormal="1">
            <s:text>
              <s:r>
                <s:t xml:space="preserve">DELL:
4/30 上锂电池贴纸 7282pcs
196453/194798/195170/198032/ZMPO260306/197999/198146/198397/ZMPO260320/199501/1995045/199725/199726/199929/200071/200163/200909/201073/202070共用</s:t>
              </s:r>
            </s:text>
          </item>
        </commentChain>
      </unresolved>
      <resolved/>
    </commentChains>
    <commentChains s:ref="AG125" rgbClr="FF0000">
      <unresolved>
        <commentChain chainId="bb7d0a6b89e6eea5a697da8c938f1f8fd722238c">
          <item id="cfeca8b60bd9984ea0e04d751ea6abbf686c9906" userID="1850010794" userName="龙丽娟" dateTime="2026-06-01T05:28:09" isNormal="0">
            <s:text>
              <s:r>
                <s:t xml:space="preserve">5/30 1000401 778PCS</s:t>
              </s:r>
            </s:text>
          </item>
          <item id="99eb62ae9c8a3a4a74598eff5a58d614929f8302" userID="1850010794" userName="龙丽娟" dateTime="2026-07-02T01:13:35" isNormal="0">
            <s:text>
              <s:r>
                <s:t xml:space="preserve">1000568 6/1 1476pcs</s:t>
              </s:r>
            </s:text>
          </item>
          <item id="c092ee600a802ad8c651031454e75003e80a397e" userID="1850010794" userName="龙丽娟" dateTime="2026-07-02T01:13:46" isNormal="0">
            <s:text>
              <s:r>
                <s:t xml:space="preserve">000805 6/2 1107pcs</s:t>
              </s:r>
            </s:text>
          </item>
          <item id="34f42c85af76c69cab460cc38ebeb2addcfee0aa" userID="1850010794" userName="龙丽娟" dateTime="2026-07-02T01:13:54" isNormal="0">
            <s:text>
              <s:r>
                <s:t xml:space="preserve">1000556 6/3 360pcs</s:t>
              </s:r>
            </s:text>
          </item>
          <item id="af6e2acd5386129799c6888e1ab9e438f9bddbd9" userID="1850010794" userName="龙丽娟" dateTime="2026-07-02T01:14:05" isNormal="0">
            <s:text>
              <s:r>
                <s:t xml:space="preserve">1000546 6/5 413pcs
1000527 6/5  38pcs</s:t>
              </s:r>
            </s:text>
          </item>
          <item id="9a16ce5fa02f6b5f9faf9e129333d491fcd79f10" userID="1850010794" userName="龙丽娟" dateTime="2026-07-02T01:14:15" isNormal="0">
            <s:text>
              <s:r>
                <s:t xml:space="preserve">1000463 6/11 54pcs</s:t>
              </s:r>
            </s:text>
          </item>
          <item id="30b6d9390cf557b2a2c31bb57b2f6c1d4c6556e1" userID="1850010794" userName="龙丽娟" dateTime="2026-07-02T01:14:24" isNormal="0">
            <s:text>
              <s:r>
                <s:t xml:space="preserve">1000118 6/13 94pcs</s:t>
              </s:r>
            </s:text>
          </item>
        </commentChain>
      </unresolved>
      <resolved/>
    </commentChains>
    <commentChains s:ref="AI125" rgbClr="FF0000">
      <unresolved>
        <commentChain chainId="886f65672589981716b2cc365e159bc0fe6b9c4e">
          <item id="23452ef86e18bb7338353cf39b176ea46e83132f" isNormal="1">
            <s:text>
              <s:r>
                <s:t xml:space="preserve">DELL:
4/30 上锂电池UN3481标识贴纸260*260mm 196pcs
197499/198839/198838/197500/197501/197502共用</s:t>
              </s:r>
            </s:text>
          </item>
        </commentChain>
      </unresolved>
      <resolved/>
    </commentChains>
    <commentChains s:ref="AQ125" rgbClr="FF0000">
      <unresolved>
        <commentChain chainId="f83f18fe21e469dba287061dff09a682c7f80d62">
          <item id="cc79b6ba1761f10f2151a05cfb2e3f4d834f3b8f" isNormal="1">
            <s:text>
              <s:r>
                <s:t xml:space="preserve">RR:
新客版资料</s:t>
              </s:r>
            </s:text>
          </item>
        </commentChain>
      </unresolved>
      <resolved/>
    </commentChains>
    <commentChains s:ref="AR125" rgbClr="FF0000">
      <unresolved>
        <commentChain chainId="d43804b9c51ba98462d5eee3414a8f1d65830cc2">
          <item id="e28f7757684d4e4b9e2cf1d4f888a43ca7e2cd77" isNormal="1">
            <s:text>
              <s:r>
                <s:t xml:space="preserve">RR:
新客版资料</s:t>
              </s:r>
            </s:text>
          </item>
        </commentChain>
      </unresolved>
      <resolved/>
    </commentChains>
    <commentChains s:ref="AS125" rgbClr="FF0000">
      <unresolved>
        <commentChain chainId="6e9246845367c68af756c0dbe2ba751e885d3039">
          <item id="58d664b3f1718d495a6ec9be9a950ddd91eaa236" isNormal="1">
            <s:text>
              <s:r>
                <s:t xml:space="preserve">RR:
新客版资料</s:t>
              </s:r>
            </s:text>
          </item>
        </commentChain>
      </unresolved>
      <resolved/>
    </commentChains>
    <commentChains s:ref="AI126" rgbClr="FF0000">
      <unresolved>
        <commentChain chainId="a9a52ded81dabf84584a79ad1d560c06947c4698">
          <item id="6c70070def802954a6a7060911422acd6115ab74" isNormal="1">
            <s:text>
              <s:r>
                <s:t xml:space="preserve">DELL:
4/30 上锂电池贴纸 7282pcs
196453/194798/195170/198032/ZMPO260306/197999/198146/198397/ZMPO260320/199501/1995045/199725/199726/199929/200071/200163/200909/201073/202070共用</s:t>
              </s:r>
            </s:text>
          </item>
        </commentChain>
      </unresolved>
      <resolved/>
    </commentChains>
    <commentChains s:ref="AM126" rgbClr="FF0000">
      <unresolved>
        <commentChain chainId="a15dea4613c2d38d9fa59cd0ee14b329ac395c61">
          <item id="4d0c859eb5d93fc6daf5eec504079c6dc5cf21ef" isNormal="1">
            <s:text>
              <s:r>
                <s:t xml:space="preserve">RR:
新客版资料</s:t>
              </s:r>
            </s:text>
          </item>
        </commentChain>
      </unresolved>
      <resolved/>
    </commentChains>
    <commentChains s:ref="AG127" rgbClr="FF0000">
      <unresolved>
        <commentChain chainId="a2f7e10960d8d3c672dbbf25b403fc50bc42ce83">
          <item id="5717bc0c260ef74a459f3ce4e601b83a4a15d544" isNormal="1">
            <s:text>
              <s:r>
                <s:t xml:space="preserve">Administrator:
</s:t>
              </s:r>
            </s:text>
          </item>
        </commentChain>
      </unresolved>
      <resolved/>
    </commentChains>
    <commentChains s:ref="AI127" rgbClr="FF0000">
      <unresolved>
        <commentChain chainId="30bd8eeba4256efe6dd566b4dd4919f781edd6d7">
          <item id="fa1a6909ce4d04d7abbb5ee43737a18e91a49d9a" isNormal="1">
            <s:text>
              <s:r>
                <s:t xml:space="preserve">Administrator:
4/17 上锂电池标签纸106*106  4011pcs
199055/192526/193910/194882/196674/197095共用</s:t>
              </s:r>
            </s:text>
          </item>
        </commentChain>
      </unresolved>
      <resolved/>
    </commentChains>
    <commentChains s:ref="AG128" rgbClr="FF0000">
      <unresolved>
        <commentChain chainId="f63178542317b18d2959eb2584623434ae574847">
          <item id="b17fd62e203059d5efda3a59c38f84c807911afd" userID="1850010794" userName="龙丽娟" dateTime="2026-06-01T05:25:58" isNormal="0">
            <s:text>
              <s:r>
                <s:t xml:space="preserve">5/27 3005325 4320PCS</s:t>
              </s:r>
            </s:text>
          </item>
        </commentChain>
      </unresolved>
      <resolved/>
    </commentChains>
    <commentChains s:ref="AI128" rgbClr="FF0000">
      <unresolved>
        <commentChain chainId="bf677f1f057e41ef21a80521c5f24c6d8a85a169">
          <item id="12e3a307d6e0fcb5cd479cfb9515b1ca17c9f5b1" isNormal="1">
            <s:text>
              <s:r>
                <s:t xml:space="preserve">Administrator:
4/17 收到锂电池标签纸 396pcs
194942/194943/194944/194945/194947/194948/194951/194953/194954/194956/194957共用</s:t>
              </s:r>
            </s:text>
          </item>
        </commentChain>
      </unresolved>
      <resolved/>
    </commentChains>
    <commentChains s:ref="AG129" rgbClr="FF0000">
      <unresolved>
        <commentChain chainId="46910b5f44a9da07dcc9bfb0aeb075e10fa4b4c1">
          <item id="640711e3241a1adced0c16602476b1369b754983" userID="1850010794" userName="龙丽娟" dateTime="2026-06-01T05:25:14" isNormal="0">
            <s:text>
              <s:r>
                <s:t xml:space="preserve">5/281000393 4320PCS</s:t>
              </s:r>
            </s:text>
          </item>
        </commentChain>
      </unresolved>
      <resolved/>
    </commentChains>
    <commentChains s:ref="AI129" rgbClr="FF0000">
      <unresolved>
        <commentChain chainId="ae3e542afeb7ec0d3c08a9c512ade65fea4c0005">
          <item id="e6279cc7ae315764a0c4c6b4a7b2b9440a8dac29" isNormal="1">
            <s:text>
              <s:r>
                <s:t xml:space="preserve">Administrator:
4/17 收到锂电池标签纸 396pcs
194942/194943/194944/194945/194947/194948/194951/194953/194954/194956/194957共用</s:t>
              </s:r>
            </s:text>
          </item>
        </commentChain>
      </unresolved>
      <resolved/>
    </commentChains>
    <commentChains s:ref="AI130" rgbClr="FF0000">
      <unresolved>
        <commentChain chainId="d7f7aea41598e08f72b2bb0d66091022f42f1b66">
          <item id="8e8543c304387f8425dda4e091d001306a4e3edc" isNormal="1">
            <s:text>
              <s:r>
                <s:t xml:space="preserve">Administrator:
4/17 收到锂电池标签纸 396pcs
194942/194943/194944/194945/194947/194948/194951/194953/194954/194956/194957共用</s:t>
              </s:r>
            </s:text>
          </item>
        </commentChain>
      </unresolved>
      <resolved/>
    </commentChains>
    <commentChains s:ref="AG131" rgbClr="FF0000">
      <unresolved>
        <commentChain chainId="35a44af4cb83c241e49db343c4147ba68d637fe9">
          <item id="0d1f30c90ae09de3fcd2ecad0423790f5af0ceff" userID="1850010794" userName="龙丽娟" dateTime="2026-06-04T02:31:44" isNormal="0">
            <s:text>
              <s:r>
                <s:t xml:space="preserve">5/30 1000410 1600pcs 新2D1</s:t>
              </s:r>
            </s:text>
          </item>
        </commentChain>
      </unresolved>
      <resolved/>
    </commentChains>
    <commentChains s:ref="AI131" rgbClr="FF0000">
      <unresolved>
        <commentChain chainId="8b53580b3cbbb62d6b7aaaec65fc2be735e19db1">
          <item id="e81baf16bbb6d7843e17a811c86ed4154a4ff24e" isNormal="1">
            <s:text>
              <s:r>
                <s:t xml:space="preserve">DELL:
4/30 上锂电池贴纸 7282pcs
196453/194798/195170/198032/ZMPO260306/197999/198146/198397/ZMPO260320/199501/1995045/199725/199726/199929/200071/200163/200909/201073/202070共用</s:t>
              </s:r>
            </s:text>
          </item>
        </commentChain>
      </unresolved>
      <resolved/>
    </commentChains>
    <commentChains s:ref="AI132" rgbClr="FF0000">
      <unresolved>
        <commentChain chainId="08c7f5c5f9fa1bd53b459b9e062245102d5a71a2">
          <item id="ef98894613dbf6af3bed3a5595d44b923499f79c" isNormal="1">
            <s:text>
              <s:r>
                <s:t xml:space="preserve">Administrator:
4/17 收到锂电池标签纸 396pcs
194942/194943/194944/194945/194947/194948/194951/194953/194954/194956/194957共用</s:t>
              </s:r>
            </s:text>
          </item>
        </commentChain>
      </unresolved>
      <resolved/>
    </commentChains>
    <commentChains s:ref="AG133" rgbClr="FF0000">
      <unresolved>
        <commentChain chainId="15dafcbffa24f92130f8491751d91394dcd7f6aa">
          <item id="b2a7f37d1ea4686c539770292beb205ee2e41194" userID="1850010794" userName="龙丽娟" dateTime="2026-07-02T01:18:52" isNormal="0">
            <s:text>
              <s:r>
                <s:t xml:space="preserve">1000546 6/5 1542pcs
1000527 6/5 1637pcs</s:t>
              </s:r>
            </s:text>
          </item>
          <item id="37253eea12b53ea9286cb6f931a9c51657bbd281" userID="1850010794" userName="龙丽娟" dateTime="2026-07-02T01:19:00" isNormal="0">
            <s:text>
              <s:r>
                <s:t xml:space="preserve">1000463 6/11 1141pcs</s:t>
              </s:r>
            </s:text>
          </item>
        </commentChain>
      </unresolved>
      <resolved/>
    </commentChains>
    <commentChains s:ref="AI133" rgbClr="FF0000">
      <unresolved>
        <commentChain chainId="d073e8dab627fef9c6ce7286da79376a60504533">
          <item id="c08c938a490329d073d47ca1f9877c583de73c5e" isNormal="1">
            <s:text>
              <s:r>
                <s:t xml:space="preserve">DELL:
4/30 上锂电池UN3481标识贴纸260*260mm 196pcs
197499/198839/198838/197500/197501/197502共用</s:t>
              </s:r>
            </s:text>
          </item>
        </commentChain>
      </unresolved>
      <resolved/>
    </commentChains>
    <commentChains s:ref="AQ133" rgbClr="FF0000">
      <unresolved>
        <commentChain chainId="53311b2038d779e48d1cd86579a21b2bed2aee67">
          <item id="e1c2b9b552ffa14fcbc0ffd9b6b830d8b21a56d0" isNormal="1">
            <s:text>
              <s:r>
                <s:t xml:space="preserve">RR:
新客版资料</s:t>
              </s:r>
            </s:text>
          </item>
        </commentChain>
      </unresolved>
      <resolved/>
    </commentChains>
    <commentChains s:ref="AR133" rgbClr="FF0000">
      <unresolved>
        <commentChain chainId="ba46686a6edebeb8bf1d5f0b304952686e2c2f54">
          <item id="2940a4ad687477839441312390e727fff8f9ba8d" isNormal="1">
            <s:text>
              <s:r>
                <s:t xml:space="preserve">RR:
新客版资料</s:t>
              </s:r>
            </s:text>
          </item>
        </commentChain>
      </unresolved>
      <resolved/>
    </commentChains>
    <commentChains s:ref="AS133" rgbClr="FF0000">
      <unresolved>
        <commentChain chainId="881c07b9d34a76dfb3e64d68cd5ae33e3682b259">
          <item id="77624c2c7a5e3a6f7ef08d17f2d3126818857d43" isNormal="1">
            <s:text>
              <s:r>
                <s:t xml:space="preserve">RR:
新客版资料</s:t>
              </s:r>
            </s:text>
          </item>
        </commentChain>
      </unresolved>
      <resolved/>
    </commentChains>
    <commentChains s:ref="AG134" rgbClr="FF0000">
      <unresolved>
        <commentChain chainId="76d897b0653aa0570e5b148787273a14dfe00b82">
          <item id="706e0af839392be0bb7a9bafb6c5b91afe977a67" userID="1850010794" userName="龙丽娟" dateTime="2026-06-01T05:22:39" isNormal="0">
            <s:text>
              <s:r>
                <s:t xml:space="preserve">3002532 5/27 4320PCS</s:t>
              </s:r>
            </s:text>
          </item>
        </commentChain>
      </unresolved>
      <resolved/>
    </commentChains>
    <commentChains s:ref="AI134" rgbClr="FF0000">
      <unresolved>
        <commentChain chainId="3a8088ea0740adbb8e2a12cf4a0777eb5b054799">
          <item id="ac78f5fa96e1dfffcfda509de0c19d4860f26be1" isNormal="1">
            <s:text>
              <s:r>
                <s:t xml:space="preserve">Administrator:
4/17 收到锂电池标签纸 396pcs
194942/194943/194944/194945/194947/194948/194951/194953/194954/194956/194957共用</s:t>
              </s:r>
            </s:text>
          </item>
        </commentChain>
      </unresolved>
      <resolved/>
    </commentChains>
    <commentChains s:ref="AG135" rgbClr="FF0000">
      <unresolved>
        <commentChain chainId="fe64e2c050f69933cc6816db512413a12a0babb9">
          <item id="4d8bbc4197252bc66bd341e67c93897e47c3c8df" userID="1850010794" userName="龙丽娟" dateTime="2026-06-01T05:27:32" isNormal="0">
            <s:text>
              <s:r>
                <s:t xml:space="preserve">1000393 5/30 2124PCS
1000394 5/30 360pcs</s:t>
              </s:r>
            </s:text>
          </item>
          <item id="0907ae2b43bb1f0c4e46015e5aca9cd246d940e3" userID="1850010794" userName="龙丽娟" dateTime="2026-07-02T00:32:03" isNormal="0">
            <s:text>
              <s:r>
                <s:t xml:space="preserve">1000538 6/4 1476pcs</s:t>
              </s:r>
            </s:text>
          </item>
          <item id="f231930609c946f55f7b6fbefd28f009a6032431" userID="1850010794" userName="龙丽娟" dateTime="2026-07-02T00:32:11" isNormal="0">
            <s:text>
              <s:r>
                <s:t xml:space="preserve">1000546 6/5 360pcs</s:t>
              </s:r>
            </s:text>
          </item>
        </commentChain>
      </unresolved>
      <resolved/>
    </commentChains>
    <commentChains s:ref="AI135" rgbClr="FF0000">
      <unresolved>
        <commentChain chainId="abede58c2f1ff7fd48be2d2b4054b091ebb732f5">
          <item id="aec3fa1367ed84d1d29a6d94f9edd8741c8d0f8b" isNormal="1">
            <s:text>
              <s:r>
                <s:t xml:space="preserve">Administrator:
4/17 收到锂电池标签纸 396pcs
194942/194943/194944/194945/194947/194948/194951/194953/194954/194956/194957共用</s:t>
              </s:r>
            </s:text>
          </item>
        </commentChain>
      </unresolved>
      <resolved/>
    </commentChains>
    <commentChains s:ref="AG136" rgbClr="FF0000">
      <unresolved>
        <commentChain chainId="70d402a9ece9e6c1c2163121c9481ac5cda7a03c">
          <item id="a85de3141d8932ae9613c289654a2db0c715db51" userID="1850010794" userName="龙丽娟" dateTime="2026-07-02T00:37:02" isNormal="0">
            <s:text>
              <s:r>
                <s:t xml:space="preserve">1000524  6/5 349pcs
1000546  6/5 1181pcs
1000527  6/5 548pcs</s:t>
              </s:r>
            </s:text>
          </item>
          <item id="d89386a9156a8d57e75c022c5e4bc37b19b0463d" userID="1850010794" userName="龙丽娟" dateTime="2026-07-02T00:37:12" isNormal="0">
            <s:text>
              <s:r>
                <s:t xml:space="preserve">1000422 6/6 422pcs</s:t>
              </s:r>
            </s:text>
          </item>
          <item id="192397c973df3321a1ade53bff5621d29c7e4559" userID="1850010794" userName="龙丽娟" dateTime="2026-07-02T00:37:23" isNormal="0">
            <s:text>
              <s:r>
                <s:t xml:space="preserve">1000531 6/8 684pcs</s:t>
              </s:r>
            </s:text>
          </item>
        </commentChain>
      </unresolved>
      <resolved/>
    </commentChains>
    <commentChains s:ref="AI136" rgbClr="FF0000">
      <unresolved>
        <commentChain chainId="365dbbd1da3440663fe131a0a57272629563bf87">
          <item id="a9e41e3667739dd69c9dcc6428976dadad426d95" isNormal="1">
            <s:text>
              <s:r>
                <s:t xml:space="preserve">Administrator:
4/17 收到锂电池标签纸 396pcs
194942/194943/194944/194945/194947/194948/194951/194953/194954/194956/194957共用</s:t>
              </s:r>
            </s:text>
          </item>
        </commentChain>
      </unresolved>
      <resolved/>
    </commentChains>
    <commentChains s:ref="AG137" rgbClr="FF0000">
      <unresolved>
        <commentChain chainId="8305ad23969a4fe56fd86ee4dfd00dccda26b244">
          <item id="eeafd25a875bfa9bb133e76e22e746d541d1ebc8" userID="1850010794" userName="龙丽娟" dateTime="2026-06-01T05:26:51" isNormal="0">
            <s:text>
              <s:r>
                <s:t xml:space="preserve">5/28 1000584 4320PCS</s:t>
              </s:r>
            </s:text>
          </item>
        </commentChain>
      </unresolved>
      <resolved/>
    </commentChains>
    <commentChains s:ref="AI137" rgbClr="FF0000">
      <unresolved>
        <commentChain chainId="45355440e6f0b8035a0da5d78d901b627010f89d">
          <item id="9ea4dbb4bec183a58775ba8d1f7f6a99762f9fc9" isNormal="1">
            <s:text>
              <s:r>
                <s:t xml:space="preserve">Administrator:
4/17 收到锂电池标签纸 396pcs
194942/194943/194944/194945/194947/194948/194951/194953/194954/194956/194957共用</s:t>
              </s:r>
            </s:text>
          </item>
        </commentChain>
      </unresolved>
      <resolved/>
    </commentChains>
    <commentChains s:ref="AG138" rgbClr="FF0000">
      <unresolved>
        <commentChain chainId="58b7979f48096ccf1bb699f82bc7d6a9a73706b4">
          <item id="1c4b8fde0c37bce043096da8053cad49a155630c" userID="1850010794" userName="龙丽娟" dateTime="2026-07-02T00:48:00" isNormal="0">
            <s:text>
              <s:r>
                <s:t xml:space="preserve">1000538 6/4 936pcs
1000539 6/4 1132pcs</s:t>
              </s:r>
            </s:text>
          </item>
          <item id="5996db87978211e17c62f9dedc81d8206cc80ddb" userID="1850010794" userName="龙丽娟" dateTime="2026-07-02T00:48:09" isNormal="0">
            <s:text>
              <s:r>
                <s:t xml:space="preserve">1000546 6/5 1532pcs</s:t>
              </s:r>
            </s:text>
          </item>
          <item id="2f1c39b5b4cb5f3fcd10a963d29397529b724bf1" userID="1850010794" userName="龙丽娟" dateTime="2026-07-02T00:48:23" isNormal="0">
            <s:text>
              <s:r>
                <s:t xml:space="preserve">3002611 6/6 720pcs</s:t>
              </s:r>
            </s:text>
          </item>
        </commentChain>
      </unresolved>
      <resolved/>
    </commentChains>
    <commentChains s:ref="AI138" rgbClr="FF0000">
      <unresolved>
        <commentChain chainId="1c9e3f455ff8225b9b85ef2799a608991b0c2f58">
          <item id="5e22d24fd59f6b8e9fc16dde3158095641e6ecb9" isNormal="1">
            <s:text>
              <s:r>
                <s:t xml:space="preserve">Administrator:
4/17 收到锂电池标签纸 396pcs
194942/194943/194944/194945/194947/194948/194951/194953/194954/194956/194957共用</s:t>
              </s:r>
            </s:text>
          </item>
        </commentChain>
      </unresolved>
      <resolved/>
    </commentChains>
    <commentChains s:ref="AG139" rgbClr="FF0000">
      <unresolved>
        <commentChain chainId="ec52e547f1ae8228450d59936b4e9fd409034b66">
          <item id="deef601c4895211ae9e72d62ab76e6cb720d4656" userID="1850010794" userName="龙丽娟" dateTime="2026-06-01T05:29:18" isNormal="0">
            <s:text>
              <s:r>
                <s:t xml:space="preserve">5/30 1000393 1312PCS</s:t>
              </s:r>
            </s:text>
          </item>
          <item id="dd248716617b6fadd96a81cbebe9701dbf76181e" userID="1850010794" userName="龙丽娟" dateTime="2026-07-02T00:41:18" isNormal="0">
            <s:text>
              <s:r>
                <s:t xml:space="preserve">1000556 6/3 2052pcs
1000559 6/3 180pcs</s:t>
              </s:r>
            </s:text>
          </item>
          <item id="cc9dc44697452225ef06aa66fb19dc097e4d370f" userID="1850010794" userName="龙丽娟" dateTime="2026-07-02T00:41:48" isNormal="0">
            <s:text>
              <s:r>
                <s:t xml:space="preserve">1000538 6/4 540pcs</s:t>
              </s:r>
            </s:text>
          </item>
          <item id="93298f5753bdb8a3f656daeaf00550236e315594" userID="1850010794" userName="龙丽娟" dateTime="2026-07-02T00:42:01" isNormal="0">
            <s:text>
              <s:r>
                <s:t xml:space="preserve">1000546 6/5 54pcs</s:t>
              </s:r>
            </s:text>
          </item>
          <item id="c5516d7eb4317d1bb82d1b9086162d11170bb5ca" userID="1850010794" userName="龙丽娟" dateTime="2026-07-02T00:42:11" isNormal="0">
            <s:text>
              <s:r>
                <s:t xml:space="preserve">1000531 6/8 12pcs</s:t>
              </s:r>
            </s:text>
          </item>
        </commentChain>
      </unresolved>
      <resolved/>
    </commentChains>
    <commentChains s:ref="AI139" rgbClr="FF0000">
      <unresolved>
        <commentChain chainId="56b2d8d56e6770f279030c6a013df742e7bceaee">
          <item id="26d4af56cdeba1d9e749193818039e2654bd4292" isNormal="1">
            <s:text>
              <s:r>
                <s:t xml:space="preserve">Administrator:
4/17 收到锂电池标签纸 396pcs
194942/194943/194944/194945/194947/194948/194951/194953/194954/194956/194957共用</s:t>
              </s:r>
            </s:text>
          </item>
        </commentChain>
      </unresolved>
      <resolved/>
    </commentChains>
    <commentChains s:ref="AI140" rgbClr="FF0000">
      <unresolved>
        <commentChain chainId="094325e00abdab1cfe884260ab05b42415a3e0af">
          <item id="450505c88934bbfc543a2987c0fb3820d7773424" isNormal="1">
            <s:text>
              <s:r>
                <s:t xml:space="preserve">DELL:
4/30 上锂电池贴纸 7282pcs
196453/194798/195170/198032/ZMPO260306/197999/198146/198397/ZMPO260320/199501/1995045/199725/199726/199929/200071/200163/200909/201073/202070共用</s:t>
              </s:r>
            </s:text>
          </item>
        </commentChain>
      </unresolved>
      <resolved/>
    </commentChains>
    <commentChains s:ref="AI141" rgbClr="FF0000">
      <unresolved>
        <commentChain chainId="93c1a83838baebefed2e500fb2ea11dbb05afeec">
          <item id="28da94810833806ebc37f8e5a112d43712038ce4" isNormal="1">
            <s:text>
              <s:r>
                <s:t xml:space="preserve">DELL:
4/30 上锂电池贴纸 7282pcs
196453/194798/195170/198032/ZMPO260306/197999/198146/198397/ZMPO260320/199501/1995045/199725/199726/199929/200071/200163/200909/201073/202070共用
5/14 上Kmart外箱贴纸177pcs</s:t>
              </s:r>
            </s:text>
          </item>
        </commentChain>
      </unresolved>
      <resolved/>
    </commentChains>
    <commentChains s:ref="AI142" rgbClr="FF0000">
      <unresolved>
        <commentChain chainId="775faf9403e420c13c72fdd4c83ed7a529cbb6d5">
          <item id="1dd1aaf7353d021f21008e5a705cd56eb91c09bd" isNormal="1">
            <s:text>
              <s:r>
                <s:t xml:space="preserve">Administrator:
5/14 上Kmart外箱贴纸11pcs
</s:t>
              </s:r>
            </s:text>
          </item>
        </commentChain>
      </unresolved>
      <resolved/>
    </commentChains>
    <commentChains s:ref="AG143" rgbClr="FF0000">
      <unresolved>
        <commentChain chainId="f324c11631037d2d40a8f52120496b27600f3bb0">
          <item id="98b217658f6c4eb04900ed516592b640b3efe531" isNormal="1">
            <s:text>
              <s:r>
                <s:t xml:space="preserve">Administrator:
5/22 3001755 4224pcs</s:t>
              </s:r>
            </s:text>
          </item>
        </commentChain>
      </unresolved>
      <resolved/>
    </commentChains>
    <commentChains s:ref="AI143" rgbClr="FF0000">
      <unresolved>
        <commentChain chainId="3773e9547d9c884e5c6e50ccbde8b40821c060cf">
          <item id="616d68b620deb3016cb03bf144d685d1a71f5942" isNormal="1">
            <s:text>
              <s:r>
                <s:t xml:space="preserve">DELL:
4/30 上锂电池贴纸 7282pcs
196453/194798/195170/198032/ZMPO260306/197999/198146/198397/ZMPO260320/199501/1995045/199725/199726/199929/200071/200163/200909/201073/202070共用</s:t>
              </s:r>
            </s:text>
          </item>
        </commentChain>
      </unresolved>
      <resolved/>
    </commentChains>
    <commentChains s:ref="AG144" rgbClr="FF0000">
      <unresolved>
        <commentChain chainId="470ff27bdab11d8149654eae0d625835289399a2">
          <item id="274d9f280164dc49c949470917296e47a57c8fde" userID="1850010794" userName="龙丽娟" dateTime="2026-05-30T08:40:07" isNormal="0">
            <s:text>
              <s:r>
                <s:t xml:space="preserve">5/27 2800017 31672pcsb6</s:t>
              </s:r>
            </s:text>
          </item>
        </commentChain>
      </unresolved>
      <resolved/>
    </commentChains>
    <commentChains s:ref="AI144" rgbClr="FF0000">
      <unresolved>
        <commentChain chainId="db051fd325e74e51e17e3d6f7451ed7ebdd72b23">
          <item id="967575039ca275c3b6bdd10ee6ea74cef7def10f" isNormal="1">
            <s:text>
              <s:r>
                <s:t xml:space="preserve">DELL:
4/30 上锂电池贴纸 7282pcs
196453/194798/195170/198032/ZMPO260306/197999/198146/198397/ZMPO260320/199501/1995045/199725/199726/199929/200071/200163/200909/201073/202070共用
5/12 上客供外箱条码贴纸4000pcs</s:t>
              </s:r>
            </s:text>
          </item>
        </commentChain>
      </unresolved>
      <resolved/>
    </commentChains>
    <commentChains s:ref="AG145" rgbClr="FF0000">
      <unresolved>
        <commentChain chainId="802a79b2ac79c18152ce1009b4e57ec06c5e76ff">
          <item id="3540a2ecc7dd0d164570d80acf34520655a256b8" isNormal="1">
            <s:text>
              <s:r>
                <s:t xml:space="preserve">Administrator:
5/23 3001643 6672pcs</s:t>
              </s:r>
            </s:text>
          </item>
        </commentChain>
      </unresolved>
      <resolved/>
    </commentChains>
    <commentChains s:ref="AI145" rgbClr="FF0000">
      <unresolved>
        <commentChain chainId="1731305f717138dd64345d0062869fd0c9d36ec5">
          <item id="375392af68608cbd9b490207eafb6f0e3ee2be2d" isNormal="1">
            <s:text>
              <s:r>
                <s:t xml:space="preserve">DELL:
4/30 上锂电池贴纸 7282pcs
196453/194798/195170/198032/ZMPO260306/197999/198146/198397/ZMPO260320/199501/1995045/199725/199726/199929/200071/200163/200909/201073/202070共用</s:t>
              </s:r>
            </s:text>
          </item>
        </commentChain>
      </unresolved>
      <resolved/>
    </commentChains>
    <commentChains s:ref="AG146" rgbClr="FF0000">
      <unresolved>
        <commentChain chainId="d0df4b1e0cf9245c477a5c37890d058bc3b6cfd9">
          <item id="9d33370b53e30cf880a286e59ff240c2607a1006" userID="1850010794" userName="龙丽娟" dateTime="2026-05-30T08:56:01" isNormal="0">
            <s:text>
              <s:r>
                <s:t xml:space="preserve">5/27 3002552 240pcs新2b5</s:t>
              </s:r>
            </s:text>
          </item>
        </commentChain>
      </unresolved>
      <resolved/>
    </commentChains>
    <commentChains s:ref="AI146" rgbClr="FF0000">
      <unresolved>
        <commentChain chainId="e443b6765c66d7e356977e676e402cb8ea793466">
          <item id="393ff43e0c54162e0406841622a56322527405fe" isNormal="1">
            <s:text>
              <s:r>
                <s:t xml:space="preserve">Administrator:
4/17 收到锂电池标签纸 396pcs
194942/194943/194944/194945/194947/194948/194951/194953/194954/194956/194957共用</s:t>
              </s:r>
            </s:text>
          </item>
        </commentChain>
      </unresolved>
      <resolved/>
    </commentChains>
    <commentChains s:ref="AG147" rgbClr="FF0000">
      <unresolved>
        <commentChain chainId="0bb5e9030df558ffb67602151b12514bc7afb5fa">
          <item id="bb8f96d07c8cfda066aea4dff860814fb673f3ae" userID="1850010794" userName="龙丽娟" dateTime="2026-05-30T08:01:45" isNormal="0">
            <s:text>
              <s:r>
                <s:t xml:space="preserve">5/25 3001656 8704PCS新2A16</s:t>
              </s:r>
            </s:text>
          </item>
        </commentChain>
      </unresolved>
      <resolved/>
    </commentChains>
    <commentChains s:ref="AI147" rgbClr="FF0000">
      <unresolved>
        <commentChain chainId="9cd4df1ca0b38821ccc958c4eb3d87a45100f0ca">
          <item id="dd88d5fd73d7958cb62f3422dbf99e3fca30097c" isNormal="1">
            <s:text>
              <s:r>
                <s:t xml:space="preserve">Administrator:
5/7上客供RFID贴纸8704pcs
5/15 上锂电池贴纸26118pcs</s:t>
              </s:r>
            </s:text>
          </item>
        </commentChain>
      </unresolved>
      <resolved/>
    </commentChains>
    <commentChains s:ref="AG148" rgbClr="FF0000">
      <unresolved>
        <commentChain chainId="0f01df4b3746f06b0934416cbbb7c65e93134dbe">
          <item id="824d0ba3094dc9fb50cec90b5524dbb55f7cfc8d" userID="1850010794" userName="龙丽娟" dateTime="2026-06-01T05:47:44" isNormal="0">
            <s:text>
              <s:r>
                <s:t xml:space="preserve">5/28 3002555 5120pcs</s:t>
              </s:r>
            </s:text>
          </item>
        </commentChain>
      </unresolved>
      <resolved/>
    </commentChains>
    <commentChains s:ref="AI148" rgbClr="FF0000">
      <unresolved>
        <commentChain chainId="608f4c03e58f777270196b5b00b072325f4a1489">
          <item id="17d5750c8da729c00f7aafa726c2f6158f80934b" isNormal="1">
            <s:text>
              <s:r>
                <s:t xml:space="preserve">Administrator:
5/7上客供RFID贴纸5120pcs
5/15 上锂电池贴纸26118pcs
</s:t>
              </s:r>
            </s:text>
          </item>
        </commentChain>
      </unresolved>
      <resolved/>
    </commentChains>
    <commentChains s:ref="AG149" rgbClr="FF0000">
      <unresolved>
        <commentChain chainId="574f202c06f03619abbeca0681acf14f5249f8df">
          <item id="76470dac3b7d230c18d974e5cd5beb8ef4a1d223" userID="1850010794" userName="龙丽娟" dateTime="2026-06-01T05:43:04" isNormal="0">
            <s:text>
              <s:r>
                <s:t xml:space="preserve">5/28 3002554 10752pcs</s:t>
              </s:r>
            </s:text>
          </item>
        </commentChain>
      </unresolved>
      <resolved/>
    </commentChains>
    <commentChains s:ref="AI149" rgbClr="FF0000">
      <unresolved>
        <commentChain chainId="bb6d373493ab2959a07283c99837431a756fa3dd">
          <item id="08a0ae98bf1dbc8ae657d6bf6574ecb2fd02c90e" isNormal="1">
            <s:text>
              <s:r>
                <s:t xml:space="preserve">Administrator:
5/7上客供RFID贴纸10752pcs
5/15 上锂电池贴纸26118pcs
</s:t>
              </s:r>
            </s:text>
          </item>
        </commentChain>
      </unresolved>
      <resolved/>
    </commentChains>
    <commentChains s:ref="AG152" rgbClr="FF0000">
      <unresolved>
        <commentChain chainId="3909c7e2aa30d90c30ee7de000cd55ea16f46bc1">
          <item id="80ac52b5eb73c50df30745a91c4ee47562440a97" userID="1850010794" userName="龙丽娟" dateTime="2026-06-04T02:34:51" isNormal="0">
            <s:text>
              <s:r>
                <s:t xml:space="preserve">5/30 1000585 10000pcsB栋4楼A8</s:t>
              </s:r>
            </s:text>
          </item>
        </commentChain>
      </unresolved>
      <resolved/>
    </commentChains>
    <commentChains s:ref="AI152" rgbClr="FF0000">
      <unresolved>
        <commentChain chainId="7c4d9942682d6c1e5f56c01039e2fe27fa32b498">
          <item id="35e7fc22babe533efca05db842f57e9f177576b6" isNormal="1">
            <s:text>
              <s:r>
                <s:t xml:space="preserve">Administrator:
5/11 上客供外箱条码贴纸1263pcs
</s:t>
              </s:r>
            </s:text>
          </item>
        </commentChain>
      </unresolved>
      <resolved/>
    </commentChains>
    <commentChains s:ref="AG153" rgbClr="FF0000">
      <unresolved>
        <commentChain chainId="420a90f0d460712f458d7e53b410368d8e25ea7a">
          <item id="94945fecae456de04a90745401794c5e99d6bce8" userID="1850010794" userName="龙丽娟" dateTime="2026-06-09T02:09:10" isNormal="0">
            <s:text>
              <s:r>
                <s:t xml:space="preserve">6/8 1000531 2064pcs</s:t>
              </s:r>
            </s:text>
          </item>
          <item id="ec6d8608b45fec5a22d21357ba889335f4eea6f0" userID="1850010794" userName="龙丽娟" dateTime="2026-07-01T14:07:37" isNormal="0">
            <s:text>
              <s:r>
                <s:t xml:space="preserve">1000512 6/8 1134pcs</s:t>
              </s:r>
            </s:text>
          </item>
          <item id="0a825da30b52d89946f8e7f5b7ebe446fcae8832" userID="1850010794" userName="龙丽娟" dateTime="2026-07-01T14:08:01" isNormal="0">
            <s:text>
              <s:r>
                <s:t xml:space="preserve">1000491 6/9 1122pcs</s:t>
              </s:r>
            </s:text>
          </item>
        </commentChain>
      </unresolved>
      <resolved/>
    </commentChains>
    <commentChains s:ref="AG154" rgbClr="FF0000">
      <unresolved>
        <commentChain chainId="fe66bb6aef6e426c6af389f59ac67b2e47a9c45a">
          <item id="8062756e7216c61ac4daa1e203e5c7dfdc679c78" userID="1850010794" userName="龙丽娟" dateTime="2026-06-04T02:37:20" isNormal="0">
            <s:text>
              <s:r>
                <s:t xml:space="preserve">5/30 1000414 1120pcs新2c2</s:t>
              </s:r>
            </s:text>
          </item>
        </commentChain>
      </unresolved>
      <resolved/>
    </commentChains>
    <commentChains s:ref="AG155" rgbClr="FF0000">
      <unresolved>
        <commentChain chainId="52f21e5575d1488cd24b386156b3f84bc069ac87">
          <item id="1f95711d6cd1a0e602b53b96fbae27181784089e" userID="1850010794" userName="龙丽娟" dateTime="2026-06-04T02:37:34" isNormal="0">
            <s:text>
              <s:r>
                <s:t xml:space="preserve">5/30 1000414 432pcs新2c2</s:t>
              </s:r>
            </s:text>
          </item>
        </commentChain>
      </unresolved>
      <resolved/>
    </commentChains>
    <commentChains s:ref="AI155" rgbClr="FF0000">
      <unresolved>
        <commentChain chainId="886f4ba712d7408ce59d01b81e66371d60edddbe">
          <item id="a77f30218e65410d440517b35ee1d67e1c5cf806" isNormal="1">
            <s:text>
              <s:r>
                <s:t xml:space="preserve">Administrator:
5/20 进口商贴纸432pcs</s:t>
              </s:r>
            </s:text>
          </item>
        </commentChain>
      </unresolved>
      <resolved/>
    </commentChains>
    <commentChains s:ref="AG156" rgbClr="FF0000">
      <unresolved>
        <commentChain chainId="fa21bbff2a986ad61d0a765d389fba2c548c56a0">
          <item id="76ff9852475f0a47020d1f5fa24db687ec6b996b" userID="1850010794" userName="龙丽娟" dateTime="2026-06-04T02:37:48" isNormal="0">
            <s:text>
              <s:r>
                <s:t xml:space="preserve">5/30 1000414 304pcs新2c2</s:t>
              </s:r>
            </s:text>
          </item>
        </commentChain>
      </unresolved>
      <resolved/>
    </commentChains>
    <commentChains s:ref="AI156" rgbClr="FF0000">
      <unresolved>
        <commentChain chainId="acd7c7d7779a7d5bf011ca3dc7269a5d5a4baadc">
          <item id="02eb8b62b429dbd56d44f6eb426eb0b8d83b586c" isNormal="1">
            <s:text>
              <s:r>
                <s:t xml:space="preserve">Administrator:
4/17 上客供进口商贴纸 320pcs
     上客供电池警语贴纸 318pcs
     上客供警语贴纸贴说明书 320pcs</s:t>
              </s:r>
            </s:text>
          </item>
        </commentChain>
      </unresolved>
      <resolved/>
    </commentChains>
    <commentChains s:ref="AG158" rgbClr="FF0000">
      <unresolved>
        <commentChain chainId="cf6034966aa9a80265fa2cb9ff58cd3086eacb0f">
          <item id="c3ede7b1915e6ebb2f22fd1aba565c0c5d2a6622" userID="1850010794" userName="龙丽娟" dateTime="2026-07-01T14:03:38" isNormal="0">
            <s:text>
              <s:r>
                <s:t xml:space="preserve">3002611 6/6 4320pcs</s:t>
              </s:r>
            </s:text>
          </item>
        </commentChain>
      </unresolved>
      <resolved/>
    </commentChains>
    <commentChains s:ref="AG159" rgbClr="FF0000">
      <unresolved>
        <commentChain chainId="89c5eba649585308beacc9c83aefaf28e6bc3acc">
          <item id="ed784f2135e82f47da3d124e9c5d8f59da06ad78" userID="1850010794" userName="龙丽娟" dateTime="2026-07-22T11:44:57" isNormal="0">
            <s:text>
              <s:r>
                <s:t xml:space="preserve">7/20 1001838 1650pcs钜顺c4</s:t>
              </s:r>
            </s:text>
          </item>
        </commentChain>
      </unresolved>
      <resolved/>
    </commentChains>
    <commentChains s:ref="AI159" rgbClr="FF0000">
      <unresolved>
        <commentChain chainId="4913f5cda51a902d176ec14db87ce1ef2b408881">
          <item id="827126f5c92347d4c4c565e298ced1ce4a629ce4" isNormal="1">
            <s:text>
              <s:r>
                <s:t xml:space="preserve">Administrator:
4/17 上客供进口商贴纸 320pcs
     上客供电池警语贴纸 318pcs
     上客供警语贴纸贴说明书 320pcs</s:t>
              </s:r>
            </s:text>
          </item>
        </commentChain>
      </unresolved>
      <resolved/>
    </commentChains>
    <commentChains s:ref="AG162" rgbClr="FF0000">
      <unresolved>
        <commentChain chainId="32ba7937cb98304ab4f2ac1ae86a3491a6ad0304">
          <item id="75f3074c2093dd8b931265fb09ccb58409677f55" userID="1850010794" userName="龙丽娟" dateTime="2026-06-04T02:57:55" isNormal="0">
            <s:text>
              <s:r>
                <s:t xml:space="preserve">6/1 1000565 3312 B栋4楼-B4</s:t>
              </s:r>
            </s:text>
          </item>
        </commentChain>
      </unresolved>
      <resolved/>
    </commentChains>
    <commentChains s:ref="AG163" rgbClr="FF0000">
      <unresolved>
        <commentChain chainId="b985f129dcf92aa8bccef95a8cb194aac9891286">
          <item id="420fe8ad06d8c83cdc2bb574f891de2d244a2c34" userID="1850010794" userName="龙丽娟" dateTime="2026-06-04T02:58:11" isNormal="0">
            <s:text>
              <s:r>
                <s:t xml:space="preserve">6/1 1000565 592pcs B栋4楼-B4</s:t>
              </s:r>
            </s:text>
          </item>
        </commentChain>
      </unresolved>
      <resolved/>
    </commentChains>
    <commentChains s:ref="AG164" rgbClr="FF0000">
      <unresolved>
        <commentChain chainId="f217122d4175b74c0a774ffce649a58d9e16caf2">
          <item id="b782156a75f52ad9e193620fe7e2212978e2fc01" userID="1850010794" userName="龙丽娟" dateTime="2026-06-04T03:08:49" isNormal="0">
            <s:text>
              <s:r>
                <s:t xml:space="preserve">6/1 1000572 3840pcsB4-C4</s:t>
              </s:r>
            </s:text>
          </item>
        </commentChain>
      </unresolved>
      <resolved/>
    </commentChains>
    <commentChains s:ref="AG165" rgbClr="FF0000">
      <unresolved>
        <commentChain chainId="1121876201eb40d2f9974e98bb98fd77f90c95a3">
          <item id="cb4d6e9bd9afd5da1712bf3f2a3554d7923a2a25" userID="1850010794" userName="龙丽娟" dateTime="2026-06-07T07:22:40" isNormal="0">
            <s:text>
              <s:r>
                <s:t xml:space="preserve">6/3 1000552 5344pcs 欣泰A4</s:t>
              </s:r>
            </s:text>
          </item>
        </commentChain>
      </unresolved>
      <resolved/>
    </commentChains>
    <commentChains s:ref="AG166" rgbClr="FF0000">
      <unresolved>
        <commentChain chainId="01e3aff40fe1bcc2170bbfefedb7b0ac381eced7">
          <item id="d57b603e603f76aea0101cbcd9d62dcd3718d2dc" userID="1850010794" userName="龙丽娟" dateTime="2026-06-07T07:22:53" isNormal="0">
            <s:text>
              <s:r>
                <s:t xml:space="preserve">6/3 1000552 5344pcs欣泰A4</s:t>
              </s:r>
            </s:text>
          </item>
        </commentChain>
      </unresolved>
      <resolved/>
    </commentChains>
    <commentChains s:ref="AG167" rgbClr="FF0000">
      <unresolved>
        <commentChain chainId="568dd6cad5ec80ed6d8a564f3d2abb930d360fa1">
          <item id="104ea6ec1b61a5630a698fe64d3dd1ffadeaa5d3" userID="1850010794" userName="龙丽娟" dateTime="2026-06-07T07:23:16" isNormal="0">
            <s:text>
              <s:r>
                <s:t xml:space="preserve">6/3 1000552 1536pcs欣泰A4</s:t>
              </s:r>
            </s:text>
          </item>
        </commentChain>
      </unresolved>
      <resolved/>
    </commentChains>
    <commentChains s:ref="AG168" rgbClr="FF0000">
      <unresolved>
        <commentChain chainId="32f9cab0bfc03b7fd77dfffd568ae772178bba1a">
          <item id="901f7db0ac86f56d12706ad5c2494116e2a58afa" userID="1850010794" userName="龙丽娟" dateTime="2026-06-07T07:23:25" isNormal="0">
            <s:text>
              <s:r>
                <s:t xml:space="preserve">6/3 1000552 1600pcs欣泰A4</s:t>
              </s:r>
            </s:text>
          </item>
        </commentChain>
      </unresolved>
      <resolved/>
    </commentChains>
    <commentChains s:ref="AG169" rgbClr="FF0000">
      <unresolved>
        <commentChain chainId="6a8448f9f67eee3083e871d695d4c75910302052">
          <item id="f3d62421558876b66976dd987efd596fb45a9e8d" userID="1850010794" userName="龙丽娟" dateTime="2026-06-07T07:23:40" isNormal="0">
            <s:text>
              <s:r>
                <s:t xml:space="preserve">6/3 1000552 1416pcs欣泰A4</s:t>
              </s:r>
            </s:text>
          </item>
        </commentChain>
      </unresolved>
      <resolved/>
    </commentChains>
    <commentChains s:ref="AG170" rgbClr="FF0000">
      <unresolved>
        <commentChain chainId="97ed976bf70d8ca29465cefcb85e05b591c08546">
          <item id="b2c4026832784c37d16251079ed0752445291ccd" userID="1850010794" userName="龙丽娟" dateTime="2026-06-07T07:34:00" isNormal="0">
            <s:text>
              <s:r>
                <s:t xml:space="preserve">6/5 1000545 1032pcs</s:t>
              </s:r>
            </s:text>
          </item>
        </commentChain>
      </unresolved>
      <resolved/>
    </commentChains>
    <commentChains s:ref="AG171" rgbClr="FF0000">
      <unresolved>
        <commentChain chainId="20f6e4825a700f767b658fbfbb3bf64c1610da92">
          <item id="6da30cf143eebe3424ec5a3a38afc903ad24ee96" userID="1850010794" userName="龙丽娟" dateTime="2026-06-07T07:34:16" isNormal="0">
            <s:text>
              <s:r>
                <s:t xml:space="preserve">6/5 1000545 1672pcs</s:t>
              </s:r>
            </s:text>
          </item>
        </commentChain>
      </unresolved>
      <resolved/>
    </commentChains>
    <commentChains s:ref="AG172" rgbClr="FF0000">
      <unresolved>
        <commentChain chainId="e20e423f73c1d058eb1d036baa858bbe6c5fcd99">
          <item id="76b7f2f5d3a18388531f278878e12f494d84da0d" userID="1850010794" userName="龙丽娟" dateTime="2026-06-07T07:34:25" isNormal="0">
            <s:text>
              <s:r>
                <s:t xml:space="preserve">6/5 1000545 1816pcs</s:t>
              </s:r>
            </s:text>
          </item>
        </commentChain>
      </unresolved>
      <resolved/>
    </commentChains>
    <commentChains s:ref="AG173" rgbClr="FF0000">
      <unresolved>
        <commentChain chainId="0ce1686ac471a790a183bea0b683972015d962b5">
          <item id="3244b48406aa09091191ff2519bc35f474ad79de" userID="1850010794" userName="龙丽娟" dateTime="2026-06-07T07:34:43" isNormal="0">
            <s:text>
              <s:r>
                <s:t xml:space="preserve">6/5 1000545 1448pcs</s:t>
              </s:r>
            </s:text>
          </item>
        </commentChain>
      </unresolved>
      <resolved/>
    </commentChains>
    <commentChains s:ref="AG174" rgbClr="FF0000">
      <unresolved>
        <commentChain chainId="e39174033901610d0db87f9f32aed1e3899ca3af">
          <item id="b21accdc1a8097d50816bb1125b8b58d77b4f9f1" userID="1850010794" userName="龙丽娟" dateTime="2026-06-11T02:44:46" isNormal="0">
            <s:text>
              <s:r>
                <s:t xml:space="preserve">6/9 1000492 1912pcs欣泰B3</s:t>
              </s:r>
            </s:text>
          </item>
        </commentChain>
      </unresolved>
      <resolved/>
    </commentChains>
    <commentChains s:ref="AG175" rgbClr="FF0000">
      <unresolved>
        <commentChain chainId="a1a5c0cc3d174a438ab50e10ca4c4029e77bd551">
          <item id="4013e8dec13190761ddd3d0e6384d5c346ddfbed" userID="1850010794" userName="龙丽娟" dateTime="2026-06-11T02:45:59" isNormal="0">
            <s:text>
              <s:r>
                <s:t xml:space="preserve">6/9 1000492 3344pcs欣泰B3</s:t>
              </s:r>
            </s:text>
          </item>
        </commentChain>
      </unresolved>
      <resolved/>
    </commentChains>
    <commentChains s:ref="AG176" rgbClr="FF0000">
      <unresolved>
        <commentChain chainId="1d84070f66e92bae6456904b0429b095057cd8ca">
          <item id="38c63160f4cc46d70fde25ed25be56f7e0340bdb" userID="1850010794" userName="龙丽娟" dateTime="2026-06-11T02:46:26" isNormal="0">
            <s:text>
              <s:r>
                <s:t xml:space="preserve">6/9 1000492 192pcs欣泰B3</s:t>
              </s:r>
            </s:text>
          </item>
        </commentChain>
      </unresolved>
      <resolved/>
    </commentChains>
    <commentChains s:ref="AI176" rgbClr="FF0000">
      <unresolved>
        <commentChain chainId="24d013a5bf8e8f396857edcc4390917baa85c881">
          <item id="08d12802685355a5383173c75708024c69798c07" isNormal="1">
            <s:text>
              <s:r>
                <s:t xml:space="preserve">DELL:
4/30 上锂电池贴纸 7282pcs
196453/194798/195170/198032/ZMPO260306/197999/198146/198397/ZMPO260320/199501/1995045/199725/199726/199929/200071/200163/200909/201073/202070共用</s:t>
              </s:r>
            </s:text>
          </item>
        </commentChain>
      </unresolved>
      <resolved/>
    </commentChains>
    <commentChains s:ref="AG178" rgbClr="FF0000">
      <unresolved>
        <commentChain chainId="f3e03627795bf61c08137c95af26e274e3790a47">
          <item id="ec62c4467aece124ac2801f16ddb9121b82fa3c2" userID="1850010794" userName="龙丽娟" dateTime="2026-06-11T02:46:54" isNormal="0">
            <s:text>
              <s:r>
                <s:t xml:space="preserve">6/9 1000492 16pcs欣泰B3</s:t>
              </s:r>
            </s:text>
          </item>
        </commentChain>
      </unresolved>
      <resolved/>
    </commentChains>
    <commentChains s:ref="AG180" rgbClr="FF0000">
      <unresolved>
        <commentChain chainId="1c6c24fe354a2701b247d6c7a3563ef96bb7018b">
          <item id="c643b5ece5cab236113dc343d16b6b8f72691957" userID="1850010794" userName="龙丽娟" dateTime="2026-06-11T02:47:24" isNormal="0">
            <s:text>
              <s:r>
                <s:t xml:space="preserve">6/9 1000492 832pcs欣泰B3</s:t>
              </s:r>
            </s:text>
          </item>
        </commentChain>
      </unresolved>
      <resolved/>
    </commentChains>
    <commentChains s:ref="AG181" rgbClr="FF0000">
      <unresolved>
        <commentChain chainId="cb99f35ad0eb4eab55b3e4bdbb7dfaaf879f0fa1">
          <item id="c4594dbe15ea6cd2b60ceaa77336eeb06ec09089" userID="1850010794" userName="龙丽娟" dateTime="2026-07-02T00:49:47" isNormal="0">
            <s:text>
              <s:r>
                <s:t xml:space="preserve">1000097 6/16 353pcs</s:t>
              </s:r>
            </s:text>
          </item>
          <item id="0fd11fc15ff541423547d097646d8ca3b4bf1db0" userID="1850010794" userName="龙丽娟" dateTime="2026-07-02T00:50:02" isNormal="0">
            <s:text>
              <s:r>
                <s:t xml:space="preserve">1000085  6/17 3265pcs</s:t>
              </s:r>
            </s:text>
          </item>
          <item id="25c3a3761d6d6be60b415fad10eedc3711504bcd" userID="1850010794" userName="龙丽娟" dateTime="2026-07-02T00:50:13" isNormal="0">
            <s:text>
              <s:r>
                <s:t xml:space="preserve">1000070 6/18 702pcs</s:t>
              </s:r>
            </s:text>
          </item>
        </commentChain>
      </unresolved>
      <resolved/>
    </commentChains>
    <commentChains s:ref="AI181" rgbClr="FF0000">
      <unresolved>
        <commentChain chainId="abc1a56796ae949a903b2539bd46a34dc3f0ce4e">
          <item id="cbee02ccd4c79724aad18b03f044e1b75df08b59" isNormal="1">
            <s:text>
              <s:r>
                <s:t xml:space="preserve">DELL:
4/30 上锂电池UN3481标识贴纸260*260mm 196pcs
197499/198839/198838/197500/197501/197502共用</s:t>
              </s:r>
            </s:text>
          </item>
        </commentChain>
      </unresolved>
      <resolved/>
    </commentChains>
    <commentChains s:ref="AQ181" rgbClr="FF0000">
      <unresolved>
        <commentChain chainId="edefa52ee2e3653e2e147889ccaec9f33b3ec085">
          <item id="a7eeaef27b1ee2f94aff5d81ae4d1f63dad3abab" isNormal="1">
            <s:text>
              <s:r>
                <s:t xml:space="preserve">RR:
新客版资料</s:t>
              </s:r>
            </s:text>
          </item>
        </commentChain>
      </unresolved>
      <resolved/>
    </commentChains>
    <commentChains s:ref="AR181" rgbClr="FF0000">
      <unresolved>
        <commentChain chainId="83f6beb50e7bd5dca9dd91172fd6047fe93b5ebf">
          <item id="400a67808ab750873a2fdbf6a43abf0de41d9f65" isNormal="1">
            <s:text>
              <s:r>
                <s:t xml:space="preserve">RR:
新客版资料</s:t>
              </s:r>
            </s:text>
          </item>
        </commentChain>
      </unresolved>
      <resolved/>
    </commentChains>
    <commentChains s:ref="AS181" rgbClr="FF0000">
      <unresolved>
        <commentChain chainId="d697feb8cc8fff06b8000f40cf0c18d55cfd39a1">
          <item id="ef2bb9986803ca35537fb20e38b7afafe1b8d6bb" isNormal="1">
            <s:text>
              <s:r>
                <s:t xml:space="preserve">RR:
新客版资料</s:t>
              </s:r>
            </s:text>
          </item>
        </commentChain>
      </unresolved>
      <resolved/>
    </commentChains>
    <commentChains s:ref="AG182" rgbClr="FF0000">
      <unresolved>
        <commentChain chainId="14352afcf1703bdf1b282a9ff7a5bb906b0749be">
          <item id="2d29b43511c29e71fc2f01626ec4a0886a58ca60" userID="1850010794" userName="龙丽娟" dateTime="2026-06-10T09:06:30" isNormal="0">
            <s:text>
              <s:r>
                <s:t xml:space="preserve">2801136  6/6 2000pcs 顶均B7</s:t>
              </s:r>
            </s:text>
          </item>
        </commentChain>
      </unresolved>
      <resolved/>
    </commentChains>
    <commentChains s:ref="AG183" rgbClr="FF0000">
      <unresolved>
        <commentChain chainId="7ede5b529814edbf493d17d1b50e863d2e997d51">
          <item id="05d7ce7b7ded5cd14657c78e2a10aa58060c1e2a" userID="1850010794" userName="龙丽娟" dateTime="2026-06-07T05:44:25" isNormal="0">
            <s:text>
              <s:r>
                <s:t xml:space="preserve">6/4 2801073 6656pcs欣泰D5</s:t>
              </s:r>
            </s:text>
          </item>
        </commentChain>
      </unresolved>
      <resolved/>
    </commentChains>
    <commentChains s:ref="AI183" rgbClr="FF0000">
      <unresolved>
        <commentChain chainId="f5e4b86947051369ad980a3387471def31f838d5">
          <item id="7d7c5da1840884c9b7811e4275da527d15a2f4f8" isNormal="1">
            <s:text>
              <s:r>
                <s:t xml:space="preserve">Administrator:
5/7上客供RFID贴纸6656pcs
5/15 上锂电池贴纸26118pcs
</s:t>
              </s:r>
            </s:text>
          </item>
        </commentChain>
      </unresolved>
      <resolved/>
    </commentChains>
    <commentChains s:ref="AG184" rgbClr="FF0000">
      <unresolved>
        <commentChain chainId="b802a73b1322c619fa49e7e61fbd2eb0055fd2a7">
          <item id="7e99c5b724a2a19d38ddb97942b8ac38274687f0" userID="1850010794" userName="龙丽娟" dateTime="2026-06-07T05:44:52" isNormal="0">
            <s:text>
              <s:r>
                <s:t xml:space="preserve">6/4 2801073 8192pcs欣泰D5</s:t>
              </s:r>
            </s:text>
          </item>
        </commentChain>
      </unresolved>
      <resolved/>
    </commentChains>
    <commentChains s:ref="AI184" rgbClr="FF0000">
      <unresolved>
        <commentChain chainId="de9c69226b485919c5776d1305fc9c876fea3d23">
          <item id="ce07afad299d3aa6018f93097404a03786d9755d" isNormal="1">
            <s:text>
              <s:r>
                <s:t xml:space="preserve">Administrator:
5/7上客供RFID贴纸9216pcs
5/15 上锂电池贴纸26118pcs
</s:t>
              </s:r>
            </s:text>
          </item>
        </commentChain>
      </unresolved>
      <resolved/>
    </commentChains>
    <commentChains s:ref="AG185" rgbClr="FF0000">
      <unresolved>
        <commentChain chainId="4c2ff547a210e2a0c8fa23f7293a97fed393dee6">
          <item id="fd72612bfbd63b9a903e915b2add5bcf0ab6246b" userID="1850010794" userName="龙丽娟" dateTime="2026-06-07T05:45:13" isNormal="0">
            <s:text>
              <s:r>
                <s:t xml:space="preserve">6/4 2801073 9216pcs欣泰D5</s:t>
              </s:r>
            </s:text>
          </item>
        </commentChain>
      </unresolved>
      <resolved/>
    </commentChains>
    <commentChains s:ref="AI185" rgbClr="FF0000">
      <unresolved>
        <commentChain chainId="5862c00d96ee68de4efeb65d3352431c13dcd91e">
          <item id="56a7cc6fedbddd06fec0aa2e5fc1315cf01ac652" isNormal="1">
            <s:text>
              <s:r>
                <s:t xml:space="preserve">Administrator:
5/7上客供RFID贴纸8192pcs
5/15 上锂电池贴纸26118pcs
</s:t>
              </s:r>
            </s:text>
          </item>
        </commentChain>
      </unresolved>
      <resolved/>
    </commentChains>
    <commentChains s:ref="AG186" rgbClr="FF0000">
      <unresolved>
        <commentChain chainId="3a86861fb2163d4a01b2dbe9efd4c801680de9d2">
          <item id="2bb7ba70c2f392c8ef6645d4d511d2c763a7c6f0" userID="1850010794" userName="龙丽娟" dateTime="2026-06-07T05:45:24" isNormal="0">
            <s:text>
              <s:r>
                <s:t xml:space="preserve">6/4 2801073 12800pcs欣泰D5</s:t>
              </s:r>
            </s:text>
          </item>
        </commentChain>
      </unresolved>
      <resolved/>
    </commentChains>
    <commentChains s:ref="AI186" rgbClr="FF0000">
      <unresolved>
        <commentChain chainId="f66dc2149c9ebcbf96891d9c81691985c40b2d37">
          <item id="670af49e93c954668095da07205a90c3da8c4462" isNormal="1">
            <s:text>
              <s:r>
                <s:t xml:space="preserve">Administrator:
5/7上客供RFID贴纸12800pcs
5/15 上锂电池贴纸26118pcs
</s:t>
              </s:r>
            </s:text>
          </item>
        </commentChain>
      </unresolved>
      <resolved/>
    </commentChains>
    <commentChains s:ref="AG189" rgbClr="FF0000">
      <unresolved>
        <commentChain chainId="6711025736d86d48bb928cc2f734b93381b7181b">
          <item id="f31dd2b20c380eaa62d59f703552b16f7b972b54" userID="1850010794" userName="龙丽娟" dateTime="2026-07-02T01:27:09" isNormal="0">
            <s:text>
              <s:r>
                <s:t xml:space="preserve">1000491 6/9 2112pcs</s:t>
              </s:r>
            </s:text>
          </item>
          <item id="b9c410374a9c6efe697eb924cdc081948a8257af" userID="1850010794" userName="龙丽娟" dateTime="2026-07-02T01:27:26" isNormal="0">
            <s:text>
              <s:r>
                <s:t xml:space="preserve">1000517 6/10 192pcs
1000519 6/10 2016pcs</s:t>
              </s:r>
            </s:text>
          </item>
        </commentChain>
      </unresolved>
      <resolved/>
    </commentChains>
    <commentChains s:ref="AG190" rgbClr="FF0000">
      <unresolved>
        <commentChain chainId="9158abb012daa2a7ff285557ff3c0706a3f929b5">
          <item id="1a8db590b71c74fe9d9703474df2fcb3f1428ccd" userID="1850010794" userName="龙丽娟" dateTime="2026-07-02T01:37:37" isNormal="0">
            <s:text>
              <s:r>
                <s:t xml:space="preserve">1000477 6/6 576pcs</s:t>
              </s:r>
            </s:text>
          </item>
          <item id="4f297f159e3989f192325a8d69f0e8dbbbd231f1" userID="1850010794" userName="龙丽娟" dateTime="2026-07-02T01:37:46" isNormal="0">
            <s:text>
              <s:r>
                <s:t xml:space="preserve">1000481 6/11 3150pcs</s:t>
              </s:r>
            </s:text>
          </item>
          <item id="ea99e9f5865ca1d9074db702dc94732f8123720b" userID="1850010794" userName="龙丽娟" dateTime="2026-07-02T01:37:55" isNormal="0">
            <s:text>
              <s:r>
                <s:t xml:space="preserve">1000444 6/12 594pcs</s:t>
              </s:r>
            </s:text>
          </item>
        </commentChain>
      </unresolved>
      <resolved/>
    </commentChains>
    <commentChains s:ref="AI191" rgbClr="FF0000">
      <unresolved>
        <commentChain chainId="b27ac4a7d321951ac7103f764363e59b1a5ff793">
          <item id="cbfc9dc2c735b713784254ed5ab6099517f040d9" isNormal="1">
            <s:text>
              <s:r>
                <s:t xml:space="preserve">Administrator:
5/6 上UPC进口商贴纸896pcs</s:t>
              </s:r>
            </s:text>
          </item>
        </commentChain>
      </unresolved>
      <resolved/>
    </commentChains>
    <commentChains s:ref="AG192" rgbClr="FF0000">
      <unresolved>
        <commentChain chainId="0999b911ed7dceba788a1947eb7bc4d133fd2ecf">
          <item id="30d6c0c1805ac4cb0ed50c2ad153aac0df6262f1" userID="1850010794" userName="龙丽娟" dateTime="2026-08-13T03:07:58" isNormal="0">
            <s:text>
              <s:r>
                <s:t xml:space="preserve">2801274 6/16 15584pcs</s:t>
              </s:r>
            </s:text>
          </item>
          <item id="9e64df634d53222d60222c6ed032c749291e32d3" userID="1850010794" userName="龙丽娟" dateTime="2026-08-13T03:08:37" isNormal="0">
            <s:text>
              <s:r>
                <s:t xml:space="preserve">2201047 6/16 416pcs</s:t>
              </s:r>
            </s:text>
          </item>
        </commentChain>
      </unresolved>
      <resolved/>
    </commentChains>
    <commentChains s:ref="AI192" rgbClr="FF0000">
      <unresolved>
        <commentChain chainId="7aa8eafb526e56b092ad9bd534fc797eb377f61e">
          <item id="d3ff3b75b42fa3f6ef4ba5a9c320aa3a5eb616a5" isNormal="1">
            <s:text>
              <s:r>
                <s:t xml:space="preserve">Administrator:
5/12 上客供外箱贴纸 2020pcs</s:t>
              </s:r>
            </s:text>
          </item>
        </commentChain>
      </unresolved>
      <resolved/>
    </commentChains>
    <commentChains s:ref="AG193" rgbClr="FF0000">
      <unresolved>
        <commentChain chainId="d869e905f9b91170d14b30eedb17680f610458d8">
          <item id="aeee1eccec4ec0e594b4e9dabe008ee0a1efb198" userID="1850010794" userName="龙丽娟" dateTime="2026-06-11T02:33:56" isNormal="0">
            <s:text>
              <s:r>
                <s:t xml:space="preserve">6/9 2801177 2184pcs欣泰B4</s:t>
              </s:r>
            </s:text>
          </item>
        </commentChain>
      </unresolved>
      <resolved/>
    </commentChains>
    <commentChains s:ref="AG194" rgbClr="FF0000">
      <unresolved>
        <commentChain chainId="50b07ea482bf4e4303870e627521928099093fbc">
          <item id="b94a802e1c88356fe287f48dd72da5fcceadc041" userID="1850010794" userName="龙丽娟" dateTime="2026-07-09T07:48:08" isNormal="0">
            <s:text>
              <s:r>
                <s:t xml:space="preserve">2801274 6/16 4480pcs</s:t>
              </s:r>
            </s:text>
          </item>
          <item id="1f38b8fc252bd3042f08b554b0b338f52435ff5f" userID="1850010794" userName="龙丽娟" dateTime="2026-07-09T07:48:28" isNormal="0">
            <s:text>
              <s:r>
                <s:t xml:space="preserve">2201047 6/16 712pcs</s:t>
              </s:r>
            </s:text>
          </item>
        </commentChain>
      </unresolved>
      <resolved/>
    </commentChains>
    <commentChains s:ref="AG195" rgbClr="FF0000">
      <unresolved>
        <commentChain chainId="a5ae330f4c289e7a0796a01e044d6003391c91a1">
          <item id="456577a34d2adacffbf9dd190919c9643a6ccbd1" userID="1850010794" userName="龙丽娟" dateTime="2026-06-17T06:01:10" isNormal="0">
            <s:text>
              <s:r>
                <s:t xml:space="preserve">6/13 2801241 3008PCS顶均B2</s:t>
              </s:r>
            </s:text>
          </item>
        </commentChain>
      </unresolved>
      <resolved/>
    </commentChains>
    <commentChains s:ref="AI196" rgbClr="FF0000">
      <unresolved>
        <commentChain chainId="5ef65576a5da50e55f82fb7eb4a485476ccd980e">
          <item id="254baed982cfbb7a1287c2235b2f8054a8109cf7" userID="1850010794" userName="龙丽娟" dateTime="2026-07-06T11:20:20" isNormal="0">
            <s:text>
              <s:r>
                <s:t xml:space="preserve">6/27上产品贴纸7584pcs</s:t>
              </s:r>
            </s:text>
          </item>
          <item id="283532571ca3c496b9e423b3c24f0a81d03131d3" userID="1850010794" userName="龙丽娟" dateTime="2026-07-06T11:21:01" isNormal="0">
            <s:text>
              <s:r>
                <s:t xml:space="preserve">6/27上空白贴纸7584pcs</s:t>
              </s:r>
            </s:text>
          </item>
        </commentChain>
      </unresolved>
      <resolved/>
    </commentChains>
    <commentChains s:ref="AG197" rgbClr="FF0000">
      <unresolved>
        <commentChain chainId="f74dded40316def325c58cb6685881a061993563">
          <item id="49750f89deee1ba8dcff2d4022821b06c48d9425" userID="1850010794" userName="龙丽娟" dateTime="2026-07-02T01:40:06" isNormal="0">
            <s:text>
              <s:r>
                <s:t xml:space="preserve">1000452 6/12 2226pcs
1000444 6/12 2094pcs</s:t>
              </s:r>
            </s:text>
          </item>
        </commentChain>
      </unresolved>
      <resolved/>
    </commentChains>
    <commentChains s:ref="AG198" rgbClr="FF0000">
      <unresolved>
        <commentChain chainId="e918ee9a5ba06e5d801d39dcf48019ad0199c9ac">
          <item id="d849ced1fe518c228d8255a581ec0c19d1455815" userID="1850010794" userName="龙丽娟" dateTime="2026-07-02T01:43:16" isNormal="0">
            <s:text>
              <s:r>
                <s:t xml:space="preserve">1000452 6/12 192pcs</s:t>
              </s:r>
            </s:text>
          </item>
          <item id="5a726516141b9ee96625d89b718fa294eabcfc06" userID="1850010794" userName="龙丽娟" dateTime="2026-07-02T01:43:32" isNormal="0">
            <s:text>
              <s:r>
                <s:t xml:space="preserve">1000117 6/13 546pcs
1000455 6/13 3582pcs</s:t>
              </s:r>
            </s:text>
          </item>
        </commentChain>
      </unresolved>
      <resolved/>
    </commentChains>
    <commentChains s:ref="AG199" rgbClr="FF0000">
      <unresolved>
        <commentChain chainId="72f8a01881c7c95b60f1c17c8ae99585c7087a00">
          <item id="937b0c9f2576bfc1aeaf0b4384647bc3cb21f50e" userID="1850010794" userName="龙丽娟" dateTime="2026-07-02T01:55:33" isNormal="0">
            <s:text>
              <s:r>
                <s:t xml:space="preserve">1000117 6/13 1362pcs
1000129 6/13 576pcs</s:t>
              </s:r>
            </s:text>
          </item>
          <item id="276ef1d99e7e29e22acb2019f4ac3d545f0831e2" userID="1850010794" userName="龙丽娟" dateTime="2026-07-02T01:55:46" isNormal="0">
            <s:text>
              <s:r>
                <s:t xml:space="preserve">1000092 6/15 1806pcs</s:t>
              </s:r>
            </s:text>
          </item>
          <item id="4d5640926a2f6fccc53df2d218934547ffa10be7" userID="1850010794" userName="龙丽娟" dateTime="2026-07-02T01:55:58" isNormal="0">
            <s:text>
              <s:r>
                <s:t xml:space="preserve">1000097 6/16 576pcs</s:t>
              </s:r>
            </s:text>
          </item>
        </commentChain>
      </unresolved>
      <resolved/>
    </commentChains>
    <commentChains s:ref="AI200" rgbClr="FF0000">
      <unresolved>
        <commentChain chainId="982589ff879a942013fe85ef26b2ba4986d7d693">
          <item id="ee5a1fbe8b9becdea4c18dc9ff8f17ff81d5170b" userID="1850010794" userName="龙丽娟" dateTime="2026-06-11T05:34:58" isNormal="0">
            <s:text>
              <s:r>
                <s:t xml:space="preserve">6/2 客供亚马逊外箱贴纸1625pcs</s:t>
              </s:r>
            </s:text>
          </item>
        </commentChain>
      </unresolved>
      <resolved/>
    </commentChains>
    <commentChains s:ref="AG201" rgbClr="FF0000">
      <unresolved>
        <commentChain chainId="caf4044336f48b4d5a059d0ce580b7a127269981">
          <item id="0166b0335b4f8d843e71da633554d8fab6f2f703" userID="1850010794" userName="龙丽娟" dateTime="2026-07-02T01:22:10" isNormal="0">
            <s:text>
              <s:r>
                <s:t xml:space="preserve">1000097 6/16 960pcs
1000101 6/16 192pcs
1000080 6/16 2064pcs</s:t>
              </s:r>
            </s:text>
          </item>
          <item id="96b1b32728b07a7f4590f412c892ab30f37a6ac8" userID="1850010794" userName="龙丽娟" dateTime="2026-07-02T01:22:18" isNormal="0">
            <s:text>
              <s:r>
                <s:t xml:space="preserve">1000082 6/17 1104pcs</s:t>
              </s:r>
            </s:text>
          </item>
        </commentChain>
      </unresolved>
      <resolved/>
    </commentChains>
    <commentChains s:ref="AQ201" rgbClr="FF0000">
      <unresolved>
        <commentChain chainId="d5e3731ec93929f8a31ad6ac8388bde6b6c26c9a">
          <item id="b66697bacaa78347269bcd0929812a8c93efdf21" isNormal="1">
            <s:text>
              <s:r>
                <s:t xml:space="preserve">RR:
新客版资料</s:t>
              </s:r>
            </s:text>
          </item>
        </commentChain>
      </unresolved>
      <resolved/>
    </commentChains>
    <commentChains s:ref="AR201" rgbClr="FF0000">
      <unresolved>
        <commentChain chainId="aab6ac9fa0147609e89961ee1dbb9db81778b13a">
          <item id="49b7167eeaad8c3225003e972287bdd800d5ac5e" isNormal="1">
            <s:text>
              <s:r>
                <s:t xml:space="preserve">RR:
新客版资料</s:t>
              </s:r>
            </s:text>
          </item>
        </commentChain>
      </unresolved>
      <resolved/>
    </commentChains>
    <commentChains s:ref="AS201" rgbClr="FF0000">
      <unresolved>
        <commentChain chainId="2def97777a485c467428a6e68111b72a39f24cdf">
          <item id="6acf23caa9cd2097538ea05383c090825e7a5529" isNormal="1">
            <s:text>
              <s:r>
                <s:t xml:space="preserve">RR:
新客版资料</s:t>
              </s:r>
            </s:text>
          </item>
        </commentChain>
      </unresolved>
      <resolved/>
    </commentChains>
    <commentChains s:ref="AG203" rgbClr="FF0000">
      <unresolved>
        <commentChain chainId="ae2d79ea5980b53346771c4dcb820799aa83cdda">
          <item id="10b613f7d432270642a7d42691dfb6e63f1eaf6f" userID="1850010794" userName="龙丽娟" dateTime="2026-06-17T06:21:22" isNormal="0">
            <s:text>
              <s:r>
                <s:t xml:space="preserve">6/15 2801258  512pcs欣泰D6</s:t>
              </s:r>
            </s:text>
          </item>
        </commentChain>
      </unresolved>
      <resolved/>
    </commentChains>
    <commentChains s:ref="AG204" rgbClr="FF0000">
      <unresolved>
        <commentChain chainId="3c699ec82dea18e2b29bc7bcd63bf4b1e52e1e00">
          <item id="5325d6a41925667ffcb4ad85fdcaec4ea05451dc" userID="1850010794" userName="龙丽娟" dateTime="2026-06-23T06:53:19" isNormal="0">
            <s:text>
              <s:r>
                <s:t xml:space="preserve">6/18 2201065 1416pcs顶均B8</s:t>
              </s:r>
            </s:text>
          </item>
        </commentChain>
      </unresolved>
      <resolved/>
    </commentChains>
    <commentChains s:ref="AI204" rgbClr="FF0000">
      <unresolved>
        <commentChain chainId="3909e511aeb5998f7850b48c2d142da7bcb349fe">
          <item id="33dafa00104430b86de4e9d00ce43cc930a113a4" userID="1850010794" userName="龙丽娟" dateTime="2026-06-11T05:55:55" isNormal="0">
            <s:text>
              <s:r>
                <s:t xml:space="preserve">6/3上kmart外箱贴纸177pcs</s:t>
              </s:r>
            </s:text>
          </item>
          <item id="5a1dbc3418c052d78a929811b6203152c400eb09" userID="1850010794" userName="龙丽娟" dateTime="2026-06-22T06:21:47" isNormal="0">
            <s:text>
              <s:r>
                <s:t xml:space="preserve">6/10上白色防盗贴纸1416pcs</s:t>
              </s:r>
            </s:text>
          </item>
        </commentChain>
      </unresolved>
      <resolved/>
    </commentChains>
    <commentChains s:ref="AG205" rgbClr="FF0000">
      <unresolved>
        <commentChain chainId="2fe29e16fa9c077ff2ef967f93773ac0564fe91b">
          <item id="987003ce6a504d3642a244aa8bbf20e72b9ca205" userID="1850010794" userName="龙丽娟" dateTime="2026-06-23T06:53:31" isNormal="0">
            <s:text>
              <s:r>
                <s:t xml:space="preserve">6/18 2201065 88pcs顶均B5.</s:t>
              </s:r>
            </s:text>
          </item>
        </commentChain>
      </unresolved>
      <resolved/>
    </commentChains>
    <commentChains s:ref="AI205" rgbClr="FF0000">
      <unresolved>
        <commentChain chainId="925e6cd12ec7dcf2afb59de39027bffed82d7677">
          <item id="a388c9c55e614735c38ee1447753ecb25e6150b9" userID="1850010794" userName="龙丽娟" dateTime="2026-06-11T05:56:06" isNormal="0">
            <s:text>
              <s:r>
                <s:t xml:space="preserve">6/3上kmart外箱贴纸11pcs</s:t>
              </s:r>
            </s:text>
          </item>
          <item id="9448d5e7c3e30dbad90564a7924a1ffd15d085ea" userID="1850010794" userName="龙丽娟" dateTime="2026-06-22T06:21:58" isNormal="0">
            <s:text>
              <s:r>
                <s:t xml:space="preserve">6/10上白色防盗贴纸88pcs</s:t>
              </s:r>
            </s:text>
          </item>
        </commentChain>
      </unresolved>
      <resolved/>
    </commentChains>
    <commentChains s:ref="AG206" rgbClr="FF0000">
      <unresolved>
        <commentChain chainId="b36c9c169cc4448c88fee5c94617b49ffb588488">
          <item id="c38d3c34aa525a1e22155fbe90e6aa82d3c57a5e" userID="1850010794" userName="龙丽娟" dateTime="2026-07-22T12:53:09" isNormal="0">
            <s:text>
              <s:r>
                <s:t xml:space="preserve">7/12 2801298 660pcs五车间</s:t>
              </s:r>
            </s:text>
          </item>
        </commentChain>
      </unresolved>
      <resolved/>
    </commentChains>
    <commentChains s:ref="AG207" rgbClr="FF0000">
      <unresolved>
        <commentChain chainId="f81df6c71d0d70d0bc10ba01b673c23e3fdd9aa3">
          <item id="c91132cf72ba6342a82314fee5a98b9b67288819" userID="1850010794" userName="龙丽娟" dateTime="2026-06-17T05:33:10" isNormal="0">
            <s:text>
              <s:r>
                <s:t xml:space="preserve">6/13 2801248 2464PCS 顶均B8</s:t>
              </s:r>
            </s:text>
          </item>
        </commentChain>
      </unresolved>
      <resolved/>
    </commentChains>
    <commentChains s:ref="AG208" rgbClr="FF0000">
      <unresolved>
        <commentChain chainId="5b8674071aec0e76929c19f49f5b9f259ba46233">
          <item id="c0eb8b76071b1dadb672274a9eb24dbdfec3a71e" userID="1850010794" userName="龙丽娟" dateTime="2026-06-15T05:55:35" isNormal="0">
            <s:text>
              <s:r>
                <s:t xml:space="preserve">2801224 6/12 38816pcs顶均D3</s:t>
              </s:r>
            </s:text>
          </item>
          <item id="84ce85e77f5f95a0181efda33b0afe072d7cca18" userID="1850010794" userName="龙丽娟" dateTime="2026-06-15T06:00:20" isNormal="0">
            <s:text>
              <s:r>
                <s:t xml:space="preserve">6/12 2801227 184PCS 欣泰D3</s:t>
              </s:r>
            </s:text>
          </item>
        </commentChain>
      </unresolved>
      <resolved/>
    </commentChains>
    <commentChains s:ref="AG209" rgbClr="FF0000">
      <unresolved>
        <commentChain chainId="0b3faecfcd67bcb48047d2b4c473c3968235c71c">
          <item id="475cb177bc1a230a202d27bfdce673f1fc9f3d18" userID="1850010794" userName="龙丽娟" dateTime="2026-07-02T02:26:59" isNormal="0">
            <s:text>
              <s:r>
                <s:t xml:space="preserve">1000097 6/16 594pcs</s:t>
              </s:r>
            </s:text>
          </item>
          <item id="12034dcd8e0522efd1a483f54508a434ec61ee1c" userID="1850010794" userName="龙丽娟" dateTime="2026-07-02T02:27:18" isNormal="0">
            <s:text>
              <s:r>
                <s:t xml:space="preserve">1000061 6/20 528pcs
1000010 6/20 768pcs</s:t>
              </s:r>
            </s:text>
          </item>
          <item id="1a3f172c651cb61d754d7bbba25d648888dc5f25" userID="1850010794" userName="龙丽娟" dateTime="2026-07-02T02:27:34" isNormal="0">
            <s:text>
              <s:r>
                <s:t xml:space="preserve">1000198 6/29 942pcs
1000324 6/29 192pcs</s:t>
              </s:r>
            </s:text>
          </item>
        </commentChain>
      </unresolved>
      <resolved/>
    </commentChains>
    <commentChains s:ref="AG210" rgbClr="FF0000">
      <unresolved>
        <commentChain chainId="88674ab716b7f6f93a4380149cff529aee13a836">
          <item id="2da6adc37b6713198933b78eef32232b3a9accec" userID="1850010794" userName="龙丽娟" dateTime="2026-07-02T01:59:01" isNormal="0">
            <s:text>
              <s:r>
                <s:t xml:space="preserve">1000117 6/13 1296pcs
1000455 6/13 1548pcs
1000129 6/13 396pcs</s:t>
              </s:r>
            </s:text>
          </item>
          <item id="d1044ec7b8e6fef63a216497c6b8e9b9e77469f5" userID="1850010794" userName="龙丽娟" dateTime="2026-07-02T01:59:10" isNormal="0">
            <s:text>
              <s:r>
                <s:t xml:space="preserve">1000196 6/30 768pcs</s:t>
              </s:r>
            </s:text>
          </item>
        </commentChain>
      </unresolved>
      <resolved/>
    </commentChains>
    <commentChains s:ref="AG211" rgbClr="FF0000">
      <unresolved>
        <commentChain chainId="794b03439958e01e213464377cfea4fb7ba84b4a">
          <item id="215cf4f0ec60eb8acd5916a27c5495e5be2eb3ae" userID="1850010794" userName="龙丽娟" dateTime="2026-07-02T02:31:24" isNormal="0">
            <s:text>
              <s:r>
                <s:t xml:space="preserve">1000097 6/16 594pcs</s:t>
              </s:r>
            </s:text>
          </item>
          <item id="35b5991a9bd9deff278a6df2dfab8eb333033ce9" userID="1850010794" userName="龙丽娟" dateTime="2026-07-02T02:31:34" isNormal="0">
            <s:text>
              <s:r>
                <s:t xml:space="preserve">1000065 6/20 912pcs</s:t>
              </s:r>
            </s:text>
          </item>
          <item id="be9db15b5cb7fee61193cd94c535414f2016d5c4" userID="1850010794" userName="龙丽娟" dateTime="2026-07-02T02:31:45" isNormal="0">
            <s:text>
              <s:r>
                <s:t xml:space="preserve">1000010 6/20 384pcs</s:t>
              </s:r>
            </s:text>
          </item>
          <item id="17c9aa03bb14fbbb36b6964b831d72b632f8e9f8" userID="1850010794" userName="龙丽娟" dateTime="2026-07-02T02:31:54" isNormal="0">
            <s:text>
              <s:r>
                <s:t xml:space="preserve">1000198 6/29 192pcs</s:t>
              </s:r>
            </s:text>
          </item>
          <item id="4e98ea7e69911687a36bcad9a2435bc00af5ee69" userID="1850010794" userName="龙丽娟" dateTime="2026-07-02T02:32:04" isNormal="0">
            <s:text>
              <s:r>
                <s:t xml:space="preserve">1000205 6/30 942pcs</s:t>
              </s:r>
            </s:text>
          </item>
        </commentChain>
      </unresolved>
      <resolved/>
    </commentChains>
    <commentChains s:ref="AG212" rgbClr="FF0000">
      <unresolved>
        <commentChain chainId="707aff619ff9da023066af65067e637d5ce608a6">
          <item id="b57b0976a96f6f4fb265eebbb414cbce1ac5cd43" userID="1850010794" userName="龙丽娟" dateTime="2026-07-02T02:09:30" isNormal="0">
            <s:text>
              <s:r>
                <s:t xml:space="preserve">1000116 6/15 144pcs</s:t>
              </s:r>
            </s:text>
          </item>
          <item id="4e9b34ddec1ba3788fae62e89d0b8d39d4f6fe12" userID="1850010794" userName="龙丽娟" dateTime="2026-07-02T02:09:39" isNormal="0">
            <s:text>
              <s:r>
                <s:t xml:space="preserve">1000097 6/16 2514pcs</s:t>
              </s:r>
            </s:text>
          </item>
          <item id="c64fc5007a60acffc88cc2df83b77804978f5b02" userID="1850010794" userName="龙丽娟" dateTime="2026-07-02T02:09:49" isNormal="0">
            <s:text>
              <s:r>
                <s:t xml:space="preserve">1000085 6/17 768pcs</s:t>
              </s:r>
            </s:text>
          </item>
          <item id="3923df1bb717c77e216b9cff319de664fa6def93" userID="1850010794" userName="龙丽娟" dateTime="2026-07-02T02:10:00" isNormal="0">
            <s:text>
              <s:r>
                <s:t xml:space="preserve">1000061 6//20 192pcs</s:t>
              </s:r>
            </s:text>
          </item>
          <item id="f62107dd3d78d03fdb577e2f9945058559d0cca1" userID="1850010794" userName="龙丽娟" dateTime="2026-07-02T02:10:27" isNormal="0">
            <s:text>
              <s:r>
                <s:t xml:space="preserve">1000065 6/20 336pcs</s:t>
              </s:r>
            </s:text>
          </item>
          <item id="93a6025f5ee08aa1b9b3cfeb8d5c5b7af8ede0d3" userID="1850010794" userName="龙丽娟" dateTime="2026-07-02T02:10:51" isNormal="0">
            <s:text>
              <s:r>
                <s:t xml:space="preserve">10000319 6/29 366pcs</s:t>
              </s:r>
            </s:text>
          </item>
        </commentChain>
      </unresolved>
      <resolved/>
    </commentChains>
    <commentChains s:ref="AG213" rgbClr="FF0000">
      <unresolved>
        <commentChain chainId="118d2b3c9121773e56b4d8f507c0c29c6b154369">
          <item id="3b84bfeb9ac56077b4cf9d1a8a7b08992143efd9" userID="1850010794" userName="龙丽娟" dateTime="2026-06-23T05:43:35" isNormal="0">
            <s:text>
              <s:r>
                <s:t xml:space="preserve">6/17 2201074  504pcs欣泰b4</s:t>
              </s:r>
            </s:text>
          </item>
        </commentChain>
      </unresolved>
      <resolved/>
    </commentChains>
    <commentChains s:ref="AG214" rgbClr="FF0000">
      <unresolved>
        <commentChain chainId="f1becf75edcae4ae1463f541484ad97c5989c4d6">
          <item id="68d1fde7965f5417e7a6a83b1a31b0c9e621233c" userID="1850010794" userName="龙丽娟" dateTime="2026-06-17T06:03:40" isNormal="0">
            <s:text>
              <s:r>
                <s:t xml:space="preserve">6/13 1000104 1680PCS顶均A8</s:t>
              </s:r>
            </s:text>
          </item>
        </commentChain>
      </unresolved>
      <resolved/>
    </commentChains>
    <commentChains s:ref="AG215" rgbClr="FF0000">
      <unresolved>
        <commentChain chainId="cfaaf7178feabaecac7c73913e737fa9010c148b">
          <item id="3ef0574d5288ce278d26029f49ed0117f68d5135" userID="1850010794" userName="龙丽娟" dateTime="2026-06-15T05:56:55" isNormal="0">
            <s:text>
              <s:r>
                <s:t xml:space="preserve">6/12 1000468 25920pcs欣泰A4</s:t>
              </s:r>
            </s:text>
          </item>
          <item id="89768fee9d98a6a4f5227581095e60c02546ed38" userID="1850010794" userName="龙丽娟" dateTime="2026-06-15T06:04:24" isNormal="0">
            <s:text>
              <s:r>
                <s:t xml:space="preserve">1000451 6/12 6656PCS欣泰A4</s:t>
              </s:r>
            </s:text>
          </item>
        </commentChain>
      </unresolved>
      <resolved/>
    </commentChains>
    <commentChains s:ref="AI215" rgbClr="FF0000">
      <unresolved>
        <commentChain chainId="10d9baba4d88e140a604b85141dc8b8f6e913c14">
          <item id="94524029cccf7d823161e7eb7de29d3a2418965d" userID="1850010794" userName="龙丽娟" dateTime="2026-06-11T05:35:27" isNormal="0">
            <s:text>
              <s:r>
                <s:t xml:space="preserve">6/2上客供亚马逊外箱贴纸32720pcs</s:t>
              </s:r>
            </s:text>
          </item>
        </commentChain>
      </unresolved>
      <resolved/>
    </commentChains>
    <commentChains s:ref="AG216" rgbClr="FF0000">
      <unresolved>
        <commentChain chainId="1d44987855ca5d779e8e513bfac02a450db9447b">
          <item id="e95ca02e29333b69bec9d36c65faaa5089f870b1" userID="1850010794" userName="龙丽娟" dateTime="2026-06-23T06:51:59" isNormal="0">
            <s:text>
              <s:r>
                <s:t xml:space="preserve">2201062 6/18 8192pcsA17</s:t>
              </s:r>
            </s:text>
          </item>
        </commentChain>
      </unresolved>
      <resolved/>
    </commentChains>
    <commentChains s:ref="AI216" rgbClr="FF0000">
      <unresolved>
        <commentChain chainId="59793b5fb56b4c4b33c78750b13ee3bf88476f25">
          <item id="83359adf5d0f90710662218af73b41555504820f" isNormal="1">
            <s:text>
              <s:r>
                <s:t xml:space="preserve">Administrator:
5/14上客供RFID贴纸8704pcs
5/15 上锂电池贴纸26118pcs
</s:t>
              </s:r>
            </s:text>
          </item>
          <item id="c586ef90e8d713abd63f793104dbe7ce4026bab0" userID="1850010794" userName="龙丽娟" dateTime="2026-07-23T12:09:09" isNormal="0">
            <s:text>
              <s:r>
                <s:t xml:space="preserve">7/17 客供RFID贴纸8192pcs</s:t>
              </s:r>
            </s:text>
          </item>
        </commentChain>
      </unresolved>
      <resolved/>
    </commentChains>
    <commentChains s:ref="AG217" rgbClr="FF0000">
      <unresolved>
        <commentChain chainId="15432f145925f698deb42776c037d8b5e30486ef">
          <item id="567398889bc61b42c4970316f51fce967b858859" userID="1850010794" userName="龙丽娟" dateTime="2026-06-23T06:52:15" isNormal="0">
            <s:text>
              <s:r>
                <s:t xml:space="preserve">2201062 6/18 9728pcsA11</s:t>
              </s:r>
            </s:text>
          </item>
        </commentChain>
      </unresolved>
      <resolved/>
    </commentChains>
    <commentChains s:ref="AI217" rgbClr="FF0000">
      <unresolved>
        <commentChain chainId="061af8c96d739ad8b8e889c3f961b2e0de7c259b">
          <item id="731bfffbdddac16b72cbc8ce68290a6926c3fe10" isNormal="1">
            <s:text>
              <s:r>
                <s:t xml:space="preserve">Administrator:
5/14上客供RFID贴纸9728pcs
5/15 上锂电池贴纸26118pcs
</s:t>
              </s:r>
            </s:text>
          </item>
          <item id="e465c75b91b1b0e08fe9f003c817c580cdb65aa1" userID="1850010794" userName="龙丽娟" dateTime="2026-07-23T12:09:26" isNormal="0">
            <s:text>
              <s:r>
                <s:t xml:space="preserve">7/17 客供RFID贴纸9728pcs</s:t>
              </s:r>
            </s:text>
          </item>
        </commentChain>
      </unresolved>
      <resolved/>
    </commentChains>
    <commentChains s:ref="AG218" rgbClr="FF0000">
      <unresolved>
        <commentChain chainId="4d0568c71e24519d8b7d270ec6cec61f51c159d6">
          <item id="401e734554f7c2e9f63a1b0d6b507440126b7d1a" userID="1850010794" userName="龙丽娟" dateTime="2026-06-23T06:52:27" isNormal="0">
            <s:text>
              <s:r>
                <s:t xml:space="preserve">2201062 6/18 8704pcsA12</s:t>
              </s:r>
            </s:text>
          </item>
          <item id="61d10ac2a1896717e6e969a2f620e8097ac7379d" userID="1850010794" userName="龙丽娟" dateTime="2026-07-23T12:09:38" isNormal="0">
            <s:text>
              <s:r>
                <s:t xml:space="preserve">7/17 客供RFID贴纸8704pcs</s:t>
              </s:r>
            </s:text>
          </item>
        </commentChain>
      </unresolved>
      <resolved/>
    </commentChains>
    <commentChains s:ref="AI218" rgbClr="FF0000">
      <unresolved>
        <commentChain chainId="14328f468c0eb038f944271b9b73ebb92c135dc9">
          <item id="a07b4811d098e1f0f5ea61b56d96bbf276612167" isNormal="1">
            <s:text>
              <s:r>
                <s:t xml:space="preserve">Administrator:
5/14上客供RFID贴纸8704pcs
5/15 上锂电池贴纸26118pcs
</s:t>
              </s:r>
            </s:text>
          </item>
        </commentChain>
      </unresolved>
      <resolved/>
    </commentChains>
    <commentChains s:ref="AG219" rgbClr="FF0000">
      <unresolved>
        <commentChain chainId="9db96da257ba8bb0cd71128cf025a6c0d811262e">
          <item id="fc3b47d0fcb65f0623d5f88b3fa4e6d2940c2089" userID="1850010794" userName="龙丽娟" dateTime="2026-07-09T07:30:33" isNormal="0">
            <s:text>
              <s:r>
                <s:t xml:space="preserve">2801274 6/16 7176pcs</s:t>
              </s:r>
            </s:text>
          </item>
          <item id="f3a57e1e64512f6c9c8a0a6a6685a240c5e62cca" userID="1850010794" userName="龙丽娟" dateTime="2026-07-09T07:30:50" isNormal="0">
            <s:text>
              <s:r>
                <s:t xml:space="preserve">2201047 6/16 200pcs</s:t>
              </s:r>
            </s:text>
          </item>
        </commentChain>
      </unresolved>
      <resolved/>
    </commentChains>
    <commentChains s:ref="AI221" rgbClr="FF0000">
      <unresolved>
        <commentChain chainId="4ebabc41b7c77889fab6c4d0551fca1002dd005f">
          <item id="edf752b6d09adeadaaa983668d6c4ee5759c9acf" userID="1850010794" userName="龙丽娟" dateTime="2026-06-30T07:00:00" isNormal="0">
            <s:text>
              <s:r>
                <s:t xml:space="preserve">6/26上客供价格贴纸3170pcs</s:t>
              </s:r>
            </s:text>
          </item>
          <item id="f95f6946a8f110fbbc3db1409b63f52aeefb28ee" userID="1850010794" userName="龙丽娟" dateTime="2026-07-09T13:36:06" isNormal="0">
            <s:text>
              <s:r>
                <s:t xml:space="preserve">7/9上upc贴纸1512pcs</s:t>
              </s:r>
            </s:text>
          </item>
          <item id="487dc051ac795d7a1fd3298f9557e1795362842c" userID="1850010794" userName="龙丽娟" dateTime="2026-07-12T11:25:50" isNormal="0">
            <s:text>
              <s:r>
                <s:t xml:space="preserve">7/6上保证书/包装贴纸各3008</s:t>
              </s:r>
            </s:text>
          </item>
        </commentChain>
      </unresolved>
      <resolved/>
    </commentChains>
    <commentChains s:ref="AG222" rgbClr="FF0000">
      <unresolved>
        <commentChain chainId="37b12d92572fdaeecaa97ec2a0b2ed9e6475b321">
          <item id="44a88435628c35d5ce4e3f4c3ce0edf1e9311610" userID="1850010794" userName="龙丽娟" dateTime="2026-06-23T05:43:57" isNormal="0">
            <s:text>
              <s:r>
                <s:t xml:space="preserve">6/17 2201074  2800pcs欣泰c4</s:t>
              </s:r>
            </s:text>
          </item>
        </commentChain>
      </unresolved>
      <resolved/>
    </commentChains>
    <commentChains s:ref="AG223" rgbClr="FF0000">
      <unresolved>
        <commentChain chainId="43c035a5d2f953572a48183673fe04c0553869b9">
          <item id="8dddf5f9d8d486fc7d6fda96235bd348e6a4379d" userID="1850010794" userName="龙丽娟" dateTime="2026-06-24T07:47:04" isNormal="0">
            <s:text>
              <s:r>
                <s:t xml:space="preserve">199512 6/22 1152pcs欣泰c4</s:t>
              </s:r>
            </s:text>
          </item>
        </commentChain>
      </unresolved>
      <resolved/>
    </commentChains>
    <commentChains s:ref="AG224" rgbClr="FF0000">
      <unresolved>
        <commentChain chainId="0cd01dd647838d8b67b440b66b4e32b74d3f15cf">
          <item id="de0684982ed0aa767a14c9e33d1ddc6fa27d5858" userID="1850010794" userName="龙丽娟" dateTime="2026-06-23T05:37:42" isNormal="0">
            <s:text>
              <s:r>
                <s:t xml:space="preserve">6/20 2201094 2400pcs顶均B7</s:t>
              </s:r>
            </s:text>
          </item>
        </commentChain>
      </unresolved>
      <resolved/>
    </commentChains>
    <commentChains s:ref="AG225" rgbClr="FF0000">
      <unresolved>
        <commentChain chainId="08382366c16423f7cb7f1de28d0d5ff49b4b121e">
          <item id="9c13f6787cb51b9eb3f7ae56a5c36b40042f3782" userID="1850010794" userName="龙丽娟" dateTime="2026-07-02T03:04:02" isNormal="0">
            <s:text>
              <s:r>
                <s:t xml:space="preserve">1000097 6/16 192pcs</s:t>
              </s:r>
            </s:text>
          </item>
          <item id="e74983a7d02aa09aaa8aa3156dc63fe9930b42f8" userID="1850010794" userName="龙丽娟" dateTime="2026-07-02T03:04:12" isNormal="0">
            <s:text>
              <s:r>
                <s:t xml:space="preserve">1000061 6/20 1296pcs</s:t>
              </s:r>
            </s:text>
          </item>
          <item id="a1ddd36cdfd22689b8f3d528e9b05eae45e14c28" userID="1850010794" userName="龙丽娟" dateTime="2026-07-02T03:04:22" isNormal="0">
            <s:text>
              <s:r>
                <s:t xml:space="preserve">100205 6/30 1134pcs</s:t>
              </s:r>
            </s:text>
          </item>
        </commentChain>
      </unresolved>
      <resolved/>
    </commentChains>
    <commentChains s:ref="AG226" rgbClr="FF0000">
      <unresolved>
        <commentChain chainId="68cac71f7be47dc534fe34405084686c601f057d">
          <item id="1773e138131b2c78bd46b8ba1407cf38c5345ebe" userID="1850010794" userName="龙丽娟" dateTime="2026-07-02T03:14:36" isNormal="0">
            <s:text>
              <s:r>
                <s:t xml:space="preserve">1000013 6/22 1296pcs</s:t>
              </s:r>
            </s:text>
          </item>
        </commentChain>
      </unresolved>
      <resolved/>
    </commentChains>
    <commentChains s:ref="AG227" rgbClr="FF0000">
      <unresolved>
        <commentChain chainId="8a7494fd69577afa0fd42a42340fcb2afb25d0a9">
          <item id="93ed4d3024a209f4dd804e4baee4082d7065db27" userID="1850010794" userName="龙丽娟" dateTime="2026-07-02T03:12:05" isNormal="0">
            <s:text>
              <s:r>
                <s:t xml:space="preserve">1000013 6/22 1296pcs</s:t>
              </s:r>
            </s:text>
          </item>
          <item id="dc5a18a70b1d44a926b41231c2e02676563e60e5" userID="1850010794" userName="龙丽娟" dateTime="2026-07-02T03:12:13" isNormal="0">
            <s:text>
              <s:r>
                <s:t xml:space="preserve">1000205 6/30 192pcs</s:t>
              </s:r>
            </s:text>
          </item>
        </commentChain>
      </unresolved>
      <resolved/>
    </commentChains>
    <commentChains s:ref="AG228" rgbClr="FF0000">
      <unresolved>
        <commentChain chainId="3fa90bed369b1f32cfa4e993b542d750925a3d9e">
          <item id="900459c4ceacc6b4fd816c1c672455abda5f69b3" userID="1850010794" userName="龙丽娟" dateTime="2026-06-24T07:40:52" isNormal="0">
            <s:text>
              <s:r>
                <s:t xml:space="preserve">2201087 6/22 512pcs顶均A12</s:t>
              </s:r>
            </s:text>
          </item>
        </commentChain>
      </unresolved>
      <resolved/>
    </commentChains>
    <commentChains s:ref="AI228" rgbClr="FF0000">
      <unresolved>
        <commentChain chainId="7fb4912b4171c46ef47c6c74758e4763f073b23f">
          <item id="4c6f82ee3327ca6d043aab8ca5296bcd787b350b" isNormal="1">
            <s:text>
              <s:r>
                <s:t xml:space="preserve">Administrator:
5/15 SNI label贴纸512pcs</s:t>
              </s:r>
            </s:text>
          </item>
        </commentChain>
      </unresolved>
      <resolved/>
    </commentChains>
    <commentChains s:ref="AG229" rgbClr="FF0000">
      <unresolved>
        <commentChain chainId="f253bccab87ca572e1be861028015b849657b41c">
          <item id="915a76d059619642584622ef80ef7d2c0a307eb5" userID="1850010794" userName="龙丽娟" dateTime="2026-07-09T07:50:32" isNormal="0">
            <s:text>
              <s:r>
                <s:t xml:space="preserve">1000104 6/13 2400pcs</s:t>
              </s:r>
            </s:text>
          </item>
        </commentChain>
      </unresolved>
      <resolved/>
    </commentChains>
    <commentChains s:ref="AG230" rgbClr="FF0000">
      <unresolved>
        <commentChain chainId="5f6bfceb7747340c54361ead24865054b6e8bbfd">
          <item id="0a5b5d82fb8dc0c5da89e99e81da95727a997c86" userID="1850010794" userName="龙丽娟" dateTime="2026-06-24T07:42:03" isNormal="0">
            <s:text>
              <s:r>
                <s:t xml:space="preserve">2201087 6/22 480pcs顶均A12</s:t>
              </s:r>
            </s:text>
          </item>
        </commentChain>
      </unresolved>
      <resolved/>
    </commentChains>
    <commentChains s:ref="AI230" rgbClr="FF0000">
      <unresolved>
        <commentChain chainId="6f1515842a946a7196f04cd0754a720496a15462">
          <item id="0b5fb639b68fb14fb420ebca6934f9e7cbde97aa" userID="1850010794" userName="龙丽娟" dateTime="2026-06-22T05:40:59" isNormal="0">
            <s:text>
              <s:r>
                <s:t xml:space="preserve">6/9上UPC贴纸480pcs</s:t>
              </s:r>
            </s:text>
          </item>
        </commentChain>
      </unresolved>
      <resolved/>
    </commentChains>
    <commentChains s:ref="AG231" rgbClr="FF0000">
      <unresolved>
        <commentChain chainId="cb9267c9af95bdca8db5f2d94cd37de1100a4a26">
          <item id="6b37d542e06753d2d9f26702bf53f889edb5ae2f" userID="1850010794" userName="龙丽娟" dateTime="2026-06-24T07:42:26" isNormal="0">
            <s:text>
              <s:r>
                <s:t xml:space="preserve">2201087 6/22 1872pcs顶均A13</s:t>
              </s:r>
            </s:text>
          </item>
        </commentChain>
      </unresolved>
      <resolved/>
    </commentChains>
    <commentChains s:ref="AI231" rgbClr="FF0000">
      <unresolved>
        <commentChain chainId="41ce74321ebe86a969116ce15c27059ebe322247">
          <item id="6e7a8535d0b14fde59e506773e05c07f4fa8cede" userID="1850010794" userName="龙丽娟" dateTime="2026-06-11T05:32:41" isNormal="0">
            <s:text>
              <s:r>
                <s:t xml:space="preserve">6/1上地址贴纸1872pcs</s:t>
              </s:r>
            </s:text>
          </item>
        </commentChain>
      </unresolved>
      <resolved/>
    </commentChains>
    <commentChains s:ref="AG232" rgbClr="FF0000">
      <unresolved>
        <commentChain chainId="00987182ae23aed0a84ec8eec0f1ac44a8a524b4">
          <item id="5f0209f5a20c5c2060d7ceb5072231dac3693ebb" userID="1850010794" userName="龙丽娟" dateTime="2026-06-23T05:35:36" isNormal="0">
            <s:text>
              <s:r>
                <s:t xml:space="preserve">6/20 1000062 400pcs欣泰c3</s:t>
              </s:r>
            </s:text>
          </item>
        </commentChain>
      </unresolved>
      <resolved/>
    </commentChains>
    <commentChains s:ref="AG233" rgbClr="FF0000">
      <unresolved>
        <commentChain chainId="a6c322e21c2e7890f722d9b822c7d9bde1aada91">
          <item id="84eb89a455718bd095202a459026cf7637f28382" userID="1850010794" userName="龙丽娟" dateTime="2026-07-04T06:38:44" isNormal="0">
            <s:text>
              <s:r>
                <s:t xml:space="preserve">6/27 2200956 160pcs顶均A7</s:t>
              </s:r>
            </s:text>
          </item>
        </commentChain>
      </unresolved>
      <resolved/>
    </commentChains>
    <commentChains s:ref="AI233" rgbClr="FF0000">
      <unresolved>
        <commentChain chainId="539d490328d0a85cfa467095f6c3bebc89ccd92d">
          <item id="18f0f37417f3bead60cd3d5a226820e6b0a08ea9" userID="1850010794" userName="龙丽娟" dateTime="2026-06-22T06:27:59" isNormal="0">
            <s:text>
              <s:r>
                <s:t xml:space="preserve">6/10上家乐福外箱贴纸40pcs</s:t>
              </s:r>
            </s:text>
          </item>
        </commentChain>
      </unresolved>
      <resolved/>
    </commentChains>
    <commentChains s:ref="AG234" rgbClr="FF0000">
      <unresolved>
        <commentChain chainId="4e86517e28fffa38a45c6824209485d42df69f21">
          <item id="8a858ec747dc3c603cd5c1ddc007ebb027933cc0" userID="1850010794" userName="龙丽娟" dateTime="2026-06-27T06:03:12" isNormal="0">
            <s:text>
              <s:r>
                <s:t xml:space="preserve">6/25 2200935 1504pcs 欣泰d4</s:t>
              </s:r>
            </s:text>
          </item>
        </commentChain>
      </unresolved>
      <resolved/>
    </commentChains>
    <commentChains s:ref="AG235" rgbClr="FF0000">
      <unresolved>
        <commentChain chainId="5ac52779cf7b646ae09c919022ec02334edd6cee">
          <item id="37ada061da05ae54d217c43f4120cb481b89ac80" userID="1850010794" userName="龙丽娟" dateTime="2026-07-09T07:53:59" isNormal="0">
            <s:text>
              <s:r>
                <s:t xml:space="preserve">2201256 7/8 1600pcs欣泰c6</s:t>
              </s:r>
            </s:text>
          </item>
        </commentChain>
      </unresolved>
      <resolved/>
    </commentChains>
    <commentChains s:ref="AI235" rgbClr="FF0000">
      <unresolved>
        <commentChain chainId="6ff6f407c8754f9836f45bffbe194b9a248b3808">
          <item id="ec05b4fac9834e93d337553013e1184e2f682345" userID="1850010794" userName="龙丽娟" dateTime="2026-06-24T07:56:45" isNormal="0">
            <s:text>
              <s:r>
                <s:t xml:space="preserve">6/24上UPC贴纸1600pcs
6/25上进口商贴纸1600pcs</s:t>
              </s:r>
            </s:text>
          </item>
        </commentChain>
      </unresolved>
      <resolved/>
    </commentChains>
    <commentChains s:ref="AG236" rgbClr="FF0000">
      <unresolved>
        <commentChain chainId="06f069812c6cb5dbaa4ba29eb3940608e16d2065">
          <item id="dd14bed89af1acedb38194c8221a91aa8d289342" userID="1850010794" userName="龙丽娟" dateTime="2026-06-27T06:04:16" isNormal="0">
            <s:text>
              <s:r>
                <s:t xml:space="preserve">6/25 2200927 1024pcs欣泰c4</s:t>
              </s:r>
            </s:text>
          </item>
        </commentChain>
      </unresolved>
      <resolved/>
    </commentChains>
    <commentChains s:ref="AG237" rgbClr="FF0000">
      <unresolved>
        <commentChain chainId="44aae7f373bd192807211f21b7376238c76f6a53">
          <item id="f16159bcb9a5a63f34bcbaae77709beb85e565e7" userID="1850010794" userName="龙丽娟" dateTime="2026-06-25T07:11:11" isNormal="0">
            <s:text>
              <s:r>
                <s:t xml:space="preserve">6/23 顶均a4</s:t>
              </s:r>
            </s:text>
          </item>
        </commentChain>
      </unresolved>
      <resolved/>
    </commentChains>
    <commentChains s:ref="AG238" rgbClr="FF0000">
      <unresolved>
        <commentChain chainId="b0267941eb18d1020698e823b9c49a232f6df24d">
          <item id="7b02e51ffa1a8b34236e1634f207910ff7511be7" userID="1850010794" userName="龙丽娟" dateTime="2026-06-25T07:10:51" isNormal="0">
            <s:text>
              <s:r>
                <s:t xml:space="preserve">6/23 顶均a13</s:t>
              </s:r>
            </s:text>
          </item>
        </commentChain>
      </unresolved>
      <resolved/>
    </commentChains>
    <commentChains s:ref="AI238" rgbClr="FF0000">
      <unresolved>
        <commentChain chainId="4eb61935ed18e5e733306d818c22d00b59e8bcb1">
          <item id="a622bf4c0978a91913b2ac23ccf55e5176902151" userID="1850010794" userName="龙丽娟" dateTime="2026-06-11T05:31:37" isNormal="0">
            <s:text>
              <s:r>
                <s:t xml:space="preserve">6/1 上警告语环保标贴纸352pcs</s:t>
              </s:r>
            </s:text>
          </item>
        </commentChain>
      </unresolved>
      <resolved/>
    </commentChains>
    <commentChains s:ref="AG239" rgbClr="FF0000">
      <unresolved>
        <commentChain chainId="9b03f22fecf327145d349614772466df64df1a98">
          <item id="515f87b8aee4a1d3d856a3cd32c7cb045907c970" userID="1850010794" userName="龙丽娟" dateTime="2026-06-23T06:55:21" isNormal="0">
            <s:text>
              <s:r>
                <s:t xml:space="preserve">6/18 1000075 1108pcs欣泰D3</s:t>
              </s:r>
            </s:text>
          </item>
        </commentChain>
      </unresolved>
      <resolved/>
    </commentChains>
    <commentChains s:ref="AI239" rgbClr="FF0000">
      <unresolved>
        <commentChain chainId="c9a2d1f59a857c219749cc8ba6d1abf891acb435">
          <item id="8b39b9373650704cadcc9cb15daa04b3b3196b0c" userID="1850010794" userName="龙丽娟" dateTime="2026-06-11T05:53:07" isNormal="0">
            <s:text>
              <s:r>
                <s:t xml:space="preserve">6/3上亚马逊外箱贴纸88pcs</s:t>
              </s:r>
            </s:text>
          </item>
        </commentChain>
      </unresolved>
      <resolved/>
    </commentChains>
    <commentChains s:ref="AG240" rgbClr="FF0000">
      <unresolved>
        <commentChain chainId="146714bb25e013d34a3bcdf2ed72f6fb8c66167c">
          <item id="3afa0aa5a299090e44e26afc43f0a0a022563e9e" userID="1850010794" userName="龙丽娟" dateTime="2026-06-23T06:55:35" isNormal="0">
            <s:text>
              <s:r>
                <s:t xml:space="preserve">6/18 1000075 1184pcs欣泰D4</s:t>
              </s:r>
            </s:text>
          </item>
        </commentChain>
      </unresolved>
      <resolved/>
    </commentChains>
    <commentChains s:ref="AI240" rgbClr="FF0000">
      <unresolved>
        <commentChain chainId="c1d52f3dc443e044ded9f875530df675151bfbfc">
          <item id="073bd38ec4f00e871e3c90626cf3c778647741c4" userID="1850010794" userName="龙丽娟" dateTime="2026-06-11T05:53:17" isNormal="0">
            <s:text>
              <s:r>
                <s:t xml:space="preserve">6/3上亚马逊外箱贴纸74pcs</s:t>
              </s:r>
            </s:text>
          </item>
        </commentChain>
      </unresolved>
      <resolved/>
    </commentChains>
    <commentChains s:ref="AG241" rgbClr="FF0000">
      <unresolved>
        <commentChain chainId="4dabcd423cee0e9f4711df6cd48d9a30fbc70f52">
          <item id="01ccff39b0155cffe3c7b3c4940b234c7fcf668e" userID="1850010794" userName="龙丽娟" dateTime="2026-06-23T06:55:53" isNormal="0">
            <s:text>
              <s:r>
                <s:t xml:space="preserve">6/18 1000075 1200pcs欣泰c4</s:t>
              </s:r>
            </s:text>
          </item>
        </commentChain>
      </unresolved>
      <resolved/>
    </commentChains>
    <commentChains s:ref="AI241" rgbClr="FF0000">
      <unresolved>
        <commentChain chainId="8f5238f462d8cf189b64984ea00ef013d6fea8f1">
          <item id="211ad9f6356626f312161f39176d3edab78209fe" userID="1850010794" userName="龙丽娟" dateTime="2026-06-11T05:53:26" isNormal="0">
            <s:text>
              <s:r>
                <s:t xml:space="preserve">6/3上亚马逊外箱贴纸75pcs</s:t>
              </s:r>
            </s:text>
          </item>
        </commentChain>
      </unresolved>
      <resolved/>
    </commentChains>
    <commentChains s:ref="AG242" rgbClr="FF0000">
      <unresolved>
        <commentChain chainId="b026d8a7b5d1da17a11375771e43859eaca1335d">
          <item id="6758a813377925d143334f3688fa8a64faf798c0" userID="1850010794" userName="龙丽娟" dateTime="2026-06-23T06:56:07" isNormal="0">
            <s:text>
              <s:r>
                <s:t xml:space="preserve">6/18 1000075 4080pcs欣泰e2</s:t>
              </s:r>
            </s:text>
          </item>
        </commentChain>
      </unresolved>
      <resolved/>
    </commentChains>
    <commentChains s:ref="AI242" rgbClr="FF0000">
      <unresolved>
        <commentChain chainId="744f59690ce4bc97b7ba4a66375618010ea834b0">
          <item id="d8312b4f27d65b35f3c420498cfd2852f2718206" userID="1850010794" userName="龙丽娟" dateTime="2026-06-11T05:53:34" isNormal="0">
            <s:text>
              <s:r>
                <s:t xml:space="preserve">6/3上亚马逊外箱贴纸255pcs</s:t>
              </s:r>
            </s:text>
          </item>
        </commentChain>
      </unresolved>
      <resolved/>
    </commentChains>
    <commentChains s:ref="AG244" rgbClr="FF0000">
      <unresolved>
        <commentChain chainId="e857b0b39f785508e8f5a3843f4d3cdba7d18ae0">
          <item id="d0cbff7a43e7f4120d71aad9b6b2b41edf4cfd0d" userID="1850010794" userName="龙丽娟" dateTime="2026-06-27T06:02:41" isNormal="0">
            <s:text>
              <s:r>
                <s:t xml:space="preserve">2200935 6/25 11776pcs 欣泰d4</s:t>
              </s:r>
            </s:text>
          </item>
        </commentChain>
      </unresolved>
      <resolved/>
    </commentChains>
    <commentChains s:ref="AI244" rgbClr="FF0000">
      <unresolved>
        <commentChain chainId="bf62ea298df10017c4779cda57bf066e8071725f">
          <item id="6b7f426c994273559bd4ff6c0cef7b70b3b5244b" isNormal="1">
            <s:text>
              <s:r>
                <s:t xml:space="preserve">Administrator:
5/15 上锂电池贴纸26118pcs
</s:t>
              </s:r>
            </s:text>
          </item>
        </commentChain>
      </unresolved>
      <resolved/>
    </commentChains>
    <commentChains s:ref="AG245" rgbClr="FF0000">
      <unresolved>
        <commentChain chainId="c18e670a5d33a1c15d72ca523410b1c54e39bd01">
          <item id="3c5a5316a3e5c4f7e601e5a2a2a396ef6d15956d" userID="1850010794" userName="龙丽娟" dateTime="2026-06-26T13:19:04" isNormal="0">
            <s:text>
              <s:r>
                <s:t xml:space="preserve">6/24 2200925 5632pcs顶均D2</s:t>
              </s:r>
            </s:text>
          </item>
        </commentChain>
      </unresolved>
      <resolved/>
    </commentChains>
    <commentChains s:ref="AG246" rgbClr="FF0000">
      <unresolved>
        <commentChain chainId="dc9fd76db2f059dda8a3447b9a707ac7591504f0">
          <item id="638a2a67c033183d9fb40fe023f671de9c2eeafa" userID="1850010794" userName="龙丽娟" dateTime="2026-06-27T06:03:46" isNormal="0">
            <s:text>
              <s:r>
                <s:t xml:space="preserve">6/25 2200927 11776pcs欣泰c5</s:t>
              </s:r>
            </s:text>
          </item>
        </commentChain>
      </unresolved>
      <resolved/>
    </commentChains>
    <commentChains s:ref="AG247" rgbClr="FF0000">
      <unresolved>
        <commentChain chainId="c79c331924b1ff03e36a368220b67489eb42e606">
          <item id="4bb9b00047d6ef008c109615b32a513e2734c13a" userID="1850010794" userName="龙丽娟" dateTime="2026-06-26T13:19:21" isNormal="0">
            <s:text>
              <s:r>
                <s:t xml:space="preserve">6/24 2200925 8704pcs顶均D2</s:t>
              </s:r>
            </s:text>
          </item>
        </commentChain>
      </unresolved>
      <resolved/>
    </commentChains>
    <commentChains s:ref="AG248" rgbClr="FF0000">
      <unresolved>
        <commentChain chainId="b353254fd148dadad42a741e75f833329bcaedbb">
          <item id="dc24971f535dc006d25c5af8d127f410389ec7e6" userID="1850010794" userName="龙丽娟" dateTime="2026-06-23T05:35:04" isNormal="0">
            <s:text>
              <s:r>
                <s:t xml:space="preserve">6/20 1000062 720pcs欣泰c4</s:t>
              </s:r>
            </s:text>
          </item>
        </commentChain>
      </unresolved>
      <resolved/>
    </commentChains>
    <commentChains s:ref="AI248" rgbClr="FF0000">
      <unresolved>
        <commentChain chainId="a724fdc02395ce96e6a823a9d4d37fb7449ac54a">
          <item id="cf5601ff26f0628d9278e9d9e618077828c4bbc2" isNormal="1">
            <s:text>
              <s:r>
                <s:t xml:space="preserve">Administrator:
5/11 上UPC贴纸720pcs
</s:t>
              </s:r>
            </s:text>
          </item>
        </commentChain>
      </unresolved>
      <resolved/>
    </commentChains>
    <commentChains s:ref="AG250" rgbClr="FF0000">
      <unresolved>
        <commentChain chainId="f9de8835d8482e1caf2785852cc8ea5cd7a5b525">
          <item id="1a7c00738bf3cc76d8f3b43a8aa3d6473d0f2af7" userID="1850010794" userName="龙丽娟" dateTime="2026-07-02T03:19:00" isNormal="0">
            <s:text>
              <s:r>
                <s:t xml:space="preserve">1000013 6/22 192pcs
1000604 6/22 1104pcs</s:t>
              </s:r>
            </s:text>
          </item>
        </commentChain>
      </unresolved>
      <resolved/>
    </commentChains>
    <commentChains s:ref="AG251" rgbClr="FF0000">
      <unresolved>
        <commentChain chainId="9d39684206dd4f258a924a8d1828a3088b25ce27">
          <item id="624e25f6755b43e644eb0bc4da8905237e552683" userID="1850010794" userName="龙丽娟" dateTime="2026-07-02T03:23:47" isNormal="0">
            <s:text>
              <s:r>
                <s:t xml:space="preserve">1000608 6/22 960pcs</s:t>
              </s:r>
            </s:text>
          </item>
          <item id="20d752b6a39294bb6eb9adb7299cb6d0f272706b" userID="1850010794" userName="龙丽娟" dateTime="2026-07-02T03:24:05" isNormal="0">
            <s:text>
              <s:r>
                <s:t xml:space="preserve">1000624 6/23 192pcs
1000613 6/23 144pcs</s:t>
              </s:r>
            </s:text>
          </item>
        </commentChain>
      </unresolved>
      <resolved/>
    </commentChains>
    <commentChains s:ref="AG252" rgbClr="FF0000">
      <unresolved>
        <commentChain chainId="3e0c9f6c3c5e47c8c538a19ca4d232c1de248758">
          <item id="98c9ba262483d73019b6f56ab8148ca1d310b285" userID="1850010794" userName="龙丽娟" dateTime="2026-06-24T07:01:07" isNormal="0">
            <s:text>
              <s:r>
                <s:t xml:space="preserve">6/22 1000600  1168pcs顶均A13</s:t>
              </s:r>
            </s:text>
          </item>
        </commentChain>
      </unresolved>
      <resolved/>
    </commentChains>
    <commentChains s:ref="AG253" rgbClr="FF0000">
      <unresolved>
        <commentChain chainId="be46645c8987f31a517d0b7f22b05a70fecc35b6">
          <item id="6a538175d7d4926b01a484fa04cbb1f136d4ceb5" userID="1850010794" userName="龙丽娟" dateTime="2026-07-02T03:30:39" isNormal="0">
            <s:text>
              <s:r>
                <s:t xml:space="preserve">1000613 6/23 528pcs
1000624 6/23 768pcs</s:t>
              </s:r>
            </s:text>
          </item>
        </commentChain>
      </unresolved>
      <resolved/>
    </commentChains>
    <commentChains s:ref="AG254" rgbClr="FF0000">
      <unresolved>
        <commentChain chainId="b72ba21609550c0ce5550eb446f1f6eaa8aece0d">
          <item id="4d8c08a7112f4aee44d4c162cf15cd9dccade360" userID="1850010794" userName="龙丽娟" dateTime="2026-07-02T03:39:38" isNormal="0">
            <s:text>
              <s:r>
                <s:t xml:space="preserve">1000624 6/23 1152pcs</s:t>
              </s:r>
            </s:text>
          </item>
        </commentChain>
      </unresolved>
      <resolved/>
    </commentChains>
    <commentChains s:ref="AG255" rgbClr="FF0000">
      <unresolved>
        <commentChain chainId="def76005968a3c561975509578f07235e83c8ddc">
          <item id="813893eb011e185f9580e1c5f3202e9fee1bd6fb" userID="1850010794" userName="龙丽娟" dateTime="2026-07-02T03:44:22" isNormal="0">
            <s:text>
              <s:r>
                <s:t xml:space="preserve">1000624 6/23 768pcs
1000618 6/23 480pcs</s:t>
              </s:r>
            </s:text>
          </item>
        </commentChain>
      </unresolved>
      <resolved/>
    </commentChains>
    <commentChains s:ref="AG257" rgbClr="FF0000">
      <unresolved>
        <commentChain chainId="c8774a800ea8042e705f9d27c8ee33adcc53ff1a">
          <item id="5cb05ca2d5e036eeecd94b46f84697f4aaa1a479" userID="1850010794" userName="龙丽娟" dateTime="2026-06-24T07:00:51" isNormal="0">
            <s:text>
              <s:r>
                <s:t xml:space="preserve">6/22 1000600  720pcs顶均B8</s:t>
              </s:r>
            </s:text>
          </item>
        </commentChain>
      </unresolved>
      <resolved/>
    </commentChains>
    <commentChains s:ref="AI257" rgbClr="FF0000">
      <unresolved>
        <commentChain chainId="e63c0abffc3f1063ea24ffde6e6cdc1401d9cefb">
          <item id="d51b20ff81cd0a7fa311abf62266ad3d2e207685" userID="1850010794" userName="龙丽娟" dateTime="2026-06-11T05:51:27" isNormal="0">
            <s:text>
              <s:r>
                <s:t xml:space="preserve">6/2 上upc贴纸720pcs</s:t>
              </s:r>
            </s:text>
          </item>
        </commentChain>
      </unresolved>
      <resolved/>
    </commentChains>
    <commentChains s:ref="AI259" rgbClr="FF0000">
      <unresolved>
        <commentChain chainId="7b0eef53917e5c274312ce630d70ff59b2e00d78">
          <item id="f9eebabb0545377b73e89f32b758c67aa3bd5d5f" userID="1850010794" userName="龙丽娟" dateTime="2026-07-06T11:23:39" isNormal="0">
            <s:text>
              <s:r>
                <s:t xml:space="preserve">6/27上产品墨西哥进口商贴纸8640pcs</s:t>
              </s:r>
            </s:text>
          </item>
        </commentChain>
      </unresolved>
      <resolved/>
    </commentChains>
    <commentChains s:ref="AQ259" rgbClr="FF0000">
      <unresolved>
        <commentChain chainId="e6f221f06cc5ba12415c1ddb9304ed49a3b7463c">
          <item id="368f1656824f53ad42d4e4c001bcfad5d971593e" isNormal="1">
            <s:text>
              <s:r>
                <s:t xml:space="preserve">RR:
新客版资料</s:t>
              </s:r>
            </s:text>
          </item>
        </commentChain>
      </unresolved>
      <resolved/>
    </commentChains>
    <commentChains s:ref="AR259" rgbClr="FF0000">
      <unresolved>
        <commentChain chainId="09548755fc2f8c91bbb5b385b725e42e449d0dc9">
          <item id="06bc6d8e1a42567dcd0812f35fcfcdbdf26fba12" isNormal="1">
            <s:text>
              <s:r>
                <s:t xml:space="preserve">RR:
新客版资料</s:t>
              </s:r>
            </s:text>
          </item>
        </commentChain>
      </unresolved>
      <resolved/>
    </commentChains>
    <commentChains s:ref="AS259" rgbClr="FF0000">
      <unresolved>
        <commentChain chainId="3dfc9a7597dc0ef67c40e08f445d86f99c113845">
          <item id="0a4bc5a7bbb828fc434973588cdf79208e49aeff" isNormal="1">
            <s:text>
              <s:r>
                <s:t xml:space="preserve">RR:
新客版资料</s:t>
              </s:r>
            </s:text>
          </item>
        </commentChain>
      </unresolved>
      <resolved/>
    </commentChains>
    <commentChains s:ref="AG260" rgbClr="FF0000">
      <unresolved>
        <commentChain chainId="02edd071dc478d358cf186e7f5cde92748c27756">
          <item id="55249b905a9f24093367b67d7ddcb4e098dd1695" userID="1850010794" userName="龙丽娟" dateTime="2026-07-17T08:17:27" isNormal="0">
            <s:text>
              <s:r>
                <s:t xml:space="preserve">1000175 7/1 730pcs</s:t>
              </s:r>
            </s:text>
          </item>
          <item id="f8dbd010da10b3ff4788209dcf63baed118b7446" userID="1850010794" userName="龙丽娟" dateTime="2026-07-17T08:17:39" isNormal="0">
            <s:text>
              <s:r>
                <s:t xml:space="preserve">300287 7/10 1136pcs</s:t>
              </s:r>
            </s:text>
          </item>
          <item id="115a11904e92e9116b40e6b4cf43cf4bd53ae882" userID="1850010794" userName="龙丽娟" dateTime="2026-07-17T08:17:50" isNormal="0">
            <s:text>
              <s:r>
                <s:t xml:space="preserve">3003044 7/14 564pcs</s:t>
              </s:r>
            </s:text>
          </item>
        </commentChain>
      </unresolved>
      <resolved/>
    </commentChains>
    <commentChains s:ref="AG264" rgbClr="FF0000">
      <unresolved>
        <commentChain chainId="5a79afcb9b43d32036137d4f010dd51e38ec4677">
          <item id="7a69732cceef248baa93bfaa126c6447c6ce33b4" userID="1850010794" userName="龙丽娟" dateTime="2026-08-07T13:22:27" isNormal="0">
            <s:text>
              <s:r>
                <s:t xml:space="preserve">3003918 8/7 192pcs</s:t>
              </s:r>
            </s:text>
          </item>
        </commentChain>
      </unresolved>
      <resolved/>
    </commentChains>
    <commentChains s:ref="AG266" rgbClr="FF0000">
      <unresolved>
        <commentChain chainId="04f4f0d91e1c0edf0817fd4916d4ca3f9e2620a2">
          <item id="a72e8fbd68ec9174825d9efdb8823a24fe2377aa" userID="1850010794" userName="龙丽娟" dateTime="2026-06-25T07:14:04" isNormal="0">
            <s:text>
              <s:r>
                <s:t xml:space="preserve">6/23 88pcs欣泰c6</s:t>
              </s:r>
            </s:text>
          </item>
        </commentChain>
      </unresolved>
      <resolved/>
    </commentChains>
    <commentChains s:ref="AI266" rgbClr="FF0000">
      <unresolved>
        <commentChain chainId="536e760ae4aba961e2a45ee93a27dddd4731e937">
          <item id="d4b84417dac496c20d4d46a7e8fea8242ec51b77" userID="1850010794" userName="龙丽娟" dateTime="2026-06-22T06:22:27" isNormal="0">
            <s:text>
              <s:r>
                <s:t xml:space="preserve">6/10上白色防盗贴纸88pcs</s:t>
              </s:r>
            </s:text>
          </item>
        </commentChain>
      </unresolved>
      <resolved/>
    </commentChains>
    <commentChains s:ref="AG267" rgbClr="FF0000">
      <unresolved>
        <commentChain chainId="3a25b5e899a7a4b8b42198347fd7eee077a58606">
          <item id="646d488a091a23a6ee016116c1ce6ef9f4e60375" userID="1850010794" userName="龙丽娟" dateTime="2026-06-25T07:14:36" isNormal="0">
            <s:text>
              <s:r>
                <s:t xml:space="preserve">6/23欣泰c6 1416pcs</s:t>
              </s:r>
            </s:text>
          </item>
        </commentChain>
      </unresolved>
      <resolved/>
    </commentChains>
    <commentChains s:ref="AI267" rgbClr="FF0000">
      <unresolved>
        <commentChain chainId="4c97882b74be096b933a6e532da22e421c7e6ca8">
          <item id="66bb46f5a47a1b488263b643e8418603aa3bed8d" userID="1850010794" userName="龙丽娟" dateTime="2026-06-22T06:22:32" isNormal="0">
            <s:text>
              <s:r>
                <s:t xml:space="preserve">6/10上白色防盗贴纸1416pcs</s:t>
              </s:r>
            </s:text>
          </item>
        </commentChain>
      </unresolved>
      <resolved/>
    </commentChains>
    <commentChains s:ref="AG268" rgbClr="FF0000">
      <unresolved>
        <commentChain chainId="b0de58a1d7ab2844879b08c6f6a9a91452f088b6">
          <item id="42b94f97e6611867350ba00610755662ddd00487" userID="1850010794" userName="龙丽娟" dateTime="2026-06-23T05:36:16" isNormal="0">
            <s:text>
              <s:r>
                <s:t xml:space="preserve">6/20 1000062 160pcs欣泰c4</s:t>
              </s:r>
            </s:text>
          </item>
        </commentChain>
      </unresolved>
      <resolved/>
    </commentChains>
    <commentChains s:ref="AG269" rgbClr="FF0000">
      <unresolved>
        <commentChain chainId="daaac8c94ee05789dc8ba4fcb7c4ff1dccf52e29">
          <item id="b23b156401224117a6bf457d533e54b4f363ebac" userID="1850010794" userName="龙丽娟" dateTime="2026-06-23T05:36:31" isNormal="0">
            <s:text>
              <s:r>
                <s:t xml:space="preserve">6/20 1000062 152pcs欣泰c3</s:t>
              </s:r>
            </s:text>
          </item>
        </commentChain>
      </unresolved>
      <resolved/>
    </commentChains>
    <commentChains s:ref="AG270" rgbClr="FF0000">
      <unresolved>
        <commentChain chainId="b5415909c3528df9438c4ce8a81d9616c18f1bcb">
          <item id="e38268eda64cc64bc16f790da947bac98cd6f787" userID="1850010794" userName="龙丽娟" dateTime="2026-06-26T13:20:38" isNormal="0">
            <s:text>
              <s:r>
                <s:t xml:space="preserve">6/24 2201157 5000pcs欣泰A2</s:t>
              </s:r>
            </s:text>
          </item>
        </commentChain>
      </unresolved>
      <resolved/>
    </commentChains>
    <commentChains s:ref="AG271" rgbClr="FF0000">
      <unresolved>
        <commentChain chainId="5345ae7bd6edeb64ad5758bee3a19846ce46849c">
          <item id="9ae4b397f0eb7a04dfcc31cb905fade23cda6928" userID="1850010794" userName="龙丽娟" dateTime="2026-06-26T13:20:00" isNormal="0">
            <s:text>
              <s:r>
                <s:t xml:space="preserve">6/24 2200925 400pcs顶均c3</s:t>
              </s:r>
            </s:text>
          </item>
        </commentChain>
      </unresolved>
      <resolved/>
    </commentChains>
    <commentChains s:ref="AG272" rgbClr="FF0000">
      <unresolved>
        <commentChain chainId="69772c23ba74368e1909f542b32a0e51f8497a00">
          <item id="58f5505dc21cfd4f4a58ace62466beeec0acf0ec" userID="1850010794" userName="龙丽娟" dateTime="2026-06-25T07:09:47" isNormal="0">
            <s:text>
              <s:r>
                <s:t xml:space="preserve">6/23顶均a5</s:t>
              </s:r>
            </s:text>
          </item>
        </commentChain>
      </unresolved>
      <resolved/>
    </commentChains>
    <commentChains s:ref="AG273" rgbClr="FF0000">
      <unresolved>
        <commentChain chainId="f7aaf617a213e5f2b7a0db6244ceb99b7f306402">
          <item id="aadccc01eff777093a88d70b2701367beac9bb36" userID="1850010794" userName="龙丽娟" dateTime="2026-07-02T13:03:36" isNormal="0">
            <s:text>
              <s:r>
                <s:t xml:space="preserve">6/25 1856pcs欣泰c4</s:t>
              </s:r>
            </s:text>
          </item>
        </commentChain>
      </unresolved>
      <resolved/>
    </commentChains>
    <commentChains s:ref="AG274" rgbClr="FF0000">
      <unresolved>
        <commentChain chainId="2df7f2179816585f6915d7ba8e115a92412d3641">
          <item id="d6fbd996e32c8f1b1696494c4e92eeddf5a4bbb6" userID="1850010794" userName="龙丽娟" dateTime="2026-07-02T13:05:32" isNormal="0">
            <s:text>
              <s:r>
                <s:t xml:space="preserve">6/25 2201165 928pcs欣泰c4</s:t>
              </s:r>
            </s:text>
          </item>
        </commentChain>
      </unresolved>
      <resolved/>
    </commentChains>
    <commentChains s:ref="AG275" rgbClr="FF0000">
      <unresolved>
        <commentChain chainId="0acc35a9c49020aa53b1db268fbfb8a8c8584bf9">
          <item id="59d201ca6b92b6b86721527c1a23b5f5d4604888" userID="1850010794" userName="龙丽娟" dateTime="2026-07-02T13:06:16" isNormal="0">
            <s:text>
              <s:r>
                <s:t xml:space="preserve">6/25 2201165 2320pcs欣泰c4</s:t>
              </s:r>
            </s:text>
          </item>
          <item id="9e1569919fbdd20ffc34960ec629dfeee6c8c045" userID="1850010794" userName="龙丽娟" dateTime="2026-07-06T01:14:47" isNormal="0">
            <s:text>
              <s:r>
                <s:t xml:space="preserve">7/6 2201214 16pcs</s:t>
              </s:r>
            </s:text>
          </item>
        </commentChain>
      </unresolved>
      <resolved/>
    </commentChains>
    <commentChains s:ref="AG276" rgbClr="FF0000">
      <unresolved>
        <commentChain chainId="a535fb400177022ba0b0154e9efaf5424ed65a96">
          <item id="bc898d728b5ac6fe21fc248caf803c46797db679" userID="1850010794" userName="龙丽娟" dateTime="2026-07-04T09:14:05" isNormal="0">
            <s:text>
              <s:r>
                <s:t xml:space="preserve">7/1 2201024 8512pcs欣泰B7</s:t>
              </s:r>
            </s:text>
          </item>
        </commentChain>
      </unresolved>
      <resolved/>
    </commentChains>
    <commentChains s:ref="AG277" rgbClr="FF0000">
      <unresolved>
        <commentChain chainId="7dd97ef649c6dc0f7507134867681aaafcb42f6e">
          <item id="fb0ef2d5d01f694d3c2609b4ab81730bde2b1948" userID="1850010794" userName="龙丽娟" dateTime="2026-07-03T01:53:20" isNormal="0">
            <s:text>
              <s:r>
                <s:t xml:space="preserve">6/30 1000204 1664pcs顶A15</s:t>
              </s:r>
            </s:text>
          </item>
        </commentChain>
      </unresolved>
      <resolved/>
    </commentChains>
    <commentChains s:ref="AI277" rgbClr="FF0000">
      <unresolved>
        <commentChain chainId="539188b6d649047e2fb4cfdd93ed508932f268fb">
          <item id="d3c6ef33a628a4c7d82fbb1b3798d22cfcbde9f4" userID="1850010794" userName="龙丽娟" dateTime="2026-06-22T06:27:09" isNormal="0">
            <s:text>
              <s:r>
                <s:t xml:space="preserve">6/10上家乐福外箱贴纸416pcs</s:t>
              </s:r>
            </s:text>
          </item>
        </commentChain>
      </unresolved>
      <resolved/>
    </commentChains>
    <commentChains s:ref="AG278" rgbClr="FF0000">
      <unresolved>
        <commentChain chainId="531c7f7b4ddd4bd11341ec10f146eb685987be86">
          <item id="d11af141fac8b960782e331a3fc26764448f1472" userID="1850010794" userName="龙丽娟" dateTime="2026-07-03T01:53:29" isNormal="0">
            <s:text>
              <s:r>
                <s:t xml:space="preserve">6/30 1000204 2304pcs顶A15</s:t>
              </s:r>
            </s:text>
          </item>
        </commentChain>
      </unresolved>
      <resolved/>
    </commentChains>
    <commentChains s:ref="AI278" rgbClr="FF0000">
      <unresolved>
        <commentChain chainId="25a02c4c5db50bf88fa67eafe25823f2cf5d8aaa">
          <item id="bddaa14382010d7c2808cafb7808a2813ea831ef" userID="1850010794" userName="龙丽娟" dateTime="2026-06-22T06:27:09" isNormal="0">
            <s:text>
              <s:r>
                <s:t xml:space="preserve">6/10上家乐福外箱贴纸416pcs</s:t>
              </s:r>
            </s:text>
          </item>
        </commentChain>
      </unresolved>
      <resolved/>
    </commentChains>
    <commentChains s:ref="AG279" rgbClr="FF0000">
      <unresolved>
        <commentChain chainId="7b37254e1c59736b428bd4a65077cb8d23b889a2">
          <item id="6fcca3cd725592c462e3573708310bc17b3639c8" userID="1850010794" userName="龙丽娟" dateTime="2026-07-01T13:42:38" isNormal="0">
            <s:text>
              <s:r>
                <s:t xml:space="preserve">1000332 6/27 3600pcs 欣泰仓库一楼A4
</s:t>
              </s:r>
            </s:text>
          </item>
        </commentChain>
      </unresolved>
      <resolved/>
    </commentChains>
    <commentChains s:ref="AI279" rgbClr="FF0000">
      <unresolved>
        <commentChain chainId="72faf3dbeebd7f40d2e8b3385b38e18b7cd998d6">
          <item id="9164626416d02f2064cf401f7ea2fe967ac02a0c" isNormal="1">
            <s:text>
              <s:r>
                <s:t xml:space="preserve">Administrator:
3/18 上UPC贴纸 3600pcs</s:t>
              </s:r>
            </s:text>
          </item>
        </commentChain>
      </unresolved>
      <resolved/>
    </commentChains>
    <commentChains s:ref="AG280" rgbClr="FF0000">
      <unresolved>
        <commentChain chainId="7e37e9794318c63c70a684e467e85171c07d2b57">
          <item id="d6693a53bb7cb73f7ebcd6c8cedff121bb9cf3b4" userID="1850010794" userName="龙丽娟" dateTime="2026-07-14T13:21:50" isNormal="0">
            <s:text>
              <s:r>
                <s:t xml:space="preserve">7/8 2201243 368pcs欣泰c5</s:t>
              </s:r>
            </s:text>
          </item>
        </commentChain>
      </unresolved>
      <resolved/>
    </commentChains>
    <commentChains s:ref="AI280" rgbClr="FF0000">
      <unresolved>
        <commentChain chainId="1159978df7e2a9b9254ec213e7b9c4eb698eb35e">
          <item id="4b4c68de8131a2e1b0de3bce7d0b835cc88aac45" isNormal="1">
            <s:text>
              <s:r>
                <s:t xml:space="preserve">Administrator:
5/16 上通用进口商贴纸504pcs</s:t>
              </s:r>
            </s:text>
          </item>
        </commentChain>
      </unresolved>
      <resolved/>
    </commentChains>
    <commentChains s:ref="AG281" rgbClr="FF0000">
      <unresolved>
        <commentChain chainId="5dd88f5bc973438349fac794f12c5d67dfcb1ef1">
          <item id="7b5da4635d2d8270ad2cfa4326e303d407115dc6" userID="1850010794" userName="龙丽娟" dateTime="2026-07-14T14:15:01" isNormal="0">
            <s:text>
              <s:r>
                <s:t xml:space="preserve">7/4 2201214 2128pcs欣泰A1</s:t>
              </s:r>
            </s:text>
          </item>
        </commentChain>
      </unresolved>
      <resolved/>
    </commentChains>
    <commentChains s:ref="AG282" rgbClr="FF0000">
      <unresolved>
        <commentChain chainId="bb10f929b6a63a77c4b53c8f1c644201a491c5df">
          <item id="cb9dacd47411ef8d0c91256a4ea626dfd2d9f684" userID="1850010794" userName="龙丽娟" dateTime="2026-06-24T07:02:10" isNormal="0">
            <s:text>
              <s:r>
                <s:t xml:space="preserve">6/22 1000600  8000pcs顶均A11</s:t>
              </s:r>
            </s:text>
          </item>
        </commentChain>
      </unresolved>
      <resolved/>
    </commentChains>
    <commentChains s:ref="AI282" rgbClr="FF0000">
      <unresolved>
        <commentChain chainId="921bbe00a3035ce02f5d133c15d80249ca85da34">
          <item id="cfc612124fc7845340e6255cef961f1d127059ec" userID="1850010794" userName="龙丽娟" dateTime="2026-07-12T11:14:05" isNormal="0">
            <s:text>
              <s:r>
                <s:t xml:space="preserve">7/4上价格贴纸16000pcs</s:t>
              </s:r>
            </s:text>
          </item>
        </commentChain>
      </unresolved>
      <resolved/>
    </commentChains>
    <commentChains s:ref="AG283" rgbClr="FF0000">
      <unresolved>
        <commentChain chainId="3ea554905428a6b4fdbe6a74b8bf9a2cf1563812">
          <item id="841dad2cf05c5edcee0b4ba984eabc9c0a5c2631" userID="1850010794" userName="龙丽娟" dateTime="2026-06-24T07:01:45" isNormal="0">
            <s:text>
              <s:r>
                <s:t xml:space="preserve">6/22 1000600  2000pcs顶均A13</s:t>
              </s:r>
            </s:text>
          </item>
        </commentChain>
      </unresolved>
      <resolved/>
    </commentChains>
    <commentChains s:ref="AG284" rgbClr="FF0000">
      <unresolved>
        <commentChain chainId="c01cc175242a53733afb7b15fb2e20db6770eba2">
          <item id="49b406cae4239f63b8ae473fb8dfc05634b37511" userID="1850010794" userName="龙丽娟" dateTime="2026-07-04T06:46:12" isNormal="0">
            <s:text>
              <s:r>
                <s:t xml:space="preserve">6/27 201657 8800pcs顶均B7</s:t>
              </s:r>
            </s:text>
          </item>
        </commentChain>
      </unresolved>
      <resolved/>
    </commentChains>
    <commentChains s:ref="AG285" rgbClr="FF0000">
      <unresolved>
        <commentChain chainId="7edc6a63f886a2364e937d85595bde6d1d84a404">
          <item id="ea6e89182bb8898373a05a36d561dba3fd3abacf" userID="1850010794" userName="龙丽娟" dateTime="2026-07-14T13:14:00" isNormal="0">
            <s:text>
              <s:r>
                <s:t xml:space="preserve">7/9 2201266 224pcs欣泰c1</s:t>
              </s:r>
            </s:text>
          </item>
        </commentChain>
      </unresolved>
      <resolved/>
    </commentChains>
    <commentChains s:ref="AG291" rgbClr="FF0000">
      <unresolved>
        <commentChain chainId="a6d8443ba31be9522918f1ab25911275c485f8ad">
          <item id="8a30c86be8c73a7e72adc4a747b8fc2b410910ef" userID="1850010794" userName="龙丽娟" dateTime="2026-07-01T13:33:41" isNormal="0">
            <s:text>
              <s:r>
                <s:t xml:space="preserve">2201003 6/30 780pcs</s:t>
              </s:r>
            </s:text>
          </item>
        </commentChain>
      </unresolved>
      <resolved/>
    </commentChains>
    <commentChains s:ref="AI291" rgbClr="FF0000">
      <unresolved>
        <commentChain chainId="56d920d7b5ecdd273555832d448bb8d6e2387a46">
          <item id="61dd67d44a4d337f337770a00bc09172b382d94a" userID="1850010794" userName="龙丽娟" dateTime="2026-06-17T10:54:30" isNormal="0">
            <s:text>
              <s:r>
                <s:t xml:space="preserve">6/16上客供RFID贴纸7680pcs</s:t>
              </s:r>
            </s:text>
          </item>
        </commentChain>
      </unresolved>
      <resolved/>
    </commentChains>
    <commentChains s:ref="AG292" rgbClr="FF0000">
      <unresolved>
        <commentChain chainId="254491cb2335d220a8614f3717bee90ed6959e41">
          <item id="17879975d4aa2c5d68e4f5e6e52e72a33c428b4d" userID="1850010794" userName="龙丽娟" dateTime="2026-07-01T13:34:02" isNormal="0">
            <s:text>
              <s:r>
                <s:t xml:space="preserve">2200988 6/30 9216pcs</s:t>
              </s:r>
            </s:text>
          </item>
        </commentChain>
      </unresolved>
      <resolved/>
    </commentChains>
    <commentChains s:ref="AI292" rgbClr="FF0000">
      <unresolved>
        <commentChain chainId="72e0de1f01970dca774414ff04ef987d02905dbb">
          <item id="a477ba5733192fde1d06d60c06945af75e04491b" userID="1850010794" userName="龙丽娟" dateTime="2026-06-17T10:56:41" isNormal="0">
            <s:text>
              <s:r>
                <s:t xml:space="preserve">6/16上客供RFID贴纸9216pcs</s:t>
              </s:r>
            </s:text>
          </item>
        </commentChain>
      </unresolved>
      <resolved/>
    </commentChains>
    <commentChains s:ref="AG293" rgbClr="FF0000">
      <unresolved>
        <commentChain chainId="36f2ee1dd851a23dd31982642a38aea6ea15561c">
          <item id="cdc8d4444b6ddef767951f3c19f73a5484ced010" userID="1850010794" userName="龙丽娟" dateTime="2026-07-01T13:30:45" isNormal="0">
            <s:text>
              <s:r>
                <s:t xml:space="preserve">2200988 6/30 3840PCS</s:t>
              </s:r>
            </s:text>
          </item>
          <item id="572d39ebf942b6e0e6048cfd1c20d9d98fdff49f" userID="1850010794" userName="龙丽娟" dateTime="2026-07-01T13:33:24" isNormal="0">
            <s:text>
              <s:r>
                <s:t xml:space="preserve">2201003 6/30 3840pcs</s:t>
              </s:r>
            </s:text>
          </item>
        </commentChain>
      </unresolved>
      <resolved/>
    </commentChains>
    <commentChains s:ref="AI293" rgbClr="FF0000">
      <unresolved>
        <commentChain chainId="2201040523f158916986ad8d8eff63a3d561fd59">
          <item id="6726fe93ff0e832531f100804246d5b79b323f36" userID="1850010794" userName="龙丽娟" dateTime="2026-06-17T10:54:30" isNormal="0">
            <s:text>
              <s:r>
                <s:t xml:space="preserve">6/16上客供RFID贴纸7680pcs</s:t>
              </s:r>
            </s:text>
          </item>
        </commentChain>
      </unresolved>
      <resolved/>
    </commentChains>
    <commentChains s:ref="AG294" rgbClr="FF0000">
      <unresolved>
        <commentChain chainId="581eeb36d165c4699ba852940a03cf540e0cde11">
          <item id="3403cb4beb77da417c155d8e800a6d23cc1d0df3" userID="1850010794" userName="龙丽娟" dateTime="2026-07-04T06:37:41" isNormal="0">
            <s:text>
              <s:r>
                <s:t xml:space="preserve">6/27 2200966 6464pcs顶均A1</s:t>
              </s:r>
            </s:text>
          </item>
        </commentChain>
      </unresolved>
      <resolved/>
    </commentChains>
    <commentChains s:ref="AG295" rgbClr="FF0000">
      <unresolved>
        <commentChain chainId="02b1d62866e8fb8a0d6081807b6f8c55956f4920">
          <item id="81b206a27919fa887f060610144290fc68ac0db2" userID="1850010794" userName="龙丽娟" dateTime="2026-07-04T06:37:58" isNormal="0">
            <s:text>
              <s:r>
                <s:t xml:space="preserve">6/27 2200966 6544pcs顶均A1</s:t>
              </s:r>
            </s:text>
          </item>
        </commentChain>
      </unresolved>
      <resolved/>
    </commentChains>
    <commentChains s:ref="AG296" rgbClr="FF0000">
      <unresolved>
        <commentChain chainId="7657fcf81d8407fb20b5c6ed6d8368e66a385d34">
          <item id="a45a1ac0d59bdb662c4838ba8ae8ecd5f69be514" userID="1850010794" userName="龙丽娟" dateTime="2026-06-25T07:16:57" isNormal="0">
            <s:text>
              <s:r>
                <s:t xml:space="preserve">欣泰c26/23 5192pcs</s:t>
              </s:r>
            </s:text>
          </item>
        </commentChain>
      </unresolved>
      <resolved/>
    </commentChains>
    <commentChains s:ref="AI297" rgbClr="FF0000">
      <unresolved>
        <commentChain chainId="0f75166785f5828ec1732ebbb4c389a33913cc1f">
          <item id="a59ba33e8edd6275359b193729e02e7bdea0f325" userID="1850010794" userName="龙丽娟" dateTime="2026-06-29T05:40:54" isNormal="0">
            <s:text>
              <s:r>
                <s:t xml:space="preserve">6/25 上客供ASN/客供HU/客供HU;S(条形码）贴纸各13pcs</s:t>
              </s:r>
            </s:text>
          </item>
          <item id="52c09c0ac7b3649cab78029764d6fb206d22e843" userID="1850010794" userName="龙丽娟" dateTime="2026-07-19T07:53:06" isNormal="0">
            <s:text>
              <s:r>
                <s:t xml:space="preserve">7/12上进口商贴纸/说明书贴纸各208/pcs</s:t>
              </s:r>
            </s:text>
          </item>
          <item id="1734e272ca2c61f701dd88b642de99f15583818a" userID="1850010794" userName="龙丽娟" dateTime="2026-07-21T08:38:22" isNormal="0">
            <s:text>
              <s:r>
                <s:t xml:space="preserve">7/10 上价格 贴纸  208pcs</s:t>
              </s:r>
            </s:text>
          </item>
        </commentChain>
      </unresolved>
      <resolved/>
    </commentChains>
    <commentChains s:ref="AG298" rgbClr="FF0000">
      <unresolved>
        <commentChain chainId="4475779e70647e03d58b1d658de22425d4f4f5a7">
          <item id="fe3981940b5345a454f38a1d7c092bd6936848ab" userID="1850010794" userName="龙丽娟" dateTime="2026-07-04T09:14:32" isNormal="0">
            <s:text>
              <s:r>
                <s:t xml:space="preserve">7/1 2201024 7376pcs欣泰b7</s:t>
              </s:r>
            </s:text>
          </item>
        </commentChain>
      </unresolved>
      <resolved/>
    </commentChains>
    <commentChains s:ref="AG299" rgbClr="FF0000">
      <unresolved>
        <commentChain chainId="f8631d8b06324dc16fc79ce3a85cde2ab3aa9ea6">
          <item id="c1659cc85ac966388ff7b42aed0c0a1361602477" userID="1850010794" userName="龙丽娟" dateTime="2026-07-09T07:54:51" isNormal="0">
            <s:text>
              <s:r>
                <s:t xml:space="preserve">2201240 7/7 6400pcs直走</s:t>
              </s:r>
            </s:text>
          </item>
        </commentChain>
      </unresolved>
      <resolved/>
    </commentChains>
    <commentChains s:ref="AI299" rgbClr="FF0000">
      <unresolved>
        <commentChain chainId="0c2f2a5f45278f7523f291c91c38ad00b12e536e">
          <item id="aec16d9a15ae3a929a9241fd53e5d519db9e5c25" userID="1850010794" userName="龙丽娟" dateTime="2026-06-17T11:05:23" isNormal="0">
            <s:text>
              <s:r>
                <s:t xml:space="preserve">6/17上UPC贴纸/进口商贴纸/产品贴纸/说明书贴纸各6400pcs</s:t>
              </s:r>
            </s:text>
          </item>
        </commentChain>
      </unresolved>
      <resolved/>
    </commentChains>
    <commentChains s:ref="AG300" rgbClr="FF0000">
      <unresolved>
        <commentChain chainId="244c60aa428d01c07dd68d1f611590992a3cd002">
          <item id="026648776ab33ba73ebed516f05a328bddfd7401" userID="1850010794" userName="龙丽娟" dateTime="2026-07-09T07:55:16" isNormal="0">
            <s:text>
              <s:r>
                <s:t xml:space="preserve">2201228 7/6 664pcs欣泰D4</s:t>
              </s:r>
            </s:text>
          </item>
        </commentChain>
      </unresolved>
      <resolved/>
    </commentChains>
    <commentChains s:ref="AG303" rgbClr="FF0000">
      <unresolved>
        <commentChain chainId="2c13842f7c0fbbb2e9234d8d8829e21fdc507687">
          <item id="9981f6eaef60c2e95529eade4bdc724024b0bd33" userID="1850010794" userName="龙丽娟" dateTime="2026-07-09T07:55:55" isNormal="0">
            <s:text>
              <s:r>
                <s:t xml:space="preserve">2201211 7/3 120pcs顶均B1</s:t>
              </s:r>
            </s:text>
          </item>
        </commentChain>
      </unresolved>
      <resolved/>
    </commentChains>
    <commentChains s:ref="AI303" rgbClr="FF0000">
      <unresolved>
        <commentChain chainId="d1248f01edf9717776cc27d476517560d96186e3">
          <item id="602dae2f2b45d93be6faba8258438a122eea4525" userID="1850010794" userName="龙丽娟" dateTime="2026-06-22T13:33:31" isNormal="0">
            <s:text>
              <s:r>
                <s:t xml:space="preserve">6/22上多语警语折叠贴纸120pcs</s:t>
              </s:r>
            </s:text>
          </item>
        </commentChain>
      </unresolved>
      <resolved/>
    </commentChains>
    <commentChains s:ref="AG304" rgbClr="FF0000">
      <unresolved>
        <commentChain chainId="03264a4c6b5ea462ade774543c64a68224129f47">
          <item id="997ec9e2ae91d85035e3e104b277f39fd9803f3e" userID="1850010794" userName="龙丽娟" dateTime="2026-07-14T13:43:00" isNormal="0">
            <s:text>
              <s:r>
                <s:t xml:space="preserve">7/4 3002518 1600pcs欣泰c6</s:t>
              </s:r>
            </s:text>
          </item>
        </commentChain>
      </unresolved>
      <resolved/>
    </commentChains>
    <commentChains s:ref="AI304" rgbClr="FF0000">
      <unresolved>
        <commentChain chainId="8e3dbcfdaeee0131cab6be4780f4e3bb316eafce">
          <item id="c1e39df7f4b32dd401bc290121956dbd9c2c82de" userID="1850010794" userName="龙丽娟" dateTime="2026-06-22T12:52:16" isNormal="0">
            <s:text>
              <s:r>
                <s:t xml:space="preserve">6/22上pdq底部贴纸100pcs</s:t>
              </s:r>
            </s:text>
          </item>
        </commentChain>
      </unresolved>
      <resolved/>
    </commentChains>
    <commentChains s:ref="AG305" rgbClr="FF0000">
      <unresolved>
        <commentChain chainId="42c9918bc50a14a05e452907c9fbaed7602daec5">
          <item id="b790340d4f1cca603d52958787a6435cd5ad8f35" userID="1850010794" userName="龙丽娟" dateTime="2026-07-22T11:42:53" isNormal="0">
            <s:text>
              <s:r>
                <s:t xml:space="preserve">7/20 1001838 1644pcs钜顺c4</s:t>
              </s:r>
            </s:text>
          </item>
        </commentChain>
      </unresolved>
      <resolved/>
    </commentChains>
    <commentChains s:ref="AI305" rgbClr="FF0000">
      <unresolved>
        <commentChain chainId="286815d72b4139f0f747b3d04caf70f1c41b918e">
          <item id="56fa1ee7984920f20627d96bd10582d35cd16a7a" userID="1850010794" userName="龙丽娟" dateTime="2026-06-17T11:07:21" isNormal="0">
            <s:text>
              <s:r>
                <s:t xml:space="preserve">6/17上产品贴纸10008pcs</s:t>
              </s:r>
            </s:text>
          </item>
          <item id="0e316949f3ea1a9d900372af55be212d064c6309" userID="1850010794" userName="龙丽娟" dateTime="2026-06-17T11:21:00" isNormal="0">
            <s:text>
              <s:r>
                <s:t xml:space="preserve">6/17上空白贴纸2004pcs</s:t>
              </s:r>
            </s:text>
          </item>
          <item id="66583af7e1a176c72c1f729b4b91baa40d4cb8b2" userID="1850010794" userName="龙丽娟" dateTime="2026-07-23T12:31:24" isNormal="0">
            <s:text>
              <s:r>
                <s:t xml:space="preserve">7/18意/希wee说明书3000pcs</s:t>
              </s:r>
            </s:text>
          </item>
        </commentChain>
      </unresolved>
      <resolved/>
    </commentChains>
    <commentChains s:ref="AI306" rgbClr="FF0000">
      <unresolved>
        <commentChain chainId="102e2df121fb74996d798ec2083bc0685b9cda2d">
          <item id="0c4bf20750e1feb1c6901b2ad36413f133f38e30" userID="1850010794" userName="龙丽娟" dateTime="2026-06-17T11:07:21" isNormal="0">
            <s:text>
              <s:r>
                <s:t xml:space="preserve">6/17上产品贴纸10008pcs</s:t>
              </s:r>
            </s:text>
          </item>
          <item id="fa6dddc8a913e98d5544438187f3f62045c505f6" userID="1850010794" userName="龙丽娟" dateTime="2026-06-17T11:21:28" isNormal="0">
            <s:text>
              <s:r>
                <s:t xml:space="preserve">6/17上空白贴纸3000pcs</s:t>
              </s:r>
            </s:text>
          </item>
        </commentChain>
      </unresolved>
      <resolved/>
    </commentChains>
    <commentChains s:ref="AI307" rgbClr="FF0000">
      <unresolved>
        <commentChain chainId="72652419ab9662ac807845d924e5a344f9daab96">
          <item id="9e0e4e9cf6b2599be0f7a097fadc7f0ab1a5be4e" userID="1850010794" userName="龙丽娟" dateTime="2026-07-21T08:42:50" isNormal="0">
            <s:text>
              <s:r>
                <s:t xml:space="preserve">7/15 上大白方防盗贴纸 1248pcs
         上小黄圆防盗贴纸 1248pcs</s:t>
              </s:r>
            </s:text>
          </item>
        </commentChain>
      </unresolved>
      <resolved/>
    </commentChains>
    <commentChains s:ref="AQ313" rgbClr="FF0000">
      <unresolved>
        <commentChain chainId="f8b4708e643ab7a71aa1a6d91d1992f2c42a41e5">
          <item id="b3fe4f60d2d7a87944df6fcbf54c84076a253e28" isNormal="1">
            <s:text>
              <s:r>
                <s:t xml:space="preserve">RR:
新客版资料</s:t>
              </s:r>
            </s:text>
          </item>
        </commentChain>
      </unresolved>
      <resolved/>
    </commentChains>
    <commentChains s:ref="AR313" rgbClr="FF0000">
      <unresolved>
        <commentChain chainId="65bff33623c9f7d90c502d80e51c7af48909c933">
          <item id="b0887944355662b3990b0e3e6b3d3bfdcbd454c5" isNormal="1">
            <s:text>
              <s:r>
                <s:t xml:space="preserve">RR:
新客版资料</s:t>
              </s:r>
            </s:text>
          </item>
        </commentChain>
      </unresolved>
      <resolved/>
    </commentChains>
    <commentChains s:ref="AS313" rgbClr="FF0000">
      <unresolved>
        <commentChain chainId="bc61926cb4cdf3f0f0d60004b1b948a5ebfec646">
          <item id="dec37e76130036bff98f2151ffce3c5f7013a62a" isNormal="1">
            <s:text>
              <s:r>
                <s:t xml:space="preserve">RR:
新客版资料</s:t>
              </s:r>
            </s:text>
          </item>
        </commentChain>
      </unresolved>
      <resolved/>
    </commentChains>
    <commentChains s:ref="AG315" rgbClr="FF0000">
      <unresolved>
        <commentChain chainId="2fe9f7a388d2da8ea63393cee0527e503b42d410">
          <item id="027a0890f78e0dae5e0fe659b3a4084bf4c6fbb2" userID="1850010794" userName="龙丽娟" dateTime="2026-07-09T07:59:37" isNormal="0">
            <s:text>
              <s:r>
                <s:t xml:space="preserve">1000151 7/3 1400pcs顶均B4</s:t>
              </s:r>
            </s:text>
          </item>
        </commentChain>
      </unresolved>
      <resolved/>
    </commentChains>
    <commentChains s:ref="AG316" rgbClr="FF0000">
      <unresolved>
        <commentChain chainId="dee6c2471fe1a1b419bb2af460f3be478ecc6c8a">
          <item id="21aa33b00517a716629df5d4703d29607abacefe" userID="1850010794" userName="龙丽娟" dateTime="2026-07-14T14:18:49" isNormal="0">
            <s:text>
              <s:r>
                <s:t xml:space="preserve">1000151 7/3 104pcs顶均A7</s:t>
              </s:r>
            </s:text>
          </item>
        </commentChain>
      </unresolved>
      <resolved/>
    </commentChains>
    <commentChains s:ref="AG317" rgbClr="FF0000">
      <unresolved>
        <commentChain chainId="49048ed2af14706981c264539a473956fef6baee">
          <item id="9666e3804ce51b0437080bfbceff75c246d046d6" userID="1850010794" userName="龙丽娟" dateTime="2026-07-14T13:41:06" isNormal="0">
            <s:text>
              <s:r>
                <s:t xml:space="preserve">7/4 3002518 1416pcs欣泰c6</s:t>
              </s:r>
            </s:text>
          </item>
        </commentChain>
      </unresolved>
      <resolved/>
    </commentChains>
    <commentChains s:ref="AG318" rgbClr="FF0000">
      <unresolved>
        <commentChain chainId="9a156ca5134adca6b7afdeb391de6008c05f3062">
          <item id="bf1d64a62ec401e20271eadf4c4a93692c137f99" userID="1850010794" userName="龙丽娟" dateTime="2026-07-14T13:41:23" isNormal="0">
            <s:text>
              <s:r>
                <s:t xml:space="preserve">7/4 3002518 88pcs欣泰c6</s:t>
              </s:r>
            </s:text>
          </item>
        </commentChain>
      </unresolved>
      <resolved/>
    </commentChains>
    <commentChains s:ref="AI318" rgbClr="FF0000">
      <unresolved>
        <commentChain chainId="2b4524ea2bcd60fd6fb27b89826e0d82ce3e5e40">
          <item id="e55ad6d3011cbd9622e6d750795edb5b1fca0567" userID="1850010794" userName="龙丽娟" dateTime="2026-07-07T09:23:56" isNormal="0">
            <s:text>
              <s:r>
                <s:t xml:space="preserve">6/29上sscc外箱贴纸177pcs</s:t>
              </s:r>
            </s:text>
          </item>
        </commentChain>
      </unresolved>
      <resolved/>
    </commentChains>
    <commentChains s:ref="AG319" rgbClr="FF0000">
      <unresolved>
        <commentChain chainId="c055d3a842592e079962a78eccfdbe989e273fc9">
          <item id="5591bb0e7a8bc27a3059cc26edb6b735144325f1" userID="1850010794" userName="龙丽娟" dateTime="2026-07-04T06:56:43" isNormal="0">
            <s:text>
              <s:r>
                <s:t xml:space="preserve">6/27 1000333 11776pcs欣泰f5</s:t>
              </s:r>
            </s:text>
          </item>
        </commentChain>
      </unresolved>
      <resolved/>
    </commentChains>
    <commentChains s:ref="AI319" rgbClr="FF0000">
      <unresolved>
        <commentChain chainId="413d97be754f77ffd09c37b0feb24d96f88b5082">
          <item id="19cb166f064223943c8c4c361988e93eefca1964" userID="1850010794" userName="龙丽娟" dateTime="2026-06-17T10:54:05" isNormal="0">
            <s:text>
              <s:r>
                <s:t xml:space="preserve">6/16上客供RFID贴纸11776pcs</s:t>
              </s:r>
            </s:text>
          </item>
        </commentChain>
      </unresolved>
      <resolved/>
    </commentChains>
    <commentChains s:ref="AG320" rgbClr="FF0000">
      <unresolved>
        <commentChain chainId="e2c15efc09dfa17df8a0fc2558793bf225786b94">
          <item id="0e42ac31b38d178f7f6ec66acae63078a40b7d5a" userID="1850010794" userName="龙丽娟" dateTime="2026-07-04T06:36:32" isNormal="0">
            <s:text>
              <s:r>
                <s:t xml:space="preserve">6/27 3002617 11264pcs 华兴B7</s:t>
              </s:r>
            </s:text>
          </item>
        </commentChain>
      </unresolved>
      <resolved/>
    </commentChains>
    <commentChains s:ref="AI320" rgbClr="FF0000">
      <unresolved>
        <commentChain chainId="19022ca4c25ac703e798a528dbab753b93030f99">
          <item id="a2d771840ed148e841abc0c6e3d919ec463ca9e1" userID="1850010794" userName="龙丽娟" dateTime="2026-06-17T10:56:02" isNormal="0">
            <s:text>
              <s:r>
                <s:t xml:space="preserve">6/16上客供RFID贴纸11264pcs</s:t>
              </s:r>
            </s:text>
          </item>
        </commentChain>
      </unresolved>
      <resolved/>
    </commentChains>
    <commentChains s:ref="AG321" rgbClr="FF0000">
      <unresolved>
        <commentChain chainId="6bc0932ddfb0a37de029ecf3fcc136b7f16cb616">
          <item id="8f278020ef6329272dfa3ceb5cd63e5d8e8cd642" userID="1850010794" userName="龙丽娟" dateTime="2026-07-14T14:22:28" isNormal="0">
            <s:text>
              <s:r>
                <s:t xml:space="preserve">7/3 1000145 5632pcs顶均A12</s:t>
              </s:r>
            </s:text>
          </item>
        </commentChain>
      </unresolved>
      <resolved/>
    </commentChains>
    <commentChains s:ref="AI321" rgbClr="FF0000">
      <unresolved>
        <commentChain chainId="200638dec536597734d78e5150717809251a69e7">
          <item id="cd47238dcbd8ff1a1f09506fdf5281ba4c0b371d" userID="1850010794" userName="龙丽娟" dateTime="2026-06-17T10:55:42" isNormal="0">
            <s:text>
              <s:r>
                <s:t xml:space="preserve">6/16上客供RFID贴纸5632pcs</s:t>
              </s:r>
            </s:text>
          </item>
        </commentChain>
      </unresolved>
      <resolved/>
    </commentChains>
    <commentChains s:ref="AG322" rgbClr="FF0000">
      <unresolved>
        <commentChain chainId="f03691c3d8164e558b9b1817d946b97ce1d21932">
          <item id="71a8035a81a39d89f522a8449d698050b66689ea" userID="1850010794" userName="龙丽娟" dateTime="2026-07-14T13:42:21" isNormal="0">
            <s:text>
              <s:r>
                <s:t xml:space="preserve">7/4 3002518 1408pcs欣泰c4</s:t>
              </s:r>
            </s:text>
          </item>
        </commentChain>
      </unresolved>
      <resolved/>
    </commentChains>
    <commentChains s:ref="AI322" rgbClr="FF0000">
      <unresolved>
        <commentChain chainId="3e2b5a71afc71ee8470e03bd0465a35d1a745c15">
          <item id="31d43ae8e77a06a4509684719f6b7ddb59cfa701" userID="1850010794" userName="龙丽娟" dateTime="2026-07-09T13:38:14" isNormal="0">
            <s:text>
              <s:r>
                <s:t xml:space="preserve">7/9收到亚马逊外箱贴纸88pcs</s:t>
              </s:r>
            </s:text>
          </item>
        </commentChain>
      </unresolved>
      <resolved/>
    </commentChains>
    <commentChains s:ref="AG323" rgbClr="FF0000">
      <unresolved>
        <commentChain chainId="330f5bce518cc2a95adc0ea7e0fdfb92421d1d78">
          <item id="a3ef27595acc3b86a9be53f2300c3e15789802f2" userID="1850010794" userName="龙丽娟" dateTime="2026-07-14T13:42:38" isNormal="0">
            <s:text>
              <s:r>
                <s:t xml:space="preserve">7/4 3002518 1184pcs欣泰c4</s:t>
              </s:r>
            </s:text>
          </item>
        </commentChain>
      </unresolved>
      <resolved/>
    </commentChains>
    <commentChains s:ref="AI323" rgbClr="FF0000">
      <unresolved>
        <commentChain chainId="912074bdb3d880473da7455c373de736502563d6">
          <item id="22710ce3446d9656c03d638ecb46659a75a695ef" userID="1850010794" userName="龙丽娟" dateTime="2026-07-06T11:13:36" isNormal="0">
            <s:text>
              <s:r>
                <s:t xml:space="preserve">7/7收到亚马逊外箱贴纸74pcs</s:t>
              </s:r>
            </s:text>
          </item>
        </commentChain>
      </unresolved>
      <resolved/>
    </commentChains>
    <commentChains s:ref="AG324" rgbClr="FF0000">
      <unresolved>
        <commentChain chainId="e0890c28bef7d714308ac262783c3cb8b6f1b168">
          <item id="b7e498e8635f9c666a14671b2e05018c99757779" userID="1850010794" userName="龙丽娟" dateTime="2026-07-14T11:17:05" isNormal="0">
            <s:text>
              <s:r>
                <s:t xml:space="preserve">7/11 2801284 4064pcs欣泰e6</s:t>
              </s:r>
            </s:text>
          </item>
        </commentChain>
      </unresolved>
      <resolved/>
    </commentChains>
    <commentChains s:ref="AI324" rgbClr="FF0000">
      <unresolved>
        <commentChain chainId="f7f6108b2b4e80a38b681136b85b32406f49ddce">
          <item id="8d0c1d64324873381bba91d3bda7c3f86be9bc63" userID="1850010794" userName="龙丽娟" dateTime="2026-07-09T13:38:14" isNormal="0">
            <s:text>
              <s:r>
                <s:t xml:space="preserve">7/9收到亚马逊外箱贴纸254pcs</s:t>
              </s:r>
            </s:text>
          </item>
        </commentChain>
      </unresolved>
      <resolved/>
    </commentChains>
    <commentChains s:ref="AG325" rgbClr="FF0000">
      <unresolved>
        <commentChain chainId="9ed9117fb70b8630d8879522972fa51e34daafa8">
          <item id="efd05def97a8a2b17c5b3a0ebbb98936082dfe77" userID="1850010794" userName="龙丽娟" dateTime="2026-07-14T13:41:40" isNormal="0">
            <s:text>
              <s:r>
                <s:t xml:space="preserve">7/4 3002518 512pcs欣泰c2</s:t>
              </s:r>
            </s:text>
          </item>
        </commentChain>
      </unresolved>
      <resolved/>
    </commentChains>
    <commentChains s:ref="AI325" rgbClr="FF0000">
      <unresolved>
        <commentChain chainId="b589b35bc3e5129f3f8b587cae6d27a2fe4cae81">
          <item id="c954f1ae967452c450e972d4d150496756d56d8d" userID="1850010794" userName="龙丽娟" dateTime="2026-06-23T12:02:04" isNormal="0">
            <s:text>
              <s:r>
                <s:t xml:space="preserve">6/23上地址贴纸512pcs</s:t>
              </s:r>
            </s:text>
          </item>
        </commentChain>
      </unresolved>
      <resolved/>
    </commentChains>
    <commentChains s:ref="AG326" rgbClr="FF0000">
      <unresolved>
        <commentChain chainId="3b1794fb8a089e1cadebdd0cfdb68a5dbf4d8589">
          <item id="f21f11bb65b41a813572942449dab2094789b1e5" userID="1850010794" userName="龙丽娟" dateTime="2026-07-14T14:19:10" isNormal="0">
            <s:text>
              <s:r>
                <s:t xml:space="preserve">1000151 7/3 1000pcs顶均B4</s:t>
              </s:r>
            </s:text>
          </item>
        </commentChain>
      </unresolved>
      <resolved/>
    </commentChains>
    <commentChains s:ref="AI326" rgbClr="FF0000">
      <unresolved>
        <commentChain chainId="db8cd082e49b2e6f3d4689063174fbc9d6b05621">
          <item id="60a8ce298f96dffe713eca1103ba9bb33e92a5c3" userID="1850010794" userName="龙丽娟" dateTime="2026-06-22T12:51:47" isNormal="0">
            <s:text>
              <s:r>
                <s:t xml:space="preserve">6/22上包装贴纸/锂电池警告语贴纸各1000pcs</s:t>
              </s:r>
            </s:text>
          </item>
        </commentChain>
      </unresolved>
      <resolved/>
    </commentChains>
    <commentChains s:ref="AG327" rgbClr="FF0000">
      <unresolved>
        <commentChain chainId="f6052b09d52d159d48d98124f96da9afedfd5278">
          <item id="28556d03ca14f91b9e9ee28cb02e04734da99700" userID="1850010794" userName="龙丽娟" dateTime="2026-07-14T14:22:52" isNormal="0">
            <s:text>
              <s:r>
                <s:t xml:space="preserve">1000151 7/3 8192pcs顶均B4</s:t>
              </s:r>
            </s:text>
          </item>
        </commentChain>
      </unresolved>
      <resolved/>
    </commentChains>
    <commentChains s:ref="AI327" rgbClr="FF0000">
      <unresolved>
        <commentChain chainId="59dc6c5a8d253f3b05800c0d2295d4b459b8eb2b">
          <item id="28377bea8b0f10e138b65ee7c4932a6c129a59a5" userID="1850010794" userName="龙丽娟" dateTime="2026-06-17T10:56:12" isNormal="0">
            <s:text>
              <s:r>
                <s:t xml:space="preserve">6/16上客供RFID贴纸8192pcs</s:t>
              </s:r>
            </s:text>
          </item>
        </commentChain>
      </unresolved>
      <resolved/>
    </commentChains>
    <commentChains s:ref="AG328" rgbClr="FF0000">
      <unresolved>
        <commentChain chainId="e95dea518910cb6f54913d566926fbf545768a11">
          <item id="aacf3e371cedafd2d3be781f0f1203bcb5c5ef70" userID="1850010794" userName="龙丽娟" dateTime="2026-07-14T13:13:15" isNormal="0">
            <s:text>
              <s:r>
                <s:t xml:space="preserve">7/9 2201266 2800pcs欣泰c1</s:t>
              </s:r>
            </s:text>
          </item>
        </commentChain>
      </unresolved>
      <resolved/>
    </commentChains>
    <commentChains s:ref="AG329" rgbClr="FF0000">
      <unresolved>
        <commentChain chainId="227dbca319f1ead8c7460de1349632642938e19e">
          <item id="4b53438a88fddced40712aecbdc4ac463d6b3e27" userID="1850010794" userName="龙丽娟" dateTime="2026-07-14T11:41:41" isNormal="0">
            <s:text>
              <s:r>
                <s:t xml:space="preserve">7/10 2201276 1312pcs 应兴A6</s:t>
              </s:r>
            </s:text>
          </item>
        </commentChain>
      </unresolved>
      <resolved/>
    </commentChains>
    <commentChains s:ref="AI329" rgbClr="FF0000">
      <unresolved>
        <commentChain chainId="aea6f05327bf3edbe30db0cc1e10082f4f48df5f">
          <item id="b9c1f957ff949163c92ac25f9d04bff8a01aeea5" userID="1850010794" userName="龙丽娟" dateTime="2026-06-23T11:59:28" isNormal="0">
            <s:text>
              <s:r>
                <s:t xml:space="preserve">6/23上进口商贴纸乌克兰语贴纸锂电池警告语说明书贴纸各1312pcs</s:t>
              </s:r>
            </s:text>
          </item>
        </commentChain>
      </unresolved>
      <resolved/>
    </commentChains>
    <commentChains s:ref="AO329" rgbClr="FF0000">
      <unresolved>
        <commentChain chainId="e745cc91756b4c797784d61a8dd532e9fb495f9e">
          <item id="eabb970137720ffd3d760cba8fe4d21ba1efffae" isNormal="1">
            <s:text>
              <s:r>
                <s:t xml:space="preserve">RR:
客版</s:t>
              </s:r>
            </s:text>
          </item>
        </commentChain>
      </unresolved>
      <resolved/>
    </commentChains>
    <commentChains s:ref="AI330" rgbClr="FF0000">
      <unresolved>
        <commentChain chainId="c9c6f118937103cf5ff468390e43998ff0207a26">
          <item id="96938390d15ffcd341cc2cd778d28327c742111e" isNormal="1">
            <s:text>
              <s:r>
                <s:t xml:space="preserve">Administrator:
5/14上客供RFID贴纸17280pcs
5/15 上锂电池贴纸26118pcs
</s:t>
              </s:r>
            </s:text>
          </item>
          <item id="a606dd5433a96c160c463d4d99919f6ba1d6a185" userID="1850010794" userName="龙丽娟" dateTime="2026-07-23T12:13:06" isNormal="0">
            <s:text>
              <s:r>
                <s:t xml:space="preserve">7/17 客供RFID贴纸17280pcs</s:t>
              </s:r>
            </s:text>
          </item>
        </commentChain>
      </unresolved>
      <resolved/>
    </commentChains>
    <commentChains s:ref="AI331" rgbClr="FF0000">
      <unresolved>
        <commentChain chainId="a0bb8c04a50332aed05748b7a044ed448375882d">
          <item id="e6162604c59faa4478ffa8a163c9362df5eb73ef" isNormal="1">
            <s:text>
              <s:r>
                <s:t xml:space="preserve">Administrator:
5/14上客供RFID贴纸18240pcs
5/15 上锂电池贴纸26118pcs
</s:t>
              </s:r>
            </s:text>
          </item>
          <item id="28f98316b5c8dbc9846a5bb64edeca7eba56a0f1" userID="1850010794" userName="龙丽娟" dateTime="2026-07-23T12:13:35" isNormal="0">
            <s:text>
              <s:r>
                <s:t xml:space="preserve">7/17 客供RFID贴纸18240pcs</s:t>
              </s:r>
            </s:text>
          </item>
        </commentChain>
      </unresolved>
      <resolved/>
    </commentChains>
    <commentChains s:ref="AI332" rgbClr="FF0000">
      <unresolved>
        <commentChain chainId="643f143f3bb15ee8c278c84af5aef893a9ab30d0">
          <item id="41d3171d8e0d8a1aa80aa1c74570d41508406885" userID="1850010794" userName="龙丽娟" dateTime="2026-06-23T11:59:28" isNormal="0">
            <s:text>
              <s:r>
                <s:t xml:space="preserve">6/23上进口商贴纸乌克兰语贴纸锂电池警告语贴纸各504pcs</s:t>
              </s:r>
            </s:text>
          </item>
        </commentChain>
      </unresolved>
      <resolved/>
    </commentChains>
    <commentChains s:ref="AO332" rgbClr="FF0000">
      <unresolved>
        <commentChain chainId="74f8bf44e55115c21e5649f69f06266fce2f650a">
          <item id="a3a80be85a0b15ac8e52dcbbf1e26bc4422b8a92" isNormal="1">
            <s:text>
              <s:r>
                <s:t xml:space="preserve">RR:
客版</s:t>
              </s:r>
            </s:text>
          </item>
        </commentChain>
      </unresolved>
      <resolved/>
    </commentChains>
    <commentChains s:ref="AG333" rgbClr="FF0000">
      <unresolved>
        <commentChain chainId="d051c66135fc7a0b21a1f8f41aa8d4362ddb0ff1">
          <item id="e0293d3e54023576d768212a4fc563478f100afb" userID="1850010794" userName="龙丽娟" dateTime="2026-07-14T13:23:58" isNormal="0">
            <s:text>
              <s:r>
                <s:t xml:space="preserve">7/8 2201256 5192pcs欣泰f1</s:t>
              </s:r>
            </s:text>
          </item>
        </commentChain>
      </unresolved>
      <resolved/>
    </commentChains>
    <commentChains s:ref="AI333" rgbClr="FF0000">
      <unresolved>
        <commentChain chainId="b2e382c0899cda00b5f0ea1e676f5238ecf7487d">
          <item id="23daba16949c9469a05f9b0a850cca995eeb5436" userID="1850010794" userName="龙丽娟" dateTime="2026-07-07T07:48:07" isNormal="0">
            <s:text>
              <s:r>
                <s:t xml:space="preserve">6/27上客供外箱条码贴纸</s:t>
              </s:r>
            </s:text>
          </item>
        </commentChain>
      </unresolved>
      <resolved/>
    </commentChains>
    <commentChains s:ref="AG334" rgbClr="FF0000">
      <unresolved>
        <commentChain chainId="2380a539e8d3c9ad6fd41d332ae1ae30f6c4f153">
          <item id="957298f9750f1777a0e41a4126b9a0a021f29637" userID="1850010794" userName="龙丽娟" dateTime="2026-07-14T13:29:42" isNormal="0">
            <s:text>
              <s:r>
                <s:t xml:space="preserve">7/8 2201260 7376pcs欣泰2B1</s:t>
              </s:r>
            </s:text>
          </item>
        </commentChain>
      </unresolved>
      <resolved/>
    </commentChains>
    <commentChains s:ref="AI334" rgbClr="FF0000">
      <unresolved>
        <commentChain chainId="0af9807823cf99104ec4419948ca43e1582082e4">
          <item id="d9d38a5e6d54fde85fba52aa87a012f9688ded84" userID="1850010794" userName="龙丽娟" dateTime="2026-07-04T09:30:51" isNormal="0">
            <s:text>
              <s:r>
                <s:t xml:space="preserve">7/4 上客供外箱贴纸922pcs</s:t>
              </s:r>
            </s:text>
          </item>
        </commentChain>
      </unresolved>
      <resolved/>
    </commentChains>
    <commentChains s:ref="AG335" rgbClr="FF0000">
      <unresolved>
        <commentChain chainId="86908d1ac9b360d72f8e88f569584f2997463f4c">
          <item id="eff93d07602ade24bf69101f6c282a0d285c6c1b" userID="1850010794" userName="龙丽娟" dateTime="2026-07-14T13:20:36" isNormal="0">
            <s:text>
              <s:r>
                <s:t xml:space="preserve">7/9 2201275 欣泰B3</s:t>
              </s:r>
            </s:text>
          </item>
        </commentChain>
      </unresolved>
      <resolved/>
    </commentChains>
    <commentChains s:ref="AI335" rgbClr="FF0000">
      <unresolved>
        <commentChain chainId="804baa3f8d1e0df1cb135999cf727d128fbbf90b">
          <item id="b032c46baa8233c82994eacf9e34e63a208dc548" userID="1850010794" userName="龙丽娟" dateTime="2026-07-07T09:22:29" isNormal="0">
            <s:text>
              <s:r>
                <s:t xml:space="preserve">6/29上包装贴纸1000pcs</s:t>
              </s:r>
            </s:text>
          </item>
        </commentChain>
      </unresolved>
      <resolved/>
    </commentChains>
    <commentChains s:ref="AI336" rgbClr="FF0000">
      <unresolved>
        <commentChain chainId="de009f8e2445e43db766ad6d68fb8397f77e47e8">
          <item id="605dfdfbb54b3e9cee7bbec128a00732a915dc99" isNormal="1">
            <s:text>
              <s:r>
                <s:t xml:space="preserve">Administrator:
5/14上客供RFID贴纸11328pcs</s:t>
              </s:r>
            </s:text>
          </item>
          <item id="e6815569d18e54a2c512f36fa96ad11e0dd30bfc" userID="1850010794" userName="龙丽娟" dateTime="2026-07-23T12:11:32" isNormal="0">
            <s:text>
              <s:r>
                <s:t xml:space="preserve">7/17 客供RFID贴纸11328pcs</s:t>
              </s:r>
            </s:text>
          </item>
        </commentChain>
      </unresolved>
      <resolved/>
    </commentChains>
    <commentChains s:ref="AI337" rgbClr="FF0000">
      <unresolved>
        <commentChain chainId="094c2c372fb76c9a379503b2cbe88b522e6401e7">
          <item id="f5d26d00be4834478bde609f4224ec3d27af1641" isNormal="1">
            <s:text>
              <s:r>
                <s:t xml:space="preserve">Administrator:
5/14上客供RFID贴纸17088pcs</s:t>
              </s:r>
            </s:text>
          </item>
          <item id="20203fac4f6abff3d954e38ddf5a826b9ad1b3b2" userID="1850010794" userName="龙丽娟" dateTime="2026-07-23T12:11:56" isNormal="0">
            <s:text>
              <s:r>
                <s:t xml:space="preserve">7/17 客供RFID贴纸17088pcs</s:t>
              </s:r>
            </s:text>
          </item>
        </commentChain>
      </unresolved>
      <resolved/>
    </commentChains>
    <commentChains s:ref="AG340" rgbClr="FF0000">
      <unresolved>
        <commentChain chainId="4afae4c6957eb9a67a6231d0c5efa83239afc87e">
          <item id="11dfead445c48e878fba51def3657498dddf47ef" userID="1850010794" userName="龙丽娟" dateTime="2026-07-09T07:51:38" isNormal="0">
            <s:text>
              <s:r>
                <s:t xml:space="preserve">2201214 7/4 368pcs</s:t>
              </s:r>
            </s:text>
          </item>
        </commentChain>
      </unresolved>
      <resolved/>
    </commentChains>
    <commentChains s:ref="AG341" rgbClr="FF0000">
      <unresolved>
        <commentChain chainId="1e3be5561b589a5787fd0463bac3013ea01941d2">
          <item id="ca751ece41cb6bac7ad89156bf4ad387c2c26b9b" userID="1850010794" userName="龙丽娟" dateTime="2026-07-09T07:52:05" isNormal="0">
            <s:text>
              <s:r>
                <s:t xml:space="preserve">2201214 7/4 656pcs欣泰A1</s:t>
              </s:r>
            </s:text>
          </item>
        </commentChain>
      </unresolved>
      <resolved/>
    </commentChains>
    <commentChains s:ref="AG342" rgbClr="FF0000">
      <unresolved>
        <commentChain chainId="56236825553b51ae429224fa0cf214a064e343a0">
          <item id="bfb7e64130aad9bca4a720f62c2497334333f765" userID="1850010794" userName="龙丽娟" dateTime="2026-07-09T07:52:26" isNormal="0">
            <s:text>
              <s:r>
                <s:t xml:space="preserve">2201214 7/4 384pcs欣泰A1</s:t>
              </s:r>
            </s:text>
          </item>
        </commentChain>
      </unresolved>
      <resolved/>
    </commentChains>
    <commentChains s:ref="AG343" rgbClr="FF0000">
      <unresolved>
        <commentChain chainId="8da446cf51187597f87816530efc3de2858d1d7b">
          <item id="cf9f652e40180fa9ecd60557967981218b9c9702" userID="1850010794" userName="龙丽娟" dateTime="2026-07-09T07:52:42" isNormal="0">
            <s:text>
              <s:r>
                <s:t xml:space="preserve">2201214 7/4 752pcs欣泰A1</s:t>
              </s:r>
            </s:text>
          </item>
        </commentChain>
      </unresolved>
      <resolved/>
    </commentChains>
    <commentChains s:ref="AG344" rgbClr="FF0000">
      <unresolved>
        <commentChain chainId="2145c4e2ca77d4cce29929ff8f5e4278ff8bda07">
          <item id="ffe013a85cb84d25d8bbd0856176bc1ae5a9afce" userID="1850010794" userName="龙丽娟" dateTime="2026-07-09T07:53:04" isNormal="0">
            <s:text>
              <s:r>
                <s:t xml:space="preserve">2201214 7/4 464pcs欣泰A1</s:t>
              </s:r>
            </s:text>
          </item>
        </commentChain>
      </unresolved>
      <resolved/>
    </commentChains>
    <commentChains s:ref="AG345" rgbClr="FF0000">
      <unresolved>
        <commentChain chainId="fa07a8cd2902bf09a0b4f865f48fbebb52bae51b">
          <item id="044f00588a14d3bb77b15047f214192eaa397875" userID="1850010794" userName="龙丽娟" dateTime="2026-07-14T13:23:29" isNormal="0">
            <s:text>
              <s:r>
                <s:t xml:space="preserve">7/8 2201256 800pcs欣泰c6</s:t>
              </s:r>
            </s:text>
          </item>
        </commentChain>
      </unresolved>
      <resolved/>
    </commentChains>
    <commentChains s:ref="AI345" rgbClr="FF0000">
      <unresolved>
        <commentChain chainId="343fb72f0dc608a6b2448999915a429ff7a3b66b">
          <item id="a99de11acf02e041443e9c8ef000d9f899bd3013" userID="1850010794" userName="龙丽娟" dateTime="2026-06-29T05:41:46" isNormal="0">
            <s:text>
              <s:r>
                <s:t xml:space="preserve">6/25 上进口商贴纸800pcs</s:t>
              </s:r>
            </s:text>
          </item>
        </commentChain>
      </unresolved>
      <resolved/>
    </commentChains>
    <commentChains s:ref="AG346" rgbClr="FF0000">
      <unresolved>
        <commentChain chainId="e9bab71bc756e834b6b47fbe7be5a5c1973a38e1">
          <item id="52f42d8649e8afa32b22c21731cf74a8d542efd1" userID="1850010794" userName="龙丽娟" dateTime="2026-07-14T13:24:52" isNormal="0">
            <s:text>
              <s:r>
                <s:t xml:space="preserve">7/8 2201254 3600pcs顶均c4</s:t>
              </s:r>
            </s:text>
          </item>
        </commentChain>
      </unresolved>
      <resolved/>
    </commentChains>
    <commentChains s:ref="AG347" rgbClr="FF0000">
      <unresolved>
        <commentChain chainId="7f4aba183533cfbfa6eb7f7698a9e53d4148468e">
          <item id="c80b9e38948fd94081e10b6df4e132618dc70e91" userID="1850010794" userName="龙丽娟" dateTime="2026-07-22T12:39:39" isNormal="0">
            <s:text>
              <s:r>
                <s:t xml:space="preserve">7/13 1001925 1008pcs钜顺B3</s:t>
              </s:r>
            </s:text>
          </item>
        </commentChain>
      </unresolved>
      <resolved/>
    </commentChains>
    <commentChains s:ref="AI347" rgbClr="FF0000">
      <unresolved>
        <commentChain chainId="24dc99fdc5eec9c9c52a0090f34cc80a911c7193">
          <item id="a70d7d8318b82257e79442100b6158deb385bd76" userID="1850010794" userName="龙丽娟" dateTime="2026-06-22T05:42:02" isNormal="0">
            <s:text>
              <s:r>
                <s:t xml:space="preserve">6/9上UPC/进口商贴纸各1008pcs</s:t>
              </s:r>
            </s:text>
          </item>
        </commentChain>
      </unresolved>
      <resolved/>
    </commentChains>
    <commentChains s:ref="AG348" rgbClr="FF0000">
      <unresolved>
        <commentChain chainId="e147f8a732c8063c05824eb00129e0ae8f099274">
          <item id="7cf05cd13a2ca23803b6a30e647466c7fa248dea" userID="1850010794" userName="龙丽娟" dateTime="2026-07-22T13:29:19" isNormal="0">
            <s:text>
              <s:r>
                <s:t xml:space="preserve">7/14 1001942pcs欣泰d2</s:t>
              </s:r>
            </s:text>
          </item>
        </commentChain>
      </unresolved>
      <resolved/>
    </commentChains>
    <commentChains s:ref="AG349" rgbClr="FF0000">
      <unresolved>
        <commentChain chainId="54dee3b542202a18cc2bd49bff09a3a16647b90c">
          <item id="4aa6d77c61824a6771c0ee9908ced3140671e96b" userID="1850010794" userName="龙丽娟" dateTime="2026-07-22T12:47:41" isNormal="0">
            <s:text>
              <s:r>
                <s:t xml:space="preserve">7/12 2801298 8000pcs欣泰d6</s:t>
              </s:r>
            </s:text>
          </item>
        </commentChain>
      </unresolved>
      <resolved/>
    </commentChains>
    <commentChains s:ref="AG363" rgbClr="FF0000">
      <unresolved>
        <commentChain chainId="b2fb15e4ba5c56a579d86e716b95e5af9cf2d405">
          <item id="19fa39fc1b13cc232d3501faea55a2998011a9fe" userID="1850010794" userName="龙丽娟" dateTime="2026-07-14T13:37:01" isNormal="0">
            <s:text>
              <s:r>
                <s:t xml:space="preserve">7/6 2201220 2208pcs欣泰B2</s:t>
              </s:r>
            </s:text>
          </item>
        </commentChain>
      </unresolved>
      <resolved/>
    </commentChains>
    <commentChains s:ref="AG364" rgbClr="FF0000">
      <unresolved>
        <commentChain chainId="434aea16dfb0c42d03bb85469ce886809904670b">
          <item id="8b7905873b8bd7ec0d7c4f6082466114220f950f" userID="1850010794" userName="龙丽娟" dateTime="2026-07-14T13:14:34" isNormal="0">
            <s:text>
              <s:r>
                <s:t xml:space="preserve">7/9 2201266  496pcs欣泰A5</s:t>
              </s:r>
            </s:text>
          </item>
        </commentChain>
      </unresolved>
      <resolved/>
    </commentChains>
    <commentChains s:ref="AI364" rgbClr="FF0000">
      <unresolved>
        <commentChain chainId="9709afff62282cb9a68b985d5d75f15bc82cb27e">
          <item id="7c458274f7c2c2eede659adcf7f53d4aa4dd31c0" userID="1850010794" userName="龙丽娟" dateTime="2026-06-22T12:46:44" isNormal="0">
            <s:text>
              <s:r>
                <s:t xml:space="preserve">6/22上进口商/UPC贴纸各496pcs</s:t>
              </s:r>
            </s:text>
          </item>
        </commentChain>
      </unresolved>
      <resolved/>
    </commentChains>
    <commentChains s:ref="AG365" rgbClr="FF0000">
      <unresolved>
        <commentChain chainId="13c05fd4f5ca2fa133afccf914297dc634c8e37e">
          <item id="77ab63cdc2520836dc275a93ff39b80db5ef6c91" userID="1850010794" userName="龙丽娟" dateTime="2026-07-14T11:44:01" isNormal="0">
            <s:text>
              <s:r>
                <s:t xml:space="preserve">7/10 2201295 960pcs 应兴A9</s:t>
              </s:r>
            </s:text>
          </item>
        </commentChain>
      </unresolved>
      <resolved/>
    </commentChains>
    <commentChains s:ref="AG366" rgbClr="FF0000">
      <unresolved>
        <commentChain chainId="f206c193e9e0859131e002b22a8c2e5af7437735">
          <item id="a20b46a835d13d633049a65e30da588d24e96051" userID="1850010794" userName="龙丽娟" dateTime="2026-08-14T11:14:15" isNormal="0">
            <s:text>
              <s:r>
                <s:t xml:space="preserve">2201228 7/6 3008pcs</s:t>
              </s:r>
            </s:text>
          </item>
        </commentChain>
      </unresolved>
      <resolved/>
    </commentChains>
    <commentChains s:ref="AI367" rgbClr="FF0000">
      <unresolved>
        <commentChain chainId="c68fb787bd7daedc3f1c82a7e70bdcf34eb984e7">
          <item id="525316e31e6f5d15dd5669ec41288088fd004d6b" userID="1850010794" userName="龙丽娟" dateTime="2026-07-12T11:28:02" isNormal="0">
            <s:text>
              <s:r>
                <s:t xml:space="preserve">7/6上价格贴纸416pcs上pdq价格贴纸/条码贴纸各174pcs</s:t>
              </s:r>
            </s:text>
          </item>
          <item id="a4eb725bbad75c4af0326df9c6b3d7d0d28c0b9b" userID="1850010794" userName="龙丽娟" dateTime="2026-07-17T08:30:59" isNormal="0">
            <s:text>
              <s:r>
                <s:t xml:space="preserve">5/8 上通用外箱贴纸 61pcs</s:t>
              </s:r>
            </s:text>
          </item>
          <item id="e70f24d32cf3bcdce0f2b171be544203d5e984db" userID="1850010794" userName="龙丽娟" dateTime="2026-07-17T08:31:52" isNormal="0">
            <s:text>
              <s:r>
                <s:t xml:space="preserve">5/8 上NJ客供外箱贴纸 61pcs</s:t>
              </s:r>
            </s:text>
          </item>
        </commentChain>
      </unresolved>
      <resolved/>
    </commentChains>
    <commentChains s:ref="AI368" rgbClr="FF0000">
      <unresolved>
        <commentChain chainId="406efdcdd9d6f9f075f2eb15c5d3db942145bc1c">
          <item id="3a2edbb75ca4fd26ac1993faa1d7533aba498886" userID="1850010794" userName="龙丽娟" dateTime="2026-07-12T11:28:02" isNormal="0">
            <s:text>
              <s:r>
                <s:t xml:space="preserve">7/6上价格贴纸416pcs上pdq价格贴纸/条码贴纸各174pcs</s:t>
              </s:r>
            </s:text>
          </item>
          <item id="4d96845c2512f626b30defb81ee1420f14afa1be" userID="1850010794" userName="龙丽娟" dateTime="2026-07-17T08:34:24" isNormal="0">
            <s:text>
              <s:r>
                <s:t xml:space="preserve">5/8 上客供通用贴纸 26pcs</s:t>
              </s:r>
            </s:text>
          </item>
          <item id="8e0a50901333c2297350348d16e54cc480fe2894" userID="1850010794" userName="龙丽娟" dateTime="2026-07-17T08:34:42" isNormal="0">
            <s:text>
              <s:r>
                <s:t xml:space="preserve">5/8 上NV客供外箱贴纸 26pcs</s:t>
              </s:r>
            </s:text>
          </item>
        </commentChain>
      </unresolved>
      <resolved/>
    </commentChains>
    <commentChains s:ref="AG369" rgbClr="FF0000">
      <unresolved>
        <commentChain chainId="10c4609e9f5e0bac6771b5299dda4fb58da5d8b0">
          <item id="8c24b5aa37f8acb6fa92a6a27e055c9b99a1b698" userID="1850010794" userName="龙丽娟" dateTime="2026-07-22T13:25:02" isNormal="0">
            <s:text>
              <s:r>
                <s:t xml:space="preserve">7/14 1001943 480pcs欣泰c6</s:t>
              </s:r>
            </s:text>
          </item>
        </commentChain>
      </unresolved>
      <resolved/>
    </commentChains>
    <commentChains s:ref="AG373" rgbClr="FF0000">
      <unresolved>
        <commentChain chainId="65a5ee2fabee4b57389bde99f3ac89a184318638">
          <item id="089caf70cbe6d72d982c84581d422a6be5a0bdd0" userID="1850010794" userName="龙丽娟" dateTime="2026-07-14T06:18:59" isNormal="0">
            <s:text>
              <s:r>
                <s:t xml:space="preserve">7/11 2801277 9000pcs欣泰F4</s:t>
              </s:r>
            </s:text>
          </item>
        </commentChain>
      </unresolved>
      <resolved/>
    </commentChains>
    <commentChains s:ref="AI373" rgbClr="FF0000">
      <unresolved>
        <commentChain chainId="a9d387b70fd2aaa5d024ba287589f4f69369df3a">
          <item id="f8dc975e5b5e382015e1776f4368fc4a0d070ce4" userID="1850010794" userName="龙丽娟" dateTime="2026-07-12T11:09:08" isNormal="0">
            <s:text>
              <s:r>
                <s:t xml:space="preserve">7/3上UPC贴纸9000pcs</s:t>
              </s:r>
            </s:text>
          </item>
        </commentChain>
      </unresolved>
      <resolved/>
    </commentChains>
    <commentChains s:ref="AG374" rgbClr="FF0000">
      <unresolved>
        <commentChain chainId="4351268a2e7c1872a8ff482ca9c9ca839a282d82">
          <item id="d603e03719a6b8ed5e6f4dbb9a19fa4ff35afd3a" userID="1850010794" userName="龙丽娟" dateTime="2026-07-22T13:29:52" isNormal="0">
            <s:text>
              <s:r>
                <s:t xml:space="preserve">7/14 1001942 8064pcs欣泰d4</s:t>
              </s:r>
            </s:text>
          </item>
        </commentChain>
      </unresolved>
      <resolved/>
    </commentChains>
    <commentChains s:ref="AI374" rgbClr="FF0000">
      <unresolved>
        <commentChain chainId="9950d96c4aed3444cd3eb9839e22206f63ae477f">
          <item id="9160a604ef134fc15496b56ad7c6f35888fb366c" userID="1850010794" userName="龙丽娟" dateTime="2026-07-04T09:29:29" isNormal="0">
            <s:text>
              <s:r>
                <s:t xml:space="preserve">7/4 上环保标贴纸1008pcs</s:t>
              </s:r>
            </s:text>
          </item>
          <item id="c3d94cc5527b3fc0a2de2373bd312c8d2e9bd032" userID="1850010794" userName="龙丽娟" dateTime="2026-07-12T11:11:24" isNormal="0">
            <s:text>
              <s:r>
                <s:t xml:space="preserve">7/3上包装进口商/产品进口商/UPC/保证书贴纸各8064pcs</s:t>
              </s:r>
            </s:text>
          </item>
        </commentChain>
      </unresolved>
      <resolved/>
    </commentChains>
    <commentChains s:ref="AI375" rgbClr="FF0000">
      <unresolved>
        <commentChain chainId="b5794a46569f49337d217f3738cf2406d6ca361b">
          <item id="23d051a8f4aee23a75c435d6687d675b724cf048" userID="1850010794" userName="龙丽娟" dateTime="2026-06-17T10:54:30" isNormal="0">
            <s:text>
              <s:r>
                <s:t xml:space="preserve">6/16上客供RFID贴纸7680pcs</s:t>
              </s:r>
            </s:text>
          </item>
          <item id="0d3a8520ae349a759dfafa7136ae7da560ed3ae4" userID="1850010794" userName="龙丽娟" dateTime="2026-06-24T06:52:46" isNormal="0">
            <s:text>
              <s:r>
                <s:t xml:space="preserve">6/24 上艾利贴纸 15pcs</s:t>
              </s:r>
            </s:text>
          </item>
          <item id="5f8f98ee4f097716f5a476cee40248f165008f58" userID="1850010794" userName="龙丽娟" dateTime="2026-06-27T06:24:18" isNormal="0">
            <s:text>
              <s:r>
                <s:t xml:space="preserve">6/26 上锂电池贴纸 2000+17200pcs 
207763/208482/208497/211875/211883共用</s:t>
              </s:r>
            </s:text>
          </item>
        </commentChain>
      </unresolved>
      <resolved/>
    </commentChains>
    <commentChains s:ref="AG376" rgbClr="FF0000">
      <unresolved>
        <commentChain chainId="4c9cf62081c3fa31b489c822edc2fb39359064ca">
          <item id="f29e8e900bba82b3af9ab6ead1b6e37137b8db65" userID="1850010794" userName="龙丽娟" dateTime="2026-08-05T03:20:10" isNormal="0">
            <s:text>
              <s:r>
                <s:t xml:space="preserve">1016764 8/5 8704pcs</s:t>
              </s:r>
            </s:text>
          </item>
        </commentChain>
      </unresolved>
      <resolved/>
    </commentChains>
    <commentChains s:ref="AI376" rgbClr="FF0000">
      <unresolved>
        <commentChain chainId="ed4967f1e5b5a6d609dfb58cf1898701fa5fddb1">
          <item id="fb399f1bc2ca7df1beaabd0fbfa6e75c0aae6957" userID="1850010794" userName="龙丽娟" dateTime="2026-06-17T10:54:30" isNormal="0">
            <s:text>
              <s:r>
                <s:t xml:space="preserve">6/16上客供RFID贴纸8704pcs</s:t>
              </s:r>
            </s:text>
          </item>
          <item id="42ff9614c1fb7a5ecbe2ccd481046cad818f5a2e" userID="1850010794" userName="龙丽娟" dateTime="2026-06-24T06:53:40" isNormal="0">
            <s:text>
              <s:r>
                <s:t xml:space="preserve">6/24 上艾利贴纸 17pcs</s:t>
              </s:r>
            </s:text>
          </item>
          <item id="bc099bcd78cce42a754cf952c8d8e3f2368ac3d9" userID="1850010794" userName="龙丽娟" dateTime="2026-06-27T06:24:46" isNormal="0">
            <s:text>
              <s:r>
                <s:t xml:space="preserve">6/26 上锂电池贴纸 2000+17200pcs 
207763/208482/208497/211875/211883共用</s:t>
              </s:r>
            </s:text>
          </item>
        </commentChain>
      </unresolved>
      <resolved/>
    </commentChains>
    <commentChains s:ref="AI377" rgbClr="FF0000">
      <unresolved>
        <commentChain chainId="f0a78155ee2a6ad3b9127f81ce3bce407834a5e2">
          <item id="29195fc4ff322c725b07994b69ea6db18bcb2261" userID="1850010794" userName="龙丽娟" dateTime="2026-06-17T10:54:30" isNormal="0">
            <s:text>
              <s:r>
                <s:t xml:space="preserve">6/16上客供RFID贴纸6656pcs</s:t>
              </s:r>
            </s:text>
          </item>
          <item id="62bae8ce73ec48305bafcf42ad1a207f276b6162" userID="1850010794" userName="龙丽娟" dateTime="2026-06-24T06:53:25" isNormal="0">
            <s:text>
              <s:r>
                <s:t xml:space="preserve">6/24 上艾利贴纸 13pcs</s:t>
              </s:r>
            </s:text>
          </item>
          <item id="7c93cebc007fa4ef11f112b50fd30a2ff6195357" userID="1850010794" userName="龙丽娟" dateTime="2026-06-27T06:25:16" isNormal="0">
            <s:text>
              <s:r>
                <s:t xml:space="preserve">6/26 上锂电池贴纸 2000+17200pcs 
207763/208482/208497/211875/211883共用</s:t>
              </s:r>
            </s:text>
          </item>
        </commentChain>
      </unresolved>
      <resolved/>
    </commentChains>
    <commentChains s:ref="AG378" rgbClr="FF0000">
      <unresolved>
        <commentChain chainId="125535b076a8777a8e17829455c588d8dbe36cd9">
          <item id="dc87af769f5dcc8ea932b31f4ed8337cc299851e" userID="1850010794" userName="龙丽娟" dateTime="2026-07-29T01:33:50" isNormal="0">
            <s:text>
              <s:r>
                <s:t xml:space="preserve">0001890 7/16 240pcs</s:t>
              </s:r>
            </s:text>
          </item>
        </commentChain>
      </unresolved>
      <resolved/>
    </commentChains>
    <commentChains s:ref="AI378" rgbClr="FF0000">
      <unresolved>
        <commentChain chainId="cb02f25a8823dcddc08f972cc227f46c186a56a0">
          <item id="6af69ba447f2daf17ee7402d3860f992957514e6" userID="1850010794" userName="龙丽娟" dateTime="2026-06-18T03:21:03" isNormal="0">
            <s:text>
              <s:r>
                <s:t xml:space="preserve">6/22 上3 张HK 客供警语贴纸 252pcs</s:t>
              </s:r>
            </s:text>
          </item>
        </commentChain>
      </unresolved>
      <resolved/>
    </commentChains>
    <commentChains s:ref="AG379" rgbClr="FF0000">
      <unresolved>
        <commentChain chainId="50dc4d3ef0b742b25787f178804c533873619ede">
          <item id="847d906b5b968a9a9c82e84a5fd0183a2161add3" userID="1850010794" userName="龙丽娟" dateTime="2026-07-29T01:31:53" isNormal="0">
            <s:text>
              <s:r>
                <s:t xml:space="preserve">1016750 7/20 704pcs</s:t>
              </s:r>
            </s:text>
          </item>
        </commentChain>
      </unresolved>
      <resolved/>
    </commentChains>
    <commentChains s:ref="AI379" rgbClr="FF0000">
      <unresolved>
        <commentChain chainId="ac3e2f46050c95e68b9329b73275a5fb2b05ff22">
          <item id="de0377f9364ecd4a601a45394d9e29c5438b1485" userID="1850010794" userName="龙丽娟" dateTime="2026-07-13T01:11:43" isNormal="0">
            <s:text>
              <s:r>
                <s:t xml:space="preserve">6/30 上进口商贴纸 704pcs</s:t>
              </s:r>
            </s:text>
          </item>
        </commentChain>
      </unresolved>
      <resolved/>
    </commentChains>
    <commentChains s:ref="AI380" rgbClr="FF0000">
      <unresolved>
        <commentChain chainId="ae7c95959aecaef3e31ababfe118197799fe95ac">
          <item id="d2026d3fbb3dfd2bf2450a0ac9477b95bd05795a" userID="1850010794" userName="龙丽娟" dateTime="2026-07-12T12:00:25" isNormal="0">
            <s:text>
              <s:r>
                <s:t xml:space="preserve">7/7上进口商/upc贴纸各12528pcs
206033/208984共用</s:t>
              </s:r>
            </s:text>
          </item>
          <item id="3092c3b38f60cadff874f0c2957ebd2329b2a4f7" userID="1850010794" userName="龙丽娟" dateTime="2026-07-19T07:51:52" isNormal="0">
            <s:text>
              <s:r>
                <s:t xml:space="preserve">7/11补订进口商贴纸4500pcs</s:t>
              </s:r>
            </s:text>
          </item>
        </commentChain>
      </unresolved>
      <resolved/>
    </commentChains>
    <commentChains s:ref="AG386" rgbClr="FF0000">
      <unresolved>
        <commentChain chainId="780d0f5eb544c84dccaea96dd752fa3ee346bc9d">
          <item id="bdbf93dd631d87a4acf8f69d9907e92931fe67ad" userID="1850010794" userName="龙丽娟" dateTime="2026-07-14T11:24:57" isNormal="0">
            <s:text>
              <s:r>
                <s:t xml:space="preserve">7/11 2801284 2704pcs欣泰e7</s:t>
              </s:r>
            </s:text>
          </item>
        </commentChain>
      </unresolved>
      <resolved/>
    </commentChains>
    <commentChains s:ref="AI386" rgbClr="FF0000">
      <unresolved>
        <commentChain chainId="ed03a216fba547416f656787882054d3ef183c61">
          <item id="62b25b96516215a5b1714abcf870a90fd49390bb" userID="1850010794" userName="龙丽娟" dateTime="2026-07-07T09:23:56" isNormal="0">
            <s:text>
              <s:r>
                <s:t xml:space="preserve">6/29上sscc外箱贴纸177pcs</s:t>
              </s:r>
            </s:text>
          </item>
          <item id="eae2181e6d85608c47a6e7e61ea76ddb4e951c39" userID="1850010794" userName="龙丽娟" dateTime="2026-07-09T13:37:49" isNormal="0">
            <s:text>
              <s:r>
                <s:t xml:space="preserve">7/9收到亚马逊外箱贴纸169pcs</s:t>
              </s:r>
            </s:text>
          </item>
        </commentChain>
      </unresolved>
      <resolved/>
    </commentChains>
    <commentChains s:ref="AG387" rgbClr="FF0000">
      <unresolved>
        <commentChain chainId="fcbd0b872bf689bcf5a6629d3f86015878ec83dc">
          <item id="95381643802f148183da044165d11ff1da02f0d5" userID="1850010794" userName="龙丽娟" dateTime="2026-07-14T11:25:39" isNormal="0">
            <s:text>
              <s:r>
                <s:t xml:space="preserve">7/11 2801284 1056pcs欣泰A5</s:t>
              </s:r>
            </s:text>
          </item>
        </commentChain>
      </unresolved>
      <resolved/>
    </commentChains>
    <commentChains s:ref="AI387" rgbClr="FF0000">
      <unresolved>
        <commentChain chainId="3b4f3b4a64109e5b9df1990e593a93a366d9b6f6">
          <item id="87e674063911b55192c428211bab97a9d03e2585" userID="1850010794" userName="龙丽娟" dateTime="2026-07-09T13:38:02" isNormal="0">
            <s:text>
              <s:r>
                <s:t xml:space="preserve">7/9收到亚马逊外箱贴纸66pcs</s:t>
              </s:r>
            </s:text>
          </item>
        </commentChain>
      </unresolved>
      <resolved/>
    </commentChains>
    <commentChains s:ref="AG388" rgbClr="FF0000">
      <unresolved>
        <commentChain chainId="cd143e5473befd3c23701c8d17c403dbd5ca2d2a">
          <item id="6e889eb4a20d7581b5506ab7eae8a3894054bfcc" userID="1850010794" userName="龙丽娟" dateTime="2026-07-14T11:25:58" isNormal="0">
            <s:text>
              <s:r>
                <s:t xml:space="preserve">7/11 2801284 928pcs欣泰d6</s:t>
              </s:r>
            </s:text>
          </item>
        </commentChain>
      </unresolved>
      <resolved/>
    </commentChains>
    <commentChains s:ref="AI388" rgbClr="FF0000">
      <unresolved>
        <commentChain chainId="1f6d52a0567afd8c7bd3487b7adc41ed6ea4c4a1">
          <item id="3aaabd83298908c99d743ed6819b51225c7f85eb" userID="1850010794" userName="龙丽娟" dateTime="2026-07-09T13:38:14" isNormal="0">
            <s:text>
              <s:r>
                <s:t xml:space="preserve">7/9收到亚马逊外箱贴纸58pcs</s:t>
              </s:r>
            </s:text>
          </item>
        </commentChain>
      </unresolved>
      <resolved/>
    </commentChains>
    <commentChains s:ref="AG389" rgbClr="FF0000">
      <unresolved>
        <commentChain chainId="578342600b3254034ca4ffa1980496558ada4a19">
          <item id="0480b48180ef5e5ed4fd8c83e7e16f4774c92c0f" userID="1850010794" userName="龙丽娟" dateTime="2026-08-11T06:02:52" isNormal="0">
            <s:text>
              <s:r>
                <s:t xml:space="preserve">1016770 8/11 5192pcs</s:t>
              </s:r>
            </s:text>
          </item>
        </commentChain>
      </unresolved>
      <resolved/>
    </commentChains>
    <commentChains s:ref="AI389" rgbClr="FF0000">
      <unresolved>
        <commentChain chainId="913807c04bf67ec8b9d002c84d6fd6e6547fc734">
          <item id="efb83bf35d9b799bcc52da88152b699bb6460664" userID="1850010794" userName="龙丽娟" dateTime="2026-07-13T01:12:30" isNormal="0">
            <s:text>
              <s:r>
                <s:t xml:space="preserve">7/1 上客供外箱贴纸 656pcs</s:t>
              </s:r>
            </s:text>
          </item>
        </commentChain>
      </unresolved>
      <resolved/>
    </commentChains>
    <commentChains s:ref="AG390" rgbClr="FF0000">
      <unresolved>
        <commentChain chainId="bb327a0d7b37b70e4418aa2f31c2ba3f287fba48">
          <item id="e39227740174e7dfb151316cf427057c47288e89" userID="1850010794" userName="龙丽娟" dateTime="2026-07-22T11:41:28" isNormal="0">
            <s:text>
              <s:r>
                <s:t xml:space="preserve">7/20 3003160 1328pcs钜顺负二楼</s:t>
              </s:r>
            </s:text>
          </item>
        </commentChain>
      </unresolved>
      <resolved/>
    </commentChains>
    <commentChains s:ref="AI390" rgbClr="FF0000">
      <unresolved>
        <commentChain chainId="5e11fe7ce47961ebcc0cf2dec3dc84b95b5db60d">
          <item id="a629fad42ec1277435d73059f562b47097a79376" userID="1850010794" userName="龙丽娟" dateTime="2026-07-09T13:33:43" isNormal="0">
            <s:text>
              <s:r>
                <s:t xml:space="preserve">7/9上upc贴纸1328pcs</s:t>
              </s:r>
            </s:text>
          </item>
        </commentChain>
      </unresolved>
      <resolved/>
    </commentChains>
    <commentChains s:ref="AG392" rgbClr="FF0000">
      <unresolved>
        <commentChain chainId="3a145f030df56333f619694cc2e26d6d268a59c3">
          <item id="b763f721e5e96421cae07037d4b59cedb3df0ebe" userID="1850010794" userName="龙丽娟" dateTime="2026-07-29T01:28:04" isNormal="0">
            <s:text>
              <s:r>
                <s:t xml:space="preserve">1016754 7/27 640pcs</s:t>
              </s:r>
            </s:text>
          </item>
        </commentChain>
      </unresolved>
      <resolved/>
    </commentChains>
    <commentChains s:ref="AG393" rgbClr="FF0000">
      <unresolved>
        <commentChain chainId="711ee0c3bb581b237c2992844221794fef2a36b0">
          <item id="5a44ca03d3703e6b230b2037ec4e90dac48727eb" userID="1850010794" userName="龙丽娟" dateTime="2026-07-29T01:28:24" isNormal="0">
            <s:text>
              <s:r>
                <s:t xml:space="preserve">1016754 7/27 1360pcs</s:t>
              </s:r>
            </s:text>
          </item>
        </commentChain>
      </unresolved>
      <resolved/>
    </commentChains>
    <commentChains s:ref="AI394" rgbClr="FF0000">
      <unresolved>
        <commentChain chainId="dd45ba74d37a4a893bc4915daf99a44fbf795c46">
          <item id="b4b2f33d6f6d5949713dc7335c4f7a8b4e5ad54f" userID="1850010794" userName="龙丽娟" dateTime="2026-07-14T06:37:01" isNormal="0">
            <s:text>
              <s:r>
                <s:t xml:space="preserve">7/14 已跟河源确认收到外箱贴纸 2045pcs</s:t>
              </s:r>
            </s:text>
          </item>
          <item id="bd02c88a1e585f4490ae4a0a23a2e46268b99b23" userID="1850010794" userName="龙丽娟" dateTime="2026-07-15T13:48:24" isNormal="0">
            <s:text>
              <s:r>
                <s:t xml:space="preserve">7/15上客供亚马逊外箱贴纸2045pcs</s:t>
              </s:r>
            </s:text>
          </item>
        </commentChain>
      </unresolved>
      <resolved/>
    </commentChains>
    <commentChains s:ref="AI395" rgbClr="FF0000">
      <unresolved>
        <commentChain chainId="92f97d0835de06a99166c23a8de9b6f67206af99">
          <item id="c3dbfec652af3a833b008d8400e9b27a75e73fc0" isNormal="1">
            <s:text>
              <s:r>
                <s:t xml:space="preserve">Administrator:
5/14上客供RFID贴纸20736pcs</s:t>
              </s:r>
            </s:text>
          </item>
          <item id="82414d945291f7dcfef26004a076378187dc9a4f" userID="1850010794" userName="龙丽娟" dateTime="2026-07-23T12:11:08" isNormal="0">
            <s:text>
              <s:r>
                <s:t xml:space="preserve">7/18 上客供RFID贴纸20736pcs</s:t>
              </s:r>
            </s:text>
          </item>
        </commentChain>
      </unresolved>
      <resolved/>
    </commentChains>
    <commentChains s:ref="AI396" rgbClr="FF0000">
      <unresolved>
        <commentChain chainId="f13edfe5cf9010150572c846b5c049753992736a">
          <item id="f4d8ec977126d37d02c790f904986aa1f0ad6984" isNormal="1">
            <s:text>
              <s:r>
                <s:t xml:space="preserve">Administrator:
5/14上客供RFID贴纸17216pcs</s:t>
              </s:r>
            </s:text>
          </item>
          <item id="b4f5cb7734e0765798dba85dcf8d3c3d6e532af4" userID="1850010794" userName="龙丽娟" dateTime="2026-07-23T12:15:24" isNormal="0">
            <s:text>
              <s:r>
                <s:t xml:space="preserve">7/17 客供RFID贴纸17216pcs</s:t>
              </s:r>
            </s:text>
          </item>
        </commentChain>
      </unresolved>
      <resolved/>
    </commentChains>
    <commentChains s:ref="AI398" rgbClr="FF0000">
      <unresolved>
        <commentChain chainId="c0a1e84cc0f302343c03ce8afdf5e9bb1f0ce1d7">
          <item id="23ea78c8317653d912db2ef2b14b84be16e57b8d" userID="1850010794" userName="龙丽娟" dateTime="2026-07-09T13:36:55" isNormal="0">
            <s:text>
              <s:r>
                <s:t xml:space="preserve">7/9上款号条码贴纸/警语贴纸/地址贴纸各800</s:t>
              </s:r>
            </s:text>
          </item>
        </commentChain>
      </unresolved>
      <resolved/>
    </commentChains>
    <commentChains s:ref="AI400" rgbClr="FF0000">
      <unresolved>
        <commentChain chainId="8057c0765ef4eafc757406533f1a5c647d242740">
          <item id="10f259e38c64175f2735393e9059e24f01aa18ba" userID="1850010794" userName="龙丽娟" dateTime="2026-07-19T09:14:28" isNormal="0">
            <s:text>
              <s:r>
                <s:t xml:space="preserve">7/14上多语警语贴纸3000pcs</s:t>
              </s:r>
            </s:text>
          </item>
        </commentChain>
      </unresolved>
      <resolved/>
    </commentChains>
    <commentChains s:ref="AG401" rgbClr="FF0000">
      <unresolved>
        <commentChain chainId="e2fe56163d2babf7d39de1068acb0a4580e553ea">
          <item id="7accba492c6e48c85ca3ae953c15996061c93692" userID="1850010794" userName="龙丽娟" dateTime="2026-07-29T01:32:15" isNormal="0">
            <s:text>
              <s:r>
                <s:t xml:space="preserve">1016750 7/20 2000pcs</s:t>
              </s:r>
            </s:text>
          </item>
        </commentChain>
      </unresolved>
      <resolved/>
    </commentChains>
    <commentChains s:ref="AI401" rgbClr="FF0000">
      <unresolved>
        <commentChain chainId="ca6ac8cceba118bc4b06f085095cbe263c29d236">
          <item id="e48b61b67950ec3567120953b993c985699517ad" userID="1850010794" userName="龙丽娟" dateTime="2026-07-09T13:34:31" isNormal="0">
            <s:text>
              <s:r>
                <s:t xml:space="preserve">7/9上客人通用进口商贴纸2000pcs</s:t>
              </s:r>
            </s:text>
          </item>
        </commentChain>
      </unresolved>
      <resolved/>
    </commentChains>
    <commentChains s:ref="AI402" rgbClr="FF0000">
      <unresolved>
        <commentChain chainId="6e88cba33f27072e27b3bcbbd2255c74997b6e2a">
          <item id="10059304fdd8ccd578e3d7e8006541b312823efb" isNormal="1">
            <s:text>
              <s:r>
                <s:t xml:space="preserve">Administrator:
5/14上客供RFID贴纸26112pcs</s:t>
              </s:r>
            </s:text>
          </item>
          <item id="df4e5d90e21215d12ac9601f106c581ecc32c3e2" userID="1850010794" userName="龙丽娟" dateTime="2026-07-23T12:15:06" isNormal="0">
            <s:text>
              <s:r>
                <s:t xml:space="preserve">7/17 客供RFID贴纸26112pcs</s:t>
              </s:r>
            </s:text>
          </item>
        </commentChain>
      </unresolved>
      <resolved/>
    </commentChains>
    <commentChains s:ref="AI403" rgbClr="FF0000">
      <unresolved>
        <commentChain chainId="347e1f835fa54ff291ef172c202598d8d4eb966b">
          <item id="7f03d0c2c64893244da223c26a4d0304f5078699" userID="1850010794" userName="龙丽娟" dateTime="2026-07-15T14:01:46" isNormal="0">
            <s:text>
              <s:r>
                <s:t xml:space="preserve">7/15上UPC贴纸3200pcs</s:t>
              </s:r>
            </s:text>
          </item>
        </commentChain>
      </unresolved>
      <resolved/>
    </commentChains>
    <commentChains s:ref="AG405" rgbClr="FF0000">
      <unresolved>
        <commentChain chainId="d066e88953223de6417db14464a3f4f8b67e8832">
          <item id="f35d00e8aa439ad9707058db71748abe18c29477" userID="1850010794" userName="龙丽娟" dateTime="2026-07-14T11:42:08" isNormal="0">
            <s:text>
              <s:r>
                <s:t xml:space="preserve">7/10 2201276 6960pcs 应兴A6</s:t>
              </s:r>
            </s:text>
          </item>
        </commentChain>
      </unresolved>
      <resolved/>
    </commentChains>
    <commentChains s:ref="AI405" rgbClr="FF0000">
      <unresolved>
        <commentChain chainId="875d99c0466da58dbefa55847fb655e8c28bb850">
          <item id="1d7283e01b0d9ebc79ec781a01213e01afef31de" userID="1850010794" userName="龙丽娟" dateTime="2026-06-22T05:43:45" isNormal="0">
            <s:text>
              <s:r>
                <s:t xml:space="preserve">6/9上德语警告语贴纸6960pcs</s:t>
              </s:r>
            </s:text>
          </item>
        </commentChain>
      </unresolved>
      <resolved/>
    </commentChains>
    <commentChains s:ref="AG406" rgbClr="FF0000">
      <unresolved>
        <commentChain chainId="de0ad98b6b417376ff02dfb17e759a7195bf50f1">
          <item id="56bb6f1e865fcb0415d5a3061ff5faa9af7f1136" userID="1850010794" userName="龙丽娟" dateTime="2026-07-29T01:48:16" isNormal="0">
            <s:text>
              <s:r>
                <s:t xml:space="preserve">1016757 7/29 2400pcs</s:t>
              </s:r>
            </s:text>
          </item>
        </commentChain>
      </unresolved>
      <resolved/>
    </commentChains>
    <commentChains s:ref="AI407" rgbClr="FF0000">
      <unresolved>
        <commentChain chainId="fd3b30c9c3d373d6a0d0f0774527001393e23e11">
          <item id="9542aec458cdd7f22bb20454e0fd96f626391ad2" userID="1850010794" userName="龙丽娟" dateTime="2026-07-04T09:31:37" isNormal="0">
            <s:text>
              <s:r>
                <s:t xml:space="preserve">7/4上锂电池贴纸112pcs</s:t>
              </s:r>
            </s:text>
          </item>
        </commentChain>
      </unresolved>
      <resolved/>
    </commentChains>
    <commentChains s:ref="AI408" rgbClr="FF0000">
      <unresolved>
        <commentChain chainId="5aad0ad453c871607a0edde7ebc7a8d901c45ffd">
          <item id="4c5683cff06f8ec547abb1f143065ae7c0920130" userID="1850010794" userName="龙丽娟" dateTime="2026-07-12T11:56:14" isNormal="0">
            <s:text>
              <s:r>
                <s:t xml:space="preserve">7/7上包装贴纸1704pcs</s:t>
              </s:r>
            </s:text>
          </item>
        </commentChain>
      </unresolved>
      <resolved/>
    </commentChains>
    <commentChains s:ref="AI409" rgbClr="FF0000">
      <unresolved>
        <commentChain chainId="2ec268d015813c9c7f0b4e5488bfdf3b3c525239">
          <item id="23b91fc973b116181568b5ebcdd581e510ac4e0e" userID="1850010794" userName="龙丽娟" dateTime="2026-07-12T11:51:24" isNormal="0">
            <s:text>
              <s:r>
                <s:t xml:space="preserve">7/6上进口商贴纸2000pcs</s:t>
              </s:r>
            </s:text>
          </item>
        </commentChain>
      </unresolved>
      <resolved/>
    </commentChains>
    <commentChains s:ref="AI410" rgbClr="FF0000">
      <unresolved>
        <commentChain chainId="233ce91ec17d2e91eecd5bfe1d5ccdf43a39a43e">
          <item id="c769e8bd5594e6af076283b7095ed2ff73849ba0" userID="1850010794" userName="龙丽娟" dateTime="2026-07-12T12:19:32" isNormal="0">
            <s:text>
              <s:r>
                <s:t xml:space="preserve">7/7上upc贴纸240pcs</s:t>
              </s:r>
            </s:text>
          </item>
        </commentChain>
      </unresolved>
      <resolved/>
    </commentChains>
    <commentChains s:ref="AG411" rgbClr="FF0000">
      <unresolved>
        <commentChain chainId="510a76ca418914a5c5b81dd4b9d321993b7f1e83">
          <item id="fce8c4307bb0007962dc07b8c35babc5a0cd3e1c" userID="1850010794" userName="龙丽娟" dateTime="2026-07-30T02:47:52" isNormal="0">
            <s:text>
              <s:r>
                <s:t xml:space="preserve">1016759 7/30 1024pcs</s:t>
              </s:r>
            </s:text>
          </item>
        </commentChain>
      </unresolved>
      <resolved/>
    </commentChains>
    <commentChains s:ref="AI411" rgbClr="FF0000">
      <unresolved>
        <commentChain chainId="1c978c99530d766176451afdf0cb4e856e7204a3">
          <item id="6139f33b1213fe3fb27af6cff417e0e114da8059" userID="1850010794" userName="龙丽娟" dateTime="2026-07-12T11:18:13" isNormal="0">
            <s:text>
              <s:r>
                <s:t xml:space="preserve">7/6上客供防盗贴纸1024pcs</s:t>
              </s:r>
            </s:text>
          </item>
        </commentChain>
      </unresolved>
      <resolved/>
    </commentChains>
    <commentChains s:ref="AG414" rgbClr="FF0000">
      <unresolved>
        <commentChain chainId="55b1a4a8c28451754d45ba4243585b854c384ba4">
          <item id="ebf58a269846162135a6e463acba36d88337ac64" userID="1850010794" userName="龙丽娟" dateTime="2026-07-29T01:29:57" isNormal="0">
            <s:text>
              <s:r>
                <s:t xml:space="preserve">1016752 7/23 1400pcs</s:t>
              </s:r>
            </s:text>
          </item>
        </commentChain>
      </unresolved>
      <resolved/>
    </commentChains>
    <commentChains s:ref="AI414" rgbClr="FF0000">
      <unresolved>
        <commentChain chainId="bd43f36a6c3243ac6b16a2f9018a00e2e0e1895d">
          <item id="51a967ca574891a4927c9aeb894e0fc8d4b3f516" userID="1850010794" userName="龙丽娟" dateTime="2026-07-12T11:29:36" isNormal="0">
            <s:text>
              <s:r>
                <s:t xml:space="preserve">7/6上kmart外箱贴纸175pcs</s:t>
              </s:r>
            </s:text>
          </item>
          <item id="5349aa6fb86ce03a89a61449af7af8dd22f89b35" userID="1850010794" userName="龙丽娟" dateTime="2026-07-14T03:33:04" isNormal="0">
            <s:text>
              <s:r>
                <s:t xml:space="preserve">6/16 上白色防盗贴纸 1400pcs</s:t>
              </s:r>
            </s:text>
          </item>
        </commentChain>
      </unresolved>
      <resolved/>
    </commentChains>
    <commentChains s:ref="AG415" rgbClr="FF0000">
      <unresolved>
        <commentChain chainId="f8549b2d3dfb27ff157a25f920bd1d08d64c8061">
          <item id="fc5ce3a755be78fd67bfab4f08a44da6adb9be54" userID="1850010794" userName="龙丽娟" dateTime="2026-07-29T01:30:49" isNormal="0">
            <s:text>
              <s:r>
                <s:t xml:space="preserve">1016753 7/22 104pcs</s:t>
              </s:r>
            </s:text>
          </item>
        </commentChain>
      </unresolved>
      <resolved/>
    </commentChains>
    <commentChains s:ref="AI415" rgbClr="FF0000">
      <unresolved>
        <commentChain chainId="716f4813f9e03c3058fee3948719bfbe5aed5372">
          <item id="ec59eec342362e6c155eb4133a6e89f4bff5eea1" userID="1850010794" userName="龙丽娟" dateTime="2026-07-12T11:30:27" isNormal="0">
            <s:text>
              <s:r>
                <s:t xml:space="preserve">7/6上Kmart外箱贴纸13pcs</s:t>
              </s:r>
            </s:text>
          </item>
          <item id="7b4dee5c24ed323e4b0d7e95c2b9580ed1ae1e62" userID="1850010794" userName="龙丽娟" dateTime="2026-07-14T03:33:27" isNormal="0">
            <s:text>
              <s:r>
                <s:t xml:space="preserve">6/16 上白色防盗贴纸 104pcs</s:t>
              </s:r>
            </s:text>
          </item>
        </commentChain>
      </unresolved>
      <resolved/>
    </commentChains>
    <commentChains s:ref="AI416" rgbClr="FF0000">
      <unresolved>
        <commentChain chainId="a4f3a0a948615dd32d5c7d69cb9067722df967a4">
          <item id="65f41d1c978fc093fdd387abc068a3a670962737" userID="1850010794" userName="龙丽娟" dateTime="2026-07-12T12:00:25" isNormal="0">
            <s:text>
              <s:r>
                <s:t xml:space="preserve">7/7上进口商/upc贴纸各12528pcs
207499/208984共用</s:t>
              </s:r>
            </s:text>
          </item>
        </commentChain>
      </unresolved>
      <resolved/>
    </commentChains>
    <commentChains s:ref="AI418" rgbClr="FF0000">
      <unresolved>
        <commentChain chainId="a9d4086a3aa7d428ad6e74638daf0fb35609d4d2">
          <item id="94519bd2680f6cc4959e9634a708ad6edfb8a41f" userID="1850010794" userName="龙丽娟" dateTime="2026-06-17T10:54:30" isNormal="0">
            <s:text>
              <s:r>
                <s:t xml:space="preserve">6/16上客供RFID贴纸4608pcs</s:t>
              </s:r>
            </s:text>
          </item>
          <item id="3757696594b3550c562a908298cd8cd2c3eebb15" userID="1850010794" userName="龙丽娟" dateTime="2026-06-27T06:33:13" isNormal="0">
            <s:text>
              <s:r>
                <s:t xml:space="preserve">6/26 上锂电池贴纸 2000+17200pcs 
207763/208482/208497/211875/211883共用</s:t>
              </s:r>
            </s:text>
          </item>
          <item id="393b70aa941510201916b8b86780bed6bb53ef10" userID="1850010794" userName="龙丽娟" dateTime="2026-06-29T12:08:41" isNormal="0">
            <s:text>
              <s:r>
                <s:t xml:space="preserve">6/30 上艾利贴纸  9pcs</s:t>
              </s:r>
            </s:text>
          </item>
        </commentChain>
      </unresolved>
      <resolved/>
    </commentChains>
    <commentChains s:ref="AI419" rgbClr="FF0000">
      <unresolved>
        <commentChain chainId="20064b7e847c8223b8f4446abd3cf4f2e1042ed8">
          <item id="c9199ecbcedde599bfdb6650ca5f3c3030230021" userID="1850010794" userName="龙丽娟" dateTime="2026-06-23T11:58:11" isNormal="0">
            <s:text>
              <s:r>
                <s:t xml:space="preserve">6/23上upc贴纸16944</s:t>
              </s:r>
            </s:text>
          </item>
        </commentChain>
      </unresolved>
      <resolved/>
    </commentChains>
    <commentChains s:ref="AG422" rgbClr="FF0000">
      <unresolved>
        <commentChain chainId="204f18f322477775f4fb6f4ada6ad3fde1660af6">
          <item id="c6255c128eb05ec4d093af5b4508141e22228347" userID="1850010794" userName="龙丽娟" dateTime="2026-08-13T03:09:57" isNormal="0">
            <s:text>
              <s:r>
                <s:t xml:space="preserve">3003180 7/23 224pcs</s:t>
              </s:r>
            </s:text>
          </item>
        </commentChain>
      </unresolved>
      <resolved/>
    </commentChains>
    <commentChains s:ref="AG443" rgbClr="FF0000">
      <unresolved>
        <commentChain chainId="0961ce1ca91c4ddfae149eb0c1ca57c8f00e9920">
          <item id="b79b74c05bb5a840a561e8d4d2108d3f6abcb289" userID="1850010794" userName="龙丽娟" dateTime="2026-07-29T01:47:44" isNormal="0">
            <s:text>
              <s:r>
                <s:t xml:space="preserve">1016757 7/29 7376pcs</s:t>
              </s:r>
            </s:text>
          </item>
        </commentChain>
      </unresolved>
      <resolved/>
    </commentChains>
    <commentChains s:ref="AI443" rgbClr="FF0000">
      <unresolved>
        <commentChain chainId="b6b91dcfdd44a2f60f515a64e33051b2ea23625d">
          <item id="491396c1a68819377cd9256f463463ba2607f6be" userID="1850010794" userName="龙丽娟" dateTime="2026-07-12T11:20:36" isNormal="0">
            <s:text>
              <s:r>
                <s:t xml:space="preserve">7/6上客供外箱条码贴纸932pcs</s:t>
              </s:r>
            </s:text>
          </item>
        </commentChain>
      </unresolved>
      <resolved/>
    </commentChains>
    <commentChains s:ref="AI444" rgbClr="FF0000">
      <unresolved>
        <commentChain chainId="2d3fd128529d661d54a116ea3d9a3dc9e792b891">
          <item id="4917ef4b73e537cce6d71c1976823190a1717535" userID="1850010794" userName="龙丽娟" dateTime="2026-07-19T07:42:16" isNormal="0">
            <s:text>
              <s:r>
                <s:t xml:space="preserve">7/11上进口商/UPC贴纸各880pcs</s:t>
              </s:r>
            </s:text>
          </item>
        </commentChain>
      </unresolved>
      <resolved/>
    </commentChains>
    <commentChains s:ref="AI445" rgbClr="FF0000">
      <unresolved>
        <commentChain chainId="1414e150e9847d052eb5e84b460560ded741cbad">
          <item id="8fee50c02f9003b3aad149916637ccaf7d3f8de3" userID="1850010794" userName="龙丽娟" dateTime="2026-07-12T11:55:48" isNormal="0">
            <s:text>
              <s:r>
                <s:t xml:space="preserve">7/7上进口商/upc贴纸各400pcs</s:t>
              </s:r>
            </s:text>
          </item>
        </commentChain>
      </unresolved>
      <resolved/>
    </commentChains>
    <commentChains s:ref="AG448" rgbClr="FF0000">
      <unresolved>
        <commentChain chainId="81058295a09ebb1fc33982d42c58d04bd964b2ed">
          <item id="fc8d152943bbcd44dea907d159af84baf15e9504" userID="1850010794" userName="龙丽娟" dateTime="2026-07-14T13:39:41" isNormal="0">
            <s:text>
              <s:r>
                <s:t xml:space="preserve">7/6 2201228 2880 pcs欣泰c6</s:t>
              </s:r>
            </s:text>
          </item>
        </commentChain>
      </unresolved>
      <resolved/>
    </commentChains>
    <commentChains s:ref="AG449" rgbClr="FF0000">
      <unresolved>
        <commentChain chainId="d1700ea60358cdc3daefcbbc44b9616f2e7510b7">
          <item id="f936b988f5a2d89c524bba5986f6b4bb1fdd59ab" userID="1850010794" userName="龙丽娟" dateTime="2026-07-22T12:03:05" isNormal="0">
            <s:text>
              <s:r>
                <s:t xml:space="preserve">7/17 1001878 4176pcs顶均d2</s:t>
              </s:r>
            </s:text>
          </item>
        </commentChain>
      </unresolved>
      <resolved/>
    </commentChains>
    <commentChains s:ref="AI449" rgbClr="FF0000">
      <unresolved>
        <commentChain chainId="f7b93dafe1c01f35c3a70bfe5d9eae3aba36d276">
          <item id="02522bd558da585c841f22051be27a955ff45b04" userID="1850010794" userName="龙丽娟" dateTime="2026-06-30T06:46:06" isNormal="0">
            <s:text>
              <s:r>
                <s:t xml:space="preserve">6/26上UPC贴纸4176pcs</s:t>
              </s:r>
            </s:text>
          </item>
        </commentChain>
      </unresolved>
      <resolved/>
    </commentChains>
    <commentChains s:ref="AG451" rgbClr="FF0000">
      <unresolved>
        <commentChain chainId="45c24a5f48463440d73ec1843ce84b1873a3d049">
          <item id="96920bd50090038b5cc08607644f8ff9901b832f" userID="1850010794" userName="龙丽娟" dateTime="2026-07-22T12:35:02" isNormal="0">
            <s:text>
              <s:r>
                <s:t xml:space="preserve">7/17 1001897 496pcs顶均c4</s:t>
              </s:r>
            </s:text>
          </item>
        </commentChain>
      </unresolved>
      <resolved/>
    </commentChains>
    <commentChains s:ref="AI451" rgbClr="FF0000">
      <unresolved>
        <commentChain chainId="de0cebdf537c16392d4f5066fbdf626ddb9865a8">
          <item id="c5d5922d91c7aefe5dc4f2490fcdc89b0e77a06c" userID="1850010794" userName="龙丽娟" dateTime="2026-07-12T12:36:23" isNormal="0">
            <s:text>
              <s:r>
                <s:t xml:space="preserve">7/8上upc贴纸688pcs
203228/203233共用</s:t>
              </s:r>
            </s:text>
          </item>
        </commentChain>
      </unresolved>
      <resolved/>
    </commentChains>
    <commentChains s:ref="AG452" rgbClr="FF0000">
      <unresolved>
        <commentChain chainId="c54878415693836ba7e3bdf43d5237206f52dc1c">
          <item id="1970e81bc4d20059a6cdbfbaefeb156985cfcfb3" userID="1850010794" userName="龙丽娟" dateTime="2026-07-22T12:35:32" isNormal="0">
            <s:text>
              <s:r>
                <s:t xml:space="preserve">7/17 1001897 392pcs顶均c4</s:t>
              </s:r>
            </s:text>
          </item>
        </commentChain>
      </unresolved>
      <resolved/>
    </commentChains>
    <commentChains s:ref="AI452" rgbClr="FF0000">
      <unresolved>
        <commentChain chainId="db2344f04eae406db557a64ca2349c8b81a1d6c9">
          <item id="4d64c1804ac37e4c4ccd1fd5643d394168d12f0c" userID="1850010794" userName="龙丽娟" dateTime="2026-07-12T12:36:23" isNormal="0">
            <s:text>
              <s:r>
                <s:t xml:space="preserve">7/8上upc贴纸688pcs
203228/203233共用</s:t>
              </s:r>
            </s:text>
          </item>
        </commentChain>
      </unresolved>
      <resolved/>
    </commentChains>
    <commentChains s:ref="AG453" rgbClr="FF0000">
      <unresolved>
        <commentChain chainId="24e2702d31f19e1d50d07cca9d5262c7fdf4b0a8">
          <item id="8d077bca1d1bfc317dbf625cd1cf1b04ad13ee87" userID="1850010794" userName="龙丽娟" dateTime="2026-07-29T01:33:34" isNormal="0">
            <s:text>
              <s:r>
                <s:t xml:space="preserve">0001890 7/16 7056pcs</s:t>
              </s:r>
            </s:text>
          </item>
        </commentChain>
      </unresolved>
      <resolved/>
    </commentChains>
    <commentChains s:ref="AG454" rgbClr="FF0000">
      <unresolved>
        <commentChain chainId="65e61ebbf27f2eae51f36068ed9674cfbedd205b">
          <item id="4b8d0044edc9acb22a04b5c5ae431d35790f3ec0" userID="1850010794" userName="龙丽娟" dateTime="2026-07-22T11:57:35" isNormal="0">
            <s:text>
              <s:r>
                <s:t xml:space="preserve">7/17 1001895 8040pcs欣泰F5</s:t>
              </s:r>
            </s:text>
          </item>
          <item id="03199eb234faa80ebe4bf43d00d638ad1cf84204" userID="1850010794" userName="龙丽娟" dateTime="2026-07-22T12:01:09" isNormal="0">
            <s:text>
              <s:r>
                <s:t xml:space="preserve">7/17 1001878 960pcs顶均c3</s:t>
              </s:r>
            </s:text>
          </item>
        </commentChain>
      </unresolved>
      <resolved/>
    </commentChains>
    <commentChains s:ref="AG455" rgbClr="FF0000">
      <unresolved>
        <commentChain chainId="0dc57e187fa52a599fa9307739c3dd036c3c24e1">
          <item id="5a045cf21b5dfa83a18b2fd09a553ab14729bc94" userID="1850010794" userName="龙丽娟" dateTime="2026-07-22T11:40:38" isNormal="0">
            <s:text>
              <s:r>
                <s:t xml:space="preserve">7/20 1001721 32pcs补单</s:t>
              </s:r>
            </s:text>
          </item>
          <item id="a236866660dce3461a9e925fd6fd251e03685982" userID="1850010794" userName="龙丽娟" dateTime="2026-07-22T11:58:05" isNormal="0">
            <s:text>
              <s:r>
                <s:t xml:space="preserve">7/17 1001895 10000pcs欣泰F5</s:t>
              </s:r>
            </s:text>
          </item>
        </commentChain>
      </unresolved>
      <resolved/>
    </commentChains>
    <commentChains s:ref="AI455" rgbClr="FF0000">
      <unresolved>
        <commentChain chainId="fdc4de6f8593bda262a4b7852b7096a0e38418ee">
          <item id="99126487f2e301cdd9dcf5254e2a59988425a58e" isNormal="1">
            <s:text>
              <s:r>
                <s:t xml:space="preserve">Administrator:
5/14 上客供价格贴纸10500pcs</s:t>
              </s:r>
            </s:text>
          </item>
        </commentChain>
      </unresolved>
      <resolved/>
    </commentChains>
    <commentChains s:ref="AG456" rgbClr="FF0000">
      <unresolved>
        <commentChain chainId="dec0baf1096e737f48011390adef178309aee71a">
          <item id="bb4b914901ac401a8c5b515e1b10a31599701e7f" userID="1850010794" userName="龙丽娟" dateTime="2026-07-22T12:05:03" isNormal="0">
            <s:text>
              <s:r>
                <s:t xml:space="preserve">7/17 1001878 3200pcs顶均d1</s:t>
              </s:r>
            </s:text>
          </item>
        </commentChain>
      </unresolved>
      <resolved/>
    </commentChains>
    <commentChains s:ref="AI457" rgbClr="FF0000">
      <unresolved>
        <commentChain chainId="e2657102d5f36b0a7a6a282dd70acceb1208a312">
          <item id="ffd0d4c2abf0a6c3b9bb54c6a50847e9f0b34587" userID="1850010794" userName="龙丽娟" dateTime="2026-07-12T11:21:09" isNormal="0">
            <s:text>
              <s:r>
                <s:t xml:space="preserve">7/6上客供外箱条码贴纸656pcs</s:t>
              </s:r>
            </s:text>
          </item>
        </commentChain>
      </unresolved>
      <resolved/>
    </commentChains>
    <commentChains s:ref="AG459" rgbClr="FF0000">
      <unresolved>
        <commentChain chainId="6a737f17c84a68addd46467050a58c95f78274f4">
          <item id="3d88c1047e4cf344e3c42f24ff987f6b32da0ecc" userID="1850010794" userName="龙丽娟" dateTime="2026-08-03T01:41:32" isNormal="0">
            <s:text>
              <s:r>
                <s:t xml:space="preserve">1016761 7/31 1504pcs</s:t>
              </s:r>
            </s:text>
          </item>
        </commentChain>
      </unresolved>
      <resolved/>
    </commentChains>
    <commentChains s:ref="AI459" rgbClr="FF0000">
      <unresolved>
        <commentChain chainId="56c266a0e22b16ebcf3ebfa9d54575de402c7f2a">
          <item id="be724b20e679ba614a468fc31a86e035d1a5265d" userID="1850010794" userName="龙丽娟" dateTime="2026-07-12T12:23:07" isNormal="0">
            <s:text>
              <s:r>
                <s:t xml:space="preserve">7/7上进口商贴纸1504pcs</s:t>
              </s:r>
            </s:text>
          </item>
        </commentChain>
      </unresolved>
      <resolved/>
    </commentChains>
    <commentChains s:ref="AG460" rgbClr="FF0000">
      <unresolved>
        <commentChain chainId="d04acddf587e5689e80d046cdb85aaf7ca994e7a">
          <item id="ba943718da7b9c56fd067399b308530ac6d9395e" userID="1850010794" userName="龙丽娟" dateTime="2026-08-11T05:59:54" isNormal="0">
            <s:text>
              <s:r>
                <s:t xml:space="preserve">1016758 7/30 504pcs</s:t>
              </s:r>
            </s:text>
          </item>
        </commentChain>
      </unresolved>
      <resolved/>
    </commentChains>
    <commentChains s:ref="AI461" rgbClr="FF0000">
      <unresolved>
        <commentChain chainId="12bb601a4e843b4ae74a03e4c03d3ed60b7881dc">
          <item id="bea92efb4cfad02d2b655384b2825914632cf264" userID="1850010794" userName="龙丽娟" dateTime="2026-07-09T13:35:06" isNormal="0">
            <s:text>
              <s:r>
                <s:t xml:space="preserve">7/9上警告语贴纸352pcs</s:t>
              </s:r>
            </s:text>
          </item>
        </commentChain>
      </unresolved>
      <resolved/>
    </commentChains>
    <commentChains s:ref="AG462" rgbClr="FF0000">
      <unresolved>
        <commentChain chainId="4f6c7351a36a294742169ca7e7004bce2860c3ea">
          <item id="9a281f2febb3ff8f43b1336726c010982c67bee7" userID="1850010794" userName="龙丽娟" dateTime="2026-07-29T01:28:49" isNormal="0">
            <s:text>
              <s:r>
                <s:t xml:space="preserve">1016754 7/27 768pcs</s:t>
              </s:r>
            </s:text>
          </item>
        </commentChain>
      </unresolved>
      <resolved/>
    </commentChains>
    <commentChains s:ref="AG463" rgbClr="FF0000">
      <unresolved>
        <commentChain chainId="7212a9e5e298c592136b1173260911647c2e18c6">
          <item id="1a7fb5ed0d14f059a6fe9272c54f208857cff299" userID="1850010794" userName="龙丽娟" dateTime="2026-07-29T01:28:49" isNormal="0">
            <s:text>
              <s:r>
                <s:t xml:space="preserve">1016754 7/27 680pcs</s:t>
              </s:r>
            </s:text>
          </item>
        </commentChain>
      </unresolved>
      <resolved/>
    </commentChains>
    <commentChains s:ref="AG464" rgbClr="FF0000">
      <unresolved>
        <commentChain chainId="99e6c45eea351f11dc0c70759eb0b874a14c6bc2">
          <item id="bfe53b974cb28bb0eb801767d04e09a80bb6090a" userID="1850010794" userName="龙丽娟" dateTime="2026-07-29T01:28:49" isNormal="0">
            <s:text>
              <s:r>
                <s:t xml:space="preserve">1016754 7/27 320pcs</s:t>
              </s:r>
            </s:text>
          </item>
        </commentChain>
      </unresolved>
      <resolved/>
    </commentChains>
    <commentChains s:ref="AI468" rgbClr="FF0000">
      <unresolved>
        <commentChain chainId="0de48aab4d5d74f89fbc4fc1308d4bd2c743b1ba">
          <item id="6ef8956bed97866f8326f4c2b9f0bbc7efbc0227" userID="1850010794" userName="龙丽娟" dateTime="2026-07-15T13:34:44" isNormal="0">
            <s:text>
              <s:r>
                <s:t xml:space="preserve">7/15 上UPC贴纸1408pcs</s:t>
              </s:r>
            </s:text>
          </item>
        </commentChain>
      </unresolved>
      <resolved/>
    </commentChains>
    <commentChains s:ref="AI469" rgbClr="FF0000">
      <unresolved>
        <commentChain chainId="ceb7ffd0cee479657cb199f097d5e5a575e8e73f">
          <item id="f6aaa13cd95bcdfe0f30b1a5c77b91b2118dee09" userID="1850010794" userName="龙丽娟" dateTime="2026-07-09T13:35:30" isNormal="0">
            <s:text>
              <s:r>
                <s:t xml:space="preserve">7/9上保证书704pcs</s:t>
              </s:r>
            </s:text>
          </item>
          <item id="ece2704dcff4ea1428dbac990a71a2a8997cb74a" userID="1850010794" userName="龙丽娟" dateTime="2026-07-12T12:23:54" isNormal="0">
            <s:text>
              <s:r>
                <s:t xml:space="preserve">7/8上包装贴纸/说明书贴纸各704pcs</s:t>
              </s:r>
            </s:text>
          </item>
          <item id="3771f498b11405d6b15c293fe709c547d37989c8" userID="1850010794" userName="龙丽娟" dateTime="2026-07-19T09:18:48" isNormal="0">
            <s:text>
              <s:r>
                <s:t xml:space="preserve">7/14上客供价格贴纸835pcs</s:t>
              </s:r>
            </s:text>
          </item>
        </commentChain>
      </unresolved>
      <resolved/>
    </commentChains>
    <commentChains s:ref="AI470" rgbClr="FF0000">
      <unresolved>
        <commentChain chainId="f8b898cbb853d4031768d00ff118ec04475869c1">
          <item id="6b6acf243bf0fed8ca6f97678a710626feb83501" userID="1850010794" userName="龙丽娟" dateTime="2026-07-15T13:59:12" isNormal="0">
            <s:text>
              <s:r>
                <s:t xml:space="preserve">7/15EAN条码贴纸2000pcs</s:t>
              </s:r>
            </s:text>
          </item>
          <item id="33f27a0c29e187130a4093144f0d02c71b540725" userID="1850010794" userName="龙丽娟" dateTime="2026-07-19T09:39:45" isNormal="0">
            <s:text>
              <s:r>
                <s:t xml:space="preserve">7/16上客户进口商贴纸2000pc</s:t>
              </s:r>
            </s:text>
          </item>
        </commentChain>
      </unresolved>
      <resolved/>
    </commentChains>
    <commentChains s:ref="AG471" rgbClr="FF0000">
      <unresolved>
        <commentChain chainId="a8f5f77c6c992c7227c42d5d4ec63bd02b39f771">
          <item id="7dd23d7d3ef76a3d3810b1e941234b7aa3fd5298" userID="1850010794" userName="龙丽娟" dateTime="2026-08-03T07:32:54" isNormal="0">
            <s:text>
              <s:r>
                <s:t xml:space="preserve">1016762 8/3 2560pcs</s:t>
              </s:r>
            </s:text>
          </item>
        </commentChain>
      </unresolved>
      <resolved/>
    </commentChains>
    <commentChains s:ref="AI471" rgbClr="FF0000">
      <unresolved>
        <commentChain chainId="275cc3cb8296e87bac46f1b834d0fcd3514b4d07">
          <item id="f612f30e4c29ba163755e0d69966d6e67d207e44" userID="1850010794" userName="龙丽娟" dateTime="2026-07-12T11:18:13" isNormal="0">
            <s:text>
              <s:r>
                <s:t xml:space="preserve">7/6上客供防盗贴纸2560pcs</s:t>
              </s:r>
            </s:text>
          </item>
        </commentChain>
      </unresolved>
      <resolved/>
    </commentChains>
    <commentChains s:ref="AG472" rgbClr="FF0000">
      <unresolved>
        <commentChain chainId="b172c4aa415076ec2c1fc07a455d1a33e0c40ebd">
          <item id="380e3c6726cb5a7f67fd67c59ff625da3322d4e7" userID="1850010794" userName="龙丽娟" dateTime="2026-08-11T04:01:36" isNormal="0">
            <s:text>
              <s:r>
                <s:t xml:space="preserve">1016769 8/11 5008pcs</s:t>
              </s:r>
            </s:text>
          </item>
        </commentChain>
      </unresolved>
      <resolved/>
    </commentChains>
    <commentChains s:ref="AI472" rgbClr="FF0000">
      <unresolved>
        <commentChain chainId="bb74d663e46d8eaab0fe5de541730f83e6b973b6">
          <item id="9503f8aecc2f8691351ae29d610c3c2630220b58" userID="1850010794" userName="龙丽娟" dateTime="2026-06-11T05:59:45" isNormal="0">
            <s:text>
              <s:r>
                <s:t xml:space="preserve">6/20 上河源进口商贴纸（含条码)5008PCS</s:t>
              </s:r>
            </s:text>
          </item>
        </commentChain>
      </unresolved>
      <resolved/>
    </commentChains>
    <commentChains s:ref="AI473" rgbClr="FF0000">
      <unresolved>
        <commentChain chainId="b88ec36c6127e63ea3f165f5df91b319050d8838">
          <item id="2ded4f734d6a42b733f603fad4334eb9e9504c47" userID="1850010794" userName="龙丽娟" dateTime="2026-07-19T07:57:42" isNormal="0">
            <s:text>
              <s:r>
                <s:t xml:space="preserve">7/13上UPC贴纸1000pcs</s:t>
              </s:r>
            </s:text>
          </item>
        </commentChain>
      </unresolved>
      <resolved/>
    </commentChains>
    <commentChains s:ref="AI475" rgbClr="FF0000">
      <unresolved>
        <commentChain chainId="79f6c1876d6cdce36cc7ca2205a2b52c7f62f6d9">
          <item id="041be445bcc2bf87b08081b8559746ae685c3b08" userID="1850010794" userName="龙丽娟" dateTime="2026-07-15T13:46:32" isNormal="0">
            <s:text>
              <s:r>
                <s:t xml:space="preserve">7/15 EAN条码贴纸/地址贴纸各上2720pcs</s:t>
              </s:r>
            </s:text>
          </item>
          <item id="2d99d538643f2017f39659d554c591cc4b7a81d9" userID="1850010794" userName="龙丽娟" dateTime="2026-07-19T09:31:05" isNormal="0">
            <s:text>
              <s:r>
                <s:t xml:space="preserve">7/16上进口商贴纸2720pcs</s:t>
              </s:r>
            </s:text>
          </item>
        </commentChain>
      </unresolved>
      <resolved/>
    </commentChains>
    <commentChains s:ref="AI478" rgbClr="FF0000">
      <unresolved>
        <commentChain chainId="f20021e699b627c9d54c23f8d763d0cae5d51644">
          <item id="6cb493506bf5e53de8074c68769b120a9ad5a5c4" userID="1850010794" userName="龙丽娟" dateTime="2026-07-19T07:59:25" isNormal="0">
            <s:text>
              <s:r>
                <s:t xml:space="preserve">7/13上款号条码贴纸/警告语贴纸1808pcs</s:t>
              </s:r>
            </s:text>
          </item>
        </commentChain>
      </unresolved>
      <resolved/>
    </commentChains>
    <commentChains s:ref="AG479" rgbClr="FF0000">
      <unresolved>
        <commentChain chainId="8d9b602ebd5d30f7eb48a6b77e36bcb6a29012b6">
          <item id="52fad120cb02a43c424191204a89682544a74f68" userID="1850010794" userName="龙丽娟" dateTime="2026-08-11T05:56:57" isNormal="0">
            <s:text>
              <s:r>
                <s:t xml:space="preserve">1016767 8/10 4960pcs</s:t>
              </s:r>
            </s:text>
          </item>
        </commentChain>
      </unresolved>
      <resolved/>
    </commentChains>
    <commentChains s:ref="AG480" rgbClr="FF0000">
      <unresolved>
        <commentChain chainId="46b05339432798233de280a18e5c7b2428b85076">
          <item id="2e7746be5f08659479f203057b361148560c4f3c" userID="1850010794" userName="龙丽娟" dateTime="2026-07-29T01:32:39" isNormal="0">
            <s:text>
              <s:r>
                <s:t xml:space="preserve">1016751 7/21 1008pcs</s:t>
              </s:r>
            </s:text>
          </item>
        </commentChain>
      </unresolved>
      <resolved/>
    </commentChains>
    <commentChains s:ref="AI480" rgbClr="FF0000">
      <unresolved>
        <commentChain chainId="825e871ce269da0d6727a9fe11c59ffec41378d8">
          <item id="f2ff6075d950a9841bb458fd8f158659e6a8f668" userID="1850010794" userName="龙丽娟" dateTime="2026-07-14T05:41:48" isNormal="0">
            <s:text>
              <s:r>
                <s:t xml:space="preserve">7/13 上PDQ底部贴纸 126pcs</s:t>
              </s:r>
            </s:text>
          </item>
        </commentChain>
      </unresolved>
      <resolved/>
    </commentChains>
    <commentChains s:ref="AG481" rgbClr="FF0000">
      <unresolved>
        <commentChain chainId="e3de39ad6ed83bc64a58da30004b10d83c2fbfc9">
          <item id="a464ca58e508c87b400b26185df18645704a4b9d" userID="1850010794" userName="龙丽娟" dateTime="2026-08-07T12:44:05" isNormal="0">
            <s:text>
              <s:r>
                <s:t xml:space="preserve">2800365 8/1 3200pcs欣泰B3</s:t>
              </s:r>
            </s:text>
          </item>
        </commentChain>
      </unresolved>
      <resolved/>
    </commentChains>
    <commentChains s:ref="AG482" rgbClr="FF0000">
      <unresolved>
        <commentChain chainId="1d76adc8ff5f81421ed1235b38eb7ee5c6579ec4">
          <item id="a32abd0ca6801af0d782b62743e7de3d0e9c2afa" userID="1850010794" userName="龙丽娟" dateTime="2026-07-22T12:50:07" isNormal="0">
            <s:text>
              <s:r>
                <s:t xml:space="preserve">7/12 2801298 32pcs欣泰d6</s:t>
              </s:r>
            </s:text>
          </item>
        </commentChain>
      </unresolved>
      <resolved/>
    </commentChains>
    <commentChains s:ref="AI483" rgbClr="FF0000">
      <unresolved>
        <commentChain chainId="ee1556abb5742af578a6dcfa5ac4b58a27f19ec2">
          <item id="2fa715128bf0dcf3af3e4cba323f946e82f545ec" userID="1850010794" userName="龙丽娟" dateTime="2026-07-15T14:01:07" isNormal="0">
            <s:text>
              <s:r>
                <s:t xml:space="preserve">7/15上UPC/进口商贴纸各808pcs</s:t>
              </s:r>
            </s:text>
          </item>
        </commentChain>
      </unresolved>
      <resolved/>
    </commentChains>
    <commentChains s:ref="AI484" rgbClr="FF0000">
      <unresolved>
        <commentChain chainId="ada57e9dcbd7c50c87929a619f328ff5607b4406">
          <item id="fbd840d23d46f258ff8cace1666246de60631c39" userID="1850010794" userName="龙丽娟" dateTime="2026-06-23T03:34:29" isNormal="0">
            <s:text>
              <s:r>
                <s:t xml:space="preserve">6/18上HK客供警语贴纸1242pcs/HK客供警语贴纸贴收藏指南和拆件说明书1242pcs</s:t>
              </s:r>
            </s:text>
          </item>
          <item id="61acde4ce17e78f45c848ef67958282ce990773e" userID="1850010794" userName="龙丽娟" dateTime="2026-06-23T03:37:41" isNormal="0">
            <s:text>
              <s:r>
                <s:t xml:space="preserve">6/18上HK客供电池警语贴说明书1242pcs</s:t>
              </s:r>
            </s:text>
          </item>
        </commentChain>
      </unresolved>
      <resolved/>
    </commentChains>
    <commentChains s:ref="AG485" rgbClr="FF0000">
      <unresolved>
        <commentChain chainId="48c182f3c3574728c2b0aeb28c6ce98ef75e0dfe">
          <item id="3ff56bb550ea3852fea0e465e1f422c270892cd7" userID="1850010794" userName="龙丽娟" dateTime="2026-08-05T03:20:36" isNormal="0">
            <s:text>
              <s:r>
                <s:t xml:space="preserve">1016764 8/5 2000pcs</s:t>
              </s:r>
            </s:text>
          </item>
        </commentChain>
      </unresolved>
      <resolved/>
    </commentChains>
    <commentChains s:ref="AI486" rgbClr="FF0000">
      <unresolved>
        <commentChain chainId="e178b1d6bed5f8f581f2208d83efe4fd54af3074">
          <item id="da5a649e157b452a680786ae5b3269c508139627" userID="1850010794" userName="龙丽娟" dateTime="2026-07-15T14:04:03" isNormal="0">
            <s:text>
              <s:r>
                <s:t xml:space="preserve">7/15上地址贴纸26416pcs
207585/211476共用</s:t>
              </s:r>
            </s:text>
          </item>
        </commentChain>
      </unresolved>
      <resolved/>
    </commentChains>
    <commentChains s:ref="AI489" rgbClr="FF0000">
      <unresolved>
        <commentChain chainId="80e8788c83f8e14bd2d76f521e158b448500a6c1">
          <item id="1a111d34531bc3d1e9677521d6f561d6a871c84d" userID="1850010794" userName="龙丽娟" dateTime="2026-07-20T14:39:21" isNormal="0">
            <s:text>
              <s:r>
                <s:t xml:space="preserve">7/20上upc贴纸1600pcs</s:t>
              </s:r>
            </s:text>
          </item>
        </commentChain>
      </unresolved>
      <resolved/>
    </commentChains>
    <commentChains s:ref="AI492" rgbClr="FF0000">
      <unresolved>
        <commentChain chainId="7b74df56b00981c515b3519bf64701a0bff5af90">
          <item id="6f9b95ac869c4635a6811ee76b1c279d11c2347e" userID="1850010794" userName="龙丽娟" dateTime="2026-07-20T14:22:58" isNormal="0">
            <s:text>
              <s:r>
                <s:t xml:space="preserve">7/20上多语警语贴纸3000pcs</s:t>
              </s:r>
            </s:text>
          </item>
        </commentChain>
      </unresolved>
      <resolved/>
    </commentChains>
    <commentChains s:ref="AI494" rgbClr="FF0000">
      <unresolved>
        <commentChain chainId="2c8fe9c8167d298d76b1d4eb68a0c4657731a6c8">
          <item id="aedae6d385067a38c871e60c6d1a8bb1c6dd2d9b" userID="1850010794" userName="龙丽娟" dateTime="2026-07-09T13:39:56" isNormal="0">
            <s:text>
              <s:r>
                <s:t xml:space="preserve">7/9收到亚马逊外箱贴纸69pcs</s:t>
              </s:r>
            </s:text>
          </item>
        </commentChain>
      </unresolved>
      <resolved/>
    </commentChains>
    <commentChains s:ref="AI495" rgbClr="FF0000">
      <unresolved>
        <commentChain chainId="1b8ae74d203236899edba795df81003960dfea89">
          <item id="b09a992dfcdc29b98d7ea95ce2d20d226ed7f9dd" userID="1850010794" userName="龙丽娟" dateTime="2026-07-09T13:40:05" isNormal="0">
            <s:text>
              <s:r>
                <s:t xml:space="preserve">7/9收到亚马逊外箱贴纸52pcs</s:t>
              </s:r>
            </s:text>
          </item>
        </commentChain>
      </unresolved>
      <resolved/>
    </commentChains>
    <commentChains s:ref="AE497" rgbClr="FF0000">
      <unresolved>
        <commentChain chainId="99a471757f06c7607495f8b0632596b314768c8f">
          <item id="5b72865e9e9a2965624461197072925516f5fb5e" userID="1850010794" userName="龙丽娟" dateTime="2026-08-07T12:51:26" isNormal="0">
            <s:text>
              <s:r>
                <s:t xml:space="preserve">8/1 2800364 20664pcs欣泰E4</s:t>
              </s:r>
            </s:text>
          </item>
        </commentChain>
      </unresolved>
      <resolved/>
    </commentChains>
    <commentChains s:ref="AG498" rgbClr="FF0000">
      <unresolved>
        <commentChain chainId="53dd0bfe36594ae5e5f5559595825bae0f2776f0">
          <item id="bb1132b244a371745cb737ad55caa5fdf4c66722" userID="1850010794" userName="龙丽娟" dateTime="2026-08-07T13:16:21" isNormal="0">
            <s:text>
              <s:r>
                <s:t xml:space="preserve">8/4 1001555 512pcs馥通E8</s:t>
              </s:r>
            </s:text>
          </item>
        </commentChain>
      </unresolved>
      <resolved/>
    </commentChains>
    <commentChains s:ref="AI498" rgbClr="FF0000">
      <unresolved>
        <commentChain chainId="32f05ba905b8a2d7dc843e2208f0c1da24c4c763">
          <item id="e94bec98693c331714d5315f0bc1d622a08086e9" userID="1850010794" userName="龙丽娟" dateTime="2026-07-20T14:40:05" isNormal="0">
            <s:text>
              <s:r>
                <s:t xml:space="preserve">7/20上进口商贴纸512pcs</s:t>
              </s:r>
            </s:text>
          </item>
        </commentChain>
      </unresolved>
      <resolved/>
    </commentChains>
    <commentChains s:ref="AG501" rgbClr="FF0000">
      <unresolved>
        <commentChain chainId="6d29c5cf34389ea0eb63128531bc2b736104630c">
          <item id="e09c0443f6ec379a68d1977933699d60bb1c60a4" userID="1850010794" userName="龙丽娟" dateTime="2026-08-14T08:59:46" isNormal="0">
            <s:text>
              <s:r>
                <s:t xml:space="preserve">1001536 8/6 2416pcs欣泰B1</s:t>
              </s:r>
            </s:text>
          </item>
        </commentChain>
      </unresolved>
      <resolved/>
    </commentChains>
    <commentChains s:ref="AG502" rgbClr="FF0000">
      <unresolved>
        <commentChain chainId="7490ec41caf82bad9fa2248f63d8e2897924e073">
          <item id="f543b51e0e69dc4d5ea414eccb314fc7fdefc731" userID="1850010794" userName="龙丽娟" dateTime="2026-08-07T13:11:59" isNormal="0">
            <s:text>
              <s:r>
                <s:t xml:space="preserve">8/4 3004754 1200pcs馥通B5</s:t>
              </s:r>
            </s:text>
          </item>
        </commentChain>
      </unresolved>
      <resolved/>
    </commentChains>
    <commentChains s:ref="AI502" rgbClr="FF0000">
      <unresolved>
        <commentChain chainId="0ce5e8adeabea9d3783bc08c7fe370d5abdd1d28">
          <item id="10a4c7ede7724718d9b23217d456d4a91cd00f1a" userID="1850010794" userName="龙丽娟" dateTime="2026-06-22T05:45:33" isNormal="0">
            <s:text>
              <s:r>
                <s:t xml:space="preserve">6/10上UPC贴纸1624pcs
208821/208841共用</s:t>
              </s:r>
            </s:text>
          </item>
        </commentChain>
      </unresolved>
      <resolved/>
    </commentChains>
    <commentChains s:ref="AE503" rgbClr="FF0000">
      <unresolved>
        <commentChain chainId="95cd8a9866715bcaed126357559b8fe83b5d09e0">
          <item id="0bf7018a3083f79f5166bd1a1fdbb35c8a01e385" userID="1850010794" userName="龙丽娟" dateTime="2026-08-07T13:22:34" isNormal="0">
            <s:text>
              <s:r>
                <s:t xml:space="preserve">8/4 3003972 304pcs钜顺B1</s:t>
              </s:r>
            </s:text>
          </item>
        </commentChain>
      </unresolved>
      <resolved/>
    </commentChains>
    <commentChains s:ref="AI503" rgbClr="FF0000">
      <unresolved>
        <commentChain chainId="14094279d5a6a120b0d2512840e0f65f8f985d6f">
          <item id="02939ea2ee95b9d771c12f41cff58a55e5535530" userID="1850010794" userName="龙丽娟" dateTime="2026-06-22T05:45:33" isNormal="0">
            <s:text>
              <s:r>
                <s:t xml:space="preserve">6/10上UPC贴纸1624pcs
208821/208841共用</s:t>
              </s:r>
            </s:text>
          </item>
        </commentChain>
      </unresolved>
      <resolved/>
    </commentChains>
    <commentChains s:ref="AG505" rgbClr="FF0000">
      <unresolved>
        <commentChain chainId="6c983d01a9468ee8ab61f38de56d75849b67c52d">
          <item id="e1328a96e2bf199e9e82496cf45de7de2ecfce4e" userID="1850010794" userName="龙丽娟" dateTime="2026-08-07T13:15:57" isNormal="0">
            <s:text>
              <s:r>
                <s:t xml:space="preserve">8/4 1001555 1488pcs馥通E8</s:t>
              </s:r>
            </s:text>
          </item>
        </commentChain>
      </unresolved>
      <resolved/>
    </commentChains>
    <commentChains s:ref="AI505" rgbClr="FF0000">
      <unresolved>
        <commentChain chainId="28988771758cc031c1bb4e1580875f11fa16e062">
          <item id="5238819b6a8364d230e39a6268e96e543b12c446" userID="1850010794" userName="龙丽娟" dateTime="2026-07-20T14:28:04" isNormal="0">
            <s:text>
              <s:r>
                <s:t xml:space="preserve">7/20上upc贴纸1488pcs</s:t>
              </s:r>
            </s:text>
          </item>
        </commentChain>
      </unresolved>
      <resolved/>
    </commentChains>
    <commentChains s:ref="AG506" rgbClr="FF0000">
      <unresolved>
        <commentChain chainId="217c3a38495e2c166aafe6f0f2585f440acdbc4c">
          <item id="b23c64844085f919d4a893cadd84cdcb328305b3" userID="1850010794" userName="龙丽娟" dateTime="2026-08-12T07:59:40" isNormal="0">
            <s:text>
              <s:r>
                <s:t xml:space="preserve">1001530 8/8 1504PCS欣泰E6</s:t>
              </s:r>
            </s:text>
          </item>
        </commentChain>
      </unresolved>
      <resolved/>
    </commentChains>
    <commentChains s:ref="AI506" rgbClr="FF0000">
      <unresolved>
        <commentChain chainId="d50ca2e1050f675080b5596ab395cd81144412ed">
          <item id="8d45675379e62dbc61d24257be77852df5056168" userID="1850010794" userName="龙丽娟" dateTime="2026-07-12T11:28:02" isNormal="0">
            <s:text>
              <s:r>
                <s:t xml:space="preserve">7/6上价格贴纸416pcs上pdq价格贴纸/条码贴纸各174pcs</s:t>
              </s:r>
            </s:text>
          </item>
          <item id="828fbb07db11e7d4a19e6467d6d57df1f66f5701" userID="1850010794" userName="龙丽娟" dateTime="2026-07-17T08:32:53" isNormal="0">
            <s:text>
              <s:r>
                <s:t xml:space="preserve">5/8 上通用客供外箱贴纸 94pcs</s:t>
              </s:r>
            </s:text>
          </item>
          <item id="ff048354bba01fe19f5eb4b007f03ef858d75493" userID="1850010794" userName="龙丽娟" dateTime="2026-07-17T08:33:11" isNormal="0">
            <s:text>
              <s:r>
                <s:t xml:space="preserve">5/8 上NJ客供外箱贴纸 94pcs</s:t>
              </s:r>
            </s:text>
          </item>
        </commentChain>
      </unresolved>
      <resolved/>
    </commentChains>
    <commentChains s:ref="AG507" rgbClr="FF0000">
      <unresolved>
        <commentChain chainId="691736656cfc3c985eb66bd67f36410a844600b9">
          <item id="26005718a2980902e106dbc0ac9234964df49a94" userID="1850010794" userName="龙丽娟" dateTime="2026-08-12T07:59:55" isNormal="0">
            <s:text>
              <s:r>
                <s:t xml:space="preserve">1001530 8/8 512PCS欣泰2A2</s:t>
              </s:r>
            </s:text>
          </item>
        </commentChain>
      </unresolved>
      <resolved/>
    </commentChains>
    <commentChains s:ref="AI507" rgbClr="FF0000">
      <unresolved>
        <commentChain chainId="7f208bd5a6419244755467940c3bab7aae6b6ba7">
          <item id="424c9ff6fe6ebec27b6bfdc21c3cf033de256af7" userID="1850010794" userName="龙丽娟" dateTime="2026-07-12T11:28:02" isNormal="0">
            <s:text>
              <s:r>
                <s:t xml:space="preserve">7/6上价格贴纸416pcs上pdq价格贴纸/条码贴纸各174pcs</s:t>
              </s:r>
            </s:text>
          </item>
          <item id="1dc10dcbe465a57250430b96939eae7f7245a106" userID="1850010794" userName="龙丽娟" dateTime="2026-07-17T08:35:18" isNormal="0">
            <s:text>
              <s:r>
                <s:t xml:space="preserve">5/8 上客供通用外箱贴纸 32pcs</s:t>
              </s:r>
            </s:text>
          </item>
          <item id="2722b1e17fd8307e46a2a764f8f4bc73531ffa11" userID="1850010794" userName="龙丽娟" dateTime="2026-07-17T08:35:35" isNormal="0">
            <s:text>
              <s:r>
                <s:t xml:space="preserve">5/8 上NV客供外箱贴纸 32pcs</s:t>
              </s:r>
            </s:text>
          </item>
        </commentChain>
      </unresolved>
      <resolved/>
    </commentChains>
    <commentChains s:ref="AG509" rgbClr="FF0000">
      <unresolved>
        <commentChain chainId="3b6a9655e9c49384dd591e6e973ee730103de0db">
          <item id="bc23bef8ce8629c7179235acb3fc30771d17918f" userID="1850010794" userName="龙丽娟" dateTime="2026-08-11T06:02:28" isNormal="0">
            <s:text>
              <s:r>
                <s:t xml:space="preserve">1016770 8/11 6656pcs</s:t>
              </s:r>
            </s:text>
          </item>
        </commentChain>
      </unresolved>
      <resolved/>
    </commentChains>
    <commentChains s:ref="AI509" rgbClr="FF0000">
      <unresolved>
        <commentChain chainId="e8466288f413b0faada3693804f376cda6749bb3">
          <item id="2da17837ad183c642d49a6071b932228e0f82e08" userID="1850010794" userName="龙丽娟" dateTime="2026-06-17T10:54:30" isNormal="0">
            <s:text>
              <s:r>
                <s:t xml:space="preserve">6/16上客供RFID贴纸6656pcs</s:t>
              </s:r>
            </s:text>
          </item>
          <item id="95270da4271a62a431373bf47fc8921938e38b39" userID="1850010794" userName="龙丽娟" dateTime="2026-06-27T06:33:38" isNormal="0">
            <s:text>
              <s:r>
                <s:t xml:space="preserve">6/26 上锂电池贴纸 2000+17200pcs 
207763/208482/208497/211875/211883共用</s:t>
              </s:r>
            </s:text>
          </item>
          <item id="980c65b348fe7a569f9ef62526cc617265fc3c21" userID="1850010794" userName="龙丽娟" dateTime="2026-06-29T12:09:44" isNormal="0">
            <s:text>
              <s:r>
                <s:t xml:space="preserve">6/30 上艾利贴纸  13pcs</s:t>
              </s:r>
            </s:text>
          </item>
        </commentChain>
      </unresolved>
      <resolved/>
    </commentChains>
    <commentChains s:ref="AG510" rgbClr="FF0000">
      <unresolved>
        <commentChain chainId="e694b1393f31901668f884e42db91a55a1cb9abf">
          <item id="3a599589469c5e9ec1d2883ec51ded859436bc69" userID="1850010794" userName="龙丽娟" dateTime="2026-08-15T08:38:44" isNormal="0">
            <s:text>
              <s:r>
                <s:t xml:space="preserve">1016778 8/15 8192pcs</s:t>
              </s:r>
            </s:text>
          </item>
        </commentChain>
      </unresolved>
      <resolved/>
    </commentChains>
    <commentChains s:ref="AI510" rgbClr="FF0000">
      <unresolved>
        <commentChain chainId="bb96167886ebed208ab6f83ce6d06fed5c34e7f4">
          <item id="6b4f40c1a501d1335df17e0a2d4639c9de50c683" userID="1850010794" userName="龙丽娟" dateTime="2026-06-17T10:54:30" isNormal="0">
            <s:text>
              <s:r>
                <s:t xml:space="preserve">6/16上客供RFID贴纸8192pcs</s:t>
              </s:r>
            </s:text>
          </item>
          <item id="5faf9ce74ec459c2b54d74b4e6d75e303fe3a566" userID="1850010794" userName="龙丽娟" dateTime="2026-06-27T06:33:45" isNormal="0">
            <s:text>
              <s:r>
                <s:t xml:space="preserve">6/26 上锂电池贴纸 2000+17200pcs 
207763/208482/208497/211875/211883共用</s:t>
              </s:r>
            </s:text>
          </item>
          <item id="40332ffb4542e91a2be56715051d0482a37fb927" userID="1850010794" userName="龙丽娟" dateTime="2026-06-29T12:10:02" isNormal="0">
            <s:text>
              <s:r>
                <s:t xml:space="preserve">6/30 上艾利贴纸  16pcs</s:t>
              </s:r>
            </s:text>
          </item>
        </commentChain>
      </unresolved>
      <resolved/>
    </commentChains>
    <commentChains s:ref="AG511" rgbClr="FF0000">
      <unresolved>
        <commentChain chainId="c390ba435348e0ca0d4e41151bbd40c3053821d5">
          <item id="8b9ee3bb88f501ae6bc0146f2104e7f762ebd5e9" userID="1850010794" userName="龙丽娟" dateTime="2026-07-22T13:16:27" isNormal="0">
            <s:text>
              <s:r>
                <s:t xml:space="preserve">7/14 1001943 3008pcs欣泰f4</s:t>
              </s:r>
            </s:text>
          </item>
        </commentChain>
      </unresolved>
      <resolved/>
    </commentChains>
    <commentChains s:ref="AG512" rgbClr="FF0000">
      <unresolved>
        <commentChain chainId="7fb08b4b1389f9d51163b59921fe341664bf0e9f">
          <item id="9529b92ba9b72e23f8f07facc5cc297d4c0c9a99" userID="1850010794" userName="龙丽娟" dateTime="2026-08-03T01:42:11" isNormal="0">
            <s:text>
              <s:r>
                <s:t xml:space="preserve">1016760 7/31 88pcs</s:t>
              </s:r>
            </s:text>
          </item>
        </commentChain>
      </unresolved>
      <resolved/>
    </commentChains>
    <commentChains s:ref="AI512" rgbClr="FF0000">
      <unresolved>
        <commentChain chainId="dbac361a7be565346d327366c4ce2a820a482761">
          <item id="1552fff328803af08cc4480b9a2cf02d841f4c2e" userID="1850010794" userName="龙丽娟" dateTime="2026-07-14T03:41:27" isNormal="0">
            <s:text>
              <s:r>
                <s:t xml:space="preserve">7/10 上外箱贴纸 11pcs</s:t>
              </s:r>
            </s:text>
          </item>
          <item id="13ce08c821a9ccee0488c25b50ee7e38abcdf5f3" userID="1850010794" userName="龙丽娟" dateTime="2026-07-16T06:19:28" isNormal="0">
            <s:text>
              <s:r>
                <s:t xml:space="preserve">7/15 上防盗贴纸 88pcs</s:t>
              </s:r>
            </s:text>
          </item>
        </commentChain>
      </unresolved>
      <resolved/>
    </commentChains>
    <commentChains s:ref="AG513" rgbClr="FF0000">
      <unresolved>
        <commentChain chainId="1a958bb1ba070daec70b3fa4dbc371b017405e47">
          <item id="afe0dbbfcd3ef886ab00a6ada20552313b5fa8b6" userID="1850010794" userName="龙丽娟" dateTime="2026-08-03T01:42:39" isNormal="0">
            <s:text>
              <s:r>
                <s:t xml:space="preserve">1016760 7/31 1416pcs</s:t>
              </s:r>
            </s:text>
          </item>
        </commentChain>
      </unresolved>
      <resolved/>
    </commentChains>
    <commentChains s:ref="AI513" rgbClr="FF0000">
      <unresolved>
        <commentChain chainId="93e577b8097f8b8e691184a90bb2f05f673f097c">
          <item id="991930e962f62964b228cf39f733eaabc9151af8" userID="1850010794" userName="龙丽娟" dateTime="2026-07-14T03:41:10" isNormal="0">
            <s:text>
              <s:r>
                <s:t xml:space="preserve">7/10 上KM外箱贴纸 117pcs</s:t>
              </s:r>
            </s:text>
          </item>
          <item id="ef2837531c0ada7f99fa3a171d58006dda226143" userID="1850010794" userName="龙丽娟" dateTime="2026-07-16T06:19:05" isNormal="0">
            <s:text>
              <s:r>
                <s:t xml:space="preserve">7/15 上防盗贴纸 1416pcs</s:t>
              </s:r>
            </s:text>
          </item>
        </commentChain>
      </unresolved>
      <resolved/>
    </commentChains>
    <commentChains s:ref="AI514" rgbClr="FF0000">
      <unresolved>
        <commentChain chainId="4172bfae395ba0832580b8eefeb46a29768685c6">
          <item id="5ec9773588ec3ee54fc445a50764c6580021e4aa" isNormal="1">
            <s:text>
              <s:r>
                <s:t xml:space="preserve">DELL:
4/30 上锂电池UN3481标识贴纸260*260mm 196pcs
197499/198839/198838/197500/197501/197502共用</s:t>
              </s:r>
            </s:text>
          </item>
        </commentChain>
      </unresolved>
      <resolved/>
    </commentChains>
    <commentChains s:ref="AQ514" rgbClr="FF0000">
      <unresolved>
        <commentChain chainId="0a48651f45991201ba51f92d9917d0a71ff7bab2">
          <item id="d6b59beed8d6c5895679f5135a4c86de4bc56191" isNormal="1">
            <s:text>
              <s:r>
                <s:t xml:space="preserve">RR:
新客版资料</s:t>
              </s:r>
            </s:text>
          </item>
        </commentChain>
      </unresolved>
      <resolved/>
    </commentChains>
    <commentChains s:ref="AR514" rgbClr="FF0000">
      <unresolved>
        <commentChain chainId="75ea9b7c1d5104a88f9937bf6fbcbf4002623f53">
          <item id="27d1edf3af06d1cc799e593ec1be8e60eb669252" isNormal="1">
            <s:text>
              <s:r>
                <s:t xml:space="preserve">RR:
新客版资料</s:t>
              </s:r>
            </s:text>
          </item>
        </commentChain>
      </unresolved>
      <resolved/>
    </commentChains>
    <commentChains s:ref="AS514" rgbClr="FF0000">
      <unresolved>
        <commentChain chainId="be8b5b7c46cc687d4dbbae819b648df150dc9b3c">
          <item id="8247cc40de3f8e46045f8964813e1df460dc42e1" isNormal="1">
            <s:text>
              <s:r>
                <s:t xml:space="preserve">RR:
新客版资料</s:t>
              </s:r>
            </s:text>
          </item>
        </commentChain>
      </unresolved>
      <resolved/>
    </commentChains>
    <commentChains s:ref="AI515" rgbClr="FF0000">
      <unresolved>
        <commentChain chainId="3920c44884c317d2225252fa2ab9faa1914d1480">
          <item id="bea634af306f90b5f4a609b5df4ab1f293d1b778" userID="1850010794" userName="龙丽娟" dateTime="2026-07-12T11:18:13" isNormal="0">
            <s:text>
              <s:r>
                <s:t xml:space="preserve">7/6上客供防盗贴纸1024pcs</s:t>
              </s:r>
            </s:text>
          </item>
        </commentChain>
      </unresolved>
      <resolved/>
    </commentChains>
    <commentChains s:ref="AI517" rgbClr="FF0000">
      <unresolved>
        <commentChain chainId="010d9dd7ed2dc6e26a6c3d55c9bd76b277c28f04">
          <item id="0d58e12c9b948a565d259740d45c44951031e8bd" userID="1850010794" userName="龙丽娟" dateTime="2026-07-17T13:22:32" isNormal="0">
            <s:text>
              <s:r>
                <s:t xml:space="preserve">7/17上PDQ地址贴纸2516pcs
203946/210400/213523共用</s:t>
              </s:r>
            </s:text>
          </item>
        </commentChain>
      </unresolved>
      <resolved/>
    </commentChains>
    <commentChains s:ref="AG518" rgbClr="FF0000">
      <unresolved>
        <commentChain chainId="13002ac19e88b8c1dfc8c87abb2c2af611969d03">
          <item id="09d43e36394da2dacc31ed41252d3ad07ff9c6c6" userID="1850010794" userName="龙丽娟" dateTime="2026-08-14T07:53:16" isNormal="0">
            <s:text>
              <s:r>
                <s:t xml:space="preserve">1016775 8/14 10240pcs</s:t>
              </s:r>
            </s:text>
          </item>
        </commentChain>
      </unresolved>
      <resolved/>
    </commentChains>
    <commentChains s:ref="AI518" rgbClr="FF0000">
      <unresolved>
        <commentChain chainId="b07c7fc5919d11c5b951d7a574f61afc066bf7e5">
          <item id="79ed8709b7677c19e84f35aaaee981e6ba8d1b6c" userID="1850010794" userName="龙丽娟" dateTime="2026-06-17T10:54:30" isNormal="0">
            <s:text>
              <s:r>
                <s:t xml:space="preserve">6/16上客供RFID贴纸10240pcs</s:t>
              </s:r>
            </s:text>
          </item>
          <item id="9fac2b417ce1ec545d2ce45d09fbcebc51b46f3f" userID="1850010794" userName="龙丽娟" dateTime="2026-06-27T06:33:18" isNormal="0">
            <s:text>
              <s:r>
                <s:t xml:space="preserve">6/26 上锂电池贴纸 2000+17200pcs 
207763/208482/208497/211875/211883共用</s:t>
              </s:r>
            </s:text>
          </item>
          <item id="cb4e6e33622374bc360a6173ad04808e31c9e099" userID="1850010794" userName="龙丽娟" dateTime="2026-06-29T12:09:02" isNormal="0">
            <s:text>
              <s:r>
                <s:t xml:space="preserve">6/30 上艾利贴纸  20pcs</s:t>
              </s:r>
            </s:text>
          </item>
        </commentChain>
      </unresolved>
      <resolved/>
    </commentChains>
    <commentChains s:ref="AI519" rgbClr="FF0000">
      <unresolved>
        <commentChain chainId="66eab47d06808f5a414e6e63a1fd2a9ed5289f80">
          <item id="ffb2d1eb0a0be078a217971edc8bab849814dbe7" userID="1850010794" userName="龙丽娟" dateTime="2026-06-17T10:54:30" isNormal="0">
            <s:text>
              <s:r>
                <s:t xml:space="preserve">6/16上客供RFID贴纸7168pcs</s:t>
              </s:r>
            </s:text>
          </item>
          <item id="56fafede94bc1fa86fbfa0c35e7a4f43c43d3142" userID="1850010794" userName="龙丽娟" dateTime="2026-06-27T06:33:25" isNormal="0">
            <s:text>
              <s:r>
                <s:t xml:space="preserve">6/26 上锂电池贴纸 2000+17200pcs 
207763/208482/208497/211875/211883共用</s:t>
              </s:r>
            </s:text>
          </item>
          <item id="d95de336da55712525dc12a5168da3358fe1f29a" userID="1850010794" userName="龙丽娟" dateTime="2026-06-29T12:09:20" isNormal="0">
            <s:text>
              <s:r>
                <s:t xml:space="preserve">6/30 上艾利贴纸  14pcs</s:t>
              </s:r>
            </s:text>
          </item>
        </commentChain>
      </unresolved>
      <resolved/>
    </commentChains>
    <commentChains s:ref="AI520" rgbClr="FF0000">
      <unresolved>
        <commentChain chainId="c7c313e970449d078545f13613e0b241d909c426">
          <item id="2a8b430d299481631a4eb7626200a634da796ac3" userID="1850010794" userName="龙丽娟" dateTime="2026-06-17T10:55:15" isNormal="0">
            <s:text>
              <s:r>
                <s:t xml:space="preserve">6/16上客供RFID贴纸10752pcs</s:t>
              </s:r>
            </s:text>
          </item>
          <item id="508f6121f1b7ecaf440024c2b52fc3725f77f4b9" userID="1850010794" userName="龙丽娟" dateTime="2026-06-27T06:33:32" isNormal="0">
            <s:text>
              <s:r>
                <s:t xml:space="preserve">6/26 上锂电池贴纸 2000+17200pcs 
207763/208482/208497/211875/211883共用</s:t>
              </s:r>
            </s:text>
          </item>
          <item id="1280509f91fe7b3fd9f1ab8dd95b9ba073dc6c28" userID="1850010794" userName="龙丽娟" dateTime="2026-06-29T12:08:21" isNormal="0">
            <s:text>
              <s:r>
                <s:t xml:space="preserve">6/30 上艾利贴纸  21pcs</s:t>
              </s:r>
            </s:text>
          </item>
        </commentChain>
      </unresolved>
      <resolved/>
    </commentChains>
    <commentChains s:ref="AG521" rgbClr="FF0000">
      <unresolved>
        <commentChain chainId="581ef9a84f5dce8425fd1aa6c71a76ea728087fe">
          <item id="0fcb6274d83a81f57d2a79d840254506a84e1c6b" userID="1850010794" userName="龙丽娟" dateTime="2026-08-15T01:17:01" isNormal="0">
            <s:text>
              <s:r>
                <s:t xml:space="preserve">1016777 8/15 7168pcs</s:t>
              </s:r>
            </s:text>
          </item>
        </commentChain>
      </unresolved>
      <resolved/>
    </commentChains>
    <commentChains s:ref="AI521" rgbClr="FF0000">
      <unresolved>
        <commentChain chainId="b248e2b5c2dddb76151b79fc28eb881844ca2721">
          <item id="050525000d399cd4c3e166aff78029a96440bc61" userID="1850010794" userName="龙丽娟" dateTime="2026-06-17T10:54:30" isNormal="0">
            <s:text>
              <s:r>
                <s:t xml:space="preserve">6/16上客供RFID贴纸7168pcs</s:t>
              </s:r>
            </s:text>
          </item>
          <item id="4152a953f95888d16ce5e460d2e4f1f2adbe1f16" userID="1850010794" userName="龙丽娟" dateTime="2026-06-27T06:37:18" isNormal="0">
            <s:text>
              <s:r>
                <s:t xml:space="preserve">6/26 上锂电池贴纸 2000+17200pcs 
207763/208482/208497/211875/211883共用</s:t>
              </s:r>
            </s:text>
          </item>
          <item id="f1ba02629cea1c70d11d282ae7ca4616e58588b6" userID="1850010794" userName="龙丽娟" dateTime="2026-06-29T12:10:19" isNormal="0">
            <s:text>
              <s:r>
                <s:t xml:space="preserve">6/30 上艾利贴纸  14pcs</s:t>
              </s:r>
            </s:text>
          </item>
        </commentChain>
      </unresolved>
      <resolved/>
    </commentChains>
    <commentChains s:ref="AG523" rgbClr="FF0000">
      <unresolved>
        <commentChain chainId="8bd705464db959442042300f89fcbf96ce2f8a93">
          <item id="ce2f7464c07778cc1c53fa25dd4b0d81695d921c" userID="1850010794" userName="龙丽娟" dateTime="2026-07-02T00:55:28" isNormal="0">
            <s:text>
              <s:r>
                <s:t xml:space="preserve">1000010 6/20 686pcs</s:t>
              </s:r>
            </s:text>
          </item>
          <item id="aedfd1a6196822271d1162ffe8b5289f7437433f" userID="1850010794" userName="龙丽娟" dateTime="2026-07-02T00:55:39" isNormal="0">
            <s:text>
              <s:r>
                <s:t xml:space="preserve">1000013 6/22 1152pcs</s:t>
              </s:r>
            </s:text>
          </item>
          <item id="8f7acac01bb339f6250fe965606568e0b657d879" userID="1850010794" userName="龙丽娟" dateTime="2026-07-02T00:56:05" isNormal="0">
            <s:text>
              <s:r>
                <s:t xml:space="preserve">1000205 6/30 1152pcs
1000207 6/30 144pcs</s:t>
              </s:r>
            </s:text>
          </item>
        </commentChain>
      </unresolved>
      <resolved/>
    </commentChains>
    <commentChains s:ref="AI523" rgbClr="FF0000">
      <unresolved>
        <commentChain chainId="fae60045830ec219c8219238ba1930194e47ea73">
          <item id="695925feec28eadd9d3b4c0262754c35f9acf98d" isNormal="1">
            <s:text>
              <s:r>
                <s:t xml:space="preserve">DELL:
4/30 上锂电池UN3481标识贴纸260*260mm 196pcs
197499/198839/198838/197500/197501/197502共用</s:t>
              </s:r>
            </s:text>
          </item>
        </commentChain>
      </unresolved>
      <resolved/>
    </commentChains>
    <commentChains s:ref="AQ523" rgbClr="FF0000">
      <unresolved>
        <commentChain chainId="b19ae0eff79e3cea758592cafc66caad3e4e15ad">
          <item id="f371c160f7d95c30610598bf8f1a7dc123616c0d" isNormal="1">
            <s:text>
              <s:r>
                <s:t xml:space="preserve">RR:
新客版资料</s:t>
              </s:r>
            </s:text>
          </item>
        </commentChain>
      </unresolved>
      <resolved/>
    </commentChains>
    <commentChains s:ref="AR523" rgbClr="FF0000">
      <unresolved>
        <commentChain chainId="c3c7cf69f21109bfd0d89b1c8d3509e593ce9a4e">
          <item id="22e15394b8a566a32b76b80030c1d5445ef7244c" isNormal="1">
            <s:text>
              <s:r>
                <s:t xml:space="preserve">RR:
新客版资料</s:t>
              </s:r>
            </s:text>
          </item>
        </commentChain>
      </unresolved>
      <resolved/>
    </commentChains>
    <commentChains s:ref="AS523" rgbClr="FF0000">
      <unresolved>
        <commentChain chainId="d52ae30e9cccfd87515993f7cadae39314fdb2b0">
          <item id="767bd42dd2f4f8d9514c853bb60cae2a4704fc2f" isNormal="1">
            <s:text>
              <s:r>
                <s:t xml:space="preserve">RR:
新客版资料</s:t>
              </s:r>
            </s:text>
          </item>
        </commentChain>
      </unresolved>
      <resolved/>
    </commentChains>
    <commentChains s:ref="AI524" rgbClr="FF0000">
      <unresolved>
        <commentChain chainId="a54be31d1d299fdb2ceb0fcbdd1a70c2851e3ea1">
          <item id="a6303aeb87fe53db9c48befc36aa7dd2eee5b720" userID="1850010794" userName="龙丽娟" dateTime="2026-07-21T08:39:58" isNormal="0">
            <s:text>
              <s:r>
                <s:t xml:space="preserve">6/30 上UPC贴纸 32pcs</s:t>
              </s:r>
            </s:text>
          </item>
        </commentChain>
      </unresolved>
      <resolved/>
    </commentChains>
    <commentChains s:ref="AI525" rgbClr="FF0000">
      <unresolved>
        <commentChain chainId="7da9009eed14f41cc77ea7c308766be8627551e1">
          <item id="4ecb58c409545c5ff7532a33c80d7e0823fe08f0" userID="1850010794" userName="龙丽娟" dateTime="2026-07-21T08:41:09" isNormal="0">
            <s:text>
              <s:r>
                <s:t xml:space="preserve">4/18 上多语警语折叠贴纸 1800pcs</s:t>
              </s:r>
            </s:text>
          </item>
        </commentChain>
      </unresolved>
      <resolved/>
    </commentChains>
    <commentChains s:ref="AI529" rgbClr="FF0000">
      <unresolved>
        <commentChain chainId="45739c84ab64328bf9bea9c80e288f7bb201b798">
          <item id="96a9e70de1f883b9d35924a8eaad62e63bf915dc" userID="1850010794" userName="龙丽娟" dateTime="2026-06-30T06:41:02" isNormal="0">
            <s:text>
              <s:r>
                <s:t xml:space="preserve">6/25上德语警语贴纸304pcs上产品图片贴纸256pcs</s:t>
              </s:r>
            </s:text>
          </item>
        </commentChain>
      </unresolved>
      <resolved/>
    </commentChains>
    <commentChains s:ref="AI530" rgbClr="FF0000">
      <unresolved>
        <commentChain chainId="bd2d8ff5dff2e5d6ed5077a67a9a83f3b09e00e6">
          <item id="27b397bbd9a76fdb0ff489794e3a6b7e17e757f7" userID="1850010794" userName="龙丽娟" dateTime="2026-07-12T11:33:31" isNormal="0">
            <s:text>
              <s:r>
                <s:t xml:space="preserve">7/6上qr贴纸1008pcs</s:t>
              </s:r>
            </s:text>
          </item>
          <item id="25d6731ac2facd40e068368a775d174b5dba33be" userID="1850010794" userName="龙丽娟" dateTime="2026-07-19T09:13:39" isNormal="0">
            <s:text>
              <s:r>
                <s:t xml:space="preserve">7/13上进口商贴纸1008pcs</s:t>
              </s:r>
            </s:text>
          </item>
        </commentChain>
      </unresolved>
      <resolved/>
    </commentChains>
    <commentChains s:ref="AI531" rgbClr="FF0000">
      <unresolved>
        <commentChain chainId="1602fc9de7944d2e3f937b4a56a66e50a719106e">
          <item id="30c22366c1c79e1040b713a754acd1028a6850ed" userID="1850010794" userName="龙丽娟" dateTime="2026-07-12T12:20:07" isNormal="0">
            <s:text>
              <s:r>
                <s:t xml:space="preserve">7/7上upc条码贴纸312pcs</s:t>
              </s:r>
            </s:text>
          </item>
        </commentChain>
      </unresolved>
      <resolved/>
    </commentChains>
    <commentChains s:ref="AI532" rgbClr="FF0000">
      <unresolved>
        <commentChain chainId="a6f7c1aba0e58239fa84da5787c50dd0f4d909e4">
          <item id="f7e13b68c1ae9021012477aa414a36d69a60f1da" userID="1850010794" userName="龙丽娟" dateTime="2026-06-30T07:04:02" isNormal="0">
            <s:text>
              <s:r>
                <s:t xml:space="preserve">6/26上upc贴纸360</s:t>
              </s:r>
            </s:text>
          </item>
        </commentChain>
      </unresolved>
      <resolved/>
    </commentChains>
    <commentChains s:ref="AG534" rgbClr="FF0000">
      <unresolved>
        <commentChain chainId="d13c82eac002f49c4562d09487c26077734fda85">
          <item id="b3b2467e19519e16293d9e186fa4e84dc2140052" userID="1850010794" userName="龙丽娟" dateTime="2026-08-12T08:28:11" isNormal="0">
            <s:text>
              <s:r>
                <s:t xml:space="preserve">8/8 1000417 2004PCS直走</s:t>
              </s:r>
            </s:text>
          </item>
        </commentChain>
      </unresolved>
      <resolved/>
    </commentChains>
    <commentChains s:ref="AI534" rgbClr="FF0000">
      <unresolved>
        <commentChain chainId="cdbd3f827c7d66ed44ebd9572d9b76a62fedbdf5">
          <item id="e30a37608428c68f6415fa9b6eb981ce6b60f0ed" userID="1850010794" userName="龙丽娟" dateTime="2026-07-19T09:19:13" isNormal="0">
            <s:text>
              <s:r>
                <s:t xml:space="preserve">7/14 上客供RFID贴纸2145pcs</s:t>
              </s:r>
            </s:text>
          </item>
        </commentChain>
      </unresolved>
      <resolved/>
    </commentChains>
    <commentChains s:ref="AG535" rgbClr="FF0000">
      <unresolved>
        <commentChain chainId="924377bcab61b2d06a80cb686a0cfbb3c91bafe1">
          <item id="13f2ed011666181ba731d5547f9a2eb9c3c5598b" userID="1850010794" userName="龙丽娟" dateTime="2026-08-12T08:38:10" isNormal="0">
            <s:text>
              <s:r>
                <s:t xml:space="preserve">8/8 1000415 18pcs馥通c3</s:t>
              </s:r>
            </s:text>
          </item>
        </commentChain>
      </unresolved>
      <resolved/>
    </commentChains>
    <commentChains s:ref="AG536" rgbClr="FF0000">
      <unresolved>
        <commentChain chainId="c595e4bbf00fe9eb1e93303f753eceef8b3371c2">
          <item id="7da38cbd808d255363a8fe5f03a785804e4dc7de" userID="1850010794" userName="龙丽娟" dateTime="2026-08-13T03:13:04" isNormal="0">
            <s:text>
              <s:r>
                <s:t xml:space="preserve">1001544 8/6 16pcs 欣泰仓库一楼A5</s:t>
              </s:r>
            </s:text>
          </item>
        </commentChain>
      </unresolved>
      <resolved/>
    </commentChains>
    <commentChains s:ref="AI538" rgbClr="FF0000">
      <unresolved>
        <commentChain chainId="28a1f5265ec3713f5a69b6aa20bd806f50b4856b">
          <item id="9dd274338e1e066a5e05d289a7896c7c5eea6f05" userID="1850010794" userName="龙丽娟" dateTime="2026-07-09T13:39:37" isNormal="0">
            <s:text>
              <s:r>
                <s:t xml:space="preserve">7/9收到亚马逊外箱贴纸101pcs</s:t>
              </s:r>
            </s:text>
          </item>
        </commentChain>
      </unresolved>
      <resolved/>
    </commentChains>
    <commentChains s:ref="AI550" rgbClr="FF0000">
      <unresolved>
        <commentChain chainId="b9bdd76b2f645c4d13c1dbc2834c6f441b9ec132">
          <item id="51e6604be87a2e826df36292975a8ed50f0a5001" userID="1850010794" userName="龙丽娟" dateTime="2026-07-20T14:19:01" isNormal="0">
            <s:text>
              <s:r>
                <s:t xml:space="preserve">7/20上警语/客人信息/意大利回收标贴纸1600pcs</s:t>
              </s:r>
            </s:text>
          </item>
        </commentChain>
      </unresolved>
      <resolved/>
    </commentChains>
    <commentChains s:ref="AI552" rgbClr="FF0000">
      <unresolved>
        <commentChain chainId="119e517b5e71982d6a322295ba7c20d076c36356">
          <item id="394ce8c613c50dc06a9518a9793415b12bacc771" userID="1850010794" userName="龙丽娟" dateTime="2026-07-19T09:32:23" isNormal="0">
            <s:text>
              <s:r>
                <s:t xml:space="preserve">7/16上环保标/DE/IT警告语贴纸32592
210819/211827共用</s:t>
              </s:r>
            </s:text>
          </item>
        </commentChain>
      </unresolved>
      <resolved/>
    </commentChains>
    <commentChains s:ref="AG553" rgbClr="FF0000">
      <unresolved>
        <commentChain chainId="b734331121e1695b01b62683da13e5c7fc564104">
          <item id="b9316bcb60d0a2df9a0c0ba28e87ede60c6b502b" userID="1850010794" userName="龙丽娟" dateTime="2026-07-23T02:24:44" isNormal="0">
            <s:text>
              <s:r>
                <s:t xml:space="preserve">7/22 2801338 224pcs</s:t>
              </s:r>
            </s:text>
          </item>
        </commentChain>
      </unresolved>
      <resolved/>
    </commentChains>
    <commentChains s:ref="AI559" rgbClr="FF0000">
      <unresolved>
        <commentChain chainId="838ac77bbcc346c1a0dcbd96ac379851e1cfa317">
          <item id="d894fee1e430c01eb6cf746ac71c447aa74e2f3e" userID="1850010794" userName="龙丽娟" dateTime="2026-06-23T11:56:33" isNormal="0">
            <s:text>
              <s:r>
                <s:t xml:space="preserve">6/23上upc贴纸2144pcs</s:t>
              </s:r>
            </s:text>
          </item>
        </commentChain>
      </unresolved>
      <resolved/>
    </commentChains>
    <commentChains s:ref="AI560" rgbClr="FF0000">
      <unresolved>
        <commentChain chainId="589a8dac5b6594bb60be090226afaf342a565fa5">
          <item id="39c27bfbd8a0ad7de52b64c9fb303b7324315bac" userID="1850010794" userName="龙丽娟" dateTime="2026-07-20T14:31:46" isNormal="0">
            <s:text>
              <s:r>
                <s:t xml:space="preserve">7/20上upc贴纸15002pcs</s:t>
              </s:r>
            </s:text>
          </item>
        </commentChain>
      </unresolved>
      <resolved/>
    </commentChains>
    <commentChains s:ref="AE562" rgbClr="FF0000">
      <unresolved>
        <commentChain chainId="efafad845a63672d19638560b584dae4c76e8432">
          <item id="bf04a5bca7e55b853970415dd01538e3a5d80d16" userID="1850010794" userName="龙丽娟" dateTime="2026-08-12T08:11:33" isNormal="0">
            <s:text>
              <s:r>
                <s:t xml:space="preserve">8/8 1001512 2400pcs欣泰B4</s:t>
              </s:r>
            </s:text>
          </item>
        </commentChain>
      </unresolved>
      <resolved/>
    </commentChains>
    <commentChains s:ref="AI564" rgbClr="FF0000">
      <unresolved>
        <commentChain chainId="eb8b1d2c1632e472f0d7fc36263a9ea175d21eaa">
          <item id="81055dfac4005a6e56f9f84df5f8d5085ae5cc88" userID="1850010794" userName="龙丽娟" dateTime="2026-07-09T13:40:28" isNormal="0">
            <s:text>
              <s:r>
                <s:t xml:space="preserve">7/9收到亚马逊外箱贴纸185pcs</s:t>
              </s:r>
            </s:text>
          </item>
          <item id="f28b32a725792fe0490d20c583b09de33603b94c" userID="1850010794" userName="龙丽娟" dateTime="2026-07-19T09:33:47" isNormal="0">
            <s:text>
              <s:r>
                <s:t xml:space="preserve">7/16上环保标/DE/IT警告语贴纸32592
210819/211827共用</s:t>
              </s:r>
            </s:text>
          </item>
        </commentChain>
      </unresolved>
      <resolved/>
    </commentChains>
    <commentChains s:ref="AI565" rgbClr="FF0000">
      <unresolved>
        <commentChain chainId="d2f0fa24a802ec7adf2b11b59dd427547a1b0ef1">
          <item id="095acbb411ce8dd62a2904ed5c1179a559898fd1" userID="1850010794" userName="龙丽娟" dateTime="2026-07-09T13:40:28" isNormal="0">
            <s:text>
              <s:r>
                <s:t xml:space="preserve">7/9收到亚马逊外箱贴纸185pcs</s:t>
              </s:r>
            </s:text>
          </item>
          <item id="6e598859f7843bf00540108130432c113a88d0ee" userID="1850010794" userName="龙丽娟" dateTime="2026-07-19T09:33:50" isNormal="0">
            <s:text>
              <s:r>
                <s:t xml:space="preserve">7/16上环保标/DE/IT警告语贴纸32592
210819/211827共用</s:t>
              </s:r>
            </s:text>
          </item>
        </commentChain>
      </unresolved>
      <resolved/>
    </commentChains>
    <commentChains s:ref="AI566" rgbClr="FF0000">
      <unresolved>
        <commentChain chainId="7fc846a4cdbe718b7be14d2268ade3e0c5bc2c6b">
          <item id="5fb23af65f6224abc78d2cfe57e30bd9df981562" userID="1850010794" userName="龙丽娟" dateTime="2026-07-09T13:40:28" isNormal="0">
            <s:text>
              <s:r>
                <s:t xml:space="preserve">7/9收到亚马逊外箱贴纸188pcs</s:t>
              </s:r>
            </s:text>
          </item>
          <item id="9f9619d5b011a5f64aeefa6275f6c808ec12aa86" userID="1850010794" userName="龙丽娟" dateTime="2026-07-19T09:33:53" isNormal="0">
            <s:text>
              <s:r>
                <s:t xml:space="preserve">7/16上环保标/DE/IT警告语贴纸32592
210819/211827共用</s:t>
              </s:r>
            </s:text>
          </item>
        </commentChain>
      </unresolved>
      <resolved/>
    </commentChains>
    <commentChains s:ref="AG567" rgbClr="FF0000">
      <unresolved>
        <commentChain chainId="7649f46373dc5dae32280e57f7c04832975ba698">
          <item id="32ab103859a4868b976999af6c106ed4199f6d11" userID="1850010794" userName="龙丽娟" dateTime="2026-08-07T12:53:23" isNormal="0">
            <s:text>
              <s:r>
                <s:t xml:space="preserve">3004733 8/1 1872pcs欣泰c6</s:t>
              </s:r>
            </s:text>
          </item>
        </commentChain>
      </unresolved>
      <resolved/>
    </commentChains>
    <commentChains s:ref="AI567" rgbClr="FF0000">
      <unresolved>
        <commentChain chainId="5b5ef01c344be2b0d25b62899b640d8523498b29">
          <item id="98b175cad0b77d060fea0001ce6835fb77ece80d" userID="1850010794" userName="龙丽娟" dateTime="2026-07-09T13:40:28" isNormal="0">
            <s:text>
              <s:r>
                <s:t xml:space="preserve">7/9收到亚马逊外箱贴纸117pcs</s:t>
              </s:r>
            </s:text>
          </item>
          <item id="b56d15a36ad3dc9e2129526984e485e6fc3c3b33" userID="1850010794" userName="龙丽娟" dateTime="2026-07-19T09:33:55" isNormal="0">
            <s:text>
              <s:r>
                <s:t xml:space="preserve">7/16上环保标/DE/IT警告语贴纸32592
210819/211827共用</s:t>
              </s:r>
            </s:text>
          </item>
        </commentChain>
      </unresolved>
      <resolved/>
    </commentChains>
    <commentChains s:ref="AI568" rgbClr="FF0000">
      <unresolved>
        <commentChain chainId="14886886e6c551f3d9a8a477621f07bb850ae661">
          <item id="567a4654f865dee49a3426097490fd43b0c4f38e" userID="1850010794" userName="龙丽娟" dateTime="2026-07-09T13:40:28" isNormal="0">
            <s:text>
              <s:r>
                <s:t xml:space="preserve">7/9收到亚马逊外箱贴纸117pcs</s:t>
              </s:r>
            </s:text>
          </item>
          <item id="460670deeef1dcc442f6a2393304a3f45001ca53" userID="1850010794" userName="龙丽娟" dateTime="2026-07-19T09:34:00" isNormal="0">
            <s:text>
              <s:r>
                <s:t xml:space="preserve">7/16上环保标/DE/IT警告语贴纸32592
210819/211827共用</s:t>
              </s:r>
            </s:text>
          </item>
        </commentChain>
      </unresolved>
      <resolved/>
    </commentChains>
    <commentChains s:ref="AG569" rgbClr="FF0000">
      <unresolved>
        <commentChain chainId="3fde418634d54968236f54e669cc75154fbbe938">
          <item id="fa9ae65ac38a5e4067e2c2bd05def6c7c45caf8a" userID="1850010794" userName="龙丽娟" dateTime="2026-08-07T12:54:24" isNormal="0">
            <s:text>
              <s:r>
                <s:t xml:space="preserve">8/1 3004733 1296pcs欣泰c6</s:t>
              </s:r>
            </s:text>
          </item>
        </commentChain>
      </unresolved>
      <resolved/>
    </commentChains>
    <commentChains s:ref="AI569" rgbClr="FF0000">
      <unresolved>
        <commentChain chainId="721223af7763b74a5bdebaaeda14ced90f282ad4">
          <item id="c391c6575377a7118812c916bab480ab8a55a645" userID="1850010794" userName="龙丽娟" dateTime="2026-07-09T13:40:28" isNormal="0">
            <s:text>
              <s:r>
                <s:t xml:space="preserve">7/9收到亚马逊外箱贴纸350pcs</s:t>
              </s:r>
            </s:text>
          </item>
          <item id="7276bc17f8875800e9082dc4e27bc5b83a64e7cb" userID="1850010794" userName="龙丽娟" dateTime="2026-07-19T09:34:13" isNormal="0">
            <s:text>
              <s:r>
                <s:t xml:space="preserve">7/16上环保标/DE/IT警告语贴纸32592
210819/211827共用</s:t>
              </s:r>
            </s:text>
          </item>
        </commentChain>
      </unresolved>
      <resolved/>
    </commentChains>
    <commentChains s:ref="AI570" rgbClr="FF0000">
      <unresolved>
        <commentChain chainId="c3faa68890389b262b98743b0a5ed6f8c7c9b61a">
          <item id="07ab793498173da84110d91fe69edab706c049cf" userID="1850010794" userName="龙丽娟" dateTime="2026-07-09T13:40:28" isNormal="0">
            <s:text>
              <s:r>
                <s:t xml:space="preserve">7/9收到亚马逊外箱贴纸185pcs</s:t>
              </s:r>
            </s:text>
          </item>
          <item id="0c33f7c661b732d24e919538a08de92f777e3ea1" userID="1850010794" userName="龙丽娟" dateTime="2026-07-19T09:34:09" isNormal="0">
            <s:text>
              <s:r>
                <s:t xml:space="preserve">7/16上环保标/DE/IT警告语贴纸32592
210819/211827共用</s:t>
              </s:r>
            </s:text>
          </item>
        </commentChain>
      </unresolved>
      <resolved/>
    </commentChains>
    <commentChains s:ref="AI571" rgbClr="FF0000">
      <unresolved>
        <commentChain chainId="887e4ec109b02c0c1892edf46d3caf7856f2f8f7">
          <item id="b583414929bfa7fb756efedc108ba7a8f1cebafc" userID="1850010794" userName="龙丽娟" dateTime="2026-07-09T13:40:28" isNormal="0">
            <s:text>
              <s:r>
                <s:t xml:space="preserve">7/9收到亚马逊外箱贴纸185pcs</s:t>
              </s:r>
            </s:text>
          </item>
          <item id="cc27719054739bbc60f111b3f9017b20c09c69af" userID="1850010794" userName="龙丽娟" dateTime="2026-07-19T09:34:18" isNormal="0">
            <s:text>
              <s:r>
                <s:t xml:space="preserve">7/16上环保标/DE/IT警告语贴纸32592
210819/211827共用</s:t>
              </s:r>
            </s:text>
          </item>
        </commentChain>
      </unresolved>
      <resolved/>
    </commentChains>
    <commentChains s:ref="AI572" rgbClr="FF0000">
      <unresolved>
        <commentChain chainId="dac5334270bed1ad9ed08b70ff03c57ab8cbef81">
          <item id="dc3877cbefcdb02f98aacd63f363de67f4dbf87d" userID="1850010794" userName="龙丽娟" dateTime="2026-07-19T09:40:25" isNormal="0">
            <s:text>
              <s:r>
                <s:t xml:space="preserve">7/16上客户进口商贴纸480pcs</s:t>
              </s:r>
            </s:text>
          </item>
        </commentChain>
      </unresolved>
      <resolved/>
    </commentChains>
    <commentChains s:ref="AG573" rgbClr="FF0000">
      <unresolved>
        <commentChain chainId="c405986e57c29a5e1e380db3ccbe5711a1ae0738">
          <item id="20c607bb27d839d281c320b4d327d282f1c8b00b" userID="1850010794" userName="龙丽娟" dateTime="2026-08-14T09:12:12" isNormal="0">
            <s:text>
              <s:r>
                <s:t xml:space="preserve">8/6 1001547 1000pcs钜顺A4</s:t>
              </s:r>
            </s:text>
          </item>
        </commentChain>
      </unresolved>
      <resolved/>
    </commentChains>
    <commentChains s:ref="AG575" rgbClr="FF0000">
      <unresolved>
        <commentChain chainId="842a493eb781d643ac68737093b022ad4069c572">
          <item id="9216a4a96c1b57776e47daa690609f8e4278c3fd" userID="1850010794" userName="龙丽娟" dateTime="2026-08-14T02:30:58" isNormal="0">
            <s:text>
              <s:r>
                <s:t xml:space="preserve">1016774 8/14 2000pcs</s:t>
              </s:r>
            </s:text>
          </item>
        </commentChain>
      </unresolved>
      <resolved/>
    </commentChains>
    <commentChains s:ref="AG576" rgbClr="FF0000">
      <unresolved>
        <commentChain chainId="6cb1c62beba5dafad851bccf970463b3454e949f">
          <item id="28842e174fe8afd6ff9fa6504495e4e8983d107e" userID="1850010794" userName="龙丽娟" dateTime="2026-08-04T05:56:40" isNormal="0">
            <s:text>
              <s:r>
                <s:t xml:space="preserve">1016763 8/3 3600pcs</s:t>
              </s:r>
            </s:text>
          </item>
        </commentChain>
      </unresolved>
      <resolved/>
    </commentChains>
    <commentChains s:ref="AI576" rgbClr="FF0000">
      <unresolved>
        <commentChain chainId="7ed1f2a91ae86da71c533987a8245e49e63c9bb6">
          <item id="9709d970dd0a348c541e227d19da1caa4f1393a8" userID="1850010794" userName="龙丽娟" dateTime="2026-07-15T14:00:23" isNormal="0">
            <s:text>
              <s:r>
                <s:t xml:space="preserve">7/15上客人通用进口商3600pcs</s:t>
              </s:r>
            </s:text>
          </item>
        </commentChain>
      </unresolved>
      <resolved/>
    </commentChains>
    <commentChains s:ref="AG581" rgbClr="FF0000">
      <unresolved>
        <commentChain chainId="0fc6eecbff0cd9d9cf2122b682429e23eef61160">
          <item id="f64ea200bfa62cb832af4bd88728ba60674b5aeb" userID="1850010794" userName="龙丽娟" dateTime="2026-08-07T13:10:21" isNormal="0">
            <s:text>
              <s:r>
                <s:t xml:space="preserve">3004754 8/4 3216pcs馥通B3</s:t>
              </s:r>
            </s:text>
          </item>
        </commentChain>
      </unresolved>
      <resolved/>
    </commentChains>
    <commentChains s:ref="AG582" rgbClr="FF0000">
      <unresolved>
        <commentChain chainId="1959fcc51aa712ee34c8ed8ddb63432a97a216a7">
          <item id="7642ae237ff8708a9ee6efc6a7e80f3f4ceeb881" userID="1850010794" userName="龙丽娟" dateTime="2026-08-06T06:13:56" isNormal="0">
            <s:text>
              <s:r>
                <s:t xml:space="preserve">1016765 8/6 104pcs</s:t>
              </s:r>
            </s:text>
          </item>
        </commentChain>
      </unresolved>
      <resolved/>
    </commentChains>
    <commentChains s:ref="AI582" rgbClr="FF0000">
      <unresolved>
        <commentChain chainId="297641fc66d59a73784fa715af0ba69051e9f42c">
          <item id="e0c674ba46e9b23956d1aece377ba956ede56c0e" userID="1850010794" userName="龙丽娟" dateTime="2026-07-16T06:21:47" isNormal="0">
            <s:text>
              <s:r>
                <s:t xml:space="preserve">7/15 上防盗贴纸 104pcs</s:t>
              </s:r>
            </s:text>
          </item>
          <item id="eb83fec08ae4cf510a7b09bac9ffd4b70459b524" userID="1850010794" userName="龙丽娟" dateTime="2026-07-24T12:56:30" isNormal="0">
            <s:text>
              <s:r>
                <s:t xml:space="preserve">7/21上kmart外箱贴纸175pcs</s:t>
              </s:r>
            </s:text>
          </item>
        </commentChain>
      </unresolved>
      <resolved/>
    </commentChains>
    <commentChains s:ref="AG583" rgbClr="FF0000">
      <unresolved>
        <commentChain chainId="89a7318f63949e075b6131a395fc293c39c7407d">
          <item id="8e2bc302960f472e66eda8d90f338860ed73548d" userID="1850010794" userName="龙丽娟" dateTime="2026-08-06T06:13:19" isNormal="0">
            <s:text>
              <s:r>
                <s:t xml:space="preserve">1016765 8/6 1400pcs</s:t>
              </s:r>
            </s:text>
          </item>
        </commentChain>
      </unresolved>
      <resolved/>
    </commentChains>
    <commentChains s:ref="AI583" rgbClr="FF0000">
      <unresolved>
        <commentChain chainId="b879cc416eaff8ef817ae36720f9cb5b09d85367">
          <item id="73e18aed61c2e91826168659551aa97eb1958945" userID="1850010794" userName="龙丽娟" dateTime="2026-07-16T06:21:32" isNormal="0">
            <s:text>
              <s:r>
                <s:t xml:space="preserve">7/15 上防盗贴纸 1400pcs</s:t>
              </s:r>
            </s:text>
          </item>
          <item id="c61a2610e3bb0bb14ba48b19cf11bc2417b45771" userID="1850010794" userName="龙丽娟" dateTime="2026-07-24T12:56:16" isNormal="0">
            <s:text>
              <s:r>
                <s:t xml:space="preserve">7/21上kmart外箱贴纸175pcs</s:t>
              </s:r>
            </s:text>
          </item>
        </commentChain>
      </unresolved>
      <resolved/>
    </commentChains>
    <commentChains s:ref="AI584" rgbClr="FF0000">
      <unresolved>
        <commentChain chainId="146a030d1e05345c456d0501b419b431c0d44c63">
          <item id="a1fee9201d2d29b425fc9babb985016d049336d9" userID="1850010794" userName="龙丽娟" dateTime="2026-07-24T12:49:51" isNormal="0">
            <s:text>
              <s:r>
                <s:t xml:space="preserve">7/21上客供亚马逊外箱贴纸63pcs</s:t>
              </s:r>
            </s:text>
          </item>
        </commentChain>
      </unresolved>
      <resolved/>
    </commentChains>
    <commentChains s:ref="AI585" rgbClr="FF0000">
      <unresolved>
        <commentChain chainId="527c8004ac032e58f5f5ff3b7f422e8c10bb073d">
          <item id="00af30121b998074abe1dcc5e8d28ae4ddca8c82" userID="1850010794" userName="龙丽娟" dateTime="2026-07-24T12:48:10" isNormal="0">
            <s:text>
              <s:r>
                <s:t xml:space="preserve">7/21上客供亚马逊外箱贴纸771pcs</s:t>
              </s:r>
            </s:text>
          </item>
        </commentChain>
      </unresolved>
      <resolved/>
    </commentChains>
    <commentChains s:ref="AQ586" rgbClr="FF0000">
      <unresolved>
        <commentChain chainId="85c066a1416318c26508890f4325f6331efa1b95">
          <item id="b245a5d7ae2c08090cdcbd8a92330c9da6ec606b" isNormal="1">
            <s:text>
              <s:r>
                <s:t xml:space="preserve">RR:
新客版资料</s:t>
              </s:r>
            </s:text>
          </item>
        </commentChain>
      </unresolved>
      <resolved/>
    </commentChains>
    <commentChains s:ref="AR586" rgbClr="FF0000">
      <unresolved>
        <commentChain chainId="80be754fa841d8800133fe383f7176327915c577">
          <item id="c8e408052c9ccfee39242b206fcb621bb11e90ac" isNormal="1">
            <s:text>
              <s:r>
                <s:t xml:space="preserve">RR:
新客版资料</s:t>
              </s:r>
            </s:text>
          </item>
        </commentChain>
      </unresolved>
      <resolved/>
    </commentChains>
    <commentChains s:ref="AS586" rgbClr="FF0000">
      <unresolved>
        <commentChain chainId="b3760bcd4e539aa44861f2bdcd65460a25c21775">
          <item id="d161d4d029db4b31909e0cb3cf2e307c280daff5" isNormal="1">
            <s:text>
              <s:r>
                <s:t xml:space="preserve">RR:
新客版资料</s:t>
              </s:r>
            </s:text>
          </item>
        </commentChain>
      </unresolved>
      <resolved/>
    </commentChains>
    <commentChains s:ref="AG588" rgbClr="FF0000">
      <unresolved>
        <commentChain chainId="36e1c84ca45be79c9d8d49126d5033f9e6af5f72">
          <item id="0318661fdb1ba68dc1bd5de1ab87e2bbd4a8af38" userID="1850010794" userName="龙丽娟" dateTime="2026-08-06T06:51:01" isNormal="0">
            <s:text>
              <s:r>
                <s:t xml:space="preserve">1016765 8/6 5600pcs</s:t>
              </s:r>
            </s:text>
          </item>
        </commentChain>
      </unresolved>
      <resolved/>
    </commentChains>
    <commentChains s:ref="AG590" rgbClr="FF0000">
      <unresolved>
        <commentChain chainId="326c55d846909bbe64297b1c68bcf2bdb42e2cd2">
          <item id="251e71aeda66d19d87ce3f95a61465cc6b12bfe3" userID="1850010794" userName="龙丽娟" dateTime="2026-08-07T13:21:47" isNormal="0">
            <s:text>
              <s:r>
                <s:t xml:space="preserve">8/4 3003972 800pcs钜顺B4</s:t>
              </s:r>
            </s:text>
          </item>
        </commentChain>
      </unresolved>
      <resolved/>
    </commentChains>
    <commentChains s:ref="AI594" rgbClr="FF0000">
      <unresolved>
        <commentChain chainId="3011ad5c4996467016002fa66eca645ab051e068">
          <item id="6466e315db2bb311dc3cd2d61c8ff95f8349e907" userID="1850010794" userName="龙丽娟" dateTime="2026-06-27T06:37:29" isNormal="0">
            <s:text>
              <s:r>
                <s:t xml:space="preserve">6/26 上锂电池贴纸 2000+17200pcs 
207763/208482/208497/211875/211883共用</s:t>
              </s:r>
            </s:text>
          </item>
          <item id="a92420c5059b3728879318bcc57f4531d0bcd8c1" userID="1850010794" userName="龙丽娟" dateTime="2026-06-29T12:05:27" isNormal="0">
            <s:text>
              <s:r>
                <s:t xml:space="preserve">6/30 上艾利贴纸  10pcs</s:t>
              </s:r>
            </s:text>
          </item>
          <item id="2d3d0eeaeb942689d9b807c68fcca0a36e62a9a1" userID="1850010794" userName="龙丽娟" dateTime="2026-07-07T09:53:41" isNormal="0">
            <s:text>
              <s:r>
                <s:t xml:space="preserve">7/3上客供RFID贴纸5120pcs</s:t>
              </s:r>
            </s:text>
          </item>
        </commentChain>
      </unresolved>
      <resolved/>
    </commentChains>
    <commentChains s:ref="AI595" rgbClr="FF0000">
      <unresolved>
        <commentChain chainId="29e96aae16be71f001fc044d40468cf03245f4b5">
          <item id="66ce0c2bd4a8ffa4013e8bc7b0a77cf9a9ec80cf" userID="1850010794" userName="龙丽娟" dateTime="2026-06-27T06:37:35" isNormal="0">
            <s:text>
              <s:r>
                <s:t xml:space="preserve">6/26 上锂电池贴纸 2000+17200pcs 
207763/208482/208497/211875/211883共用</s:t>
              </s:r>
            </s:text>
          </item>
          <item id="85317f60dd93e3a27df4bd6a707b66084e38a1d8" userID="1850010794" userName="龙丽娟" dateTime="2026-06-29T12:05:53" isNormal="0">
            <s:text>
              <s:r>
                <s:t xml:space="preserve">6/30 上艾利贴纸  21pcs</s:t>
              </s:r>
            </s:text>
          </item>
          <item id="1d126cca80404e370f1a1147db86f4b8fcfdb4af" userID="1850010794" userName="龙丽娟" dateTime="2026-07-07T09:53:55" isNormal="0">
            <s:text>
              <s:r>
                <s:t xml:space="preserve">7/3上客供RFID贴纸10752pcs</s:t>
              </s:r>
            </s:text>
          </item>
        </commentChain>
      </unresolved>
      <resolved/>
    </commentChains>
    <commentChains s:ref="AG596" rgbClr="FF0000">
      <unresolved>
        <commentChain chainId="a182e5e232b201f31b8709f1e70c9ad94f45fead">
          <item id="c8fb6dd6a552e1f13408a20a0f7ff5ed8f807038" userID="1850010794" userName="龙丽娟" dateTime="2026-08-11T05:58:54" isNormal="0">
            <s:text>
              <s:r>
                <s:t xml:space="preserve">1016768 8/10 7168pcs</s:t>
              </s:r>
            </s:text>
          </item>
        </commentChain>
      </unresolved>
      <resolved/>
    </commentChains>
    <commentChains s:ref="AI596" rgbClr="FF0000">
      <unresolved>
        <commentChain chainId="fe30b7b30cdc901d0294cf7a0b531da0ba427791">
          <item id="5aa38d2dcf1c471461d0baeadaeb891bdef6a497" userID="1850010794" userName="龙丽娟" dateTime="2026-06-27T06:37:39" isNormal="0">
            <s:text>
              <s:r>
                <s:t xml:space="preserve">6/26 上锂电池贴纸 2000+17200pcs 
207763/208482/208497/211875/211883共用</s:t>
              </s:r>
            </s:text>
          </item>
          <item id="d53d987f33744a05fbf5ca96d4bc4940f223edb6" userID="1850010794" userName="龙丽娟" dateTime="2026-06-29T12:06:14" isNormal="0">
            <s:text>
              <s:r>
                <s:t xml:space="preserve">6/30 上艾利贴纸  14pcs</s:t>
              </s:r>
            </s:text>
          </item>
          <item id="39ee030dbe4ae353df7a107898fe3a35d7f52436" userID="1850010794" userName="龙丽娟" dateTime="2026-07-07T09:54:08" isNormal="0">
            <s:text>
              <s:r>
                <s:t xml:space="preserve">7/3上客供RFID贴纸7168pcs</s:t>
              </s:r>
            </s:text>
          </item>
        </commentChain>
      </unresolved>
      <resolved/>
    </commentChains>
    <commentChains s:ref="AG597" rgbClr="FF0000">
      <unresolved>
        <commentChain chainId="e0dde7449d60a5aee37810e807c458838abb65f5">
          <item id="dc1aa294714e10bd6c8934491d963f71ec19ec59" userID="1850010794" userName="龙丽娟" dateTime="2026-08-07T13:54:30" isNormal="0">
            <s:text>
              <s:r>
                <s:t xml:space="preserve">1001522 8/7 512pcs欣泰B2</s:t>
              </s:r>
            </s:text>
          </item>
        </commentChain>
      </unresolved>
      <resolved/>
    </commentChains>
    <commentChains s:ref="AI598" rgbClr="FF0000">
      <unresolved>
        <commentChain chainId="9b7df3a730441d555402f74f55bcf5780dff3897">
          <item id="52bdb6c7e9556955f04c4e1b9572a9ab77434199" userID="1850010794" userName="龙丽娟" dateTime="2026-07-20T13:58:19" isNormal="0">
            <s:text>
              <s:r>
                <s:t xml:space="preserve">7/16 上进口商贴纸 512pcs</s:t>
              </s:r>
            </s:text>
          </item>
        </commentChain>
      </unresolved>
      <resolved/>
    </commentChains>
    <commentChains s:ref="AG599" rgbClr="FF0000">
      <unresolved>
        <commentChain chainId="70813fa59e27447c76a6d0eb846f4741863cb4ce">
          <item id="dc3a8331bee8a524a02751d7a92be0cfad52e7de" userID="1850010794" userName="龙丽娟" dateTime="2026-08-07T13:54:05" isNormal="0">
            <s:text>
              <s:r>
                <s:t xml:space="preserve">1001522 8/7 400pcs欣泰B3</s:t>
              </s:r>
            </s:text>
          </item>
        </commentChain>
      </unresolved>
      <resolved/>
    </commentChains>
    <commentChains s:ref="AI599" rgbClr="FF0000">
      <unresolved>
        <commentChain chainId="8f6cb33159073747bce771d35305bee2fb72858a">
          <item id="861e56f46fb2edc1ef28f108fbd799f28a64da50" userID="1850010794" userName="龙丽娟" dateTime="2026-07-20T14:00:05" isNormal="0">
            <s:text>
              <s:r>
                <s:t xml:space="preserve">7/16 上进口商贴纸 400pcs
         上产品贴纸  400pcs</s:t>
              </s:r>
            </s:text>
          </item>
        </commentChain>
      </unresolved>
      <resolved/>
    </commentChains>
    <commentChains s:ref="AG600" rgbClr="FF0000">
      <unresolved>
        <commentChain chainId="0243bff34164f5d9d3c5b776cfba490d9315ae0a">
          <item id="ab78ee7de898e8aa9c654f0d14a7f910d32d1370" userID="1850010794" userName="龙丽娟" dateTime="2026-08-14T07:53:58" isNormal="0">
            <s:text>
              <s:r>
                <s:t xml:space="preserve">1016776 8/14 9728pcs</s:t>
              </s:r>
            </s:text>
          </item>
        </commentChain>
      </unresolved>
      <resolved/>
    </commentChains>
    <commentChains s:ref="AI600" rgbClr="FF0000">
      <unresolved>
        <commentChain chainId="94c7075b013fa8c0600c339d0ef2e9ac4f99ab23">
          <item id="3f8b97312f4c53df828e2410f4beeb7674e9639b" userID="1850010794" userName="龙丽娟" dateTime="2026-06-27T06:37:24" isNormal="0">
            <s:text>
              <s:r>
                <s:t xml:space="preserve">6/26 上锂电池贴纸 2000+17200pcs 
207763/208482/208497/211875/211883共用</s:t>
              </s:r>
            </s:text>
          </item>
          <item id="ac735429024c2cd212a19b659bb70421b3293a0b" userID="1850010794" userName="龙丽娟" dateTime="2026-06-29T12:05:05" isNormal="0">
            <s:text>
              <s:r>
                <s:t xml:space="preserve">6/30 上艾利贴纸  19pcs</s:t>
              </s:r>
            </s:text>
          </item>
          <item id="4d70dbf4090c865a11f1d366a005220ca80ce0cb" userID="1850010794" userName="龙丽娟" dateTime="2026-07-07T09:53:03" isNormal="0">
            <s:text>
              <s:r>
                <s:t xml:space="preserve">7/3上客供RFID贴纸9728pcs</s:t>
              </s:r>
            </s:text>
          </item>
        </commentChain>
      </unresolved>
      <resolved/>
    </commentChains>
    <commentChains s:ref="AG601" rgbClr="FF0000">
      <unresolved>
        <commentChain chainId="4f2d574eabea181a6e788dc482bd47c22d7ac369">
          <item id="6e92251b7f6cccc1715f9e300069d1ed88cc6b60" userID="1850010794" userName="龙丽娟" dateTime="2026-08-05T03:51:56" isNormal="0">
            <s:text>
              <s:r>
                <s:t xml:space="preserve">1016764 8/5 1824pcs</s:t>
              </s:r>
            </s:text>
          </item>
        </commentChain>
      </unresolved>
      <resolved/>
    </commentChains>
    <commentChains s:ref="AE602" rgbClr="FF0000">
      <unresolved>
        <commentChain chainId="6e18707eb53cbd1eaccbf4fc2f647537d8ae5380">
          <item id="12f04b478beb27fa262cbebc60ecd4816a201b62" userID="1850010794" userName="龙丽娟" dateTime="2026-08-07T13:22:05" isNormal="0">
            <s:text>
              <s:r>
                <s:t xml:space="preserve">8/4 3003972 1200pcs钜顺B4</s:t>
              </s:r>
            </s:text>
          </item>
        </commentChain>
      </unresolved>
      <resolved/>
    </commentChains>
    <commentChains s:ref="AI602" rgbClr="FF0000">
      <unresolved>
        <commentChain chainId="bc1a31979d1c16bc9b6bf41ef0568109e947534d">
          <item id="29ff78af5ffa06d031e5c970ed5fcd686975faba" userID="1850010794" userName="龙丽娟" dateTime="2026-07-17T13:29:28" isNormal="0">
            <s:text>
              <s:r>
                <s:t xml:space="preserve">7/17上UPC贴纸1200pcs</s:t>
              </s:r>
            </s:text>
          </item>
        </commentChain>
      </unresolved>
      <resolved/>
    </commentChains>
    <commentChains s:ref="AG604" rgbClr="FF0000">
      <unresolved>
        <commentChain chainId="6b9a6e4a5934cb37808054e257c871d8275b74bb">
          <item id="de280efe3e9c37cf8fccb9538e1d314c2c89493f" userID="1850010794" userName="龙丽娟" dateTime="2026-08-11T04:01:08" isNormal="0">
            <s:text>
              <s:r>
                <s:t xml:space="preserve">1016729 8/11 4272pcs</s:t>
              </s:r>
            </s:text>
          </item>
        </commentChain>
      </unresolved>
      <resolved/>
    </commentChains>
    <commentChains s:ref="AI605" rgbClr="FF0000">
      <unresolved>
        <commentChain chainId="d3909e6dda15b6efd33ecd7d64ec65be6f66ee88">
          <item id="656c14a71c34e009e6715a29542bdbf1bfd22ff7" userID="1850010794" userName="龙丽娟" dateTime="2026-07-24T12:37:46" isNormal="0">
            <s:text>
              <s:r>
                <s:t xml:space="preserve">7/21上亚马逊外箱贴纸60pcs</s:t>
              </s:r>
            </s:text>
          </item>
        </commentChain>
      </unresolved>
      <resolved/>
    </commentChains>
    <commentChains s:ref="AG606" rgbClr="FF0000">
      <unresolved>
        <commentChain chainId="500d97982594b86f864403bb950a09c355e6571a">
          <item id="288a27cf4de0996ee4fcc4926ddb49d04014b7d0" userID="1850010794" userName="龙丽娟" dateTime="2026-08-07T13:52:07" isNormal="0">
            <s:text>
              <s:r>
                <s:t xml:space="preserve">1001522 8/7 1024pcs欣泰C3</s:t>
              </s:r>
            </s:text>
          </item>
        </commentChain>
      </unresolved>
      <resolved/>
    </commentChains>
    <commentChains s:ref="AI606" rgbClr="FF0000">
      <unresolved>
        <commentChain chainId="b172d96d5531fe74e57b336c8c3e4207692e5da7">
          <item id="4d8f79c384cca2cb59609624dc40de7586243e7f" userID="1850010794" userName="龙丽娟" dateTime="2026-07-20T14:24:56" isNormal="0">
            <s:text>
              <s:r>
                <s:t xml:space="preserve">7/20上UPC贴纸/环保标警告语贴纸各10656
213130/021118共用</s:t>
              </s:r>
            </s:text>
          </item>
        </commentChain>
      </unresolved>
      <resolved/>
    </commentChains>
    <commentChains s:ref="AG607" rgbClr="FF0000">
      <unresolved>
        <commentChain chainId="56a04043d62fcb153a8f1b30765a97279cac577d">
          <item id="fc034217a60466b102af9a56662350713d456d1a" userID="1850010794" userName="龙丽娟" dateTime="2026-08-07T13:52:07" isNormal="0">
            <s:text>
              <s:r>
                <s:t xml:space="preserve">1001522 8/7 1024pcs欣泰B2</s:t>
              </s:r>
            </s:text>
          </item>
        </commentChain>
      </unresolved>
      <resolved/>
    </commentChains>
    <commentChains s:ref="AI607" rgbClr="FF0000">
      <unresolved>
        <commentChain chainId="e044970623022919d4f45cd2c92c76ca370a99aa">
          <item id="af32483c604f6b50b2bfc8b355356bdf0ee2a449" userID="1850010794" userName="龙丽娟" dateTime="2026-07-20T14:24:56" isNormal="0">
            <s:text>
              <s:r>
                <s:t xml:space="preserve">7/20上UPC贴纸/环保标警告语贴纸各10656
213130/021118共用</s:t>
              </s:r>
            </s:text>
          </item>
        </commentChain>
      </unresolved>
      <resolved/>
    </commentChains>
    <commentChains s:ref="AG608" rgbClr="FF0000">
      <unresolved>
        <commentChain chainId="22025b8a45b183a45c37cc9133006ce05e479c03">
          <item id="e7cf2c3eef3005fbb1849a367578a199a488cbf5" userID="1850010794" userName="龙丽娟" dateTime="2026-08-07T13:10:47" isNormal="0">
            <s:text>
              <s:r>
                <s:t xml:space="preserve">8/4 3004754 120PCSF馥通B5</s:t>
              </s:r>
            </s:text>
          </item>
        </commentChain>
      </unresolved>
      <resolved/>
    </commentChains>
    <commentChains s:ref="AI608" rgbClr="FF0000">
      <unresolved>
        <commentChain chainId="37cf5d9bef4025c807d45d660418bd076146d3c0">
          <item id="097d977421c862299b334c66036d4facfd4ea5e8" userID="1850010794" userName="龙丽娟" dateTime="2026-06-22T05:45:33" isNormal="0">
            <s:text>
              <s:r>
                <s:t xml:space="preserve">6/10上UPC贴纸1624pcs
208821/208841共用</s:t>
              </s:r>
            </s:text>
          </item>
        </commentChain>
      </unresolved>
      <resolved/>
    </commentChains>
    <commentChains s:ref="AG609" rgbClr="FF0000">
      <unresolved>
        <commentChain chainId="1ae921f9d65114f1a42b019044156f0ddb3173d8">
          <item id="44047054f6864d7f0e4f14244887feeb87d9317a" userID="1850010794" userName="龙丽娟" dateTime="2026-08-11T06:01:49" isNormal="0">
            <s:text>
              <s:r>
                <s:t xml:space="preserve">1016770 8/11 880pcs</s:t>
              </s:r>
            </s:text>
          </item>
        </commentChain>
      </unresolved>
      <resolved/>
    </commentChains>
    <commentChains s:ref="AG611" rgbClr="FF0000">
      <unresolved>
        <commentChain chainId="0acbf483d4a769bab1cd1a79b1064d59b29fffe5">
          <item id="660cf06783d728a758a738f4f755ce68302c50a6" userID="1850010794" userName="龙丽娟" dateTime="2026-08-12T08:04:40" isNormal="0">
            <s:text>
              <s:r>
                <s:t xml:space="preserve">8/8 2800416 3840pcs欣d6</s:t>
              </s:r>
            </s:text>
          </item>
        </commentChain>
      </unresolved>
      <resolved/>
    </commentChains>
    <commentChains s:ref="AI611" rgbClr="FF0000">
      <unresolved>
        <commentChain chainId="6307820b5fe5904f881d074292049e6c0439a3c7">
          <item id="4a2845b2375c0e7c3221b273747af8189474553b" userID="1850010794" userName="龙丽娟" dateTime="2026-07-17T12:31:21" isNormal="0">
            <s:text>
              <s:r>
                <s:t xml:space="preserve">7/16 上客供外箱贴纸 4635pcs</s:t>
              </s:r>
            </s:text>
          </item>
        </commentChain>
      </unresolved>
      <resolved/>
    </commentChains>
    <commentChains s:ref="AF612" rgbClr="FF0000">
      <unresolved>
        <commentChain chainId="f3b74605f0b2049f146cfde9280750e90c8c9472">
          <item id="3f6a02be0b93ff482d7c83c071419dc5283d9807" userID="1850010794" userName="龙丽娟" dateTime="2026-07-31T03:55:20" isNormal="0">
            <s:text>
              <s:r>
                <s:t xml:space="preserve">河源转湖南，3L订单备注错了1L</s:t>
              </s:r>
            </s:text>
          </item>
        </commentChain>
      </unresolved>
      <resolved/>
    </commentChains>
    <commentChains s:ref="AG612" rgbClr="FF0000">
      <unresolved>
        <commentChain chainId="1b1fb219a3c2fd3af89b42683884da31cd4326c7">
          <item id="efa41cc22f39ef7a18cee053439254ea9142a717" userID="1850010794" userName="龙丽娟" dateTime="2026-08-12T06:47:41" isNormal="0">
            <s:text>
              <s:r>
                <s:t xml:space="preserve">8/8 1001516 3424pcsB栋A1-C8</s:t>
              </s:r>
            </s:text>
          </item>
        </commentChain>
      </unresolved>
      <resolved/>
    </commentChains>
    <commentChains s:ref="AI612" rgbClr="FF0000">
      <unresolved>
        <commentChain chainId="31a2716a49395b2c3d7e6350f4ac24b91d41430e">
          <item id="f023366823994aa6ab4599d754fa422ec760de53" userID="1850010794" userName="龙丽娟" dateTime="2026-07-17T13:30:25" isNormal="0">
            <s:text>
              <s:r>
                <s:t xml:space="preserve">7/17上进口商贴纸3424pcs</s:t>
              </s:r>
            </s:text>
          </item>
        </commentChain>
      </unresolved>
      <resolved/>
    </commentChains>
    <commentChains s:ref="AG613" rgbClr="FF0000">
      <unresolved>
        <commentChain chainId="999a56cfb5e021753564c7db5d1fc15f31adc4af">
          <item id="b6e7be26c3c154b74fc8cfbcb2282041c8c23199" userID="1850010794" userName="龙丽娟" dateTime="2026-08-14T07:35:22" isNormal="0">
            <s:text>
              <s:r>
                <s:t xml:space="preserve">8/6 3003095 320pcs欣泰B1</s:t>
              </s:r>
            </s:text>
          </item>
        </commentChain>
      </unresolved>
      <resolved/>
    </commentChains>
    <commentChains s:ref="AI613" rgbClr="FF0000">
      <unresolved>
        <commentChain chainId="c965393cdf162dc58350cc61339f9361265720f3">
          <item id="a332de312b992670bebc123a5de5ed8c475daa4c" userID="1850010794" userName="龙丽娟" dateTime="2026-07-17T13:31:06" isNormal="0">
            <s:text>
              <s:r>
                <s:t xml:space="preserve">7/17上意大利警语贴纸320pcs</s:t>
              </s:r>
            </s:text>
          </item>
        </commentChain>
      </unresolved>
      <resolved/>
    </commentChains>
    <commentChains s:ref="AI617" rgbClr="FF0000">
      <unresolved>
        <commentChain chainId="c61f5adbf4cc05133619d4a097b05cea4ba1afde">
          <item id="671375a663c577eb349872ae2c1381f6d028b9ed" userID="1850010794" userName="龙丽娟" dateTime="2026-07-20T14:24:56" isNormal="0">
            <s:text>
              <s:r>
                <s:t xml:space="preserve">7/20上UPC贴纸/环保标警告语贴纸各10656
213130/021118共用</s:t>
              </s:r>
            </s:text>
          </item>
          <item id="2bf7e1c48cb11336eb21636f7d705ed1179290e2" userID="1850010794" userName="龙丽娟" dateTime="2026-07-24T12:46:01" isNormal="0">
            <s:text>
              <s:r>
                <s:t xml:space="preserve">7/21收到亚马逊外箱贴纸188pcs</s:t>
              </s:r>
            </s:text>
          </item>
        </commentChain>
      </unresolved>
      <resolved/>
    </commentChains>
    <commentChains s:ref="AI618" rgbClr="FF0000">
      <unresolved>
        <commentChain chainId="0c7ca105f0ec386b3b6fcf050e4e5c51769bd65d">
          <item id="93ce3be6e7728305681ed9281f34e91bedc87372" userID="1850010794" userName="龙丽娟" dateTime="2026-07-20T14:24:56" isNormal="0">
            <s:text>
              <s:r>
                <s:t xml:space="preserve">7/20上UPC贴纸/环保标警告语贴纸各10656
213130/021118共用</s:t>
              </s:r>
            </s:text>
          </item>
          <item id="5d92b8cb3933872437db73ee8b829a5479aee9c2" userID="1850010794" userName="龙丽娟" dateTime="2026-07-24T12:46:09" isNormal="0">
            <s:text>
              <s:r>
                <s:t xml:space="preserve">7/21上客供亚马逊外箱贴纸350pcs</s:t>
              </s:r>
            </s:text>
          </item>
        </commentChain>
      </unresolved>
      <resolved/>
    </commentChains>
    <commentChains s:ref="AI619" rgbClr="FF0000">
      <unresolved>
        <commentChain chainId="1e8f578a861204d02ff2da01f3f22ff15782aad8">
          <item id="7f00c7fd45d3e955ff1e0180d27f37dba41de4cc" userID="1850010794" userName="龙丽娟" dateTime="2026-07-17T13:11:30" isNormal="0">
            <s:text>
              <s:r>
                <s:t xml:space="preserve">7/17上catlabel贴纸1504pcs</s:t>
              </s:r>
            </s:text>
          </item>
        </commentChain>
      </unresolved>
      <resolved/>
    </commentChains>
    <commentChains s:ref="AG620" rgbClr="FF0000">
      <unresolved>
        <commentChain chainId="57c15194856de72f4a2add1b823bb6fde53b3d2b">
          <item id="d696f4c8e291247899a98e0f68e9464a9e1d74af" userID="1850010794" userName="龙丽娟" dateTime="2026-08-07T13:26:18" isNormal="0">
            <s:text>
              <s:r>
                <s:t xml:space="preserve">3003923 8/7 2976pcs</s:t>
              </s:r>
            </s:text>
          </item>
        </commentChain>
      </unresolved>
      <resolved/>
    </commentChains>
    <commentChains s:ref="AI620" rgbClr="FF0000">
      <unresolved>
        <commentChain chainId="7c516360cb25d2e502dd0b98277ba02a01402414">
          <item id="3c2355eecbb6c6f411ac6568197ece4b74a381ca" userID="1850010794" userName="龙丽娟" dateTime="2026-07-23T12:36:23" isNormal="0">
            <s:text>
              <s:r>
                <s:t xml:space="preserve">7/18上产品贴纸2880pcs</s:t>
              </s:r>
            </s:text>
          </item>
        </commentChain>
      </unresolved>
      <resolved/>
    </commentChains>
    <commentChains s:ref="AG621" rgbClr="FF0000">
      <unresolved>
        <commentChain chainId="7b58ef00c3de6d51cd341ef6d353f1602be89035">
          <item id="501b3cb6be0838ff86c1886d698a8dac9b8315fc" userID="1850010794" userName="龙丽娟" dateTime="2026-08-14T09:06:33" isNormal="0">
            <s:text>
              <s:r>
                <s:t xml:space="preserve">8/6 3003095 1488pcs欣泰B1</s:t>
              </s:r>
            </s:text>
          </item>
        </commentChain>
      </unresolved>
      <resolved/>
    </commentChains>
    <commentChains s:ref="AI621" rgbClr="FF0000">
      <unresolved>
        <commentChain chainId="bb6f88dd4c5be8bea83dd463db4995c23caf239f">
          <item id="2e675f0072e62b94d7fd14006848bdfbf913b995" userID="1850010794" userName="龙丽娟" dateTime="2026-07-24T12:37:46" isNormal="0">
            <s:text>
              <s:r>
                <s:t xml:space="preserve">7/21上亚马逊外箱贴纸93pcs</s:t>
              </s:r>
            </s:text>
          </item>
        </commentChain>
      </unresolved>
      <resolved/>
    </commentChains>
    <commentChains s:ref="AG622" rgbClr="FF0000">
      <unresolved>
        <commentChain chainId="de45c97d796e9932eef39981512cfdd1a1a27ae9">
          <item id="416400d02206c7431cdd8678b6441fbc4a15f028" userID="1850010794" userName="龙丽娟" dateTime="2026-08-07T13:43:02" isNormal="0">
            <s:text>
              <s:r>
                <s:t xml:space="preserve">3003924 8/7 1936pcsB4</s:t>
              </s:r>
            </s:text>
          </item>
        </commentChain>
      </unresolved>
      <resolved/>
    </commentChains>
    <commentChains s:ref="AI622" rgbClr="FF0000">
      <unresolved>
        <commentChain chainId="91664e1aa5e87784f35f2871de2b2a58f1e8f03f">
          <item id="e38accb91e056faff808c209cc2c4c739af36997" userID="1850010794" userName="龙丽娟" dateTime="2026-07-24T12:37:46" isNormal="0">
            <s:text>
              <s:r>
                <s:t xml:space="preserve">7/21上亚马逊外箱贴纸121pcs</s:t>
              </s:r>
            </s:text>
          </item>
        </commentChain>
      </unresolved>
      <resolved/>
    </commentChains>
    <commentChains s:ref="AG623" rgbClr="FF0000">
      <unresolved>
        <commentChain chainId="17fa19cdf7819485705d74647f6e9e760fa9c1e6">
          <item id="46838e89b659ed63870adfe42306cb5cc501a71e" userID="1850010794" userName="龙丽娟" dateTime="2026-08-14T09:02:51" isNormal="0">
            <s:text>
              <s:r>
                <s:t xml:space="preserve">8/6 1001536 432pcs 欣泰c6</s:t>
              </s:r>
            </s:text>
          </item>
        </commentChain>
      </unresolved>
      <resolved/>
    </commentChains>
    <commentChains s:ref="AG624" rgbClr="FF0000">
      <unresolved>
        <commentChain chainId="c0eea642fd7f2bb4f6d8b06ab67db0975a5ea5e1">
          <item id="7cbf5f5632e9692d46715bbc0cc13796b12bdb30" userID="1850010794" userName="龙丽娟" dateTime="2026-08-14T09:00:50" isNormal="0">
            <s:text>
              <s:r>
                <s:t xml:space="preserve">8/6 1001536 2576pcs欣泰c2</s:t>
              </s:r>
            </s:text>
          </item>
        </commentChain>
      </unresolved>
      <resolved/>
    </commentChains>
    <commentChains s:ref="AE625" rgbClr="FF0000">
      <unresolved>
        <commentChain chainId="fb65175c9c8911e373f942a2f6bbe325b42914bb">
          <item id="ea85201b884e3e2f6114c8dd1d7c70c90af1b230" userID="1850010794" userName="龙丽娟" dateTime="2026-08-14T07:36:01" isNormal="0">
            <s:text>
              <s:r>
                <s:t xml:space="preserve">8/6 3003095 3152pcs</s:t>
              </s:r>
            </s:text>
          </item>
        </commentChain>
      </unresolved>
      <resolved/>
    </commentChains>
    <commentChains s:ref="AG625" rgbClr="FF0000">
      <unresolved>
        <commentChain chainId="d21ba4ade3da0d3bb39e94fd9a5c8c9eaff2485a">
          <item id="ec065435d2d1e075b5c2901b674f8cfad3ac01fc" userID="1850010794" userName="龙丽娟" dateTime="2026-08-14T09:07:17" isNormal="0">
            <s:text>
              <s:r>
                <s:t xml:space="preserve">8/6 3003095 3152pcs欣泰c1</s:t>
              </s:r>
            </s:text>
          </item>
        </commentChain>
      </unresolved>
      <resolved/>
    </commentChains>
    <commentChains s:ref="AG626" rgbClr="FF0000">
      <unresolved>
        <commentChain chainId="3ffcee43f71061f4fa107c023a104a479c67fe3c">
          <item id="da4397b62b4329f25cdbfcd05ee65b48b601b6a7" userID="1850010794" userName="龙丽娟" dateTime="2026-08-11T05:57:29" isNormal="0">
            <s:text>
              <s:r>
                <s:t xml:space="preserve">1016767 8/10 4168pcs</s:t>
              </s:r>
            </s:text>
          </item>
        </commentChain>
      </unresolved>
      <resolved/>
    </commentChains>
    <commentChains s:ref="AI626" rgbClr="FF0000">
      <unresolved>
        <commentChain chainId="89b50328e82b38f735453816d0de8388f192f4f3">
          <item id="9a0cd3827e07fa88bf023eeb8b256210e7e3b6d2" userID="1850010794" userName="龙丽娟" dateTime="2026-07-07T10:02:28" isNormal="0">
            <s:text>
              <s:r>
                <s:t xml:space="preserve">7/3上客供RFID贴纸4168pcs</s:t>
              </s:r>
            </s:text>
          </item>
        </commentChain>
      </unresolved>
      <resolved/>
    </commentChains>
    <commentChains s:ref="AG627" rgbClr="FF0000">
      <unresolved>
        <commentChain chainId="8f90b8f75b7b28b9a4b54f986050a31eac905300">
          <item id="63f117e3dee4a067af71a45cc2b92a1204df1e78" userID="1850010794" userName="龙丽娟" dateTime="2026-08-07T13:53:39" isNormal="0">
            <s:text>
              <s:r>
                <s:t xml:space="preserve">1001522 8/7 424pcs欣泰A5</s:t>
              </s:r>
            </s:text>
          </item>
        </commentChain>
      </unresolved>
      <resolved/>
    </commentChains>
    <commentChains s:ref="AG628" rgbClr="FF0000">
      <unresolved>
        <commentChain chainId="7d6115f3d4c3d4eff905f10bfdd850b3f150f213">
          <item id="aa49aff58e7db4f1f37a3762a12fd734678ae56e" userID="1850010794" userName="龙丽娟" dateTime="2026-08-14T02:30:29" isNormal="0">
            <s:text>
              <s:r>
                <s:t xml:space="preserve">1016774 8/14 216pcs</s:t>
              </s:r>
            </s:text>
          </item>
        </commentChain>
      </unresolved>
      <resolved/>
    </commentChains>
    <commentChains s:ref="AG629" rgbClr="FF0000">
      <unresolved>
        <commentChain chainId="fc32f65aac42280326f66a6150c034a53fc0f827">
          <item id="88fb258741ccdaca148e1346fc98bc55584f311e" userID="1850010794" userName="龙丽娟" dateTime="2026-08-07T13:25:54" isNormal="0">
            <s:text>
              <s:r>
                <s:t xml:space="preserve">3003923 8/7 2976pcs</s:t>
              </s:r>
            </s:text>
          </item>
        </commentChain>
      </unresolved>
      <resolved/>
    </commentChains>
    <commentChains s:ref="AI636" rgbClr="FF0000">
      <unresolved>
        <commentChain chainId="4206de6b85fcc2b21ad0c3d3cc1770b21a0445e8">
          <item id="f9840ccdabd5bc60d5b141606872547ed42f4f71" userID="1850010794" userName="龙丽娟" dateTime="2026-07-19T09:14:54" isNormal="0">
            <s:text>
              <s:r>
                <s:t xml:space="preserve">7/14上多语警语贴纸800pcs</s:t>
              </s:r>
            </s:text>
          </item>
        </commentChain>
      </unresolved>
      <resolved/>
    </commentChains>
    <commentChains s:ref="AI638" rgbClr="FF0000">
      <unresolved>
        <commentChain chainId="b904a7184090005efaa467b29d1e101b5fe4d40e">
          <item id="4c491651c56bdd6f89098cf819f5fe8d320fab14" userID="1850010794" userName="龙丽娟" dateTime="2026-07-19T09:45:34" isNormal="0">
            <s:text>
              <s:r>
                <s:t xml:space="preserve">7/16上进口商贴纸1488pcs</s:t>
              </s:r>
            </s:text>
          </item>
        </commentChain>
      </unresolved>
      <resolved/>
    </commentChains>
    <commentChains s:ref="AG639" rgbClr="FF0000">
      <unresolved>
        <commentChain chainId="b4f56e03f621f71f3955a16003e988692b8aaf64">
          <item id="a07ce6da49d925370e9954d74a84a886d8229430" userID="1850010794" userName="龙丽娟" dateTime="2026-08-12T07:59:07" isNormal="0">
            <s:text>
              <s:r>
                <s:t xml:space="preserve">1001530 8/8 2160PCS欣泰C7</s:t>
              </s:r>
            </s:text>
          </item>
        </commentChain>
      </unresolved>
      <resolved/>
    </commentChains>
    <commentChains s:ref="AG640" rgbClr="FF0000">
      <unresolved>
        <commentChain chainId="652a88a0b60f592de2afa0433a382c5811e67823">
          <item id="ec69e449d175163cfa6a45f06613e0e374927119" userID="1850010794" userName="龙丽娟" dateTime="2026-08-07T13:25:28" isNormal="0">
            <s:text>
              <s:r>
                <s:t xml:space="preserve">3003923 8/7 2976pcsA5</s:t>
              </s:r>
            </s:text>
          </item>
          <item id="94528709275fc641e8a16794e0fdde41cddf83f9" userID="1850010794" userName="龙丽娟" dateTime="2026-08-07T13:42:35" isNormal="0">
            <s:text>
              <s:r>
                <s:t xml:space="preserve">3003924 8/7 32pcsA5</s:t>
              </s:r>
            </s:text>
          </item>
        </commentChain>
      </unresolved>
      <resolved/>
    </commentChains>
    <commentChains s:ref="AG641" rgbClr="FF0000">
      <unresolved>
        <commentChain chainId="a81d76731a35171b7fec250e7e53a886a19041c0">
          <item id="3f419a4da4a4928288238e593a9533e916872424" userID="1850010794" userName="龙丽娟" dateTime="2026-08-14T01:04:39" isNormal="0">
            <s:text>
              <s:r>
                <s:t xml:space="preserve">8/13 1000473 1134PCS</s:t>
              </s:r>
            </s:text>
          </item>
        </commentChain>
      </unresolved>
      <resolved/>
    </commentChains>
    <commentChains s:ref="AG643" rgbClr="FF0000">
      <unresolved>
        <commentChain chainId="bbdd9fb4022e6ac291a101a1bf749b7e267ebca1">
          <item id="6896d79f54f11bd9d04741bdbf7663100521742a" userID="1850010794" userName="龙丽娟" dateTime="2026-08-07T13:55:15" isNormal="0">
            <s:text>
              <s:r>
                <s:t xml:space="preserve">1001522 8/7 5008pcs欣泰c4</s:t>
              </s:r>
            </s:text>
          </item>
        </commentChain>
      </unresolved>
      <resolved/>
    </commentChains>
    <commentChains s:ref="AI643" rgbClr="FF0000">
      <unresolved>
        <commentChain chainId="8e69a014fb8f6b6daf6f0f76e24d50de6a330570">
          <item id="fa9d30d95f2e6b8893c4cd08ef38c898d90669d0" userID="1850010794" userName="龙丽娟" dateTime="2026-07-12T11:28:46" isNormal="0">
            <s:text>
              <s:r>
                <s:t xml:space="preserve">7/6上进口商/UPC贴纸各5008pcs</s:t>
              </s:r>
            </s:text>
          </item>
        </commentChain>
      </unresolved>
      <resolved/>
    </commentChains>
    <commentChains s:ref="AG646" rgbClr="FF0000">
      <unresolved>
        <commentChain chainId="82548883482b6501375ef92645b1b30ea75659bf">
          <item id="e96a8544bc6252bc86b3b118ea061953e00adc2e" userID="1850010794" userName="龙丽娟" dateTime="2026-08-07T13:54:54" isNormal="0">
            <s:text>
              <s:r>
                <s:t xml:space="preserve">1001522 8/7 2000pcs欣泰c3</s:t>
              </s:r>
            </s:text>
          </item>
        </commentChain>
      </unresolved>
      <resolved/>
    </commentChains>
    <commentChains s:ref="AI646" rgbClr="FF0000">
      <unresolved>
        <commentChain chainId="8cf5bdac524367ed24b470dfc570300c18382968">
          <item id="784c54c1752be52e43b24118f1428436fbc32e5b" userID="1850010794" userName="龙丽娟" dateTime="2026-07-19T09:46:35" isNormal="0">
            <s:text>
              <s:r>
                <s:t xml:space="preserve">7/16 上UPC 贴纸 2000pcs</s:t>
              </s:r>
            </s:text>
          </item>
        </commentChain>
      </unresolved>
      <resolved/>
    </commentChains>
    <commentChains s:ref="AG647" rgbClr="FF0000">
      <unresolved>
        <commentChain chainId="5c3d807bb248459ca6071c7bd69298323307fc81">
          <item id="ef30d72aab25c9d3ecf5f7c995cb15696a25ac3f" userID="1850010794" userName="龙丽娟" dateTime="2026-08-14T09:21:47" isNormal="0">
            <s:text>
              <s:r>
                <s:t xml:space="preserve">8/12 3003820 3168PCS欣泰c4</s:t>
              </s:r>
            </s:text>
          </item>
        </commentChain>
      </unresolved>
      <resolved/>
    </commentChains>
    <commentChains s:ref="AI650" rgbClr="FF0000">
      <unresolved>
        <commentChain chainId="89f80a65e7b376d2261fdd10d47d4a49c8b77fb4">
          <item id="31980db3ab1bab92d69fdb1d948a202730a80715" userID="1850010794" userName="龙丽娟" dateTime="2026-06-27T06:38:00" isNormal="0">
            <s:text>
              <s:r>
                <s:t xml:space="preserve">6/26 上锂电池贴纸 2000+17200pcs 
207763/208482/208497/211875/211883共用</s:t>
              </s:r>
            </s:text>
          </item>
          <item id="16f8e3fec638695fa6765217a18e806e50ed6c83" userID="1850010794" userName="龙丽娟" dateTime="2026-06-29T12:06:55" isNormal="0">
            <s:text>
              <s:r>
                <s:t xml:space="preserve">6/30 上艾利贴纸  19pcs</s:t>
              </s:r>
            </s:text>
          </item>
          <item id="77d2e4a6ecc213171e750c8719b0458d7e474cfb" userID="1850010794" userName="龙丽娟" dateTime="2026-07-07T10:00:18" isNormal="0">
            <s:text>
              <s:r>
                <s:t xml:space="preserve">7/3上客供RFID贴纸9728pcs</s:t>
              </s:r>
            </s:text>
          </item>
        </commentChain>
      </unresolved>
      <resolved/>
    </commentChains>
    <commentChains s:ref="AI651" rgbClr="FF0000">
      <unresolved>
        <commentChain chainId="97fc99b137f56013681b1ec4ac6c62d9964c6653">
          <item id="6a5fce67b21fb75348c89f68518e637eae3aadbf" userID="1850010794" userName="龙丽娟" dateTime="2026-06-27T06:38:05" isNormal="0">
            <s:text>
              <s:r>
                <s:t xml:space="preserve">6/26 上锂电池贴纸 2000+17200pcs 
207763/208482/208497/211875/211883共用</s:t>
              </s:r>
            </s:text>
          </item>
          <item id="952ba27aa8f0d66fc77f1359debaaa71475d50d4" userID="1850010794" userName="龙丽娟" dateTime="2026-06-29T12:07:18" isNormal="0">
            <s:text>
              <s:r>
                <s:t xml:space="preserve">6/30 上艾利贴纸  16pcs</s:t>
              </s:r>
            </s:text>
          </item>
          <item id="9f2c5771d83dd5d8d3c8758774c5c29fd3078d5c" userID="1850010794" userName="龙丽娟" dateTime="2026-07-07T10:00:39" isNormal="0">
            <s:text>
              <s:r>
                <s:t xml:space="preserve">7/3上客供RFID贴纸8192pcs</s:t>
              </s:r>
            </s:text>
          </item>
        </commentChain>
      </unresolved>
      <resolved/>
    </commentChains>
    <commentChains s:ref="AI652" rgbClr="FF0000">
      <unresolved>
        <commentChain chainId="232f8cf78d21ca5f99ec658cea932830cd3daa5e">
          <item id="1cd6c6a24ddc851920a28a62323d8131b4c0c646" userID="1850010794" userName="龙丽娟" dateTime="2026-06-27T06:38:10" isNormal="0">
            <s:text>
              <s:r>
                <s:t xml:space="preserve">6/26 上锂电池贴纸 2000+17200pcs 
207763/208482/208497/211875/211883共用</s:t>
              </s:r>
            </s:text>
          </item>
          <item id="edea02c7b772a45a5c47c7a1533edd0713310166" userID="1850010794" userName="龙丽娟" dateTime="2026-06-29T12:07:40" isNormal="0">
            <s:text>
              <s:r>
                <s:t xml:space="preserve">6/30 上艾利贴纸  9pcs</s:t>
              </s:r>
            </s:text>
          </item>
          <item id="af22c3778f8343faeb7fef3f095df5746abd6fa8" userID="1850010794" userName="龙丽娟" dateTime="2026-07-07T10:00:48" isNormal="0">
            <s:text>
              <s:r>
                <s:t xml:space="preserve">7/3上客供RFID贴纸4608pcs</s:t>
              </s:r>
            </s:text>
          </item>
        </commentChain>
      </unresolved>
      <resolved/>
    </commentChains>
    <commentChains s:ref="AI653" rgbClr="FF0000">
      <unresolved>
        <commentChain chainId="e14374649f460aa1cff516c4e2d2a6847bf31c6c">
          <item id="fc1cfd645e4f491c226f341b7de0aca5c5472f81" userID="1850010794" userName="龙丽娟" dateTime="2026-06-27T06:38:16" isNormal="0">
            <s:text>
              <s:r>
                <s:t xml:space="preserve">6/26 上锂电池贴纸 2000+17200pcs 
207763/208482/208497/211875/211883共用</s:t>
              </s:r>
            </s:text>
          </item>
          <item id="6d7d9737ae991f9394a8ac0ad807f99de424fd29" userID="1850010794" userName="龙丽娟" dateTime="2026-06-29T12:08:01" isNormal="0">
            <s:text>
              <s:r>
                <s:t xml:space="preserve">6/30 上艾利贴纸  8pcs</s:t>
              </s:r>
            </s:text>
          </item>
          <item id="ffec5a0570daa91d75a80207d39e446603d0cc48" userID="1850010794" userName="龙丽娟" dateTime="2026-07-07T10:01:02" isNormal="0">
            <s:text>
              <s:r>
                <s:t xml:space="preserve">7/3上客供RFID贴纸4096pcs</s:t>
              </s:r>
            </s:text>
          </item>
        </commentChain>
      </unresolved>
      <resolved/>
    </commentChains>
    <commentChains s:ref="AG654" rgbClr="FF0000">
      <unresolved>
        <commentChain chainId="8eebd3d06aacfb18efe71dd1107e3559645b80ad">
          <item id="2917668511922bbd0fd635babfe41c3178e839e1" userID="1850010794" userName="龙丽娟" dateTime="2026-08-12T08:05:18" isNormal="0">
            <s:text>
              <s:r>
                <s:t xml:space="preserve">8/8 3004690 6032pcs欣泰e4</s:t>
              </s:r>
            </s:text>
          </item>
        </commentChain>
      </unresolved>
      <resolved/>
    </commentChains>
    <commentChains s:ref="AI654" rgbClr="FF0000">
      <unresolved>
        <commentChain chainId="0e81bdbd35eee137825768ad10157004ef414e0c">
          <item id="5cb94a3d65701d45f42682ff28613a804218d97a" userID="1850010794" userName="龙丽娟" dateTime="2026-07-19T09:41:46" isNormal="0">
            <s:text>
              <s:r>
                <s:t xml:space="preserve">7/16上UPC贴纸6032pcs</s:t>
              </s:r>
            </s:text>
          </item>
          <item id="72d7efc4a41828c88b71e4b84b901d0efdef703b" userID="1850010794" userName="龙丽娟" dateTime="2026-07-19T09:42:45" isNormal="0">
            <s:text>
              <s:r>
                <s:t xml:space="preserve">7/16上环保标/IT警告语贴纸6032pcs</s:t>
              </s:r>
            </s:text>
          </item>
          <item id="4b70e6425ddbc3245a5f362920a40c325913c40c" userID="1850010794" userName="龙丽娟" dateTime="2026-07-24T12:39:07" isNormal="0">
            <s:text>
              <s:r>
                <s:t xml:space="preserve">7/21上客供亚马逊外箱贴纸377pcs</s:t>
              </s:r>
            </s:text>
          </item>
        </commentChain>
      </unresolved>
      <resolved/>
    </commentChains>
    <commentChains s:ref="AI655" rgbClr="FF0000">
      <unresolved>
        <commentChain chainId="d4be77302f9f8b8486db5cbd4a1daa9420b9fb2b">
          <item id="8f2fd04a14b2868dc5ee55e0445a9264bd6efee6" userID="1850010794" userName="龙丽娟" dateTime="2026-07-19T09:41:57" isNormal="0">
            <s:text>
              <s:r>
                <s:t xml:space="preserve">7/16上UPC贴纸11248pcs</s:t>
              </s:r>
            </s:text>
          </item>
          <item id="bd58d04940bd1fb60ca06d7ef348abff2f1bda60" userID="1850010794" userName="龙丽娟" dateTime="2026-07-19T09:42:52" isNormal="0">
            <s:text>
              <s:r>
                <s:t xml:space="preserve">7/16上环保标/IT警告语贴纸11248pcs</s:t>
              </s:r>
            </s:text>
          </item>
          <item id="9f6bc1f81f4353962c083e62a9302e5a21a40b94" userID="1850010794" userName="龙丽娟" dateTime="2026-07-24T12:39:42" isNormal="0">
            <s:text>
              <s:r>
                <s:t xml:space="preserve">7/21上客供亚马逊外箱贴纸703pcs</s:t>
              </s:r>
            </s:text>
          </item>
        </commentChain>
      </unresolved>
      <resolved/>
    </commentChains>
    <commentChains s:ref="AG656" rgbClr="FF0000">
      <unresolved>
        <commentChain chainId="6e848ae6e8a1da09bf628e66c51bb38517204ebd">
          <item id="7a522d18e36583c7589a02342a90522c59485698" userID="1850010794" userName="龙丽娟" dateTime="2026-08-12T06:47:18" isNormal="0">
            <s:text>
              <s:r>
                <s:t xml:space="preserve">8/8 1001516 640pcsB栋A1-C8</s:t>
              </s:r>
            </s:text>
          </item>
        </commentChain>
      </unresolved>
      <resolved/>
    </commentChains>
    <commentChains s:ref="AI656" rgbClr="FF0000">
      <unresolved>
        <commentChain chainId="754485f7affb53e4fd49c0c8780d919ed3985fd4">
          <item id="2b19ccbe6adf68c598a59eb4a14db391b5f08025" userID="1850010794" userName="龙丽娟" dateTime="2026-07-24T12:37:46" isNormal="0">
            <s:text>
              <s:r>
                <s:t xml:space="preserve">7/21上亚马逊外箱贴纸40pcs</s:t>
              </s:r>
            </s:text>
          </item>
        </commentChain>
      </unresolved>
      <resolved/>
    </commentChains>
    <commentChains s:ref="AI657" rgbClr="FF0000">
      <unresolved>
        <commentChain chainId="8f50ecada0662d0218222478e6c85e2468550f5d">
          <item id="522f4493a0d48c9d659f79df858cbb4f5aced6f2" userID="1850010794" userName="龙丽娟" dateTime="2026-07-19T09:45:50" isNormal="0">
            <s:text>
              <s:r>
                <s:t xml:space="preserve">7/16上进口商贴纸960pcs</s:t>
              </s:r>
            </s:text>
          </item>
        </commentChain>
      </unresolved>
      <resolved/>
    </commentChains>
    <commentChains s:ref="AI658" rgbClr="FF0000">
      <unresolved>
        <commentChain chainId="86fe6c4b624d2a51fb8cd87d819328676646acd6">
          <item id="c5f33055e3243a91b4248cc9373072f8812e8e07" userID="1850010794" userName="龙丽娟" dateTime="2026-06-27T06:37:45" isNormal="0">
            <s:text>
              <s:r>
                <s:t xml:space="preserve">6/26 上锂电池贴纸 2000+17200pcs 
207763/208482/208497/211875/211883共用</s:t>
              </s:r>
            </s:text>
          </item>
          <item id="a5f2e9eff562166d6ee86b9553704f02e965999d" userID="1850010794" userName="龙丽娟" dateTime="2026-07-07T09:53:16" isNormal="0">
            <s:text>
              <s:r>
                <s:t xml:space="preserve">7/3上客供RFID贴纸9728pcs</s:t>
              </s:r>
            </s:text>
          </item>
        </commentChain>
      </unresolved>
      <resolved/>
    </commentChains>
    <commentChains s:ref="AI659" rgbClr="FF0000">
      <unresolved>
        <commentChain chainId="3026c92a8bb4041b5660a715bd048f92db25058f">
          <item id="76eff8545f373f5511eb6f3302184ffc0e0fae28" userID="1850010794" userName="龙丽娟" dateTime="2026-06-27T06:37:55" isNormal="0">
            <s:text>
              <s:r>
                <s:t xml:space="preserve">6/26 上锂电池贴纸 2000+17200pcs 
207763/208482/208497/211875/211883共用</s:t>
              </s:r>
            </s:text>
          </item>
          <item id="e0cb9a6d3bb5f49804b6e0f8b9da03203b730031" userID="1850010794" userName="龙丽娟" dateTime="2026-06-29T12:06:36" isNormal="0">
            <s:text>
              <s:r>
                <s:t xml:space="preserve">6/30 上艾利贴纸  13pcs</s:t>
              </s:r>
            </s:text>
          </item>
          <item id="3b18990d188d8d08ad2a62d0883c450e2c1516af" userID="1850010794" userName="龙丽娟" dateTime="2026-07-07T10:00:05" isNormal="0">
            <s:text>
              <s:r>
                <s:t xml:space="preserve">7/3上客供RFID贴纸6656pcs</s:t>
              </s:r>
            </s:text>
          </item>
        </commentChain>
      </unresolved>
      <resolved/>
    </commentChains>
    <commentChains s:ref="AI661" rgbClr="FF0000">
      <unresolved>
        <commentChain chainId="43a367f0523ca4f89be74caf8d1242de1086db36">
          <item id="cb56b2dce0f49eab1a7d87e4891ea73d5a21ebfa" userID="1850010794" userName="龙丽娟" dateTime="2026-07-17T12:25:09" isNormal="0">
            <s:text>
              <s:r>
                <s:t xml:space="preserve">7/16 上客供芯片码贴纸 2400pcs</s:t>
              </s:r>
            </s:text>
          </item>
        </commentChain>
      </unresolved>
      <resolved/>
    </commentChains>
    <commentChains s:ref="AI662" rgbClr="FF0000">
      <unresolved>
        <commentChain chainId="d81ea5b9dc85af1ba648fc49b41b8455edf95417">
          <item id="33011400e27e61f226e3c4ac471d55997e949e8a" userID="1850010794" userName="龙丽娟" dateTime="2026-07-17T12:25:09" isNormal="0">
            <s:text>
              <s:r>
                <s:t xml:space="preserve">7/16 上客供芯片码贴纸 14000pcs</s:t>
              </s:r>
            </s:text>
          </item>
        </commentChain>
      </unresolved>
      <resolved/>
    </commentChains>
    <commentChains s:ref="AG663" rgbClr="FF0000">
      <unresolved>
        <commentChain chainId="ac0b5a9160147f80a65cffd94593430b9bb25ece">
          <item id="f057563450b359b40fa518b292546495884732bb" userID="1850010794" userName="龙丽娟" dateTime="2026-08-14T00:58:09" isNormal="0">
            <s:text>
              <s:r>
                <s:t xml:space="preserve">8/13 1001437 17280pcs</s:t>
              </s:r>
            </s:text>
          </item>
        </commentChain>
      </unresolved>
      <resolved/>
    </commentChains>
    <commentChains s:ref="AG664" rgbClr="FF0000">
      <unresolved>
        <commentChain chainId="95b69a1bd007a78a4946a29152f04fadb3ff926c">
          <item id="35f20bd45461cf35b8b6ec353f6f5d465f2a1162" userID="1850010794" userName="龙丽娟" dateTime="2026-08-13T02:08:09" isNormal="0">
            <s:text>
              <s:r>
                <s:t xml:space="preserve">8/12 1001453 704pcs</s:t>
              </s:r>
            </s:text>
          </item>
        </commentChain>
      </unresolved>
      <resolved/>
    </commentChains>
    <commentChains s:ref="AI664" rgbClr="FF0000">
      <unresolved>
        <commentChain chainId="f2d145d24789a8f1a9ca4468cf2052a3c338a745">
          <item id="f3dd26d0be89e8d849cee946f35ef73cee5135cd" userID="1850010794" userName="龙丽娟" dateTime="2026-07-19T09:46:10" isNormal="0">
            <s:text>
              <s:r>
                <s:t xml:space="preserve">7/16上进口商贴纸704pcs</s:t>
              </s:r>
            </s:text>
          </item>
        </commentChain>
      </unresolved>
      <resolved/>
    </commentChains>
    <commentChains s:ref="AG669" rgbClr="FF0000">
      <unresolved>
        <commentChain chainId="abe7b3191fac9a3dcbe14d93d0169b83348a8f75">
          <item id="1492069a4780258d670e6410b7730c17ea5bde8b" userID="1850010794" userName="龙丽娟" dateTime="2026-08-12T07:50:03" isNormal="0">
            <s:text>
              <s:r>
                <s:t xml:space="preserve">8/8 1001509 640pcs欣泰E5</s:t>
              </s:r>
            </s:text>
          </item>
        </commentChain>
      </unresolved>
      <resolved/>
    </commentChains>
    <commentChains s:ref="AI669" rgbClr="FF0000">
      <unresolved>
        <commentChain chainId="f7796bd0da25d03b2ee5ce430c6c74d404e38f87">
          <item id="b42aaf332b85a482f4d5f4d2b1f223e853abf907" userID="1850010794" userName="龙丽娟" dateTime="2026-07-12T11:28:02" isNormal="0">
            <s:text>
              <s:r>
                <s:t xml:space="preserve">7/6上价格贴纸416pcs上pdq价格贴纸/条码贴纸各174pcs</s:t>
              </s:r>
            </s:text>
          </item>
          <item id="de37d73d6c99ec5ec81ede83cc5b0225e7257194" userID="1850010794" userName="龙丽娟" dateTime="2026-07-17T08:36:09" isNormal="0">
            <s:text>
              <s:r>
                <s:t xml:space="preserve">7/8 上通用客供外箱贴纸 40pcs</s:t>
              </s:r>
            </s:text>
          </item>
          <item id="458d54d27c368af582a2c12c386f2f3d5ceae52e" userID="1850010794" userName="龙丽娟" dateTime="2026-07-17T08:36:25" isNormal="0">
            <s:text>
              <s:r>
                <s:t xml:space="preserve">7/8 上NJ客供外箱贴纸 40pcs</s:t>
              </s:r>
            </s:text>
          </item>
        </commentChain>
      </unresolved>
      <resolved/>
    </commentChains>
    <commentChains s:ref="AG670" rgbClr="FF0000">
      <unresolved>
        <commentChain chainId="830cae8e8ee48d9ed7a365406cbd4c62c2e2a4c3">
          <item id="5e5fc1f91376f5cbe3e77c5fa3f9dcefeaef341c" userID="1850010794" userName="龙丽娟" dateTime="2026-08-12T07:50:19" isNormal="0">
            <s:text>
              <s:r>
                <s:t xml:space="preserve">8/8 1001509 272pcs欣泰E5</s:t>
              </s:r>
            </s:text>
          </item>
        </commentChain>
      </unresolved>
      <resolved/>
    </commentChains>
    <commentChains s:ref="AI670" rgbClr="FF0000">
      <unresolved>
        <commentChain chainId="976eb46c7e275896f249d32708cacce010a40499">
          <item id="856e89756fe7a70bcce631fc5c6ece1fb3a115cb" userID="1850010794" userName="龙丽娟" dateTime="2026-07-12T11:28:02" isNormal="0">
            <s:text>
              <s:r>
                <s:t xml:space="preserve">7/6上价格贴纸416pcs上pdq价格贴纸/条码贴纸各174pcs</s:t>
              </s:r>
            </s:text>
          </item>
          <item id="1232ca9e21215697508adfc033957b51646c0bd0" userID="1850010794" userName="龙丽娟" dateTime="2026-07-17T08:36:50" isNormal="0">
            <s:text>
              <s:r>
                <s:t xml:space="preserve">7/8 上通用外箱贴纸 17pcs</s:t>
              </s:r>
            </s:text>
          </item>
          <item id="051bf64f09ea0ee8bea5749874048a3a2fd39879" userID="1850010794" userName="龙丽娟" dateTime="2026-07-17T08:37:07" isNormal="0">
            <s:text>
              <s:r>
                <s:t xml:space="preserve">7/8 上NV客供外箱贴纸 17pcs</s:t>
              </s:r>
            </s:text>
          </item>
        </commentChain>
      </unresolved>
      <resolved/>
    </commentChains>
    <commentChains s:ref="AG671" rgbClr="FF0000">
      <unresolved>
        <commentChain chainId="40e496acf51fca8e8073756ae5051aa4bbbcd867">
          <item id="3db4bf8f8d15e8c667187e073292a8b2d3d8113d" userID="1850010794" userName="龙丽娟" dateTime="2026-08-14T09:20:01" isNormal="0">
            <s:text>
              <s:r>
                <s:t xml:space="preserve">8/12 3003820 720pcs欣泰D3</s:t>
              </s:r>
            </s:text>
          </item>
        </commentChain>
      </unresolved>
      <resolved/>
    </commentChains>
    <commentChains s:ref="AG672" rgbClr="FF0000">
      <unresolved>
        <commentChain chainId="436e15905121407c8e7a03bbb408186ce6313c83">
          <item id="4b2a1ce01fa2c8e92029d176f7f3643e81e172be" userID="1850010794" userName="龙丽娟" dateTime="2026-08-14T09:12:54" isNormal="0">
            <s:text>
              <s:r>
                <s:t xml:space="preserve">8/6 209131 2000pcs钜顺A4</s:t>
              </s:r>
            </s:text>
          </item>
        </commentChain>
      </unresolved>
      <resolved/>
    </commentChains>
    <commentChains s:ref="AI674" rgbClr="FF0000">
      <unresolved>
        <commentChain chainId="4bdf90ee2cff9016176e522bdd2eaf62c488d91e">
          <item id="91d3dc3875ff6a188cd72f38b20235b8d44b3793" userID="1850010794" userName="龙丽娟" dateTime="2026-07-07T10:02:47" isNormal="0">
            <s:text>
              <s:r>
                <s:t xml:space="preserve">7/3上客供RFID贴纸1968pcs</s:t>
              </s:r>
            </s:text>
          </item>
        </commentChain>
      </unresolved>
      <resolved/>
    </commentChains>
    <commentChains s:ref="AI678" rgbClr="FF0000">
      <unresolved>
        <commentChain chainId="03f22e9e00b8d34e2299b9ea12a66684f28e3b36">
          <item id="26ad66da8de2a02ad17cac4e4a37fe182a18f29b" userID="1850010794" userName="龙丽娟" dateTime="2026-07-17T13:22:32" isNormal="0">
            <s:text>
              <s:r>
                <s:t xml:space="preserve">7/17上PDQ地址贴纸2516pcs
203946/210400/213523共用</s:t>
              </s:r>
            </s:text>
          </item>
        </commentChain>
      </unresolved>
      <resolved/>
    </commentChains>
    <commentChains s:ref="AG680" rgbClr="FF0000">
      <unresolved>
        <commentChain chainId="8481a900d9cfbcd22299361aa529143a428930b7">
          <item id="ab79a22ad2d1507a39e78b4b7c977b9ee701fe42" userID="1850010794" userName="龙丽娟" dateTime="2026-08-14T09:24:06" isNormal="0">
            <s:text>
              <s:r>
                <s:t xml:space="preserve">8/12 3003812 2144pcs欣泰D6</s:t>
              </s:r>
            </s:text>
          </item>
        </commentChain>
      </unresolved>
      <resolved/>
    </commentChains>
    <commentChains s:ref="AG681" rgbClr="FF0000">
      <unresolved>
        <commentChain chainId="75b02aa345c3985d2e22795164a84aa537650294">
          <item id="a8d8c0b2b9382e93db0a1b6953fb2cdcd2afe773" userID="1850010794" userName="龙丽娟" dateTime="2026-08-14T09:24:27" isNormal="0">
            <s:text>
              <s:r>
                <s:t xml:space="preserve">8/12 3003812 1008pcs欣泰D7</s:t>
              </s:r>
            </s:text>
          </item>
        </commentChain>
      </unresolved>
      <resolved/>
    </commentChains>
    <commentChains s:ref="AG685" rgbClr="FF0000">
      <unresolved>
        <commentChain chainId="f88f465be282a60eaf15178a13b9565e23d2e6bb">
          <item id="f0addb5b22e8c9ef180987ecb077990aa0a20371" userID="1850010794" userName="龙丽娟" dateTime="2026-08-14T09:25:34" isNormal="0">
            <s:text>
              <s:r>
                <s:t xml:space="preserve">8/12 3003812 1056pcs欣泰D3</s:t>
              </s:r>
            </s:text>
          </item>
        </commentChain>
      </unresolved>
      <resolved/>
    </commentChains>
    <commentChains s:ref="AG686" rgbClr="FF0000">
      <unresolved>
        <commentChain chainId="eda3e8230d7ca44bb8148f4885895be70c2494d3">
          <item id="11dcf0dd41cec37ae51e8ad5cef396e1ba47b25c" userID="1850010794" userName="龙丽娟" dateTime="2026-08-14T09:26:02" isNormal="0">
            <s:text>
              <s:r>
                <s:t xml:space="preserve">8/12 3003812 2752pcs欣泰2A1</s:t>
              </s:r>
            </s:text>
          </item>
        </commentChain>
      </unresolved>
      <resolved/>
    </commentChains>
    <commentChains s:ref="AG688" rgbClr="FF0000">
      <unresolved>
        <commentChain chainId="3dfe9727ef54d628a361d6bb50b0cfdb5567d73f">
          <item id="d702c5e2062d20eb67c1cf1bf2ca40a3f8fa691e" userID="1850010794" userName="龙丽娟" dateTime="2026-08-07T13:43:31" isNormal="0">
            <s:text>
              <s:r>
                <s:t xml:space="preserve">3003924 8/7 3760pcs欣泰B4</s:t>
              </s:r>
            </s:text>
          </item>
        </commentChain>
      </unresolved>
      <resolved/>
    </commentChains>
    <commentChains s:ref="AI688" rgbClr="FF0000">
      <unresolved>
        <commentChain chainId="4ecd4be5093f5b49dcc942d6490eae6be0e0b4e9">
          <item id="bb012527727c4bb6dd2f7f718a99b2a76d1a4fd4" userID="1850010794" userName="龙丽娟" dateTime="2026-07-24T12:42:32" isNormal="0">
            <s:text>
              <s:r>
                <s:t xml:space="preserve">7/21上客供亚马逊外箱贴纸235pcs</s:t>
              </s:r>
            </s:text>
          </item>
        </commentChain>
      </unresolved>
      <resolved/>
    </commentChains>
    <commentChains s:ref="AI689" rgbClr="FF0000">
      <unresolved>
        <commentChain chainId="7ce3490617e86cef199bef5ed19a057fcd001e40">
          <item id="9e8837231cc034c8b10f7602da553ce5ff1dc7f9" userID="1850010794" userName="龙丽娟" dateTime="2026-07-24T12:42:47" isNormal="0">
            <s:text>
              <s:r>
                <s:t xml:space="preserve">7/21上客供亚马逊外箱贴纸234pcs</s:t>
              </s:r>
            </s:text>
          </item>
        </commentChain>
      </unresolved>
      <resolved/>
    </commentChains>
    <commentChains s:ref="AI690" rgbClr="FF0000">
      <unresolved>
        <commentChain chainId="a470d0e8569534609cfa71fd8560e805b8bf03a0">
          <item id="d1c1ba012377604941632e2130104e6977e2c647" userID="1850010794" userName="龙丽娟" dateTime="2026-07-24T12:40:59" isNormal="0">
            <s:text>
              <s:r>
                <s:t xml:space="preserve">7/21上客供亚马逊外箱贴纸275pcs</s:t>
              </s:r>
            </s:text>
          </item>
        </commentChain>
      </unresolved>
      <resolved/>
    </commentChains>
    <commentChains s:ref="AG691" rgbClr="FF0000">
      <unresolved>
        <commentChain chainId="da18ffbb2c7c9c092475f5647e4cc829cde1425f">
          <item id="ee3225c4a346b4faf6803f92d468be48e0eea9af" userID="1850010794" userName="龙丽娟" dateTime="2026-08-14T09:20:40" isNormal="0">
            <s:text>
              <s:r>
                <s:t xml:space="preserve">8/12 3003820 1552pcs欣泰D3</s:t>
              </s:r>
            </s:text>
          </item>
        </commentChain>
      </unresolved>
      <resolved/>
    </commentChains>
    <commentChains s:ref="AI691" rgbClr="FF0000">
      <unresolved>
        <commentChain chainId="ac7898c9127a16396d723932a78eb68ec350029f">
          <item id="6eb2a578e419ed8bb5a226bd9afd55d69e29658d" userID="1850010794" userName="龙丽娟" dateTime="2026-07-24T12:42:02" isNormal="0">
            <s:text>
              <s:r>
                <s:t xml:space="preserve">7/21上客供亚马逊外箱贴纸97pcs</s:t>
              </s:r>
            </s:text>
          </item>
        </commentChain>
      </unresolved>
      <resolved/>
    </commentChains>
    <commentChains s:ref="AI697" rgbClr="FF0000">
      <unresolved>
        <commentChain chainId="4fcf65c105eb090dd4e5deea124811067a2bd5e8">
          <item id="7bdef009bc05b7fd821a60ca66e2325e58274b48" userID="1850010794" userName="龙丽娟" dateTime="2026-07-12T11:18:13" isNormal="0">
            <s:text>
              <s:r>
                <s:t xml:space="preserve">7/6上客供防盗贴纸1536pcs</s:t>
              </s:r>
            </s:text>
          </item>
        </commentChain>
      </unresolved>
      <resolved/>
    </commentChains>
    <commentChains s:ref="AI707" rgbClr="FF0000">
      <unresolved>
        <commentChain chainId="efc617ef0f341a00244cd232c244db262b734da2">
          <item id="7eda514d7a6ffe0df90e6831bf0c95df1edfc39b" userID="1850010794" userName="龙丽娟" dateTime="2026-07-21T07:43:23" isNormal="0">
            <s:text>
              <s:r>
                <s:t xml:space="preserve">7/16 收到客供外箱贴纸 29pcs</s:t>
              </s:r>
            </s:text>
          </item>
        </commentChain>
      </unresolved>
      <resolved/>
    </commentChains>
    <commentChains s:ref="AI709" rgbClr="FF0000">
      <unresolved>
        <commentChain chainId="dc68285add90b9d05c9c35881914616baa274348">
          <item id="e1c663900fffbc50106517c9e48ed689933e465a" userID="1850010794" userName="龙丽娟" dateTime="2026-07-21T07:43:23" isNormal="0">
            <s:text>
              <s:r>
                <s:t xml:space="preserve">7/16 收到客供外箱贴纸 33pcs</s:t>
              </s:r>
            </s:text>
          </item>
        </commentChain>
      </unresolved>
      <resolved/>
    </commentChains>
    <commentChains s:ref="AI710" rgbClr="FF0000">
      <unresolved>
        <commentChain chainId="fd9559481e583a0a2c3091823caa37f2146638f8">
          <item id="03a97cbcf8be8cf075e0e666dc8d05f5b1662b58" userID="1850010794" userName="龙丽娟" dateTime="2026-07-21T07:43:23" isNormal="0">
            <s:text>
              <s:r>
                <s:t xml:space="preserve">7/16 收到客供外箱贴纸 20pcs</s:t>
              </s:r>
            </s:text>
          </item>
        </commentChain>
      </unresolved>
      <resolved/>
    </commentChains>
    <commentChains s:ref="AI712" rgbClr="FF0000">
      <unresolved>
        <commentChain chainId="7107a0215b63ab3e05504206a01b3d91dde92e92">
          <item id="5e1ceca355971aa6e26ddbe4cabaf5f9109d95cc" userID="1850010794" userName="龙丽娟" dateTime="2026-07-20T14:20:33" isNormal="0">
            <s:text>
              <s:r>
                <s:t xml:space="preserve">7/20上进口商贴纸160pcs</s:t>
              </s:r>
            </s:text>
          </item>
        </commentChain>
      </unresolved>
      <resolved/>
    </commentChains>
    <commentChains s:ref="AI719" rgbClr="FF0000">
      <unresolved>
        <commentChain chainId="5afcf18823135d7614171edd584e975287a6c0a4">
          <item id="1ee9a063c0640287e7bf4b36224b9d3083138f36" userID="1850010794" userName="龙丽娟" dateTime="2026-07-17T12:25:09" isNormal="0">
            <s:text>
              <s:r>
                <s:t xml:space="preserve">7/16 上客供芯片码贴纸 6000pcs</s:t>
              </s:r>
            </s:text>
          </item>
        </commentChain>
      </unresolved>
      <resolved/>
    </commentChains>
    <commentChains s:ref="AF723" rgbClr="FF0000">
      <unresolved>
        <commentChain chainId="55d0abc17b2c212408b1ac15da178941ad3b0f6c">
          <item id="489add09ca483a8eb641a4039e0905d82c819f8d" userID="1850010794" userName="龙丽娟" dateTime="2026-07-31T03:57:27" isNormal="0">
            <s:text>
              <s:r>
                <s:t xml:space="preserve">河源订单转湖南，3L订单备注错1L</s:t>
              </s:r>
            </s:text>
          </item>
        </commentChain>
      </unresolved>
      <resolved/>
    </commentChains>
    <commentChains s:ref="AI723" rgbClr="FF0000">
      <unresolved>
        <commentChain chainId="a6987513a4f145a5c1c086e79e17d7abefb062fe">
          <item id="3955bc5218a7e76e5ef72a3e3a92c536ac6afbf3" userID="1850010794" userName="龙丽娟" dateTime="2026-06-27T06:42:19" isNormal="0">
            <s:text>
              <s:r>
                <s:t xml:space="preserve">6/26 上客供价格贴纸  5312pcs</s:t>
              </s:r>
            </s:text>
          </item>
        </commentChain>
      </unresolved>
      <resolved/>
    </commentChains>
    <commentChains s:ref="AI725" rgbClr="FF0000">
      <unresolved>
        <commentChain chainId="22cb38c8879794060ca27547d21fe0621bd88d8c">
          <item id="919833a68d28529f925ed31a12299e538772170c" userID="1850010794" userName="龙丽娟" dateTime="2026-06-23T03:34:29" isNormal="0">
            <s:text>
              <s:r>
                <s:t xml:space="preserve">6/18上HK客供警语贴纸1240pcs/HK客供警语贴纸贴收藏指南和拆件说明书1239pcs</s:t>
              </s:r>
            </s:text>
          </item>
          <item id="8d47c3c448d7f549903ae2c82b833db2b802a0f6" userID="1850010794" userName="龙丽娟" dateTime="2026-06-23T03:37:41" isNormal="0">
            <s:text>
              <s:r>
                <s:t xml:space="preserve">6/18上HK客供电池警语贴说明书1242pcs</s:t>
              </s:r>
            </s:text>
          </item>
        </commentChain>
      </unresolved>
      <resolved/>
    </commentChains>
    <commentChains s:ref="AI739" rgbClr="FF0000">
      <unresolved>
        <commentChain chainId="83503a3f00960dd3263d14aa7c912c99bff4cf7c">
          <item id="9f9218eb4c3c2133f73ed63089b711b66f01756b" userID="1850010794" userName="龙丽娟" dateTime="2026-07-20T14:19:56" isNormal="0">
            <s:text>
              <s:r>
                <s:t xml:space="preserve">7/20上空白贴纸16800pcs（两个单）</s:t>
              </s:r>
            </s:text>
          </item>
        </commentChain>
      </unresolved>
      <resolved/>
    </commentChains>
    <commentChains s:ref="AI740" rgbClr="FF0000">
      <unresolved>
        <commentChain chainId="c1c86d38a4c5085ea92db4c49b2491b0f9fd3fb9">
          <item id="3b08518f2db67ee55e0947f39b6c41891a71afe4" userID="1850010794" userName="龙丽娟" dateTime="2026-07-20T14:19:56" isNormal="0">
            <s:text>
              <s:r>
                <s:t xml:space="preserve">7/20上空白贴纸16800pcs（两个单）</s:t>
              </s:r>
            </s:text>
          </item>
        </commentChain>
      </unresolved>
      <resolved/>
    </commentChains>
    <commentChains s:ref="AI746" rgbClr="FF0000">
      <unresolved>
        <commentChain chainId="2c81318a2f783a66a61f0a26de31d6be445d90e3">
          <item id="f8c7d5f44da4c255043905a28a99b3e9aca6fb0a" userID="1850010794" userName="龙丽娟" dateTime="2026-07-23T12:42:01" isNormal="0">
            <s:text>
              <s:r>
                <s:t xml:space="preserve">7/18上价格贴纸8400pcs/外箱条码贴纸1050pcs</s:t>
              </s:r>
            </s:text>
          </item>
        </commentChain>
      </unresolved>
      <resolved/>
    </commentChains>
    <commentChains s:ref="AI749" rgbClr="FF0000">
      <unresolved>
        <commentChain chainId="272b56411393e24fe5983258188bb7483a70b51c">
          <item id="38857cd38d0140695f323326c21fd51626a60a57" userID="1850010794" userName="龙丽娟" dateTime="2026-07-07T10:02:02" isNormal="0">
            <s:text>
              <s:r>
                <s:t xml:space="preserve">7/3上客供RFID贴纸2752pcs</s:t>
              </s:r>
            </s:text>
          </item>
        </commentChain>
      </unresolved>
      <resolved/>
    </commentChains>
    <commentChains s:ref="AI750" rgbClr="FF0000">
      <unresolved>
        <commentChain chainId="2988d72fa1483cdfe51170bb830afd08118fb610">
          <item id="b7f1a3c87dc860a1607fe378d0e0e84f9f92b7f0" userID="1850010794" userName="龙丽娟" dateTime="2026-07-07T10:03:16" isNormal="0">
            <s:text>
              <s:r>
                <s:t xml:space="preserve">7/3上客供RFID贴纸1112pcs</s:t>
              </s:r>
            </s:text>
          </item>
        </commentChain>
      </unresolved>
      <resolved/>
    </commentChains>
    <commentChains s:ref="AI761" rgbClr="FF0000">
      <unresolved>
        <commentChain chainId="90b21965dc7c2666d546a9fe838ea48021745b54">
          <item id="7bb193a4de7890cee1f052204ae6a0eef47aa4ed" userID="1850010794" userName="龙丽娟" dateTime="2026-07-17T12:25:09" isNormal="0">
            <s:text>
              <s:r>
                <s:t xml:space="preserve">7/16 上客供芯片码贴纸 6504pcs</s:t>
              </s:r>
            </s:text>
          </item>
        </commentChain>
      </unresolved>
      <resolved/>
    </commentChains>
    <commentChains s:ref="AI762" rgbClr="FF0000">
      <unresolved>
        <commentChain chainId="203e6ea2003242f220173973762b2f62bace89d2">
          <item id="1f04841b89129fd48fb9295d79914a8cdca4fae1" userID="1850010794" userName="龙丽娟" dateTime="2026-07-17T12:25:09" isNormal="0">
            <s:text>
              <s:r>
                <s:t xml:space="preserve">7/16 上客供芯片码贴纸 22000pcs</s:t>
              </s:r>
            </s:text>
          </item>
        </commentChain>
      </unresolved>
      <resolved/>
    </commentChains>
    <commentChains s:ref="AI763" rgbClr="FF0000">
      <unresolved>
        <commentChain chainId="dd1cf4421e7867a69b3245efcee0d32c733cdeac">
          <item id="f54d82a1d644e9a968020aa9cea22bf9a2647576" userID="1850010794" userName="龙丽娟" dateTime="2026-07-17T12:25:09" isNormal="0">
            <s:text>
              <s:r>
                <s:t xml:space="preserve">7/16 上客供芯片码贴纸 22000pcs</s:t>
              </s:r>
            </s:text>
          </item>
        </commentChain>
      </unresolved>
      <resolved/>
    </commentChains>
    <commentChains s:ref="AI764" rgbClr="FF0000">
      <unresolved>
        <commentChain chainId="75fd94db2879726be2020236eb5a8904be16751a">
          <item id="a377c17381c4eaa3fc1d9e99d946be75605ecc1e" userID="1850010794" userName="龙丽娟" dateTime="2026-07-17T12:25:09" isNormal="0">
            <s:text>
              <s:r>
                <s:t xml:space="preserve">7/16 上客供芯片码贴纸 5600pcs</s:t>
              </s:r>
            </s:text>
          </item>
        </commentChain>
      </unresolved>
      <resolved/>
    </commentChains>
    <commentChains s:ref="AI770" rgbClr="FF0000">
      <unresolved>
        <commentChain chainId="4c4e62c0bebc9249602a6d6e91aad5cd3c9df8da">
          <item id="74bbc1aebcd85a481374aca3583e14bfc07eff5e" userID="1850010794" userName="龙丽娟" dateTime="2026-06-22T13:35:22" isNormal="0">
            <s:text>
              <s:r>
                <s:t xml:space="preserve">6/22 上HK客供警语贴纸4950pcs</s:t>
              </s:r>
            </s:text>
          </item>
          <item id="074eac66a099f03d8adea7ff2690b0bbe2edfa11" userID="1850010794" userName="龙丽娟" dateTime="2026-06-22T13:36:59" isNormal="0">
            <s:text>
              <s:r>
                <s:t xml:space="preserve">6/22上HK客供电池警语4950pcs</s:t>
              </s:r>
            </s:text>
          </item>
          <item id="a10384f6b5a12f888b0c8281e3b46b9b80850827" userID="1850010794" userName="龙丽娟" dateTime="2026-06-22T13:38:22" isNormal="0">
            <s:text>
              <s:r>
                <s:t xml:space="preserve">6/22上HK警语贴说明书4950pcs</s:t>
              </s:r>
            </s:text>
          </item>
        </commentChain>
      </unresolved>
      <resolved/>
    </commentChains>
    <commentChains s:ref="AI780" rgbClr="FF0000">
      <unresolved>
        <commentChain chainId="de4b1e8376489913b708735f9adcdc52dea37218">
          <item id="9ce43b785c52fdd71cf47a47b5cac85306bc58ec" userID="1850010794" userName="龙丽娟" dateTime="2026-07-19T09:16:06" isNormal="0">
            <s:text>
              <s:r>
                <s:t xml:space="preserve">7/14上UPC贴纸4800pcs</s:t>
              </s:r>
            </s:text>
          </item>
        </commentChain>
      </unresolved>
      <resolved/>
    </commentChains>
    <commentChains s:ref="AI786" rgbClr="FF0000">
      <unresolved>
        <commentChain chainId="0a796e528ab814367ed6ad79c1d6241fa85aa00a">
          <item id="97b3830c1756dee85847e487cb268965367c7ee8" userID="1850010794" userName="龙丽娟" dateTime="2026-06-17T11:19:38" isNormal="0">
            <s:text>
              <s:r>
                <s:t xml:space="preserve">6/17上PDQ贴纸250pcs</s:t>
              </s:r>
            </s:text>
          </item>
        </commentChain>
      </unresolved>
      <resolved/>
    </commentChains>
    <commentChains s:ref="AI799" rgbClr="FF0000">
      <unresolved>
        <commentChain chainId="d599167940cf6193c7495c2273c653619c9a504d">
          <item id="cfb1ed90cbbcea87b7b87399aaa8f3842afdd5f6" userID="1850010794" userName="龙丽娟" dateTime="2026-07-17T13:22:32" isNormal="0">
            <s:text>
              <s:r>
                <s:t xml:space="preserve">7/17上PDQ地址贴纸2516pcs
203946/210400/213523共用</s:t>
              </s:r>
            </s:text>
          </item>
        </commentChain>
      </unresolved>
      <resolved/>
    </commentChains>
    <commentChains s:ref="AI834" rgbClr="FF0000">
      <unresolved>
        <commentChain chainId="1ad76161dd68526588fa1ef5c169aeff1d31189d">
          <item id="94db8b524adf447b13a39104202139ef1f032828" userID="1850010794" userName="龙丽娟" dateTime="2026-07-17T13:20:16" isNormal="0">
            <s:text>
              <s:r>
                <s:t xml:space="preserve">7/17上价格贴纸2824pcs
208245/208248共用</s:t>
              </s:r>
            </s:text>
          </item>
        </commentChain>
      </unresolved>
      <resolved/>
    </commentChains>
    <commentChains s:ref="AI846" rgbClr="FF0000">
      <unresolved>
        <commentChain chainId="9e9b0f519036a42737755561be5a4227ddd3a771">
          <item id="a3ff9939dfa0d904e64936198176db85cf7869ec" userID="1850010794" userName="龙丽娟" dateTime="2026-07-17T13:20:16" isNormal="0">
            <s:text>
              <s:r>
                <s:t xml:space="preserve">7/17上价格贴纸2824pcs
208245/208248共用</s:t>
              </s:r>
            </s:text>
          </item>
        </commentChain>
      </unresolved>
      <resolved/>
    </commentChains>
  </commentList>
  <commentList sheetStid="15">
    <commentChains s:ref="W15" rgbClr="FF0000">
      <unresolved>
        <commentChain chainId="471dae16fec84e27cf80bf60c2c97a034994ffdb">
          <item id="0b5d2adaa9508a514e2ef96497a555454766f161" isNormal="1">
            <s:text>
              <s:r>
                <s:t xml:space="preserve">Administrator:
3/10 上锂电池贴纸 11932pcs
      189603/189608/190738/194297/194290/194303/194701 共用
</s:t>
              </s:r>
            </s:text>
          </item>
        </commentChain>
      </unresolved>
      <resolved/>
    </commentChains>
    <commentChains s:ref="AJ23" rgbClr="FF0000">
      <unresolved>
        <commentChain chainId="85228499ab6db124745571f83f710c2f875cd3c0">
          <item id="b354dbc8dba23b85254d772a53bb00ee83c11bc1" userID="1850010794" userName="龙丽娟" dateTime="2026-07-20T14:33:24" isNormal="0">
            <s:text>
              <s:r>
                <s:t xml:space="preserve">7/20上8+年龄贴纸28054</s:t>
              </s:r>
            </s:text>
          </item>
        </commentChain>
      </unresolved>
      <resolved/>
    </commentChains>
    <commentChains s:ref="AJ24" rgbClr="FF0000">
      <unresolved>
        <commentChain chainId="aae0bfe46a53f7f3fbb4ac117802713eb450b49f">
          <item id="a8d6b6326659a9fbd190335efdaae2e8124ccb47" userID="1850010794" userName="龙丽娟" dateTime="2026-07-20T14:33:24" isNormal="0">
            <s:text>
              <s:r>
                <s:t xml:space="preserve">7/20上8+年龄贴纸28054</s:t>
              </s:r>
            </s:text>
          </item>
        </commentChain>
      </unresolved>
      <resolved/>
    </commentChains>
    <commentChains s:ref="AJ25" rgbClr="FF0000">
      <unresolved>
        <commentChain chainId="4a4fd55fadd047adeeffc4471dc3a76175c3bfd6">
          <item id="363fffe20882ae087cdb5dead16840a132e5e5eb" userID="1850010794" userName="龙丽娟" dateTime="2026-07-20T14:33:24" isNormal="0">
            <s:text>
              <s:r>
                <s:t xml:space="preserve">7/20上8+年龄贴纸28054</s:t>
              </s:r>
            </s:text>
          </item>
        </commentChain>
      </unresolved>
      <resolved/>
    </commentChains>
    <commentChains s:ref="AJ31" rgbClr="FF0000">
      <unresolved>
        <commentChain chainId="3d1932c970c300900aa127d7341204c49bc26a87">
          <item id="00a6fdcd51db9fc0b99066dce0e8a6bdd17cceb2" isNormal="1">
            <s:text>
              <s:r>
                <s:t xml:space="preserve">Administrator:
4/17 上锂电池标签纸106*106  4011pcs
199055/192526/193910/194882/196674/197095共用</s:t>
              </s:r>
            </s:text>
          </item>
        </commentChain>
      </unresolved>
      <resolved/>
    </commentChains>
    <commentChains s:ref="AG38" rgbClr="FF0000">
      <unresolved>
        <commentChain chainId="0593b896c9436596c97df070b19326b40ed3d7b0">
          <item id="ebaf53d2c7c263e1adfdd85d8344c9cb2ac3c518" isNormal="1">
            <s:text>
              <s:r>
                <s:t xml:space="preserve">Administrator:
4/9 1405332 248pcs华兴三楼B13</s:t>
              </s:r>
            </s:text>
          </item>
        </commentChain>
      </unresolved>
      <resolved/>
    </commentChains>
    <commentChains s:ref="AJ38" rgbClr="FF0000">
      <unresolved>
        <commentChain chainId="f97e0809d7a03d0308eb3b2b24d76a59e3198d04">
          <item id="f419540077a93b064e9859264cd5db61ebd2e84c" isNormal="1">
            <s:text>
              <s:r>
                <s:t xml:space="preserve">Administrator:
3/23上Kmart外箱贴纸4*4 31pcs</s:t>
              </s:r>
            </s:text>
          </item>
        </commentChain>
      </unresolved>
      <resolved/>
    </commentChains>
    <commentChains s:ref="AG56" rgbClr="FF0000">
      <unresolved>
        <commentChain chainId="81aefd97232927999f3a226ae7404ed0d68ff85a">
          <item id="91f63e9cb2081de75ef3e9d1f548bb610ecfbb91" userID="1850010794" userName="龙丽娟" dateTime="2026-06-17T06:03:16" isNormal="0">
            <s:text>
              <s:r>
                <s:t xml:space="preserve">6/13 1000104 1680PCS顶均A11</s:t>
              </s:r>
            </s:text>
          </item>
        </commentChain>
      </unresolved>
      <resolved/>
    </commentChains>
    <commentChains s:ref="AG57" rgbClr="FF0000">
      <unresolved>
        <commentChain chainId="816f017a7d95f6e974e011392db4057e3d360cba">
          <item id="18f468b164693b5a7c0f377a4c1b7d5c36cb1d00" userID="1850010794" userName="龙丽娟" dateTime="2026-06-17T06:03:28" isNormal="0">
            <s:text>
              <s:r>
                <s:t xml:space="preserve">6/13 1000104 720PCS顶均A11</s:t>
              </s:r>
            </s:text>
          </item>
        </commentChain>
      </unresolved>
      <resolved/>
    </commentChains>
    <commentChains s:ref="AF59" rgbClr="FF0000">
      <unresolved>
        <commentChain chainId="2229ef59858b111b2306cc7e8a93bcff08b7b3e1">
          <item id="4030367f951c9c4ecc4fbc35534670274839fdd8" userID="1850010794" userName="龙丽娟" dateTime="2026-06-15T06:02:47" isNormal="0">
            <s:text>
              <s:r>
                <s:t xml:space="preserve">2801239 6/12 3000pcs欣泰A3</s:t>
              </s:r>
            </s:text>
          </item>
        </commentChain>
      </unresolved>
      <resolved/>
    </commentChains>
    <commentChains s:ref="AI68" rgbClr="FF0000">
      <unresolved>
        <commentChain chainId="2bbe7fe109dc12d7437f868d3fa4570073cbf50a">
          <item id="7488446748f6e21c4fa9eb1c0f376d80ff59a607" userID="1850010794" userName="龙丽娟" dateTime="2026-06-23T11:52:05" isNormal="0">
            <s:text>
              <s:r>
                <s:t xml:space="preserve">6/23上pdq条码贴纸1404
205686/205699共用</s:t>
              </s:r>
            </s:text>
          </item>
        </commentChain>
      </unresolved>
      <resolved/>
    </commentChains>
    <commentChains s:ref="AG70" rgbClr="FF0000">
      <unresolved>
        <commentChain chainId="fee08498980cb4c483d3f060428cf3f7bff73e8a">
          <item id="341a170410be0920ae4e365edacb8d87bcf1edc6" userID="1850010794" userName="龙丽娟" dateTime="2026-06-26T13:36:05" isNormal="0">
            <s:text>
              <s:r>
                <s:t xml:space="preserve">6/24 1040pcsb4-a9</s:t>
              </s:r>
            </s:text>
          </item>
        </commentChain>
      </unresolved>
      <resolved/>
    </commentChains>
    <commentChains s:ref="AG77" rgbClr="FF0000">
      <unresolved>
        <commentChain chainId="23dd969115be88f31258d2a2bd041c7198af6b14">
          <item id="21ff19ba35cb2bd4cd2a5807c13432555ea8e323" userID="1850010794" userName="龙丽娟" dateTime="2026-06-17T07:47:52" isNormal="0">
            <s:text>
              <s:r>
                <s:t xml:space="preserve">2500300 6/15 77000PCS欣泰A3A4</s:t>
              </s:r>
            </s:text>
          </item>
          <item id="634c02ec2b6acae0352bdabff1fb6824623ef527" userID="1850010794" userName="龙丽娟" dateTime="2026-06-17T07:48:25" isNormal="0">
            <s:text>
              <s:r>
                <s:t xml:space="preserve">2500303 6/16 23000PCS欣泰c6</s:t>
              </s:r>
            </s:text>
          </item>
        </commentChain>
      </unresolved>
      <resolved/>
    </commentChains>
    <commentChains s:ref="AJ81" rgbClr="FF0000">
      <unresolved>
        <commentChain chainId="6d12cf892d68881df45e3b8209c5b9c7075162a1">
          <item id="e134d92994ea06bd27b3a735835b44e6dab9f8bd" userID="1850010794" userName="龙丽娟" dateTime="2026-06-11T05:39:00" isNormal="0">
            <s:text>
              <s:r>
                <s:t xml:space="preserve">6/5上客供亚马逊贴纸65pcs
</s:t>
              </s:r>
            </s:text>
          </item>
        </commentChain>
      </unresolved>
      <resolved/>
    </commentChains>
    <commentChains s:ref="AJ82" rgbClr="FF0000">
      <unresolved>
        <commentChain chainId="d2a26f85eeb93af9f1aa178e3e100123c39d57fd">
          <item id="6b0683db8aa6356ad84e4e5153bb7998b4f71169" userID="1850010794" userName="龙丽娟" dateTime="2026-06-11T05:39:05" isNormal="0">
            <s:text>
              <s:r>
                <s:t xml:space="preserve">6/5上客供亚马逊贴纸65pcs</s:t>
              </s:r>
            </s:text>
          </item>
        </commentChain>
      </unresolved>
      <resolved/>
    </commentChains>
    <commentChains s:ref="AG83" rgbClr="FF0000">
      <unresolved>
        <commentChain chainId="770164fdabeb81d71f4c608d7cea4a2e7c785b86">
          <item id="3d2da19acd5efd70491b2fc0191b19cf549b9cfd" userID="1850010794" userName="龙丽娟" dateTime="2026-06-23T05:40:42" isNormal="0">
            <s:text>
              <s:r>
                <s:t xml:space="preserve">6/17 2201071 1320pcs顶均</s:t>
              </s:r>
            </s:text>
          </item>
        </commentChain>
      </unresolved>
      <resolved/>
    </commentChains>
    <commentChains s:ref="AJ84" rgbClr="FF0000">
      <unresolved>
        <commentChain chainId="d60b5dc3d8ec867b6dd49ebc80ad2423ec7f8456">
          <item id="806986731d1289690d28be0733caa50d4e0d2801" userID="1850010794" userName="龙丽娟" dateTime="2026-06-11T05:40:49" isNormal="0">
            <s:text>
              <s:r>
                <s:t xml:space="preserve">6/5上客供亚马逊贴纸356pcs</s:t>
              </s:r>
            </s:text>
          </item>
        </commentChain>
      </unresolved>
      <resolved/>
    </commentChains>
    <commentChains s:ref="AJ86" rgbClr="FF0000">
      <unresolved>
        <commentChain chainId="2f40a2dec9cd8c141d8be5f984d545b7daed64cc">
          <item id="8f74ebf9f3986bf17794f1bf0c08846293b464f8" userID="1850010794" userName="龙丽娟" dateTime="2026-06-11T05:36:40" isNormal="0">
            <s:text>
              <s:r>
                <s:t xml:space="preserve">6/2上客供亚马逊外箱贴纸1pcs</s:t>
              </s:r>
            </s:text>
          </item>
        </commentChain>
      </unresolved>
      <resolved/>
    </commentChains>
    <commentChains s:ref="AJ87" rgbClr="FF0000">
      <unresolved>
        <commentChain chainId="ae30fa9e5331507a1bb2b430716d372229d4321b">
          <item id="b49d782f8c1ebba20554a39ed5f904b20929c9d9" userID="1850010794" userName="龙丽娟" dateTime="2026-06-11T05:37:06" isNormal="0">
            <s:text>
              <s:r>
                <s:t xml:space="preserve">6/2上客供亚马逊外箱贴纸187pcs</s:t>
              </s:r>
            </s:text>
          </item>
        </commentChain>
      </unresolved>
      <resolved/>
    </commentChains>
    <commentChains s:ref="AJ89" rgbClr="FF0000">
      <unresolved>
        <commentChain chainId="4a3e118b49f60c1f9f9e6c6d0b0515cca3fc82a5">
          <item id="afa5636589a24b8c8ac161d28f731566a1ef1a48" userID="1850010794" userName="龙丽娟" dateTime="2026-06-11T05:37:06" isNormal="0">
            <s:text>
              <s:r>
                <s:t xml:space="preserve">6/2上客供亚马逊外箱贴纸352pcs</s:t>
              </s:r>
            </s:text>
          </item>
        </commentChain>
      </unresolved>
      <resolved/>
    </commentChains>
    <commentChains s:ref="AG90" rgbClr="FF0000">
      <unresolved>
        <commentChain chainId="00c7b44ac41b03f61414292e6876bbf83d558980">
          <item id="1d0703c927be83f691d81c43ffcc4a63ef687dc5" userID="1850010794" userName="龙丽娟" dateTime="2026-06-11T02:29:53" isNormal="0">
            <s:text>
              <s:r>
                <s:t xml:space="preserve">6/9 2801171 23800pcs顶均A12</s:t>
              </s:r>
            </s:text>
          </item>
        </commentChain>
      </unresolved>
      <resolved/>
    </commentChains>
    <commentChains s:ref="AJ90" rgbClr="FF0000">
      <unresolved>
        <commentChain chainId="93dafde1c9eebe9a25f01be6262d8291fbf6d522">
          <item id="4f2257bc895d6038b5f6f4e264bf9364a1113372" isNormal="1">
            <s:text>
              <s:r>
                <s:t xml:space="preserve">Administrator:
5/11 上客供外箱条码贴纸962pcs</s:t>
              </s:r>
            </s:text>
          </item>
        </commentChain>
      </unresolved>
      <resolved/>
    </commentChains>
    <commentChains s:ref="AG91" rgbClr="FF0000">
      <unresolved>
        <commentChain chainId="16f200681c7391bafb4acc90adf4a5a1ffea3c49">
          <item id="cae485576d70c3cd6ec742eaed0238988234b3ed" userID="1850010794" userName="龙丽娟" dateTime="2026-06-26T13:34:58" isNormal="0">
            <s:text>
              <s:r>
                <s:t xml:space="preserve">6/24 16750pcs b4-a8</s:t>
              </s:r>
            </s:text>
          </item>
        </commentChain>
      </unresolved>
      <resolved/>
    </commentChains>
    <commentChains s:ref="AG92" rgbClr="FF0000">
      <unresolved>
        <commentChain chainId="26aec1dbb41c650c1a6cc42cfe60ad75197f2cef">
          <item id="81847cf607f05ae76181a03142f3b624ec79158d" userID="1850010794" userName="龙丽娟" dateTime="2026-06-26T13:34:42" isNormal="0">
            <s:text>
              <s:r>
                <s:t xml:space="preserve">6/24 23775pcs b4-a8</s:t>
              </s:r>
            </s:text>
          </item>
        </commentChain>
      </unresolved>
      <resolved/>
    </commentChains>
    <commentChains s:ref="AJ94" rgbClr="FF0000">
      <unresolved>
        <commentChain chainId="b44e9382c8f687e45b38488c12928799dbfa3c41">
          <item id="834402ccd3e2b803c72c49bd5dcc175def10e887" userID="1850010794" userName="龙丽娟" dateTime="2026-06-22T05:50:02" isNormal="0">
            <s:text>
              <s:r>
                <s:t xml:space="preserve">6/10上客供外箱条码贴纸962pcs</s:t>
              </s:r>
            </s:text>
          </item>
        </commentChain>
      </unresolved>
      <resolved/>
    </commentChains>
    <commentChains s:ref="AJ124" rgbClr="FF0000">
      <unresolved>
        <commentChain chainId="1832105915eb60e0307d1649cb637294e182dc52">
          <item id="0badda0d65005b9f7513f85ccdb8a6fb59d39b25" userID="1850010794" userName="龙丽娟" dateTime="2026-06-30T06:35:13" isNormal="0">
            <s:text>
              <s:r>
                <s:t xml:space="preserve">6/24收到客供亚马逊贴纸105pcs</s:t>
              </s:r>
            </s:text>
          </item>
        </commentChain>
      </unresolved>
      <resolved/>
    </commentChains>
    <commentChains s:ref="AJ125" rgbClr="FF0000">
      <unresolved>
        <commentChain chainId="6a7c441a38c5e02370d3a86b293787f07dcbf66c">
          <item id="3c952898a41581105e82dcada82de7a265c851db" userID="1850010794" userName="龙丽娟" dateTime="2026-06-30T06:35:13" isNormal="0">
            <s:text>
              <s:r>
                <s:t xml:space="preserve">6/24收到客供亚马逊贴纸23pcs</s:t>
              </s:r>
            </s:text>
          </item>
        </commentChain>
      </unresolved>
      <resolved/>
    </commentChains>
    <commentChains s:ref="AJ126" rgbClr="FF0000">
      <unresolved>
        <commentChain chainId="d7a54d0060b13ee9192c011e0b6ceb538ed5a1ca">
          <item id="a8063ddd10b13f44df525c63f65484e3a38075ad" userID="1850010794" userName="龙丽娟" dateTime="2026-06-30T06:35:13" isNormal="0">
            <s:text>
              <s:r>
                <s:t xml:space="preserve">6/24收到客供亚马逊贴纸39pcs</s:t>
              </s:r>
            </s:text>
          </item>
        </commentChain>
      </unresolved>
      <resolved/>
    </commentChains>
    <commentChains s:ref="AJ127" rgbClr="FF0000">
      <unresolved>
        <commentChain chainId="e1a6167c5fe8752e1e2e4a4b3a2813566e6a167a">
          <item id="008d064f5587ae0d67fa66607b2850ed3b903c76" userID="1850010794" userName="龙丽娟" dateTime="2026-06-30T06:35:13" isNormal="0">
            <s:text>
              <s:r>
                <s:t xml:space="preserve">6/24收到客供亚马逊贴纸39pcs</s:t>
              </s:r>
            </s:text>
          </item>
        </commentChain>
      </unresolved>
      <resolved/>
    </commentChains>
    <commentChains s:ref="AJ128" rgbClr="FF0000">
      <unresolved>
        <commentChain chainId="e5c9166f1350636b959774afebaa47c722ff0cdc">
          <item id="5365a21308b48d3969c7a1a165b31102f8bb38d3" userID="1850010794" userName="龙丽娟" dateTime="2026-06-30T06:35:13" isNormal="0">
            <s:text>
              <s:r>
                <s:t xml:space="preserve">6/24收到客供亚马逊贴纸33pcs</s:t>
              </s:r>
            </s:text>
          </item>
        </commentChain>
      </unresolved>
      <resolved/>
    </commentChains>
    <commentChains s:ref="AJ129" rgbClr="FF0000">
      <unresolved>
        <commentChain chainId="5e5d34dc5a5902138387d6bb8f9baabc4b255974">
          <item id="9f6feb0cac4c646adef2806b50fa6bff0f546583" userID="1850010794" userName="龙丽娟" dateTime="2026-06-30T06:35:13" isNormal="0">
            <s:text>
              <s:r>
                <s:t xml:space="preserve">6/24收到客供亚马逊贴纸24pcs</s:t>
              </s:r>
            </s:text>
          </item>
        </commentChain>
      </unresolved>
      <resolved/>
    </commentChains>
    <commentChains s:ref="AJ130" rgbClr="FF0000">
      <unresolved>
        <commentChain chainId="6d2fe343191b139f617728f546c15c5c61e407ac">
          <item id="7831aeb2e6eb2056cdd2c4d123bec933a0ba2a7c" userID="1850010794" userName="龙丽娟" dateTime="2026-06-30T06:35:13" isNormal="0">
            <s:text>
              <s:r>
                <s:t xml:space="preserve">6/24收到客供亚马逊贴纸27pcs</s:t>
              </s:r>
            </s:text>
          </item>
        </commentChain>
      </unresolved>
      <resolved/>
    </commentChains>
    <commentChains s:ref="AJ131" rgbClr="FF0000">
      <unresolved>
        <commentChain chainId="c5df9df4f11e748fa94856a1387a59bca852d246">
          <item id="2ccf5248d35cf1aa51e34db7d6e8e0930b6bc6e4" userID="1850010794" userName="龙丽娟" dateTime="2026-06-30T06:35:13" isNormal="0">
            <s:text>
              <s:r>
                <s:t xml:space="preserve">6/24收到客供亚马逊贴纸30pcs</s:t>
              </s:r>
            </s:text>
          </item>
        </commentChain>
      </unresolved>
      <resolved/>
    </commentChains>
    <commentChains s:ref="AJ132" rgbClr="FF0000">
      <unresolved>
        <commentChain chainId="db8fe4405e6e78fb6a6c3a11dfcfc0c18bd47704">
          <item id="58c76adf42036621263921d2c310404e8579bc5d" userID="1850010794" userName="龙丽娟" dateTime="2026-06-30T06:35:13" isNormal="0">
            <s:text>
              <s:r>
                <s:t xml:space="preserve">6/24收到客供亚马逊贴纸20pcs</s:t>
              </s:r>
            </s:text>
          </item>
        </commentChain>
      </unresolved>
      <resolved/>
    </commentChains>
    <commentChains s:ref="AG143" rgbClr="FF0000">
      <unresolved>
        <commentChain chainId="7fee8771902e26a6038570d137c833fd6df342d5">
          <item id="2c57e102b2944c2a37250fc3610b30cd78df7bfc" userID="1850010794" userName="龙丽娟" dateTime="2026-06-15T05:59:11" isNormal="0">
            <s:text>
              <s:r>
                <s:t xml:space="preserve">6/12 2801227 18240pcs欣泰C5</s:t>
              </s:r>
            </s:text>
          </item>
        </commentChain>
      </unresolved>
      <resolved/>
    </commentChains>
    <commentChains s:ref="AJ143" rgbClr="FF0000">
      <unresolved>
        <commentChain chainId="2dc66d81e36571e4f0d85dc823adc90a40a134c3">
          <item id="48d67c9994b1d86f144bf9291622fbbf385c84a5" isNormal="1">
            <s:text>
              <s:r>
                <s:t xml:space="preserve">Administrator:
5/7 上客供RFID贴纸18240pcs</s:t>
              </s:r>
            </s:text>
          </item>
        </commentChain>
      </unresolved>
      <resolved/>
    </commentChains>
    <commentChains s:ref="AG144" rgbClr="FF0000">
      <unresolved>
        <commentChain chainId="f15371d1c27e3a52e975aa934463c24df5a94204">
          <item id="e6b54cef72fa42d33d60a9ecaf60e0c1445b915f" userID="1850010794" userName="龙丽娟" dateTime="2026-06-15T06:00:54" isNormal="0">
            <s:text>
              <s:r>
                <s:t xml:space="preserve">6/12 2801227 8640PCS欣泰C6</s:t>
              </s:r>
            </s:text>
          </item>
        </commentChain>
      </unresolved>
      <resolved/>
    </commentChains>
    <commentChains s:ref="AJ144" rgbClr="FF0000">
      <unresolved>
        <commentChain chainId="9e488b2c39ff33ee1c009d2aff31c45ad5c6e056">
          <item id="efd87ca7770464f345e25f723f32b09ae27e205b" isNormal="1">
            <s:text>
              <s:r>
                <s:t xml:space="preserve">Administrator:
5/7 上客供RFID贴纸8640pcs</s:t>
              </s:r>
            </s:text>
          </item>
        </commentChain>
      </unresolved>
      <resolved/>
    </commentChains>
    <commentChains s:ref="AG145" rgbClr="FF0000">
      <unresolved>
        <commentChain chainId="278bb9cdbfa4ea98c2a546510209791227202700">
          <item id="d7ad358365c29d41c0e47346cd4a806c75c41ddb" userID="1850010794" userName="龙丽娟" dateTime="2026-06-07T07:37:27" isNormal="0">
            <s:text>
              <s:r>
                <s:t xml:space="preserve">6/5 2801089 14400pcs欣泰</s:t>
              </s:r>
            </s:text>
          </item>
        </commentChain>
      </unresolved>
      <resolved/>
    </commentChains>
    <commentChains s:ref="AJ145" rgbClr="FF0000">
      <unresolved>
        <commentChain chainId="910b494c79a5b00872c4e46d2859a69079901a65">
          <item id="a02ec282104c9de76b9a8ac12d87a02effce3a90" isNormal="1">
            <s:text>
              <s:r>
                <s:t xml:space="preserve">Administrator:
5/7 上客供RFID贴纸14400pcs</s:t>
              </s:r>
            </s:text>
          </item>
        </commentChain>
      </unresolved>
      <resolved/>
    </commentChains>
    <commentChains s:ref="AG146" rgbClr="FF0000">
      <unresolved>
        <commentChain chainId="b4921c0fb4a3d83e640aa00f92b09d1ac4f287a7">
          <item id="0581d3515ec74d6549918cc048a661cbdac2d560" userID="1850010794" userName="龙丽娟" dateTime="2026-06-17T06:20:46" isNormal="0">
            <s:text>
              <s:r>
                <s:t xml:space="preserve">6/15 2801258  15360pcs欣泰f6</s:t>
              </s:r>
            </s:text>
          </item>
        </commentChain>
      </unresolved>
      <resolved/>
    </commentChains>
    <commentChains s:ref="AJ146" rgbClr="FF0000">
      <unresolved>
        <commentChain chainId="c5484973c2b8a7dc354ce129903f6dad925526cf">
          <item id="b543e8080b85ac8be9f0a6fd4c0f3d5e750be428" isNormal="1">
            <s:text>
              <s:r>
                <s:t xml:space="preserve">Administrator:
5/7 上客供RFID贴纸8640pcs</s:t>
              </s:r>
            </s:text>
          </item>
        </commentChain>
      </unresolved>
      <resolved/>
    </commentChains>
    <commentChains s:ref="AG147" rgbClr="FF0000">
      <unresolved>
        <commentChain chainId="14d6c61ffcd46f874f4f1b2de4a33b465d3427f5">
          <item id="47e449086e067c9ae4446347a6424ad84c73d241" userID="1850010794" userName="龙丽娟" dateTime="2026-06-17T05:51:27" isNormal="0">
            <s:text>
              <s:r>
                <s:t xml:space="preserve">6/13 2801248 13440PCS 顶均A4</s:t>
              </s:r>
            </s:text>
          </item>
        </commentChain>
      </unresolved>
      <resolved/>
    </commentChains>
    <commentChains s:ref="AJ147" rgbClr="FF0000">
      <unresolved>
        <commentChain chainId="698a77a868150b1a133ee8dcb6964c78f54d9e71">
          <item id="fcdf35a8f30f7057f0909353feda594e1245c3f5" isNormal="1">
            <s:text>
              <s:r>
                <s:t xml:space="preserve">Administrator:
5/7 上客供RFID贴纸8640pcs</s:t>
              </s:r>
            </s:text>
          </item>
        </commentChain>
      </unresolved>
      <resolved/>
    </commentChains>
    <commentChains s:ref="AG148" rgbClr="FF0000">
      <unresolved>
        <commentChain chainId="2b487a912131ffb803976f3adb2beee99e535b10">
          <item id="6e671130894cd39e2de453dbffad623803075225" userID="1850010794" userName="龙丽娟" dateTime="2026-06-17T05:50:51" isNormal="0">
            <s:text>
              <s:r>
                <s:t xml:space="preserve">6/13 2801248 21120PCS 顶均A4</s:t>
              </s:r>
            </s:text>
          </item>
        </commentChain>
      </unresolved>
      <resolved/>
    </commentChains>
    <commentChains s:ref="AJ148" rgbClr="FF0000">
      <unresolved>
        <commentChain chainId="6e158e918569cd2950d6ed379ff0a3330e0bac68">
          <item id="7b330a82c8b23cfe83994ed571d21d777ee68689" isNormal="1">
            <s:text>
              <s:r>
                <s:t xml:space="preserve">Administrator:
5/7 上客供RFID贴纸8640pcs</s:t>
              </s:r>
            </s:text>
          </item>
        </commentChain>
      </unresolved>
      <resolved/>
    </commentChains>
    <commentChains s:ref="AJ149" rgbClr="FF0000">
      <unresolved>
        <commentChain chainId="fe18bb12976a19594877b52830c3600764c5a362">
          <item id="d4699f99a1da48ed23b0b5bdfd67e481518580e5" isNormal="1">
            <s:text>
              <s:r>
                <s:t xml:space="preserve">Administrator:
5/14上客供RFID贴纸14400pcs</s:t>
              </s:r>
            </s:text>
          </item>
        </commentChain>
      </unresolved>
      <resolved/>
    </commentChains>
    <commentChains s:ref="AJ150" rgbClr="FF0000">
      <unresolved>
        <commentChain chainId="cc95869791c059f6422222eaf1a7345be480d497">
          <item id="fe0c0ced9f5cbdad2b53eaef57c391def33cfa0d" isNormal="1">
            <s:text>
              <s:r>
                <s:t xml:space="preserve">Administrator:
5/14上客供RFID贴纸16320pcs</s:t>
              </s:r>
            </s:text>
          </item>
        </commentChain>
      </unresolved>
      <resolved/>
    </commentChains>
    <commentChains s:ref="AJ151" rgbClr="FF0000">
      <unresolved>
        <commentChain chainId="5aadeed5a744c68655ae447e684ed4dfcfafaf21">
          <item id="99d788057a3edf7dc4d17032783d6fa639251f8c" isNormal="1">
            <s:text>
              <s:r>
                <s:t xml:space="preserve">Administrator:
5/14上客供RFID贴纸14400pcs</s:t>
              </s:r>
            </s:text>
          </item>
        </commentChain>
      </unresolved>
      <resolved/>
    </commentChains>
    <commentChains s:ref="AG162" rgbClr="FF0000">
      <unresolved>
        <commentChain chainId="104a246c7c81cee55950d54a1626852be1d99aa1">
          <item id="fcec74bdf8b2b6d3a23a3d69b65b1ef3f290e53d" userID="1850010794" userName="龙丽娟" dateTime="2026-06-25T07:07:48" isNormal="0">
            <s:text>
              <s:r>
                <s:t xml:space="preserve">6/23 b4b2</s:t>
              </s:r>
            </s:text>
          </item>
        </commentChain>
      </unresolved>
      <resolved/>
    </commentChains>
    <commentChains s:ref="AG203" rgbClr="FF0000">
      <unresolved>
        <commentChain chainId="a946b7bbffdf880c66dfaa7842d25e7228138860">
          <item id="90b5d7e63ae18507e9b199f8e65350ae466e14ae" userID="1850010794" userName="龙丽娟" dateTime="2026-06-04T03:06:05" isNormal="0">
            <s:text>
              <s:r>
                <s:t xml:space="preserve">6/1 2800101 20160pcs新2c5</s:t>
              </s:r>
            </s:text>
          </item>
        </commentChain>
      </unresolved>
      <resolved/>
    </commentChains>
    <commentChains s:ref="AH213" rgbClr="FF0000">
      <unresolved>
        <commentChain chainId="3601a86841a32970ede3f38543a7ea12ef5ff69d">
          <item id="b3ad13d59b3d1d1a9c6c8f080242e76cc99cf8af" userID="1850010794" userName="龙丽娟" dateTime="2026-06-07T07:53:40" isNormal="0">
            <s:text>
              <s:r>
                <s:t xml:space="preserve">6/5 2801114 3756pcs新2B5</s:t>
              </s:r>
            </s:text>
          </item>
        </commentChain>
      </unresolved>
      <resolved/>
    </commentChains>
    <commentChains s:ref="AI220" rgbClr="FF0000">
      <unresolved>
        <commentChain chainId="04c035b10e999361d6afe4ee4261e08828d3a698">
          <item id="a121d7234a6eb098462de6cb2982f3c45a777c7e" userID="1850010794" userName="龙丽娟" dateTime="2026-07-14T13:39:11" isNormal="0">
            <s:text>
              <s:r>
                <s:t xml:space="preserve">7/6 2201228 3008 pcs欣泰c6</s:t>
              </s:r>
            </s:text>
          </item>
        </commentChain>
      </unresolved>
      <resolved/>
    </commentChains>
    <commentChains s:ref="AK235" rgbClr="FF0000">
      <unresolved>
        <commentChain chainId="ceb28910029264b9c5e633dc07387683c7893730">
          <item id="a74c9f7f6cf0c1f83d947412978e4901ed3ef5e6" userID="1850010794" userName="龙丽娟" dateTime="2026-06-23T11:53:18" isNormal="0">
            <s:text>
              <s:r>
                <s:t xml:space="preserve">上德意荷/法国贴纸3308pcs</s:t>
              </s:r>
            </s:text>
          </item>
        </commentChain>
      </unresolved>
      <resolved/>
    </commentChains>
    <commentChains s:ref="AL237" rgbClr="FF0000">
      <unresolved>
        <commentChain chainId="b459a216652b0d2159ba6601eedfd423e14f026e">
          <item id="58cc7d92f499a113103badcf5e4d2eab15c504a0" userID="1850010794" userName="龙丽娟" dateTime="2026-07-15T14:04:03" isNormal="0">
            <s:text>
              <s:r>
                <s:t xml:space="preserve">7/15上地址贴纸26416pcs
207585/211476共用</s:t>
              </s:r>
            </s:text>
          </item>
        </commentChain>
      </unresolved>
      <resolved/>
    </commentChains>
    <commentChains s:ref="AH247" rgbClr="FF0000">
      <unresolved>
        <commentChain chainId="24dc79cb1ebd078f176388ae0a0241b3038708f1">
          <item id="aa9c5a901997338686003f94fb793f0dd48b4cc6" isNormal="1">
            <s:text>
              <s:r>
                <s:t xml:space="preserve">Administrator:
3/19 1405240 5000pcsB栋4楼B7区
</s:t>
              </s:r>
            </s:text>
          </item>
        </commentChain>
      </unresolved>
      <resolved/>
    </commentChains>
    <commentChains s:ref="AH248" rgbClr="FF0000">
      <unresolved>
        <commentChain chainId="402c871bd346f5931c05096f2ae01b710878539a">
          <item id="8d960d602350c4bbd76260a447d60587916b3eb3" isNormal="1">
            <s:text>
              <s:r>
                <s:t xml:space="preserve">Administrator:
3/19  1406106 
组合1 2417pcs
组合2 4992pcs
组合3 4989pcs
组合4 2502PCS
组合5 2496pcs
组合6 2497pcs
组合7 2499pcs
组合10 2292pcs
组合11 3413pcs
组合12 943pcs
吸塑640pcs</s:t>
              </s:r>
            </s:text>
          </item>
        </commentChain>
      </unresolved>
      <resolved/>
    </commentChains>
    <commentChains s:ref="AL255" rgbClr="FF0000">
      <unresolved>
        <commentChain chainId="ed9e6c7cf570cc4ffa775fa5e8ad66e550c45e75">
          <item id="d415d096965011948ca24ef82d1c7e825c38aa4f" userID="1850010794" userName="龙丽娟" dateTime="2026-07-19T09:11:10" isNormal="0">
            <s:text>
              <s:r>
                <s:t xml:space="preserve">7/13上地址贴纸5008pcs</s:t>
              </s:r>
            </s:text>
          </item>
        </commentChain>
      </unresolved>
      <resolved/>
    </commentChains>
    <commentChains s:ref="AE264" rgbClr="FF0000">
      <unresolved>
        <commentChain chainId="bff8aac665cc6d26a9fe9e93fd9134315eadd097">
          <item id="192a6341dd71dac75928fd5a200e888d14b2b49a" userID="1850010794" userName="龙丽娟" dateTime="2026-08-07T12:46:26" isNormal="0">
            <s:text>
              <s:r>
                <s:t xml:space="preserve">8/1 3004711 2208pcs欣泰D6</s:t>
              </s:r>
            </s:text>
          </item>
        </commentChain>
      </unresolved>
      <resolved/>
    </commentChains>
  </commentList>
</comments>
</file>

<file path=customXml/item3.xml><?xml version="1.0" encoding="utf-8"?>
<autofilters xmlns="https://web.wps.cn/et/2018/main">
  <sheetItem sheetStid="23">
    <filterData filterID="1594138801">
      <hiddenRange rowFrom="1" rowTo="7"/>
      <hiddenRange rowFrom="10" rowTo="11"/>
      <hiddenRange rowFrom="13" rowTo="14"/>
      <hiddenRange rowFrom="17" rowTo="129"/>
      <hiddenRange rowFrom="131" rowTo="136"/>
      <hiddenRange rowFrom="138" rowTo="167"/>
      <hiddenRange rowFrom="169" rowTo="273"/>
      <hiddenRange rowFrom="275" rowTo="285"/>
      <hiddenRange rowFrom="287" rowTo="355"/>
      <hiddenRange rowFrom="358" rowTo="360"/>
      <hiddenRange rowFrom="362" rowTo="362"/>
      <hiddenRange rowFrom="364" rowTo="366"/>
      <hiddenRange rowFrom="368" rowTo="380"/>
      <hiddenRange rowFrom="384" rowTo="384"/>
      <hiddenRange rowFrom="394" rowTo="408"/>
      <hiddenRange rowFrom="410" rowTo="424"/>
      <hiddenRange rowFrom="427" rowTo="427"/>
      <hiddenRange rowFrom="430" rowTo="431"/>
      <hiddenRange rowFrom="433" rowTo="462"/>
      <hiddenRange rowFrom="464" rowTo="482"/>
      <hiddenRange rowFrom="485" rowTo="525"/>
      <hiddenRange rowFrom="527" rowTo="548"/>
      <hiddenRange rowFrom="550" rowTo="553"/>
      <hiddenRange rowFrom="556" rowTo="591"/>
      <hiddenRange rowFrom="594" rowTo="654"/>
      <hiddenRange rowFrom="656" rowTo="690"/>
      <hiddenRange rowFrom="692" rowTo="748"/>
      <hiddenRange rowFrom="750" rowTo="761"/>
      <hiddenRange rowFrom="767" rowTo="819"/>
      <hiddenRange rowFrom="821" rowTo="841"/>
      <hiddenRange rowFrom="843" rowTo="869"/>
      <hiddenRange rowFrom="871" rowTo="996"/>
      <hiddenRange rowFrom="998" rowTo="1060"/>
    </filterData>
    <filterData filterID="1848489229">
      <hiddenRange rowFrom="1" rowTo="148"/>
      <hiddenRange rowFrom="150" rowTo="153"/>
      <hiddenRange rowFrom="155" rowTo="175"/>
      <hiddenRange rowFrom="177" rowTo="184"/>
      <hiddenRange rowFrom="186" rowTo="242"/>
      <hiddenRange rowFrom="244" rowTo="267"/>
      <hiddenRange rowFrom="269" rowTo="295"/>
      <hiddenRange rowFrom="297" rowTo="378"/>
      <hiddenRange rowFrom="380" rowTo="439"/>
      <hiddenRange rowFrom="441" rowTo="446"/>
      <hiddenRange rowFrom="448" rowTo="455"/>
      <hiddenRange rowFrom="458" rowTo="469"/>
      <hiddenRange rowFrom="471" rowTo="473"/>
      <hiddenRange rowFrom="475" rowTo="509"/>
      <hiddenRange rowFrom="511" rowTo="609"/>
      <hiddenRange rowFrom="611" rowTo="680"/>
      <hiddenRange rowFrom="682" rowTo="720"/>
      <hiddenRange rowFrom="722" rowTo="766"/>
      <hiddenRange rowFrom="768" rowTo="807"/>
      <hiddenRange rowFrom="809" rowTo="829"/>
      <hiddenRange rowFrom="831" rowTo="845"/>
      <hiddenRange rowFrom="847" rowTo="879"/>
      <hiddenRange rowFrom="881" rowTo="884"/>
      <hiddenRange rowFrom="886" rowTo="902"/>
      <hiddenRange rowFrom="904" rowTo="1060"/>
    </filterData>
    <filterData filterID="1479941211">
      <hiddenRange rowFrom="1" rowTo="318"/>
      <hiddenRange rowFrom="320" rowTo="354"/>
      <hiddenRange rowFrom="356" rowTo="448"/>
      <hiddenRange rowFrom="450" rowTo="485"/>
      <hiddenRange rowFrom="487" rowTo="503"/>
      <hiddenRange rowFrom="505" rowTo="525"/>
      <hiddenRange rowFrom="527" rowTo="530"/>
      <hiddenRange rowFrom="533" rowTo="551"/>
      <hiddenRange rowFrom="553" rowTo="554"/>
      <hiddenRange rowFrom="556" rowTo="620"/>
      <hiddenRange rowFrom="622" rowTo="642"/>
      <hiddenRange rowFrom="644" rowTo="747"/>
      <hiddenRange rowFrom="749" rowTo="755"/>
      <hiddenRange rowFrom="757" rowTo="834"/>
      <hiddenRange rowFrom="836" rowTo="907"/>
      <hiddenRange rowFrom="909" rowTo="911"/>
      <hiddenRange rowFrom="913" rowTo="948"/>
      <hiddenRange rowFrom="951" rowTo="959"/>
      <hiddenRange rowFrom="963" rowTo="970"/>
      <hiddenRange rowFrom="975" rowTo="1000"/>
      <hiddenRange rowFrom="1002" rowTo="1008"/>
      <hiddenRange rowFrom="1010" rowTo="1060"/>
    </filterData>
    <filterData filterID="1475153551"/>
    <filterData filterID="1474966847">
      <hiddenRange rowFrom="1" rowTo="789"/>
      <hiddenRange rowFrom="791" rowTo="1063"/>
    </filterData>
    <filterData filterID="1853477080"/>
    <filterData filterID="1850010794"/>
    <filterData filterID="1828143256">
      <hiddenRange rowFrom="1" rowTo="589"/>
      <hiddenRange rowFrom="591" rowTo="1063"/>
    </filterData>
    <filterData filterID="1475782889">
      <hiddenRange rowFrom="1" rowTo="584"/>
      <hiddenRange rowFrom="586" rowTo="1063"/>
    </filterData>
    <autofilterInfo filterID="1848489229">
      <autoFilter xmlns="http://schemas.openxmlformats.org/spreadsheetml/2006/main" ref="A1:DG1064">
        <filterColumn colId="6">
          <filters>
            <filter val="77772SK-S002-PRODCC1"/>
            <filter val="77772SK1-S002"/>
            <filter val="77772SK1-S002-MTS"/>
          </filters>
        </filterColumn>
      </autoFilter>
    </autofilterInfo>
    <autofilterInfo filterID="1479941211">
      <autoFilter xmlns="http://schemas.openxmlformats.org/spreadsheetml/2006/main" ref="A1:DG1064">
        <filterColumn colId="8">
          <colorFilter dxfId="4"/>
        </filterColumn>
      </autoFilter>
    </autofilterInfo>
    <autofilterInfo filterID="1594138801">
      <autoFilter xmlns="http://schemas.openxmlformats.org/spreadsheetml/2006/main" ref="A1:DG1064">
        <filterColumn colId="6">
          <filters>
            <filter val="MEC473-77772-S001"/>
            <filter val="MEC457-77772-S001"/>
            <filter val="MSLD182-77772-S001"/>
            <filter val="MSLD188-77772-S001"/>
            <filter val="MEC473-77772-S001-PRODCC1"/>
            <filter val="MEC426-77772-S001-PRODCC1"/>
            <filter val="MEC426-PK1-EC-S001"/>
            <filter val="MEC426-77772-S001"/>
          </filters>
        </filterColumn>
      </autoFilter>
    </autofilterInfo>
    <autofilterInfo filterID="1828143256">
      <autoFilter xmlns="http://schemas.openxmlformats.org/spreadsheetml/2006/main" ref="A1:DG1064">
        <filterColumn colId="3">
          <customFilters>
            <customFilter operator="equal" val="4500204601"/>
          </customFilters>
        </filterColumn>
      </autoFilter>
    </autofilterInfo>
    <autofilterInfo filterID="1475782889">
      <autoFilter xmlns="http://schemas.openxmlformats.org/spreadsheetml/2006/main" ref="A1:DG1064">
        <filterColumn colId="3">
          <customFilters>
            <customFilter operator="equal" val="4500208952"/>
          </customFilters>
        </filterColumn>
      </autoFilter>
    </autofilterInfo>
    <autofilterInfo filterID="1474966847">
      <autoFilter xmlns="http://schemas.openxmlformats.org/spreadsheetml/2006/main" ref="A1:DG1064">
        <filterColumn colId="3">
          <customFilters>
            <customFilter operator="equal" val="4500216463"/>
          </customFilters>
        </filterColumn>
      </autoFilter>
    </autofilterInfo>
  </sheetItem>
  <sheetItem sheetStid="26">
    <filterData filterID="1475153551"/>
    <filterData filterID="1828143256">
      <hiddenRange rowFrom="1" rowTo="490"/>
      <hiddenRange rowFrom="492" rowTo="2378"/>
    </filterData>
    <filterData filterID="1850010794"/>
    <filterData filterID="1474966847">
      <hiddenRange rowFrom="1" rowTo="742"/>
      <hiddenRange rowFrom="744" rowTo="2378"/>
    </filterData>
    <filterData filterID="1853477080"/>
    <autofilterInfo filterID="1828143256">
      <autoFilter xmlns="http://schemas.openxmlformats.org/spreadsheetml/2006/main" ref="A1:DD2379">
        <filterColumn colId="3">
          <customFilters>
            <customFilter operator="equal" val="4500204601"/>
          </customFilters>
        </filterColumn>
      </autoFilter>
    </autofilterInfo>
    <autofilterInfo filterID="1474966847">
      <autoFilter xmlns="http://schemas.openxmlformats.org/spreadsheetml/2006/main" ref="A1:DD2379">
        <filterColumn colId="3">
          <customFilters>
            <customFilter operator="equal" val="4500212818"/>
          </customFilters>
        </filterColumn>
      </autoFilter>
    </autofilterInfo>
  </sheetItem>
  <sheetItem sheetStid="15">
    <filterData filterID="1475153551">
      <hiddenRange rowFrom="1" rowTo="265"/>
      <hiddenRange rowFrom="267" rowTo="267"/>
    </filterData>
    <filterData filterID="1474709007"/>
    <filterData filterID="1828143256"/>
    <filterData filterID="1848489229"/>
    <filterData filterID="1850010794"/>
    <filterData filterID="1474966847">
      <hiddenRange rowFrom="1" rowTo="19"/>
      <hiddenRange rowFrom="22" rowTo="265"/>
    </filterData>
    <filterData filterID="1765212680"/>
    <autofilterInfo filterID="1475153551">
      <autoFilter xmlns="http://schemas.openxmlformats.org/spreadsheetml/2006/main" ref="A1:CV268">
        <filterColumn colId="3">
          <customFilters>
            <customFilter operator="equal" val="4500215474"/>
          </customFilters>
        </filterColumn>
      </autoFilter>
    </autofilterInfo>
    <autofilterInfo filterID="1474966847">
      <autoFilter xmlns="http://schemas.openxmlformats.org/spreadsheetml/2006/main" ref="A1:CV268">
        <filterColumn colId="3">
          <customFilters>
            <customFilter operator="equal" val="4500204935"/>
          </customFilters>
        </filterColumn>
      </autoFilter>
    </autofilterInfo>
  </sheetItem>
  <sheetItem sheetStid="30">
    <filterData filterID="1474709007"/>
    <filterData filterID="1474966847"/>
    <filterData filterID="1853477080"/>
    <filterData filterID="1765212680"/>
  </sheetItem>
  <sheetItem sheetStid="24">
    <filterData filterID="1474709007"/>
    <filterData filterID="1853477080"/>
    <filterData filterID="1765212680"/>
  </sheetItem>
</autofilters>
</file>

<file path=customXml/item4.xml><?xml version="1.0" encoding="utf-8"?>
<woProps xmlns="https://web.wps.cn/et/2018/main" xmlns:s="http://schemas.openxmlformats.org/spreadsheetml/2006/main">
  <woSheetsProps>
    <woSheetProps sheetStid="23" interlineOnOff="0" interlineColor="0" isDbSheet="0" isDashBoardSheet="0" isDbDashBoardSheet="0" isFlexPaperSheet="0">
      <hyperlinks>
        <hyperlink ref="AC154">
          <hypersublink pos="557" length="15" display="Mia.yu@zuru.com" address="mailto:Mia.yu@zuru.com" subaddress="" screenTip="" linkrunstype="LRTURL"/>
        </hyperlink>
        <hyperlink ref="AC448">
          <hypersublink pos="345" length="13" display="care@zuru.com" address="mailto:care@zuru.com" subaddress="" screenTip="" linkrunstype="LRTURL"/>
        </hyperlink>
        <hyperlink ref="AC447">
          <hypersublink pos="366" length="13" display="care@zuru.com" address="mailto:care@zuru.com" subaddress="" screenTip="" linkrunstype="LRTURL"/>
        </hyperlink>
        <hyperlink ref="AC382">
          <hypersublink pos="323" length="21" display="erica.lun@checkpt.com" address="mailto:erica.lun@checkpt.com" subaddress="" screenTip="" linkrunstype="LRTURL"/>
        </hyperlink>
        <hyperlink ref="B61">
          <hypersublink pos="0" length="10" display="AMAZON.COM" address="https://AMAZON.COM" subaddress="" screenTip="" linkrunstype="LRTURL"/>
        </hyperlink>
        <hyperlink ref="AC392">
          <hypersublink pos="351" length="21" display="erica.lun@checkpt.com" address="mailto:erica.lun@checkpt.com" subaddress="" screenTip="" linkrunstype="LRTURL"/>
        </hyperlink>
        <hyperlink ref="AC556">
          <hypersublink pos="144" length="5" display="3 .MA" address="https://3 .MA" subaddress="" screenTip="" linkrunstype="LRTURL"/>
        </hyperlink>
        <hyperlink ref="B115">
          <hypersublink pos="0" length="10" display="AMAZON.COM" address="https://AMAZON.COM" subaddress="" screenTip="" linkrunstype="LRTURL"/>
        </hyperlink>
        <hyperlink ref="AC599">
          <hypersublink pos="353" length="13" display="care@zuru.com" address="mailto:care@zuru.com" subaddress="" screenTip="" linkrunstype="LRTURL"/>
        </hyperlink>
        <hyperlink ref="AC774">
          <hypersublink pos="512" length="15" display="Mia.yu@zuru.com" address="mailto:Mia.yu@zuru.com" subaddress="" screenTip="" linkrunstype="LRTURL"/>
        </hyperlink>
        <hyperlink ref="AC453">
          <hypersublink pos="291" length="13" display="care@zuru.com" address="mailto:care@zuru.com" subaddress="" screenTip="" linkrunstype="LRTURL"/>
        </hyperlink>
        <hyperlink ref="B305">
          <hypersublink pos="0" length="10" display="AMAZON.COM" address="https://AMAZON.COM" subaddress="" screenTip="" linkrunstype="LRTNone"/>
        </hyperlink>
        <hyperlink ref="B399">
          <hypersublink pos="0" length="10" display="AMAZON.COM" address="https://AMAZON.COM" subaddress="" screenTip="" linkrunstype="LRTNone"/>
        </hyperlink>
        <hyperlink ref="AC432">
          <hypersublink pos="164" length="5" display="3 .MA" address="https://3 .MA" subaddress="" screenTip="" linkrunstype="LRTURL"/>
        </hyperlink>
        <hyperlink ref="AC609">
          <hypersublink pos="620" length="13" display="care@zuru.com" address="mailto:care@zuru.com" subaddress="" screenTip="" linkrunstype="LRTURL"/>
          <hypersublink pos="966" length="13" display="care@zuru.com" address="mailto:care@zuru.com" subaddress="" screenTip="" linkrunstype="LRTURL"/>
        </hyperlink>
        <hyperlink ref="AC793">
          <hypersublink pos="729" length="13" display="care@zuru.com" address="mailto:care@zuru.com" subaddress="" screenTip="" linkrunstype="LRTURL"/>
        </hyperlink>
        <hyperlink ref="AC777">
          <hypersublink pos="330" length="13" display="care@zuru.com" address="mailto:care@zuru.com" subaddress="" screenTip="" linkrunstype="LRTURL"/>
          <hypersublink pos="664" length="13" display="care@zuru.com" address="mailto:care@zuru.com" subaddress="" screenTip="" linkrunstype="LRTURL"/>
          <hypersublink pos="1033" length="13" display="care@zuru.com" address="mailto:care@zuru.com" subaddress="" screenTip="" linkrunstype="LRTURL"/>
        </hyperlink>
        <hyperlink ref="AC868">
          <hypersublink pos="901" length="13" display="care@zuru.com" address="mailto:care@zuru.com" subaddress="" screenTip="" linkrunstype="LRTURL"/>
          <hypersublink pos="1417" length="13" display="care@zuru.com" address="mailto:care@zuru.com" subaddress="" screenTip="" linkrunstype="LRTURL"/>
        </hyperlink>
        <hyperlink ref="AC874">
          <hypersublink pos="1011" length="13" display="care@zuru.com" address="mailto:care@zuru.com" subaddress="" screenTip="" linkrunstype="LRTURL"/>
        </hyperlink>
        <hyperlink ref="AC875">
          <hypersublink pos="1011" length="13" display="care@zuru.com" address="mailto:care@zuru.com" subaddress="" screenTip="" linkrunstype="LRTURL"/>
        </hyperlink>
        <hyperlink ref="AC932">
          <hypersublink pos="285" length="15" display="Mia.yu@zuru.com" address="mailto:Mia.yu@zuru.com" subaddress="" screenTip="" linkrunstype="LRTURL"/>
        </hyperlink>
        <hyperlink ref="AC770">
          <hypersublink pos="309" length="13" display="care@zuru.com" address="mailto:care@zuru.com" subaddress="" screenTip="" linkrunstype="LRTURL"/>
          <hypersublink pos="509" length="13" display="care@zuru.com" address="mailto:care@zuru.com" subaddress="" screenTip="" linkrunstype="LRTURL"/>
          <hypersublink pos="868" length="13" display="care@zuru.com" address="mailto:care@zuru.com" subaddress="" screenTip="" linkrunstype="LRTURL"/>
        </hyperlink>
        <hyperlink ref="AC769">
          <hypersublink pos="309" length="13" display="care@zuru.com" address="mailto:care@zuru.com" subaddress="" screenTip="" linkrunstype="LRTURL"/>
          <hypersublink pos="509" length="13" display="care@zuru.com" address="mailto:care@zuru.com" subaddress="" screenTip="" linkrunstype="LRTURL"/>
          <hypersublink pos="868" length="13" display="care@zuru.com" address="mailto:care@zuru.com" subaddress="" screenTip="" linkrunstype="LRTURL"/>
        </hyperlink>
        <hyperlink ref="AC768">
          <hypersublink pos="307" length="13" display="care@zuru.com" address="mailto:care@zuru.com" subaddress="" screenTip="" linkrunstype="LRTURL"/>
          <hypersublink pos="507" length="13" display="care@zuru.com" address="mailto:care@zuru.com" subaddress="" screenTip="" linkrunstype="LRTURL"/>
          <hypersublink pos="866" length="13" display="care@zuru.com" address="mailto:care@zuru.com" subaddress="" screenTip="" linkrunstype="LRTURL"/>
        </hyperlink>
      </hyperlinks>
      <cellprotection/>
      <appEtDbRelations/>
    </woSheetProps>
    <woSheetProps sheetStid="26" interlineOnOff="0" interlineColor="0" isDbSheet="0" isDashBoardSheet="0" isDbDashBoardSheet="0" isFlexPaperSheet="0">
      <hyperlinks>
        <hyperlink ref="X126">
          <hypersublink pos="557" length="15" display="Mia.yu@zuru.com" address="mailto:Mia.yu@zuru.com" subaddress="" screenTip="" linkrunstype="LRTURL"/>
        </hyperlink>
        <hyperlink ref="X786">
          <hypersublink pos="366" length="13" display="care@zuru.com" address="mailto:care@zuru.com" subaddress="" screenTip="" linkrunstype="LRTURL"/>
        </hyperlink>
        <hyperlink ref="X745">
          <hypersublink pos="304" length="13" display="care@zuru.com" address="mailto:care@zuru.com" subaddress="" screenTip="" linkrunstype="LRTURL"/>
        </hyperlink>
        <hyperlink ref="X717">
          <hypersublink pos="512" length="15" display="Mia.yu@zuru.com" address="mailto:Mia.yu@zuru.com" subaddress="" screenTip="" linkrunstype="LRTURL"/>
        </hyperlink>
        <hyperlink ref="X698">
          <hypersublink pos="314" length="13" display="care@zuru.com" address="mailto:care@zuru.com" subaddress="" screenTip="" linkrunstype="LRTURL"/>
        </hyperlink>
        <hyperlink ref="X562">
          <hypersublink pos="580" length="13" display="care@zuru.com" address="mailto:care@zuru.com" subaddress="" screenTip="" linkrunstype="LRTURL"/>
          <hypersublink pos="926" length="13" display="care@zuru.com" address="mailto:care@zuru.com" subaddress="" screenTip="" linkrunstype="LRTURL"/>
        </hyperlink>
        <hyperlink ref="X734">
          <hypersublink pos="709" length="13" display="care@zuru.com" address="mailto:care@zuru.com" subaddress="" screenTip="" linkrunstype="LRTURL"/>
        </hyperlink>
        <hyperlink ref="X722">
          <hypersublink pos="324" length="13" display="care@zuru.com" address="mailto:care@zuru.com" subaddress="" screenTip="" linkrunstype="LRTURL"/>
          <hypersublink pos="658" length="13" display="care@zuru.com" address="mailto:care@zuru.com" subaddress="" screenTip="" linkrunstype="LRTURL"/>
          <hypersublink pos="1027" length="13" display="care@zuru.com" address="mailto:care@zuru.com" subaddress="" screenTip="" linkrunstype="LRTURL"/>
        </hyperlink>
        <hyperlink ref="X712">
          <hypersublink pos="302" length="13" display="care@zuru.com" address="mailto:care@zuru.com" subaddress="" screenTip="" linkrunstype="LRTURL"/>
          <hypersublink pos="502" length="13" display="care@zuru.com" address="mailto:care@zuru.com" subaddress="" screenTip="" linkrunstype="LRTURL"/>
          <hypersublink pos="861" length="13" display="care@zuru.com" address="mailto:care@zuru.com" subaddress="" screenTip="" linkrunstype="LRTURL"/>
        </hyperlink>
      </hyperlinks>
      <cellprotection/>
      <appEtDbRelations/>
    </woSheetProps>
    <woSheetProps sheetStid="15" interlineOnOff="0" interlineColor="0" isDbSheet="0" isDashBoardSheet="0" isDbDashBoardSheet="0" isFlexPaperSheet="0">
      <hyperlinks>
        <hyperlink ref="W66">
          <hypersublink pos="52" length="7" display="BOL.COM" address="https://BOL.COM" subaddress="" screenTip="" linkrunstype="LRTURL"/>
        </hyperlink>
        <hyperlink ref="B80">
          <hypersublink pos="0" length="10" display="AMAZON.COM" address="https://AMAZON.COM" subaddress="" screenTip="" linkrunstype="LRTNone"/>
        </hyperlink>
        <hyperlink ref="B205">
          <hypersublink pos="0" length="10" display="AMAZON.COM" address="https://AMAZON.COM" subaddress="" screenTip="" linkrunstype="LRTURL"/>
        </hyperlink>
        <hyperlink ref="B211">
          <hypersublink pos="0" length="10" display="AMAZON.COM" address="https://AMAZON.COM" subaddress="" screenTip="" linkrunstype="LRTURL"/>
        </hyperlink>
        <hyperlink ref="B212">
          <hypersublink pos="0" length="10" display="AMAZON.COM" address="https://AMAZON.COM" subaddress="" screenTip="" linkrunstype="LRTURL"/>
        </hyperlink>
      </hyperlinks>
      <cellprotection/>
      <appEtDbRelations/>
    </woSheetProps>
    <woSheetProps sheetStid="30" interlineOnOff="0" interlineColor="0" isDbSheet="0" isDashBoardSheet="0" isDbDashBoardSheet="0" isFlexPaperSheet="0">
      <cellprotection/>
      <appEtDbRelations/>
    </woSheetProps>
    <woSheetProps sheetStid="24" interlineOnOff="0" interlineColor="0" isDbSheet="0" isDashBoardSheet="0" isDbDashBoardSheet="0" isFlexPaperSheet="0">
      <cellprotection/>
      <appEtDbRelations/>
    </woSheetProps>
    <woSheetProps sheetStid="29" interlineOnOff="0" interlineColor="0" isDbSheet="0" isDashBoardSheet="0" isDbDashBoardSheet="0" isFlexPaperSheet="0">
      <cellprotection/>
      <appEtDbRelations/>
    </woSheetProps>
    <woSheetProps sheetStid="18" interlineOnOff="0" interlineColor="0" isDbSheet="0" isDashBoardSheet="0" isDbDashBoardSheet="0" isFlexPaperSheet="0">
      <cellprotection/>
      <appEtDbRelations/>
    </woSheetProps>
  </woSheetsProps>
  <woBookProps>
    <bookSettings fileId="526430250872" isFilterShared="0" woEtMtcEnabled="0" coreConquerUserId="" isAutoUpdatePaused="0" filterType="user" isMergeTasksAutoUpdate="0" isInserPicAsAttachment="0" supportDbFmlaDisp="0"/>
  </woBookProps>
</woProps>
</file>

<file path=customXml/item5.xml><?xml version="1.0" encoding="utf-8"?>
<pixelators xmlns="https://web.wps.cn/et/2018/main" xmlns:s="http://schemas.openxmlformats.org/spreadsheetml/2006/main">
  <pixelatorList sheetStid="23"/>
  <pixelatorList sheetStid="26"/>
  <pixelatorList sheetStid="15"/>
  <pixelatorList sheetStid="30"/>
  <pixelatorList sheetStid="24"/>
  <pixelatorList sheetStid="29"/>
  <pixelatorList sheetStid="18"/>
  <pixelatorList sheetStid="31"/>
</pixelators>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06A0048C-2381-489B-AA07-9611017176EA}">
  <ds:schemaRefs>
    <ds:schemaRef ds:uri="https://web.wps.cn/et/2018/main"/>
    <ds:schemaRef ds:uri="http://schemas.openxmlformats.org/spreadsheetml/2006/main"/>
  </ds:schemaRefs>
</ds:datastoreItem>
</file>

<file path=customXml/itemProps3.xml><?xml version="1.0" encoding="utf-8"?>
<ds:datastoreItem xmlns:ds="http://schemas.openxmlformats.org/officeDocument/2006/customXml" ds:itemID="{D5662047-3127-477A-AC3A-1D340467FB41}">
  <ds:schemaRefs>
    <ds:schemaRef ds:uri="https://web.wps.cn/et/2018/main"/>
    <ds:schemaRef ds:uri="http://schemas.openxmlformats.org/spreadsheetml/2006/main"/>
  </ds:schemaRefs>
</ds:datastoreItem>
</file>

<file path=customXml/itemProps4.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5.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Office WWO_wpscloud_20260805160907-ca3bb104b7</Application>
  <HeadingPairs>
    <vt:vector size="2" baseType="variant">
      <vt:variant>
        <vt:lpstr>工作表</vt:lpstr>
      </vt:variant>
      <vt:variant>
        <vt:i4>7</vt:i4>
      </vt:variant>
    </vt:vector>
  </HeadingPairs>
  <TitlesOfParts>
    <vt:vector size="7" baseType="lpstr">
      <vt:lpstr>77772</vt:lpstr>
      <vt:lpstr>77794</vt:lpstr>
      <vt:lpstr>取消单</vt:lpstr>
      <vt:lpstr>77772包装MA</vt:lpstr>
      <vt:lpstr>77794包装MA</vt:lpstr>
      <vt:lpstr>77772半成品MA</vt:lpstr>
      <vt:lpstr>77794半成品MA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龙丽娟</cp:lastModifiedBy>
  <dcterms:created xsi:type="dcterms:W3CDTF">2021-10-27T14:48:00Z</dcterms:created>
  <dcterms:modified xsi:type="dcterms:W3CDTF">2026-08-17T09:51:00Z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2052-12.9.0.28212</vt:lpwstr>
  </property>
  <property fmtid="{D5CDD505-2E9C-101B-9397-08002B2CF9AE}" pid="3" name="KSOReadingLayout">
    <vt:bool>true</vt:bool>
  </property>
  <property fmtid="{D5CDD505-2E9C-101B-9397-08002B2CF9AE}" pid="4" name="ICV">
    <vt:lpwstr>5BEC19171F8F472EA0131226BE521A7E_13</vt:lpwstr>
  </property>
  <property fmtid="{D5CDD505-2E9C-101B-9397-08002B2CF9AE}" pid="5" name="CalculationRule">
    <vt:i4>0</vt:i4>
  </property>
</Properties>
</file>